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Genus</t>
        </is>
      </c>
      <c r="C1" s="1" t="inlineStr">
        <is>
          <t>Name</t>
        </is>
      </c>
      <c r="D1" s="1" t="inlineStr">
        <is>
          <t>Index</t>
        </is>
      </c>
      <c r="E1" s="1" t="inlineStr">
        <is>
          <t>con</t>
        </is>
      </c>
      <c r="F1" s="1" t="inlineStr">
        <is>
          <t>len</t>
        </is>
      </c>
      <c r="G1" s="1" t="inlineStr">
        <is>
          <t>c_2</t>
        </is>
      </c>
      <c r="H1" s="1" t="inlineStr">
        <is>
          <t>c_3</t>
        </is>
      </c>
      <c r="I1" s="1" t="inlineStr">
        <is>
          <t>Cusps</t>
        </is>
      </c>
      <c r="J1" s="1" t="inlineStr">
        <is>
          <t>Sum Of Cusps</t>
        </is>
      </c>
      <c r="K1" s="1" t="inlineStr">
        <is>
          <t>Gal</t>
        </is>
      </c>
      <c r="L1" s="1" t="inlineStr">
        <is>
          <t>Supergroups</t>
        </is>
      </c>
      <c r="M1" s="1" t="inlineStr">
        <is>
          <t>Subgroups</t>
        </is>
      </c>
      <c r="N1" s="1" t="inlineStr">
        <is>
          <t>Nested_Supergroups</t>
        </is>
      </c>
      <c r="O1" s="1" t="inlineStr">
        <is>
          <t>Nested_Subgroups</t>
        </is>
      </c>
    </row>
    <row r="2">
      <c r="A2">
        <f>HYPERLINK("https://mathstats.uncg.edu/sites/pauli/congruence/csg0.html#group1A0", "1A⁰")</f>
        <v/>
      </c>
      <c r="B2" t="n">
        <v>0</v>
      </c>
      <c r="C2" t="inlineStr">
        <is>
          <t>Γ</t>
        </is>
      </c>
      <c r="D2" t="inlineStr">
        <is>
          <t>1</t>
        </is>
      </c>
      <c r="E2" t="inlineStr">
        <is>
          <t>1</t>
        </is>
      </c>
      <c r="F2" t="inlineStr">
        <is>
          <t>1</t>
        </is>
      </c>
      <c r="G2" t="inlineStr">
        <is>
          <t>1</t>
        </is>
      </c>
      <c r="H2" t="inlineStr">
        <is>
          <t>1</t>
        </is>
      </c>
      <c r="I2" t="inlineStr">
        <is>
          <t>1¹</t>
        </is>
      </c>
      <c r="J2" t="n">
        <v>1</v>
      </c>
      <c r="K2" t="inlineStr">
        <is>
          <t>1¹</t>
        </is>
      </c>
      <c r="L2" t="inlineStr"/>
      <c r="M2" t="inlineStr">
        <is>
          <t>2A⁰, 2B⁰, 3A⁰, 3B⁰, 4A⁰, 5A⁰, 5B⁰, 5C⁰, 7A⁰, 7B⁰, 9F⁰, 11A⁰, 13A⁰, 11A¹, 11C¹, 17A¹, 19A¹, 19A², 23A², 29A², 31A², 37A², 13A³, 13B³, 13C³, 41A³, 43A³, 17A⁴, 17B⁴, 47A⁴, 53A⁴, 61A⁴, 59A⁵, 67A⁵, 73A⁵, 17A⁶, 71A⁶, 79A⁶, 17A⁷, 83A⁷, 89A⁷, 97A⁷, 19A⁸, 101A⁸, 103A⁸, 109A⁸, 19A⁹, 107A⁹, 113A⁹, 127A¹⁰, 29A¹¹, 29B¹¹, 131A¹¹, 137A¹¹, 139A¹¹, 149A¹², 151A¹², 157A¹², 23A¹³, 23B¹³, 163A¹³, 31A¹⁴, 167A¹⁴, 173A¹⁴, 181A¹⁴, 23A¹⁵, 179A¹⁵, 193A¹⁵, 191A¹⁶, 197A¹⁶, 199A¹⁶, 211A¹⁷, 223A¹⁸, 229A¹⁸, 227A¹⁹, 233A¹⁹, 241A¹⁹, 239A²⁰, 251A²¹, 257A²¹, 263A²², 269A²², 271A²², 277A²², 281A²³, 283A²³, 29A²⁴, 293A²⁴</t>
        </is>
      </c>
      <c r="N2" t="inlineStr"/>
      <c r="O2" t="inlineStr">
        <is>
          <t>36K⁴, 24E¹, 45A²⁰, 16F⁵, 198B²², 24L¹¹, 114A²², 36L⁸, 42F⁷, 14D², 24M¹⁹, 48BK¹⁹, 84H¹⁹, 42F¹⁴, 56G²⁴, 15A⁹, 56H¹², 30P⁷, 88A⁹, 64H¹³, 30L⁵, 48AT¹⁹, 44A¹⁷, 84E²³, 126A²², 54H²², 176F¹⁹, 33A¹⁸, 56C⁷, 204B²³, 96S¹⁹, 40E⁹, 60AE¹³, 75B⁹, 60B¹⁸, 28E⁹, 72L¹⁷, 48AM¹⁷, 42B⁸, 18H⁷, 264C²⁴, 51A³, 30P¹³, 136B¹⁵, 48A⁰, 36H¹⁶, 60G⁷, 210B¹³, 15I³, 56F²¹, 48CD²¹, 96AS¹⁹, 102C²³, 84D²⁰, 50E⁵, 52A³, 20G¹, 126C¹², 132A¹², 312C²³, 90D¹², 36D¹⁹, 120B¹⁸, 287A²³, 108C¹¹, 60H⁹, 20I³, 126E²¹, 35B¹⁹, 16D⁹, 91A¹³, 126J²³, 90G¹⁵, 89A¹³, 30B¹⁰, 87A¹⁴, 66B¹⁷, 28D⁴, 40P⁹, 78A¹¹, 48AF²¹, 36K²², 48BR¹⁷, 16B¹⁰, 241A¹⁹, 24X¹³, 13B⁰, 48BV²¹, 36F¹², 40T¹³, 40C¹⁶, 45F⁹, 60R¹¹, 84E¹⁸, 24N⁷, 56J²², 180A²², 63C¹⁸, 102A²¹, 11A⁰, 18D⁶, 84I²³, 88C⁸, 72X²¹, 64J⁷, 42D²³, 24Q⁵, 119A¹¹, 54A⁸, 77A⁶, 96AF²⁰, 60B²⁴, 32C²³, 30J³, 48AF⁹, 117A²¹, 110A¹¹, 225D²⁰, 70B¹⁹, 8J¹, 291A²², 180G²⁰, 48F⁶, 20B¹³, 84G¹⁸, 75A⁵, 130A¹¹, 24AP¹⁷, 48AC¹⁷, 45D⁹, 126A⁶, 50A²³, 50E⁶, 79A⁶, 33A¹⁰, 124A¹⁵, 179A¹⁵, 234B²³, 45C³, 140A¹⁸, 48CO¹⁷, 15D³, 252G²⁴, 40C¹⁷, 50B²⁴, 112D²¹, 8B², 111A¹¹, 8E⁰, 36B⁵, 60Z¹⁵, 14F⁵, 96F²¹, 16N³, 18P⁴, 28E¹⁷, 88A¹¹, 120C¹⁹, 91B¹³, 48P¹⁵, 36K¹⁹, 24E⁹, 80G⁹, 37A², 112J¹⁵, 336A²⁴, 20C²¹, 156E¹⁹, 66D⁶, 35B¹³, 156B¹¹, 104B²¹, 60O⁷, 18B¹¹, 84C⁹, 104E¹³, 16H⁰, 125B¹², 90I¹⁵, 154C¹², 34B¹⁹, 80H¹⁹, 210A²¹, 30A²³, 35D¹³, 117A¹³, 48F²³, 315A²³, 22A¹⁰, 192A¹⁹, 24V¹⁷, 56B¹³, 48B¹³, 112L²⁴, 10A⁷, 152A¹⁹, 24B¹³, 45N¹³, 72N²¹, 72F⁹, 9B⁰, 26B², 126D¹³, 72D¹⁹, 54J¹⁶, 96D¹⁸, 52F²¹, 180J²³, 30K⁵, 24I⁵, 234A¹⁹, 130A¹⁶, 96Y¹⁷, 60U¹⁷, 60N¹⁹, 180M²³, 202A¹⁶, 24H⁷, 80D¹⁹, 132A²⁰, 27A², 18M¹⁰, 36N¹⁰, 14B³, 63E¹⁷, 34C³, 54A⁶, 56U²³, 144B¹³, 48C¹⁶, 75B¹³, 96U²¹, 180D¹³, 16K⁹, 32C³, 96E¹⁵, 24L²¹, 80H¹⁷, 36H⁶, 44A⁶, 84C¹¹, 48O²¹, 60B¹⁷, 56A¹⁸, 144J¹³, 48H¹⁸, 42H⁵, 96S²³, 201A¹⁷, 240A¹⁹, 24K⁶, 24O¹³, 205A¹⁹, 28G¹¹, 110B¹¹, 63A²⁰, 32P²¹, 66A²³, 25A⁶, 9J⁰, 186A¹⁴, 54I¹³, 32C¹¹, 264B²⁴, 112F¹⁴, 184A²⁰, 144H²², 120Q¹⁹, 30B¹², 54N¹³, 40W¹⁵, 55A⁵, 48V⁸, 40A¹⁰, 144H¹⁶, 75D¹⁹, 28J⁶, 10C³, 108A¹⁰, 90D¹⁹, 18O⁷, 21C⁶, 120G²³, 314A²⁴, 105B²¹, 54F²², 72E¹⁸, 144E¹⁰, 36D⁴, 34A⁵, 42E⁹, 132C²³, 120J²¹, 152A²³, 80C⁸, 55A⁷, 36E⁸, 96X²¹, 208C²³, 42G¹⁶, 140A¹⁹, 126C¹⁸, 42F⁴, 48AG¹³, 22A⁷, 18C¹⁶, 48AP¹⁹, 140D²¹, 60R²¹, 70E¹⁹, 133A²¹, 78B⁷, 106A¹⁷, 36R⁴, 28I⁵, 72K¹⁷, 48AM⁹, 96I²¹, 25B², 55A¹³, 140C¹⁹, 9A², 48L⁸, 189A¹⁷, 60C⁸, 178A²¹, 48F²⁰, 84E⁹, 191A¹⁶, 45M¹³, 140I¹⁹, 50D¹⁶, 26E¹⁰, 108C¹⁷, 40AE¹⁵, 19A¹⁴, 21A⁹, 30B²¹, 30E¹⁰, 36L¹³, 26C⁴, 92A⁸, 306B²³, 18K⁴, 84B⁴, 168L²³, 35C⁹, 56L²³, 27D¹⁶, 8A², 45C¹¹, 16I⁵, 175A¹⁹, 70D²¹, 72N²², 20O⁷, 60C¹², 160A¹⁷, 48AP²¹, 48AF¹⁵, 30A¹⁷, 24C¹⁷, 140A¹⁷, 24AK⁷, 96A²¹, 45D⁶, 43A³, 84C¹⁹, 36H¹⁷, 154A⁹, 32M⁷, 18A¹⁸, 48BT¹⁷, 25A⁴, 144M²¹, 14A¹¹, 120C¹⁵, 24AE⁷, 72F¹⁹, 136G¹⁵, 14F³, 126J¹⁸, 12B¹, 126K²¹, 35C⁶, 55A¹¹, 52B³, 80C²², 48A⁵, 40G²³, 16A⁰, 45E¹³, 75F⁹, 126T²¹, 40D⁸, 48W⁸, 230B²³, 26A⁰, 204A²³, 63A¹², 80B¹⁵, 240A²⁴, 20C⁹, 96AC²³, 70H²¹, 200B¹⁹, 80M⁹, 232A¹⁹, 24M⁵, 72D⁶, 63B¹⁹, 24T¹⁷, 40Q⁹, 114A¹⁴, 180I²¹, 40N⁵, 38A¹¹, 39B¹⁰, 168C¹⁶, 30E⁶, 20E⁴, 63O¹⁹, 112H¹⁵, 36L¹⁷, 98A¹⁵, 36F²¹, 32J⁷, 168E²⁰, 24AB¹³, 114A¹¹, 120M²³, 61A¹², 198A¹⁸, 40I¹⁷, 200B²³, 266B²³, 8G⁰, 66A⁹, 57A¹⁷, 26B¹⁰, 251A²¹, 68A¹⁵, 189A²², 222B²³, 13A², 36O⁸, 72W¹⁵, 128E¹³, 51B⁵, 15C⁹, 40B²⁴, 72B⁴, 112D¹³, 22B¹⁰, 294A²³, 48BB¹⁹, 36J¹¹, 16C⁷, 85A¹⁹, 54R¹³, 56A²⁴, 48B¹⁰, 100D¹², 96A¹², 80AH¹⁷, 100E¹⁴, 20B¹⁹, 24L¹³, 45B³, 189D¹⁹, 100J⁹, 63D¹⁷, 20A⁷, 48E²¹, 198E¹⁸, 96AE²⁰, 70C⁷, 224A²⁴, 32S¹³, 30E¹⁵, 32D²³, 24B⁷, 224C²⁴, 20C¹, 90J²¹, 91A¹², 225A²⁰, 48AJ⁹, 48A⁷, 48N⁹, 74B¹⁶, 13C³, 176A¹¹, 58A⁵, 63C⁹, 96G¹¹, 14D¹, 20B¹, 104F²³, 36L²², 96E¹³, 100B²¹, 84A⁸, 80L⁹, 250A²⁴, 160J¹⁹, 18N², 84B¹⁵, 128B¹⁷, 176D¹⁹, 42A¹³, 18E¹³, 24AA⁹, 48S¹³, 96AK¹⁹, 18G¹, 66B²⁴, 36J¹⁹, 84D⁸, 56E²³, 42C¹³, 72A⁶, 216C²², 96L¹⁹, 102D²³, 24A⁸, 18B⁰, 18E¹⁰, 45G⁵, 18H¹, 120C²¹, 48B¹⁸, 108A¹⁹, 70D¹¹, 15A⁷, 44B⁵, 24U¹³, 144A¹³, 140D²³, 48AB²¹, 36D⁸, 48G¹⁰, 56L²¹, 180B²², 26A¹⁰, 48S¹⁷, 17A¹⁵, 72G¹⁴, 96AY¹⁹, 48R¹³, 24E³, 27F⁷, 75D¹², 20D¹³, 9A⁰, 40K⁷, 60AA¹³, 24K⁴, 28B¹⁹, 42D⁵, 48BQ²¹, 104P²³, 20Q³, 220B²³, 136B¹⁷, 231B¹³, 33C³, 32G⁷, 20E¹, 182A¹⁵, 75B¹⁴, 70B⁸, 64F⁹, 28C⁵, 70B⁵, 80N⁹, 24M³, 48A¹⁶, 192J²³, 72C²², 45D⁷, 84E¹⁰, 40E¹¹, 63A⁷, 35C¹³, 135E¹³, 48C⁶, 144E²⁰, 24M⁴, 48G²¹, 32P¹³, 9I⁰, 190A¹⁹, 88B⁵, 16D⁷, 80O¹⁵, 96I¹¹, 35A³, 176C¹⁹, 168A¹⁶, 119A¹⁹, 21B¹¹, 96A⁹, 12F¹, 90B⁷, 96K¹⁹, 80AD¹⁷, 63B²¹, 270B²⁴, 60A⁹, 60B¹⁹, 40J⁹, 72N¹⁶, 120E¹⁸, 48AD⁸, 21F¹, 8H⁰, 168D²², 72I⁸, 18B², 40H⁵, 114C¹⁰, 140H¹⁹, 90F¹⁵, 96F¹¹, 132D¹⁵, 48L¹¹, 35B⁴, 32F²³, 63D¹⁹, 72H²², 73A⁵, 171C¹⁷, 24AB³, 75A⁶, 24L⁴, 90H¹⁷, 36R¹³, 24P¹⁹, 173A¹⁴, 100A⁶, 78E¹⁹, 60J⁹, 29A², 35D⁶, 63B⁶, 153A¹⁷, 72C¹⁹, 180K²³, 114A¹⁷, 30A⁴, 94A⁸, 48R²¹, 10D¹, 20H¹, 30O⁵, 39A²³, 100F¹³, 104O²³, 60A³, 105D¹⁴, 35B⁹, 48D²², 279A²⁴, 42B²³, 36S¹⁹, 80E¹⁸, 70I¹⁷, 35D¹⁴, 105D²¹, 175D¹⁹, 60Q¹¹, 18B⁸, 65A⁵, 200J¹⁹, 84A¹¹, 24AC¹⁷, 180H²¹, 5G⁰, 32F¹³, 12G¹, 36J⁴, 78B²¹, 90L¹⁷, 23B¹³, 144A²³, 63F⁶, 27F¹⁹, 54B⁶, 48K¹⁹, 253A²³, 66A¹⁵, 150A¹⁴, 104E¹¹, 48CJ¹⁷, 24Q¹⁷, 80M¹⁵, 64A²², 37A¹⁰, 176A²², 192E²¹, 42G¹², 48CI¹⁷, 24D⁹, 50E²¹, 126I¹⁷, 24H²¹, 48BG²¹, 48AF¹⁷, 192D¹⁹, 112B¹¹, 36C⁶, 72D⁸, 24Q¹⁹, 24Y³, 64A⁹, 50C¹³, 28B¹¹, 22B²¹, 126C¹³, 44A¹⁰, 84F¹⁸, 112B²¹, 48BX²¹, 20H¹⁵, 40S⁹, 298A²⁴, 45A⁶, 42H⁷, 48X⁸, 41B¹¹, 210D¹⁷, 10A³, 72G²², 55A¹⁰, 28B¹⁴, 36G¹⁰, 20K³, 25C², 256B¹⁹, 80A¹⁶, 63E¹¹, 72W¹³, 30B², 124A⁸, 60O²³, 32T¹³, 80AJ¹⁷, 136F¹⁵, 8G¹, 76A¹⁰, 160B¹⁹, 3A⁰, 40A⁵, 112A²³, 146A¹¹, 112A¹⁴, 20C², 63B⁸, 40B²¹, 24C⁴, 96I¹³, 24Z³, 30A⁷, 66A¹⁶, 120H¹⁹, 48X¹⁹, 192C¹⁹, 6F¹, 24O⁵, 126B¹⁷, 108A⁴, 80C²³, 204E²³, 80G⁷, 72A¹⁷, 14A¹³, 257A²¹, 225A¹⁹, 144D²², 36H¹⁹, 80I¹⁷, 48X¹⁷, 212A²⁴, 160K¹⁷, 40G¹³, 120F²¹, 60Q⁷, 60E¹⁶, 152A¹⁸, 126B⁸, 24J², 160B²³, 10G¹, 64Q¹³, 40G⁵, 56M²¹, 24A², 176B¹⁶, 80D⁹, 96AE¹⁹, 58B¹², 102D²¹, 66B²¹, 24I¹⁷, 60Q²³, 224F²⁴, 270A²⁴, 168A¹⁴, 120B²³, 50B⁹, 21B¹, 156B²³, 30J⁹, 50B¹², 128A⁹, 56D²², 64D⁷, 50C⁹, 51A¹³, 16R³, 56P¹¹, 18O⁴, 70A¹¹, 150C¹², 72K¹⁹, 112F²³, 48AI⁷, 160G¹⁷, 72A¹⁵, 28A¹⁴, 84A¹⁰, 60D⁸, 27A⁶, 36F²², 24N¹⁵, 16G³, 84F¹⁹, 206A¹⁶, 9E¹, 101A¹⁶, 40B¹⁰, 56G⁶, 36P⁹, 40F²¹, 150I¹⁹, 42B¹¹, 20A⁰, 44A²¹, 96P²³, 8C¹, 40W¹³, 90G⁹, 54B¹³, 240A¹⁵, 80K¹⁵, 48O⁹, 80E¹³, 30A¹⁴, 184B²², 48A⁸, 48AW²¹, 18A⁷, 45C²³, 56I¹², 42G¹⁵, 252E²⁴, 63E⁶, 28J²¹, 30B⁷, 100M¹⁹, 114B¹⁹, 105A¹⁰, 336H²⁴, 63B¹⁴, 26B⁵, 60A¹⁰, 174A¹⁴, 72E⁶, 48BZ²¹, 72K¹⁶, 36K⁶, 28F¹⁶, 64S¹³, 30A⁶, 105B¹¹, 105B¹³, 96V¹⁹, 80K⁷, 20B¹⁰, 304A²⁴, 20D³, 90B¹², 20D⁹, 108B¹³, 50D¹³, 208G²³, 24K⁵, 75D¹⁴, 60B⁷, 24H¹⁷, 30Q¹³, 72B²², 42D¹⁶, 180B¹⁸, 72K²¹, 22C¹⁷, 125A¹⁰, 18C⁶, 72O¹⁵, 150C¹⁹, 24AF¹⁷, 60B¹⁰, 77B¹⁹, 60F⁷, 60Y¹⁵, 50B¹⁹, 49A¹, 24W³, 42C⁸, 88B²⁴, 72B¹¹, 20B¹⁷, 48AB⁸, 48I⁷, 56B¹⁴, 24AA⁷, 24N⁵, 20J⁵, 38B²², 56O¹³, 96C¹⁶, 112F¹⁵, 24J⁷, 112R²³, 21A⁴, 54B¹⁴, 8E¹, 100A²⁴, 48AQ¹⁹, 151A¹², 30D¹, 48A²², 245A²¹, 192A¹⁸, 27D⁴, 40I¹⁵, 120O²³, 140A¹⁵, 10C⁰, 30B¹⁶, 50E¹³, 40AR¹⁷, 147A²¹, 48AR¹⁹, 84F¹⁵, 30L³, 72H¹⁰, 80B²², 70H¹⁴, 20C¹¹, 16A¹³, 100J¹³, 16O³, 80K⁹, 54D¹¹, 231A²², 128D²¹, 144B¹⁴, 74A⁴, 24W⁹, 135B¹³, 32O⁹, 66C²¹, 186B¹⁹, 105A⁷, 81B¹⁹, 222B¹⁹, 80P¹⁵, 20A²², 90F²², 80N¹⁹, 30C¹¹, 159A¹⁷, 9D⁰, 48H⁹, 48BA²¹, 112I²⁴, 28I¹¹, 36Q⁴, 40H²³, 60U¹³, 40F⁵, 117A¹¹, 40Y¹⁵, 32A²², 176D²³, 84C¹⁷, 168A¹², 60B²², 63I¹⁷, 20A¹, 48CP²¹, 200F¹⁹, 96H¹⁷, 32X²¹, 60F¹⁸, 96E¹¹, 160Q²¹, 108B¹⁰, 96O²¹, 25B⁶, 14F¹, 54T¹³, 56C¹³, 60E⁷, 126C¹⁵, 48J³, 36E²², 64F¹³, 150J¹⁵, 42F¹², 113A⁹, 48AO⁹, 112K²⁴, 156D¹⁹, 90D¹⁷, 105D¹¹, 15C⁰, 80J⁹, 135A²¹, 36E¹⁰, 17A⁷, 140C²⁰, 48H¹⁵, 108A²³, 192L²¹, 84L²⁰, 96BM²¹, 174B¹⁵, 36D⁶, 108A¹³, 64F⁷, 156A¹¹, 42J¹¹, 48BV¹⁷, 72K¹⁰, 84A²³, 48BN¹⁹, 4A⁰, 126C²⁴, 40B³, 25C¹⁶, 80V¹⁵, 44A⁷, 96AS²¹, 12E⁰, 277A²², 156A¹⁵, 36H¹⁰, 13A⁷, 48A¹⁸, 64Q²¹, 105E¹⁴, 96A¹⁸, 19A⁷, 48O⁸, 144B¹⁰, 70F²¹, 84K²², 60AE¹⁵, 28D¹³, 60D¹⁸, 112A¹⁶, 112Q²⁴, 100C¹⁷, 36I⁶, 48Z¹⁹, 60A⁵, 72L¹⁴, 24K¹⁵, 48AG¹⁷, 189A²⁰, 24G⁷, 34D⁵, 96AJ²³, 198C²¹, 54D¹⁰, 30O¹³, 56L²⁴, 33C²¹, 48CH¹⁷, 48B³, 120A²⁰, 48I¹¹, 12H¹, 108C¹⁶, 10D³, 48K¹¹, 31A⁶, 142A¹⁷, 32C⁷, 96Y¹⁹, 90B¹¹, 96M¹⁹, 48AZ¹⁹, 63G¹⁷, 144I¹³, 143A¹⁰, 35A¹⁶, 56A²¹, 69A⁶, 40M⁷, 28C¹², 90K¹⁹, 74A¹⁶, 28A¹³, 72V¹⁵, 21D², 40AP¹⁷, 60D⁶, 48U¹⁵, 48BE²¹, 180A¹⁸, 30B¹⁷, 54E¹⁰, 21C², 283A²³, 5F⁰, 240A²¹, 36K⁹, 40A¹⁹, 130B²³, 96AE²¹, 48P¹⁹, 12H², 105A¹³, 12D⁴, 27E⁷, 81A¹⁰, 105A¹¹, 72H¹⁶, 80V¹⁹, 36A¹⁹, 32L⁹, 55A²¹, 36D³, 72S¹³, 120D²³, 63F¹⁸, 48T⁹, 80P²¹, 30F¹², 180A²⁰, 24O⁷, 120J²³, 18B⁶, 168A²³, 40AB¹⁵, 60F¹¹, 78C²³, 16C¹⁰, 252A²³, 164C¹⁹, 35A¹⁸, 80BE¹⁷, 125A²⁰, 96AR²¹, 96AD¹⁹, 51A⁷, 126B¹¹, 102A¹¹, 95A¹⁷, 150C²³, 45B¹⁵, 96AA¹⁹, 36B²⁰, 56I²¹, 84G¹³, 220B¹⁹, 116A¹⁷, 252B²³, 75A¹³, 72O²¹, 30F¹⁰, 90E⁸, 27B²², 80D¹¹, 192D²¹, 36B¹⁷, 108C²², 90D²¹, 96AO²¹, 90I²⁴, 48M¹⁸, 72K¹⁵, 96R²⁰, 32A¹⁰, 83A⁷, 144F²², 96A¹⁹, 16C⁶, 48D⁴, 126E¹⁵, 36C¹⁷, 52H¹¹, 16C⁹, 28B⁹, 54T¹⁶, 80AG²¹, 36C²⁰, 80AT¹⁷, 120B⁹, 168B²¹, 36D²³, 168Q²³, 48T¹⁵, 87A¹², 24B⁰, 120Q²³, 200C¹⁹, 36H²², 72E²³, 24Y¹⁷, 224D²⁴, 55A¹⁹, 96B¹⁹, 70B¹⁷, 40B⁸, 197A¹⁶, 60M¹¹, 40AS¹⁷, 80T¹⁵, 112A¹², 45I¹⁹, 130B²¹, 32B¹¹, 42A⁸, 154B⁹, 135A¹⁷, 144A²⁴, 30C⁷, 176B²³, 135A¹⁵, 96AX²¹, 14A², 20K⁷, 180E¹³, 24R¹⁹, 63K¹⁷, 36Q¹³, 60T¹³, 198A²², 268A²⁰, 60C⁷, 60K²³, 12I¹, 60G¹⁷, 104B²³, 56B¹², 60F¹⁶, 56L¹¹, 120E⁹, 208A¹⁵, 144D¹⁴, 72C¹⁵, 48CP¹⁷, 70D¹⁸, 96B⁷, 80D¹⁷, 20B⁸, 56A²³, 48F¹⁷, 22A¹⁹, 60G²¹, 84B⁷, 80F¹³, 168R²³, 52E²³, 63A¹¹, 21E⁵, 108B²⁰, 38D²², 63N¹⁹, 48AE⁷, 42C⁷, 48AA⁷, 24I¹³, 308A²¹, 18F¹⁰, 54R¹⁶, 45C⁶, 42F⁵, 56A⁷, 96O²³, 112D¹¹, 96A⁵, 30A¹⁶, 108A⁹, 99A⁵, 9H¹, 25D¹⁶, 234C²³, 90E¹⁰, 32S²¹, 72H¹⁴, 30S⁷, 52B¹³, 48Q¹⁹, 63I²⁴, 27E¹⁶, 117A¹⁹, 60A¹⁵, 96L¹⁷, 112C¹³, 21D⁷, 116A⁹, 132E²³, 17B⁹, 120H¹³, 120G¹⁹, 36E¹¹, 17A²⁰, 35A¹⁰, 48AG⁷, 63C¹⁶, 63F¹¹, 39A¹⁵, 176C²⁰, 42C¹⁵, 99B¹¹, 99C¹⁵, 52A⁵, 32H⁵, 30I²³, 48H⁸, 96Z²⁰, 60H¹⁵, 136B²³, 84B¹⁶, 80BB¹⁷, 140A²¹, 144M²³, 40M⁹, 50A²¹, 144B²³, 120A¹², 104D²¹, 40D¹⁸, 48BD¹⁹, 54B²¹, 132C¹⁹, 150B¹⁴, 60E¹², 16H⁹, 195A¹⁵, 63A²⁴, 32A¹³, 132D²³, 238A²¹, 120N¹⁷, 66B¹⁹, 56C¹⁷, 102C²¹, 31A¹⁴, 156C¹⁷, 40AK¹⁷, 42A¹⁵, 24B¹⁶, 165A¹⁵, 24N¹¹, 84E⁸, 59A⁵, 208B¹⁵, 48T¹³, 132F¹², 44D⁴, 11D¹, 96Q¹⁵, 16A¹⁷, 96AB¹⁹, 202A²⁴, 112G¹¹, 28D¹⁵, 60S¹³, 112S²³, 90I²², 105C⁶, 60S¹¹, 32A¹, 146A²¹, 36O¹⁰, 96D²³, 85B¹³, 50D¹², 80B¹³, 40G¹⁰, 36G³, 20A², 28E¹⁵, 72J²², 96J²³, 90A⁶, 32C²⁴, 120B¹⁹, 84G⁸, 45B¹⁹, 54B⁴, 42K¹¹, 90A⁵, 128A⁷, 96A¹⁴, 29A²², 96W²⁰, 36K¹⁷, 140C¹¹, 22A⁴, 49A³, 120C¹², 24G⁶, 227A¹⁹, 168E¹⁰, 20A⁴, 16C¹³, 36M¹⁹, 76B¹⁸, 105C²², 112I¹¹, 100O¹⁹, 200A¹⁵, 96Q¹⁹, 72F¹³, 22B⁵, 195B¹⁴, 126D²⁴, 98A²², 80AF²¹, 194B¹⁵, 100D¹⁴, 64H⁷, 180H²⁰, 84F²⁰, 168F²⁴, 48AZ²¹, 21A², 60J¹⁷, 22A⁵, 20R³, 80I²¹, 60K¹⁵, 72P¹¹, 48I³, 96A⁸, 90C⁸, 90C¹², 42B²², 6E¹, 160D¹⁹, 60C¹⁴, 24I⁶, 63I¹⁹, 110C¹⁴, 24D³, 60C⁶, 154B²³, 40H¹⁷, 32A⁹, 24B⁹, 228D²⁰, 28C¹⁶, 96BF¹⁹, 252B²⁴, 85C¹³, 39A¹¹, 175A¹⁴, 112E¹¹, 48C⁹, 50A¹⁸, 168D¹⁶, 80A²³, 42B¹⁸, 12P³, 81A²², 9A¹, 26B⁹, 32D¹³, 104A²³, 48A⁶, 168Q²², 48D²⁰, 8J⁰, 50A⁴, 30P⁹, 144G²⁰, 96AR¹⁹, 64I²¹, 24V³, 21B²¹, 42B¹³, 30F²², 60I¹⁹, 40J⁷, 9C⁰, 171B¹⁹, 50B¹¹, 56M¹¹, 40Q¹⁷, 72H²³, 102D¹⁵, 302A²⁴, 192G²³, 72Q²¹, 96U²⁰, 24H³, 60L²³, 24M¹⁷, 42D⁴, 15D⁵, 24U⁵, 24S⁵, 82A¹¹, 32A⁵, 24AB⁷, 32H⁷, 48U¹⁹, 44A¹⁸, 24T⁴, 36J⁸, 90A⁴, 72O¹¹, 24B¹⁷, 48I⁵, 60X¹³, 88A¹⁵, 170C¹⁵, 10B¹, 90E¹⁴, 12B⁹, 40F¹⁵, 156C¹⁵, 74A¹⁰, 65B¹⁹, 56G¹², 210B²⁴, 84O¹⁷, 32A¹², 48P⁸, 42C⁴, 54A⁵, 96AV¹⁹, 112G²³, 32C⁵, 168H¹⁰, 15C⁵, 108A²⁰, 39B¹⁶, 126C²⁰, 60D¹⁵, 24AE¹⁷, 150G¹⁹, 144B²¹, 40Y⁷, 156A¹⁸, 70A¹³, 32H³, 116B¹³, 24M¹⁵, 175A¹⁵, 21C²¹, 336I²⁴, 19A²⁰, 205A¹⁷, 50C¹⁹, 54B²², 96AH¹⁹, 63E⁹, 48I²¹, 183A¹⁴, 60B⁴, 126C¹⁶, 102B⁹, 36D¹², 115A¹⁹, 56G¹⁴, 48AK¹⁷, 237A¹⁹, 69A¹³, 48W¹³, 96A¹⁵, 36I⁷, 100A¹³, 72A⁷, 56E⁷, 100A¹⁴, 36B¹⁵, 90B¹⁸, 63A¹⁹, 88B²⁰, 80I¹³, 12Q¹, 84F¹³, 105C¹³, 222A¹⁷, 129A¹⁰, 200A¹⁷, 24Q¹³, 56J¹³, 36G⁷, 64I⁷, 10A⁶, 54E⁴, 80R¹⁷, 144N²³, 60AB¹⁵, 60B⁹, 36H¹¹, 94A²², 48CD¹⁷, 84I⁸, 90N²¹, 48H²⁰, 120L¹³, 18H¹⁶, 48P¹⁷, 90A²³, 20A²¹, 66A²⁴, 96Q²¹, 34B¹³, 116B¹⁹, 49C¹⁹, 186A¹⁵, 32C⁶, 102E¹⁷, 56B⁶, 18Q⁴, 54A¹⁰, 96S¹⁵, 2C⁰, 36L¹⁹, 48U⁷, 114B¹¹, 92A¹⁰, 126D²¹, 126A⁷, 19A², 176D²⁰, 30C³, 42B²⁴, 31B⁶, 63A¹⁷, 63D²¹, 75A²², 30B³, 42K²³, 126D¹⁹, 63B²², 48BM¹⁹, 64C¹⁴, 60H¹⁷, 108C¹⁹, 130A¹³, 54G²², 90J²², 126L²³, 213A²³, 23A¹⁵, 84H¹⁸, 72C²⁰, 80B²¹, 60E⁶, 18G¹⁰, 78A², 96K¹⁵, 48AF¹⁹, 219B¹⁷, 35A⁸, 60J²³, 42H¹⁹, 180N²³, 155A¹², 72J¹⁵, 63A¹⁸, 30Q⁵, 48P⁹, 161A¹⁵, 90C⁶, 156F²³, 88A¹², 48D⁸, 33A²², 200C²¹, 156B¹⁶, 48B⁸, 202A¹⁷, 23A¹³, 88C²⁰, 25B¹², 90D¹¹, 60A¹¹, 45B¹⁴, 180B²⁴, 80F²¹, 128A¹⁷, 132B¹⁷, 38B⁴, 96Z²¹, 18G¹³, 30I⁵, 40A¹³, 36I¹¹, 220B²⁰, 36B²³, 16A², 84J²⁰, 105F²¹, 186B¹⁴, 88D¹⁹, 150B²³, 36E⁵, 56D¹¹, 120A¹⁷, 77A⁷, 60Q²¹, 85A¹³, 144B¹⁸, 24AG¹⁷, 144F²¹, 84J¹³, 12O³, 96V¹⁵, 203A¹⁹, 68B⁷, 36I⁴, 24E⁶, 168F²³, 20D¹⁵, 24AM¹⁷, 12C³, 77B¹³, 210A¹², 84D²³, 40G²², 120F¹⁵, 30R⁷, 49B⁹, 40A⁷, 42B², 12A⁷, 60A²⁴, 56K²⁴, 15A², 144X²³, 162E¹⁶, 39B¹³, 96V¹⁷, 24V⁹, 16F³, 40C²⁴, 100B¹⁴, 174A¹⁹, 23A², 80Z¹⁷, 126M²¹, 40D²³, 192C²³, 72M¹⁶, 252D²⁴, 140C¹⁷, 44B⁴, 65B¹⁴, 255A²³, 140B¹¹, 70A¹⁶, 210C¹⁵, 40AM¹⁷, 135B¹¹, 102C¹⁵, 96AG¹⁷, 96B¹⁸, 84A²⁴, 60AG¹⁵, 126F¹², 132B¹⁶, 109A²², 28C⁶, 105B¹⁷, 9D¹, 76A²⁴, 140G²³, 73A¹³, 146B¹¹, 48F¹¹, 105B⁶, 30A¹⁰, 100B¹⁷, 56F⁷, 144D¹⁵, 28F⁴, 100H⁹, 60F⁹, 99B¹⁵, 90K¹¹, 32D²⁴, 144C²⁰, 40V⁷, 210C¹⁷, 180B¹³, 72L¹³, 99A²¹, 39A¹⁸, 126B¹⁹, 45D²³, 96U²³, 35B², 32V²¹, 96L²³, 32L³, 40B¹⁹, 160I¹⁹, 84G²⁰, 80AP¹⁷, 24AE⁹, 24M⁷, 60A¹⁴, 60V¹⁵, 105A¹⁶, 78C⁷, 88B²¹, 24D⁷, 20B¹⁵, 16E², 180F²⁰, 45E¹¹, 130B¹¹, 48AX¹⁹, 48E⁴, 80W¹⁹, 30N⁷, 24L⁹, 64B⁷, 72G¹⁹, 280D²¹, 39B⁵, 80G²¹, 176A²¹, 18E⁶, 14B⁷, 112A⁸, 33B⁸, 24K¹³, 102B¹¹, 144I²³, 240A²³, 156B⁷, 150E¹⁵, 111A¹⁹, 42A¹¹, 90G¹³, 154A¹⁴, 84F¹⁷, 80U²¹, 144N²¹, 21A¹⁶, 80P¹⁷, 182A¹², 140B²⁰, 18B¹³, 160U²¹, 99C⁹, 84E¹³, 177A¹⁹, 72D⁹, 96C¹², 40AN¹⁷, 150B¹², 168O²³, 112P²³, 70D¹⁵, 72E¹¹, 40B¹⁶, 90F¹¹, 56G²², 144I²¹, 200A²¹, 252A¹⁴, 78C²¹, 32G⁵, 100D¹³, 180C¹⁹, 210D¹⁸, 30O⁹, 120O¹⁹, 39A¹⁹, 24AA¹³, 56E¹¹, 40L¹⁷, 132B¹⁹, 75B²⁴, 168I²³, 144K²³, 66A¹¹, 24N⁸, 74A¹⁷, 57A⁵, 40Z⁷, 240B²³, 50B²², 126C¹⁴, 21A¹³, 70D¹⁴, 84Q²¹, 44C²², 18I¹, 14D⁵, 338A²³, 104A¹⁹, 48D⁹, 16J¹, 48W¹⁹, 30F²¹, 9A¹⁰, 36B¹², 36S⁴, 60X¹⁵, 133B¹¹, 32C¹, 95A⁹, 15B¹, 54C⁴, 40A¹¹, 126C¹¹, 45A³, 264C¹⁸, 72G¹⁶, 55A³, 210D¹⁵, 96AC¹⁹, 16D⁵, 284B²⁴, 72P¹⁶, 78A¹⁸, 135A¹², 20C²², 112X²⁴, 48Q¹⁵, 126I¹³, 24P², 32D¹, 18J², 84I¹⁹, 28D¹², 120H¹⁵, 56H²², 57B¹³, 198A¹⁷, 32F¹¹, 165A¹⁰, 68D¹⁵, 210I²³, 70A¹⁴, 168A¹⁹, 157A²⁴, 40J²², 144A¹⁵, 80B¹¹, 32Q¹³, 24J¹³, 32D³, 88A⁵, 30J¹³, 220A¹⁶, 112B¹⁶, 40H¹¹, 56E¹⁰, 72S¹⁶, 96E²⁰, 60C¹⁶, 34B⁹, 64I¹⁴, 216A²⁴, 80O¹⁷, 96AK²³, 150A²⁰, 72E²⁰, 80C¹⁹, 165A¹², 21D⁵, 36L⁷, 96AL²¹, 24F¹, 104H²³, 144B¹⁶, 143A²², 25A¹², 40B¹⁴, 112F²⁴, 60E²¹, 144C²³, 20J⁷, 42K¹⁷, 84G¹⁹, 80AF¹⁷, 85B⁷, 104K²³, 3D⁰, 128E¹⁵, 168B¹⁶, 56F¹⁷, 24G²¹, 176A¹⁶, 126E¹², 96J²⁰, 25F⁴, 28E², 72H¹⁷, 27G⁷, 42H⁴, 48D¹⁵, 336E²⁴, 27E¹⁹, 45B²³, 72F¹⁵, 40U⁹, 120J¹⁵, 36A¹⁸, 42A⁴, 40F¹⁷, 60N⁹, 250A¹⁸, 72N¹², 44B⁸, 245A¹⁹, 16L⁹, 48H¹³, 24Z⁵, 20D⁶, 54H¹⁰, 171D¹⁷, 14G⁵, 60J¹⁵, 64E¹³, 80V¹⁷, 40B¹⁸, 105D²², 63C¹⁷, 172A²¹, 54F¹⁶, 54L¹³, 27D⁷, 32J²¹, 36O⁷, 30E⁹, 40N¹⁵, 48T¹⁹, 42D¹⁹, 48AA¹¹, 60D¹⁶, 80F⁹, 336B²⁴, 210C¹⁸, 168A²¹, 36G⁴, 100E¹⁹, 24P¹³, 100F¹⁹, 63H¹⁹, 120C⁹, 180B¹⁹, 100F⁹, 48BQ¹⁷, 32I¹³, 144G¹⁹, 224B²³, 96B⁸, 24T⁹, 100C²¹, 161A¹⁴, 120P¹⁹, 76A¹⁶, 90K²², 56C⁶, 140C¹⁶, 72I²², 84F¹⁶, 154A²¹, 65A⁸, 48M⁹, 16P³, 54P¹³, 11A², 24O⁹, 40E⁸, 210J²³, 135B¹⁵, 48D¹⁶, 70C⁴, 80A¹⁵, 16H², 80C²¹, 90F¹⁰, 255A²¹, 78A⁹, 46A⁴, 24AO¹⁷, 30D¹⁶, 72P¹⁵, 48AD²¹, 36E⁶, 60B¹⁶, 32G²¹, 28A⁸, 36C¹⁵, 32H¹¹, 48L¹⁵, 168D²¹, 24C⁶, 40AJ¹⁵, 126E¹³, 48BW²¹, 78B¹⁹, 132A¹⁴, 40U¹⁵, 32K⁹, 45D¹⁷, 24X³, 48A¹¹, 30F⁷, 27A¹⁶, 64G²¹, 32B²⁴, 184A²¹, 44B²⁰, 144H²⁰, 269A²², 56B⁵, 20F¹⁵, 90M¹⁵, 28G⁵, 33B³, 120R²³, 48BG¹⁹, 27A⁸, 18B¹⁰, 56A¹⁰, 78D¹¹, 160G²¹, 96I⁹, 36A²², 12A¹³, 30K²³, 56C¹², 78B²³, 75D⁹, 171B¹⁷, 126O²¹, 30H¹³, 16K¹, 40I⁵, 48BU²¹, 36L¹¹, 60R²³, 40C⁷, 264D¹⁸, 45D¹³, 40F⁹, 14B¹³, 18A², 105A¹⁵, 120D¹⁵, 208D²³, 24B¹, 132C¹², 60D¹², 96BD²¹, 134A¹⁰, 286A²³, 100B¹⁵, 13B⁷, 48Y⁹, 147B²¹, 96AL¹⁹, 72C⁸, 178A¹⁵, 30H¹⁷, 56C¹⁴, 72G¹⁷, 192F²¹, 70H¹⁷, 12D⁰, 24E¹⁵, 24AC¹³, 18D¹³, 221A¹⁹, 192B¹⁹, 48H¹⁹, 64P²¹, 160I¹⁷, 48M¹¹, 24P⁴, 84K¹⁶, 32N⁵, 45A⁸, 144D¹⁶, 40V¹⁵, 188B¹⁶, 80K¹⁷, 120B¹¹, 198E²³, 30G³, 64D⁵, 8K⁰, 190A²⁴, 60E⁸, 101A⁸, 132A⁷, 72M²¹, 80B⁸, 48Y²¹, 21D³, 20C¹⁰, 32E¹³, 168B¹⁸, 90C²², 182A¹³, 36M²², 72O¹⁶, 72C¹⁴, 24L⁷, 60B¹², 71A⁶, 48AC⁸, 72M²², 168B²², 23A¹², 74B¹⁷, 108E¹⁷, 97A⁷, 64V¹³, 96I²⁰, 90C¹³, 24AN⁹, 144Y²³, 48BT¹⁹, 48H⁵, 40D⁹, 12P¹, 132D¹², 156H²³, 20F², 40D⁵, 44B¹³, 72H¹⁵, 72AA²¹, 80A⁷, 154A¹⁷, 90E²³, 48AJ²¹, 122A⁹, 80T²¹, 84H¹⁶, 32A², 48A⁴, 160M¹⁹, 64J¹⁵, 185A¹⁴, 40AH¹⁵, 78A¹⁷, 40AI¹⁷, 24Q³, 60E¹⁹, 96I²³, 45A², 12K¹, 168A¹⁸, 25A²⁰, 72I²¹, 152A¹², 80S¹⁹, 60N¹¹, 48D¹⁷, 26A⁹, 24AH⁷, 64B³, 8L⁰, 15A⁵, 84F⁸, 96D¹⁷, 20F⁷, 18C⁷, 42C¹⁰, 81B¹⁶, 39A⁵, 96C¹⁷, 48BN²¹, 15B², 84B⁹, 90B¹⁰, 6K⁰, 171A¹⁷, 144D¹³, 249A²¹, 45B¹⁶, 60AB¹³, 18N⁷, 96G¹⁸, 36J⁷, 18K⁷, 60E¹⁷, 16C³, 18K¹, 189C²¹, 18A¹⁶, 112O²⁴, 20F¹, 15C⁴, 189E¹⁹, 104C²³, 60Y¹³, 96C²², 125B²⁰, 33A¹⁷, 120E¹⁹, 30D⁷, 28A²¹, 16A⁵, 45C¹⁴, 96P²¹, 128D¹⁵, 76A²¹, 36I⁵, 27B⁷, 36J⁵, 42L¹³, 96AI¹⁷, 42B⁵, 84B¹⁴, 72P¹³, 84M¹⁷, 96AG²¹, 90D⁸, 128C¹³, 40C²¹, 36A⁶, 217A¹⁹, 30P⁵, 24M⁸, 150E¹², 40H¹⁵, 16B¹⁷, 48V¹⁵, 70C¹⁴, 30D⁶, 20K⁵, 40J⁵, 42E³, 48AM⁷, 65B⁹, 24R⁵, 32D⁵, 24B⁶, 168E¹⁸, 21A¹, 27A¹⁰, 160C¹⁷, 72G²¹, 170B¹⁷, 63B¹⁰, 40Z¹⁷, 70D¹⁷, 18M⁷, 44B²¹, 72M¹⁷, 90L²¹, 138B¹⁵, 48AD⁷, 28C², 36P²², 55A⁴, 45A¹¹, 72R²¹, 207A²³, 36A¹⁰, 175A¹⁶, 80H⁹, 56D¹², 48C⁸, 65A¹⁹, 48BH¹⁹, 75A¹¹, 70G¹⁹, 180F²³, 34B²⁰, 48BF¹⁷, 70A¹⁰, 90N¹⁵, 40A⁴, 84B¹², 40G⁸, 54B², 42D⁷, 96L⁹, 40T⁷, 24E²¹, 14B⁴, 24X⁷, 12S¹, 48AG⁹, 16E⁷, 153A²¹, 96P¹⁵, 60AA¹⁵, 52A⁶, 26D¹⁰, 168B²⁴, 12A², 24AR¹⁷, 120K²³, 50E⁹, 88A⁸, 57B⁹, 90A¹³, 24S¹⁵, 120L¹⁹, 80N²¹, 72J⁸, 132B²¹, 42E¹⁶, 192N²¹, 8A³, 160E¹⁷, 18E¹⁹, 180J²¹, 96D¹⁹, 96Y²⁰, 40L⁹, 104C¹¹, 108B⁹, 56G⁷, 98A⁷, 16B⁵, 80L¹⁵, 280B²¹, 16L³, 150F¹³, 100B⁹, 100G⁹, 72M¹⁵, 48BU¹⁷, 99A¹⁵, 93A¹⁵, 186B¹⁶, 28C⁹, 42C³, 129A¹³, 24AI⁷, 96H²¹, 66A⁸, 22A⁸, 42Q¹⁹, 68A¹³, 36A⁹, 112H²⁴, 12T¹, 285C²³, 168C¹⁸, 16M⁵, 48BJ¹⁹, 131A¹¹, 36M¹⁵, 90A⁸, 44B²², 18L², 36P¹⁹, 24B², 24U³, 60T²¹, 56J¹¹, 16B², 16B¹³, 128C²¹, 165A²¹, 24H⁵, 174A¹³, 42C¹², 64L¹³, 56N¹¹, 32N⁹, 160P²¹, 160A²¹, 88B¹⁰, 20A⁶, 42F¹³, 281A²³, 72E⁸, 26B¹³, 120M¹⁷, 96BI²¹, 198D²¹, 96AX¹⁹, 28D⁶, 90C¹¹, 29A⁸, 200B²¹, 24Y⁵, 60B⁸, 45D¹⁶, 75D¹⁷, 48BD²¹, 18A⁸, 14D³, 90C¹⁰, 50B⁷, 18D⁷, 24H⁴, 6A⁰, 28F⁹, 16F²¹, 37A⁴, 56G¹³, 72D²³, 120I¹⁷, 35C⁸, 30D⁹, 66A¹⁴, 9A⁴, 96W¹⁹, 48O¹⁵, 30F⁹, 126J¹³, 35A⁵, 77A¹⁰, 154A¹², 80C¹¹, 80S¹⁵, 48F⁸, 24AG⁹, 54G¹³, 96B⁹, 75F¹⁷, 112K²³, 24I³, 168B¹⁰, 48B¹⁶, 72B¹⁷, 15C³, 96AM²¹, 56C¹⁰, 216A¹⁷, 20D¹⁹, 45D²¹, 72E¹⁵, 100H¹⁹, 40E²², 72G⁸, 144G¹⁶, 225A¹⁸, 40N¹³, 156B¹⁹, 48F⁵, 210A¹³, 24H⁹, 42A²⁴, 110A¹⁴, 126B¹⁴, 42B⁹, 30E¹¹, 55A²⁴, 105E²¹, 274A²³, 48S¹⁵, 54C³, 7A³, 126E¹⁷, 80H²¹, 104Q²³, 72M¹³, 54A¹⁵, 60F⁸, 54B²⁴, 192L²³, 70E¹⁴, 49B¹⁹, 108E²², 60P¹⁷, 84L¹⁹, 48AB¹⁹, 48G⁸, 32B⁶, 56D¹⁷, 60C¹⁰, 120A⁹, 25A¹⁴, 49A¹⁹, 48P¹³, 36J¹⁰, 50B¹³, 264A¹⁸, 35B⁷, 272B²³, 132A¹⁵, 32B⁴, 48AH²¹, 48U¹⁷, 160A²⁰, 40P¹⁵, 96W²¹, 42A¹⁰, 24AJ⁹, 18N⁴, 136A¹⁵, 60I¹⁵, 56B²¹, 36F¹⁶, 96S²⁰, 95A¹⁵, 35C¹⁵, 40S¹³, 30J⁵, 28E²¹, 104T²³, 204C²³, 15D⁴, 36N¹⁵, 128H¹⁵, 27C⁴, 32K¹¹, 40K¹¹, 76A¹⁸, 60L¹³, 68B¹⁵, 40J¹¹, 60D¹⁷, 32G¹³, 48Y¹³, 36Q⁹, 8I¹, 48BJ¹⁷, 24Z⁹, 136C¹⁷, 75C¹⁴, 165B¹², 162A¹³, 20D⁵, 64D¹⁷, 160C¹⁵, 126E¹⁴, 24E¹⁶, 56I²², 72A²⁰, 24H¹³, 195A¹⁴, 134A¹⁶, 168C¹⁹, 56P²³, 6G⁰, 36G¹³, 56B¹⁹, 126S²¹, 20A³, 40F⁷, 48BB¹⁷, 84G²², 72B¹⁸, 160B²⁰, 44B¹⁹, 42B¹⁹, 27A²², 150A¹⁵, 40F³, 32R²¹, 72H¹², 136C²¹, 18I⁴, 84D¹⁹, 15H³, 56A³, 74A¹³, 18F², 150A¹¹, 96BC²¹, 40O⁹, 32C², 75E¹⁷, 112A²¹, 96AM¹⁹, 100A¹⁰, 96M¹⁵, 40E²³, 209A¹⁷, 82B⁷, 252C²⁴, 48B⁴, 62A⁴, 30R¹³, 189B¹⁷, 180E²³, 66D²¹, 36M⁸, 48AB⁷, 112D¹⁵, 6D¹, 36O¹⁹, 12A⁰, 231A¹³, 160H¹⁷, 96D¹², 75C⁶, 40H⁸, 72I¹⁵, 48CL²¹, 96G²⁰, 24T⁵, 50E⁴, 36M¹³, 32H⁶, 19A⁸, 88C¹⁰, 30A¹⁵, 42C¹⁹, 32K⁵, 80AM¹⁷, 12J⁰, 20B⁵, 45B¹², 105B⁸, 48L²¹, 144F¹⁶, 70D¹⁹, 112N²⁴, 140A¹¹, 24C¹⁵, 40I¹⁹, 144B²⁰, 68B²¹, 80D¹⁸, 80AD²¹, 305A²⁴, 80AB¹⁷, 48I¹⁰, 36A²¹, 223A¹⁸, 48E¹⁰, 16Q³, 30N⁹, 48CA²¹, 54Q¹³, 84A¹⁹, 48AT¹⁷, 169A²⁴, 48CG¹⁷, 114B²², 48E¹⁶, 250A²¹, 72R¹¹, 24G¹⁷, 7E⁰, 126A¹⁷, 231A²¹, 154B¹⁴, 189B¹⁹, 78E¹³, 208H²³, 48AH¹⁹, 189C²⁰, 96X²⁰, 210B¹⁷, 22A¹⁶, 32F²¹, 90A¹⁴, 126K¹⁷, 12C¹, 140E¹⁹, 200B¹⁷, 36I¹⁹, 84H¹³, 36T¹⁹, 144E¹³, 72I¹⁹, 36B⁴, 140D¹¹, 80D¹⁵, 126I¹², 72G¹⁵, 48I²⁰, 10A¹³, 60D²², 60E¹⁴, 80A⁴, 15B⁷, 72I¹⁷, 80O²¹, 30R⁹, 20A¹², 24B²¹, 72A¹⁶, 90N¹⁷, 32F³, 66A⁴, 24V⁵, 34C¹³, 144L²³, 316A²⁴, 56D⁷, 15G³, 144M²², 278A²², 50A⁷, 18J⁷, 226A¹⁹, 105C¹⁵, 108B²², 24AL⁹, 80E¹¹, 56C¹¹, 26A⁸, 135A¹¹, 75C¹², 80R²¹, 120K¹⁹, 110A⁸, 8K¹, 112O²³, 40M¹⁵, 168I²², 16G⁵, 84A⁴, 70F¹⁷, 24N¹⁹, 32K³, 44A⁵, 48T²¹, 16K², 104L²³, 220D²³, 144L²¹, 85A¹⁵, 16L¹, 144G²¹, 52B⁹, 90A¹⁰, 55B²¹, 120H¹⁷, 75A²⁴, 25E¹⁶, 156A²³, 51A¹⁷, 84K²³, 40C²³, 48J⁵, 60J¹¹, 210E¹⁸, 80N¹⁵, 66A²⁰, 21A⁸, 30K¹⁷, 70A⁴, 34A²², 20B⁶, 28B¹², 148A¹¹, 36B², 60M¹³, 32Y²¹, 42H¹⁶, 192B¹⁸, 168I²⁴, 92B²⁰, 112R²⁴, 45E¹², 24H⁸, 45D¹¹, 56E¹², 45H¹¹, 112F²¹, 72J¹⁴, 72E¹⁴, 102F¹⁷, 84A¹⁶, 192A²¹, 144D²³, 70G¹⁴, 30B¹¹, 56F¹⁵, 168F¹⁸, 24AP⁹, 48C⁵, 180B²⁰, 100A⁹, 54A¹³, 84A²⁰, 63B¹², 48BO¹⁹, 216A²¹, 30I⁷, 48X²¹, 104U²³, 42E¹⁰, 126B¹⁶, 90H²², 160B²¹, 118A¹⁰, 180G²³, 40AC¹⁷, 32K²¹, 96E¹⁷, 144C¹⁶, 40Q¹⁵, 28H¹⁶, 18A⁶, 256A¹⁹, 40I¹¹, 70G¹⁷, 32B¹², 126H¹⁸, 24R⁴, 70A⁸, 28A⁷, 30G⁴, 18B⁵, 48AN⁹, 54A⁴, 162B¹³, 40F¹⁰, 26B²³, 30D⁵, 60B¹³, 48K¹⁸, 40AB¹⁷, 39B²¹, 128F¹⁵, 80J²¹, 210C²³, 140H²³, 36E⁴, 80F²², 54A², 16J³, 96I¹⁹, 210A²⁴, 45E¹⁹, 60AI¹³, 126D²³, 30H¹², 24A⁰, 65B¹², 11A³, 112J²³, 90G²², 96T²⁰, 48H¹⁷, 42E²³, 30A¹⁹, 84I¹⁶, 128B¹³, 72A²², 72A⁵, 90E⁹, 24S¹⁹, 20E¹⁵, 186A²³, 111A¹⁷, 174B¹⁹, 21A⁶, 44D¹⁷, 40F⁸, 32O²¹, 40V⁹, 55B⁵, 40L¹⁹, 100E⁹, 180B²³, 40B⁷, 198A¹⁴, 258B²², 192B²², 120D¹⁶, 40R⁷, 112E¹⁴, 40A¹⁵, 120D¹⁸, 90A²⁴, 90S¹⁷, 48AG²¹, 76A⁹, 75D¹³, 96AD¹⁷, 24G⁴, 57C⁵, 48AO²¹, 10H¹, 63E¹³, 64N¹³, 78B¹³, 104I²³, 48G³, 40I⁷, 48B⁹, 22A¹³, 64G¹⁴, 36H⁷, 84I²⁰, 80E¹⁵, 128A¹¹, 56A¹⁷, 63A², 65A¹⁷, 24A¹, 48BP¹⁹, 104C¹³, 14F², 28C²³, 28B³, 36N²², 105A²¹, 361A²², 56E¹⁶, 144A¹⁷, 64D¹³, 36F¹³, 36D², 96I¹⁵, 18C¹³, 18B¹⁹, 48T⁸, 336D²⁴, 128A¹⁹, 70F¹⁴, 72I¹², 48AE¹³, 70G¹⁶, 80G¹⁹, 96J²¹, 12D³, 18G³, 16A¹⁵, 42D¹², 54K²², 12E³, 48L¹⁷, 108D²¹, 56V²³, 6D⁰, 170A¹⁵, 48V¹⁷, 338A²², 56D³, 63F⁹, 75A¹⁷, 48AK¹⁹, 60W¹⁵, 40D¹⁶, 54E¹⁶, 80I¹⁵, 250A²², 48N¹⁷, 126U²¹, 90R¹⁷, 72Z¹⁵, 64P¹³, 42D¹⁵, 40S⁷, 42J¹³, 112M²⁴, 60I¹⁷, 81C¹⁹, 168C¹⁰, 36E¹⁵, 84E²⁴, 120M¹⁵, 56F¹¹, 48BP¹⁷, 32A⁰, 91A⁷, 108B²¹, 24E¹⁷, 72T¹⁷, 286A²⁰, 96J¹⁷, 156D²³, 72E¹³, 20H⁵, 42C²², 24H¹¹, 16N⁵, 56C²², 168P²², 40AF¹⁷, 24P⁸, 96E⁸, 112B¹³, 40H¹⁹, 18E³, 15D¹, 24K¹¹, 40AA⁷, 62A¹⁹, 144C²⁴, 158A¹², 90G¹¹, 16E⁵, 28D¹⁷, 72F⁸, 27B¹⁶, 168K²³, 80G¹³, 225B²⁰, 36L⁴, 67A¹⁵, 282A²⁴, 56H²¹, 40R¹³, 75A¹², 168E¹⁶, 135C¹³, 56B²³, 80G¹⁷, 40J¹⁷, 189B²⁰, 40X¹⁷, 42D²⁴, 264A²⁴, 21C⁷, 24L¹⁵, 96AU²¹, 30E¹⁷, 168M²³, 30E²¹, 120G¹⁵, 120K¹³, 48AE²¹, 63C⁶, 36P¹⁰, 90L²², 48CF²¹, 12M³, 104B¹³, 84G¹⁵, 70F¹⁸, 96W¹⁵, 32U¹³, 90B⁹, 90O²¹, 90E²¹, 8A¹, 48BW¹⁷, 126D¹², 45A⁵, 14C⁹, 48M¹⁷, 64B¹⁸, 135D¹³, 48I¹⁹, 104E²³, 48E⁶, 56A⁹, 258B²⁰, 34A¹³, 120E²³, 18E⁰, 67A⁵, 44C¹⁷, 88A¹⁷, 40O¹³, 48J⁷, 22A¹⁷, 112F¹¹, 30K³, 54B⁷, 168G²⁴, 148A²¹, 63G¹⁹, 20E², 30A¹¹, 72P¹⁷, 60AF¹⁵, 40F¹⁹, 36I¹⁰, 26C⁵, 32M³, 56F²³, 30E²³, 90A⁹, 50A¹⁴, 66E⁶, 4G⁰, 102D¹⁷, 22B²², 72F¹⁶, 72I¹⁰, 126A²³, 78A⁸, 42I¹³, 210A¹⁸, 80A⁹, 24N⁴, 60U¹⁵, 30C⁹, 63H²⁴, 30H⁹, 80AG¹⁷, 40Q¹³, 62A¹⁴, 150E¹³, 48X⁷, 250B²⁴, 63C²¹, 48AD¹⁹, 24U¹⁷, 28A⁰, 105D¹⁵, 90C¹⁴, 140A²², 40O¹⁷, 234B¹⁹, 160M¹⁷, 15B⁹, 24A¹³, 15A²³, 16A⁶, 40C¹⁵, 45A¹⁶, 28C²¹, 24C³, 135C¹⁷, 96Q¹⁷, 36C⁵, 33C¹⁷, 96A¹⁶, 64A¹⁷, 96N¹⁵, 48A¹³, 48AF¹³, 30C¹², 84N²², 84M²⁰, 18P⁷, 132A²², 22B⁶, 312D²³, 60L¹¹, 96AH²³, 96AD²³, 56E⁶, 180E²¹, 66B⁷, 160A¹⁶, 24AF⁹, 120I¹⁵, 72A²⁴, 266B²², 238B²³, 80AA²¹, 96AI²¹, 36T¹⁰, 48Y¹⁷, 30H¹¹, 48S¹⁹, 16J², 72A⁴, 38A⁷, 48AH⁹, 15A¹⁷, 39A¹⁰, 236A²⁰, 98A¹⁹, 24P¹⁷, 24K¹⁹, 90D⁹, 26B⁴, 117A¹⁶, 30G¹⁰, 156A⁷, 96J¹¹, 48L³, 96N¹⁷, 64L¹⁵, 153C²³, 14A⁴, 250B²², 30H¹⁰, 112L¹⁵, 21D¹¹, 123A⁹, 60N¹³, 24H¹⁹, 180C¹³, 36D¹³, 14G¹, 125A¹⁶, 14A⁷, 44B¹⁰, 24J³, 36D¹⁶, 336C²⁴, 15C¹, 84N²¹, 64B¹⁵, 30R⁵, 160B¹⁵, 32E²³, 48E³, 84C⁸, 50G¹², 32E²¹, 72A¹⁸, 192O²¹, 126I²¹, 70C¹⁶, 36A⁴, 48N¹⁸, 36G¹², 48AS¹⁷, 81A¹⁶, 24O⁴, 21D⁴, 63B¹⁸, 120E¹⁷, 32D¹⁹, 96F⁹, 48CC²¹, 4C⁰, 40X⁷, 27B³, 72Q¹⁷, 24D¹³, 76C¹⁸, 30J⁷, 12A¹¹, 126H²¹, 90D¹⁵, 24Q⁹, 96Z¹⁹, 44A¹⁹, 72D¹⁸, 70B⁴, 100A²¹, 96B¹¹, 20D¹⁰, 60F²¹, 49A¹², 80D⁸, 11B¹, 6F⁰, 52E²¹, 36G⁹, 174A²⁰, 40A²⁴, 60R¹⁵, 45D¹², 80A¹³, 16M³, 240B¹⁹, 32I³, 40M²¹, 66A⁷, 85A⁷, 231B²³, 40O¹⁵, 96O¹⁹, 25A¹⁰, 42I¹⁵, 60A¹⁹, 24F⁷, 90I¹³, 70G¹⁸, 168B¹⁹, 48AB¹³, 111A⁸, 60P⁷, 74A⁸, 14A¹⁵, 36O¹³, 168B²⁰, 80AA¹⁷, 100A²³, 88G¹⁹, 30M⁹, 73A⁹, 120J¹⁷, 91A¹⁸, 234A¹⁶, 96AG²³, 60AC¹⁵, 28E²³, 29A¹¹, 84K²¹, 90H¹⁵, 90D⁷, 48AN⁷, 48A²¹, 64C⁷, 64D¹⁴, 48J²¹, 80Q¹⁵, 192F¹⁹, 126C²¹, 16I⁹, 42H¹⁷, 21B³, 138A¹⁷, 80P⁹, 72A¹⁹, 8N⁰, 48AA²¹, 48F¹⁵, 40K⁹, 296B²³, 88C¹⁹, 96BF²¹, 80H⁷, 42A¹⁷, 64G¹³, 58A¹³, 48Y¹⁵, 62A¹², 198A²⁴, 36K¹⁰, 72T²¹, 20C⁸, 84L¹⁷, 42A¹⁴, 43A⁹, 120A¹⁴, 30E⁵, 26C⁹, 42H¹⁰, 80E²¹, 34B⁵, 168H²³, 82A⁷, 63A²³, 150G¹⁵, 66A⁶, 30C¹, 48W¹⁵, 32A⁷, 156C²³, 40G¹¹, 34A⁷, 42G⁷, 16A³, 80A²⁴, 90A¹⁸, 72A¹⁴, 45B²², 140B²¹, 48S²¹, 270A²², 180A²⁴, 24M⁹, 48AE⁸, 32Q³, 35D⁹, 30C¹³, 70A²⁴, 84K²⁰, 160L¹⁷, 27D¹⁹, 180C²⁰, 98B²², 36U¹³, 50B⁵, 24N³, 24G¹¹, 80O⁹, 72J¹⁷, 56L¹³, 72D⁷, 28C⁷, 156F¹⁹, 122A¹⁴, 56F²⁴, 292A²³, 24P⁷, 36L⁵, 14A¹⁷, 50A²², 72O¹⁷, 168G¹⁶, 88A²⁰, 99A¹⁹, 60AD¹³, 48J⁹, 24A⁴, 222C¹⁷, 126B²⁰, 60M⁷, 24O¹⁷, 56A¹⁵, 44C¹⁹, 180C¹⁶, 116A¹², 36B¹⁶, 25A², 60K¹¹, 48B¹⁹, 42L⁷, 112A¹⁰, 45C¹⁰, 42F¹⁰, 18M⁴, 18A¹⁹, 91A²³, 27A³, 247A²¹, 120B¹², 72F²¹, 20D⁷, 64C⁹, 24T¹⁵, 192P²¹, 40E¹⁵, 47A⁴, 126G¹³, 120D¹¹, 108B¹⁷, 100C¹³, 18J¹⁰, 92A²², 70E¹⁶, 26C¹⁰, 120B²¹, 48AL⁷, 18I¹⁰, 36B²², 10J¹, 230A²⁰, 243A²², 65A¹³, 48X⁹, 60M⁹, 54S¹³, 17A¹, 144A⁸, 150B¹⁵, 95A²⁴, 80X²¹, 32I¹¹, 66A¹⁹, 96A²⁰, 96Q²⁰, 90O¹⁵, 8D⁰, 130A²¹, 112I²³, 42K⁷, 144I¹⁹, 77B⁷, 10B², 24A¹¹, 28A⁵, 100C¹⁹, 210E²³, 125B⁶, 62B¹⁴, 40H¹³, 12J³, 18L¹⁰, 32B², 56E²², 72N¹⁵, 72K²², 32M¹³, 24K⁸, 226B¹⁹, 48AC¹⁵, 246B²¹, 96K⁹, 42A¹⁸, 20L³, 52B¹⁹, 24J¹¹, 42G²³, 24I⁴, 30C⁵, 40D⁴, 8B³, 204H²³, 210H¹⁶, 114B¹⁴, 100B²³, 140E²³, 40A²², 50D⁹, 42I¹⁷, 120A¹³, 81E¹⁹, 78D¹⁹, 45F¹², 72N¹⁹, 36E¹⁷, 172A¹⁴, 84C⁷, 40AC¹⁵, 90B¹⁹, 171A¹⁹, 135B¹², 12B⁷, 18T⁴, 56R¹¹, 140F²³, 54I¹⁰, 24U¹⁵, 32I⁵, 84B⁶, 48R⁹, 96D²², 45C¹⁸, 30G²², 48G¹⁵, 55A⁹, 40J²¹, 52A¹⁷, 40V¹⁷, 20I¹⁵, 104A⁷, 14C¹³, 54A²¹, 208F²³, 28D²³, 84I¹⁵, 126F¹⁴, 167A¹⁴, 50F¹², 90A⁷, 143A¹³, 48BB²¹, 96H¹⁵, 78A²¹, 144U²³, 48N⁷, 48X¹³, 24K⁹, 96C⁹, 40K¹⁷, 36Q¹⁵, 84C²², 126D¹⁶, 72K¹³, 60N²¹, 21B¹⁵, 38A⁴, 240C²¹, 48D¹⁰, 98A²⁴, 84M²¹, 48CK¹⁷, 176A²⁴, 108C⁹, 129A¹¹, 48CG²¹, 36E¹⁶, 146A¹⁷, 168L²², 80F¹⁷, 70A¹⁷, 50A², 7A¹, 7F⁰, 150D¹⁹, 102G¹⁷, 20D¹¹, 96F²⁰, 8P⁰, 36B³, 27H⁷, 126D⁸, 154B¹², 63G¹⁸, 100D¹⁷, 96C²⁰, 50B⁴, 14B², 168E²⁴, 258A²¹, 48AL¹⁹, 104B¹¹, 126H¹³, 48BK²¹, 36P⁴, 65A⁹, 96AW¹⁹, 96M²¹, 60L¹⁵, 112L²³, 56A¹⁴, 68B¹⁷, 120C¹⁷, 192H²³, 36A¹, 21B², 88E²¹, 50D⁶, 96E¹⁹, 48BI¹⁷, 128A²¹, 60I¹³, 78B⁶, 104S²³, 36I¹⁶, 210B²³, 24A³, 39A³, 40E¹⁷, 50A²⁴, 24AO⁹, 100B¹⁹, 132A¹⁶, 35A¹³, 144H¹⁹, 32B¹⁸, 80Z²¹, 48BO²¹, 72U¹⁹, 50B², 24F¹⁷, 32I²¹, 90J¹¹, 144D²⁰, 48T¹⁸, 72U¹⁷, 36F⁶, 48BP²¹, 60T¹⁵, 18K¹⁰, 48C¹⁵, 40C¹⁹, 63A¹⁶, 24B⁴, 100E¹⁷, 238B¹⁹, 50B²¹, 112A²⁴, 48F⁷, 56K¹³, 120Q¹⁷, 120I¹⁹, 16D², 140A¹⁰, 40I²², 15E⁴, 235A²⁰, 40M²², 168B²³, 96AK¹⁷, 33B¹⁰, 60P¹³, 50C²², 30I¹³, 70C¹⁵, 250B¹⁹, 276C²⁴, 30D¹⁵, 162B¹⁶, 80T¹⁹, 96C⁸, 289A¹⁷, 72L¹⁰, 60D¹⁴, 15B⁸, 28G²¹, 112C²⁴, 70H¹⁹, 24N⁹, 64A¹⁹, 32T²¹, 144D²¹, 180C²², 64A⁵, 48AU¹⁹, 20L⁷, 26A¹³, 96D²¹, 150A¹², 70I²¹, 56A²², 80B⁷, 72J¹¹, 96AG²⁰, 63B⁵, 40K¹⁵, 99A⁹, 60L²¹, 144C²¹, 80AB²¹, 12E⁵, 90G¹⁹, 28A¹¹, 18D³, 238B²¹, 66A³, 48H¹⁰, 72C⁷, 60Q¹³, 48A²⁰, 13C⁰, 56I¹³, 198E²¹, 24A¹⁵, 32E⁹, 80O¹⁹, 72X¹⁵, 70C¹¹, 32D⁶, 90E¹⁷, 91A²⁰, 34B³, 36C³, 48AL²¹, 36A¹², 48AB¹⁷, 108C²¹, 144A²², 96AW²¹, 40C¹⁰, 42G⁴, 58A⁶, 68A⁷, 15B¹⁹, 10C¹, 42N⁷, 36A², 28C³, 32Q²¹, 26A²³, 60F⁶, 80F¹⁵, 42M⁷, 15F¹, 80C⁷, 63B¹⁷, 14A⁶, 56G²³, 40D²², 132C¹⁵, 266A²³, 72H⁹, 52D²¹, 28H⁶, 48M⁷, 117B¹¹, 120O¹⁷, 36M¹¹, 48B¹⁵, 210F²³, 20A¹⁵, 56F¹², 78D²³, 30S⁵, 63A²², 52D¹¹, 96B¹³, 24P⁵, 86A¹⁰, 150A²⁴, 42A¹, 198C²³, 36B⁶, 36F¹¹, 28F²¹, 56A⁸, 48K¹³, 168O²², 60D²¹, 108F¹⁷, 110A²⁴, 64A¹³, 96F⁸, 90G²⁴, 234A²¹, 36E¹⁹, 56D²¹, 48AJ¹⁹, 48AR²¹, 96AC¹⁷, 30E¹⁶, 40J¹⁵, 90E¹⁹, 40AB⁷, 99A²⁰, 84M²², 60J⁷, 102C⁹, 12C⁰, 52B¹¹, 80F⁷, 72A⁹, 20I⁵, 14C⁵, 84G¹¹, 63B⁷, 56B²², 144O²³, 72E⁷, 48B¹², 170A¹⁷, 117B¹⁷, 36K⁸, 168C²³, 56N²¹, 48BF²¹, 63M¹⁹, 28G¹⁵, 72R¹³, 20P⁷, 60S²³, 80M¹⁹, 80A¹¹, 48Q¹⁷, 24H¹, 105A¹⁸, 160K²¹, 112A¹⁹, 50A³, 96AF²¹, 48B²², 84J¹⁶, 30C¹⁵, 72Y¹⁵, 48CI²¹, 96AE²³, 70A²², 168F¹⁰, 48U¹³, 126D¹¹, 32G²³, 100C¹⁵, 84E¹⁶, 80AH²¹, 126H¹⁷, 132A²¹, 40A¹⁷, 34B⁷, 36D²², 271A²², 160D¹⁷, 72U²¹, 15E¹, 105A¹⁴, 12I², 64G⁹, 7D⁰, 24X¹⁷, 36L¹⁰, 80X¹⁹, 40I²¹, 42J¹⁷, 9E⁰, 8F¹, 138B²³, 72D¹⁴, 56A⁶, 48AJ¹⁷, 20A¹³, 24F¹⁵, 228A²⁰, 88F²¹, 174A¹², 100B¹², 48U²¹, 96X²³, 48D¹¹, 40S¹⁷, 12A¹, 48Z¹³, 105A⁹, 48C²², 55A²², 9G¹, 180B²¹, 96G¹⁵, 24G², 114B¹⁰, 24S⁷, 92A²⁰, 120L²³, 66E²², 36H¹⁵, 42E¹¹, 15G¹, 84E⁷, 96O¹⁷, 52A²⁴, 24W⁷, 78B⁸, 168J²³, 198A²⁰, 35C⁵, 20F³, 42H¹³, 48A⁹, 63D⁹, 70A²¹, 12D⁷, 60AC¹³, 96K¹¹, 185A¹⁷, 42C⁹, 100E¹³, 81B⁷, 16C¹¹, 84B²³, 42J¹⁹, 108A¹⁵, 60A⁸, 72G¹², 48AF⁷, 105A⁶, 30L²³, 33A¹⁹, 40A³, 96AC²¹, 153B²³, 222B¹⁶, 48AC⁷, 96G¹⁹, 90B¹⁵, 42P¹⁹, 17B⁴, 180A²³, 28B⁴, 56D¹⁵, 30G²³, 108A¹⁷, 20H³, 72G¹⁰, 32A¹⁴, 24Q¹⁵, 72J²³, 56C¹⁹, 40C¹⁸, 13B⁸, 174A¹⁵, 210F¹⁶, 24G¹⁵, 132D¹⁹, 40E³, 12R¹, 6H⁰, 12O¹, 40C⁸, 210C²⁴, 224B²⁴, 56N¹³, 126A²¹, 126E²⁴, 218A¹⁷, 210B²², 24T¹³, 96AH²¹, 24E², 48K⁸, 96Q²³, 45B¹⁸, 16B¹, 28D²¹, 144C¹⁵, 70E⁹, 35A¹², 80R¹⁹, 48AG¹⁹, 147A¹⁰, 90C¹⁸, 48F¹³, 48I¹⁵, 90M²¹, 130A²³, 96U¹⁹, 96AG¹⁹, 51B⁹, 36F¹⁰, 90E²⁴, 60Q¹⁷, 30G¹⁷, 48C¹⁹, 22B¹³, 24C²¹, 15C⁷, 22B¹⁷, 48AL⁹, 16C⁵, 61A⁸, 60L¹⁹, 48Z⁹, 90F¹³, 42F¹¹, 24Q², 80AL¹⁷, 24P³, 96AH¹⁷, 56B¹⁷, 48AO¹⁷, 66A¹⁰, 234A¹⁷, 24C⁷, 183A¹⁹, 60AD¹⁵, 18Q², 6B¹, 84A¹³, 64H¹⁴, 96AK²¹, 112E²⁴, 20P³, 42A¹⁹, 60M²³, 96BG²¹, 39C⁹, 106A¹², 13A²⁴, 132A²³, 20B²², 123A¹⁷, 26A¹, 70B¹³, 154B²¹, 234A¹⁸, 20O³, 16I², 45B⁴, 308A²⁴, 152B¹⁹, 120F¹⁷, 70A¹⁸, 88D¹¹, 120J¹³, 48AD¹³, 96AP¹⁹, 210B²⁰, 42B²¹, 187A¹⁷, 69A¹¹, 160A²³, 95A¹⁹, 45G¹³, 132C²⁰, 104F¹¹, 126B¹², 50A¹², 36J²², 148A²³, 42B⁴, 32C¹⁹, 42E⁴, 24W¹³, 14H¹, 80D²¹, 96M²⁰, 48BY²¹, 48CN¹⁷, 168N²³, 80B⁹, 64B²², 48S¹¹, 80J¹⁷, 126D¹⁵, 246A¹⁹, 16A¹¹, 15A¹⁹, 308B²¹, 39A¹⁷, 105B¹⁶, 90D²⁰, 72F¹⁴, 60S¹⁵, 140A¹², 120O²¹, 120C²³, 16B⁰, 50A⁶, 96B²⁰, 126E¹⁹, 56H²⁴, 18B³, 36C¹³, 28A¹⁷, 24K³, 60G¹³, 64A⁷, 24AC⁹, 100K¹⁹, 104C¹⁵, 48AH⁷, 3B⁰, 84J²³, 105B²², 160N¹⁹, 48AJ⁷, 24D¹¹, 76C¹⁶, 50C²¹, 104G²³, 66B²⁰, 24I¹⁵, 92A¹⁵, 80P¹⁹, 77A¹⁵, 48AC¹³, 28D⁵, 45A¹⁵, 49A¹⁸, 136A²³, 88H²¹, 18S⁴, 72I¹⁶, 126C²³, 30K⁷, 36Q²², 13A⁸, 24AA¹⁷, 84C²⁴, 28G⁹, 128B¹⁵, 126L²¹, 30C⁴, 84H²³, 96AY²¹, 24D¹⁵, 20C⁶, 200G¹⁹, 10B⁴, 48BR²¹, 32E¹, 60A²², 120G²¹, 78E¹⁶, 42I⁵, 10A⁴, 112P²⁴, 90B¹⁶, 40G¹⁹, 20C³, 90A¹⁵, 36H⁵, 35B¹⁴, 79A¹⁸, 21B¹², 210G¹⁶, 72F¹², 112B¹², 36R¹⁰, 52G²³, 81B²², 34A¹⁷, 24J⁵, 45B⁹, 32B¹⁹, 64A¹¹, 72Q¹⁹, 18C⁴, 60U²¹, 60A¹⁷, 10A⁵, 96M⁹, 88B¹⁵, 126E¹⁸, 60W²¹, 18K², 96AA¹⁷, 48F⁴, 55B¹⁷, 140A²⁰, 175C¹⁹, 84N²⁰, 160C²³, 126P²¹, 32N³, 32R¹³, 100A¹², 66B¹³, 30E¹³, 214A¹⁸, 28C¹³, 75A⁹, 96A⁷, 19A¹⁸, 30I⁹, 3C⁰, 90F¹⁹, 70A¹⁵, 78G¹³, 72N¹¹, 92B²², 22C⁵, 33A¹¹, 24Y¹³, 50E¹², 140A²³, 58A²², 24K²¹, 138C¹², 42D⁶, 58A⁹, 180A¹⁵, 42D²¹, 169A⁸, 70C²¹, 24J¹⁵, 27C¹⁹, 32H¹³, 33C²², 32J⁹, 148A¹⁸, 36G¹¹, 280A²⁴, 108B⁸, 22A²¹, 66C¹¹, 36M⁵, 4F⁰, 235A²³, 28D⁷, 68B¹¹, 60F²³, 112H¹¹, 117A¹⁷, 144A²¹, 90H²⁴, 45B¹⁰, 22B⁴, 90A¹¹, 72A⁸, 44C²¹, 52C¹⁹, 52D⁹, 28E¹³, 39A⁶, 45G⁹, 150E¹⁹, 75A⁸, 90A¹⁶, 96AJ²¹, 90C²⁰, 144R²³, 90B⁸, 231A²³, 168F²², 70A¹⁹, 24T³, 30A²¹, 168R²², 42G¹⁹, 144J²³, 30I¹¹, 36A⁰, 40AQ¹⁷, 90F⁹, 28B²³, 104D¹³, 88C¹⁵, 98B¹⁷, 61A¹⁶, 40U¹⁷, 310A²⁴, 75A⁴, 215A²¹, 22B⁹, 66E²¹, 89A⁷, 78A²⁴, 140D¹⁹, 180B¹⁵, 126I¹⁸, 84C²⁰, 48A¹⁷, 13B³, 96D¹⁶, 78B¹¹, 70C¹³, 150D¹⁵, 52A¹⁵, 156G²³, 93A¹⁷, 60T¹⁷, 130A¹⁹, 72AB²¹, 132B¹⁵, 91B²¹, 48C¹⁸, 96BC¹⁹, 88C²¹, 160I²¹, 72H²¹, 30D¹⁰, 80H²², 210A²², 60K⁹, 42C⁶, 144W²³, 130A⁸, 112D²⁴, 96O¹⁵, 17B¹, 78G²³, 30K¹¹, 96A²², 36B⁹, 204G²³, 48V²¹, 64H¹⁵, 64E⁷, 100G¹³, 96C¹⁰, 84J¹⁷, 51A¹⁵, 48AK²¹, 60N⁷, 103A²⁴, 40L²¹, 90A²⁰, 64G⁷, 92A²¹, 112B⁷, 48O¹⁹, 48CH²¹, 120L¹⁷, 32A²⁴, 48AX²¹, 100J¹⁹, 35B¹², 72I¹⁴, 132C²¹, 60I¹¹, 148A⁹, 18P², 34A⁹, 60E¹⁵, 90E¹², 35B²¹, 48BG¹⁷, 201A²¹, 242A²², 36F⁸, 48CB¹⁷, 132C¹⁶, 95B²³, 117A¹⁰, 54A²⁴, 64M¹³, 60O¹⁹, 112A²², 88B¹⁹, 96C¹³, 65B¹¹, 26C²³, 60E²³, 16A⁴, 120C¹¹, 18A⁵, 126B¹⁸, 45A¹⁴, 126N²¹, 10A¹, 42C²⁴, 168C²⁴, 18F⁴, 108E¹¹, 12N¹, 80AO¹⁷, 72T¹³, 45C⁵, 98A²³, 176C²¹, 10A⁰, 224A²¹, 80H¹³, 36N⁸, 75E¹⁴, 56F¹³, 40H⁷, 80AB¹⁹, 96P¹⁹, 48BT²¹, 86A²⁰, 192A²³, 96C²³, 24C¹³, 63D⁶, 52H²³, 12U¹, 6B⁰, 330D²⁴, 88H¹⁹, 90F²⁴, 39A²⁴, 64B¹¹, 195A¹⁷, 78E²³, 24AS¹⁷, 34D¹³, 48Q⁸, 54O¹³, 40B²³, 222B¹⁷, 22A¹², 20G¹³, 54D¹³, 24U⁹, 246A²¹, 96H⁹, 294A²⁴, 40C¹³, 36C¹, 176E²³, 80U¹⁵, 164A¹⁹, 36N¹³, 30F¹⁵, 21C⁴, 150H¹⁹, 48A¹⁰, 111B¹⁸, 153A¹¹, 80D²³, 27B¹³, 40K¹³, 90L¹⁵, 48P⁷, 42E¹⁴, 55A¹⁸, 36G⁸, 8H¹, 45A¹³, 50A¹⁰, 42I⁷, 36A³, 72J¹⁰, 96G²¹, 30A⁸, 72I¹³, 96BA¹⁹, 220A²⁰, 20A¹¹, 24Y⁹, 231A²⁰, 36D¹¹, 24G¹³, 125A¹², 40AF¹⁵, 96A³, 110A¹³, 24L⁵, 48CE²¹, 24K⁷, 48E²³, 35D¹⁵, 52A¹⁰, 16E¹, 126B²¹, 48Y¹¹, 204F²³, 72B⁶, 84D¹¹, 48V⁷, 75C¹³, 72B⁷, 146A¹⁹, 54A³, 48E¹³, 78A⁵, 132B²⁰, 150B²⁰, 96AO¹⁹, 54C¹¹, 52A⁷, 36C², 36E¹³, 112B¹⁴, 16A²¹, 273A¹⁹, 56O²³, 120B¹⁵, 72B⁸, 8C², 5D⁰, 159A¹², 114A²¹, 41A³, 54J¹³, 86A¹⁸, 72U¹⁵, 90M¹⁷, 24F¹⁹, 24H¹⁵, 76A¹⁷, 30D²³, 60K¹⁹, 60R¹³, 48L⁷, 84B¹⁸, 27C²², 96D¹⁵, 42A³, 70B¹⁴, 84O²¹, 56C¹⁵, 48AI²¹, 14C¹, 144K²¹, 120D²¹, 96F¹³, 120R¹⁹, 72S¹⁵, 72Q¹⁵, 156E²³, 120N²³, 30D¹¹, 110A¹⁰, 63F⁷, 40O⁷, 48AA¹⁵, 140D¹⁵, 78E¹¹, 15F³, 50B⁶, 210B¹⁶, 117A¹², 80B²³, 32P⁹, 36D¹⁰, 123A¹⁹, 40E⁷, 30E², 48BS¹⁷, 144A¹², 64E⁹, 95A²³, 144C¹⁸, 24E⁴, 96BB²¹, 108A¹², 32A¹⁹, 108B¹¹, 18G², 40D³, 25G⁴, 33C¹⁰, 96R¹⁵, 80AC¹⁹, 256B²¹, 90B²¹, 104M²³, 39B⁹, 48R¹¹, 48AI¹⁷, 24E¹³, 72E¹⁶, 72D²², 190A¹⁴, 68F¹⁵, 78F²³, 24AB¹⁷, 20F¹⁰, 15A¹⁰, 224A²³, 10I¹, 65A¹¹, 120D¹⁴, 72C²³, 96L²¹, 36E⁷, 72O¹⁴, 22A⁶, 66C¹⁶, 75B¹¹, 18I³, 32A¹¹, 136</t>
        </is>
      </c>
    </row>
    <row r="3">
      <c r="A3">
        <f>HYPERLINK("https://mathstats.uncg.edu/sites/pauli/congruence/csg0.html#group2A0", "2A⁰")</f>
        <v/>
      </c>
      <c r="B3" t="n">
        <v>0</v>
      </c>
      <c r="C3" t="inlineStr">
        <is>
          <t>Γ²</t>
        </is>
      </c>
      <c r="D3" t="inlineStr">
        <is>
          <t>2</t>
        </is>
      </c>
      <c r="E3" t="inlineStr">
        <is>
          <t>1</t>
        </is>
      </c>
      <c r="F3" t="inlineStr">
        <is>
          <t>1</t>
        </is>
      </c>
      <c r="G3" t="inlineStr">
        <is>
          <t>0</t>
        </is>
      </c>
      <c r="H3" t="inlineStr">
        <is>
          <t>2</t>
        </is>
      </c>
      <c r="I3" t="inlineStr">
        <is>
          <t>2¹</t>
        </is>
      </c>
      <c r="J3" t="n">
        <v>1</v>
      </c>
      <c r="K3" t="inlineStr">
        <is>
          <t>1¹</t>
        </is>
      </c>
      <c r="L3" t="inlineStr">
        <is>
          <t>1A⁰</t>
        </is>
      </c>
      <c r="M3" t="inlineStr">
        <is>
          <t>2C⁰, 4D⁰, 6A⁰, 6C⁰, 10A⁰, 14B⁰, 6A¹, 10A¹, 10C¹, 14A¹, 22A¹, 26A¹, 18J², 22A², 38A², 34B³, 46A⁴, 62A⁴, 58A⁵, 74A⁵, 86A⁶, 22A⁷, 38A⁷, 82B⁷, 94A⁸, 106A⁹, 122A⁹, 26A¹⁰, 118A¹⁰, 134A¹⁰, 26A¹¹, 146B¹¹, 26A¹², 142A¹², 158A¹², 34A¹³, 34B¹³, 166A¹⁴, 178B¹⁵, 194B¹⁵, 206A¹⁶, 202A¹⁷, 218A¹⁷, 214A¹⁸, 34A¹⁹, 226B¹⁹, 254A²⁰, 34A²², 262A²², 278A²², 274B²³, 302A²⁴</t>
        </is>
      </c>
      <c r="N3" t="inlineStr">
        <is>
          <t>1A⁰</t>
        </is>
      </c>
      <c r="O3" t="inlineStr">
        <is>
          <t>90K²², 198B²², 16A¹¹, 114A²², 42F⁷, 140C²³, 14D², 54P¹³, 72K¹¹, 50B²³, 120C²³, 56G²⁴, 56H¹², 210J²³, 78D¹⁶, 126F¹³, 28L²¹, 80A¹⁵, 18B³, 80C²¹, 54H²², 204B²³, 100K¹⁹, 24AC⁹, 78A⁹, 46A⁴, 24AO¹⁷, 60B¹⁸, 26A⁵, 24AF⁷, 84J²³, 18H⁷, 32G²¹, 30P¹³, 36C¹⁵, 24D¹¹, 24C⁶, 50C²¹, 126E¹³, 178B¹⁵, 78B¹⁹, 40U¹⁵, 48CD²¹, 24I¹⁵, 92A¹⁵, 48A¹¹, 30F⁷, 50E⁵, 16F⁰, 116A¹⁹, 132A¹², 112B²⁴, 36D¹⁹, 20I³, 136A²³, 90H²¹, 126E²¹, 18C¹⁰, 16D⁹, 20F¹⁵, 126J²³, 72I¹⁶, 56D²⁴, 42O¹⁹, 30K⁷, 72L¹¹, 84K¹³, 18B¹⁰, 28D⁴, 24B¹⁹, 78D¹¹, 28G⁹, 48AW¹⁹, 36K²², 84H²³, 12A¹³, 24D¹⁵, 20C⁶, 78B²³, 162A¹⁶, 48BR²¹, 30H¹³, 42I⁵, 10A⁴, 120H²³, 20C³, 64A²¹, 90A¹⁵, 64E²¹, 18A², 252F²⁴, 132C¹², 96BD²¹, 134A¹⁰, 286A²³, 84I²³, 210G¹⁶, 36H⁸, 246C²¹, 30H¹⁷, 42D²³, 34A¹⁷, 24Q⁵, 24E¹⁵, 24AC¹³, 18D¹³, 64A¹¹, 28K²¹, 48H¹⁹, 18C⁴, 60A¹⁷, 16G⁰, 48M¹¹, 10A⁵, 88B¹⁵, 84K¹⁶, 32N⁵, 110A¹¹, 6C¹, 250A²³, 40V¹⁵, 70B¹⁹, 198E²³, 30G³, 8J¹, 60E⁸, 24AP¹⁷, 72M²¹, 30E¹³, 214A¹⁸, 48Y²¹, 28A⁴, 50A²³, 90C²², 36M²², 32E¹³, 30I⁹, 36M⁹, 74B¹⁷, 78G¹³, 48K¹⁵, 234B²³, 108E¹⁷, 150H¹⁵, 64V¹³, 140A²³, 210G²³, 40C¹⁷, 8E⁰, 48BT¹⁹, 58A⁹, 12P¹, 42D²¹, 180A¹⁵, 70C²¹, 24J¹⁵, 28E¹⁷, 32H¹³, 48AJ²¹, 10B³, 122A⁹, 22A²¹, 66C¹¹, 108B⁸, 100Q¹⁹, 68B¹¹, 60E¹⁹, 30G⁷, 96I²³, 90H²⁴, 156E¹⁹, 48D¹⁷, 26A⁹, 26A¹², 26A²¹, 26A³, 42B⁷, 24AH⁷, 108E²¹, 36B¹⁹, 18C⁷, 18B¹¹, 150E¹⁹, 90A¹⁶, 42C¹⁰, 30B⁵, 154C¹², 70A¹⁹, 36B¹, 90B¹⁰, 210A²¹, 180A¹⁷, 16M¹, 42G¹⁹, 42K¹⁹, 36A⁰, 18N⁷, 24V¹⁷, 90F⁹, 48B¹³, 28B²³, 10A⁷, 24B¹³, 84A²¹, 72N²¹, 30N⁵, 18K¹, 98B¹⁷, 40U¹⁷, 310A²⁴, 72D¹⁹, 96F²³, 54J¹⁶, 36F¹⁷, 16C²¹, 78A²⁴, 104C²³, 24I⁵, 180B¹⁵, 96C²², 84C²⁰, 78A¹⁹, 78C¹⁹, 84H²², 30D⁷, 16A⁵, 70C¹³, 150D¹⁵, 48CQ²¹, 52A¹⁵, 156G²³, 180A¹², 72A¹³, 18D¹, 76A²¹, 132A²⁰, 60T¹⁷, 32C⁹, 38A², 20B¹¹, 36B²¹, 14B³, 84B¹⁴, 18E⁷, 54A⁶, 132B¹⁵, 30F¹³, 88A²¹, 90D⁸, 96BC¹⁹, 40C²¹, 36A⁶, 88C²¹, 16B¹⁷, 44A⁶, 16F⁹, 48O²¹, 60B¹⁷, 42E³, 96A²², 36B⁹, 24O¹³, 18E⁴, 84B⁸, 28G¹¹, 330C²⁴, 54I¹³, 170B¹⁷, 186A¹⁴, 126F²¹, 48AK²¹, 96E²³, 72M¹⁷, 24J¹⁷, 40W¹⁵, 54N¹³, 138B¹⁵, 18H⁴, 92A²¹, 108A¹⁰, 48O¹⁹, 18O⁷, 48CH²¹, 120G²³, 36A¹⁰, 100J¹⁹, 60I¹¹, 48C⁸, 34A⁹, 24C⁹, 48G¹⁸, 132C²³, 70G¹⁹, 180F²³, 152A²³, 88B¹⁹, 26C²³, 22A⁷, 48AG¹³, 18A⁵, 60R²¹, 24E²¹, 14B⁴, 10A¹, 106A¹⁷, 28A¹², 28I⁵, 18F⁴, 48CB²¹, 72K¹⁷, 66C²², 60AA¹⁵, 10A⁰, 20D², 18F³, 154A²³, 12A², 24AR¹⁷, 86A⁶, 120K²³, 86A²⁰, 96G²³, 96C²³, 50F⁵, 90B¹⁷, 16C², 8A³, 84G²³, 88H¹⁹, 90F²⁴, 80E⁸, 18E¹⁹, 92A⁸, 78E²³, 24AS¹⁷, 24G³, 54O¹³, 84B⁴, 108B⁹, 56G⁷, 8A², 16B⁵, 54D¹³, 24U⁹, 294A²⁴, 40C¹³, 258A²⁰, 48AP²¹, 70E²¹, 36J³, 24C¹⁷, 96H¹⁹, 96H²¹, 24AI⁷, 60E¹¹, 28B¹⁶, 150H¹⁹, 48A¹⁰, 42Q¹⁹, 36A⁹, 24AK⁷, 96A²¹, 16M⁵, 36H¹⁷, 40K¹³, 90A⁸, 24AD⁹, 36G⁸, 50A¹⁰, 24D²¹, 78C⁹, 36A³, 30A⁸, 24U³, 60T²¹, 220A²⁰, 48J¹⁷, 16B¹³, 18H¹⁰, 24H⁵, 20A¹¹, 42C¹², 36D¹¹, 24G¹³, 66A²¹, 48F²¹, 40E¹³, 20A⁶, 48CE²¹, 52B³, 48E⁹, 126G²¹, 26B¹³, 48K¹⁷, 198D²¹, 126T²¹, 40D⁸, 28D⁶, 230B²³, 126B²¹, 90C¹¹, 70G²¹, 16E¹, 60B⁸, 204A²³, 80B¹⁵, 90C¹⁰, 18D⁷, 6A⁰, 28F⁹, 24T¹⁷, 56G¹³, 72D²³, 54A³, 30D⁹, 96B²³, 30C¹⁷, 66B¹⁶, 78A⁵, 72B¹³, 54C¹¹, 80C¹⁵, 154A¹², 30E⁶, 24F²¹, 210A¹⁶, 16A²¹, 54G¹³, 24AG⁹, 56O²³, 98A¹⁵, 36F²¹, 36I⁸, 114A²¹, 24AB¹³, 86A¹⁸, 54J¹³, 24F¹⁹, 90M¹⁷, 78H²³, 76A¹⁷, 60K¹⁹, 20A¹⁰, 48L⁷, 28E⁵, 20D¹⁹, 52B²³, 266B²³, 8G⁰, 42A³, 40X¹⁵, 24B¹⁵, 48AI²¹, 222B²³, 68A¹⁵, 44A¹⁶, 40E²², 24H⁹, 110A¹⁰, 36A¹³, 42A²⁴, 294A²³, 126B¹⁴, 54G¹⁶, 24AB⁵, 16C⁷, 54R¹³, 56A²⁴, 48B¹⁰, 210B¹⁶, 54C³, 80B²³, 36D¹⁰, 60F⁸, 70E¹⁴, 198E¹⁸, 48E²¹, 70C⁷, 24E⁴, 108E²², 148B²³, 32S¹³, 32A¹⁹, 108A¹², 108B¹¹, 24AK⁹, 24B⁷, 54E¹³, 18G⁴, 50B¹³, 104M²³, 24E¹³, 40A⁸, 64A¹⁵, 58A⁵, 14D¹, 132A¹⁵, 190A¹⁴, 24J², 48AH²¹, 48U¹⁷, 84A⁸, 42A¹⁰, 18N⁴, 72C²³, 84B¹⁵, 18N², 60J¹³, 36F¹⁶, 42A¹³, 66B⁶, 18E¹³, 22A⁶, 80Q²¹, 66B²⁴, 32A¹¹, 18I³, 36J¹⁹, 54O¹⁶, 84D⁸, 30J⁵, 126F²³, 56A¹², 42C¹³, 24A⁸, 144V²³, 24V⁷, 18E¹⁰, 18B⁰, 48B¹⁸, 36I¹⁷, 24AG⁷, 76A¹⁸, 108A¹⁹, 28E⁶, 36D⁸, 32G¹³, 56L²¹, 26A¹⁰, 38A⁸, 90C⁹, 48W¹¹, 198F²³, 48E¹⁹, 72D¹⁵, 42A⁷, 24I⁹, 42D¹⁰, 24Z⁹, 36Q⁹, 42D⁵, 12K³, 48Q²¹, 48BQ²¹, 162A¹³, 20D⁵, 220B²³, 56H¹³, 64D¹⁷, 36D⁹, 90F⁸, 32G⁷, 182A¹⁵, 60C¹¹, 66A²², 42H¹¹, 84H²⁰, 110B¹⁹, 24H¹³, 64C²¹, 72B¹⁶, 56P²³, 40I⁹, 140A⁸, 126S²¹, 20A³, 220A²³, 44A¹³, 44B¹⁹, 30H⁷, 42B¹⁹, 150A¹⁵, 32R²¹, 110A²³, 80O¹⁵, 18I⁴, 30A⁹, 74A¹³, 18F², 60B²¹, 90E¹¹, 48D¹³, 210B¹⁸, 6C⁰, 100P¹⁹, 270B²⁴, 40J⁹, 60B¹⁹, 72A²¹, 8B¹, 120E¹⁸, 82B⁷, 120A¹⁶, 24A²⁴, 62A⁴, 180E²³, 18B², 48AK⁷, 48CM¹⁷, 66D²¹, 114C¹⁰, 6D¹, 90F¹⁵, 84F²¹, 24AL⁷, 48K²¹, 24C¹⁹, 110C¹¹, 36T¹³, 30M⁷, 40A¹⁴, 242A¹⁷, 48D¹⁸, 90H¹⁷, 30A²², 40D¹⁷, 30A¹⁵, 70D¹³, 124A¹⁹, 42G¹⁰, 42C¹⁹, 78E¹⁹, 48BS¹⁹, 98A⁵, 140B¹⁵, 60C¹⁵, 72C¹⁹, 94A⁸, 48L²¹, 48R²¹, 10D¹, 28M²¹, 30O⁷, 56Q¹¹, 18C⁰, 68B²¹, 80AD²¹, 42B²³, 36A²¹, 48E¹⁵, 60C¹⁸, 144B²⁴, 60G¹⁹, 32F¹³, 30N⁹, 54Q¹³, 126G¹², 30B¹³, 20A¹⁷, 48CA²¹, 78B²¹, 64B¹³, 72Q¹⁶, 114B²², 48K¹⁹, 250A²¹, 24G¹⁷, 24Q¹⁷, 48CJ¹⁷, 72M¹⁹, 36B⁸, 54A¹⁶, 154B¹⁴, 84D²², 78E¹³, 90F²¹, 30H⁵, 210B¹⁷, 32F²¹, 24D⁹, 50E²¹, 54K¹³, 24H²¹, 22A¹⁶, 72A¹², 36I¹⁹, 84H¹³, 20C⁷, 36B⁴, 126I¹², 50C¹³, 56Q²³, 22B²¹, 126C¹³, 8O⁰, 44A¹⁰, 10A¹³, 60E¹⁴, 22A¹, 12B⁵, 96B²¹, 24B²¹, 210D¹⁷, 72A¹⁶, 10A³, 32B²¹, 36G¹⁰, 66A⁴, 198D²³, 80A¹⁶, 72W¹³, 32D¹⁷, 30B², 124A⁸, 32T¹³, 34C¹³, 48P²¹, 316A²⁴, 8G¹, 76A¹⁰, 64D²¹, 278A²², 40B²¹, 30E⁸, 108B²², 66A¹⁶, 18B⁴, 30A⁷, 80R²¹, 8K¹, 80A¹⁹, 24Z³, 6F¹, 30D², 112O²³, 64E¹⁵, 54I¹⁶, 108A⁴, 84A⁴, 80C²³, 198A¹⁹, 60H¹¹, 20A⁵, 32K³, 330A²⁴, 42E¹³, 14A¹³, 16K², 152B²³, 90E⁷, 132E¹², 36H¹⁹, 90A¹⁰, 60J¹¹, 36B¹¹, 60C²¹, 24D¹⁹, 80N¹⁵, 10G¹, 210E¹⁸, 66A²⁰, 16E²¹, 48E¹⁷, 30K¹⁷, 18C², 228B²³, 34A²², 28B¹², 12F³, 24A⁵, 12E², 24I¹⁷, 126D¹⁴, 270A²⁴, 60M¹³, 162C¹⁶, 150F¹⁵, 120B²³, 50B⁹, 56T²³, 24H⁸, 80AC²¹, 50C⁹, 70G¹⁴, 70A¹¹, 16K⁵, 72K¹⁹, 42E⁷, 180B²⁰, 24W¹⁷, 32B¹⁷, 72A¹⁵, 54A¹³, 84A²², 48BO¹⁹, 60Q¹⁵, 36F²², 42E¹⁰, 76A⁴, 206A¹⁶, 118A¹⁰, 180G²³, 108A²¹, 96P²³, 210C¹⁶, 18J⁴, 48F¹⁹, 54B¹³, 14B⁰, 48AM²¹, 100R¹⁹, 28A⁷, 30G⁴, 36C¹⁶, 18B⁵, 54A⁴, 60I²¹, 162B¹³, 26B²³, 40T¹⁵, 106A⁹, 64K⁷, 30D⁵, 54B⁵, 56D¹³, 48A⁸, 18A⁷, 54N¹⁶, 210C²³, 56I¹², 252E²⁴, 32E⁷, 24AQ¹⁷, 30D¹³, 14B⁵, 60G¹¹, 30B⁷, 114B¹⁹, 12B⁴, 90C¹⁷, 54A², 132B¹², 42C⁵, 16J³, 26B⁵, 20E⁹, 126D²³, 60A¹⁰, 48BZ²¹, 126H²³, 54M¹³, 30K⁹, 36K⁶, 28F¹⁶, 48CL¹⁷, 104N²³, 86B²⁰, 84F²², 36O²², 48H¹⁷, 50D¹³, 40AH¹⁷, 42E²³, 78A¹³, 12V¹, 20C¹⁹, 30A¹⁹, 24H¹⁷, 18B⁷, 42E¹², 90E⁹, 24S¹⁹, 20E¹⁵, 174B¹⁹, 180B¹⁸, 72B²³, 44D¹⁷, 40A²¹, 16H³, 42B¹⁰, 36J⁶, 36C⁹, 180B²³, 90G²¹, 40B⁷, 228A²³, 56B⁸, 50B¹⁹, 60Y¹⁵, 120D¹⁶, 36N⁹, 36J¹⁷, 90S¹⁷, 48AG²¹, 80A¹⁷, 66A¹³, 24G⁴, 42B³, 48AO²¹, 10H¹, 36F⁹, 38B²², 22A¹³, 40A²³, 24J⁷, 28E³, 8E¹, 84I²⁰, 182C¹⁵, 36H⁷, 18O², 54B¹⁴, 56A¹⁷, 20F¹³, 32M⁵, 48A²², 84E²², 30A¹, 26B¹, 26A¹¹, 56S²³, 48BP¹⁹, 18H³, 42E¹⁹, 140A¹⁵, 24I¹⁹, 70A⁷, 28C²³, 50E¹³, 60M²¹, 40AR¹⁷, 48I⁴, 36N²², 48AR¹⁹, 64D¹³, 18C¹³, 16A¹³, 16D²¹, 84B²⁰, 42G¹³, 120A²³, 54D¹¹, 18B¹⁹, 16O³, 128D²¹, 36G¹⁹, 36E⁹, 18H¹³, 108A⁸, 222B¹⁹, 70F¹⁴, 66C²¹, 78C⁵, 186B¹⁹, 80P¹⁵, 20A²², 128A¹⁹, 80N¹⁹, 18G³, 42D¹², 90E¹⁵, 108D²¹, 60G¹⁴, 56V²³, 40Y¹⁵, 40L⁷, 108A⁶, 54E¹⁶, 84C¹⁷, 126U²¹, 72B¹⁹, 48CP²¹, 90R¹⁷, 32A¹⁷, 14E², 64F¹⁵, 50A⁹, 84C¹⁵, 108B¹⁰, 100I¹⁹, 60E⁷, 56C¹³, 48BP¹⁷, 54T¹³, 72C¹³, 36E²², 126C¹⁵, 24E¹⁹, 54H¹⁶, 32B⁵, 150J¹⁵, 54L¹⁶, 128F²¹, 54C⁵, 108B²¹, 156D¹⁹, 132H²³, 42G¹¹, 90D¹⁷, 110C²¹, 16N⁵, 16D³, 120B²⁰, 90A²², 36E¹⁰, 126E²³, 108A²³, 110A⁷, 50A¹³, 42L¹⁹, 250B²³, 174B¹⁵, 24E⁷, 88D²¹, 30E⁷, 18F¹³, 144C²⁴, 158A¹², 36M⁷, 20A⁸, 62A¹⁶, 66C⁶, 44A⁷, 282A²⁴, 40R¹³, 156A¹⁵, 24A⁶, 96A¹⁸, 12I⁰, 40X¹⁷, 150A¹³, 154B¹⁵, 84K²², 84A¹⁴, 112A¹⁶, 12G³, 30E¹⁷, 48A¹⁵, 60B²³, 90L²², 48CF²¹, 234E²³, 50F⁹, 52A¹³, 84G¹⁵, 198C²¹, 20J³, 54D¹⁰, 122A¹⁷, 30O¹³, 48BS²¹, 90B⁹, 90E²¹, 32U¹³, 120A²⁰, 48I¹¹, 12H¹, 10D³, 12A³, 28F¹¹, 96E²¹, 32C²¹, 48I¹⁹, 32C⁷, 18J¹, 16I³, 34A¹³, 120E²³, 258B²⁰, 72B²¹, 196A¹³, 40M⁷, 188A¹⁶, 44A²⁰, 22A¹⁷, 54B³, 28C¹², 90D²², 24G¹⁹, 54B⁷, 126E²⁰, 28A¹³, 16E⁹, 262A²², 24A¹⁰, 30A³, 30D²², 30B⁴, 26C⁵, 36I¹⁰, 54E¹⁰, 30B¹⁷, 56F²³, 90A⁹, 16B⁷, 66E⁶, 4G⁰, 82A¹⁹, 102D¹⁷, 180A¹⁹, 40A¹⁹, 54I²², 32D⁹, 130B¹³, 90F⁷, 44A⁸, 12F², 48P¹⁹, 52C²³, 12D⁴, 210A¹⁸, 24N⁴, 282B²⁴, 70C¹⁸, 36A¹⁹, 72H¹⁶, 30H⁹, 40Q¹³, 62A¹⁴, 116C¹⁹, 120D²³, 36E²¹, 24U¹⁷, 80P²¹, 96C¹⁸, 28A⁰, 142A¹², 180A²⁰, 90C¹⁴, 140A²², 12E¹, 40AB¹⁵, 50D⁵, 36G¹⁷, 252A²⁴, 60F¹¹, 24A¹³, 78C²³, 16A⁶, 66B²², 252A²³, 40C¹⁵, 28C²¹, 40J¹³, 48N²¹, 258A²², 14A³, 64A¹⁷, 48A¹³, 84M²⁰, 132A²², 18P⁷, 180E²¹, 24AF⁹, 66B⁷, 30Q⁷, 252B²³, 90E⁸, 266B²², 238B²³, 12B², 24AH⁹, 60A²¹, 36B¹⁷, 108C²², 10B⁵, 90I²⁴, 24Z¹⁷, 38A⁷, 48AH⁹, 236A²⁰, 36F¹⁹, 24P¹⁷, 24K¹⁹, 54H¹³, 48CK²¹, 36D¹⁷, 48AK⁹, 96A¹⁹, 22C²¹, 28C¹⁰, 126E¹⁵, 36C¹⁷, 16C⁹, 52A²³, 72A²³, 112L¹⁵, 126B²³, 126B¹⁵, 24H¹⁹, 28C¹¹, 32H²¹, 14A⁷, 44B¹⁰, 36D¹⁶, 64B¹⁵, 78A⁷, 24C⁸, 54B¹⁶, 24R¹⁷, 32E²¹, 24C¹¹, 126I²¹, 72E²³, 24Y¹⁷, 36A⁴, 10K¹, 254A²⁰, 96B¹⁹, 70B¹⁷, 54C¹³, 20E¹³, 48CC²¹, 40X⁷, 130B²¹, 24D¹³, 4E⁰, 14A⁹, 32B¹¹, 44B⁹, 30F⁵, 30C⁷, 126H²¹, 90D¹⁵, 144A²⁴, 180C²³, 44A¹⁹, 20K⁷, 70B⁴, 172A¹², 60P¹⁵, 60F²¹, 20D¹⁰, 36N¹¹, 6A¹, 198A²², 268A²⁰, 28F², 52E²¹, 70F¹³, 12I¹, 114B⁸, 6I⁰, 104B²³, 30J¹⁷, 56B¹², 70B²¹, 180D²³, 56L¹¹, 72C¹⁵, 24E¹¹, 56A²³, 20B⁸, 40O¹⁵, 30L⁹, 60A¹⁹, 20C¹⁵, 18F⁷, 14A¹⁵, 42C⁷, 108B¹⁹, 24I¹³, 18F¹⁰, 88G¹⁹, 96O²³, 30A¹⁶, 108A⁹, 74A⁵, 234C²³, 60A¹⁶, 54K¹⁶, 12A⁴, 80A¹⁸, 228B²⁰, 276B²⁴, 24B¹¹, 48AN²¹, 18A¹³, 132E²³, 130B¹⁷, 48J²¹, 36E¹¹, 126C²¹, 36F⁵, 36A¹⁷, 40B¹¹, 210E¹⁶, 8N⁰, 72A¹⁹, 48F¹⁵, 40K⁹, 150E²⁰, 88C¹⁹, 96BF²¹, 42J²¹, 16B³, 58A¹³, 62A¹², 136B²³, 190B¹⁹, 36A¹¹, 50A²¹, 60S²¹, 84D¹³, 40D¹⁸, 54F¹⁰, 22A², 42H¹², 34B⁵, 32B⁹, 64C¹⁵, 150G¹⁵, 80B¹⁹, 32A¹³, 48CJ²¹, 66B¹⁹, 56C¹⁷, 66A⁶, 222A¹⁹, 42M¹⁹, 48J¹³, 34A⁷, 72D²¹, 16A³, 32A²¹, 90A¹⁸, 84E⁸, 52A¹⁹, 48S²¹, 270A²², 30C¹³, 16A¹⁷, 36A⁷, 84K²⁰, 44A⁴, 36U¹³, 50B⁵, 90I²², 146A²¹, 82A¹³, 96D²³, 16B²¹, 72B¹², 180C²¹, 198B¹⁸, 40G¹⁷, 24AB⁹, 100D¹⁹, 56F²⁴, 90B²², 96J²³, 48G¹⁹, 36L⁵, 70B¹⁵, 88A²⁰, 14A¹⁷, 30B⁹, 54B⁴, 24A⁴, 42K¹¹, 222C¹⁷, 40B¹⁵, 150F¹⁹, 24AN¹⁷, 22A⁴, 56A¹⁵, 30C⁸, 180C¹⁶, 36B¹⁶, 48B¹⁹, 20A⁴, 48X¹¹, 18D⁴, 20F⁹, 16C¹³, 12C⁴, 76B¹⁸, 18A¹⁹, 42F¹⁰, 40B¹³, 108D²², 64C⁹, 32F⁷, 10A², 28B⁶, 24AA³, 22B⁵, 18A³, 194B¹⁵, 36O⁴, 24F⁵, 84F²⁰, 92A²², 18J¹⁰, 70E¹⁶, 36B²², 18I¹⁰, 72G²³, 20A⁹, 42D⁹, 48AL⁷, 230A²⁰, 22A⁵, 20R³, 80I²¹, 54S¹³, 150B¹⁵, 90C⁸, 36J¹⁵, 6E¹, 48Z²¹, 66A¹⁹, 24A¹⁹, 154B²³, 40H¹⁷, 112K¹⁵, 32A⁹, 210A²⁰, 210A¹⁷, 228D²⁰, 40C¹¹, 28C¹⁶, 80F¹⁹, 10B², 100C¹⁹, 24A¹¹, 48I¹⁸, 252B²⁴, 54C¹⁶, 102B²¹, 62B¹⁴, 48I¹³, 72L¹⁹, 32B², 90C¹⁵, 80A²³, 16A⁹, 32M¹³, 36A¹⁶, 226B¹⁹, 102B¹⁷, 246B²¹, 26B⁹, 32D¹³, 54F¹³, 8J⁰, 48I¹⁷, 30P⁹, 24J¹¹, 42G²³, 40A¹⁸, 12B⁰, 30C⁵, 40D⁴, 8B³, 72Z²¹, 24V³, 50A⁵, 24D¹⁰, 30F²², 40A²², 60N¹⁵, 198A²¹, 50D⁹, 30A⁵, 36D¹⁵, 78D¹⁹, 60H²¹, 56M¹¹, 12A⁹, 54P¹⁶, 114A⁸, 72H²³, 302A²⁴, 72N¹⁹, 36E¹⁷, 90B¹⁹, 12B⁷, 32A⁵, 18C¹⁹, 24J⁹, 56R¹¹, 166A¹⁴, 60S¹⁷, 72D¹³, 42H²¹, 126F¹¹, 42J¹⁰, 24B¹⁷, 88A¹⁵, 12B⁹, 42F²³, 24B⁸, 40V¹⁷, 78C¹³, 48L¹⁹, 14C¹³, 70D¹⁶, 24A⁷, 64D¹⁵, 54A¹⁴, 28D²³, 54A⁵, 104A¹⁵, 22A⁹, 80L¹⁹, 108A²⁰, 10E⁰, 60D¹⁵, 144U²³, 14B⁹, 42C², 150G¹⁹, 24K⁹, 48C¹³, 70A¹³, 32D²¹, 84C²², 150B¹³, 64B⁹, 50C¹⁹, 48I²¹, 60B¹¹, 60B⁴, 102B⁹, 98A²⁴, 12A⁵, 90C¹⁹, 48CK¹⁷, 176A²⁴, 48CG²¹, 36E¹⁶, 126B¹³, 40A⁹, 90B¹⁸, 70A¹⁷, 18C¹, 12L³, 14C³, 50C⁵, 102G¹⁷, 42F¹⁹, 222A¹⁷, 72B²⁴, 154B¹², 24F¹³, 42D¹³, 60AB¹⁵, 36H¹¹, 94A²², 258A²¹, 24S⁹, 126H¹³, 46A¹⁰, 66A²⁴, 60D⁷, 60L¹⁵, 54C¹⁰, 32J³, 24F³, 24G⁸, 34B¹³, 186A¹⁵, 132B²³, 148A¹⁹, 180A¹⁶, 96E¹⁹, 32D⁷, 54A¹⁰, 60I¹³, 78B⁶, 104S²³, 2C⁰, 108C¹⁰, 114B¹¹, 32B¹³, 210B²³, 126D²¹, 100B¹⁹, 30C³, 60L¹⁷, 42B²⁴, 36B⁷, 14A¹, 64F²¹, 24F¹⁷, 42A²³, 30B³, 180D²¹, 60D¹⁹, 48A¹⁹, 40T¹⁷, 60T¹⁵, 48B¹¹, 18K¹⁰, 100L¹⁹, 48C¹⁵, 72N¹⁷, 40C¹⁹, 56B²⁴, 70A⁵, 24B⁴, 108C¹⁹, 50B²¹, 112A²⁴, 108D¹⁷, 90J²², 126L²³, 40W¹⁷, 100A¹⁵, 20B⁷, 96BA²¹, 18G¹⁰, 70C¹⁷, 56W²³, 30I¹³, 250B¹⁹, 42H¹⁹, 276C²⁴, 40AD¹⁷, 42I¹⁹, 90C⁶, 162B¹⁶, 162D¹⁶, 88A¹², 48D⁸, 234A²⁴, 84Q¹⁷, 14C⁰, 70H¹⁹, 64A¹⁹, 48B⁸, 202A¹⁷, 88C²⁰, 20L⁷, 90D¹¹, 60A¹¹, 90K¹⁷, 60E¹⁸, 72J¹¹, 40AC⁷, 50C⁷, 294B²³, 38B⁴, 18G¹³, 24AJ¹⁷, 32L¹³, 12E⁵, 54D¹⁶, 32C¹³, 42H²³, 30B²², 70F¹⁹, 72C¹⁷, 72B¹⁵, 238B²¹, 60A¹⁸, 276A²⁴, 186B¹⁴, 120F²³, 138B¹², 24A¹⁵, 32E⁹, 70C¹¹, 98A¹⁷, 38C²², 20D¹⁵, 12C³, 70B¹⁸, 90E¹⁷, 34B³, 72I¹¹, 8A⁵, 48AL²¹, 40A⁷, 42B², 12A⁷, 108C²¹, 140B²³, 42G²¹, 56C²⁴, 110A¹⁷, 52C²¹, 10C¹, 126K²³, 60D⁹, 80Z¹⁷, 36A², 126M²¹, 32Q²¹, 26A²³, 24AT¹⁷, 42L¹⁷, 252D²⁴, 180B¹⁶, 42M⁷, 96BD¹⁹, 52B⁷, 40Y¹⁷, 36B¹³, 24G⁹, 52D²³, 54B¹⁰, 64B²¹, 36B¹⁰, 50D²¹, 36M¹¹, 42A¹², 84A²⁴, 48B¹⁵, 20A¹⁵, 126F¹², 24I⁷, 18D¹⁹, 28C⁶, 52D¹¹, 36J⁹, 156B¹⁵, 36C¹⁰, 146B¹¹, 48F¹¹, 36F¹¹, 56F⁷, 36B⁶, 30A¹³, 24D⁸, 76A¹¹, 180D²⁰, 56A⁸, 198C²³, 180H²³, 60D²¹, 24S¹⁷, 108F¹⁷, 60J²¹, 210C¹⁷, 32E¹⁷, 64A¹³, 90G²⁴, 234A²¹, 42M²³, 36E¹⁹, 74A⁹, 84G²¹, 48D¹⁹, 14B¹⁷, 96L²³, 40B¹⁹, 18A¹¹, 170B¹⁵, 24AE⁹, 24M⁷, 90J¹⁵, 60A¹⁴, 186A¹⁶, 54G¹⁰, 42B¹⁵, 102C⁹, 20I⁵, 78C⁷, 14C⁵, 60P²¹, 48AX¹⁹, 56N²¹, 4D⁰, 16O⁵, 126M²³, 24J⁸, 72R¹³, 72C²¹, 80M¹⁹, 72C¹², 50D¹⁹, 80G²¹, 36C¹⁴, 120C¹⁶, 40W⁷, 16A⁷, 72Y²¹, 18A¹⁰, 50A³, 48B²², 24K¹³, 102B¹¹, 30C¹⁵, 150E¹⁵, 108A²², 48CI²¹, 16G⁹, 48M¹⁹, 48U¹³, 126D¹¹, 100C¹⁵, 40A¹⁶, 30B¹, 40L²², 40A¹⁷, 18B¹³, 150C¹⁵, 34A¹⁹, 84E¹³, 72Q¹³, 112P²³, 98B²⁴, 84B²⁴, 90F¹¹, 40B¹⁶, 48R¹⁹, 24A²¹, 42I²¹, 8F¹, 138B²³, 210D¹⁸, 20A¹³, 24F¹⁵, 228A²⁰, 210B²¹, 48AU²¹, 108A¹¹, 114A¹⁰, 48D¹¹, 18A⁴, 42B⁶, 66A¹¹, 84A¹⁵, 74A¹⁷, 96AZ²¹, 24B¹⁰, 38A¹⁶, 126A¹¹, 38B⁸, 50A¹⁹, 126C¹⁴, 52C¹¹, 92A²⁰, 138A¹², 70D¹⁴, 120L²³, 14D⁵, 338A²³, 84I¹³, 20N³, 84A⁶, 84E⁷, 70B⁹, 90D²⁴, 24W⁷, 72V¹³, 42B¹⁶, 198A²⁰, 32A⁶, 48A⁹, 28E¹¹, 70A²¹, 12D⁷, 36S⁴, 16B⁹, 330B²⁴, 100A¹⁹, 18C³, 54C⁴, 102C¹⁷, 40A¹¹, 126C¹¹, 48N¹⁹, 42J¹⁹, 60O²¹, 24F⁹, 72G¹⁶, 36K¹⁵, 126A²⁴, 16D⁵, 20C²², 42J²³, 90B¹⁵, 126I¹³, 42P¹⁹, 18J², 180A²³, 12N³, 96K²³, 198A¹⁷, 36G⁵, 24I⁸, 28G¹⁶, 68D¹⁵, 174A¹⁵, 210F¹⁶, 80BD¹⁷, 24J¹³, 12R¹, 30J¹³, 30I¹⁷, 112B¹⁶, 12O¹, 56N¹³, 126A²¹, 40C²², 218A¹⁷, 210B²², 48K⁷, 18G⁷, 40AD¹⁵, 24E², 90O¹⁷, 28D²¹, 28A¹⁵, 18D¹⁰, 60H¹⁸, 24D⁴, 36C¹⁹, 30G¹³, 14E³, 36F¹⁰, 84B²², 90E²⁴, 20J⁷, 40B¹⁴, 60F¹⁴, 48C¹⁹, 28F¹³, 22B¹³, 24C²¹, 24G²¹, 130A⁹, 22B¹⁷, 180F²¹, 16C⁵, 12F⁷, 60L¹⁹, 104B¹⁵, 110A²¹, 284A²⁴, 42F¹¹, 54D⁴, 42A⁴, 40AE¹⁷, 84D⁷, 64C¹³, 24Z⁵, 54H¹⁰, 24C⁷, 6B¹, 84A¹³, 40B¹⁸, 80W¹⁷, 54F¹⁶, 54L¹³, 24A¹⁷, 54M¹⁶, 32L⁷, 132A²³, 20B²², 30E⁹, 26A¹, 40N¹⁵, 28N²¹, 42D¹⁹, 16I², 308A²⁴, 210C¹⁸, 70A¹⁸, 12B¹³, 250A¹⁹, 132C²⁰, 14E⁵, 72E¹⁷, 126B¹², 30B⁸, 36J²², 42B⁴, 228B¹⁶, 32C¹⁹, 274B²³, 42E⁴, 24T⁹, 228A¹⁶, 80D²¹, 6J⁰, 56R²³, 52F²³, 48CN¹⁷, 32B⁷, 24P¹³, 210H²³, 76A¹⁶</t>
        </is>
      </c>
    </row>
    <row r="4">
      <c r="A4">
        <f>HYPERLINK("https://mathstats.uncg.edu/sites/pauli/congruence/csg0.html#group2B0", "2B⁰")</f>
        <v/>
      </c>
      <c r="B4" t="n">
        <v>0</v>
      </c>
      <c r="C4" t="inlineStr">
        <is>
          <t>Γ₀(2), Γ₁(2)</t>
        </is>
      </c>
      <c r="D4" t="inlineStr">
        <is>
          <t>3</t>
        </is>
      </c>
      <c r="E4" t="inlineStr">
        <is>
          <t>1</t>
        </is>
      </c>
      <c r="F4" t="inlineStr">
        <is>
          <t>3</t>
        </is>
      </c>
      <c r="G4" t="inlineStr">
        <is>
          <t>1</t>
        </is>
      </c>
      <c r="H4" t="inlineStr">
        <is>
          <t>0</t>
        </is>
      </c>
      <c r="I4" t="inlineStr">
        <is>
          <t>1¹, 2¹</t>
        </is>
      </c>
      <c r="J4" t="n">
        <v>2</v>
      </c>
      <c r="K4" t="inlineStr">
        <is>
          <t>1³</t>
        </is>
      </c>
      <c r="L4" t="inlineStr">
        <is>
          <t>1A⁰</t>
        </is>
      </c>
      <c r="M4" t="inlineStr">
        <is>
          <t>2C⁰, 4B⁰, 4C⁰, 6D⁰, 6F⁰, 10C⁰, 10B¹, 10F¹, 14B¹, 14C¹, 22B², 22C², 26A², 34C³, 18K⁴, 38A⁴, 46A⁵, 58A⁶, 62A⁷, 22A⁸, 74A⁸, 82A⁹, 86A¹⁰, 38A¹¹, 94A¹¹, 106A¹², 26A¹³, 118A¹⁴, 122A¹⁴, 26A¹⁵, 26A¹⁶, 134A¹⁶, 142A¹⁷, 146A¹⁷, 34B¹⁹, 34C¹⁹, 158A¹⁹, 166A²⁰, 178A²¹, 194A²³, 202A²⁴</t>
        </is>
      </c>
      <c r="N4" t="inlineStr">
        <is>
          <t>1A⁰</t>
        </is>
      </c>
      <c r="O4" t="inlineStr">
        <is>
          <t>24E¹, 16F⁵, 16A¹¹, 36L⁸, 90D²⁰, 24M¹⁹, 72F¹⁴, 48BK¹⁹, 84H¹⁹, 120O²¹, 56G²⁴, 56H¹², 88A⁹, 16B⁰, 64H¹³, 96B²⁰, 50A⁶, 30P⁷, 56H²⁴, 48AT¹⁹, 36C¹³, 176F¹⁹, 28A¹⁷, 24K³, 56C⁷, 60G¹³, 96S¹⁹, 40E⁹, 24AC⁹, 64A⁷, 60AE¹³, 48AH⁷, 60B¹⁸, 72L¹⁷, 48AM¹⁷, 42B⁸, 264C²⁴, 84J²³, 30P¹³, 136B¹⁵, 160N¹⁹, 48A⁰, 48AJ⁷, 76C¹⁶, 104G²³, 36H¹⁶, 56F²¹, 48CD²¹, 24I¹⁵, 96AS¹⁹, 102C²³, 84D²⁰, 80P¹⁹, 48AC¹³, 28D⁵, 36D¹⁹, 20I³, 60H⁹, 88H²¹, 16D⁹, 90G¹⁵, 72I¹⁶, 24AA¹⁷, 36Q²², 28D⁴, 40P⁹, 84C²⁴, 128B¹⁵, 48AF²¹, 36K²², 96AY²¹, 48BR¹⁷, 16B¹⁰, 24D¹⁵, 24X¹³, 10B⁴, 48BV²¹, 36F¹², 48BR²¹, 32E¹, 40T¹³, 60A²², 78E¹⁶, 40C¹⁶, 112P²⁴, 10A⁴, 60R¹¹, 84E¹⁸, 40G¹⁹, 24N⁷, 36H⁵, 180A²², 18D⁶, 88C⁸, 84I²³, 72X²¹, 72F¹², 64J⁷, 112B¹², 36R¹⁰, 52G²³, 24J⁵, 32B¹⁹, 64A¹¹, 54A⁸, 96AF²⁰, 60U²¹, 18C⁴, 60B²⁴, 32C²³, 96M⁹, 48AF⁹, 60W²¹, 96AA¹⁷, 48F⁴, 70B¹⁹, 140A²⁰, 84N²⁰, 160C²³, 126P²¹, 32N³, 32R¹³, 180G²⁰, 48AC¹⁷, 84G¹⁸, 100A¹², 24AP¹⁷, 66B¹³, 50E⁶, 28C¹³, 50A²³, 96A⁷, 124A¹⁵, 72N¹¹, 92B²², 24Y¹³, 140A¹⁸, 48CO¹⁷, 50E¹², 252G²⁴, 40C¹⁷, 50B²⁴, 112D²¹, 8B², 36B⁵, 14F⁵, 96F²¹, 24J¹⁵, 16N³, 18P⁴, 32H¹³, 88A¹¹, 32J⁹, 148A¹⁸, 36G¹¹, 22A²¹, 4F⁰, 48P¹⁵, 28D⁷, 60F²³, 24E⁹, 80G⁹, 112H¹¹, 144A²¹, 20C²¹, 44C²¹, 104B²¹, 60O⁷, 52C¹⁹, 28E¹³, 84C⁹, 96AJ²¹, 16H⁰, 168F²², 34B¹⁹, 24T³, 80H¹⁹, 30A²³, 30I¹¹, 144J²³, 42G¹⁹, 22A¹⁰, 40AQ¹⁷, 192A¹⁹, 24V¹⁷, 56B¹³, 48B¹³, 112L²⁴, 152A¹⁹, 10A⁷, 98B¹⁷, 40U¹⁷, 96D¹⁸, 72D¹⁹, 52F²¹, 22B⁹, 30K⁵, 24I⁵, 130A¹⁶, 84C²⁰, 96D¹⁶, 96Y¹⁷, 36D⁸, 60N¹⁹, 180M²³, 24H⁷, 80D¹⁹, 60T¹⁷, 18M¹⁰, 36N¹⁰, 34C³, 14B³, 56U²³, 72AB²¹, 144B¹³, 48C¹⁶, 48C¹⁸, 96U²¹, 16K⁹, 96BC¹⁹, 160I²¹, 88C²¹, 72H²¹, 32C³, 96E¹⁵, 80H²², 80H¹⁷, 36H⁶, 84C¹¹, 48O²¹, 60B¹⁷, 42C⁶, 56A¹⁸, 144W²³, 112D²⁴, 96O¹⁵, 96S²³, 48H¹⁸, 144J¹³, 30K¹¹, 96A²², 24K⁶, 24O¹³, 204G²³, 48V²¹, 32P²¹, 64H¹⁵, 100G¹³, 96C¹⁰, 64E⁷, 84J¹⁷, 32C¹¹, 48AK²¹, 184A²⁰, 40W¹⁵, 30B¹², 48V⁸, 64G⁷, 144H¹⁶, 90A²⁰, 92A²¹, 28J⁶, 48O¹⁹, 10C³, 48CH²¹, 32A²⁴, 18O⁷, 48AX²¹, 54F²², 72E¹⁸, 144E¹⁰, 132C²¹, 36D⁴, 18P², 60E¹⁵, 48BG¹⁷, 36F⁸, 42E⁹, 90E¹², 242A²², 58A¹³, 48CB¹⁷, 132C¹⁶, 64M¹³, 88B¹⁹, 112A²², 16A⁴, 80C⁸, 96X²¹, 140A¹⁹, 208C²³, 96C¹³, 48AG¹³, 60O¹⁹, 120C¹¹, 48AP¹⁹, 36R⁴, 42C²⁴, 72K¹⁷, 108E¹¹, 80AO¹⁷, 48AM⁹, 96I²¹, 12N¹, 72T¹³, 176C²¹, 224A²¹, 80H¹³, 140C¹⁹, 178A²¹, 48L⁸, 36N⁸, 60C⁸, 48F²⁰, 56F¹³, 40H⁷, 80AB¹⁹, 48BT²¹, 96P¹⁹, 192A²³, 96C²³, 140I¹⁹, 52H²³, 26E¹⁰, 108C¹⁷, 12U¹, 60G⁹, 40AE¹⁵, 88H¹⁹, 64B¹¹, 26C⁴, 34D¹³, 24AS¹⁷, 48Q⁸, 18K⁴, 8A², 20G¹³, 24U⁹, 16I⁵, 96H⁹, 72N²², 80U¹⁵, 164A¹⁹, 176E²³, 60C¹², 160A¹⁷, 48AP²¹, 48AF¹⁵, 36C¹, 24C¹⁷, 30F¹⁵, 140A¹⁷, 48A¹⁰, 24AK⁷, 96A²¹, 84C¹⁹, 40K¹³, 48P⁷, 32M⁷, 18A¹⁸, 48BT¹⁷, 36G⁸, 8H¹, 42I⁷, 14A¹¹, 96G²¹, 72I¹³, 96BA¹⁹, 24AE⁷, 72F¹⁹, 136G¹⁵, 24Y⁹, 12B¹, 126K²¹, 40AF¹⁵, 96A³, 110A¹³, 24K⁷, 48CE²¹, 48A⁵, 80C²², 40G²³, 52A¹⁰, 16E¹, 48W⁸, 40D⁸, 48Y¹¹, 204F²³, 72B⁶, 20C⁹, 96AC²³, 48V⁷, 80M⁹, 24M⁵, 72D⁶, 24T¹⁷, 40Q⁹, 72B⁷, 114A¹⁴, 180I²¹, 40N⁵, 38A¹¹, 48E¹³, 96AO¹⁹, 132B²⁰, 150B²⁰, 36C², 168C¹⁶, 20E⁴, 112B¹⁴, 112H¹⁵, 16A²¹, 36L¹⁷, 56O²³, 120B¹⁵, 8C², 72B⁸, 36F²¹, 32J⁷, 72U¹⁵, 24AB¹³, 168E²⁰, 24H¹⁵, 24F¹⁹, 76A¹⁷, 120M²³, 60R¹³, 60K¹⁹, 84B¹⁸, 200B²³, 8G⁰, 96D¹⁵, 66A⁹, 36O⁸, 14C¹, 68A¹⁵, 72W¹⁵, 48AI²¹, 128E¹³, 144K²¹, 120D²¹, 96F¹³, 72S¹⁵, 72Q¹⁵, 120N²³, 40B²⁴, 30D¹¹, 40O⁷, 112D¹³, 48AA¹⁵, 48BB¹⁹, 36J¹¹, 16C⁷, 100D¹², 50B⁶, 56A²⁴, 48B¹⁰, 96A¹², 80AH¹⁷, 32P⁹, 20B¹⁹, 24L¹³, 40E⁷, 48BS¹⁷, 64E⁹, 30E², 144C¹⁸, 48E²¹, 96AE²⁰, 20A⁷, 24E⁴, 96BB²¹, 224A²⁴, 32A¹⁹, 30E¹⁵, 40D³, 32D²³, 224C²⁴, 96R¹⁵, 80AC¹⁹, 256B²¹, 104M²³, 48AJ⁹, 48A⁷, 48R¹¹, 48N⁹, 48AI¹⁷, 90B²¹, 74B¹⁶, 72E¹⁶, 96G¹¹, 68F¹⁵, 104F²³, 24AB¹⁷, 78F²³, 20F¹⁰, 36L²², 224A²³, 100B²¹, 96E¹³, 80L⁹, 10I¹, 96L²¹, 120D¹⁴, 160J¹⁹, 250A²⁴, 36E⁷, 128B¹⁷, 176D¹⁹, 24AA⁹, 96AK¹⁹, 66C¹⁶, 48S¹³, 136D¹⁵, 32A¹¹, 48N¹¹, 48V⁹, 128B²¹, 56E²³, 56A¹², 102D²³, 96L¹⁹, 216C²², 24A⁸, 96BJ²¹, 18E¹⁰, 120C²¹, 48B¹⁸, 44B⁵, 24U¹³, 144A¹³, 56D¹⁰, 24AG⁷, 168F²⁰, 84H¹¹, 48AB²¹, 112E²³, 88A²², 72J¹³, 48G¹⁰, 58A¹², 48B²¹, 56L²¹, 180B²², 48S¹⁷, 52F¹¹, 38A⁸, 72G¹⁴, 96AY¹⁹, 120I¹³, 48W¹¹, 24I², 154B¹⁷, 48E¹⁹, 24I⁹, 60AA¹³, 20D¹³, 24K⁴, 40K⁷, 48AE⁹, 60M¹⁵, 96A¹³, 84D²⁴, 48BQ²¹, 96D¹³, 104P²³, 60F¹³, 136B¹⁷, 36D⁹, 20E¹, 32G⁷, 48AD¹⁷, 48AU¹⁷, 36S¹³, 32K⁷, 30F¹⁷, 70B⁸, 64F⁹, 28C⁵, 48A¹⁶, 40I⁹, 80N⁹, 48F¹⁰, 48E¹¹, 192J²³, 64B¹⁹, 30C¹⁰, 24M³, 40E¹¹, 40V¹³, 96AV²¹, 166A²⁰, 48C⁶, 24O¹⁹, 24M⁴, 48G²¹, 32P¹³, 84B¹³, 16D⁷, 80O¹⁵, 96I¹¹, 176C¹⁹, 120G¹³, 144C¹⁷, 80U¹⁹, 96A⁹, 12F¹, 96K¹⁹, 80AD¹⁷, 24D¹, 100P¹⁹, 40J⁹, 84H¹⁵, 72A²¹, 40H²¹, 72N¹⁶, 48AD⁸, 24J²¹, 144F²³, 48AX¹⁷, 8H⁰, 168D²², 30H²³, 48AK⁷, 96AQ¹⁹, 48CM¹⁷, 96F¹¹, 140H¹⁹, 48L¹¹, 156D¹⁷, 32F²³, 132D¹⁵, 112F¹², 72H²², 70F¹⁶, 72L²¹, 112B²³, 96AE¹⁷, 160D²¹, 24L⁴, 72E²², 18I², 40G⁹, 40D¹⁷, 24P¹⁹, 100A⁶, 84K¹⁷, 78E¹⁹, 48BS¹⁹, 48H⁷, 72C¹⁹, 104O²³, 48R²¹, 48BL²¹, 114A¹⁷, 100F¹³, 28M²¹, 48D²², 20H¹, 64I¹³, 48AA¹⁹, 144D¹⁹, 24A⁹, 36S¹⁹, 48E¹⁵, 48Z¹¹, 80E¹⁸, 48AS¹⁹, 60Q¹¹, 18B⁸, 96AB²³, 84A¹¹, 200J¹⁹, 24AC¹⁷, 60F¹⁷, 32F¹³, 64B¹³, 96C¹⁹, 112J¹¹, 144A²³, 48K¹⁹, 48BY¹⁷, 72C¹¹, 104E¹¹, 40W⁹, 54B⁶, 66A¹⁵, 24Q¹⁷, 48CJ¹⁷, 72M¹⁹, 64A²², 80M¹⁵, 176A²², 192E²¹, 16J⁹, 42G¹², 48AD¹⁵, 48CI¹⁷, 24D⁹, 48BG²¹, 48AF¹⁷, 192D¹⁹, 30E³, 112B¹¹, 36C⁶, 52G¹¹, 96R²³, 20C⁷, 72D⁸, 24Q¹⁹, 24R¹⁵, 24Y³, 64A⁹, 50C¹³, 96T¹⁷, 48BX²¹, 84F¹⁸, 112B²¹, 44A¹⁰, 20H¹⁵, 48X⁸, 96B²¹, 72G²², 10A³, 80AZ¹⁷, 28B¹⁴, 20K³, 32B²¹, 144E¹⁵, 36M¹⁰, 256B¹⁹, 80A¹⁶, 72W¹³, 40G¹⁵, 60O²³, 136F¹⁵, 32T¹³, 80AJ¹⁷, 48P²¹, 56F¹⁰, 8G¹, 32E¹⁹, 64M²¹, 80E⁷, 64D²¹, 64L²¹, 160B¹⁹, 40A⁵, 112A²³, 48C⁷, 112A¹⁴, 20C², 120D¹³, 30G¹¹, 66A¹⁶, 24Z³, 96I¹³, 48X¹⁹, 64E¹⁵, 192C¹⁹, 6F¹, 192F²³, 80V²¹, 204E²³, 90F¹⁴, 80G⁷, 48Z⁷, 96P²⁰, 72A¹⁷, 14A¹³, 48W²¹, 80I¹⁷, 48X¹⁷, 136A¹⁷, 212A²⁴, 48M³, 18E¹⁶, 160K¹⁷, 40G¹³, 120F²¹, 30N¹³, 60E¹⁶, 116A¹⁴, 152A¹⁸, 160B²³, 48E¹⁷, 24D¹⁹, 16E²¹, 24I²¹, 64Q¹³, 20D⁴, 10G¹, 96L²⁰, 56M²¹, 96AE¹⁹, 176B¹⁶, 96N²⁰, 24R¹³, 40C⁵, 80D⁹, 58B¹², 12F³, 24I¹⁷, 60Q²³, 60J¹⁹, 224F²⁴, 112W²⁴, 172A²⁰, 48B⁶, 52C¹³, 72E¹⁹, 74A²², 50B¹², 128A⁹, 56D²², 80AC²¹, 64D⁷, 16R³, 56P¹¹, 72K¹⁹, 48E¹⁸, 112F²³, 48AI⁷, 160G¹⁷, 72A¹⁰, 28A¹⁴, 84A¹⁰, 84A²², 36F²², 56O¹¹, 24N¹⁵, 16G³, 84F¹⁹, 36P⁹, 40F²¹, 150I¹⁹, 20A⁰, 16K³, 80AW¹⁷, 96P²³, 8C¹, 44A²¹, 40W¹³, 48F¹⁹, 54B¹³, 30F¹¹, 80K¹⁵, 48O⁹, 80E¹³, 96AZ¹⁹, 184B²², 56D¹³, 48AW²¹, 72AC²¹, 18A⁷, 56I¹², 48Y¹⁹, 32E⁷, 28J²¹, 30B⁷, 12B⁴, 68C¹⁵, 20J¹, 40L¹³, 26B⁵, 72E⁶, 48BZ²¹, 72K¹⁶, 32A²³, 64S¹³, 28F¹⁶, 30A⁶, 112C¹², 34A²¹, 96V¹⁹, 104N²³, 20B¹⁰, 80K⁷, 86B²⁰, 108B¹³, 20D⁹, 50D¹³, 40AH¹⁷, 208G²³, 24K⁵, 170A²³, 48J¹⁵, 60B⁷, 24H¹⁷, 88B⁹, 72B²², 56A¹⁶, 72K²¹, 110A¹⁵, 72O¹⁵, 48I¹⁶, 24AF¹⁷, 36J¹⁷, 128G¹⁵, 24W³, 42C⁸, 90B²⁰, 48U¹¹, 126H¹², 96AB¹⁷, 24B⁵, 80AN¹⁷, 20B¹⁷, 48AB⁸, 72B¹¹, 10G⁰, 24AA⁷, 24N⁵, 20J⁵, 34C⁵, 42K¹⁰, 96C¹⁶, 56O¹³, 112F¹⁵, 24J⁷, 112R²³, 100A²⁴, 48AQ¹⁹, 20F¹³, 48A²², 192A¹⁸, 40I¹⁵, 120O²³, 168G²⁰, 24I¹⁹, 10C⁰, 48M⁸, 24E⁸, 40B²⁰, 26A¹⁶, 96V²³, 40AR¹⁷, 64R¹³, 50E¹³, 30B¹⁶, 48AR¹⁹, 120D¹⁷, 80B²², 50F⁴, 100J¹³, 20C¹¹, 40H⁹, 16D²¹, 80K⁹, 112T²⁴, 16O³, 128D²¹, 144B¹⁴, 84K¹⁹, 180D²², 24W⁹, 20G¹⁵, 32O⁹, 80Y¹⁷, 96R¹⁹, 80P¹⁵, 20A²², 30C¹¹, 80N¹⁹, 12G⁰, 144C¹⁹, 118A¹⁴, 80D²², 48H⁹, 48BA²¹, 112I²⁴, 28I¹¹, 80B¹⁰, 48J⁴, 36Q⁴, 40H²³, 192B²³, 72L²², 60U¹³, 48AN¹⁷, 40AO¹⁷, 40Y¹⁵, 32A²², 176D²³, 56L¹², 168A¹², 96H¹⁷, 48CP²¹, 32X²¹, 96E¹¹, 32A¹⁷, 14E², 80E¹⁷, 160Q²¹, 72O¹³, 96O²¹, 56C¹³, 32B⁵, 48J³, 36E²², 24E¹⁹, 64F¹³, 24D², 60R¹⁷, 84D¹⁷, 112K²⁴, 48AO⁹, 48AC¹⁹, 42G¹¹, 24G⁵, 80J⁹, 48H¹⁵, 96K¹⁷, 192L²¹, 84L²⁰, 48G⁵, 96BM²¹, 36D⁶, 56B¹¹, 108A¹³, 64F⁷, 48BV¹⁷, 88D²¹, 56D⁶, 48BN¹⁹, 40D¹⁵, 96BE²¹, 20A⁸, 32G¹¹, 80V¹⁵, 96AS²¹, 48BM²¹, 12E⁰, 24C¹⁰, 60A¹³, 48O¹⁷, 64Q²¹, 48O⁸, 96A¹⁸, 12I⁰, 84K²², 28D¹³, 20A²⁰, 12G³, 52A¹¹, 48AC⁹, 40E¹⁰, 112Q²⁴, 36G²², 36I⁶, 48Z¹⁹, 60A⁵, 24K¹⁵, 48AG¹⁷, 36R¹⁹, 40G²¹, 288A²³, 82A¹⁷, 24G⁷, 36U¹⁹, 96AJ²³, 48L¹³, 20J³, 24AD¹⁷, 48CH¹⁷, 112A¹¹, 48O¹⁸, 48I¹¹, 108C¹⁶, 28F¹¹, 48K¹¹, 56E²¹, 96E²¹, 32C²¹, 32U²¹, 48AH¹⁷, 142A¹⁷, 96W¹⁷, 96Y¹⁹, 32C⁷, 72L¹⁶, 20B²⁰, 96M¹⁹, 48AZ¹⁹, 72B²¹, 144I¹³, 28D¹¹, 72R¹⁵, 56A²¹, 40M⁷, 44A²⁰, 16C¹, 48H¹⁶, 28C¹², 60G¹⁸, 24AI⁹, 130A¹⁷, 90K¹⁹, 24G¹⁹, 74A¹⁶, 18A²², 32C¹⁷, 72V¹⁵, 24A¹⁰, 40AP¹⁷, 60D⁶, 40N⁹, 48U¹⁵, 48BE²¹, 32B²³, 82A¹⁹, 40A¹⁹, 96AE²¹, 12F², 48P¹⁹, 12H², 48P¹¹, 44A⁸, 156B²⁰, 12C⁵, 20H⁷, 160A¹⁸, 80V¹⁹, 72H¹⁶, 24D¹⁷, 36A¹⁹, 72C⁹, 160L²¹, 32L⁹, 36D³, 168B¹⁵, 16E³, 40E¹⁹, 72S¹³, 48T⁹, 80P²¹, 224E²⁴, 160O²¹, 96C¹⁸, 24O⁷, 112S²⁴, 64I⁹, 30F¹², 168A²³, 40AB¹⁵, 80K²¹, 16C¹⁰, 24AK¹⁷, 78C²³, 164C¹⁹, 96Y²³, 176A²³, 40J¹³, 40M¹⁹, 96E¹⁸, 48N²¹, 40AI¹⁵, 96AD¹⁹, 96AR²¹, 80BE¹⁷, 64O¹³, 160F¹⁷, 96AA¹⁹, 56A⁵, 36B²⁰, 84G¹³, 64H²¹, 60B⁵, 30F¹⁰, 80D¹¹, 72K¹², 192D²¹, 12B², 84G¹⁷, 150C²⁰, 36B¹⁷, 24W⁵, 96AO²¹, 60W¹³, 48M¹⁸, 72K¹⁵, 44C¹⁶, 96BE¹⁹, 96R²⁰, 32A¹⁰, 48CK²¹, 78C¹⁸, 48AK⁹, 96A¹⁹, 16C⁶, 188A²², 28C¹⁰, 48D⁴, 16C⁹, 104A²¹, 28B⁹, 80AG²¹, 54T¹⁶, 36C²⁰, 80AT¹⁷, 48E²⁰, 90C²⁴, 28C¹¹, 32H²¹, 84L²³, 12L¹, 8D¹, 24R⁹, 168B²¹, 112C²¹, 36D²³, 48T¹⁵, 168Q²³, 24B⁰, 120Q²³, 24R¹⁷, 72O¹², 16C⁴, 24Y¹⁷, 224D²⁴, 12J¹, 32N²¹, 96B¹⁹, 48O⁷, 104R²³, 48AA⁸, 144E¹⁶, 128D¹³, 40B⁸, 72W¹⁹, 36E³, 60M¹¹, 64E¹⁴, 24G¹, 80T¹⁵, 112A¹², 40AS¹⁷, 192E¹⁹, 162A²², 14D⁷, 4E⁰, 42A⁸, 32B¹¹, 96AT²¹, 96A¹⁰, 40AJ¹⁷, 80B¹⁶, 30B⁶, 36N¹⁹, 176B²³, 96AX²¹, 14A², 20K⁷, 90E²², 24R¹⁹, 90B¹⁴, 144C¹⁴, 60P¹¹, 48AB¹⁵, 60T¹³, 60C⁷, 60K²³, 64G¹⁵, 28E⁷, 20C¹³, 60G¹⁷, 104B²³, 56B¹², 56L¹¹, 144D¹⁴, 60F¹⁶, 40B⁵, 20D¹, 80D¹⁷, 48CP¹⁷, 96B⁷, 192C²¹, 48F¹⁷, 56A²³, 22A¹⁹, 84B⁷, 80F¹³, 168R²³, 126F¹⁸, 48AE⁷, 48AA⁷, 48BI¹⁹, 48AM¹⁹, 80S²¹, 96K⁹, 54R¹⁶, 96AI²³, 80AX¹⁷, 56A⁷, 96O²³, 112D¹¹, 96AJ¹⁹, 96A⁵, 32S²¹, 90E¹⁰, 48H²¹, 72H¹⁴, 176G²³, 30S⁷, 72H¹³, 52B¹³, 60A¹⁶, 60T¹¹, 48Q¹⁹, 60A¹⁵, 140D¹⁷, 96L¹⁷, 112C¹³, 288A²¹, 48AN²¹, 120H¹³, 120A¹⁸, 48AG⁷, 56J²¹, 92A¹¹, 96R¹⁷, 176C²⁰, 48AH¹³, 16B³, 32H⁵, 52A⁵, 56J¹², 20C⁴, 48H⁸, 96Z²⁰, 32G⁹, 8I⁰, 84B¹⁶, 80BB¹⁷, 40M⁹, 144M²³, 36D⁷, 60H¹⁵, 112G¹⁵, 144B²³, 104D²¹, 88A¹⁹, 48BD¹⁹, 40I³, 136E¹⁵, 132C¹⁹, 16H⁹, 60E¹², 72O¹⁹, 96V²⁰, 32A¹³, 80B¹⁹, 120N¹⁷, 102C²¹, 28B², 66B¹⁹, 30S⁹, 156C¹⁷, 40AK¹⁷, 40A¹, 24B¹⁶, 32A²¹, 24N¹¹, 52A¹⁹, 132F¹², 48T¹³, 176C²³, 32G³, 224C²³, 44D⁴, 96Q¹⁵, 96AB¹⁹, 16A¹⁷, 202A²⁴, 112G¹¹, 60J¹⁸, 28D¹⁵, 160E²¹, 32I⁷, 112S²³, 32A¹, 60S¹¹, 256A²¹, 60S¹³, 36O¹⁰, 72B⁵, 96D²³, 54C⁸, 24AH¹⁷, 16B²¹, 48D³, 48W⁹, 50D¹², 40G¹⁰, 24AB⁹, 36G³, 72N¹³, 96F¹⁸, 28E¹⁵, 72J²², 96J²³, 48G¹⁹, 56A¹¹, 20A², 32C⁴, 102A²³, 32C²⁴, 40O⁵, 72X¹⁷, 84G⁸, 120B¹⁹, 84B¹⁹, 128A⁷, 48I⁹, 96A¹⁴, 96W²⁰, 40B¹⁵, 48AE¹⁵, 36K¹⁷, 24AN¹⁷, 22A⁴, 120C¹², 24G⁶, 48B¹⁷, 144E²¹, 96D⁹, 72F¹⁷, 20A⁴, 48AE¹⁹, 48X¹¹, 16C¹³, 112B¹⁵, 12C⁴, 36M¹⁹, 48D⁵, 162B²², 112I¹¹, 40I²³, 176B²⁰, 32F⁷, 100O¹⁹, 200A¹⁵, 28B⁶, 96Q¹⁹, 72F¹³, 56D²³, 80AF²¹, 100D¹⁴, 64H⁷, 30A¹², 48S⁷, 84I¹⁷, 84F²⁰, 28B²¹, 180H²⁰, 48AZ²¹, 96AQ²¹, 10F², 80I²¹, 22A⁵, 20R³, 72P¹¹, 60K¹⁵, 24R³, 48I³, 48F⁹, 96A⁸, 42R¹⁹, 90C¹², 42B²², 32B³, 6E¹, 160D¹⁹, 60C¹⁴, 24I⁶, 96E¹⁶, 48W⁷, 54S¹⁶, 60C⁶, 40H¹⁷, 72M⁸, 32A⁹, 24B⁹, 28C¹⁶, 96BF¹⁹, 48I¹³, 96X¹⁹, 48CQ¹⁷, 112E¹¹, 32C¹⁰, 48C⁹, 168D¹⁶, 42B¹⁸, 12P³, 48D²¹, 26B⁹, 32D¹³, 104A²³, 48A⁶, 48D²⁰, 8J⁰, 48I¹⁷, 240C²⁴, 28A⁹, 96AR¹⁹, 40A¹⁸, 64I²¹, 24V³, 40D¹⁹, 96AI¹⁹, 32M⁹, 60M¹⁹, 24A¹⁶, 60I¹⁹, 28A³, 60N¹⁵, 40J⁷, 36D¹⁵, 40Q¹⁷, 60N²³, 56M¹¹, 120F¹⁹, 56N²³, 50B¹¹, 192G²³, 96U²⁰, 24H³, 60L²³, 24M¹⁷, 24U⁵, 24S⁵, 28C¹⁵, 32A⁵, 24J⁹, 24AB⁷, 32H⁷, 48U¹⁹, 44A¹⁸, 36J⁸, 80C¹³, 42J¹⁰, 72O¹¹, 60X¹³, 24B¹⁷, 48I⁵, 40AA¹⁷, 72L¹², 10B¹, 12B⁹, 24B⁸, 40F¹⁵, 176G¹⁹, 80AI¹⁷, 70A⁹, 56G¹², 32A¹², 210B²⁴, 48P⁸, 64D¹⁵, 96AV¹⁹, 112G²³, 160G¹⁹, 32C⁵, 126C²⁰, 56M²³, 60D¹⁵, 14B⁹, 48BK¹⁷, 24AE¹⁷, 40Y⁷, 48C¹³, 144B²¹, 40N¹⁷, 156A¹⁸, 60V²¹, 32D²¹, 32H³, 116B¹³, 24M¹⁵, 64B⁹, 80I⁹, 72H¹⁹, 336I²⁴, 96AH¹⁹, 96B¹⁶, 40G⁷, 138A²¹, 54B²², 48I²¹, 60H⁷, 70J¹⁷, 36D¹², 56G¹⁴, 48AK¹⁷, 42H¹⁵, 84D¹⁶, 96A¹⁵, 96B¹², 48W¹³, 140B¹⁶, 64U¹³, 36I⁷, 96H¹¹, 40A⁹, 16B⁴, 100A¹³, 36B¹⁵, 100A¹⁴, 12L³, 88B²⁰, 80I¹³, 18K³, 84F¹³, 24Q¹³, 48J⁸, 54D²², 56J¹³, 36G⁷, 64I⁷, 10A⁶, 54E⁴, 80R¹⁷, 144N²³, 80AE¹⁷, 24E¹⁰, 60AB¹⁵, 60B⁹, 182A²², 94A²², 48CD¹⁷, 48H²⁰, 120L¹³, 48BR¹⁹, 148A¹⁷, 160L¹⁹, 48P¹⁷, 90A²³, 20A²¹, 48AT²¹, 96Q²¹, 42A¹⁶, 32J³, 32E⁶, 32C⁶, 56B⁶, 18Q⁴, 54A¹⁰, 96S¹⁵, 2C⁰, 48U⁷, 32B¹³, 92A¹⁰, 56G¹¹, 80AV¹⁷, 144H²³, 176D²⁰, 48CF¹⁷, 48AV²¹, 96N²¹, 40P¹³, 168D²⁰, 24J¹, 100C¹⁴, 42K²³, 48BM¹⁹, 32E¹¹, 160H²¹, 64C¹⁴, 20G⁵, 48Q¹⁸, 112C¹¹, 54G²², 188A²³, 112D¹², 84H¹⁸, 40D⁷, 80B²¹, 84E¹⁷, 20E⁵, 176B¹⁹, 60E⁶, 20B⁷, 40B⁹, 18G¹⁰, 70C¹⁷, 96K¹⁵, 48AF¹⁹, 40J³, 168C²², 180N²³, 48C³, 40AD¹⁷, 72J¹⁵, 48P⁹, 40S¹⁵, 48D⁸, 88E¹⁹, 24F², 200C²¹, 156B¹⁶, 48AR¹⁷, 88C²⁰, 48W¹⁷, 96AU¹⁹, 144B²², 180B²⁴, 72R¹⁶, 80F²¹, 128A¹⁷, 14C², 196A¹⁷, 84B²¹, 72E²¹, 56C²¹, 132B¹⁷, 96Z²¹, 96AN²¹, 32L¹³, 50A¹¹, 80E⁹, 24O³, 40A¹³, 36B²³, 36I¹¹, 64T¹³, 16A², 84J²⁰, 54D¹⁶, 72C¹⁷, 164D¹⁹, 80A²¹, 16C⁰, 44A²², 88D¹⁹, 56D¹¹, 120A¹⁷, 48BX¹⁷, 192G²¹, 40L⁵, 80I¹⁹, 160E¹⁹, 144B¹⁸, 16B¹¹, 24AG¹⁷, 120A¹⁹, 144F²¹, 96V¹⁵, 12O³, 68B⁷, 24E⁶, 40U¹³, 168F²³, 16H⁵, 24B³, 24AM¹⁷, 20D¹⁵, 54E²², 64J²¹, 140B¹⁸, 40G²², 36B¹⁸, 120F¹⁵, 30D³, 12A⁷, 56H²³, 28E⁴, 144X²³, 96AF²³, 162E¹⁶, 96V¹⁷, 24V⁹, 16F³, 72D¹⁰, 40C²⁴, 160A¹⁹, 100B¹⁴, 80Z¹⁷, 40D²³, 80C⁹, 192C²³, 24AT¹⁷, 72M¹⁶, 140C¹⁷, 192A²², 84E¹⁹, 96BD¹⁹, 8C⁰, 70A¹⁶, 40Y¹⁷, 40AM¹⁷, 124A¹⁴, 48H¹¹, 26A⁴, 70D⁹, 36B¹⁰, 96W²³, 102C¹⁵, 96AG¹⁷, 96B¹⁸, 84A²⁴, 112C²³, 120B¹⁶, 24H⁶, 132B¹⁶, 36L¹⁵, 96E¹⁰, 28C⁶, 40C⁹, 76A²⁴, 64B¹⁴, 48F¹¹, 144A¹⁸, 144D¹⁵, 28F⁴, 96BK²¹, 186B²³, 32D²⁴, 24S¹⁷, 40V⁷, 100B¹³, 72L¹³, 24D⁵, 14A¹⁹, 72I²³, 48D¹⁹, 96U²³, 32V²¹, 14B¹⁷, 96L²³, 48BJ²¹, 40B¹⁹, 84G²⁰, 80AP¹⁷, 120A²¹, 96AA²¹, 32L³, 24AE⁹, 160I¹⁹, 48AP⁷, 60A¹⁴, 60V¹⁵, 24M⁷, 28C⁴, 56E¹⁷, 48D⁶, 88B²¹, 48G¹⁷, 30L⁷, 120B¹⁷, 180F²⁰, 16E², 96G¹³, 48AX¹⁹, 140C¹⁸, 48E⁴, 80W¹⁹, 108A⁷, 16O⁵, 42C²¹, 24L⁹, 72C²¹, 64B⁷, 72G¹⁹, 80G²¹, 176A²¹, 126J²¹, 32N¹³, 40W⁷, 48K³, 24K¹³, 240A²³, 144I²³, 48AV¹⁹, 36P¹³, 112A¹⁵, 48M¹⁹, 36C⁷, 80U²¹, 84F¹⁷, 24C¹⁶, 40A¹⁶, 40L²², 120L¹⁵, 80P¹⁷, 160U²¹, 18B¹³, 72D¹⁶, 72Q¹³, 32P³, 72D⁹, 128C¹⁵, 96C¹², 40AN¹⁷, 48C¹¹, 64O²¹, 112P²³, 30J¹¹, 70D¹⁵, 40B¹⁶, 32R⁹, 56G²², 200A²¹, 144I²¹, 48R¹⁹, 96AD²⁰, 32G⁵, 96F¹⁷, 68C²¹, 48J¹⁶, 100H¹³, 100D¹³, 24AA¹³, 32J¹¹, 48S¹⁸, 48M¹³, 96G⁹, 56E¹¹, 40L¹⁷, 48R⁷, 48AP¹⁷, 40N²², 18A⁴, 24N⁸, 144K²³, 74A¹⁷, 40Z⁷, 240B²³, 52C¹¹, 84Q²¹, 44C²², 80H¹⁵, 18I¹, 14D⁵, 64F¹⁴, 104A¹⁹, 72D¹², 48D⁹, 32A⁶, 16J¹, 84A¹², 24J¹⁹, 80AY¹⁷, 48W¹⁹, 64I¹⁵, 36B¹², 10E², 32C¹, 64W¹³, 168A²⁴, 60V¹¹, 30I⁴, 72R¹⁷, 96AF¹⁹, 144P²³, 80E¹⁹, 72E⁹, 72G¹⁶, 48I⁸, 96AC¹⁹, 16D⁵, 72P¹⁶, 48Q¹⁵, 78A¹⁸, 112X²⁴, 20C²², 20E¹⁰, 140A¹⁶, 60O¹¹, 48AI¹⁹, 24P², 32D¹, 84I¹⁹, 28D¹², 120H¹⁵, 96K²³, 12N³, 48H³, 32F¹¹, 96H²³, 68D¹⁵, 48Z¹⁵, 40J²², 80B¹¹, 32Q¹³, 80BD¹⁷, 24P¹⁵, 24J¹³, 32D³, 30J¹³, 56E¹⁰, 72S¹⁶, 96E²⁰, 176B²², 34B⁹, 80O¹⁷, 28A¹⁶, 96AK²³, 72E²⁰, 24D⁴, 36C¹⁹, 80C¹⁹, 96AL²¹, 150A²⁰, 36L⁷, 104H²³, 144B¹⁶, 12I³, 56D¹⁶, 120A¹⁵, 112F²⁴, 20J⁷, 80AF¹⁷, 144C²³, 84G¹⁹, 128E¹⁵, 104K²³, 64B¹⁷, 90B²³, 30C²¹, 56F¹⁷, 96J²⁰, 24G²¹, 72H¹⁷, 52E¹¹, 90D¹⁰, 60D¹³, 72F¹⁵, 168A²⁰, 16A¹, 120J¹⁵, 72N¹², 40F¹⁷, 60N⁹, 36A¹⁸, 56D⁵, 16L⁹, 48C²³, 44B⁸, 48H¹³, 24Z⁵, 20D⁶, 96J¹⁵, 60J¹⁵, 14G⁵, 16D¹, 64E¹³, 80V¹⁷, 28H⁵, 172A²¹, 48AB⁹, 132A¹³, 54F¹⁶, 80Q¹⁷, 16F¹, 84E²⁰, 32L⁷, 32J²¹, 36O⁷, 40N¹⁵, 48T¹⁹, 48AA¹¹, 60D¹⁶, 80F⁹, 168A²¹, 36G⁴, 12B¹³, 64B⁵, 72E¹⁷, 112T²³, 48BQ¹⁷, 80B¹⁸, 32I¹³, 16G¹, 144G¹⁹, 96T¹⁹, 48J⁶, 224B²³, 96B⁸, 24T⁹, 56R²³, 168E²², 100C²¹, 76A¹⁶, 40G³, 56C⁶, 140C¹⁶, 72I²², 16B¹⁹, 84F¹⁶, 154A²¹, 192E²³, 20E³, 48M⁹, 16P³, 110B¹⁴, 24O⁹, 96D²⁰, 40H²², 40E⁸, 48D¹⁶, 64K¹³, 80C²¹, 24AO¹⁷, 20B²¹, 30D¹⁶, 144H¹³, 72P¹⁵, 48AD²¹, 48E⁵, 36E⁶, 24AF⁷, 60B¹⁶, 60U¹¹, 32G²¹, 28A⁸, 36K⁵, 36C¹⁵, 32H¹¹, 48L¹⁵, 168D²¹, 48BW²¹, 40AJ¹⁵, 78B¹⁹, 40U¹⁵, 168A¹⁷, 32K⁹, 40R¹⁵, 112H²³, 48A¹¹, 24X³, 64G²¹, 30F⁷, 48BH²¹, 48AY¹⁹, 32B²⁴, 112B²⁴, 44B²⁰, 184A²¹, 48BH¹⁷, 168C²¹, 18C¹⁰, 56B⁵, 164B¹⁹, 56D²⁴, 56J²⁴, 18E², 24V¹³, 48BG¹⁹, 120R²³, 30E¹², 154A²⁰, 56A¹⁰, 24B¹⁹, 158A¹⁹, 160G²¹, 48AW¹⁹, 84J²², 12A¹³, 96I⁹, 30K²³, 36A²², 56C¹², 82A⁹, 126O²¹, 48X¹⁵, 30H¹³, 108B¹⁶, 100N¹⁹, 16K¹, 132A¹⁷, 40F²², 48BU²¹, 36L¹¹, 60R²³, 40U⁷, 16A¹⁹, 40F⁹, 64A²¹, 14B¹³, 64E²¹, 30F²³, 208D²³, 80B⁹, 60D¹², 36C²², 96BD²¹, 48Y⁹, 48L⁹, 48BZ¹⁷, 60P²³, 96AL¹⁹, 72C¹⁰, 72C⁸, 84H²¹, 144F¹⁹, 36H⁸, 72G¹⁷, 192F²¹, 12D⁰, 24E¹⁵, 24AC¹³, 192B¹⁹, 64P²¹, 40F¹³, 48H¹⁹, 160I¹⁷, 24X⁵, 16G⁰, 48M¹¹, 24P⁴, 48R⁸, 32F⁹, 72Q¹¹, 32N⁵, 6C¹, 48G²⁰, 144D¹⁶, 40V¹⁵, 80K¹⁷, 120B¹¹, 80K¹⁹, 64D⁵, 28I⁶, 56B⁹, 8K⁰, 96AC²⁰, 190A²⁴, 20T³, 60G¹⁵, 80B⁸, 48Y²¹, 32E¹³, 72O¹⁶, 40M⁵, 96AA²⁰, 112Q²³, 20C¹⁰, 78B¹⁸, 72C¹⁴, 24L⁷, 32B¹, 60B¹², 48AC⁸, 168B²², 72M²², 108F²², 84B¹¹, 48K¹⁵, 30A²⁴, 96I²⁰, 48J¹¹, 96H¹³, 64V¹³, 160A¹⁵, 24N¹³, 56G²¹, 144Y²³, 48H⁵, 48BT¹⁹, 40D⁹, 12P¹, 72H¹⁵, 20F², 40F²³, 84C¹⁶, 42C¹⁷, 42G¹⁷, 72AA²¹, 56F¹⁶, 154A¹⁷, 90E²³, 48AJ²¹, 120K¹⁵, 80T²¹, 64N²¹, 84H¹⁶, 140B¹⁹, 64J¹⁵, 100Q¹⁹, 160M¹⁹, 32A², 40AH¹⁵, 24L³, 80U¹⁷, 78A¹⁷, 40AI¹⁷, 96C⁷, 24Q³, 32L⁵, 96I²³, 12K¹, 72I²¹, 80S¹⁹, 60N¹¹, 48D¹⁷, 24AH⁷, 8L⁰, 64B³, 30K¹³, 84F⁸, 32J¹³, 108E²¹, 96D¹⁷, 36B¹⁹, 42C¹⁰, 96P¹⁷, 96C¹⁷, 80M¹⁷, 144G¹³, 48BN²¹, 42C¹⁶, 84B⁹, 6K⁰, 32A¹⁸, 144D¹³, 16M¹, 160F¹⁹, 42K¹⁹, 96AF¹⁷, 80E²², 60AB¹³, 96G¹⁸, 156A¹⁹, 80J¹⁹, 36Q¹⁰, 18N⁷, 18K⁷, 24N², 84A²¹, 48AS²¹, 112J²⁴, 16C³, 96AB²¹, 12D⁵, 60D²³, 36F⁴, 56I²³, 80B¹⁷, 18A¹⁶, 96F²³, 96G¹⁷, 10D², 112O²⁴, 16C²¹, 36A⁸, 104C²³, 60Y¹³, 96C²², 50H¹², 120E¹⁹, 16A⁵, 36K¹¹, 60G²³, 48CQ²¹, 36C²³, 96B¹⁰, 128D¹⁵, 96P²¹, 80AR¹⁷, 36I⁵, 32C⁹, 42L¹³, 36C⁸, 96AI¹⁷, 42B⁵, 20B¹¹, 18E⁷, 72P¹³, 84M¹⁷, 96AG²¹, 88A²¹, 128C¹³, 24M⁸, 30P⁵, 40H¹⁵, 24F¹¹, 48V¹⁵, 16B¹⁷, 96T¹⁵, 16F⁹, 160N²¹, 20K⁵, 30D⁶, 24S³, 56E²⁴, 48AM⁷, 32D⁵, 48CO²¹, 24R⁵, 84F²¹, 54B⁸, 24B⁶, 184B²³, 168E¹⁸, 64K²¹, 160C¹⁷, 72G²¹, 144A¹⁹, 96I¹⁷, 48R¹⁷, 40Z¹⁷, 96E²³, 48BL¹⁷, 84C¹⁴, 84I²², 72M¹⁷, 36O⁹, 80AE²¹, 24J¹⁷, 44B²¹, 70D¹⁷, 18M⁷, 36F⁷, 28A¹⁰, 48AD⁷, 28C², 36P²², 56C⁴, 48BC¹⁷, 108F¹⁰, 36A¹⁰, 80H⁹, 56D¹², 48BH¹⁹, 48C⁸, 42L²³, 24C⁹, 48G¹⁸, 60AF¹³, 56K²¹, 70G¹⁹, 96U¹⁵, 48BF¹⁷, 54A²², 84B¹², 40A⁴, 112D¹⁴, 96AJ¹⁷, 54B², 40T⁷, 96L⁹, 24X⁷, 24E²¹, 14B⁴, 12S¹, 36E⁸, 16E⁷, 48CB²¹, 48AG⁹, 26A², 192J²¹, 40C⁴, 96P¹⁵, 72D¹⁷, 52A⁶, 60AA¹⁵, 26D¹⁰, 80I⁷, 168B²⁴, 96AP²¹, 60O¹³, 24AR¹⁷, 96G²³, 160F²¹, 48AV¹⁷, 24S¹⁵, 120L¹⁹, 80N²¹, 48BD¹⁷, 16C², 42E¹⁶, 8A³, 44C⁴, 192N²¹, 72E⁴, 160E¹⁷, 132B²¹, 90A²¹, 18E¹⁹, 96D¹⁹, 180J²¹, 96Y²⁰, 40L⁹, 76A²², 10F¹, 104C¹¹, 98A⁷, 16B⁵, 80L¹⁵, 16L³, 104C²¹, 96L¹⁵, 48BE¹⁷, 224A¹⁹, 152A¹⁶, 208I²³, 72M¹⁵, 72A¹¹, 48AI⁹, 48BU¹⁷, 36J³, 12C², 42C³, 22A⁸, 96H¹⁹, 96H²¹, 68A¹³, 24AI⁷, 12T¹, 30C¹⁶, 28B¹⁶, 66A⁸, 112H²⁴, 48BM¹⁷, 16M⁵, 48BJ¹⁹, 24F⁶, 36M¹⁵, 72U¹³, 84N¹⁷, 24AD⁹, 48B²⁰, 44B²², 18L², 24D²¹, 24B², 116A¹³, 24U³, 16B², 48J¹⁷, 160M²¹, 16B¹³, 128C²¹, 18H¹⁰, 24H⁵, 64L¹³, 56N¹¹, 48F²¹, 160P²¹, 32N⁹, 160A²¹, 88B¹⁰, 48B⁵, 128A¹³, 112Y²⁴, 48E⁹, 72E⁸, 128A¹⁵, 26B¹³, 48K¹⁷, 96BI²¹, 96AX¹⁹, 32A³, 8B⁰, 200B²¹, 24Y⁵, 84I¹¹, 48BD²¹, 18A⁸, 14D³, 208A²³, 48BQ¹⁹, 192D²³, 24H⁴, 16F²¹, 28F⁹, 56G¹³, 96W¹⁹, 66A¹⁴, 96B²³, 48CN²¹, 48O¹⁵, 66B¹⁶, 72B¹⁴, 80C¹¹, 48F⁸, 24F²¹, 32F⁶, 96B⁹, 24AG⁹, 80S¹⁵, 88B¹¹, 62A⁷, 112K²³, 52A¹⁶, 24I³, 80J⁷, 96D⁸, 36I⁸, 48B¹⁶, 72B¹⁷, 160K¹⁹, 72M¹¹, 42A⁹, 96AM²¹, 56C¹⁰, 72E¹², 20A¹⁰, 28E⁵, 60B¹⁵, 216A¹⁷, 20D¹⁹, 52B²³, 40X¹⁵, 24B¹⁵, 40E²², 64H⁹, 144G¹⁶, 72G⁸, 40N¹³, 48P¹⁸, 48F⁵, 156B¹⁹, 24H⁹, 36I¹³, 48BC¹⁹, 48H⁴, 110A¹⁴, 24AB⁵, 48S¹⁵, 72M¹³, 48G⁴, 96AN¹⁹, 80H²¹, 104Q²³, 150A¹⁶, 54A¹⁵, 156A¹⁶, 192L²³, 108E²², 60P¹⁷, 48Q¹¹, 48AB¹⁹, 48G⁸, 48F³, 32B⁶, 144G²³, 60V¹³, 60C¹⁰, 24AK⁹, 64K¹⁵, 60O¹⁵, 48P¹³, 36J¹⁰, 48BE¹⁹, 50B¹³, 156B¹⁸, 30C⁶, 40A⁸, 64A¹⁵, 32B⁴, 126D²⁰, 48AH²¹, 48U¹⁷, 160A²⁰, 40P¹⁵, 96W²¹, 24AJ⁹, 18N⁴, 136A¹⁵, 60I¹⁵, 56B²¹, 144B¹⁵, 96S²⁰, 40M¹⁷, 80Q²¹, 56I²⁴, 40S¹³, 96B²², 28E²¹, 36N¹⁵, 40A²⁰, 128H¹⁵, 32K¹¹, 80L¹⁷, 56B¹⁰, 20M³, 24V⁷, 40K¹¹, 112E²¹, 96C²¹, 36I¹⁷, 48CM²¹, 76A¹⁸, 28E⁶, 68B¹⁵, 48BC²¹, 72B²⁰, 40J¹¹, 32G¹³, 96AA²³, 48B²³, 48Y¹³, 36Q⁹, 8I¹, 48BJ¹⁷, 136C¹⁷, 24Z⁹, 12G², 12K³, 48Q²¹, 56H¹³, 64D¹⁷, 112H¹², 96AL²³, 160C¹⁵, 28E¹⁶, 24E¹⁶, 96Z²³, 72A²⁰, 84H²⁰, 80AE¹⁹, 64C²¹, 134A¹⁶, 72B¹⁶, 56P²³, 60C⁴, 28B¹⁷, 6G⁰, 36G¹³, 48AA¹⁷, 56B¹⁹, 40F⁷, 48BB¹⁷, 56E¹³, 160B²⁰, 44B¹⁹, 160S²¹, 40F³, 72K¹⁴, 52A⁹, 72H¹², 32R²¹, 120B¹³, 84D¹⁹, 80BC¹⁷, 22C¹⁸, 56F²², 48M²¹, 24F⁴, 96BC²¹, 40O⁹, 32C², 48D¹³, 14C⁷, 112A²¹, 48U⁹, 96AM¹⁹, 100A¹⁰, 8B¹, 28D¹⁶, 24J⁶, 96M¹⁵, 40E²³, 48B⁴, 36M⁸, 30R¹³, 48AB⁷, 144J²¹, 48AA⁹, 112D¹⁵, 24AL⁷, 32B²², 36O¹⁹, 160H¹⁷, 96D¹², 72I¹⁵, 48K²¹, 24C¹⁹, 96G²⁰, 24M², 24T⁵, 36T¹³, 176C²², 48T¹⁷, 32B¹⁰, 96O²⁰, 48CL²¹, 144B¹⁹, 32H⁶, 24AJ⁷, 16J⁵, 52A⁴, 48D¹⁸, 88C¹⁰, 30A²², 108G¹⁷, 30A¹⁵, 48AA¹³, 40Q⁷, 32K⁵, 96BH²¹, 80AM¹⁷, 12J⁰, 96AD²¹, 60C¹⁵, 18I⁷, 48L²¹, 144F¹⁶, 96J⁹, 112N²⁴, 24C¹⁵, 144B²⁰, 48T⁷, 56Q¹¹, 80AD²¹, 160J²¹, 108A¹⁶, 80AB¹⁷, 48I¹⁰, 40A¹², 32O³, 48G⁷, 176E¹⁹, 42I¹⁶, 48E¹⁰, 16Q³, 48O¹³, 78C¹¹, 48CA²¹, 60X²¹, 84A¹⁹, 48AT¹⁷, 72Q¹⁶, 48CG¹⁷, 48E¹⁶, 104J²³, 72R¹¹, 24G¹⁷, 40AA¹⁵, 24J⁴, 36B⁸, 126A¹⁷, 176A¹⁹, 208H²³, 48AH¹⁹, 90E¹⁴, 96X²⁰, 22A¹⁶, 32F²¹, 72Y¹⁷, 90A¹⁴, 126K¹⁷, 12C¹, 36T¹⁹, 144E¹³, 72I¹⁹, 80C¹⁸, 56Q²³, 80BA¹⁷, 8O⁰, 48I²⁰, 72G¹⁵, 10A¹³, 60D²², 60E¹⁴, 80AD¹⁹, 72I¹⁷, 12B⁵, 144E²³, 80O²¹, 12D², 30R⁹, 24B²¹, 16S³, 72A¹⁶, 28G⁶, 32F³, 30O⁵, 38A¹⁰, 32D¹⁷, 68D¹³, 24V⁵, 34C¹³, 100C¹², 144L²³, 112N²³, 64A¹⁴, 20C⁵, 160C¹⁹, 48G¹³, 12H³, 16D¹¹, 48N¹³, 56C¹¹, 40M¹⁵, 84D¹⁸, 80R²¹, 120K¹⁹, 112O²³, 8K¹, 80A¹⁹, 48AO¹⁹, 16G⁵, 96AT¹⁹, 80Y¹⁹, 24N¹⁹, 48T²¹, 32K³, 112E¹⁵, 32O¹³, 44A⁵, 16K², 168E²³, 104L²³, 16L¹, 144L²¹, 48Q⁷, 68C¹³, 144G²¹, 52B⁹, 72K²², 84K²³, 40C²³, 48J⁵, 24Y⁷, 80N¹⁵, 20A¹⁹, 84C²¹, 66A²⁰, 126J¹⁷, 160R²¹, 28B¹², 36B², 24A⁵, 12E², 32Y²¹, 40P⁷, 48L¹⁸, 42H¹⁶, 192B¹⁸, 180A²¹, 48CA¹⁷, 72L¹⁵, 92B²⁰, 20N⁷, 112R²⁴, 192I²¹, 24H⁸, 56E¹², 112F²¹, 104A⁹, 72J¹⁴, 72E¹⁴, 84A¹⁶, 192A²¹, 144D²³, 56F¹⁵, 168F¹⁸, 24AP⁹, 48C⁵, 24W¹⁷, 96H²⁰, 32B¹⁷, 84A²⁰, 48BO¹⁹, 72D²⁰, 48X²¹, 42E¹⁰, 160B²¹, 112E¹², 40AC¹⁷, 32K²¹, 96E¹⁷, 40Q¹⁵, 144C¹⁶, 36G¹⁶, 48F¹⁸, 80D⁷, 28H¹⁶, 256A¹⁹, 48V¹¹, 70G¹⁷, 32B¹², 24R⁴, 82B¹⁹, 48AM²¹, 70A⁸, 80Y²¹, 48AN⁹, 64K⁷, 36K³, 36C¹⁶, 40T¹⁵, 40F¹⁰, 160D²³, 24Z¹³, 60B¹³, 96U¹⁷, 48K¹⁸, 40AB¹⁷, 24S¹³, 16B⁶, 128F¹⁵, 80J²¹, 48Z⁸, 24AQ¹⁷, 36E⁴, 32D¹¹, 80F²², 16J³, 96I¹⁹, 210A²⁴, 60AI¹³, 112Z²⁴, 84B¹⁰, 24A⁰, 60H¹⁹, 42A⁵, 30H¹², 112J²³, 24D¹⁶, 70I¹⁹, 28F¹⁵, 48CL¹⁷, 72F²⁰, 90G²², 40AG¹⁵, 96T²⁰, 40AT¹⁷, 48H¹⁷, 84F²², 36O²², 48AW¹⁷, 12V¹, 90G²⁰, 20C¹⁹, 30A¹⁹, 84I¹⁶, 76A⁸, 128B¹³, 72A²², 72A⁵, 24S¹⁹, 20E¹⁵, 186A²³, 88A¹⁰, 44D¹⁷, 16H³, 40F⁸, 100C⁷, 32O²¹, 36C⁹, 40L¹⁹, 120C¹⁴, 30D⁴, 160B¹⁷, 192B²², 36H²², 40R⁷, 96AD¹⁷, 144J¹⁹, 120D¹⁸, 40A¹⁵, 76A⁹, 48BF¹⁹, 48AG²¹, 196A²¹, 80A¹⁷, 90A²⁴, 24G⁴, 64N¹³, 48AO²¹, 104I²³, 48G³, 40I⁷, 48B⁹, 40AL¹⁷, 72J¹⁹, 64G¹⁴, 36H⁷, 84I²⁰, 80E¹⁵, 128A¹¹, 32M⁵, 56A¹⁹, 56B⁷, 168F¹⁶, 48BI²¹, 64A²³, 20F⁵, 48BP¹⁹, 14F², 28C²³, 28B³, 56E¹⁶, 36N²², 144A¹⁷, 64D¹³, 96I¹⁵, 40E²⁴, 40H³, 84B²⁰, 60O¹⁷, 20B⁹, 48T⁸, 128A¹⁹, 96E⁹, 72I¹², 48AE¹³, 80G¹⁹, 96J²¹, 78C²¹, 12D³, 48V¹⁹, 28I²¹, 24C⁵, 42D¹², 16A¹⁵, 18J³, 144F¹³, 12E³, 48L¹⁷, 56V²³, 30G¹², 48R¹⁸, 6D⁰, 48V¹⁷, 40L⁷, 56C⁵, 84C¹³, 48AK¹⁹, 156C¹⁹, 16I¹, 54E¹⁶, 80I¹⁵, 48N¹⁷, 106A²⁴, 36H¹³, 72B¹⁹, 96R²¹, 64F¹⁵, 24E⁵, 30L¹³, 80A¹⁰, 42D¹⁵, 64P¹³, 112M²⁴, 40S⁷, 160T²¹, 70E¹⁷, 48J¹⁹, 96A¹⁷, 96T²¹, 48Y⁷, 84E²⁴, 48BP¹⁷, 56F¹¹, 120M¹⁵, 60I²³, 32A⁰, 192M²¹, 128F²¹, 30G²¹, 36I³, 64A², 24E¹⁷, 96J¹⁷, 72T¹⁷, 80AS¹⁷, 156D²³, 42C²², 16N⁵, 16D³, 56C²², 24H¹¹, 28B¹³, 40AF¹⁷, 96M²³, 42I¹⁰, 48D²³, 24P⁸, 96E⁸, 40B⁴, 42L¹⁹, 50A¹³, 112B¹³, 40H¹⁹, 18E³, 22A²², 40AA⁷, 62A¹⁹, 30E⁷, 24AL¹⁷, 144A²⁰, 66F⁶, 12H⁰, 64A³, 40D¹⁰, 16E⁵, 28D¹⁷, 72F⁸, 80G¹³, 24Q⁴, 56H²¹, 40R¹³, 80M²¹, 14B¹, 168E¹⁶, 80G¹⁷, 40J¹⁷, 48T¹¹, 40X¹⁷, 42D²⁴, 24L¹⁵, 96AU²¹, 48CE¹⁷, 120G¹⁵, 48AE²¹, 24R⁷, 120K¹³, 36P¹⁰, 48CF²¹, 104B¹³, 60AG¹³, 70F¹⁸, 96W¹⁵, 48BS²¹, 32U¹³, 90O²¹, 8A¹, 48BW¹⁷, 14C⁹, 48M¹⁷, 64B¹⁸, 84C¹⁰, 60B⁶, 48I¹⁹, 104E²³, 70A²³, 32O⁵, 168A²², 50E²², 18J¹, 16I³, 36J¹³, 88B¹⁸, 184A²², 18E⁰, 80G¹⁵, 40O¹³, 48AQ¹⁷, 112U²⁴, 88A¹⁷, 112F¹¹, 80N¹⁷, 30K³, 54B⁷, 16E⁹, 60B¹⁴, 78B¹⁶, 72P¹⁷, 40F¹⁹, 60AF¹⁵, 104D¹¹, 32M³, 56F²³, 12E⁷, 16B⁷, 32D⁹, 4G⁰, 36A⁵, 22B²², 72F¹⁶, 72B¹⁰, 40D²⁴, 148B¹⁷, 16A¹⁰, 102C¹¹, 80C¹⁷, 78A⁸, 52C²³, 40K²², 84D²¹, 80A⁹, 24N⁴, 112U²³, 36A²³, 60I⁷, 70C¹⁸, 60U¹⁵, 80AG¹⁷, 40Q¹³, 48BO¹⁷, 48CC¹⁷, 48X⁷, 88F¹⁹, 250B²⁴, 32F⁵, 120A¹¹, 48AD¹⁹, 36E²¹, 24U¹⁷, 72J²¹, 44C¹⁰, 120E²¹, 36N⁷, 40O¹⁷, 160M¹⁷, 48Y⁸, 40C¹⁵, 96Q¹⁷, 16A⁶, 10F⁰, 28C²¹, 24C³, 96A¹⁶, 72D¹¹, 64A¹⁷, 48N¹⁵, 56A¹³, 160C²¹, 24F⁸, 48AF¹³, 48A¹³, 96N¹⁵, 84N²², 60L¹¹, 84M²⁰, 48AZ¹⁷, 96AH²³, 24L¹⁹, 96AD²³, 56E⁶, 72A²⁴, 24AF⁹, 48B⁷, 160A¹⁶, 120I¹⁵, 30Q⁷, 24T⁷, 96AI²¹, 80AA²¹, 90K²¹, 24AH⁹, 48Y¹⁷, 30H¹¹, 32A⁴, 48S¹⁹, 60E¹³, 16J², 36D²¹, 10B⁵, 24Z¹⁷, 96X¹⁷, 48AH⁹, 48AE¹⁷, 98A¹⁹, 184A²³, 120F¹³, 24P¹⁷, 24K¹⁹, 48A²³, 26B⁴, 96J¹¹, 22C²¹, 96N¹⁷, 64L¹⁵, 32H²³, 48L³, 64J¹³, 14A⁴, 48AC²¹, 144B¹², 30H¹⁰, 96K²⁰, 60N¹³, 24H¹⁹, 120M¹⁹, 36D¹³, 40L¹⁵, 72J¹⁶, 14A⁷, 20S³, 48C⁴, 24J³, 94A¹¹, 64B¹⁵, 30B¹⁹, 44B¹⁰, 160B¹⁵, 32E²³, 24C⁸, 48E³, 18D¹⁶, 50G¹², 32E²¹, 192O²¹, 70C¹⁶, 48N¹⁸, 30H⁴, 10K¹, 48AS¹⁷, 40R⁹, 22D¹⁷, 24O⁴, 84D¹⁴, 144C¹³, 32D¹⁹, 96F⁹, 48AQ²¹, 20E¹³, 4C⁰, 48CC²¹, 40X⁷, 72Q¹⁷, 76C¹⁸, 96C¹⁵, 44B⁹, 12A¹¹, 96F¹⁰, 80W²¹, 24Q⁹, 96Z¹⁹, 96N²³, 44A¹⁹, 100A²¹, 96B¹¹, 20D¹⁰, 36N¹¹, 80D⁸, 40I¹³, 6F⁰, 48BL¹⁹, 174A²⁰, 20M⁷, 40A²⁴, 30H²¹, 48I⁶, 6I⁰, 24Z⁷, 16M³, 22A¹⁸, 56C¹⁶, 48U⁸, 48AL¹⁷, 32I³, 50C¹², 60Z¹³, 24L², 64A⁶, 40O¹⁵, 96O¹⁹, 20I¹, 48C¹⁷, 72C¹⁶, 28D¹⁰, 70G¹⁸, 48AB¹³, 60P⁷, 74A⁸, 20C¹⁵, 26A¹⁵, 72J¹², 56B⁴, 168B²⁰, 80AA¹⁷, 144E¹⁷, 100A²³, 88G¹⁹, 96AG²³, 60AC¹⁵, 28E²³, 128B⁹, 48S⁸, 12A⁴, 90H¹⁵, 80A¹⁸, 48AN⁷, 56G¹⁵, 48A²¹, 24B¹¹, 64C⁷, 64D¹⁴, 48J²¹, 80Q¹⁵, 112B⁸, 140C²¹, 24K¹⁷, 192F¹⁹, 176B²¹, 36A¹⁷, 16I⁹, 138A¹⁷, 80P⁹, 48AA²¹, 72A¹⁹, 8N⁰, 48F¹⁵, 32H⁹, 96C¹¹, 40K⁹, 88C¹⁹, 96BF²¹, 48K⁹, 20G³, 80H⁷, 22C⁶, 64G¹³, 48AO⁷, 84C¹⁸, 48Y¹⁵, 30D²¹, 16L², 96N¹⁹, 36K¹⁰, 36K¹³, 84L²², 20C⁸, 24O¹⁵, 120E¹³, 84L¹⁷, 120A¹⁴, 112M²³, 80E²¹, 32B⁹, 64C¹⁵, 48CJ²¹, 48W¹⁵, 88E²⁰, 32K¹³, 96K²¹, 32A⁷, 156C²³, 32E⁵, 34A⁷, 96B¹⁷, 48J¹³, 72D²¹, 16A³, 40I¹⁷, 80A²⁴, 64C⁵, 140B²¹, 24M⁹, 180A²⁴, 48S²¹, 48AE⁸, 32Q³, 160L¹⁷, 70A²⁴, 84K²⁰, 30C¹³, 36U¹³, 28H¹⁵, 100I⁹, 24N³, 24G¹¹, 72J¹⁷, 56L¹³, 72F²², 80O⁹, 72D⁷, 28C⁷, 176H²³, 16H¹, 40G¹⁷, 122A¹⁴, 84H¹⁷, 56F²⁴, 90B²², 24P⁷, 36L⁵, 24I¹, 148A¹⁶, 88A²⁰, 72O¹⁷, 68B¹³, 168G¹⁶, 60AD¹³, 50A²², 48J⁹, 84G¹⁶, 70H¹⁶, 24N¹⁷, 24O¹⁷, 144D¹⁸, 44C¹⁹, 116A¹², 36B¹⁶, 48B¹⁹, 36Q¹⁹, 42L⁷, 112A¹⁰, 36I²², 48R¹⁵, 12C⁷, 20F⁹, 84A¹⁸, 18D⁴, 18M⁴, 18A¹⁹, 120B¹², 40M¹³, 24T¹⁵, 24O², 64C⁹, 72F²¹, 20D⁷, 192P²¹, 60H¹³, 24AA³, 30C²², 42F¹⁷, 40E¹⁵, 80AA¹⁹, 120D¹¹, 108B¹⁷, 48AN¹⁹, 24F⁵, 68D⁷, 24AI¹⁷, 24L¹⁷, 100C¹³, 92A²², 120B²¹, 36B²², 48AL⁷, 40Z¹⁵, 168C²⁰, 96AB²⁰, 48X⁹, 60M⁹, 32Q⁹, 40P¹⁷, 144A⁸, 96M¹⁷, 48N⁸, 80AU¹⁷, 192I²³, 36J¹⁵, 80L²¹, 80X²¹, 32I¹¹, 48Z²¹, 24A¹⁹, 96A²⁰, 48BN¹⁷, 96Q²⁰, 8D⁰, 20B², 112I²³, 42K⁷, 48I¹⁸, 144I¹⁹, 80F¹⁹, 40H¹³, 24A¹¹, 28A⁵, 10B², 62B¹⁴, 12J³, 48D⁷, 18L¹⁰, 72L¹⁹, 32B², 56E²², 72N¹⁵, 16F², 48BA¹⁹, 32M¹³, 16A⁹, 28A⁶, 24K⁸, 48J¹⁸, 48AC¹⁵, 28B⁷, 36A¹⁶, 24C¹, 52B⁵, 20L³, 52B¹⁹, 36C²¹, 48G¹¹, 24I⁴, 204H²³, 8B³, 24I¹¹, 48O¹¹, 114B¹⁴, 48Q⁹, 100B²³, 24D¹⁰, 28D², 40A²², 90I²¹, 42I¹⁷, 22B², 120A¹³, 40B²², 72N¹⁹, 48C²¹, 48AQ⁷, 84C⁷, 40AC¹⁵, 12B⁷, 56R¹¹, 18C¹⁹, 18E¹, 24U¹⁵, 54I¹⁰, 48AY¹⁷, 32I⁵, 84B⁶, 48R⁹, 96D²², 60S¹⁷, 42H²¹, 30G²², 48G¹⁵, 192K²¹, 104A¹¹, 42F²³, 40V¹⁷, 20I¹⁵, 48L¹⁹, 14C¹³, 20I⁷, 208F²³, 84I¹⁵, 42C¹⁸, 50F¹², 80L¹⁹, 48BB²¹, 48N⁷, 96H¹⁵, 80D¹³, 48X¹³, 160J¹⁷, 24K⁹, 96C⁹, 40K¹⁷, 112C¹⁴, 48C¹⁰, 80AK¹⁷, 104A¹³, 168D²³, 96Y²¹, 72K¹³, 48AY²¹, 120S²³, 38A⁴, 48D¹⁰, 18D², 40F²⁴, 112V²⁴, 48CK¹⁷, 72T¹⁵, 48CG²¹, 36E¹⁶, 146A¹⁷, 48M¹⁵, 80F¹⁷, 20D¹¹, 96F²⁰, 56H¹⁵, 8P⁰, 84D¹⁰, 60AJ¹³, 96C²⁰, 24AD⁷, 96F¹⁵, 152B¹⁸, 90F²⁰, 48AL¹⁹, 24S⁹, 104B¹¹, 48BK²¹, 36P⁴, 46A¹⁰, 52E⁹, 22C², 96AW¹⁹, 96M²¹, 112L²³, 56A¹⁴, 60L¹⁵, 192H²³, 24G⁸, 88E²¹, 50D⁶, 24L⁸, 96E¹⁹, 32D⁷, 48BI¹⁷, 128A²¹, 104S²³, 36I¹⁶, 96D¹⁰, 24A³, 24D⁶, 40E¹⁷, 50A²⁴, 132A¹⁶, 144H¹⁹, 32B¹⁸, 64F²¹, 80Z²¹, 48BO²¹, 36S¹⁰, 48K⁶, 50B², 24F¹⁷, 32I²¹, 48A¹⁹, 90J¹¹, 40N⁷, 48T¹⁸, 40T¹⁷, 36F⁶, 48BP²¹, 48B¹¹, 72U¹⁷, 72N¹⁷, 40C¹⁹, 96T²³, 56B²⁴, 100E¹⁷, 112A²⁴, 48F⁷, 56K¹³, 120C¹³, 120P²³, 40W¹⁷, 80A⁸, 16D², 150D²⁰, 40I²², 34C¹⁹, 144A¹⁴, 96BA²¹, 40M²², 80J¹⁵, 168B²³, 60F¹⁵, 56W²³, 96AK¹⁷, 192B²¹, 60P¹³, 50C²², 28H²¹, 30I¹³, 66C¹⁹, 42I¹⁹, 28C¹⁷, 104D²³, 48BA¹⁷, 80AQ¹⁷, 216B²¹, 30Q⁹, 96C⁸, 80T¹⁹, 36E¹², 152A¹⁷, 32E³, 60D¹⁴, 28G²¹, 112C²⁴, 24N⁹, 32T²¹, 64A¹⁹, 112C¹⁵, 144D²¹, 48AU¹⁹, 32I⁹, 64A⁵, 20L⁷, 26A¹³, 96D²¹, 180C²², 32M²¹, 40AC⁷, 50C⁷, 96AG²⁰, 12M¹, 24AJ¹⁷, 80AB²¹, 144C²¹, 72B⁹, 12E⁵, 78B¹⁷, 32C¹³, 72L⁸, 112D²³, 90G¹⁹, 28A¹¹, 18D³, 80S¹⁷, 48H¹⁰, 20G⁷, 72C⁷, 34B²¹, 48V¹³, 60Q¹³, 48A²⁰, 194A²³, 208B²³, 56I¹³, 198E²¹, 24A¹⁵, 80O¹⁹, 32E⁹, 72X¹⁵, 88A¹⁸, 100A²², 38C²², 32D⁶, 96J¹⁹, 60H²³, 8A⁵, 240B²⁴, 48AL²¹, 36A¹², 48AB¹⁷, 144A²², 96AW²¹, 64A¹⁸, 40C¹⁰, 58A⁶, 56C²⁴, 68A⁷, 24O⁸, 96B¹⁵, 40J²³, 52C²¹, 24M¹³, 28C³, 32Q²¹, 64C¹⁷, 60F⁶, 80F¹⁵, 80C⁷, 200I¹⁹, 24G⁹, 24C², 56G²³, 14A⁶, 52D²³, 64B²¹, 40D²², 72H⁹, 52D²¹, 14A²³, 160H¹⁹, 200A²³, 48M⁷, 120O¹⁷, 36M¹¹, 36A¹⁴, 56F¹², 48E⁸, 24I⁷, 30S⁵, 144B¹⁷, 52D¹¹, 96B¹³, 96F¹⁹, 86A¹⁰, 104G¹¹, 24U⁷, 24D⁸, 42D⁸, 30A¹³, 48K¹³, 80Q¹⁹, 28B⁵, 108F¹⁷, 128E²¹, 56E¹⁵, 68E¹⁵, 32E¹⁷, 64A¹³, 96F⁸, 84E²¹, 56D²¹, 48AJ¹⁹, 84G²¹, 24X⁹, 48AR²¹, 96AC¹⁷, 30E¹⁶, 40J¹⁵, 24Q⁷, 40AB⁷, 84M²², 12C⁰, 24AC⁷, 72A⁹, 32J⁵, 56J²³, 20I⁵, 80F⁷, 52B¹¹, 66A¹⁷, 20E¹¹, 144E¹⁹, 192H²¹, 4B⁰, 88G²¹, 56B¹⁶, 144O²³, 80X¹⁷, 100D¹⁵, 36K⁸, 168C²³, 56N²¹, 48S⁹, 48BF²¹, 136C¹⁵, 24J⁸, 28G¹⁵, 80G²², 72R¹³, 80A¹¹, 20P⁷, 80M¹⁹, 48Q¹⁷, 24H¹, 60S²³, 24P⁹, 80T¹⁷, 192K²³, 96BL²¹, 160K²¹, 46A⁵, 30C¹⁹, 112A¹⁹, 18A¹⁰, 96AF²¹, 48B²², 96AL¹⁷, 24AC³, 84J¹⁶, 72Y¹⁵, 48C²⁰, 96AE²³, 96Z¹⁷, 48CI²¹, 70A²², 68C⁷, 16G⁹, 48E⁷, 36B¹⁴, 96BB¹⁹, 32G²³, 144D¹⁷, 84F²³, 84E¹⁶, 18G¹⁶, 16D⁰, 132A²¹, 72M¹², 34B⁷, 48A², 40A¹⁷, 20B⁴, 36D²², 208E²³, 160D¹⁷, 96D¹¹, 12I², 64G⁹, 80BF¹⁷, 48AF⁸, 64D⁹, 24AA⁵, 24X¹⁷, 84B²⁴, 156A²⁰, 36A¹⁵, 24A²¹, 80X¹⁹, 40I²¹, 42J¹⁷, 50D²², 72D¹⁴, 8F¹, 56A⁶, 48AJ¹⁷, 42I¹¹, 24F¹⁵, 20A¹³, 48U²¹, 96X²³, 112A¹³, 88F²¹, 48AU²¹, 64B²³, 72A³, 78C¹⁶, 48D¹¹, 100B¹², 60C¹³, 112G¹², 48C²², 96AZ²¹, 48Z¹³, 140B¹⁷, 36C¹², 88C¹¹, 32W²¹, 24B¹⁰, 96G¹⁵, 180B²¹, 48AB¹¹, 24S⁷, 18A⁶, 92A²⁰, 96A¹¹, 80Z¹⁹, 42C¹¹, 28C¹⁴, 42G⁵, 96O¹⁷, 24W⁷, 20F³, 72V¹³, 78B⁸, 36A²⁰, 96V²¹, 42H¹³, 48A⁹, 28E¹¹, 12D⁷, 32L²¹, 176A²⁰, 96K¹¹, 16B⁹, 60AC¹³, 6L⁰, 100E¹³, 72G¹³, 170A²¹, 16C¹¹, 84B²³, 72G¹², 48N¹⁹, 48AF⁷, 108A¹⁵, 60A⁸, 24F⁹, 40K⁵, 48AD⁹, 36K¹⁵, 96AC²¹, 30L²³, 48AC⁷, 96G¹⁹, 106B²⁴, 36I¹⁵, 96S²¹, 42P¹⁹, 48A¹⁴, 30G²³, 24I⁸, 108A¹⁷, 20H³, 88B⁸, 40C³, 28G¹⁶, 16E⁰, 24Q¹⁵, 72J²³, 56C¹⁹, 40C¹⁸, 24G¹⁵, 54U¹⁶, 132D¹⁹, 40E³, 48G⁹, 6H⁰, 96A²³, 40C⁸, 72I⁹, 210C²⁴, 224B²⁴, 90H¹⁹, 24T¹³, 40C²², 96AH²¹, 18L⁴, 40AD¹⁵, 48K⁸, 96Q²³, 16B¹, 28D²¹, 56C⁹, 102B²³, 144C¹⁵, 80R¹⁹, 48AG¹⁹, 84J¹⁹, 48F¹³, 48I¹⁵, 42A²², 120B¹⁴, 60A⁷, 78A²², 96U¹⁹, 96AG¹⁹, 54C²², 50C⁶, 28F¹³, 60Q¹⁷, 60F¹⁴, 48C¹⁹, 48G¹⁶, 112G²⁴, 56K¹², 24C²¹, 48AL⁹, 16C⁵, 48Z¹⁷, 60L¹⁹, 48Z⁹, 24Q², 80AL¹⁷, 40AE¹⁷, 24P³, 56B¹⁷, 48AO¹⁷, 96AH¹⁷, 66A¹⁰, 96S¹⁷, 64C¹³, 60E²³, 44A²³, 32C¹², 60AD¹⁵, 18Q², 88D²⁰, 80W¹⁷, 96AK²¹, 112E²⁴, 176F²³, 64H¹⁴, 20P³, 60M²³, 24A¹⁷, 96BG²¹, 44A⁹, 106A¹², 168A¹⁵, 20B²², 60M¹⁷, 120E¹⁵, 154B²¹, 156B¹⁷, 16I², 152B¹⁹, 120J¹³, 40B¹⁷, 48AD¹³, 96AP¹⁹, 160A²³, 72C⁶, 48F¹⁶, 104F¹¹, 50A¹², 30B⁸, 72K²³, 144H²¹, 18B¹⁶, 32C¹⁹, 80AC¹⁷, 36J²², 24W¹³, 14H¹, 80D²¹, 40AG¹⁷, 96M²⁰, 48BY²¹, 48CN¹⁷, 32B⁷, 24P¹³, 64B²², 80R¹⁵, 48S¹¹, 80J¹⁷</t>
        </is>
      </c>
    </row>
    <row r="5">
      <c r="A5">
        <f>HYPERLINK("https://mathstats.uncg.edu/sites/pauli/congruence/csg0.html#group2C0", "2C⁰")</f>
        <v/>
      </c>
      <c r="B5" t="n">
        <v>0</v>
      </c>
      <c r="C5" t="inlineStr">
        <is>
          <t>Γ(2)</t>
        </is>
      </c>
      <c r="D5" t="inlineStr">
        <is>
          <t>6</t>
        </is>
      </c>
      <c r="E5" t="inlineStr">
        <is>
          <t>1</t>
        </is>
      </c>
      <c r="F5" t="inlineStr">
        <is>
          <t>1</t>
        </is>
      </c>
      <c r="G5" t="inlineStr">
        <is>
          <t>0</t>
        </is>
      </c>
      <c r="H5" t="inlineStr">
        <is>
          <t>0</t>
        </is>
      </c>
      <c r="I5" t="inlineStr">
        <is>
          <t>2³</t>
        </is>
      </c>
      <c r="J5" t="n">
        <v>3</v>
      </c>
      <c r="K5" t="inlineStr">
        <is>
          <t>1¹</t>
        </is>
      </c>
      <c r="L5" t="inlineStr">
        <is>
          <t>2A⁰, 2B⁰</t>
        </is>
      </c>
      <c r="M5" t="inlineStr">
        <is>
          <t>4E⁰, 6I⁰, 6C¹, 10G¹, 10B², 14E², 10A³, 14B³, 22A⁴, 22A⁵, 26B⁵, 34A⁷, 38A⁸, 18A¹⁰, 46A¹⁰, 58A¹³, 62B¹⁴, 74A¹⁷, 82A¹⁹, 86B²⁰, 22A²¹, 94A²²</t>
        </is>
      </c>
      <c r="N5" t="inlineStr">
        <is>
          <t>2A⁰, 1A⁰, 2B⁰</t>
        </is>
      </c>
      <c r="O5" t="inlineStr">
        <is>
          <t>40R¹³, 16A¹¹, 96A¹⁸, 12I⁰, 40X¹⁷, 84K²², 12G³, 56G²⁴, 56H¹², 48CF²¹, 80C²¹, 20J³, 24AC⁹, 48BS²¹, 32U¹³, 24AO¹⁷, 60B¹⁸, 48I¹¹, 24AF⁷, 84J²³, 28F¹¹, 32G²¹, 96E²¹, 32C²¹, 36C¹⁵, 30P¹³, 48I¹⁹, 32C⁷, 18J¹, 16I³, 72B²¹, 78B¹⁹, 40U¹⁵, 48CD²¹, 24I¹⁵, 48A¹¹, 30F⁷, 40M⁷, 44A²⁰, 28C¹², 112B²⁴, 36D¹⁹, 24G¹⁹, 54B⁷, 20I³, 16E⁹, 18C¹⁰, 24A¹⁰, 16D⁹, 72I¹⁶, 56D²⁴, 56F²³, 16B⁷, 82A¹⁹, 32D⁹, 4G⁰, 40A¹⁹, 28D⁴, 24B¹⁹, 44A⁸, 12F², 48P¹⁹, 48AW¹⁹, 36K²², 52C²³, 12A¹³, 24N⁴, 72H¹⁶, 24D¹⁵, 36A¹⁹, 70C¹⁸, 40Q¹³, 48BR²¹, 30H¹³, 36E²¹, 24U¹⁷, 80P²¹, 96C¹⁸, 10A⁴, 64A²¹, 40AB¹⁵, 64E²¹, 78C²³, 40C¹⁵, 16A⁶, 96BD²¹, 28C²¹, 40J¹³, 48N²¹, 84I²³, 36H⁸, 64A¹⁷, 48A¹³, 84M²⁰, 24E¹⁵, 24AC¹³, 64A¹¹, 48H¹⁹, 24AF⁹, 18C⁴, 30Q⁷, 16G⁰, 48M¹¹, 32N⁵, 6C¹, 12B², 24AH⁹, 40V¹⁵, 70B¹⁹, 36B¹⁷, 10B⁵, 24Z¹⁷, 48AH⁹, 24AP¹⁷, 48Y²¹, 32E¹³, 50A²³, 24P¹⁷, 24K¹⁹, 48CK²¹, 48AK⁹, 96A¹⁹, 22C²¹, 28C¹⁰, 48K¹⁵, 16C⁹, 64V¹³, 40C¹⁷, 48BT¹⁹, 24H¹⁹, 28C¹¹, 32H²¹, 12P¹, 14A⁷, 44B¹⁰, 24J¹⁵, 64B¹⁵, 32H¹³, 24C⁸, 48AJ²¹, 24R¹⁷, 32E²¹, 22A²¹, 24Y¹⁷, 100Q¹⁹, 10K¹, 96B¹⁹, 96I²³, 20E¹³, 48CC²¹, 48D¹⁷, 40X⁷, 24AH⁷, 4E⁰, 32B¹¹, 108E²¹, 36B¹⁹, 44B⁹, 42C¹⁰, 44A¹⁹, 20K⁷, 20D¹⁰, 36N¹¹, 16M¹, 42G¹⁹, 42K¹⁹, 18N⁷, 24V¹⁷, 48B¹³, 84A²¹, 6I⁰, 10A⁷, 104B²³, 56B¹², 98B¹⁷, 56L¹¹, 40U¹⁷, 72D¹⁹, 96F²³, 56A²³, 16C²¹, 104C²³, 24I⁵, 40O¹⁵, 96C²², 84C²⁰, 16A⁵, 48CQ²¹, 20C¹⁵, 60T¹⁷, 32C⁹, 88G¹⁹, 20B¹¹, 96O²³, 14B³, 18E⁷, 88A²¹, 60A¹⁶, 96BC¹⁹, 88C²¹, 16B¹⁷, 12A⁴, 16F⁹, 80A¹⁸, 48O²¹, 60B¹⁷, 24B¹¹, 48AN²¹, 96A²², 48J²¹, 24O¹³, 36A¹⁷, 72A¹⁹, 8N⁰, 48F¹⁵, 40K⁹, 48AK²¹, 88C¹⁹, 96BF²¹, 96E²³, 16B³, 72M¹⁷, 58A¹³, 24J¹⁷, 40W¹⁵, 92A²¹, 48O¹⁹, 48CH²¹, 18O⁷, 36A¹⁰, 48C⁸, 32B⁹, 64C¹⁵, 24C⁹, 48G¹⁸, 32A¹³, 80B¹⁹, 48CJ²¹, 70G¹⁹, 66B¹⁹, 88B¹⁹, 48AG¹³, 34A⁷, 48J¹³, 72D²¹, 24E²¹, 32A²¹, 16A³, 14B⁴, 52A¹⁹, 48S²¹, 72K¹⁷, 48CB²¹, 30C¹³, 84K²⁰, 16A¹⁷, 60AA¹⁵, 36U¹³, 96D²³, 24AR¹⁷, 16B²¹, 96G²³, 96C²³, 40G¹⁷, 24AB⁹, 56F²⁴, 90B²², 96J²³, 48G¹⁹, 36L⁵, 16C², 88A²⁰, 8A³, 88H¹⁹, 18E¹⁹, 24AS¹⁷, 40B¹⁵, 22A⁴, 24AN¹⁷, 8A², 16B⁵, 36B¹⁶, 24U⁹, 48B¹⁹, 20A⁴, 48X¹¹, 18D⁴, 20F⁹, 16C¹³, 12C⁴, 18A¹⁹, 48AP²¹, 36J³, 24C¹⁷, 96H¹⁹, 96H²¹, 24AI⁷, 64C⁹, 28B¹⁶, 48A¹⁰, 32F⁷, 24AK⁷, 28B⁶, 96A²¹, 24AA³, 16M⁵, 40K¹³, 24AD⁹, 36G⁸, 24F⁵, 84F²⁰, 24D²¹, 92A²², 36B²², 48AL⁷, 24U³, 48J¹⁷, 16B¹³, 22A⁵, 80I²¹, 24H⁵, 18H¹⁰, 20R³, 48F²¹, 36J¹⁵, 6E¹, 48CE²¹, 48Z²¹, 48E⁹, 24A¹⁹, 26B¹³, 40H¹⁷, 48K¹⁷, 16E¹, 32A⁹, 40D⁸, 48I¹⁸, 28C¹⁶, 80F¹⁹, 10B², 24A¹¹, 62B¹⁴, 48I¹³, 72L¹⁹, 32B², 28F⁹, 16A⁹, 24T¹⁷, 36A¹⁶, 32M¹³, 56G¹³, 26B⁹, 32D¹³, 96B²³, 66B¹⁶, 8J⁰, 48I¹⁷, 40A¹⁸, 8B³, 24V³, 24F²¹, 24D¹⁰, 24AG⁹, 16A²¹, 56O²³, 40A²², 36F²¹, 60N¹⁵, 36I⁸, 36D¹⁵, 24AB¹³, 24F¹⁹, 76A¹⁷, 56M¹¹, 60K¹⁹, 20A¹⁰, 28E⁵, 72N¹⁹, 20D¹⁹, 52B²³, 8G⁰, 24B¹⁵, 40X¹⁵, 68A¹⁵, 12B⁷, 48AI²¹, 32A⁵, 18C¹⁹, 24J⁹, 56R¹¹, 40E²², 60S¹⁷, 42H²¹, 24H⁹, 42J¹⁰, 24B¹⁷, 12B⁹, 42F²³, 24B⁸, 40V¹⁷, 48L¹⁹, 14C¹³, 24AB⁵, 16C⁷, 64D¹⁵, 56A²⁴, 48B¹⁰, 80L¹⁹, 60D¹⁵, 14B⁹, 48E²¹, 24K⁹, 24E⁴, 48C¹³, 108E²², 32A¹⁹, 32D²¹, 24AK⁹, 64B⁹, 50B¹³, 48I²¹, 104M²³, 40A⁸, 64A¹⁵, 48CK¹⁷, 48CG²¹, 36E¹⁶, 48AH²¹, 48U¹⁷, 40A⁹, 18N⁴, 12L³, 80Q²¹, 32A¹¹, 60AB¹⁵, 56A¹², 94A²², 24A⁸, 24V⁷, 18E¹⁰, 24S⁹, 36I¹⁷, 48B¹⁸, 24AG⁷, 76A¹⁸, 28E⁶, 46A¹⁰, 60L¹⁵, 36D⁸, 32J³, 32G¹³, 56L²¹, 24G⁸, 38A⁸, 48W¹¹, 48E¹⁹, 24I⁹, 36Q⁹, 96E¹⁹, 24Z⁹, 32D⁷, 12K³, 48Q²¹, 48BQ²¹, 104S²³, 54A¹⁰, 56H¹³, 64D¹⁷, 36D⁹, 32B¹³, 32G⁷, 84H²⁰, 64F²¹, 64C²¹, 72B¹⁶, 56P²³, 40I⁹, 24F¹⁷, 48A¹⁹, 40T¹⁷, 44B¹⁹, 48B¹¹, 72N¹⁷, 40C¹⁹, 56B²⁴, 32R²¹, 80O¹⁵, 112A²⁴, 40W¹⁷, 20B⁷, 96BA²¹, 48D¹³, 18G¹⁰, 100P¹⁹, 70C¹⁷, 56W²³, 8B¹, 40J⁹, 72A²¹, 30I¹³, 40AD¹⁷, 42I¹⁹, 48AK⁷, 48CM¹⁷, 24AL⁷, 84F²¹, 48K²¹, 24C¹⁹, 48D⁸, 36T¹³, 48D¹⁸, 64A¹⁹, 40D¹⁷, 30A²², 30A¹⁵, 88C²⁰, 20L⁷, 78E¹⁹, 48BS¹⁹, 40AC⁷, 50C⁷, 60C¹⁵, 72C¹⁹, 32L¹³, 48L²¹, 24AJ¹⁷, 48R²¹, 28M²¹, 12E⁵, 54D¹⁶, 32C¹³, 56Q¹¹, 72C¹⁷, 80AD²¹, 48E¹⁵, 24A¹⁵, 32F¹³, 32E⁹, 48CA²¹, 64B¹³, 72Q¹⁶, 48K¹⁹, 38C²², 24G¹⁷, 20D¹⁵, 24Q¹⁷, 48CJ¹⁷, 72M¹⁹, 36B⁸, 8A⁵, 48AL²¹, 22A¹⁶, 24D⁹, 12A⁷, 32F²¹, 56C²⁴, 52C²¹, 20C⁷, 80Z¹⁷, 56Q²³, 50C¹³, 32Q²¹, 8O⁰, 10A¹³, 44A¹⁰, 60E¹⁴, 24AT¹⁷, 12B⁵, 96B²¹, 24B²¹, 96BD¹⁹, 10A³, 72A¹⁶, 24G⁹, 40Y¹⁷, 32B²¹, 52D²³, 64B²¹, 80A¹⁶, 72W¹³, 32D¹⁷, 36B¹⁰, 34C¹³, 32T¹³, 36M¹¹, 48P²¹, 84A²⁴, 8G¹, 24I⁷, 28C⁶, 64D²¹, 52D¹¹, 48F¹¹, 66A¹⁶, 24D⁸, 30A¹³, 24Z³, 112O²³, 80R²¹, 8K¹, 6F¹, 80A¹⁹, 64E¹⁵, 32K³, 24S¹⁷, 16K², 14A¹³, 108F¹⁷, 32E¹⁷, 64A¹³, 84G²¹, 48D¹⁹, 14B¹⁷, 96L²³, 40B¹⁹, 48E¹⁷, 10G¹, 24D¹⁹, 80N¹⁵, 16E²¹, 24M⁷, 24AE⁹, 66A²⁰, 60A¹⁴, 28B¹², 20I⁵, 12F³, 24A⁵, 12E², 24I¹⁷, 48AX¹⁹, 56N²¹, 24H⁸, 16O⁵, 24J⁸, 80AC²¹, 72R¹³, 72C²¹, 80M¹⁹, 72K¹⁹, 80G²¹, 24W¹⁷, 32B¹⁷, 84A²², 40W⁷, 48BO¹⁹, 18A¹⁰, 36F²², 42E¹⁰, 48B²², 24K¹³, 48CI²¹, 16G⁹, 48M¹⁹, 96P²³, 48F¹⁹, 40A¹⁶, 54B¹³, 40L²², 48AM²¹, 36C¹⁶, 40A¹⁷, 18B¹³, 64K⁷, 40T¹⁵, 72Q¹³, 56D¹³, 112P²³, 18A⁷, 56I¹², 32E⁷, 84B²⁴, 40B¹⁶, 24AQ¹⁷, 48R¹⁹, 30B⁷, 12B⁴, 24A²¹, 16J³, 8F¹, 24F¹⁵, 26B⁵, 20A¹³, 48AU²¹, 48BZ²¹, 48D¹¹, 18A⁴, 96AZ²¹, 74A¹⁷, 28F¹⁶, 48CL¹⁷, 24B¹⁰, 104N²³, 86B²⁰, 84F²², 36O²², 48H¹⁷, 52C¹¹, 40AH¹⁷, 92A²⁰, 50D¹³, 12V¹, 30A¹⁹, 20C¹⁹, 14D⁵, 24H¹⁷, 24S¹⁹, 20E¹⁵, 32A⁶, 24W⁷, 72V¹³, 44D¹⁷, 16H³, 36C⁹, 48A⁹, 28E¹¹, 12D⁷, 16B⁹, 36J¹⁷, 48AG²¹, 48N¹⁹, 80A¹⁷, 24G⁴, 48AO²¹, 24F⁹, 72G¹⁶, 36K¹⁵, 16D⁵, 20C²², 42P¹⁹, 24J⁷, 12N³, 96K²³, 84I²⁰, 36H⁷, 24I⁸, 32M⁵, 20F¹³, 48A²², 28G¹⁶, 68D¹⁵, 48BP¹⁹, 80BD¹⁷, 24J¹³, 24I¹⁹, 28C²³, 50E¹³, 40AR¹⁷, 30J¹³, 36N²², 48AR¹⁹, 64D¹³, 40C²², 40AD¹⁵, 16D²¹, 84B²⁰, 16O³, 128D²¹, 28D²¹, 128A¹⁹, 24D⁴, 36C¹⁹, 80P¹⁵, 20A²², 80N¹⁹, 42D¹², 28F¹³, 20J⁷, 60F¹⁴, 48C¹⁹, 56V²³, 24C²¹, 24G²¹, 40L⁷, 40Y¹⁵, 16C⁵, 54E¹⁶, 60L¹⁹, 48CP²¹, 72B¹⁹, 40AE¹⁷, 14E², 32A¹⁷, 64F¹⁵, 64C¹³, 24Z⁵, 56C¹³, 48BP¹⁷, 32B⁵, 36E²², 80W¹⁷, 24E¹⁹, 54F¹⁶, 128F²¹, 24A¹⁷, 32L⁷, 42G¹¹, 20B²², 40N¹⁵, 16N⁵, 16D³, 16I², 12B¹³, 50A¹³, 42L¹⁹, 72E¹⁷, 36J²², 88D²¹, 30B⁸, 30E⁷, 32C¹⁹, 24T⁹, 56R²³, 80D²¹, 20A⁸, 48CN¹⁷, 32B⁷, 24P¹³, 76A¹⁶</t>
        </is>
      </c>
    </row>
    <row r="6">
      <c r="A6">
        <f>HYPERLINK("https://mathstats.uncg.edu/sites/pauli/congruence/csg0.html#group3A0", "3A⁰")</f>
        <v/>
      </c>
      <c r="B6" t="n">
        <v>0</v>
      </c>
      <c r="C6" t="inlineStr">
        <is>
          <t>Γ³</t>
        </is>
      </c>
      <c r="D6" t="inlineStr">
        <is>
          <t>3</t>
        </is>
      </c>
      <c r="E6" t="inlineStr">
        <is>
          <t>1</t>
        </is>
      </c>
      <c r="F6" t="inlineStr">
        <is>
          <t>1</t>
        </is>
      </c>
      <c r="G6" t="inlineStr">
        <is>
          <t>3</t>
        </is>
      </c>
      <c r="H6" t="inlineStr">
        <is>
          <t>0</t>
        </is>
      </c>
      <c r="I6" t="inlineStr">
        <is>
          <t>3¹</t>
        </is>
      </c>
      <c r="J6" t="n">
        <v>1</v>
      </c>
      <c r="K6" t="inlineStr">
        <is>
          <t>1¹</t>
        </is>
      </c>
      <c r="L6" t="inlineStr">
        <is>
          <t>1A⁰</t>
        </is>
      </c>
      <c r="M6" t="inlineStr">
        <is>
          <t>3C⁰, 6B⁰, 6D⁰, 9A⁰, 12A⁰, 15B⁰, 21A⁰, 6A¹, 15A¹, 15D¹, 33A¹, 21A², 39A², 33A³, 51A³, 57A⁵, 69A⁶, 87A⁶, 33A⁷, 93A⁸, 111A⁸, 123A⁹, 57A¹⁰, 129A¹¹, 141A¹², 159A¹², 39A¹³, 183A¹⁴, 39A¹⁵, 177A¹⁵, 201A¹⁷, 219A¹⁷, 39A¹⁸, 213A¹⁸, 51A¹⁹, 51B¹⁹, 237A²⁰, 249A²¹, 267A²¹, 291A²³, 303A²⁴</t>
        </is>
      </c>
      <c r="N6" t="inlineStr">
        <is>
          <t>1A⁰</t>
        </is>
      </c>
      <c r="O6" t="inlineStr">
        <is>
          <t>36K⁴, 246A¹⁹, 45A²⁰, 24E¹, 24L¹¹, 15A¹⁹, 36L⁸, 105B¹⁶, 90D²⁰, 24M¹⁹, 72F¹⁴, 60S¹⁵, 48BK¹⁹, 84H¹⁹, 42F¹⁴, 120O²¹, 15A⁹, 30P⁷, 96B²⁰, 126E¹⁹, 30L⁵, 48AT¹⁹, 18B³, 36C¹³, 84E²³, 126A²², 54H²², 33A¹⁸, 24K³, 96S¹⁹, 60AE¹³, 48AH⁷, 72L¹⁷, 48AM¹⁷, 264C²⁴, 51A³, 105B²², 48A⁰, 48AJ⁷, 36H¹⁶, 15I³, 66B²⁰, 24I¹⁵, 96AS¹⁹, 102C²³, 84D²⁰, 48AC¹³, 45A¹⁵, 126C¹², 132A¹², 90D¹², 120B¹⁸, 126E²¹, 18S⁴, 72I¹⁶, 126C²³, 87A¹⁴, 30B¹⁰, 24AA¹⁷, 66B¹⁷, 126L²¹, 78A¹¹, 30C⁴, 48AF²¹, 36K²², 96AY²¹, 48BR¹⁷, 24D¹⁵, 24X¹³, 48BV²¹, 36F¹², 48BR²¹, 120G²¹, 45F⁹, 60R¹¹, 84E¹⁸, 90B¹⁶, 24N⁷, 90A¹⁵, 36H⁵, 180A²², 63C¹⁸, 18D⁶, 21B¹², 72X²¹, 72F¹², 45B⁹, 72Q¹⁹, 96AF²⁰, 60U²¹, 30J³, 48AF⁹, 126E¹⁸, 60W²¹, 18K², 96AA¹⁷, 225D²⁰, 48F⁴, 180G²⁰, 48F⁶, 48AC¹⁷, 84G¹⁸, 66B¹³, 126A⁶, 96A⁷, 33A¹⁰, 3C⁰, 30I⁹, 90F¹⁹, 72N¹¹, 33A¹¹, 24Y¹³, 252G²⁴, 24K²¹, 138C¹², 42D⁶, 60Z¹⁵, 96F²¹, 24J¹⁵, 33C²², 120C¹⁹, 36G¹¹, 36M⁵, 66C¹¹, 48P¹⁵, 36K¹⁹, 60F²³, 24E⁹, 117A¹⁷, 336A²⁴, 66D⁶, 156B¹¹, 39A⁶, 75A⁸, 84C⁹, 96AJ²¹, 144R²³, 90C²⁰, 90I¹⁵, 90B⁸, 231A²³, 24T³, 210A²¹, 30A²³, 30I¹¹, 168R²², 42G¹⁹, 30A²¹, 48F²³, 315A²³, 192A¹⁹, 24V¹⁷, 45N¹³, 72F⁹, 24B¹³, 72N²¹, 75A⁴, 96D¹⁸, 66E²¹, 30K⁵, 126I¹⁸, 234A¹⁹, 84C²⁰, 96D¹⁶, 96Y¹⁷, 78B¹¹, 60U¹⁷, 150D¹⁵, 180M²³, 24H⁷, 18M¹⁰, 36N¹⁰, 72AB²¹, 144B¹³, 48C¹⁶, 75B¹³, 48C¹⁸, 96U²¹, 180D¹³, 24L²¹, 36H⁶, 30D¹⁰, 48O²¹, 60K⁹, 48H¹⁸, 144W²³, 96O¹⁵, 42H⁵, 96S²³, 30K¹¹, 201A¹⁷, 96A²², 240A¹⁹, 24O¹³, 24K⁶, 204G²³, 48V²¹, 63A²⁰, 66A²³, 96C¹⁰, 54I¹³, 84J¹⁷, 51A¹⁵, 48AK²¹, 264B²⁴, 144H²², 120Q¹⁹, 30B¹², 60N⁷, 48V⁸, 90A²⁰, 144H¹⁶, 75D¹⁹, 48O¹⁹, 90D¹⁹, 21C⁶, 120L¹⁷, 48AX²¹, 105B²¹, 72E¹⁸, 144E¹⁰, 36D⁴, 18P², 60E¹⁵, 36F⁸, 48BG¹⁷, 132C²³, 120J²¹, 48CB¹⁷, 132C¹⁶, 54A²⁴, 36E⁸, 60E²³, 96X²¹, 42G¹⁶, 42F⁴, 126C¹⁸, 18C¹⁶, 120C¹¹, 48AP¹⁹, 18A⁵, 126B¹⁸, 45A¹⁴, 126N²¹, 36R⁴, 42C²⁴, 168C²⁴, 72K¹⁷, 12N¹, 96I²¹, 48L⁸, 36N⁸, 9A², 48F²⁰, 96P¹⁹, 48BT²¹, 84E⁹, 192A²³, 96C²³, 24C¹³, 12U¹, 6B⁰, 330D²⁴, 30B²¹, 30E¹⁰, 36L¹³, 195A¹⁷, 306B²³, 48Q⁸, 222B¹⁷, 168L²³, 24U⁹, 246A²¹, 96H⁹, 60C¹², 48AP²¹, 36N¹³, 48AF¹⁵, 24C¹⁷, 30A¹⁷, 30F¹⁵, 48A¹⁰, 153A¹¹, 96A²¹, 45D⁶, 84C¹⁹, 90L¹⁵, 48P⁷, 42E¹⁴, 18A¹⁸, 36G⁸, 48BT¹⁷, 72J¹⁰, 42I⁷, 144M²¹, 96G²¹, 72I¹³, 96BA¹⁹, 24AE⁷, 24Y⁹, 126J¹⁸, 36D¹¹, 12B¹, 96A³, 24L⁵, 24K⁷, 48A⁵, 48E²³, 48W⁸, 126B²¹, 204F²³, 72B⁶, 84D¹¹, 96AC²³, 48V⁷, 72D⁶, 24T¹⁷, 75C¹³, 72B⁷, 114A¹⁴, 180I²¹, 150B²⁰, 36C², 96AO¹⁹, 39B¹⁰, 168C¹⁶, 36E¹³, 63O¹⁹, 72B⁸, 159A¹², 24H¹⁵, 72U¹⁵, 168E²⁰, 24F¹⁹, 30D²³, 120M²³, 60R¹³, 198A¹⁸, 84B¹⁸, 27C²², 57A¹⁷, 36O⁸, 84O²¹, 48AI²¹, 72W¹⁵, 51B⁵, 120R¹⁹, 72S¹⁵, 15C⁹, 156E²³, 72Q¹⁵, 120N²³, 30D¹¹, 72B⁴, 48AA¹⁵, 78E¹¹, 48BB¹⁹, 36J¹¹, 15F³, 48B¹⁰, 96A¹², 24L¹³, 123A¹⁹, 48BS¹⁷, 30E², 63D¹⁷, 144C¹⁸, 48E²¹, 96AE²⁰, 24E⁴, 18G², 24B⁷, 33C¹⁰, 96R¹⁵, 90J²¹, 225A²⁰, 90B²¹, 48R¹¹, 48N⁹, 48AI¹⁷, 24E¹³, 72E¹⁶, 63C⁹, 24AB¹⁷, 36L²², 15A¹⁰, 84A⁸, 96L²¹, 72C²³, 84B¹⁵, 36E⁷, 42A¹³, 18E¹³, 18G¹, 96AK¹⁹, 66C¹⁶, 75B¹¹, 24AA⁹, 72O¹⁴, 48N¹¹, 48V⁹, 96L¹⁹, 42C¹³, 102D²³, 24A⁸, 18H¹, 18E¹⁰, 45G⁵, 24U¹³, 48B¹⁸, 15A⁷, 144A¹³, 168F²⁰, 48AB²¹, 72J¹³, 36D⁸, 126A⁸, 48G¹⁰, 126C⁸, 48B²¹, 48R¹³, 24E³, 180B²², 48S¹⁷, 72G¹⁴, 21A², 120I¹³, 21D⁹, 27F⁷, 75D¹², 48E¹⁹, 9A⁰, 42A⁷, 24I⁹, 60M¹⁵, 60AA¹³, 24K⁴, 48AE⁹, 48BQ²¹, 198B¹¹, 60F¹³, 336G²⁴, 231B¹³, 12D¹, 60C¹¹, 48AD¹⁷, 75B¹⁴, 48AU¹⁷, 36S¹³, 60R⁷, 30F¹⁷, 21A⁰, 24M³, 48A¹⁶, 48F¹⁰, 192J²³, 48E¹¹, 120K¹⁷, 30C¹⁰, 21C³, 72C²², 45D⁷, 18L⁷, 96AV²¹, 48C⁶, 144E²⁰, 24O¹⁹, 24M⁴, 48G²¹, 96I¹¹, 120L²¹, 168A¹⁶, 120G¹³, 144C¹⁷, 21B¹¹, 45E²¹, 96A⁹, 90B⁷, 96K¹⁹, 24D¹, 63B²¹, 60A⁹, 60B¹⁹, 84H¹⁵, 72N¹⁶, 48AD⁸, 48AX¹⁷, 30H²³, 72I⁸, 168D²², 96AQ¹⁹, 96F¹¹, 90F¹⁵, 48L¹¹, 132D¹⁵, 72H²², 63D¹⁹, 96AE¹⁷, 24AB³, 75A⁶, 24L⁴, 18I², 36R¹³, 90H¹⁷, 168N²², 24P¹⁹, 84K¹⁷, 60J⁹, 102B⁷, 246B¹⁹, 30O⁵, 30A⁴, 48R²¹, 48BL²¹, 48D²², 48AA¹⁹, 144J²², 105D¹⁴, 273A²⁰, 279A²⁴, 24A⁹, 36S¹⁹, 48E¹⁵, 105D²¹, 48AS¹⁹, 60Q¹¹, 18B⁸, 96AB²³, 144B²⁴, 84A¹¹, 24AC¹⁷, 60G¹⁹, 36L⁹, 12G¹, 36J⁴, 96C¹⁹, 276D²⁴, 63F⁶, 48K¹⁹, 48BY¹⁷, 66A¹⁵, 150A¹⁴, 24Q¹⁷, 78A¹⁶, 84D²², 192E²¹, 30H⁵, 48CI¹⁷, 24D⁹, 48AD¹⁵, 126I¹⁷, 48BG²¹, 48AF¹⁷, 192D¹⁹, 36C⁶, 96R²³, 72D⁸, 24Q¹⁹, 24R¹⁵, 96T¹⁷, 48BX²¹, 84F¹⁸, 72V¹⁷, 45A⁶, 42H⁷, 36P¹⁵, 96B²¹, 48X⁸, 72G²², 210D¹⁶, 30H³, 60O²³, 48P²¹, 126B⁵, 72W²¹, 63B⁸, 30G¹¹, 66A¹⁶, 240D²¹, 30A⁷, 48X¹⁹, 120H¹⁹, 75A¹⁰, 192C¹⁹, 6F¹, 24O⁵, 192F²³, 126B¹⁷, 204E²³, 48Z⁷, 33A³, 96P²⁰, 72A¹⁷, 144D²², 48W²¹, 144A¹⁰, 126R²¹, 120M²¹, 36H¹⁹, 48X¹⁷, 84E¹¹, 48M³, 144C²², 60Q⁷, 60E¹⁶, 126B⁸, 36B¹¹, 60C²¹, 48E¹⁷, 24D¹⁹, 96L²⁰, 96AE¹⁹, 12F³, 24R¹³, 96N²⁰, 102D²¹, 24I¹⁷, 60Q²³, 66B²¹, 60J¹⁹, 120B²³, 18F¹⁶, 156B²³, 48B⁶, 30J⁹, 111A²², 120I²³, 51A¹³, 18O⁴, 150C¹², 42E⁷, 48E¹⁸, 48AI⁷, 84A¹⁰, 84A²², 60C⁵, 60D⁸, 36F²², 24N¹⁵, 9E¹, 84F¹⁹, 36P⁹, 42B¹¹, 36N⁴, 96P²³, 48F¹⁹, 90G⁹, 48O⁹, 96AZ¹⁹, 48A⁸, 48AW²¹, 18A⁷, 315A²⁴, 45C²³, 90K¹⁵, 114A²³, 42G¹⁵, 48Y¹⁹, 63E⁶, 30B⁷, 12B⁴, 114B¹⁹, 90C¹⁷, 105A¹⁰, 336H²⁴, 63B¹⁴, 60A¹⁰, 30F⁴, 174A¹⁴, 72E⁶, 21E¹, 72K¹⁶, 30K⁹, 30A⁶, 105B¹¹, 96V¹⁹, 90B¹², 90J¹⁹, 117A²², 75D¹⁴, 48J¹⁵, 60B⁷, 24H¹⁷, 18B⁷, 30Q¹³, 42D¹⁶, 18C⁶, 72O¹⁵, 48I¹⁶, 24AF¹⁷, 90I¹⁷, 60B¹⁰, 84E¹⁵, 66D²², 42C⁸, 90G¹⁴, 90B²⁰, 48U¹¹, 126H¹², 24B⁵, 96AB¹⁷, 48I⁷, 48AB⁸, 24AA⁷, 42K¹⁰, 54D⁸, 96C¹⁶, 24J⁷, 21A⁴, 48AQ¹⁹, 33B²², 30D¹, 48A²², 84E²², 192A¹⁸, 120O²³, 42E¹⁹, 24I¹⁹, 48M⁸, 24E⁸, 30B¹⁶, 96V²³, 60M²¹, 147A²¹, 42F³, 84F¹⁵, 48AR¹⁹, 30L³, 72H¹⁰, 57A¹³, 63A⁶, 60K²¹, 120A²³, 231A²², 84K¹⁹, 54A⁷, 180D²², 144B¹⁴, 24W⁹, 36E⁹, 66C²¹, 105A⁷, 96R¹⁹, 30C¹¹, 12G⁰, 9D⁰, 48H⁹, 48BA²¹, 36Q⁴, 90E¹⁵, 72L²², 60U¹³, 192B²³, 48AN¹⁷, 42I⁴, 168A¹², 60B²², 96H¹⁷, 96E¹¹, 72O¹³, 96O²¹, 36E²², 90H¹¹, 54H¹⁶, 24E¹⁹, 24D², 84D¹⁷, 48AC¹⁹, 21B⁴, 90D¹⁷, 15C⁰, 24G⁵, 120B²⁰, 45D¹⁹, 90A²², 144C¹⁰, 72C¹⁸, 48H¹⁵, 126E²³, 96K¹⁷, 72S²¹, 192L²¹, 84L²⁰, 36D⁶, 48G⁵, 156A¹¹, 72K¹⁰, 48BV¹⁷, 84A²³, 48BN¹⁹, 126C²⁴, 15A¹³, 96AS²¹, 48BM²¹, 24C¹⁰, 60A¹³, 36H¹⁰, 48O¹⁷, 105E¹⁴, 96A¹⁸, 48O⁸, 144B¹⁰, 150A¹³, 60AE¹⁵, 198C¹⁸, 12G³, 48AC⁹, 63A⁸, 150A²³, 36I⁶, 48Z¹⁹, 60A⁵, 72L¹⁴, 24K¹⁵, 48AG¹⁷, 36R¹⁹, 45D⁸, 288A²³, 24G⁷, 36U¹⁹, 24AD¹⁷, 48CH¹⁷, 48B³, 126C¹⁷, 48O¹⁸, 120A²⁰, 48I¹¹, 48K¹¹, 96E²¹, 48AH¹⁷, 96W¹⁷, 96Y¹⁹, 72L¹⁶, 96M¹⁹, 48AZ¹⁹, 72R¹⁵, 69A⁶, 90D¹³, 42F¹⁶, 48H¹⁶, 90K¹⁹, 120F¹⁸, 24G¹⁹, 18A²², 72V¹⁵, 24A¹⁰, 30A³, 21D², 48CR²¹, 48U¹⁵, 48BE²¹, 54A¹⁹, 30B¹⁷, 21C², 36K⁹, 240A²¹, 54I²², 45E¹⁶, 9B¹, 96AE²¹, 48P¹⁹, 12H², 48P¹¹, 12C⁵, 120N¹⁹, 72H¹⁶, 24D¹⁷, 234A²⁰, 36D³, 168B¹⁵, 63F¹⁸, 48T⁹, 57A¹⁰, 96C¹⁸, 24O⁷, 120J²³, 126A¹⁹, 18B⁶, 168A²³, 252A²⁴, 24AK¹⁷, 144I²², 96Y²³, 96E¹⁸, 48N²¹, 96AR²¹, 96AD¹⁹, 51A⁷, 150C²³, 96AA¹⁹, 45B¹⁵, 36B²⁰, 60B⁵, 75A¹³, 72O²¹, 27B²², 72K¹², 192D²¹, 12B², 84G¹⁷, 150C²⁰, 24W⁵, 96AO²¹, 72H¹¹, 60W¹³, 48M¹⁸, 72K¹⁵, 219A¹⁷, 96R²⁰, 144F²², 225C²⁰, 168D¹⁰, 96A¹⁹, 48D⁴, 36C¹⁷, 168K²², 60AH¹³, 72A²³, 54T¹⁶, 48E²⁰, 90C²⁴, 120B⁹, 36C²⁰, 12L¹, 24R⁹, 168B²¹, 36D²³, 78A⁷, 48T¹⁵, 87A¹², 120Q²³, 24R¹⁷, 72O¹², 72E²³, 24Y¹⁷, 12J¹, 21B⁹, 96B¹⁹, 48O⁷, 24H², 54B¹⁹, 54A¹¹, 144E¹⁶, 48AA⁸, 45A²³, 72W¹⁹, 36E³, 60M¹¹, 45I¹⁹, 96A¹⁰, 42A⁸, 30B⁶, 96AT²¹, 36N¹⁹, 144A²⁴, 96AX²¹, 90E²², 180E¹³, 24R¹⁹, 33A⁵, 60P¹¹, 144C¹⁴, 36Q¹³, 48AB¹⁵, 6A¹, 60T¹³, 39A¹⁶, 120K²¹, 60K²³, 60F¹⁶, 120E⁹, 144D¹⁴, 75A¹⁴, 30G⁹, 192C²¹, 48F¹⁷, 60G²¹, 84B⁷, 63A¹¹, 78H¹³, 108B²⁰, 45E⁹, 18F⁷, 48AE⁷, 42C⁷, 48AA⁷, 48AM¹⁹, 48BI¹⁹, 18F¹⁰, 45C⁶, 42F⁵, 96AJ¹⁹, 96O²³, 96A⁵, 99A⁵, 9H¹, 90E¹⁰, 48H²¹, 72H¹⁴, 72H¹³, 60T¹¹, 48Q¹⁹, 63I²⁴, 45B⁶, 144G²², 117A¹⁹, 75B¹², 60A¹⁵, 96L¹⁷, 288A²¹, 48AN²¹, 120H¹³, 60V¹⁷, 120G¹⁹, 36E¹¹, 105C¹⁶, 60D¹¹, 48AG⁷, 96R¹⁷, 39A¹⁵, 42C¹⁵, 99C¹⁵, 30I²³, 48H⁸, 96Z²⁰, 60H¹⁵, 36D⁷, 84B¹⁶, 36A¹¹, 48BD¹⁹, 63G²⁴, 54B²¹, 78B⁹, 60E¹², 150B¹⁴, 96V²⁰, 93A⁸, 132D²³, 102C²¹, 72W¹⁷, 156C¹⁷, 36C¹¹, 144N²², 42M¹⁹, 24B¹⁶, 165A¹⁵, 222A¹⁶, 24N¹¹, 132F¹², 120G¹⁷, 105C¹⁷, 72D⁴, 96Q¹⁵, 60J¹⁸, 96AB¹⁹, 42A², 60S¹³, 105C⁶, 42A⁶, 60S¹¹, 90B¹³, 96D²³, 117C¹⁷, 24AH¹⁷, 48D³, 48W⁹, 198B¹⁸, 72N¹³, 96F¹⁸, 126A¹², 72J²², 96J²³, 48G¹⁹, 90A⁶, 102A²³, 72X¹⁷, 30B⁹, 84G⁸, 45B¹⁹, 90A⁵, 48I⁹, 96W²⁰, 36K¹⁷, 48AE¹⁵, 45C²¹, 24G⁶, 48B¹⁷, 168E¹⁰, 60C¹⁹, 96D⁹, 144L²², 72F¹⁷, 267A²¹, 30C²³, 48AE¹⁹, 141A¹², 36M¹⁹, 12C⁴, 39A⁴, 96Q¹⁹, 72F¹³, 39A⁹, 126D²⁴, 18A³, 102B¹⁵, 30A¹², 177A¹⁵, 84I¹⁷, 84F²⁰, 48S⁷, 168F²⁴, 180H²⁰, 48AZ²¹, 72G²³, 96AQ²¹, 60J¹⁷, 72P¹¹, 60K¹⁵, 42R¹⁹, 24R³, 48F⁹, 96A⁸, 42B²², 6E¹, 60C¹⁴, 48W⁷, 63I¹⁹, 96E¹⁶, 24D³, 60C⁶, 24I⁶, 72M⁸, 210A²⁰, 24B⁹, 252B²⁴, 39A¹¹, 96X¹⁹, 48C⁹, 168D¹⁶, 42B¹⁸, 12P³, 81A²², 48D²¹, 90I¹¹, 48A⁶, 168Q²², 48D²⁰, 48I¹⁷, 144G²⁰, 96AR¹⁹, 21B²¹, 15A⁴, 42B¹³, 96AI¹⁹, 60I¹⁹, 24A¹⁶, 60N¹⁵, 36D¹⁵, 30A⁵, 102A⁷, 60N²³, 72H²³, 102D¹⁵, 72Q²¹, 192G²³, 24H³, 60L²³, 96U²⁰, 24M¹⁷, 24U⁵, 24S⁵, 24J⁹, 24AB⁷, 48U¹⁹, 24T⁴, 54B¹¹, 90A⁴, 72O¹¹, 24B¹⁷, 60X¹³, 27A¹¹, 72L¹², 12B⁹, 24B⁸, 78C¹³, 24A⁷, 42C⁴, 48P⁸, 96AV¹⁹, 168H¹⁰, 15C⁵, 45C¹⁹, 60D¹⁵, 48BK¹⁷, 24AE¹⁷, 156A¹⁸, 60V²¹, 60X¹⁷, 24M¹⁵, 27B¹⁰, 336I²⁴, 96AH¹⁹, 96B¹⁶, 48I²¹, 21B¹⁷, 183A¹⁴, 60H⁷, 126C¹⁶, 36D¹², 90P¹⁵, 102B⁹, 48AK¹⁷, 42H¹⁵, 84D¹⁶, 48W¹³, 18B¹⁶, 96B¹², 36B¹⁵, 12Q¹, 18K³, 105C¹³, 24Q¹³, 45C¹³, 48J⁸, 36G⁷, 24F¹³, 24E¹⁰, 45A¹⁹, 48CD¹⁷, 84I⁸, 18H¹⁶, 48H²⁰, 120L¹³, 48P¹⁷, 90A²³, 48AT²¹, 96Q²¹, 132B²³, 102E¹⁷, 9C¹, 120J¹⁹, 96S¹⁵, 36L¹⁹, 48U⁷, 126D²¹, 126A⁷, 48AV²¹, 48CF¹⁷, 78B⁵, 96N²¹, 168D²⁰, 63A¹⁷, 144K²², 126A⁵, 63D²¹, 45A²¹, 75A²², 30B³, 126D¹⁹, 42K²³, 63B²², 48BM¹⁹, 240B²¹, 60H¹⁷, 48Q¹⁸, 21A¹⁵, 126J¹², 84H¹⁸, 60E⁶, 48H⁶, 48AF¹⁹, 60J²³, 168C²², 180N²³, 48C³, 30Q⁵, 72J¹⁵, 63A¹⁸, 48P⁹, 30D¹⁷, 156F²³, 48D⁸, 33A²², 48B⁸, 48AR¹⁷, 48W¹⁷, 96AU¹⁹, 180B²⁴, 60A¹¹, 45B¹⁴, 72R¹⁶, 90K¹⁷, 132B¹⁷, 84B²¹, 96Z²¹, 96AN²¹, 18G¹³, 24O³, 36I¹¹, 36B²³, 72K⁸, 84J²⁰, 72C¹⁷, 60F¹⁹, 276A²⁴, 30E⁴, 150B²³, 120F²³, 36E⁵, 120A¹⁷, 60B³, 48BX¹⁷, 60Q²¹, 192G²¹, 144B¹⁸, 24AG¹⁷, 12O³, 84J¹³, 45A¹⁸, 96V¹⁵, 36I⁴, 24E⁶, 21B⁵, 24AM¹⁷, 12C³, 210A¹², 84D²³, 96G¹⁸, 30R⁷, 36B¹⁸, 120F¹⁵, 168G¹⁰, 30D³, 12A⁷, 60A²⁴, 15A², 144X²³, 96AF²³, 39B¹³, 96V¹⁷, 24V⁹, 126M²¹, 192C²³, 72M¹⁶, 252D²⁴, 210A¹⁵, 192A²², 255A²³, 84E¹⁹, 210C¹⁵, 21A³, 48H¹¹, 90E²⁰, 96W²³, 96AG¹⁷, 96B¹⁸, 60AG¹⁵, 24H⁶, 132B¹⁶, 18D¹⁹, 36L¹⁵, 36J⁹, 153A²³, 48F¹¹, 144A¹⁸, 30A¹⁰, 144D¹⁵, 60F⁹, 99B¹⁵, 90K¹¹, 18M², 168P²³, 24S¹⁷, 144C²⁰, 180B¹³, 72L¹³, 24D⁵, 84F¹¹, 39A¹⁸, 72I²³, 126B¹⁹, 48D¹⁹, 45D²³, 96U²³, 21C¹³, 54E²², 96L²³, 48BJ²¹, 84G²⁰, 96AA²¹, 24M⁷, 186A¹⁶, 60A¹⁴, 105A¹⁶, 24D⁷, 48G¹⁷, 120B¹⁷, 45E¹¹, 63E⁷, 180F²⁰, 96G¹³, 48AX¹⁹, 48E⁴, 96AY¹⁹, 336F²⁴, 126F¹⁵, 30N⁷, 24L⁹, 204A¹⁵, 72C¹², 18E⁶, 24K¹³, 63C²⁴, 240A²³, 48AV¹⁹, 36P¹³, 42A¹¹, 84J²¹, 48M¹⁹, 36C⁷, 90G¹³, 84F¹⁷, 144N²¹, 24C¹⁶, 21A¹⁶, 18B¹³, 150C¹⁵, 72D¹⁶, 48C¹¹, 291A²³, 30J¹¹, 150B¹², 168O²³, 96C¹², 72E¹¹, 198A¹¹, 48R¹⁹, 90A¹², 96F¹⁷, 252A¹⁴, 48J¹⁶, 96AD²⁰, 96G⁹, 30O⁹, 24AA¹³, 120O¹⁹, 39A¹⁹, 48S¹⁸, 207A¹⁸, 48R⁷, 120P¹⁷, 114A¹⁰, 48AP¹⁷, 132B¹⁹, 168I²³, 18A⁴, 75B²⁴, 66A¹¹, 120D¹⁹, 24N⁸, 57A⁵, 60C²², 240B²³, 21A¹³, 36S¹⁵, 18I¹, 72D¹², 48D⁹, 117A¹⁸, 24J¹⁹, 48W¹⁹, 69A²¹, 30F²¹, 36B¹², 9A¹⁰, 117A⁸, 60X¹⁵, 42B¹⁷, 60V¹¹, 30I⁴, 27B¹⁹, 168A¹⁰, 18C³, 96AF¹⁹, 90J¹⁷, 45A³, 264C¹⁸, 72G¹⁶, 48I⁸, 210D¹⁵, 96AC¹⁹, 72P¹⁶, 48Q¹⁵, 78A¹⁸, 60O¹¹, 48AI¹⁹, 24P², 84I¹⁹, 12N³, 96K²³, 120H¹⁵, 198A¹⁷, 48H³, 96H²³, 48Z¹⁵, 24P¹⁵, 24J¹³, 30J¹³, 30I¹⁷, 39A², 72S¹⁶, 96E²⁰, 24D⁴, 150A²⁰, 72E²⁰, 165A¹², 21D⁵, 24F¹, 36L⁷, 96AL²¹, 144B¹⁶, 30G¹³, 12I³, 84B²², 120A¹⁵, 60E²¹, 84G¹⁹, 42K¹⁷, 90B²³, 168B¹⁶, 3D⁰, 30C²¹, 96J²⁰, 72H¹⁷, 27G⁷, 42H⁴, 48D¹⁵, 336E²⁴, 27E¹⁹, 90D¹⁰, 60D¹³, 150A²¹, 72F¹⁵, 168A²⁰, 36A¹⁸, 120J¹⁵, 42A⁴, 60N⁹, 72N¹², 60J¹⁵, 105D²², 48AB⁹, 63C¹⁷, 132A¹³, 27D⁷, 84E²⁰, 30E⁹, 48T¹⁹, 126G¹⁸, 42D¹⁹, 60D¹⁶, 336B²⁴, 168A²¹, 12B¹³, 120C⁹, 138A²³, 72E¹⁷, 105A²⁰, 30M¹³, 48BQ¹⁷, 9B⁴, 120F⁹, 96T¹⁹, 48J⁶, 96B⁸, 24T⁹, 120P¹⁹, 72G⁹, 192E²³, 84F¹⁶, 48M⁹, 24O⁹, 96D²⁰, 48D¹⁶, 156A²¹, 90F¹⁰, 255A²¹, 30D¹⁶, 60U¹¹, 84D¹⁵, 48AD²¹, 72P¹⁵, 48E⁵, 36E⁶, 36K⁵, 36C¹⁵, 48L¹⁵, 45B²¹, 48BW²¹, 78B¹⁹, 168A¹⁷, 45D¹⁷, 48A¹¹, 42E²¹, 30F⁷, 27A¹⁶, 48BH²¹, 72P²¹, 48AY¹⁹, 90D¹⁴, 48BH¹⁷, 18C¹⁰, 144H²⁰, 168C²¹, 90M¹⁵, 132D¹⁶, 42O¹⁹, 30E¹², 24V¹³, 48BG¹⁹, 27A⁸, 120R²³, 18B¹⁰, 24B¹⁹, 36A²², 48AW¹⁹, 60C³, 12A¹³, 84J²², 30K²³, 96I⁹, 48X¹⁵, 30H¹³, 132A¹⁷, 36L¹¹, 48BU²¹, 60R²³, 126A¹⁶, 72G¹¹, 264D¹⁸, 30F²³, 18A², 24B¹, 132C¹², 36C²², 60D¹², 210E¹⁷, 48Y⁹, 48L⁹, 48BZ¹⁷, 60P²³, 96AL¹⁹, 72C⁸, 84H²¹, 30H¹⁷, 60A⁴, 72G¹⁷, 192F²¹, 42A²¹, 12D⁰, 24E¹⁵, 18D¹³, 192B¹⁹, 48H¹⁹, 24X⁵, 48M¹¹, 45F⁵, 72Q¹¹, 48R⁸, 24P⁴, 6C¹, 45A⁸, 48G²⁰, 90D¹⁸, 144D¹⁶, 120B¹¹, 72S¹⁹, 96AC²⁰, 21B¹³, 60I⁹, 132A⁷, 60G¹⁵, 72M²¹, 90N²¹, 48Y²¹, 72O¹⁶, 96AA²⁰, 90C²², 78B¹⁸, 72C¹⁴, 24L⁷, 60B¹², 48AC⁸, 168B²², 84B¹¹, 48K¹⁵, 96I²⁰, 48J¹¹, 96H¹³, 24N¹³, 90C¹³, 24AN⁹, 144Y²³, 48H⁵, 132D¹², 72H¹⁵, 156H²³, 84C¹⁶, 42C¹⁷, 42G¹⁷, 123B¹⁹, 72AA²¹, 48AJ²¹, 75A²³, 84H¹⁶, 78A¹⁷, 24L³, 24Q³, 60E¹⁹, 96I²³, 45A², 12K¹, 60N¹¹, 66B¹¹, 48D¹⁷, 72C⁴, 15A⁵, 30K¹³, 42B⁷, 84F⁸, 96D¹⁷, 18C⁷, 39A¹³, 42C¹⁰, 144Q²³, 30B⁵, 96P¹⁷, 39A⁵, 96C¹⁷, 42E⁵, 48BN²¹, 42C¹⁶, 15B², 84B⁹, 249A²¹, 6K⁰, 144D¹³, 42K¹⁹, 96AF¹⁷, 45B¹⁶, 60AB¹³, 36Q¹⁰, 18N⁷, 156A¹⁹, 30I³, 36J⁷, 18K⁷, 60E¹⁷, 84A²¹, 24N², 96AB²¹, 48AS²¹, 12D⁵, 60D²³, 150C¹⁴, 18A¹⁶, 96F²³, 96G¹⁷, 96W¹⁹, 45C¹⁶, 144T²³, 15C⁴, 36A⁸, 30A², 60Y¹³, 96C²², 78A¹⁹, 24M²¹, 84H²², 30D⁷, 60G²³, 78A⁶, 36C²³, 96B¹⁰, 45C¹⁴, 96P²¹, 18A¹, 36I⁵, 36J⁵, 36B²¹, 72F¹⁰, 36C⁸, 18E⁷, 30F¹³, 84M¹⁷, 96AG²¹, 18R⁴, 72P¹³, 51A¹⁹, 60D³, 36A⁶, 24M⁸, 30P⁵, 150E¹², 48V¹⁵, 96T¹⁵, 30D⁶, 24S³, 45I¹³, 24R⁵, 18E⁴, 84B⁸, 168E¹⁸, 9F¹, 27A¹⁰, 96I¹⁷, 63B¹⁰, 48R¹⁷, 126F²¹, 96E²³, 48BL¹⁷, 84C¹⁴, 18M⁷, 36O⁹, 24J¹⁷, 84I²², 90L²¹, 159A²⁴, 168D²⁴, 63B¹⁶, 18H⁴, 42E¹⁷, 36F⁷, 48AD⁷, 45A¹¹, 84A³, 9C⁴, 48BC¹⁷, 48C⁸, 48BH¹⁹, 75A¹¹, 42L²³, 24C⁹, 48G¹⁸, 60AF¹³, 96U¹⁵, 48BF¹⁷, 42D⁷, 54A²², 90N¹⁵, 90G¹⁷, 66B⁸, 24X⁷, 12S¹, 120C¹⁸, 198D¹⁸, 153A²¹, 96P¹⁵, 192J²¹, 72D¹⁷, 18F³, 96AP²¹, 12A², 60O¹³, 96G²³, 48AV¹⁷, 90A¹³, 24S¹⁵, 72J⁸, 48BD¹⁷, 90B¹⁷, 42E¹⁶, 12B³, 90A²¹, 72E⁴, 60AK¹³, 18E¹⁹, 96D¹⁹, 180J²¹, 96Y²⁰, 42K¹³, 48BE¹⁷, 150F¹³, 72M¹⁵, 99A¹⁷, 48BU¹⁷, 93A¹⁵, 12C², 42C³, 99A¹⁵, 96H¹⁹, 96H²¹, 186B¹⁶, 12T¹, 60E¹¹, 30C¹⁶, 42Q¹⁹, 66A⁸, 36A⁹, 48BM¹⁷, 48BJ¹⁹, 18B¹, 36M¹⁵, 90A⁸, 126G¹⁷, 24F⁶, 84N¹⁷, 48B²⁰, 18L², 36P¹⁹, 24B², 48J¹⁷, 126G²³, 174A¹³, 39C⁴, 66A²¹, 48F²¹, 105C²¹, 42F¹³, 48B⁵, 48E⁹, 72E⁸, 126G²¹, 120M¹⁷, 48K¹⁷, 96AX¹⁹, 36H³, 24Y⁵, 45D¹⁶, 48BD²¹, 18A⁸, 72S¹⁷, 192D²³, 18D⁷, 24K², 24H⁴, 72D²³, 120I¹⁷, 30D⁹, 66A¹⁴, 48O¹⁵, 9A⁴, 30C¹⁷, 96B²³, 66B¹⁶, 30F⁹, 72V¹⁹, 126J¹³, 72B¹⁴, 48F⁸, 96B⁹, 24I³, 96D⁸, 168B¹⁰, 48B¹⁶, 72B¹⁷, 15C³, 213A¹⁸, 72M¹¹, 51B¹⁹, 42A⁹, 96AM²¹, 72E¹², 60B¹⁵, 45D²¹, 24B¹⁵, 144G¹⁶, 225A¹⁸, 156B¹⁹, 48P¹⁸, 48F⁵, 24H⁹, 48BC¹⁹, 36I¹³, 48H⁴, 42B⁹, 90H¹³, 54G¹⁶, 30E¹¹, 48S¹⁵, 72M¹³, 48G⁴, 126E¹⁷, 126B²⁴, 96AN¹⁹, 150A¹⁶, 54A¹⁵, 132A¹⁹, 54B²⁴, 156A¹⁶, 192L²³, 84L¹⁹, 48AB¹⁹, 48G⁸, 48Q¹¹, 48F³, 60C¹⁰, 60V¹³, 45C¹⁷, 60O¹⁵, 54E¹³, 120A⁹, 27A¹⁹, 168H²⁴, 48BE¹⁹, 264A¹⁸, 156B¹⁸, 30C⁶, 147A¹¹, 48AH²¹, 48U¹⁷, 96W²¹, 42A¹⁰, 18N⁴, 75C²⁴, 48AP⁹, 60I¹⁵, 144B¹⁵, 66B⁶, 96S²⁰, 96B²², 36N¹⁵, 126F²³, 15D⁴, 27C⁴, 102A⁹, 24V⁷, 72T¹⁹, 96C²¹, 36I¹⁷, 24M¹¹, 60D¹⁷, 48BC²¹, 90P¹⁷, 96AA²³, 48Y¹³, 42D¹⁰, 48BJ¹⁷, 24Z⁹, 75C¹⁴, 165B¹², 144S²³, 48Q²¹, 27A⁷, 126E¹⁴, 24E¹⁶, 96Z²³, 150A²², 84H²⁰, 15B⁴, 237A²⁰, 6G⁰, 168C¹⁹, 72B¹⁶, 60C⁴, 9B², 36G¹³, 48AA¹⁷, 72B¹⁸, 84G²², 48BB¹⁷, 42B¹⁹, 27A²², 150A¹⁵, 72K¹⁴, 165A¹⁷, 72H¹², 36F³, 30A⁹, 120B¹³, 84D¹⁹, 15H³, 18F², 48M²¹, 150A¹¹, 60B²¹, 24F⁴, 180A¹³, 75E¹⁷, 96AM¹⁹, 48U⁹, 24J⁶, 96M¹⁵, 252C²⁴, 36M⁸, 48B⁴, 48AB⁷, 12A⁰, 48AA⁹, 6D¹, 36O¹⁹, 84F²¹, 231A¹³, 72I¹⁵, 24T⁵, 48K²¹, 24C¹⁹, 36M¹³, 75C⁶, 96G²⁰, 96D¹², 24M², 48T¹⁷, 9H⁰, 96O²⁰, 48D¹⁸, 48AA¹³, 42G¹⁰, 60C¹⁵, 15D², 60Y¹⁷, 18I⁷, 96AD²¹, 48L²¹, 144F¹⁶, 96J⁹, 24C¹⁵, 90D²³, 45C¹⁵, 48T⁷, 36A²¹, 42I¹⁶, 87A¹³, 63E²⁴, 48E¹⁰, 30B¹³, 60X²¹, 84A¹⁹, 48AT¹⁷, 72Q¹⁶, 48CG¹⁷, 48E¹⁶, 72R¹¹, 24G¹⁷, 24J⁴, 54A¹⁶, 36B⁸, 231A²¹, 126A¹⁷, 102A¹⁷, 78E¹³, 48AH¹⁹, 60L⁷, 96X²⁰, 114A¹⁹, 12C¹, 72A¹², 303A²⁴, 36T¹⁹, 144E¹³, 72G¹⁵, 48I²⁰, 60E¹⁴, 15B⁷, 60L⁹, 12B⁵, 72I¹⁷, 12D², 30R⁹, 87A⁶, 63G⁶, 72A¹⁶, 72E¹⁰, 24V⁵, 210A²³, 60N¹⁷, 60K⁷, 78A¹⁰, 144M²², 12H³, 18J⁷, 105C¹⁵, 24AL⁹, 18B⁴, 264B¹⁸, 84D¹⁸, 75C¹², 168I²², 96AT¹⁹, 48AO¹⁹, 24N¹⁹, 48T²¹, 96A¹⁷, 42E¹³, 48Q⁷, 21C¹², 126Q²¹, 18D⁰, 120H¹⁷, 75A²⁴, 156A²³, 24Y⁷, 84C²¹, 36B², 24A⁵, 12E², 48L¹⁸, 42H¹⁶, 192B¹⁸, 180A²¹, 48CA¹⁷, 72L¹⁵, 168I²⁴, 192I²¹, 45H¹¹, 102F¹⁷, 45E¹², 24H⁸, 72J¹⁴, 72E¹⁴, 90F²³, 84A¹⁶, 192A²¹, 30B¹¹, 120I²¹, 168F¹⁸, 24AP⁹, 24W¹⁷, 96H²⁰, 54A¹³, 84A²⁰, 99B¹⁷, 30I⁷, 33A¹, 72D²⁰, 48X²¹, 12F⁰, 42E¹⁰, 126B¹⁶, 168J²⁴, 90H²², 42D¹⁴, 96E¹⁷, 144C¹⁶, 105C¹⁹, 36G¹⁶, 48F¹⁸, 18A⁶, 48V¹¹, 126H¹⁸, 126D¹⁸, 48AM²¹, 18B⁵, 36C¹⁶, 24Z¹³, 60B¹³, 96U¹⁷, 48K¹⁸, 24S¹³, 39B²¹, 150A¹⁰, 48Z⁸, 261A²⁰, 36E⁴, 30D¹³, 96I¹⁹, 210A²⁴, 45E¹⁹, 126D²³, 84B¹⁰, 60H¹⁹, 126H²³, 42A⁵, 24A⁰, 24D¹⁶, 90G²², 60C⁹, 72F²⁰, 84F²², 96T²⁰, 48H¹⁷, 105A¹⁷, 48AW¹⁷, 78A¹³, 222A¹⁸, 90G²⁰, 30A¹⁹, 45A⁷, 84I¹⁶, 132F²³, 72A⁵, 63E¹⁶, 111A¹⁷, 24S¹⁹, 186A²³, 21A⁶, 72B²³, 120C¹⁴, 6E⁰, 198A¹⁴, 258B²², 36H²², 192B²², 90A²⁴, 144J¹⁹, 117A²⁰, 75D¹³, 96AD¹⁷, 48AG²¹, 48BF¹⁹, 24G⁴, 30C², 48AO²¹, 51A²¹, 78B¹³, 48G³, 48B⁹, 84I²⁰, 15H¹, 63A², 168F¹⁶, 24A¹, 48BI²¹, 18H³, 45A¹², 30E²², 144A¹⁷, 36F¹³, 36D², 18C¹³, 42G¹³, 84B²⁰, 18B¹⁹, 48T⁸, 336D²⁴, 318A²⁴, 18H¹³, 96E⁹, 72I¹², 48AE¹³, 96J²¹, 12D³, 48V¹⁹, 24C⁵, 18J³, 54K²², 144F¹³, 12E³, 48L¹⁷, 30G¹², 48R¹⁸, 21E⁴, 6D⁰, 63B²³, 30A⁰, 48V¹⁷, 48AK¹⁹, 60W¹⁵, 48N¹⁷, 36H¹³, 96R²¹, 72Z¹⁵, 24E⁵, 30L¹³, 42D¹⁵, 57A²⁴, 42J¹³, 60I¹⁷, 228C²⁰, 48Y⁷, 48J¹⁹, 81C¹⁹, 84C¹⁵, 90E¹³, 168C¹⁰, 84H⁸, 84E²⁴, 36E¹⁵, 126I²³, 48BP¹⁷, 60I²³, 36M⁴, 30G²¹, 36I³, 96J¹⁷, 24E¹⁷, 72F¹¹, 63A⁹, 42C²², 99A¹⁴, 168P²², 150D¹³, 96M²³, 42I¹⁰, 24P⁸, 96E⁸, 150D¹², 42L¹⁹, 18E³, 102A¹³, 15D¹, 24K¹¹, 18F¹³, 144C²⁴, 24AL¹⁷, 126A²⁰, 66F⁶, 12H⁰, 90G¹¹, 27B¹⁶, 168K²³, 24Q⁴, 36L⁴, 225B²⁰, 282A²⁴, 30I¹⁰, 75A¹², 168E¹⁶, 48T¹¹, 42D²⁴, 84A¹⁴, 21C⁷, 24L¹⁵, 264A²⁴, 36G¹⁵, 96AU²¹, 30E¹⁷, 168M²³, 48CE¹⁷, 48A¹⁵, 30E²¹, 48AE²¹, 24R⁷, 120K¹³, 120G¹⁵, 36P¹⁰, 33B¹⁷, 12M³, 60AG¹³, 96W¹⁵, 45F¹⁹, 48BS²¹, 15A⁸, 48BW¹⁷, 126D¹², 12A³, 48M¹⁷, 84C¹⁰, 60B⁶, 48I¹⁹, 48E⁶, 168A²², 120E²³, 48J⁷, 48AQ¹⁷, 36T¹⁵, 132G²³, 90D²², 168G²⁴, 156C¹¹, 126E²⁰, 60B¹⁴, 78B¹⁶, 30A¹¹, 84L²¹, 78A⁴, 45F¹¹, 12E⁷, 30E²³, 90A⁹, 102D¹⁷, 72F¹⁶, 72I¹⁰, 126A²³, 78A⁸, 102C¹¹, 42I¹³, 210A¹⁸, 84D²¹, 24N⁴, 36A²³, 306A²³, 60I⁷, 30C⁹, 63H²⁴, 30H⁹, 48BO¹⁷, 48CC¹⁷, 48X⁷, 150E¹³, 24AM⁹, 120A¹¹, 48AD¹⁹, 36E²¹, 24U¹⁷, 42N¹⁹, 105D¹⁵, 36N⁷, 90C¹⁴, 195A¹⁶, 72N¹⁴, 234B¹⁹, 48Y⁸, 24A¹³, 84C²³, 96Q¹⁷, 36C⁵, 258A²², 33C¹⁷, 96A¹⁶, 48N¹⁵, 24F⁸, 96N¹⁵, 54J²², 48AF¹³, 111A¹⁸, 30C¹², 84N²², 132A²², 60L¹¹, 48AZ¹⁷, 90C²³, 75E⁹, 96AH²³, 24L¹⁹, 96AD²³, 72A²⁴, 120I¹⁵, 102B¹³, 24T⁷, 51B¹⁵, 78D¹³, 90K²¹, 96AI²¹, 60A²¹, 144E²², 36T¹⁰, 48Y¹⁷, 30H¹¹, 36D²¹, 60E¹³, 48S¹⁹, 60E⁹, 72A⁴, 24Z¹⁷, 96X¹⁷, 15A¹⁷, 90H¹⁴, 48AE¹⁷, 120H²¹, 24P¹⁷, 24K¹⁹, 120F¹³, 117A¹⁶, 30G¹⁰, 96J¹¹, 96N¹⁷, 126A¹⁸, 153C²³, 48AC²¹, 144B¹², 126B²³, 30H¹⁰, 21D¹¹, 96K²⁰, 123A⁹, 60N¹³, 24H¹⁹, 180C¹³, 36D¹³, 72M¹⁴, 72J¹⁶, 24J³, 168M²², 336C²⁴, 36D¹⁶, 84N²¹, 48C⁴, 30R⁵, 18D¹⁶, 24C⁸, 72A¹⁸, 84C⁸, 48E³, 126I²¹, 36G¹², 72P¹⁹, 48N¹⁸, 30H⁴, 48AS¹⁷, 81A¹⁶, 24O⁴, 63B¹⁸, 21D⁴, 84D¹⁴, 120E¹⁷, 144C¹³, 42D¹⁷, 48AQ²¹, 96F⁹, 27B³, 126F¹⁷, 24D¹³, 72F²³, 30J⁷, 12A¹¹, 30F⁵, 126H²¹, 90D¹⁵, 24Q⁹, 96Z¹⁹, 96N²³, 72D¹⁸, 96B¹¹, 60F²¹, 120N²¹, 36N¹¹, 36G⁹, 174A²⁰, 48BL¹⁹, 30H²¹, 60R¹⁵, 48I⁶, 24Z⁷, 33B²¹, 240B¹⁹, 48U⁸, 126D¹⁷, 48AL¹⁷, 60Z¹³, 24L², 96O¹⁹, 21C⁵, 48C¹⁷, 72C¹⁶, 42I¹⁵, 60A¹⁹, 90I¹³, 45C⁴, 48AB¹³, 111A⁸, 36O¹³, 198B¹⁴, 72J¹², 168B²⁰, 120J¹⁷, 21D¹, 234A¹⁶, 96AG²³, 60C¹⁷, 54K¹⁶, 21A¹², 84K²¹, 48S⁸, 63D¹⁶, 12A⁴, 90D⁷, 228B²⁰, 48A²¹, 18A¹³, 36K⁷, 33A⁹, 48J²¹, 24K¹⁷, 126C²¹, 42H¹⁷, 138A¹⁷, 48AA²¹, 96C¹¹, 48F¹⁵, 48K⁹, 42A¹⁷, 84C¹⁸, 48Y¹⁵, 30D²¹, 198A²⁴, 96N¹⁹, 72T²¹, 120D⁹, 24O¹⁵, 120E¹³, 84L¹⁷, 42A¹⁴, 42E¹⁵, 36D⁵, 30E⁵, 120A¹⁴, 90C⁷, 42H¹⁰, 63A²³, 66A⁶, 30C¹, 48W¹⁵, 96K²¹, 24S⁴, 222A¹⁹, 96B¹⁷, 42G⁷, 45B²², 24M⁹, 180A²⁴, 48S²¹, 27A¹², 48AE⁸, 30C¹³, 84K²⁰, 24N³, 72J¹⁷, 45B⁷, 72B¹², 84H¹⁷, 90B²², 24P⁷, 24I¹, 57A⁹, 60AD¹³, 168G¹⁶, 99A¹⁹, 48J⁹, 84G¹⁶, 24A⁴, 126B²⁰, 60M⁷, 24N¹⁷, 24O¹⁷, 144D¹⁸, 21A¹⁴, 36B¹⁶, 36Q¹⁹, 48B¹⁹, 42L⁷, 48R¹⁵, 36I²², 12C⁷, 39B¹¹, 84A¹⁸, 18M⁴, 18A¹⁹, 120B¹², 60H¹³, 24O², 24T¹⁵, 63C¹⁹, 42F¹⁷, 120D¹¹, 24L¹⁷, 24F⁵, 24AI¹⁷, 45D¹⁰, 48AN¹⁹, 63B¹¹, 54V¹⁶, 90F¹⁷, 168C²⁰, 96AB²⁰, 48X⁹, 60M⁹, 96M¹⁷, 144A⁸, 192I²³, 48N⁸, 150B¹⁵, 36J¹⁵, 15A¹, 48Z²¹, 21A²¹, 24A¹⁹, 48BN¹⁷, 90O¹⁵, 96A²⁰, 96Q²⁰, 42K⁷, 48I¹⁸, 15B¹⁰, 210E²³, 48G⁶, 12J³, 18L¹⁰, 72N¹⁵, 90C¹⁵, 48BA¹⁹, 72K²², 36A¹⁶, 24K⁸, 102B¹⁷, 246B²¹, 48AC¹⁵, 48J¹⁸, 96K⁹, 42A¹⁸, 24C¹, 36C²¹, 24I⁴, 48G¹¹, 30C⁵, 204H²³, 210H¹⁶, 24D¹⁰, 48O¹¹, 48Q⁹, 210B¹⁵, 36H¹², 90I²¹, 42I¹⁷, 120A¹³, 78D¹⁹, 12A⁹, 45F¹², 48C²¹, 36E¹⁷, 84C⁷, 12B⁷, 18T⁴, 18C¹⁹, 18E¹, 24U¹⁵, 48AY¹⁷, 84B⁶, 48R⁹, 96D²², 45C¹⁸, 48G¹⁵, 192K²¹, 150D¹⁴, 72H⁸, 48L¹⁹, 36H⁴, 54A²¹, 63B⁹, 42C¹⁸, 84I¹⁵, 126F¹⁴, 84F¹⁰, 90A⁷, 18H², 48BB²¹, 48N⁷, 126K¹³, 78A²¹, 210G¹⁸, 48X¹³, 24K⁹, 96C⁹, 36Q¹⁵, 48C¹⁰, 168D²³, 96Y²¹, 126D¹⁶, 72K¹³, 48AY²¹, 60N²¹, 21B¹⁵, 120S²³, 240C²¹, 48D¹⁰, 12A⁵, 84M²¹, 72T¹⁵, 129A¹¹, 36E¹⁶, 165A²³, 168L²², 48M¹⁵, 30D¹², 102G¹⁷, 42F¹⁹, 96F²⁰, 63B²⁴, 27H⁷, 63D⁷, 126D⁸, 63G¹⁸, 24AD⁷, 96C²⁰, 42D¹³, 168E²⁴, 90F²⁰, 144D¹⁰, 48AL¹⁹, 36P⁴, 24S⁹, 48BK²¹, 96AW¹⁹, 96M²¹, 60L¹⁵, 30F², 75B⁶, 120C¹⁷, 72V²¹, 36A¹, 24G⁸, 192H²³, 15B⁰, 27A¹³, 36F¹⁵, 63E¹⁹, 24L⁸, 96E¹⁹, 21A⁷, 48BI¹⁷, 36I¹⁶, 126K¹⁸, 96D¹⁰, 210B²³, 24A³, 24D⁶, 24AO⁹, 132A¹⁶, 48BO²¹, 72U¹⁹, 60K¹⁷, 48K⁶, 24F¹⁷, 48A¹⁹, 60D¹⁹, 144D²⁰, 48T¹⁸, 36F⁶, 48BP²¹, 60W¹⁷, 48B¹¹, 18K¹⁰, 48A³, 48C¹⁵, 63A¹⁶, 96T²³, 24B⁴, 120C¹³, 120P²³, 120Q¹⁷, 120I¹⁹, 150D²⁰, 144A¹⁴, 168B²³, 60F¹⁵, 33B¹⁰, 192B²¹, 42C¹⁴, 60P¹³, 30I¹³, 276C²⁴, 48BA¹⁷, 99A¹², 168J²², 30D¹⁵, 30Q⁹, 96C⁸, 36E¹², 72L¹⁰, 60D¹⁴, 15B⁸, 24N⁹, 33A²⁰, 150C¹³, 180C²², 48AU¹⁹, 96D²¹, 150A¹², 33A⁷, 96AG²⁰, 30G⁵, 60L²¹, 12M¹, 24AJ¹⁷, 99A⁹, 18A⁰, 78B¹⁷, 72L⁸, 90G¹⁹, 18D³, 66A³, 21A¹¹, 48V¹³, 60Q¹³, 48A²⁰, 54Q¹⁶, 30B²³, 63D²⁴, 198E²¹, 24A¹⁵, 72X¹⁵, 282C²⁴, 45E⁵, 9G⁰, 96J¹⁹, 90E¹⁷, 210D²³, 60H²³, 240B²⁴, 51B¹³, 48AL²¹, 36A¹², 48AB¹⁷, 105B¹⁹, 15E³, 42G⁴, 96AW²¹, 24O⁸, 24M¹³, 15B¹⁹, 42N⁷, 60F⁶, 15F¹, 24G⁹, 24C², 63B¹⁷, 72H⁹, 48M⁷, 36M¹¹, 141A²³, 78D²³, 48B¹⁵, 36A¹⁴, 180F¹³, 48E⁸, 51B⁷, 24I⁷, 126C¹⁹, 63A²², 144B¹⁷, 96F¹⁹, 42B¹⁴, 24P⁵, 36C¹⁰, 24U⁷, 129A²¹, 210F¹⁸, 42A¹, 42D⁸, 36F¹¹, 30A¹³, 24D⁸, 150A²⁴, 168O²², 75C¹⁹, 60D²¹, 36O¹⁵, 96F⁸, 234A²¹, 96T²¹, 84E²¹, 36E¹⁹, 48AJ¹⁹, 24X⁹, 48AR²¹, 96AC¹⁷, 30E¹⁶, 24Q⁷, 90E¹⁹, 84M²², 60J⁷, 90J¹⁵, 12C⁰, 24AC⁷, 72A⁹, 84G¹¹, 192H²¹, 45K¹³, 72E⁷, 48B¹², 117B¹⁷, 168C²³, 48S⁹, 48BF²¹, 120S¹⁹, 24J⁸, 60S²³, 42B¹, 48Q¹⁷, 24H¹, 168H²², 24P⁹, 192K²³, 30C¹⁹, 96AF²¹, 48B²², 24AC³, 84J¹⁶, 48C²⁰, 96AE²³, 96Z¹⁷, 60S⁷, 168F¹⁰, 18G¹⁶, 36B¹⁴, 96BB¹⁹, 84E¹⁶, 84F²³, 126H¹⁷, 72M¹², 150D²³, 48A², 18F¹, 36D²², 72U²¹, 15E¹, 96D¹¹, 12I², 48AF⁸, 24X¹⁷, 156A²⁰, 36A¹⁵, 93A²², 90A¹⁷, 9E⁰, 72D¹⁴, 138B²³, 48AJ¹⁷, 33A⁴, 45G¹⁹, 66D¹⁹, 24F¹⁵, 228A²⁰, 78C¹⁶, 174A¹², 48AU²¹, 96X²³, 48U²¹, 48D¹¹, 60C¹³, 48Z¹³, 84A¹⁵, 48C²², 36C¹², 9G¹, 24B¹⁰, 180B²¹, 126A¹¹, 75D⁶, 24G², 114B¹⁰, 24S⁷, 138A¹², 36H¹⁵, 66E²², 96A¹¹, 48Q¹³, 96O¹⁷, 24W⁷, 168J²³, 21B⁷, 42H¹³, 36A²⁰, 96V²¹, 48A⁹, 63D⁹, 12D⁷, 60AC¹³, 96K¹¹, 6L⁰, 42C⁹, 63A²¹, 72G¹³, 111A¹⁶, 48N¹⁹, 42J¹⁹, 60O²¹, 60A⁸, 72G¹², 48AF⁷, 24F⁹, 153B²³, 36K¹⁵, 33A¹⁹, 30L²³, 48AD⁹, 96AC²¹, 96G¹⁹, 48AC⁷, 36I¹⁵, 90B¹⁵, 96S²¹, 42P¹⁹, 30G²³, 24I⁸, 72G¹⁰, 72J²³, 24G¹⁵, 90I¹⁹, 15A¹¹, 174A¹⁵, 84I²¹, 24Q¹⁵, 63H¹⁷, 45J¹³, 42L¹¹, 168G²², 48G⁹, 6H⁰, 96A²³, 90H¹⁹, 126A²¹, 126E²⁴, 24T¹³, 96AH²¹, 18L⁴, 18G⁷, 48A¹², 48K⁸, 96Q²³, 18D¹⁰, 102B²³, 144C¹⁵, 48AG¹⁹, 84J¹⁹, 90M²¹, 27C¹³, 90C¹⁸, 48I¹⁵, 42A²², 60A⁷, 120B¹⁴, 78A²², 96U¹⁹, 96AG¹⁹, 63A¹⁵, 36F¹⁰, 51B⁹, 63F²⁴, 30G¹⁷, 48C¹⁹, 30J²³, 48G¹⁶, 36R¹⁵, 15C⁷, 171A¹⁵, 90B⁶, 42J⁷, 105A¹⁹, 102A¹⁵, 48Z¹⁷, 48Z⁹, 144F²⁰, 90F¹³, 24Q², 90B²⁴, 48AO¹⁷, 24P³, 96S¹⁷, 234A¹⁷, 84P²¹, 24C⁷, 45G¹², 6B¹, 72R¹⁹, 96AK²¹, 42A¹⁹, 60M²³, 24A¹⁷, 132A²³, 168A¹⁵, 123A¹⁷, 60M¹⁷, 120E¹⁵, 234A¹⁸, 156B¹⁷, 15A¹⁶, 120F¹⁷, 42F¹⁵, 120J¹³, 48AD¹³, 96AP¹⁹, 42B²¹, 210B²⁰, 69A¹¹, 72C⁶, 48F¹⁶, 126B¹², 36J²², 72K²³, 42B⁴, 24W¹³, 96M²⁰, 48BY²¹, 63C¹¹, 24P¹³, 168N²³, 48S¹¹</t>
        </is>
      </c>
    </row>
    <row r="7">
      <c r="A7">
        <f>HYPERLINK("https://mathstats.uncg.edu/sites/pauli/congruence/csg0.html#group3B0", "3B⁰")</f>
        <v/>
      </c>
      <c r="B7" t="n">
        <v>0</v>
      </c>
      <c r="C7" t="inlineStr">
        <is>
          <t>Γ₀(3), Γ₁(3)</t>
        </is>
      </c>
      <c r="D7" t="inlineStr">
        <is>
          <t>4</t>
        </is>
      </c>
      <c r="E7" t="inlineStr">
        <is>
          <t>1</t>
        </is>
      </c>
      <c r="F7" t="inlineStr">
        <is>
          <t>4</t>
        </is>
      </c>
      <c r="G7" t="inlineStr">
        <is>
          <t>0</t>
        </is>
      </c>
      <c r="H7" t="inlineStr">
        <is>
          <t>1</t>
        </is>
      </c>
      <c r="I7" t="inlineStr">
        <is>
          <t>1¹, 3¹</t>
        </is>
      </c>
      <c r="J7" t="n">
        <v>2</v>
      </c>
      <c r="K7" t="inlineStr">
        <is>
          <t>1², 2¹</t>
        </is>
      </c>
      <c r="L7" t="inlineStr">
        <is>
          <t>1A⁰</t>
        </is>
      </c>
      <c r="M7" t="inlineStr">
        <is>
          <t>3D⁰, 6C⁰, 6F⁰, 9B⁰, 9C⁰, 9A¹, 12A¹, 15B¹, 15C¹, 21B¹, 15C², 21B², 33B³, 33C³, 39A³, 51A⁵, 57C⁵, 69A⁷, 87A⁹, 93A⁹, 111A¹¹, 123A¹³, 129A¹³, 33A¹⁴, 141A¹⁵, 57A¹⁶, 159A¹⁷, 177A¹⁹, 183A¹⁹, 39A²¹, 201A²¹, 39A²³, 213A²³, 219A²³, 39A²⁴</t>
        </is>
      </c>
      <c r="N7" t="inlineStr">
        <is>
          <t>1A⁰</t>
        </is>
      </c>
      <c r="O7" t="inlineStr">
        <is>
          <t>126D¹⁵, 90K²², 198B²², 42B¹², 39A¹⁷, 42F⁷, 9A³, 54P¹³, 72K¹¹, 108B¹², 210J²³, 135B¹⁵, 126F¹³, 36C¹³, 204B²³, 24AC⁹, 45O¹³, 24AO¹⁷, 75B⁹, 144H¹³, 60B¹⁸, 24AF⁷, 84J²³, 60B¹⁶, 30P¹³, 24D¹¹, 126E¹³, 60G⁷, 132A¹⁴, 48CD²¹, 126A¹³, 24X³, 27A¹⁶, 180L²³, 45A¹⁵, 36D¹⁹, 108C¹¹, 60H⁹, 90H²¹, 90G¹⁵, 126J²³, 33B³, 18E², 36Q²², 30K⁷, 72L¹¹, 84K¹³, 84C²⁴, 36K²², 84H²³, 12A¹³, 63K¹⁹, 78B²³, 162A¹⁶, 171B¹⁷, 75D⁹, 15C², 126O²¹, 108B¹⁶, 60A²², 42I⁵, 45D¹³, 63D¹⁸, 120D¹⁵, 252F²⁴, 102A²¹, 96BD²¹, 84I²³, 147B²¹, 36H⁸, 72C¹⁰, 36R¹⁰, 144F¹⁹, 30H¹⁷, 42D²³, 81B²², 24Q⁵, 24J⁵, 24AC¹³, 18D¹³, 54A⁸, 18C⁴, 96M⁹, 117A²¹, 198E²³, 30G³, 219A²³, 45C¹², 126P²¹, 75A⁵, 24AP¹⁷, 21D³, 45D⁹, 168B¹⁸, 75A⁹, 36M²², 33A¹⁰, 72M²², 108F²², 36M⁹, 78G¹³, 234B²³, 108E¹⁷, 45C³, 48CO¹⁷, 15D³, 24N¹³, 111A¹¹, 48BT¹⁹, 36B⁵, 12P¹, 99A¹¹, 180A¹⁵, 42D²¹, 18P⁴, 15A³, 27C¹⁹, 90E²³, 120K¹⁵, 108B⁸, 48A⁴, 96C⁷, 144A²¹, 90H²⁴, 168A¹⁸, 45B¹⁰, 72I²¹, 90A¹¹, 72A⁸, 24AH⁷, 60O⁷, 108E²¹, 36B¹⁹, 18B¹¹, 150E¹⁹, 45G⁹, 90A¹⁶, 81B¹⁶, 144G¹³, 60I¹⁸, 36B¹, 6K⁰, 90B¹⁰, 30A²³, 180A¹⁷, 171A¹⁷, 144J²³, 117A¹³, 63B¹³, 36A⁰, 36Q¹⁰, 18N⁷, 48B¹³, 90F⁹, 18K¹, 24B¹³, 189C²¹, 30N⁵, 9B⁰, 36F⁴, 18A¹⁶, 126D¹³, 72D¹⁹, 54J¹⁶, 36F¹⁷, 180J²³, 27A⁴, 78A²⁴, 189E¹⁹, 24I⁵, 180B¹⁵, 48A¹⁷, 33A¹⁷, 120E¹⁹, 60N¹⁹, 36K¹¹, 48CQ²¹, 180A¹², 24H⁷, 93A¹⁷, 72A¹³, 18D¹, 105A²², 60T¹⁷, 27B⁷, 63E¹⁸, 42L¹³, 36B²¹, 18M¹⁰, 96AI¹⁷, 27A², 63E¹⁷, 72AB²¹, 54A⁶, 132B¹⁵, 90D⁸, 96BC¹⁹, 72H²¹, 96E¹⁵, 24F¹¹, 210A²², 144J¹³, 42C⁶, 60B¹⁷, 42E³, 48AM⁷, 45I¹³, 78G²³, 54B⁸, 48CO²¹, 24R⁵, 36B⁹, 18E⁴, 24B⁶, 24O¹³, 63A²⁰, 144A¹⁹, 9J⁰, 72G²¹, 54I¹³, 51A¹⁵, 72M¹⁷, 54N¹³, 138B¹⁵, 18H⁴, 45H¹⁹, 75D¹⁹, 108A¹⁰, 36P²², 72R²¹, 18O⁷, 48CH²¹, 207A²³, 36A¹⁰, 108F¹⁰, 54F²², 132C²¹, 60I¹¹, 18P², 90E¹², 42E⁹, 201A²¹, 180F²³, 117A¹⁰, 60O¹⁹, 96C¹³, 54A²², 54B², 84B¹², 96AJ¹⁷, 48AG¹³, 96L⁹, 18A⁵, 60R²¹, 45A¹⁴, 24E²¹, 78B⁷, 12S¹, 18F⁴, 48AG⁹, 48CB²¹, 108E¹¹, 48AM⁹, 72T¹³, 45C⁵, 63J¹⁹, 60AA¹⁵, 18F³, 9A², 189A¹⁷, 168B²⁴, 60C⁸, 75E¹⁴, 24AR¹⁷, 120K²³, 57B⁹, 24C¹³, 63D⁶, 45M¹³, 120L¹⁹, 108C¹⁷, 132B²¹, 192N²¹, 84G²³, 12B³, 21A⁹, 39A²⁴, 90F²⁴, 78E²³, 24AS¹⁷, 24G³, 54O¹³, 108B⁹, 27D¹⁶, 54D¹³, 45C¹¹, 96L¹⁵, 72A¹¹, 48AI⁹, 72N²², 36C¹, 36J³, 129A¹³, 30A¹⁷, 24C¹⁷, 21C⁴, 24AI⁷, 24AK⁷, 150H¹⁹, 36A⁹, 168C¹⁸, 81D¹⁹, 36H¹⁷, 27B¹³, 72U¹³, 24AD⁹, 45A¹³, 36A³, 24D²¹, 30A⁸, 24U³, 60T²¹, 120C¹⁵, 72F¹⁹, 18H¹⁰, 99A¹⁰, 165A²¹, 24H⁵, 42C¹², 24G¹³, 126K²¹, 66A²¹, 42F¹³, 48CE²¹, 45E¹³, 75F⁹, 96BI²¹, 198D²¹, 126T²¹, 90C¹¹, 48Y¹¹, 21B¹⁰, 204A²³, 75D¹⁷, 63A¹², 84I¹¹, 240A²⁴, 90C¹⁰, 48BQ¹⁹, 24M⁵, 63B¹⁹, 54A³, 48CN²¹, 48E¹³, 9A⁴, 72B¹³, 132B²⁰, 135A¹⁴, 54C¹¹, 24F²¹, 30E⁶, 63O¹⁹, 24AG⁹, 54G¹³, 36L¹⁷, 75F¹⁷, 36F²¹, 36I⁸, 114A²¹, 24AB¹³, 54J¹³, 90M¹⁷, 114A¹¹, 78H²³, 60K¹⁹, 48L⁷, 216A¹⁷, 63J¹⁷, 72E¹⁵, 96D¹⁵, 66A⁹, 57A¹⁷, 189A²², 222B²³, 144K²¹, 120D²¹, 96F¹³, 72G⁸, 15C⁹, 36A¹³, 63F⁷, 126B¹⁴, 54G¹⁶, 24AB⁵, 54R¹³, 117A¹², 54C³, 24L¹³, 45B³, 189D¹⁹, 36D¹⁰, 63F¹⁷, 144A¹², 63D¹⁷, 189A¹⁹, 108E²², 198E¹⁸, 60P¹⁷, 144G²³, 96BB²¹, 108A¹², 108B¹¹, 30E¹⁵, 24AK⁹, 54E¹³, 18G⁴, 27A¹⁹, 48P¹³, 36J¹⁰, 48AJ⁹, 48A⁷, 39B⁹, 72D²², 96G¹¹, 132A¹⁵, 78F²³, 126D²⁰, 36L²², 96E¹³, 27A¹, 24AJ⁹, 18N², 60J¹³, 36F¹⁶, 18E¹³, 48S¹³, 18I³, 36J¹⁹, 54O¹⁶, 30J⁵, 84D⁸, 111A²¹, 204C²³, 72A⁶, 216C²², 42C¹³, 27C⁴, 144V²³, 18B⁰, 18E¹⁰, 189B²¹, 96BJ²¹, 135B¹⁴, 120C²¹, 36I¹⁷, 24AG⁷, 108A¹⁹, 84H¹¹, 15A⁷, 48CM²¹, 60L¹³, 87A¹⁷, 72B²⁰, 48B²³, 48B²¹, 90C⁹, 24I², 198F²³, 21D⁹, 48W¹¹, 48Y¹³, 36Q⁹, 153A¹⁵, 72D¹⁵, 96A¹³, 12G², 12K³, 84D²⁴, 96D¹³, 162A¹³, 234D²³, 96AL²³, 33C³, 27A⁷, 36D⁹, 90F⁸, 72A²⁰, 42H¹¹, 24H¹³, 72C²², 126S²¹, 63A⁷, 189A²¹, 27A²², 135E¹³, 48G²¹, 84B¹³, 9I⁰, 18I⁴, 117B¹⁹, 30A⁹, 60B²¹, 45E²¹, 90E¹¹, 21B¹¹, 96BC²¹, 12F¹, 48D¹³, 6C⁰, 63B²¹, 270B²⁴, 144A¹⁶, 72A²¹, 21F¹, 24A²⁴, 24J²¹, 144F²³, 189B¹⁷, 30R¹³, 66D²¹, 144J²¹, 48AK⁷, 48CM¹⁷, 24AL⁷, 180E²³, 18B², 6D¹, 48CL²¹, 36T¹³, 72L²¹, 144B¹⁹, 30M⁷, 9H⁰, 171C¹⁷, 24AJ⁷, 30A²², 108G¹⁷, 30A¹⁵, 48H⁷, 48BS¹⁹, 96BH²¹, 153A¹⁷, 72C¹⁹, 12J⁰, 180K²³, 114A¹⁷, 45B¹⁷, 63B⁶, 45B¹², 24C¹⁵, 39A²³, 144D¹⁹, 144B²⁰, 18C⁰, 108A¹⁶, 24A⁹, 48I¹⁰, 36A²¹, 48Z¹¹, 48G⁷, 60C¹⁸, 60F¹⁷, 48O¹³, 180H²¹, 78C¹¹, 30N⁹, 48CA²¹, 54Q¹³, 126G¹², 78B²¹, 90L¹⁷, 144A²³, 63A¹⁰, 54B⁶, 72C¹¹, 27F¹⁹, 48CJ¹⁷, 72M¹⁹, 54A¹⁶, 189B¹⁹, 189C²⁰, 42G¹², 90F²¹, 54K¹³, 72Y¹⁷, 24H²¹, 90A¹⁴, 126K¹⁷, 36I¹⁹, 72I¹⁹, 24Y³, 36B⁴, 126I¹², 126C¹³, 60D²², 144E²³, 12B⁵, 33A¹⁴, 24B²¹, 90N¹⁷, 36G¹⁰, 144E¹⁵, 198D²³, 63E¹¹, 72W¹³, 234A²³, 144L²³, 15G³, 36I⁹, 48G¹³, 48C⁷, 84P¹⁷, 108B²², 24C⁴, 63C⁷, 48N¹³, 30G¹¹, 96I¹³, 135A¹¹, 24Z³, 30E⁸, 120K¹⁹, 6F¹, 30D², 54I¹⁶, 60G⁹, 108A⁴, 108D¹¹, 90F¹⁴, 198A¹⁹, 60H¹¹, 225A¹⁹, 48W²¹, 144L²¹, 90E⁷, 132E¹², 144G²¹, 36H¹⁹, 90A¹⁰, 18E¹⁶, 120F²¹, 33B¹¹, 180I²³, 51A¹⁷, 84K²³, 30N¹³, 48J⁵, 60J¹¹, 15B⁵, 36B¹¹, 24I²¹, 18C², 66A²⁰, 126J¹⁷, 30K¹⁷, 57B¹⁷, 228B²³, 27C¹, 24A², 207A²¹, 60K¹³, 66B²¹, 126D¹⁴, 270A²⁴, 60M¹³, 162C¹⁶, 21B¹, 72E¹⁹, 45E¹², 45D¹¹, 144D²³, 72K¹⁹, 24AP⁹, 48C⁵, 180B²⁰, 72A¹⁰, 72A¹⁵, 222A²³, 48BO¹⁹, 27A⁶, 216A²¹, 48X²¹, 150I¹⁹, 180G²³, 108A²¹, 18J⁴, 18A⁶, 54B¹³, 24R⁴, 18B⁵, 48AN⁹, 30A¹⁴, 36K³, 54A⁴, 60I²¹, 162B¹³, 54B⁵, 72AC²¹, 39B²¹, 30D⁸, 54N¹⁶, 252E²⁴, 75C¹⁷, 69A⁷, 24AQ¹⁷, 54A², 60AI¹³, 30H¹², 48BZ²¹, 105A²³, 54M¹³, 36K⁶, 48CL¹⁷, 105B¹³, 108B¹³, 36O²², 42E²³, 24K⁵, 12V¹, 72A²², 90E⁹, 42E¹², 72B²², 174B¹⁹, 72K²¹, 180B¹⁸, 21A⁶, 36J⁶, 36C⁹, 150C¹⁹, 30D⁴, 216A²⁰, 60F⁷, 180B²³, 36J¹⁷, 90G²¹, 60Y¹⁵, 228A²³, 36N⁹, 24W³, 120D¹⁸, 90S¹⁷, 66A¹³, 57C⁵, 72B¹¹, 63E¹³, 36F⁹, 75C⁹, 24N⁵, 30M⁵, 45B⁸, 63D¹³, 72J¹⁹, 36H⁷, 54B¹⁴, 18O², 27D⁴, 48BP¹⁹, 18H³, 45A¹², 141A¹⁵, 36N²², 105A²¹, 120D¹⁷, 96I¹⁵, 18C¹³, 42G¹³, 60O¹⁷, 54D¹¹, 36G¹⁹, 135B¹³, 36E⁹, 18H¹³, 108A⁸, 66C²¹, 186B¹⁹, 81B¹⁹, 27C³, 144C¹⁹, 159A¹⁷, 12D³, 18G³, 42D¹², 48J⁴, 108D²¹, 72L²², 60G¹⁴, 117A¹¹, 63F⁹, 84C¹³, 75A¹⁷, 84D⁹, 108A⁶, 54E¹⁶, 84C¹⁷, 63A¹³, 126U²¹, 63I¹⁷, 48CP²¹, 72B¹⁹, 81A⁴, 90R¹⁷, 81C¹⁹, 48J¹⁹, 108B¹⁰, 54T¹³, 120M¹⁵, 60E⁷, 126C¹⁵, 72C¹³, 48J³, 54H¹⁶, 60R¹⁷, 192M²¹, 150J¹⁵, 54L¹⁶, 30G²¹, 54C⁵, 42F¹², 48AO⁹, 108B²¹, 24E¹⁷, 72T¹⁷, 42G¹¹, 105D¹¹, 156D²³, 36H⁹, 72E¹³, 24H¹¹, 135A²¹, 36E¹⁰, 48D²³, 108A²³, 96BM²¹, 108A¹³, 45D⁵, 24E⁷, 42J¹¹, 18F¹³, 15A¹³, 144A²⁰, 36M⁷, 96BE²¹, 21C¹¹, 72F⁸, 12E⁰, 27B¹⁶, 156A¹⁵, 36H¹⁰, 135C¹³, 48A¹⁸, 189B²⁰, 12I⁰, 60D¹⁸, 60B²³, 63C⁶, 63F¹⁹, 90L²², 234E²³, 33B¹⁷, 48CF²¹, 189A²⁰, 24G⁷, 96AJ²³, 84G¹⁵, 198C²¹, 48L¹³, 45A⁴, 54D¹⁰, 33C²¹, 90O²¹, 90E²¹, 90B⁹, 108C¹⁶, 12A³, 45A⁵, 135D¹³, 18J¹, 90B¹¹, 72B²¹, 63G¹⁷, 144I¹³, 36J¹³, 18E⁰, 54B³, 60G¹⁸, 24AI⁹, 30K³, 54B⁷, 63G¹⁹, 63A⁴, 72P¹⁷, 60AF¹⁵, 30D²², 36I¹⁰, 39A²¹, 180A¹⁸, 30B¹⁷, 54E¹⁰, 45F¹¹, 63C¹³, 66E⁶, 42D³, 36A⁵, 72B¹⁰, 180A¹⁹, 63F¹⁶, 21B⁶, 90F⁷, 12F², 105A¹³, 12D⁴, 27E⁷, 81A¹⁰, 105A¹¹, 24D¹⁷, 36A¹⁹, 99C¹¹, 60U¹⁵, 72C⁹, 30H⁹, 207B²³, 63C²¹, 72S¹³, 72J²¹, 36E²¹, 108D¹⁰, 120E²¹, 36N⁷, 180A²⁰, 45H¹³, 36G¹⁷, 60A¹², 78C²³, 24A¹³, 15B⁹, 15A²³, 252A²³, 45A¹⁶, 24C³, 135C¹⁷, 63A⁵, 72D¹¹, 126B¹¹, 102A¹¹, 48A¹³, 18P⁷, 84G¹³, 180G²¹, 180E²¹, 66B⁷, 24AF⁹, 48B⁷, 252B²³, 30Q⁷, 72O²¹, 30F¹⁰, 90E⁸, 27B²², 45B¹¹, 24AH⁹, 60A²¹, 36B¹⁷, 108C²², 90D²¹, 90I²⁴, 45A⁹, 96BE¹⁹, 48AH⁹, 39A¹⁰, 27B², 81D²², 36F¹⁹, 48A²³, 54H¹³, 90D⁹, 48CK²¹, 36D¹⁷, 48AK⁹, 126A¹⁴, 126E¹⁵, 36C¹⁷, 48L³, 45C⁹, 90C²¹, 168D¹⁸, 126B¹⁵, 54T¹⁶, 120M¹⁹, 36D¹³, 21A⁵, 84L²³, 30B¹⁹, 15C¹, 168Q²³, 24B⁰, 54B¹⁶, 192O²¹, 36A⁴, 150B¹⁹, 81A¹⁶, 135C¹², 45E¹⁷, 45A²³, 93A⁹, 54C¹³, 24G¹, 162A²², 48CC²¹, 108E¹⁰, 192E¹⁹, 72Q¹⁷, 135A¹⁷, 96C¹⁵, 72F²³, 96F¹⁰, 180C²³, 135A¹⁵, 39B¹⁹, 216B²², 90B¹⁴, 63K¹⁷, 45F¹³, 84A¹⁷, 198A²², 6F⁰, 36G⁹, 12I¹, 60G¹⁷, 6I⁰, 45D¹², 30J¹⁷, 99B⁹, 180D²³, 72C¹⁵, 48CP¹⁷, 96B⁷, 30G⁹, 24E¹¹, 45B⁵, 66A⁷, 168R²³, 21C⁵, 48C¹⁷, 30L⁹, 165B¹⁷, 24F⁷, 21E⁵, 168B¹⁹, 60A¹⁹, 63N¹⁹, 126F¹⁸, 60P⁷, 108B¹⁹, 24I¹³, 144E¹⁷, 18F¹⁰, 54R¹⁶, 96AI²³, 30M⁹, 30A¹⁶, 108A⁹, 9H¹, 60AC¹⁵, 234C²³, 48H²¹, 60A¹⁶, 54K¹⁶, 30S⁷, 27E¹⁶, 147B¹¹, 90H¹⁵, 48AN⁷, 48A²¹, 21D⁷, 24B¹¹, 18A¹³, 33A⁹, 192F¹⁹, 24K¹⁷, 36F⁵, 120A¹⁸, 36A¹⁷, 21B³, 72A¹⁹, 63C¹⁶, 63F¹¹, 96BF²¹, 48AH¹³, 99B¹¹, 42J²¹, 15I¹, 48AO⁷, 36K¹⁰, 36K¹³, 144M²³, 36A¹¹, 60S²¹, 144B²³, 120A¹², 54F¹⁰, 132C¹⁹, 42H¹², 72O¹⁹, 63A²⁴, 87A⁹, 189D²¹, 48CJ²¹, 66B¹⁹, 120N¹⁷, 30S⁹, 156C²³, 36C¹¹, 48J¹³, 42A¹⁵, 72D²¹, 90A¹⁸, 84E⁸, 72A¹⁴, 90A¹⁹, 48T¹³, 270A²², 150I¹⁵, 135A¹³, 36A⁷, 27D¹⁹, 180C²⁰, 36U¹³, 90I²², 24G¹¹, 72B⁵, 54C⁸, 72D⁷, 21C⁹, 180C²¹, 36G³, 24AB⁹, 33B⁵, 36L⁵, 21A¹⁷, 72O¹⁷, 72X¹⁷, 120B¹⁹, 54B⁴, 42K¹¹, 96A¹⁴, 36K¹⁷, 150F¹⁹, 24AN¹⁷, 180C¹⁶, 48B¹⁷, 144E²¹, 180C¹⁸, 60K¹¹, 60C¹⁹, 135C¹⁴, 48X¹¹, 45C¹⁰, 12C⁷, 18D⁴, 18M⁴, 162B²², 48D⁵, 99C¹⁷, 27A³, 189C¹⁹, 108D²², 72F²¹, 192P²¹, 63C¹⁹, 57A¹⁶, 30C²², 24AA³, 135B¹⁷, 126G¹³, 36O⁴, 108B¹⁷, 30A¹², 24L¹⁷, 18J¹⁰, 120B²¹, 48AL⁷, 42D⁹, 18I¹⁰, 243A²², 54S¹³, 27A⁰, 45G¹¹, 48I³, 90C¹², 90C⁸, 198B²¹, 63I¹⁹, 66A¹⁹, 198B²³, 54S¹⁶, 21A²¹, 60A²³, 60C²³, 42D¹¹, 24B⁹, 144I¹⁹, 96BF¹⁹, 24A¹¹, 39A¹¹, 54C¹⁶, 45D¹⁵, 102B²¹, 15B¹⁰, 48D⁷, 48I¹³, 72L¹⁹, 48CQ¹⁷, 42B¹⁸, 81A²², 9A¹, 48D²¹, 54F¹³, 30P⁹, 12B⁰, 42G²³, 27B⁴, 24I¹¹, 72Z²¹, 24V³, 15A⁴, 81C²², 42B¹³, 60M¹⁹, 45F²¹, 198A²¹, 42I¹⁷, 9C⁰, 81E¹⁹, 171B¹⁹, 120F¹⁹, 54P¹⁶, 12A⁹, 72N¹⁹, 48C²¹, 189A¹⁸, 36E¹⁷, 48AQ⁷, 42D⁴, 117A²³, 90B¹⁹, 15D⁵, 135B¹², 171A¹⁹, 45E²³, 33A¹³, 54I¹⁰, 72D¹³, 60S¹⁷, 36J⁸, 42H²¹, 126F¹¹, 48G¹⁵, 48I⁵, 90E¹⁴, 42F²³, 12B⁹, 156C¹⁵, 84O¹⁷, 54A¹⁴, 54A⁵, 243A¹⁹, 15C⁵, 108A²⁰, 126C²⁰, 96H¹⁵, 144U²³, 150G¹⁹, 144B²¹, 48C¹³, 45H⁵, 27B¹⁰, 21C²¹, 138A²¹, 72H¹⁹, 54B²², 63E⁹, 60B⁴, 18D², 12A⁵, 90C¹⁹, 48CK¹⁷, 69A¹³, 18B¹⁶, 108C⁹, 48W¹³, 96A¹⁵, 48CG²¹, 36I⁷, 96H¹¹, 126B¹³, 72A⁷, 51A⁵, 84A⁹, 84B¹⁷, 18C¹, 12L³, 63A¹⁹, 150D¹⁹, 54D²², 45C¹³, 84F¹³, 81A⁷, 36B³, 60AJ¹³, 72B²⁴, 54E⁴, 75B¹⁷, 144N²³, 60AB¹⁵, 126A¹⁵, 36H¹¹, 60B⁹, 96F¹⁵, 48BR¹⁹, 126H¹³, 60D⁷, 54C¹⁰, 42A¹⁶, 24F³, 21B², 27A¹⁸, 81A¹⁹, 180A¹⁶, 18Q⁴, 9C¹, 36C⁴, 54A¹⁰, 60I¹³, 108C¹⁰, 114B¹¹, 45A¹⁷, 144H²³, 39A³, 45F¹⁷, 60L¹⁷, 144H¹⁹, 36B⁷, 42B²⁴, 117B²¹, 36S¹⁰, 90J¹¹, 180D²¹, 24J¹, 72U¹⁷, 60T¹⁵, 216A²², 18K¹⁰, 99B²¹, 72N¹⁷, 108C¹⁹, 123A¹³, 54G²², 243A¹⁶, 48F⁷, 108D¹⁷, 90J²², 126L²³, 213A²³, 72C²⁰, 42C²³, 63L¹⁹, 96BA²¹, 18G¹⁰, 27C¹⁶, 96K¹⁵, 96AK¹⁷, 66C¹⁹, 45H¹², 63A¹⁸, 216B²¹, 90C⁶, 162B¹⁶, 162D¹⁶, 117B¹³, 234A²⁴, 84Q¹⁷, 186A¹⁹, 24F², 153B¹⁷, 45B¹³, 144D²¹, 144B²², 90D¹¹, 45B¹⁴, 72J¹¹, 72E²¹, 27B¹, 63B⁵, 18G¹³, 144C²¹, 60A⁶, 30I⁵, 12E⁵, 54D¹⁶, 72B⁹, 36I¹¹, 135A²³, 42H²³, 105F²¹, 72B¹⁵, 60A¹⁸, 48H¹⁰, 72C⁷, 48V¹³, 60Q²¹, 120A¹⁹, 144F²¹, 12O³, 24B³, 45D³, 72I¹¹, 195A²¹, 36C³, 126E¹¹, 12A⁷, 108C²¹, 144A²², 15E³, 162E¹⁶, 42G²¹, 96B¹⁵, 72D¹⁰, 24M¹³, 15B¹⁹, 174A¹⁹, 165B²¹, 36A², 126K²³, 150A¹⁹, 24AT¹⁷, 42L¹⁷, 180B¹⁶, 96BD¹⁹, 36B¹³, 54B¹⁰, 132C¹⁵, 135B¹¹, 36B¹⁰, 102C¹⁵, 117B¹¹, 120O¹⁷, 189A²³, 84A²⁴, 120B¹⁶, 126F¹², 15A¹², 30S⁵, 96E¹⁰, 9D¹, 96B¹³, 156B¹⁵, 36C¹⁰, 198C²³, 36B⁶, 96BK²¹, 180D²⁰, 48K¹³, 180H²³, 108F¹⁷, 60J²¹, 30F³, 99A²¹, 90G²⁴, 42M²³, 36E¹⁹, 21C¹³, 54E²², 48AP⁷, 18A¹¹, 120A²¹, 24AE⁹, 60V¹⁵, 54G¹⁰, 42B¹⁵, 66A¹⁷, 48D⁶, 78C⁷, 144E¹⁹, 63B⁷, 24D⁷, 30L⁷, 45K¹³, 144O²³, 36K⁸, 108A⁷, 126M²³, 42C²¹, 63M¹⁹, 72R¹³, 72C²¹, 27B¹⁸, 72G¹⁹, 39B⁵, 75B¹⁹, 96BL²¹, 126J²¹, 72Y²¹, 48K³, 189E²¹, 24AC³, 24K¹³, 102B¹¹, 144I²³, 96AL¹⁷, 30C¹⁵, 108A²², 72Y¹⁵, 48CI²¹, 216A²³, 48U¹³, 126D¹¹, 48E⁷, 144D¹⁷, 120L¹⁵, 30B¹⁵, 21A¹⁶, 156A¹⁷, 132A²¹, 18B¹³, 138A¹⁵, 99C⁹, 72Q¹³, 177A¹⁹, 72D⁹, 24AA⁵, 36L¹⁰, 84B²⁴, 27C⁷, 36A¹⁵, 42I²¹, 24A²¹, 144I²¹, 78C²¹, 42J¹⁷, 90F¹¹, 180C¹⁹, 42I¹¹, 72A³, 48M¹³, 165A¹⁹, 108A¹¹, 12A¹, 144K²³, 96AZ²¹, 48Z¹³, 96G¹⁵, 48AB¹¹, 126C¹⁴, 84Q²¹, 120L²³, 42E¹¹, 90Q¹⁷, 15G¹, 42C¹¹, 84E⁷, 90D²⁴, 42G⁵, 24J¹⁹, 84A¹², 72V¹³, 198A²⁰, 15B¹⁷, 69A²¹, 42I²³, 9A¹⁰, 36S⁴, 168A²⁴, 81B⁷, 27B¹⁹, 15B¹, 63A²¹, 180E²⁰, 72R¹⁷, 54C⁴, 81A¹³, 126C¹¹, 144P²³, 84B²³, 108A¹⁵, 72E⁹, 126A²⁴, 135A¹², 126I¹³, 45C⁷, 180A²³, 48A¹⁴, 12N³, 57B¹³, 108A¹⁷, 36G⁵, 54U¹⁶, 210I²³, 168A¹⁹, 63H¹⁷, 144A¹⁵, 132D¹⁹, 24J¹³, 12R¹, 12O¹, 72I⁹, 63D¹¹, 210B²², 48K⁷, 90O¹⁷, 18D¹⁰, 216A²⁴, 96AK²³, 36C¹⁹, 45L¹³, 27C¹³, 48F¹³, 54C²², 36F¹⁰, 90E²⁴, 60Q¹⁷, 60E²¹, 144C²³, 30G¹⁷, 3D⁰, 24C²¹, 24G²¹, 126E¹², 48AL⁹, 180F²¹, 48D¹⁵, 12F⁷, 60L¹⁹, 27E¹⁹, 45B²³, 54D⁴, 42F¹¹, 96AH¹⁷, 84D⁷, 48C²³, 66A¹⁰, 48H¹³, 24Z⁵, 54H¹⁰, 96J¹⁵, 171D¹⁷, 183A¹⁹, 78A²³, 60AD¹⁵, 18Q², 54F¹⁶, 54L¹³, 27D⁷, 54M¹⁶, 204D²³, 39C⁹, 24A¹⁷, 96BG²¹, 36O⁷, 78F¹³, 48AA¹¹, 45B⁴, 36G⁴, 24P¹³, 45A²⁴, 12B¹³, 63H¹⁹, 180B¹⁹, 45G¹³, 30B⁸, 9B⁴, 144H²¹, 144G¹⁹, 42E⁴, 6J⁰, 51A⁹, 48CN¹⁷, 198A²³</t>
        </is>
      </c>
    </row>
    <row r="8">
      <c r="A8">
        <f>HYPERLINK("https://mathstats.uncg.edu/sites/pauli/congruence/csg0.html#group3C0", "3C⁰")</f>
        <v/>
      </c>
      <c r="B8" t="n">
        <v>0</v>
      </c>
      <c r="C8" t="inlineStr"/>
      <c r="D8" t="inlineStr">
        <is>
          <t>6</t>
        </is>
      </c>
      <c r="E8" t="inlineStr">
        <is>
          <t>1</t>
        </is>
      </c>
      <c r="F8" t="inlineStr">
        <is>
          <t>3</t>
        </is>
      </c>
      <c r="G8" t="inlineStr">
        <is>
          <t>2</t>
        </is>
      </c>
      <c r="H8" t="inlineStr">
        <is>
          <t>0</t>
        </is>
      </c>
      <c r="I8" t="inlineStr">
        <is>
          <t>3²</t>
        </is>
      </c>
      <c r="J8" t="n">
        <v>2</v>
      </c>
      <c r="K8" t="inlineStr">
        <is>
          <t>1¹, 2¹</t>
        </is>
      </c>
      <c r="L8" t="inlineStr">
        <is>
          <t>3A⁰</t>
        </is>
      </c>
      <c r="M8" t="inlineStr">
        <is>
          <t>3D⁰, 6E⁰, 6G⁰, 9D⁰, 9E⁰, 6B¹, 9B¹, 12G¹, 15E¹, 15A², 21D², 15C³, 21A³, 33A⁴, 33A⁵, 39A⁵, 51B⁷, 57A⁹, 69A¹¹, 87A¹³, 93A¹⁵, 111A¹⁷, 123B¹⁹, 33A²⁰, 129A²¹, 141A²³, 57A²⁴</t>
        </is>
      </c>
      <c r="N8" t="inlineStr">
        <is>
          <t>3A⁰, 1A⁰</t>
        </is>
      </c>
      <c r="O8" t="inlineStr">
        <is>
          <t>36K⁴, 45A²⁰, 24L¹¹, 36H¹⁰, 48O¹⁷, 15A¹⁹, 48M⁹, 105B¹⁶, 24M¹⁹, 24L¹⁵, 12G³, 36G¹⁵, 24O⁹, 96AU²¹, 30E¹⁷, 15A⁹, 48A¹⁵, 24R⁷, 48Z¹⁹, 18B³, 24K¹⁵, 36C¹³, 48AG¹⁷, 36R¹⁹, 33B¹⁷, 54H²², 12M³, 24G⁷, 24K³, 36U¹⁹, 24AD¹⁷, 45F¹⁹, 15A⁸, 84D¹⁵, 48AD²¹, 12A³, 48M¹⁷, 36C¹⁵, 48AH¹⁷, 96W¹⁷, 45B²¹, 48BW²¹, 15I³, 72R¹⁵, 24I¹⁵, 84D²⁰, 27A¹⁶, 48AC¹³, 48J⁷, 72P²¹, 45A¹⁵, 36T¹⁵, 90K¹⁹, 132G²³, 30I³, 18A²², 126E²⁰, 90D¹⁴, 72V¹⁵, 30A¹¹, 21D², 18S⁴, 48BE²¹, 54A¹⁹, 45F¹¹, 30B¹⁷, 24AA¹⁷, 12E⁷, 30E¹², 48BG¹⁹, 27A⁸, 36K⁹, 42O¹⁹, 30E²³, 54I²², 9B¹, 24B¹⁹, 126A²³, 96AE²¹, 126L²¹, 78A¹¹, 48AF²¹, 36A²², 36K²², 48P¹¹, 12A¹³, 84D²¹, 12C⁵, 36A²³, 24D¹⁵, 24D¹⁷, 30C⁹, 30H⁹, 48X⁷, 120G²¹, 63F¹⁸, 36L¹¹, 36E²¹, 45F⁹, 42N¹⁹, 24O⁷, 36N⁷, 90C¹⁴, 18B⁶, 72G¹¹, 24N⁷, 90A¹⁵, 30F²³, 36H⁵, 63C¹⁸, 84C²³, 24A¹³, 36C²², 96Q¹⁷, 96Y²³, 18D⁶, 36C⁵, 48S¹¹, 48N¹⁵, 30H¹⁷, 96N¹⁵, 54J²², 150C²³, 30C¹², 42A²¹, 45B¹⁵, 48AZ¹⁷, 24E¹⁵, 90C²³, 75E⁹, 18D¹³, 72Q¹⁹, 75A¹³, 45F⁵, 72O²¹, 72Q¹¹, 24T⁷, 30J³, 27B²², 126E¹⁸, 60W²¹, 51B¹⁵, 60A²¹, 48Y¹⁷, 30H¹¹, 72S¹⁹, 96AO²¹, 21B¹³, 72H¹¹, 60E⁹, 24Z¹⁷, 60G¹⁵, 15A¹⁷, 72M²¹, 48Y²¹, 90N²¹, 90H¹⁴, 48AE¹⁷, 120H²¹, 24K¹⁹, 33A¹⁰, 30I⁹, 60B¹², 72N¹¹, 36C¹⁷, 126A¹⁸, 48K¹⁵, 153C²³, 48AC²¹, 24Y¹³, 24N¹³, 126B²³, 72A²³, 24K²¹, 90C¹³, 54T¹⁶, 36D¹³, 72H¹⁵, 96F²¹, 12L¹, 24R⁹, 84C¹⁶, 42C¹⁷, 123B¹⁹, 72AA²¹, 24J¹⁵, 84N²¹, 36D²³, 30R⁵, 18D¹⁶, 18H², 120C¹⁹, 36M⁵, 24Y¹⁷, 75A²³, 66C¹¹, 21B⁹, 48P¹⁵, 78A¹⁷, 24L³, 36K¹⁹, 24E⁹, 54B¹⁹, 81A¹⁶, 117A¹⁷, 63B¹⁸, 12K¹, 45A²³, 60N¹¹, 66B¹¹, 45I¹⁹, 15A⁵, 30K¹³, 18C⁷, 72F²³, 30J⁷, 36N¹⁹, 12A¹¹, 126H²¹, 144Q²³, 144R²³, 30B⁵, 90I¹⁵, 90D¹⁵, 96P¹⁷, 39A⁵, 42E⁵, 33A⁵, 42C¹⁶, 36Q¹³, 6K⁰, 36N¹¹, 30A²³, 60T¹³, 30I¹¹, 30A²¹, 120K²¹, 126C²³, 36G⁹, 45B¹⁶, 36Q¹⁰, 18N⁷, 24V¹⁷, 30H²¹, 36J⁷, 45N¹³, 60E¹⁷, 72F⁹, 96AB²¹, 24B¹³, 24Z⁷, 72N²¹, 33B²¹, 12D⁵, 60D²³, 48AL¹⁷, 18A¹⁶, 30G⁹, 48F¹⁷, 45C¹⁶, 144T²³, 15C⁴, 36A⁸, 60G²¹, 60Y¹³, 21C⁵, 48C¹⁷, 24M²¹, 60A¹⁹, 63A¹¹, 78B¹¹, 60U¹⁷, 90I¹³, 45E⁹, 18F⁷, 42C⁷, 36C²³, 24H⁷, 48AA⁷, 48AM¹⁹, 96P²¹, 36O¹³, 18F¹⁰, 36I⁵, 45C⁶, 36B²¹, 18M¹⁰, 96AJ¹⁹, 18E⁷, 72AB²¹, 9H¹, 30F¹³, 96AG²¹, 18R⁴, 48H²¹, 60C¹⁷, 54K¹⁶, 75B¹³, 72H¹³, 21A¹², 24L²¹, 36H⁶, 63D¹⁶, 45B⁶, 117A¹⁹, 48O²¹, 60K⁹, 48A²¹, 144W²³, 96S²³, 45I¹³, 24R⁵, 18A¹³, 36K⁷, 33A⁹, 24O¹³, 18E⁴, 24K¹⁷, 60V¹⁷, 36E¹¹, 63A²⁰, 42H¹⁷, 9F¹, 27A¹⁰, 96I¹⁷, 54I¹³, 48F¹⁵, 48R¹⁷, 51A¹⁵, 42C¹⁵, 99C¹⁵, 48BL¹⁷, 18M⁷, 30I²³, 36O⁹, 24J¹⁷, 198A²⁴, 36D⁷, 96N¹⁹, 18H⁴, 42E¹⁷, 90A²⁰, 36A¹¹, 72T²¹, 75D¹⁹, 45A¹¹, 21C⁶, 42A¹⁴, 48BD¹⁹, 9C⁴, 99A¹⁷, 36D⁵, 30E⁵, 54B²¹, 18P², 60E¹⁵, 132D²³, 72W¹⁷, 54A²⁴, 36E⁸, 60E²³, 42D⁷, 54A²², 42F⁴, 18C¹⁶, 36C¹¹, 90N¹⁵, 18A⁵, 45A¹⁴, 24X⁷, 126N²¹, 24N¹¹, 42C²⁴, 12S¹, 66B⁸, 48S²¹, 105C¹⁷, 96I²¹, 30C¹³, 96P¹⁵, 18F³, 36N⁸, 42A⁶, 9A², 24N³, 72J¹⁷, 96AP²¹, 45B⁷, 48BT²¹, 117C¹⁷, 24AH¹⁷, 48W⁹, 48AV¹⁷, 90A¹³, 24C¹³, 84H¹⁷, 12U¹, 24P⁷, 24I¹, 57A⁹, 90B¹⁷, 42E¹⁶, 12B³, 72X¹⁷, 48J⁹, 45B¹⁹, 36L¹³, 18E¹⁹, 96D¹⁹, 48I⁹, 126B²⁰, 24N¹⁷, 36K¹⁷, 24O¹⁷, 45C²¹, 21A¹⁴, 48B¹⁷, 36Q¹⁹, 60C¹⁹, 144L²², 48R¹⁵, 30C²³, 12C⁷, 39B¹¹, 84A¹⁸, 36M¹⁹, 18M⁴, 93A¹⁵, 18A¹⁹, 48AP²¹, 12C², 24C¹⁷, 30A¹⁷, 36N¹³, 12T¹, 99A¹⁵, 42Q¹⁹, 63C¹⁹, 36A⁹, 48BM¹⁷, 72F¹³, 39A⁹, 42F¹⁷, 18A³, 36M¹⁵, 18A¹⁸, 102B¹⁵, 30A¹², 24L¹⁷, 72J¹⁰, 24AI¹⁷, 144M²¹, 96G²¹, 48AZ²¹, 72G²³, 126G²³, 63B¹¹, 60J¹⁷, 54V¹⁶, 24Y⁹, 72P¹¹, 126J¹⁸, 42R¹⁹, 36D¹¹, 66A²¹, 36J¹⁵, 24L⁵, 42F¹³, 6E¹, 60C¹⁴, 48W⁷, 48Z²¹, 21A²¹, 63I¹⁹, 126G²¹, 24D³, 48K¹⁷, 72M⁸, 36H³, 126B²¹, 24B⁹, 15B¹⁰, 39A¹¹, 48BD²¹, 12J³, 18A⁸, 72S¹⁷, 18D⁷, 48C⁹, 72N¹⁵, 90C¹⁵, 72G⁹, 42B¹⁸, 24T¹⁷, 12P³, 48D²¹, 81A²², 72D²³, 90I¹¹, 75C¹³, 42A¹⁸, 66A¹⁴, 48O¹⁵, 9A⁴, 30C¹⁷, 72V¹⁹, 36C²¹, 21B²¹, 36E¹³, 15A⁴, 42B¹³, 96AI¹⁹, 63O¹⁹, 90I²¹, 24I³, 24H¹⁵, 36D¹⁵, 15C³, 42I¹⁷, 72U¹⁵, 72B¹⁷, 72M¹¹, 42A⁹, 96AM²¹, 30D²³, 12A⁹, 72E¹², 72H²³, 84B¹⁸, 27C²², 48C²¹, 72Q²¹, 36E¹⁷, 24H³, 45D²¹, 24M¹⁷, 24B¹⁵, 36O⁸, 57A¹⁷, 24U⁵, 12B⁷, 24S⁵, 18T⁴, 18C¹⁹, 24J⁹, 72S¹⁵, 24U¹⁵, 48AY¹⁷, 48R⁹, 15C⁹, 48G¹⁵, 72O¹¹, 48BC¹⁹, 36I¹³, 27A¹¹, 12B⁹, 48BB¹⁹, 36J¹¹, 54G¹⁶, 36H⁴, 54A²¹, 63B⁹, 24A⁷, 15F³, 126E¹⁷, 42C¹⁸, 24L¹³, 15C⁵, 45C¹⁹, 132A¹⁹, 48BB²¹, 48N⁷, 54B²⁴, 48BK¹⁷, 63D¹⁷, 48X¹³, 24AE¹⁷, 24K⁹, 78A²¹, 18G², 36Q¹⁵, 60X¹⁷, 24M¹⁵, 24B⁷, 54E¹³, 96Y²¹, 27B¹⁰, 27A¹⁹, 72K¹³, 48BE¹⁹, 21B¹⁷, 90B²¹, 21B¹⁵, 48N⁹, 36D¹², 48AI¹⁷, 90P¹⁵, 48AK¹⁷, 63C⁹, 12A⁵, 72T¹⁵, 48W¹³, 18B¹⁶, 24AB¹⁷, 36L²², 48U¹⁷, 36B¹⁵, 18N⁴, 72C²³, 84B¹⁵, 36E⁷, 102G¹⁷, 18K³, 18E¹³, 24Q¹³, 12Q¹, 45C¹³, 18G¹, 27H⁷, 63G¹⁸, 48V⁹, 24F¹³, 36N¹⁵, 42D¹³, 42C¹³, 45A¹⁹, 126F²³, 27C⁴, 24V⁷, 18E¹⁰, 72T¹⁹, 45G⁵, 48AL¹⁹, 36I¹⁷, 24U¹³, 36P⁴, 18H¹⁶, 15A⁷, 48P¹⁷, 24M¹¹, 60D¹⁷, 96M²¹, 48AB²¹, 72J¹³, 48BC²¹, 48B²¹, 72V²¹, 48R¹³, 24E³, 48Y¹³, 132B²³, 21D⁹, 27F⁷, 36F¹⁵, 48E¹⁹, 63E¹⁹, 48BJ¹⁷, 48BI¹⁷, 144S²³, 9C¹, 36I¹⁶, 36L¹⁹, 126K¹⁸, 27A⁷, 12D¹, 96Z²³, 48AV²¹, 36S¹³, 96N²¹, 6G⁰, 24M³, 63A¹⁷, 72U¹⁹, 9B², 144K²², 48E¹¹, 36G¹³, 48AA¹⁷, 60K¹⁷, 45A²¹, 72C²², 96AV²¹, 126D¹⁹, 60W¹⁷, 18K¹⁰, 27A²², 48C¹⁵, 96T²³, 24O¹⁹, 48G²¹, 72H¹², 36F³, 30A⁹, 120L²¹, 84D¹⁹, 126J¹², 18F², 48M²¹, 21B¹¹, 45E²¹, 60B²¹, 75E¹⁷, 63B²¹, 60A⁹, 48AF¹⁹, 96M¹⁵, 48AX¹⁷, 30H²³, 63A¹⁸, 99A¹², 36O¹⁹, 30D¹⁵, 30D¹⁷, 30Q⁹, 72I¹⁵, 48K²¹, 24C¹⁹, 63D¹⁹, 24T⁵, 90F¹⁵, 36M¹³, 9H⁰, 24N⁹, 33A²⁰, 18I², 48AR¹⁷, 36R¹³, 45B¹⁴, 60J⁹, 90K¹⁷, 84B²¹, 18I⁷, 96AN²¹, 30O⁵, 18G¹³, 60L²¹, 30A⁴, 24C¹⁵, 48AA¹⁹, 36I¹¹, 36B²³, 72L⁸, 90G¹⁹, 24O³, 90D²³, 45C¹⁵, 24A⁹, 36A²¹, 48E¹⁵, 105D²¹, 36E⁵, 150B²³, 48V¹³, 60Q¹³, 54Q¹⁶, 60Q²¹, 87A¹³, 30B²³, 24AC¹⁷, 60G¹⁹, 24A¹⁵, 36L⁹, 12G¹, 24AG¹⁷, 12O³, 30B¹³, 36J⁴, 36I⁴, 48K¹⁹, 21B⁵, 66A¹⁵, 24G¹⁷, 12C³, 84D²³, 54A¹⁶, 78E¹³, 48AH¹⁹, 30R⁷, 51B¹³, 30H⁵, 114A¹⁹, 12A⁷, 36A¹², 48AB¹⁷, 48BG²¹, 48AF¹⁷, 15A², 144X²³, 105B¹⁹, 15E³, 39B¹³, 96V¹⁷, 24V⁹, 24M¹³, 15B¹⁹, 24Q¹⁹, 126M²¹, 96T¹⁷, 72G¹⁵, 15B⁷, 72V¹⁷, 12B⁵, 72I¹⁷, 36P¹⁵, 45A⁶, 60L⁹, 24G⁹, 63B¹⁷, 21A³, 48H¹¹, 48M⁷, 48P²¹, 141A²³, 36M¹¹, 78D²³, 48B¹⁵, 60N¹⁷, 51B⁷, 24I⁷, 126C¹⁹, 36L¹⁵, 63A²², 18D¹⁹, 72W²¹, 36J⁹, 96F¹⁹, 12H³, 24P⁵, 36C¹⁰, 63B⁸, 153A²³, 24U⁷, 30G¹¹, 24AL⁹, 129A²¹, 30A¹⁰, 36F¹¹, 48X¹⁹, 6F¹, 24O⁵, 60F⁹, 24N¹⁹, 99B¹⁵, 75C¹⁹, 48Z⁷, 60D²¹, 42E¹³, 72A¹⁷, 36O¹⁵, 48W²¹, 48Q⁷, 72L¹³, 36H¹⁹, 84F¹¹, 18D⁰, 72I²³, 36E¹⁹, 126B¹⁹, 45D²³, 21C¹³, 54E²², 24Y⁷, 24Q⁷, 48E¹⁷, 96AA²¹, 60C²¹, 36B¹¹, 24M⁷, 90J¹⁵, 12F³, 24R¹³, 84G¹¹, 24D⁷, 24I¹⁷, 48G¹⁷, 60Q²³, 66B²¹, 45K¹³, 45E¹¹, 18F¹⁶, 117B¹⁷, 30J⁹, 48S⁹, 45H¹¹, 102F¹⁷, 126F¹⁵, 45E¹², 24L⁹, 48Q¹⁷, 18O⁴, 24AP⁹, 24P⁹, 42E⁷, 18E⁶, 99B¹⁷, 30I⁷, 30C¹⁹, 48X²¹, 24N¹⁵, 96AF²¹, 9E¹, 24AC³, 24K¹³, 63C²⁴, 36P⁹, 36P¹³, 42B¹¹, 18G¹⁶, 36C⁷, 90G¹³, 36G¹⁶, 84F¹⁷, 48F¹⁹, 18A⁶, 144N²¹, 126H¹⁷, 21A¹⁶, 126D¹⁸, 18B⁵, 18B¹³, 18F¹, 72U²¹, 15E¹, 30J¹¹, 96U¹⁷, 18A⁷, 24S¹³, 45C²³, 39B²¹, 90K¹⁵, 72E¹¹, 24X¹⁷, 63E⁶, 36A¹⁵, 90A¹², 90A¹⁷, 9E⁰, 114B¹⁹, 90C¹⁷, 138B²³, 48AJ¹⁷, 33A⁴, 45G¹⁹, 24F¹⁵, 63B¹⁴, 45E¹⁹, 126D²³, 39A¹⁹, 48AU²¹, 48R⁷, 126H²³, 132B¹⁹, 60C¹³, 48Z¹³, 84A¹⁵, 66A¹¹, 36C¹², 30K⁹, 30A⁶, 120D¹⁹, 60C⁹, 24S⁷, 90B¹², 48AW¹⁷, 36H¹⁵, 36S¹⁵, 18I¹, 45A⁷, 24H¹⁷, 72D¹², 18B⁷, 111A¹⁷, 63E¹⁶, 48D⁹, 48Q¹³, 42D¹⁶, 30Q¹³, 21A⁶, 24W⁷, 24J¹⁹, 72B²³, 48W¹⁹, 18C⁶, 21B⁷, 36B¹², 72O¹⁵, 24AF¹⁷, 12D⁷, 9A¹⁰, 90I¹⁷, 69A²¹, 6E⁰, 6L⁰, 42C⁹, 36H²², 27B¹⁹, 18C³, 42C⁸, 72G¹³, 90B²⁰, 63A²¹, 75D¹³, 60O²¹, 48AO²¹, 48I⁷, 36K¹⁵, 30L²³, 78B¹³, 24AA⁷, 48Q¹⁵, 36I¹⁵, 60O¹¹, 48AI¹⁹, 90B¹⁵, 96S²¹, 24J⁷, 42P¹⁹, 12N³, 30G²³, 15H¹, 33B²², 72J²³, 24G¹⁵, 15A¹¹, 63H¹⁷, 6D¹, 18H³, 42E¹⁹, 24J¹³, 45J¹³, 30B¹⁶, 45A¹², 30J¹³, 147A²¹, 30I¹⁷, 84F¹⁵, 126A²¹, 24T¹³, 36F¹³, 96AH²¹, 18L⁴, 18C¹³, 18G⁷, 42G¹³, 60K²¹, 84K¹⁹, 18B¹⁹, 18D¹⁰, 102B²³, 36E⁹, 18H¹³, 48AG¹⁹, 84J¹⁹, 66C²¹, 27C¹³, 72I¹², 30C¹¹, 12G⁰, 96J²¹, 9D⁰, 12D³, 48V¹⁹, 12I³, 48H⁹, 24C⁵, 48BA²¹, 54K²², 36F¹⁰, 36Q⁴, 12E³, 60E²¹, 48L¹⁷, 84G¹⁹, 90B²³, 72L²², 60U¹³, 30G¹⁷, 3D⁰, 30C²¹, 36R¹⁵, 48V¹⁷, 27G⁷, 102A¹⁵, 48D¹⁵, 48Z¹⁷, 48N¹⁷, 48Z⁹, 60D¹³, 36H¹³, 72F¹⁵, 27E¹⁹, 90F¹³, 36A¹⁸, 24E⁵, 57A²⁴, 96S¹⁷, 60I¹⁷, 48Y⁷, 48J¹⁹, 81C¹⁹, 36E¹⁵, 126I²³, 6B¹, 63C¹⁷, 54H¹⁶, 90H¹¹, 36M⁴, 27D⁷, 30G²¹, 36I³, 24A¹⁷, 96J¹⁷, 24E¹⁷, 21B⁴, 72F¹¹, 132A²³, 30E⁹, 63A⁹, 99A¹⁴, 126G¹⁸, 45D¹⁹, 126E²³, 12B¹³, 72S²¹, 48AD¹³, 42B²¹, 42L¹⁹, 36D⁶, 69A¹¹, 18E³, 138A²³, 24K¹¹, 30M¹³, 72K¹⁰, 72K²³, 84A²³, 9B⁴, 18F¹³, 15A¹³, 24W¹³, 126A²⁰, 48BY²¹, 63C¹¹, 24P¹³, 84E¹¹, 27B¹⁶</t>
        </is>
      </c>
    </row>
    <row r="9">
      <c r="A9">
        <f>HYPERLINK("https://mathstats.uncg.edu/sites/pauli/congruence/csg0.html#group3D0", "3D⁰")</f>
        <v/>
      </c>
      <c r="B9" t="n">
        <v>0</v>
      </c>
      <c r="C9" t="inlineStr">
        <is>
          <t>Γ(3)</t>
        </is>
      </c>
      <c r="D9" t="inlineStr">
        <is>
          <t>12</t>
        </is>
      </c>
      <c r="E9" t="inlineStr">
        <is>
          <t>1</t>
        </is>
      </c>
      <c r="F9" t="inlineStr">
        <is>
          <t>1</t>
        </is>
      </c>
      <c r="G9" t="inlineStr">
        <is>
          <t>0</t>
        </is>
      </c>
      <c r="H9" t="inlineStr">
        <is>
          <t>0</t>
        </is>
      </c>
      <c r="I9" t="inlineStr">
        <is>
          <t>3⁴</t>
        </is>
      </c>
      <c r="J9" t="n">
        <v>4</v>
      </c>
      <c r="K9" t="inlineStr">
        <is>
          <t>1¹</t>
        </is>
      </c>
      <c r="L9" t="inlineStr">
        <is>
          <t>3B⁰, 3C⁰</t>
        </is>
      </c>
      <c r="M9" t="inlineStr">
        <is>
          <t>6K⁰, 9H⁰, 6D¹, 9C¹, 9A², 12B³, 15E³, 15A⁴, 21C⁵, 21A⁶, 15A⁷, 33A⁹, 33A¹⁰, 39A¹¹, 51A¹⁵, 57A¹⁷, 69A²¹</t>
        </is>
      </c>
      <c r="N9" t="inlineStr">
        <is>
          <t>3B⁰, 3C⁰, 3A⁰, 1A⁰</t>
        </is>
      </c>
      <c r="O9" t="inlineStr">
        <is>
          <t>27B¹⁰, 27A¹⁹, 36B²¹, 18M¹⁰, 36H¹⁰, 72AB²¹, 9H¹, 24D⁷, 48H²¹, 66B²¹, 54K¹⁶, 12A⁵, 45K¹³, 18B¹⁶, 48W¹³, 36L²², 48A²¹, 45E¹², 36C¹³, 45I¹³, 33B¹⁷, 24R⁵, 18A¹³, 33A⁹, 45C¹³, 18E¹³, 18E⁴, 24O¹³, 24G⁷, 24K¹⁷, 63A²⁰, 24AP⁹, 42C¹³, 54I¹³, 51A¹⁵, 27C⁴, 12A³, 18E¹⁰, 36I¹⁷, 48X²¹, 15A⁷, 24AC³, 24K¹³, 18H⁴, 36A¹¹, 75D¹⁹, 48B²¹, 48Y¹³, 18A⁶, 27A¹⁶, 21D⁹, 21A¹⁶, 45A¹⁵, 18B⁵, 9C¹, 18B¹³, 18P², 27A⁷, 36C¹¹, 54A²², 39B²¹, 18A⁵, 30B¹⁷, 45A¹⁴, 45F¹¹, 36A¹⁵, 12S¹, 72C²², 18F³, 18K¹⁰, 9A², 36K²², 12A¹³, 27A²², 24D¹⁷, 48G²¹, 48Z¹³, 30H⁹, 30A⁹, 24C¹³, 36E²¹, 60B²¹, 45E²¹, 21B¹¹, 12B³, 36N⁷, 72X¹⁷, 63B²¹, 24A¹³, 21A⁶, 24J¹⁹, 36K¹⁷, 69A²¹, 9A¹⁰, 48B¹⁷, 63A¹⁸, 6D¹, 60C¹⁹, 30H¹⁷, 27B¹⁹, 63A²¹, 12C⁷, 9H⁰, 18M⁴, 18D¹³, 24C¹⁷, 30A¹⁷, 36A⁹, 63C¹⁹, 72O²¹, 45B¹⁴, 27B²², 60A²¹, 18G¹³, 12N³, 24C¹⁵, 30A¹², 24L¹⁷, 36I¹¹, 24A⁹, 36A²¹, 63H¹⁷, 18H³, 24J¹³, 48V¹³, 33A¹⁰, 45A¹², 60Q²¹, 66A²¹, 42F¹³, 36C¹⁷, 12O³, 63I¹⁹, 21A²¹, 24N¹³, 18C¹³, 42G¹³, 54T¹⁶, 24B⁹, 18D¹⁰, 54A¹⁶, 36D¹³, 15B¹⁰, 39A¹¹, 36E⁹, 18H¹³, 66C²¹, 27C¹³, 12A⁷, 12D³, 15E³, 36F¹⁰, 42B¹⁸, 81A²², 48D²¹, 24M¹³, 15B¹⁹, 60E²¹, 30G¹⁷, 9A⁴, 72L²², 81A¹⁶, 15A⁴, 45A²³, 12B⁵, 48D¹⁵, 63O¹⁹, 42B¹³, 27E¹⁹, 42I¹⁷, 72F²³, 54E¹³, 12A⁹, 81C¹⁹, 48J¹⁹, 48C²¹, 36E¹⁷, 57A¹⁷, 54H¹⁶, 27D⁷, 6K⁰, 30G²¹, 30A²³, 24A¹⁷, 24E¹⁷, 36C¹⁰, 15C⁹, 36G⁹, 30G¹¹, 18N⁷, 36Q¹⁰, 48G¹⁵, 12B⁹, 6F¹, 24B¹³, 24P¹³, 12B¹³, 54G¹⁶, 18A¹⁶, 30G⁹, 48W²¹, 24L¹³, 36H¹⁹, 15C⁵, 21C⁵, 9B⁴, 18F¹³, 63D¹⁷, 15A¹³, 60A¹⁹, 36E¹⁹, 48C¹⁷, 21C¹³, 24H⁷, 54E²², 36B¹¹, 27B¹⁶, 18F¹⁰</t>
        </is>
      </c>
    </row>
    <row r="10">
      <c r="A10">
        <f>HYPERLINK("https://mathstats.uncg.edu/sites/pauli/congruence/csg0.html#group4A0", "4A⁰")</f>
        <v/>
      </c>
      <c r="B10" t="n">
        <v>0</v>
      </c>
      <c r="C10" t="inlineStr"/>
      <c r="D10" t="inlineStr">
        <is>
          <t>4</t>
        </is>
      </c>
      <c r="E10" t="inlineStr">
        <is>
          <t>1</t>
        </is>
      </c>
      <c r="F10" t="inlineStr">
        <is>
          <t>4</t>
        </is>
      </c>
      <c r="G10" t="inlineStr">
        <is>
          <t>2</t>
        </is>
      </c>
      <c r="H10" t="inlineStr">
        <is>
          <t>1</t>
        </is>
      </c>
      <c r="I10" t="inlineStr">
        <is>
          <t>4¹</t>
        </is>
      </c>
      <c r="J10" t="n">
        <v>1</v>
      </c>
      <c r="K10" t="inlineStr">
        <is>
          <t>2²</t>
        </is>
      </c>
      <c r="L10" t="inlineStr">
        <is>
          <t>1A⁰</t>
        </is>
      </c>
      <c r="M10" t="inlineStr">
        <is>
          <t>4D⁰, 4F⁰, 8A⁰, 8F⁰, 12A⁰, 12A¹, 20A¹, 20B¹, 28A¹, 20E², 28A², 44A², 52A³, 44B⁴, 68A⁵, 36G⁶, 76A⁶, 92B⁸, 116A⁹, 124A¹⁰, 148A¹¹, 44B¹³, 164A¹³, 172A¹⁴, 76A¹⁵, 188B¹⁶, 212A¹⁷, 244A¹⁹, 236B²⁰, 52A²¹, 268A²², 292A²³, 52A²⁴, 284B²⁴</t>
        </is>
      </c>
      <c r="N10" t="inlineStr">
        <is>
          <t>1A⁰</t>
        </is>
      </c>
      <c r="O10" t="inlineStr">
        <is>
          <t>24L¹¹, 16A¹¹, 16B¹⁹, 16F⁵, 308B²¹, 140C²³, 16P³, 24M¹⁹, 72F¹⁴, 140A¹², 72K¹¹, 120C²³, 108B¹², 40E⁸, 96B²⁰, 48D¹⁶, 56H²⁴, 48AT¹⁹, 156A²¹, 16H², 80A¹⁵, 64K¹³, 84E²³, 60G¹³, 40E⁹, 100K¹⁹, 24AC⁹, 104C¹⁵, 24AO¹⁷, 28E⁹, 48E⁵, 24AF⁷, 48AD²¹, 48AM¹⁷, 112A⁷, 32H¹¹, 24D¹¹, 24C⁶, 48BW²¹, 100I¹³, 132A¹⁴, 32K⁹, 40U¹⁵, 48CD²¹, 92A¹⁵, 112H²³, 52A³, 64G²¹, 72P²¹, 16F⁰, 20G¹, 48AY¹⁹, 32B²⁴, 312C²³, 28D⁵, 120B¹⁸, 136A²³, 108C¹¹, 40E¹⁶, 144H²⁰, 16D⁹, 20F¹⁵, 132D¹⁶, 56J²⁴, 24AA¹⁷, 24V¹³, 72L¹¹, 24B¹⁹, 40P⁹, 28G⁹, 48AF²¹, 16B¹⁰, 12A¹³, 48BR¹⁷, 24X¹³, 200G¹⁹, 48BV²¹, 36F¹², 48X¹⁵, 40T¹³, 16K¹, 120G²¹, 40F²², 40I⁵, 40C¹⁶, 16A¹⁹, 40C⁷, 72G¹¹, 264D¹⁸, 40G¹⁹, 20C³, 24B¹, 120D¹⁵, 64B²², 100B¹⁵, 28B¹⁵, 48BZ¹⁷, 72F¹², 60A⁴, 56C¹⁴, 52G²³, 24Q⁵, 24J⁵, 64P²¹, 28K²¹, 72Q¹⁹, 32C²³, 88B¹⁵, 32F⁹, 48R⁸, 48G²⁰, 40V¹⁵, 188B¹⁶, 80K¹⁷, 80K¹⁹, 72S¹⁹, 8J¹, 8K⁰, 60I⁹, 32R¹³, 48F⁶, 132A⁷, 20B¹³, 24AP¹⁷, 72M²¹, 28A⁴, 168B¹⁸, 24L⁷, 80F¹⁸, 36M⁹, 92B²², 108E¹⁷, 48J¹¹, 24K²¹, 24AN⁹, 8B², 8E⁰, 132D¹², 40D⁵, 44B¹³, 28E¹⁷, 80A⁷, 120C¹⁹, 36M⁵, 280A²⁴, 80T²¹, 4F⁰, 48A⁴, 36K¹⁹, 68B¹¹, 184A¹⁶, 40AI¹⁷, 112J¹⁵, 60E¹⁹, 336A²⁴, 20C²¹, 168A¹⁸, 152A¹², 80S¹⁹, 72C⁴, 72A⁸, 32J¹³, 36B¹⁹, 20F⁷, 104E¹³, 96D¹⁷, 144Q²³, 144R²³, 96C¹⁷, 48BN²¹, 60I¹⁸, 32A¹⁸, 168R²², 48F²³, 36J⁷, 60E¹⁷, 28B²³, 48AS²¹, 88C¹⁵, 24B¹³, 72N²¹, 72F⁹, 104D¹³, 12D⁵, 40U¹⁷, 56I²³, 80B¹⁷, 156A¹⁰, 144T²³, 36F¹⁷, 180J²³, 16C²¹, 48A¹⁷, 24M²¹, 96Y¹⁷, 60U¹⁷, 60N¹⁹, 16A⁵, 72A¹³, 80AR¹⁷, 76A²¹, 132A²⁰, 36J⁵, 36B²¹, 72F¹⁰, 84B¹⁴, 48C¹⁶, 16K⁹, 40C²¹, 36A⁶, 72H²¹, 24M⁸, 40H¹⁵, 24L²¹, 24F¹¹, 16B¹⁷, 44A⁶, 48V¹⁵, 40J⁵, 96O¹⁵, 48CO²¹, 240A¹⁹, 24B⁶, 40T⁹, 28G¹¹, 48V²¹, 32P²¹, 80A²², 72G²¹, 32C¹¹, 264B²⁴, 112F¹⁴, 40Z¹⁷, 84I²², 144H²², 48BL¹⁷, 120Q¹⁹, 24J¹⁷, 168D²⁴, 48V⁸, 40A¹⁰, 40L²¹, 28A¹⁰, 112B⁷, 84A³, 72R²¹, 32A²⁴, 120L¹⁷, 48AX²¹, 100J¹⁹, 72I¹⁴, 24C⁹, 48G¹⁸, 132C²³, 120J²¹, 152A²³, 16A⁴, 40G⁸, 140D²¹, 24E²¹, 24X⁷, 28A¹², 28I⁵, 120C¹⁸, 48CB²¹, 168C²⁴, 16E⁷, 20D², 48F²⁰, 56F¹³, 12A², 200H¹⁹, 120K²³, 56L²², 236B²⁰, 88A⁸, 84E⁹, 24C¹³, 72J⁸, 40AE¹⁵, 8A³, 12B³, 80E⁸, 60AK¹³, 24G³, 40B²³, 168L²³, 56G⁷, 8A², 16B⁵, 56L²³, 280B²¹, 16L³, 16I⁵, 100B⁹, 72M¹⁵, 20O⁷, 40C¹³, 36N¹³, 28C⁹, 60E¹¹, 52A²¹, 48BM¹⁷, 168C¹⁸, 16M⁵, 80D²³, 36H¹⁷, 48P⁷, 24F⁶, 48B²⁰, 56F¹⁴, 8H¹, 72J¹⁰, 24D²¹, 144M²¹, 36P¹⁹, 60T²¹, 56J¹¹, 120C¹⁵, 16B¹³, 24AE⁷, 24Y⁹, 36D¹¹, 24G¹³, 40AF¹⁵, 48F²¹, 40E¹³, 32N⁹, 24L⁵, 20A⁶, 24K⁷, 48CE²¹, 48E²³, 40G²³, 112Y²⁴, 16A⁰, 120M¹⁷, 36H³, 48Y¹¹, 60B⁸, 84D¹¹, 80B¹⁵, 240A²⁴, 72S¹⁷, 96AC²³, 200B¹⁹, 24H⁴, 24K², 16F²¹, 232A¹⁹, 40Q⁹, 72D²³, 120I¹⁷, 48CN²¹, 48E¹³, 72B¹³, 72V¹⁹, 52A⁷, 80C¹⁵, 24F²¹, 48F⁸, 16A²¹, 56O²³, 136C²³, 8C², 112K²³, 168B¹⁰, 48B¹⁶, 24AB¹³, 24F¹⁹, 56C¹⁰, 48L⁷, 72E¹⁵, 100H¹⁹, 24B¹⁵, 56C¹⁵, 84O²¹, 56B¹⁵, 120R¹⁹, 64H⁹, 48P¹⁸, 156E²³, 24H⁹, 36A¹³, 36I¹³, 72B⁴, 232B¹⁹, 92B⁸, 56A²⁴, 48S¹⁵, 72M¹³, 100E¹⁴, 80B²³, 220C²³, 144A¹², 60F⁸, 48E²¹, 48AB¹⁹, 148B²³, 56D¹⁷, 32A¹⁹, 32S¹³, 84L¹⁹, 48G⁸, 32D²³, 32B⁶, 64K¹⁵, 24B⁷, 120A⁹, 100G¹⁹, 36J¹⁰, 264A¹⁸, 168H²⁴, 68A²¹, 24E¹³, 176A¹¹, 272B²³, 72D²², 212A¹⁷, 20B¹, 68F¹⁵, 24AB¹⁷, 100B²¹, 40P¹⁵, 24AJ⁹, 72C²³, 48AP⁹, 36F¹⁶, 24AA⁹, 72O¹⁴, 40M¹⁷, 32A¹¹, 40S¹³, 36J¹⁹, 56I²⁴, 96B²², 104T²³, 36N¹⁵, 204C²³, 72A⁶, 96L¹⁹, 32K¹¹, 80L¹⁷, 144V²³, 72T¹⁹, 24A⁸, 48B¹⁸, 24U¹³, 24AG⁷, 108A¹⁹, 56H⁶, 24M¹¹, 60L¹³, 88A²², 72B²⁰, 48G¹⁰, 112E²³, 48B²³, 48R¹³, 24E³, 48S¹⁷, 52F¹¹, 72G¹⁴, 8I¹, 72D¹⁵, 48BJ¹⁷, 24K⁴, 144S²³, 56C³, 12K³, 48Q²¹, 12G², 104P²³, 20D⁵, 20Q³, 336G²⁴, 96AL²³, 24E¹⁶, 48AU¹⁷, 72A²⁰, 40E²¹, 60R⁷, 24H¹³, 32K⁷, 168C¹⁹, 56P²³, 48A¹⁶, 48F¹⁰, 56M¹³, 64F⁹, 120K¹⁷, 72C²², 72B¹⁸, 84G²², 84E¹⁰, 44A¹³, 144E²⁰, 24O¹⁹, 16D⁷, 32P¹³, 88B⁵, 136C²¹, 96I¹¹, 120L²¹, 168A¹⁶, 248A²⁰, 56A³, 180A¹³, 40O⁹, 80U¹⁹, 80AD¹⁷, 144A¹⁶, 252C²⁴, 120E¹⁸, 24J²¹, 120A¹⁶, 24A²⁴, 8H⁰, 72I⁸, 48AB⁷, 12A⁰, 40H⁵, 32B²², 96G²⁰, 120B⁷, 32F²³, 32B¹⁰, 24C¹⁹, 40H⁸, 36T¹³, 48T¹⁷, 96O²⁰, 40A¹⁴, 24AB³, 32H⁶, 16J⁵, 36R¹³, 24P¹⁹, 168N²², 124A¹⁹, 60J⁹, 20B⁵, 60Y¹⁷, 104O²³, 48L²¹, 48BL²¹, 28M²¹, 48D²², 24C¹⁵, 144J²², 40I¹⁹, 60A³, 68B²¹, 80D¹⁸, 48I¹⁰, 36A²¹, 48Z¹¹, 48AS¹⁹, 144B²⁴, 16Q³, 60G¹⁹, 32F¹³, 24AC¹⁷, 36L⁹, 12G¹, 20A¹⁷, 48AT¹⁷, 276D²⁴, 104B⁷, 48E¹⁶, 24G¹⁷, 64A²², 84A⁷, 16J⁹, 48AH¹⁹, 48CI¹⁷, 32F²¹, 40K¹⁹, 24H²¹, 48AF¹⁷, 200B¹⁷, 72A¹², 36I¹⁹, 24Q¹⁹, 24R¹⁵, 80C¹⁸, 80D¹⁵, 28B¹¹, 36G⁶, 80BA¹⁷, 48I²⁰, 48BX²¹, 40S⁹, 112B²¹, 80A⁴, 72V¹⁷, 36P¹⁵, 80O²¹, 20A¹², 24B²¹, 80AZ¹⁷, 72E¹⁰, 28G⁶, 32B²¹, 32T¹³, 40J¹⁹, 56D⁷, 64A¹⁴, 32E¹⁹, 36I⁹, 64D²¹, 144M²², 48G¹³, 72W²¹, 84P¹⁷, 16D¹¹, 40B²¹, 24C⁴, 24AL⁹, 80E¹¹, 56B³, 264B¹⁸, 80AI²¹, 240D²¹, 120H¹⁹, 8K¹, 24O⁵, 168I²², 16G⁵, 80Y¹⁹, 24N¹⁹, 48T²¹, 80C²³, 108D¹¹, 20A⁵, 144D²², 152B²³, 144A¹⁰, 16L¹, 120M²¹, 36H¹⁹, 120H¹⁷, 144C²², 60Q⁷, 180I²³, 40F¹¹, 60J¹¹, 24Y⁷, 24D¹⁹, 16E²¹, 24I²¹, 40G⁵, 24A², 148A¹¹, 20B⁶, 60K¹³, 28B¹², 96N²⁰, 24R¹³, 56D¹⁴, 88A²⁴, 168A¹⁴, 60M¹³, 32Y²¹, 48L¹⁸, 120B²³, 112W²⁴, 72L¹⁵, 56T²³, 168I²⁴, 56E¹², 120I²³, 72J¹⁴, 56D²², 16K⁵, 120I²¹, 48E¹⁸, 100A⁹, 24W¹⁷, 96H²⁰, 72A¹⁵, 60C⁵, 216A²¹, 60D⁸, 48BO¹⁹, 12F⁰, 104U²³, 16G³, 24N¹⁵, 168J²⁴, 40B¹⁰, 56G⁶, 20B³, 108A²¹, 96E¹⁷, 16K³, 36N⁴, 32K²¹, 40Q¹⁵, 48F¹⁸, 28H¹⁶, 8C¹, 40I¹¹, 240A¹⁵, 32B¹², 24R⁴, 28A⁷, 76A¹⁵, 68A⁹, 60B¹³, 48A⁸, 40AB¹⁷, 16B⁶, 48K¹⁸, 48Y¹⁹, 140H²³, 28J²¹, 32D¹¹, 100M¹⁹, 336H²⁴, 20E⁹, 60A¹⁰, 112Z²⁴, 32A²³, 24D¹⁶, 112J²³, 28F¹⁵, 304A²⁴, 20B¹⁰, 60C⁹, 40AG¹⁵, 20D³, 28B¹⁰, 24K⁵, 48J¹⁵, 132F²³, 72A²², 24S¹⁹, 72B²², 168N²³, 72B²³, 40A²¹, 16H³, 40V⁹, 48I¹⁶, 24AF¹⁷, 60B¹⁰, 216A²⁰, 60F⁷, 84E¹⁵, 40B⁷, 56B⁸, 88B²⁴, 120D¹⁶, 112E¹⁴, 40R⁷, 36N⁹, 24B⁵, 48I⁷, 56B¹⁴, 104I²³, 20J⁵, 40AL¹⁷, 40A²³, 100A¹⁷, 28E³, 8E¹, 52C⁹, 56A¹⁷, 48A²², 24A¹, 64A²³, 40I¹⁵, 56S²³, 48BP¹⁹, 104C¹³, 24I¹⁹, 68A¹¹, 28C²³, 60M²¹, 8M⁰, 48I⁴, 84F¹⁵, 36D², 72H¹⁰, 16A¹³, 16D²¹, 60K²¹, 120A²³, 36G¹⁹, 24W⁹, 20G¹⁵, 336D²⁴, 312B²³, 20A²², 80G¹⁹, 48V¹⁹, 16A¹⁵, 48BA²¹, 136A²¹, 108D²¹, 48AN¹⁷, 48R¹⁸, 16C³, 40F⁵, 200A¹⁹, 40AO¹⁷, 56D³, 32A²², 48AK¹⁹, 84D⁹, 60W¹⁵, 40D¹⁶, 16I¹, 84C¹⁷, 16L², 56L¹², 60B²², 32X²¹, 20A¹, 200F¹⁹, 32A¹⁷, 60F¹⁸, 72Z¹⁵, 40S⁷, 60I¹⁷, 228C²⁰, 84C¹⁵, 100I¹⁹, 168C¹⁰, 84H⁸, 56F¹¹, 200D¹⁹, 72C¹³, 56K¹¹, 24E¹⁹, 36M⁴, 312A²³, 108B²¹, 24E¹⁷, 48AC¹⁹, 112K²⁴, 36H⁹, 72F¹¹, 72E¹³, 24H¹¹, 120B²⁰, 56C²², 168P²², 136A¹¹, 144C¹⁰, 72C¹⁸, 48H¹⁵, 140C²⁰, 48D²³, 108A²³, 72S²¹, 24P⁸, 56K²², 40H¹⁹, 268A²², 100C⁹, 240B¹⁵, 24E⁷, 156A¹¹, 24K¹¹, 72K¹⁰, 144C²⁴, 40B³, 36M⁷, 24AL¹⁷, 20A⁸, 32G¹¹, 44A⁷, 48BM²¹, 28A²³, 16E⁵, 36L⁴, 168K²³, 24C¹⁰, 80M²¹, 36H¹⁰, 56B²³, 80G¹⁷, 24A⁶, 48A¹⁸, 64Q²¹, 8A⁰, 144B¹⁰, 40X¹⁷, 60AE¹⁵, 264A²⁴, 84A¹⁴, 112A¹⁶, 60D¹⁸, 24L¹⁵, 168M²³, 48A¹⁵, 60B²³, 48AE²¹, 100C¹⁷, 24R⁷, 48Z¹⁹, 36G²², 72L¹⁴, 48CF²¹, 12M³, 52A¹³, 136B¹¹, 96AJ²³, 48L¹³, 24AD¹⁷, 56L²⁴, 48B³, 48O¹⁸, 120A²⁰, 48BW¹⁷, 64B¹⁸, 32C²¹, 48E⁶, 72L¹⁶, 56A⁹, 20B²⁰, 16I³, 96M¹⁹, 120E²³, 48AZ¹⁹, 28D¹¹, 44C¹⁷, 48J⁷, 44A²⁰, 48AQ¹⁷, 60G¹⁸, 36T¹⁵, 24AI⁹, 132G²³, 120F¹⁸, 48H¹⁶, 24G¹⁹, 168G²⁴, 148A²¹, 20E², 16E⁹, 24A¹⁰, 280A²¹, 48CR²¹, 40F¹⁹, 40AP¹⁷, 48U¹⁵, 32B²³, 180A¹⁸, 16B⁷, 36K⁹, 240A²¹, 4G⁰, 72I¹⁰, 40A¹⁹, 16A¹⁰, 40K²¹, 52C²³, 12D⁴, 20H⁷, 120N¹⁹, 80V¹⁹, 24D¹⁷, 36A¹⁹, 32L⁹, 48BO¹⁷, 16E³, 40E¹⁹, 120D²³, 116C¹⁹, 24AM⁹, 48AD¹⁹, 44C¹⁰, 32F⁵, 108D¹⁰, 120J²³, 56I¹¹, 140A²², 40O¹⁷, 12E¹, 72N¹⁴, 76A⁶, 36G¹⁷, 60F¹¹, 16C¹⁰, 24AK¹⁷, 24A¹³, 60A¹², 144I²², 16A⁶, 84C²³, 100A⁷, 96AD¹⁹, 120E¹⁶, 312D²³, 132A²², 36B²⁰, 56I²¹, 24L¹⁹, 180G²¹, 96AD²³, 116A¹⁷, 24AF⁹, 64H²¹, 72O²¹, 144E²², 36T¹⁰, 48S¹⁹, 24W⁵, 72H¹¹, 72A⁴, 48M¹⁸, 96X¹⁷, 48AE¹⁷, 120H²¹, 32A¹⁰, 48A²³, 36F¹⁹, 144F²², 36D¹⁷, 168D¹⁰, 16C⁶, 96N¹⁷, 36C¹⁷, 52H¹¹, 120A⁷, 16C⁹, 168K²², 64L¹⁵, 32H²³, 60AH¹³, 72A²³, 112L¹⁵, 168D¹⁸, 80AG²¹, 48E²⁰, 120B⁹, 24H¹⁹, 72M¹⁴, 8D¹, 24R⁹, 24J³, 36D¹⁶, 336C²⁴, 168M²², 36D²³, 84N²¹, 48T¹⁵, 32E²³, 24C⁸, 72A¹⁸, 200C¹⁹, 24C¹¹, 84C⁸, 24R¹⁷, 32E²¹, 72E²³, 36G¹², 72P¹⁹, 48N¹⁸, 12J¹, 16C⁴, 16G², 48AS¹⁷, 48O⁷, 40R⁹, 24H², 24O⁴, 40B⁸, 44B¹⁶, 120E¹⁷, 32D¹⁹, 48AQ²¹, 20E¹³, 108E¹⁰, 72Q¹⁷, 24D¹³, 76C¹⁸, 40AJ¹⁷, 72F²³, 144A²⁴, 12A¹¹, 24Q⁹, 44A¹⁹, 20K⁷, 72D¹⁸, 216B²², 60F²¹, 120N²¹, 84A¹⁷, 120K²¹, 52C⁵, 52E²¹, 36G⁹, 48BL¹⁹, 20M⁷, 20C¹³, 40A²⁴, 12I¹, 80A¹³, 16M³, 240B¹⁹, 120E⁹, 48U⁸, 208A¹⁵, 48AL¹⁷, 72C¹⁵, 140C¹⁵, 24L², 24E¹¹, 40M²¹, 20B⁸, 52E²³, 24F⁷, 168B¹⁹, 48AB¹³, 108B²⁰, 108B¹⁹, 48AM¹⁹, 80S²¹, 24I¹³, 308A²¹, 96AI²³, 112C⁷, 120J¹⁷, 200E¹⁹, 56H¹¹, 12A⁴, 144G²², 24B¹¹, 64D¹⁴, 36K⁷, 116A⁹, 132E²³, 60V¹⁷, 120G¹⁹, 36E¹¹, 36F⁵, 16I⁹, 60D¹¹, 40B¹¹, 56J²¹, 8N⁰, 296B²³, 96R¹⁷, 32H⁹, 48K⁹, 32H⁵, 20C⁴, 48H⁸, 48Y¹⁵, 32G⁹, 56J¹², 120D⁹, 72T²¹, 136B²³, 140A²¹, 80BB¹⁷, 84L²², 36K¹⁰, 84B¹⁶, 24O¹⁵, 120A¹², 40D¹⁸, 88A¹⁹, 16H⁹, 168H²³, 72O¹⁹, 32B⁹, 32A¹³, 72W¹⁷, 56C¹⁷, 48W¹⁵, 88E²⁰, 32K¹³, 32A⁷, 144N²², 40G¹¹, 24S⁴, 40AK¹⁷, 36C¹¹, 96B¹⁷, 32E⁵, 24B¹⁶, 32A²¹, 208B¹⁵, 72A¹⁴, 120G¹⁷, 280C²¹, 72D⁴, 32Q³, 16A¹⁷, 36A⁷, 124A¹⁰, 180C²⁰, 56N²⁴, 24G¹¹, 16B²¹, 72B¹², 24AH¹⁷, 80B¹³, 156F¹⁹, 16H¹, 292A²³, 196A¹⁵, 48G¹⁹, 32C⁴, 32C²⁴, 24A⁴, 44A¹⁴, 24N¹⁷, 24AN¹⁷, 56A¹⁵, 24G⁶, 28F⁶, 168E¹⁰, 180C¹⁸, 48B¹⁹, 60C¹⁹, 144L²², 72F¹⁷, 48AE¹⁹, 12C⁷, 16C¹³, 28A¹, 40B¹³, 40M¹³, 72F²¹, 56D²³, 80AF²¹, 36O⁴, 272A²³, 168F²⁴, 164A¹³, 20A⁹, 72G²³, 48AZ²¹, 40P¹⁷, 32Q⁹, 24R³, 40A², 260A²¹, 48BN¹⁷, 24A¹⁹, 24D³, 96A²⁰, 112K¹⁵, 60C²³, 32A⁹, 60A²³, 112I²³, 40C¹¹, 24A¹¹, 48G⁶, 12J³, 32C¹⁰, 80A²³, 16A⁹, 48BA¹⁹, 56E²², 36A¹⁶, 24K⁸, 48J¹⁸, 68A⁵, 48D²⁰, 168Q²², 20L³, 24J¹¹, 144G²⁰, 40A¹⁸, 64I²¹, 40D⁴, 72Z²¹, 8B³, 24I¹¹, 48O¹¹, 40D¹⁹, 32M⁹, 36H¹², 24A¹⁶, 40Q¹⁷, 60H²¹, 40B²², 12A⁹, 72H²³, 56N²³, 72Q²¹, 36E¹⁷, 172A¹⁴, 40AC¹⁵, 12B⁷, 24AB⁷, 48U¹⁹, 32I⁵, 72D¹³, 24T⁴, 96D²², 40J²¹, 24B¹⁷, 52A¹⁷, 88A¹⁵, 40AA¹⁷, 72H⁸, 32A¹², 84O¹⁷, 104A⁷, 24A⁷, 28D²³, 104A¹⁵, 168H¹⁰, 84F¹⁰, 108A²⁰, 48BK¹⁷, 144U²³, 56M²³, 24AE¹⁷, 40Y⁷, 40N¹⁷, 36Q¹⁵, 48C¹⁰, 32D²¹, 80AK¹⁷, 40D¹³, 24M¹⁵, 44A², 60N²¹, 48AY²¹, 240C²¹, 36D¹², 48D¹⁰, 48AK¹⁷, 80E²³, 12A⁵, 84M²¹, 176A²⁴, 108C⁹, 28A², 36I⁷, 64U¹³, 72A⁷, 16B⁴, 56E⁷, 80F¹⁷, 84A⁹, 84B¹⁷, 168L²², 12Q¹, 200A¹⁷, 56J¹³, 36B³, 228E²⁰, 8P⁰, 72B²⁴, 100D¹⁷, 24F¹³, 16E¹¹, 80AE¹⁷, 24E¹⁰, 36H¹¹, 168E²⁴, 84I⁸, 144D¹⁰, 48H²⁰, 48AL¹⁹, 48P¹⁷, 48AT²¹, 56A¹⁴, 120C¹⁷, 24F³, 36A¹, 72V²¹, 116B¹⁹, 32C⁶, 88E²¹, 36F¹⁵, 24L⁸, 36C⁴, 48BI¹⁷, 120J¹⁹, 36L¹⁹, 48U⁷, 76B¹⁶, 32B¹³, 68A¹⁷, 56G¹¹, 24D⁶, 24AO⁹, 32B¹⁸, 36B⁷, 64F²¹, 48BO²¹, 72U¹⁹, 144K²², 40R¹⁷, 24F¹⁷, 32I²¹, 48A¹⁹, 144D²⁰, 48T¹⁸, 36F⁶, 48BP²¹, 32E¹¹, 216A²², 48A³, 60W¹⁷, 240B²¹, 100L¹⁹, 48C¹⁵, 48BM¹⁹, 56B²⁴, 60H¹⁷, 24B⁴, 108C¹⁹, 64C¹⁴, 28C¹⁹, 48Q¹⁸, 108D¹⁷, 120Q¹⁷, 120I¹⁹, 16D², 140A¹⁰, 72C²⁰, 40B⁹, 40M²², 48H⁶, 60P¹³, 60J²³, 72J¹⁵, 8F⁰, 80AQ¹⁷, 168J²², 156F²³, 88A¹², 104D¹⁵, 84Q¹⁷, 72L¹⁰, 48B⁸, 64A¹⁹, 48AU¹⁹, 56M²⁴, 80B⁷, 32M²¹, 56A²², 60E¹⁸, 72J¹¹, 72E²¹, 60L²¹, 40K¹⁵, 60A⁶, 32G⁶, 12E⁵, 220B²⁰, 140E¹¹, 72K⁸, 32C¹³, 60F¹⁹, 72B¹⁵, 48H¹⁰, 120F²³, 36E⁵, 48A²⁰, 60B³, 48BX¹⁷, 56I¹³, 24A¹⁵, 16B¹¹, 24AG¹⁷, 84J¹³, 72X¹⁵, 16H⁵, 24E⁶, 88A¹⁸, 20D¹⁵, 32D⁶, 12C³, 96J¹⁹, 84D²³, 72I¹¹, 8A⁵, 36C³, 40A⁷, 168G¹⁰, 244A¹⁹, 60A²⁴, 56K²⁴, 108C²¹, 64A¹⁸, 24V⁹, 60D⁹, 80F¹¹, 24AT¹⁷, 44B⁴, 52B⁷, 36B¹³, 40AM¹⁷, 56G²³, 132C¹⁵, 56E¹⁴, 52D²¹, 28H⁶, 48B¹⁵, 60AG¹⁵, 36J⁹, 24P⁵, 140G²³, 64B¹⁴, 100B¹⁷, 36F¹¹, 56F⁷, 36B⁶, 76A¹¹, 56A⁸, 48K¹³, 28F²¹, 80Q¹⁹, 168O²², 32D²⁴, 168P²³, 28H¹¹, 144C²⁰, 180B¹³, 32E¹⁷, 36E¹⁹, 48AJ¹⁹, 24X⁹, 48D¹⁹, 48AR²¹, 112D⁷, 32L³, 24Q⁷, 40B¹⁹, 60J⁷, 24AC⁷, 56J²³, 88B²¹, 20E¹¹, 24D⁷, 84G¹¹, 20B¹⁵, 56B²², 16E², 72E⁷, 48B¹², 40E⁵, 336F²⁴, 4D⁰, 120S¹⁹, 16L⁵, 16O⁵, 28B⁸, 204A¹⁵, 168G²³, 72C¹², 48Q¹⁷, 280D²¹, 168H²², 24P⁹, 28D³, 36C¹⁴, 112A⁸, 72Y²¹, 16A⁷, 48B²², 56K²³, 48C²⁰, 48AV¹⁹, 108A²², 72Y¹⁵, 216A²³, 48U¹³, 168F¹⁰, 36B¹⁴, 32G²³, 144N²¹, 80AH²¹, 24C¹⁶, 40A¹⁶, 100C¹⁵, 156A¹⁷, 40A¹⁷, 140B²⁰, 84E¹³, 32P³, 72U²¹, 48C¹¹, 40AN¹⁷, 12I², 168O²³, 64G⁹, 80BF¹⁷, 72E¹¹, 36L¹⁰, 32R⁹, 24A²¹, 96F¹⁷, 48J¹⁶, 252A¹⁴, 32G⁵, 8F¹, 72D¹⁴, 180C¹⁹, 120O¹⁹, 48S¹⁸, 88F²¹, 48U²¹, 64B²³, 40L¹⁷, 120P¹⁷, 56E¹¹, 48AP¹⁷, 132B¹⁹, 40S¹⁷, 12A¹, 24N⁸, 48C²², 120D¹⁹, 168I²³, 32W²¹, 24B¹⁰, 56C²³, 40Z⁷, 60C²², 112I¹⁵, 48AB¹¹, 24G², 168B¹⁴, 120L²³, 36S¹⁵, 84I¹³, 48Q¹³, 80Z¹⁹, 96O¹⁷, 52A²⁴, 24J¹⁹, 168J²³, 80AY¹⁷, 56A⁴, 32L²¹, 28E¹¹, 60X¹⁵, 16B⁹, 180E²⁰, 72R¹⁷, 168A¹⁰, 16C¹¹, 40A¹¹, 60O²¹, 112L²⁴, 264C¹⁸, 136B²¹, 40A³, 96AC¹⁹, 284B²⁴, 48AC⁷, 112X²⁴, 48AI¹⁹, 48A¹⁴, 40D²¹, 28B⁴, 56H²², 56D¹⁵, 32F¹¹, 36G⁵, 72G¹⁰, 32A¹⁴, 24Q¹⁵, 40C¹⁸, 168A¹⁹, 144A¹⁵, 32Q¹³, 24P¹⁵, 168G²², 12R¹, 88A⁵, 96A²³, 220A¹⁶, 112B¹⁶, 56N¹³, 24T¹³, 40H¹¹, 48K⁷, 48A¹², 24E², 60C¹⁶, 64I¹⁴, 28A¹⁵, 216A²⁴, 96AK²³, 80C¹⁹, 48F¹³, 48I¹⁵, 24F¹, 104H²³, 100D⁹, 60E²¹, 168B¹⁶, 48G¹⁶, 220C¹⁹, 56K¹², 24C²¹, 24G²¹, 176A¹⁶, 36R¹⁵, 28E², 48D¹⁵, 12F⁷, 336E²⁴, 144F²⁰, 104B¹⁵, 40U⁹, 40D¹¹, 80AL¹⁷, 48AO¹⁷, 24P³, 48C²³, 16L⁹, 48H¹³, 24C⁷, 84P²¹, 32C¹², 84A¹³, 72R¹⁹, 88D²⁰, 40B¹⁸, 16F¹, 44A⁹, 32L⁷, 32J²¹, 56F⁶, 28N²¹, 48T¹⁹, 20O³, 48AA¹¹, 176B¹¹, 16I², 336B²⁴, 120F¹⁷, 100E¹⁹, 100F¹⁹, 88D¹¹, 120C⁹, 180B¹⁹, 48F¹⁶, 32I¹³, 80B¹⁸, 148A²³, 120F⁹, 296A²³, 48BY²¹, 52F²³, 120P¹⁹, 72G⁹</t>
        </is>
      </c>
    </row>
    <row r="11">
      <c r="A11">
        <f>HYPERLINK("https://mathstats.uncg.edu/sites/pauli/congruence/csg0.html#group4B0", "4B⁰")</f>
        <v/>
      </c>
      <c r="B11" t="n">
        <v>0</v>
      </c>
      <c r="C11" t="inlineStr">
        <is>
          <t>Γ₀(4), Γ₁(4)</t>
        </is>
      </c>
      <c r="D11" t="inlineStr">
        <is>
          <t>6</t>
        </is>
      </c>
      <c r="E11" t="inlineStr">
        <is>
          <t>1</t>
        </is>
      </c>
      <c r="F11" t="inlineStr">
        <is>
          <t>3</t>
        </is>
      </c>
      <c r="G11" t="inlineStr">
        <is>
          <t>0</t>
        </is>
      </c>
      <c r="H11" t="inlineStr">
        <is>
          <t>0</t>
        </is>
      </c>
      <c r="I11" t="inlineStr">
        <is>
          <t>1², 4¹</t>
        </is>
      </c>
      <c r="J11" t="n">
        <v>3</v>
      </c>
      <c r="K11" t="inlineStr">
        <is>
          <t>1³</t>
        </is>
      </c>
      <c r="L11" t="inlineStr">
        <is>
          <t>2B⁰</t>
        </is>
      </c>
      <c r="M11" t="inlineStr">
        <is>
          <t>4E⁰, 8C⁰, 12E⁰, 12B¹, 20D¹, 20A², 28D², 20E³, 28A³, 44D⁴, 44A⁵, 52A⁵, 68B⁷, 76A⁸, 36M¹⁰, 92A¹⁰, 116A¹³, 124A¹⁴, 148A¹⁷, 164B¹⁹, 172A²⁰, 44A²¹, 188A²²</t>
        </is>
      </c>
      <c r="N11" t="inlineStr">
        <is>
          <t>1A⁰, 2B⁰</t>
        </is>
      </c>
      <c r="O11" t="inlineStr">
        <is>
          <t>56C⁶, 192E²³, 16A¹¹, 20E³, 40H²², 56H¹², 56G²⁴, 64H¹³, 36C¹³, 80C²¹, 176F¹⁹, 28A¹⁷, 24K³, 96S¹⁹, 64A⁷, 24AC⁹, 24AO¹⁷, 144H¹³, 24AF⁷, 60B¹⁶, 32G²¹, 168D²¹, 76C¹⁶, 56F²¹, 48CD²¹, 40U¹⁵, 24X³, 24I¹⁵, 48A¹¹, 184A²¹, 112B²⁴, 36D¹⁹, 168C²¹, 16D⁹, 72I¹⁶, 164B¹⁹, 56D²⁴, 36Q²², 24B¹⁹, 84C²⁴, 128B¹⁵, 48AW¹⁹, 12A¹³, 56C¹², 24D¹⁵, 48BR²¹, 32E¹, 108B¹⁶, 60A²², 36L¹¹, 40U⁷, 24N⁷, 64A²¹, 64E²¹, 180A²², 208D²³, 96BD²¹, 88C⁸, 72C⁸, 112B¹², 144F¹⁹, 36R¹⁰, 24E¹⁵, 32B¹⁹, 24AC¹³, 64A¹¹, 192B¹⁹, 48H¹⁹, 16G⁰, 48M¹¹, 96M⁹, 72Q¹¹, 32N⁵, 48F⁴, 144D¹⁶, 40V¹⁵, 64D⁵, 84N²⁰, 48AC¹⁷, 24AP¹⁷, 80B⁸, 48Y²¹, 32E¹³, 28C¹³, 112Q²³, 40M⁵, 20C¹⁰, 72M²², 108F²², 48K¹⁵, 140A¹⁸, 64V¹³, 48CO¹⁷, 160A¹⁵, 24N¹³, 40C¹⁷, 48BT¹⁹, 12P¹, 96F²¹, 16N³, 24J¹⁵, 32H¹³, 48AJ²¹, 32J⁹, 120K¹⁵, 64N²¹, 32A², 140B¹⁹, 100Q¹⁹, 48P¹⁵, 24L³, 80U¹⁷, 112H¹¹, 96C⁷, 96I²³, 12K¹, 48D¹⁷, 24AH⁷, 104B²¹, 64B³, 108E²¹, 36B¹⁹, 16H⁰, 144G¹³, 16M¹, 192A¹⁹, 156A¹⁹, 36Q¹⁰, 24V¹⁷, 48B¹³, 84A²¹, 96AB²¹, 40U¹⁷, 36F⁴, 96D¹⁸, 72D¹⁹, 96F²³, 16C²¹, 104C²³, 24I⁵, 96C²², 84C²⁰, 120E¹⁹, 16A⁵, 48CQ²¹, 96B¹⁰, 128D¹⁵, 96P²¹, 60T¹⁷, 32C⁹, 36C⁸, 96AI¹⁷, 56U²³, 36N¹⁰, 72AB²¹, 48C¹⁸, 88A²¹, 96U²¹, 128C¹³, 96BC¹⁹, 88C²¹, 32C³, 16B¹⁷, 16F⁹, 48H¹⁸, 144J¹³, 48O²¹, 60B¹⁷, 56E²⁴, 112D²⁴, 48AM⁷, 32D⁵, 24R⁵, 96A²², 24O¹³, 64K²¹, 64E⁷, 144A¹⁹, 96I¹⁷, 48AK²¹, 184A²⁰, 96E²³, 44B²¹, 72M¹⁷, 24J¹⁷, 40W¹⁵, 144H¹⁶, 92A²¹, 48O¹⁹, 36P²², 48CH²¹, 56C⁴, 108F¹⁰, 36D⁴, 48C⁸, 36F⁸, 24C⁹, 48G¹⁸, 80C⁸, 88B¹⁹, 96X²¹, 208C²³, 96C¹³, 84B¹², 96AJ¹⁷, 48AG¹³, 96L⁹, 48AP¹⁹, 24E²¹, 12S¹, 48AG⁹, 48CB²¹, 72K¹⁷, 48AM⁹, 96I²¹, 72T¹³, 96P¹⁵, 176C²¹, 48L⁸, 168B²⁴, 60C⁸, 96P¹⁹, 24AR¹⁷, 96G²³, 192A²³, 160F²¹, 96C²³, 140I¹⁹, 52H²³, 16C², 192N²¹, 8A³, 160E¹⁷, 88H¹⁹, 64B¹¹, 96D¹⁹, 24AS¹⁷, 40L⁹, 104C¹¹, 76A²², 8A², 20G¹³, 16B⁵, 24U⁹, 152A¹⁶, 208I²³, 48AI⁹, 72N²², 36C¹, 160A¹⁷, 48AP²¹, 24C¹⁷, 24AI⁷, 96H¹⁹, 96H²¹, 140A¹⁷, 48A¹⁰, 24AK⁷, 96A²¹, 84C¹⁹, 16M⁵, 40K¹³, 72U¹³, 32M⁷, 24AD⁹, 48BT¹⁷, 24D²¹, 24B², 116A¹³, 96G²¹, 24U³, 48J¹⁷, 16B¹³, 128C²¹, 72F¹⁹, 24H⁵, 12B¹, 56N¹¹, 48F²¹, 160A²¹, 88B¹⁰, 48B⁵, 48CE²¹, 128A¹³, 48A⁵, 80C²², 48E⁹, 72E⁸, 128A¹⁵, 96BI²¹, 48K¹⁷, 16E¹, 96AX¹⁹, 32A³, 40D⁸, 84I¹¹, 48BQ¹⁹, 192D²³, 28F⁹, 24T¹⁷, 56G¹³, 48O¹⁵, 96B²³, 132B²⁰, 24F²¹, 80S¹⁵, 24AG⁹, 16A²¹, 36L¹⁷, 56O²³, 72B⁸, 36F²¹, 168E²⁰, 24H¹⁵, 24AB¹³, 160K¹⁹, 24F¹⁹, 76A¹⁷, 60R¹³, 20A¹⁰, 28E⁵, 60B¹⁵, 216A¹⁷, 20D¹⁹, 8G⁰, 40X¹⁵, 24B¹⁵, 128E¹³, 48AI²¹, 96F¹³, 72S¹⁵, 40E²², 144G¹⁶, 72G⁸, 24H⁹, 40O⁷, 112D¹³, 24AB⁵, 16C⁷, 56A²⁴, 48B¹⁰, 48G⁴, 80AH¹⁷, 20B¹⁹, 24L¹³, 48BS¹⁷, 64E⁹, 192L²³, 20A⁷, 48E²¹, 24E⁴, 96BB²¹, 224A²⁴, 32A¹⁹, 24AK⁹, 256B²¹, 48AJ⁹, 104M²³, 48N⁹, 40A⁸, 64A¹⁵, 72E¹⁶, 96G¹¹, 48AH²¹, 36L²², 96E¹³, 48U¹⁷, 96W²¹, 96L²¹, 120D¹⁴, 160J¹⁹, 128B¹⁷, 176D¹⁹, 80Q²¹, 136D¹⁵, 32A¹¹, 128B²¹, 56E²³, 56A¹², 128H¹⁵, 216C²², 96BJ²¹, 24A⁸, 24V⁷, 112E²¹, 96C²¹, 48B¹⁸, 48CM²¹, 24AG⁷, 168F²⁰, 40J¹¹, 32G¹³, 56L²¹, 80E⁹, 48W¹¹, 48Y¹³, 48E¹⁹, 24I⁹, 36Q⁹, 60M¹⁵, 24Z⁹, 40K⁷, 96A¹³, 12K³, 48Q²¹, 84D²⁴, 96D¹³, 48BQ²¹, 56H¹³, 64D¹⁷, 36D⁹, 160C¹⁵, 32G⁷, 28E¹⁶, 48AD¹⁷, 64C²¹, 72B¹⁶, 56P²³, 192J²³, 64B¹⁹, 40I⁹, 48AA¹⁷, 40F⁷, 44B¹⁹, 160S²¹, 40F³, 24M⁴, 52A⁹, 32R²¹, 80O¹⁵, 84D¹⁹, 144C¹⁷, 24F⁴, 96BC²¹, 32C², 96A⁹, 48D¹³, 96K¹⁹, 40J⁹, 8B¹, 72A²¹, 96M¹⁵, 48B⁴, 48AK⁷, 48CM¹⁷, 48AA⁹, 24AL⁷, 96F¹¹, 36O¹⁹, 48K²¹, 24C¹⁹, 72H²², 48CL²¹, 36T¹³, 144B¹⁹, 112B²³, 24AJ⁷, 160D²¹, 48D¹⁸, 40D¹⁷, 108G¹⁷, 96BH²¹, 48BS¹⁹, 12J⁰, 72C¹⁹, 48L²¹, 48R²¹, 20H¹, 28M²¹, 64I¹³, 48AA¹⁹, 144D¹⁹, 56Q¹¹, 80AD²¹, 108A¹⁶, 32O³, 48E¹⁵, 176E¹⁹, 200J¹⁹, 48E¹⁰, 32F¹³, 48CA²¹, 64B¹³, 96C¹⁹, 112J¹¹, 84A¹⁹, 72Q¹⁶, 48K¹⁹, 40W⁹, 40AA¹⁵, 24J⁴, 48CJ¹⁷, 24G¹⁷, 80M¹⁵, 24Q¹⁷, 72M¹⁹, 36B⁸, 32F²¹, 24D⁹, 72Y¹⁷, 192D¹⁹, 20C⁷, 72I¹⁹, 24Y³, 64A⁹, 56Q²³, 8O⁰, 72G¹⁵, 20H¹⁵, 44A¹⁰, 12B⁵, 96B²¹, 12D², 24B²¹, 72G²², 72A¹⁶, 32B²¹, 36M¹⁰, 256B¹⁹, 80A¹⁶, 72W¹³, 32D¹⁷, 80AJ¹⁷, 56F¹⁰, 32T¹³, 48P²¹, 8G¹, 80E⁷, 160C¹⁹, 64D²¹, 160B¹⁹, 96I¹³, 40M¹⁵, 24Z³, 112O²³, 8K¹, 192C¹⁹, 80R²¹, 80A¹⁹, 192F²³, 64E¹⁵, 32K³, 44A⁵, 80G⁷, 16K², 104L²³, 48Q⁷, 144G²¹, 48X¹⁷, 40G¹³, 84K²³, 48J⁵, 152A¹⁸, 24D¹⁹, 16E²¹, 48E¹⁷, 80N¹⁵, 20D⁴, 56M²¹, 160R²¹, 28B¹², 24A⁵, 24I¹⁷, 192B¹⁸, 172A²⁰, 92B²⁰, 20N⁷, 72E¹⁹, 112F²¹, 24H⁸, 128A⁹, 64D⁷, 80AC²¹, 192A²¹, 56P¹¹, 72K¹⁹, 24AP⁹, 48C⁵, 112F²³, 24W¹⁷, 32B¹⁷, 72A¹⁰, 84A¹⁰, 84A²⁰, 48BO¹⁹, 36F²², 56O¹¹, 160B²¹, 112E¹², 44A²¹, 144C¹⁶, 96P²³, 48F¹⁹, 256A¹⁹, 48AM²¹, 48O⁹, 48AN⁹, 64K⁷, 80E¹³, 36K³, 40F¹⁰, 56D¹³, 72AC²¹, 128F¹⁵, 56I¹², 32E⁷, 24AQ¹⁷, 80F²², 68C¹⁵, 16J³, 96I¹⁹, 40L¹³, 84B¹⁰, 48BZ²¹, 60H¹⁹, 72K¹⁶, 48CL¹⁷, 112C¹², 80K⁷, 104N²³, 108B¹³, 48H¹⁷, 40AH¹⁷, 12V¹, 76A⁸, 128B¹³, 24H¹⁷, 88B⁹, 20E¹⁵, 88A¹⁰, 24S¹⁹, 56A¹⁶, 44D¹⁷, 16H³, 100C⁷, 32O²¹, 36C⁹, 40L¹⁹, 120C¹⁴, 128G¹⁵, 192B²², 24W³, 40A¹⁵, 48AG²¹, 80A¹⁷, 24G⁴, 48AO²¹, 48B⁹, 56O¹³, 112R²³, 24J⁷, 72J¹⁹, 128A¹¹, 32M⁵, 20F¹³, 48A²², 192A¹⁸, 48BP¹⁹, 168G²⁰, 24I¹⁹, 48M⁸, 24E⁸, 28C²³, 40AR¹⁷, 56E¹⁶, 120D¹⁷, 144A¹⁷, 48AR¹⁹, 64D¹³, 100J¹³, 20C¹¹, 16D²¹, 16O³, 84K¹⁹, 128D²¹, 128A¹⁹, 80Y¹⁷, 96R¹⁹, 80P¹⁵, 20A²², 80N¹⁹, 96J²¹, 144C¹⁹, 80D²², 36Q⁴, 12E³, 56V²³, 192B²³, 72L²², 48V¹⁷, 40L⁷, 40Y¹⁵, 156C¹⁹, 80I¹⁵, 48CP²¹, 96E¹¹, 72B¹⁹, 96R²¹, 32A¹⁷, 64F¹⁵, 80E¹⁷, 160Q²¹, 96A¹⁷, 48Y⁷, 96T²¹, 96O²¹, 56C¹³, 48BP¹⁷, 32B⁵, 48J³, 24E¹⁹, 64F¹³, 192M²¹, 32A⁰, 128F²¹, 24D², 60R¹⁷, 48AO⁹, 96J¹⁷, 64A², 156D²³, 16N⁵, 16D³, 96K¹⁷, 84L²⁰, 40B⁴, 96BM²¹, 112B¹³, 56B¹¹, 64F⁷, 88D²¹, 56D⁶, 96BE²¹, 20A⁸, 80V¹⁵, 96AS²¹, 64A³, 40D¹⁰, 72F⁸, 12E⁰, 80G¹³, 60A¹³, 40R¹³, 96A¹⁸, 40X¹⁷, 28D¹³, 12G³, 48AC⁹, 48CF²¹, 24G⁷, 20J³, 48BS²¹, 32U¹³, 48I¹¹, 108C¹⁶, 28F¹¹, 56E²¹, 96E²¹, 32C²¹, 48I¹⁹, 104E²³, 32O⁵, 32C⁷, 168A²², 16I³, 72B²¹, 144I¹³, 72R¹⁵, 184A²², 40M⁷, 80G¹⁵, 40O¹³, 88A¹⁷, 44A²⁰, 28C¹², 24G¹⁹, 32C¹⁷, 16E⁹, 24A¹⁰, 72P¹⁷, 104D¹¹, 32M³, 56F²³, 12E⁷, 16B⁷, 32D⁹, 4G⁰, 72F¹⁶, 40A¹⁹, 72B¹⁰, 80C¹⁷, 48P¹⁹, 52C²³, 40K²², 80A⁹, 112U²³, 160A¹⁸, 24N⁴, 72H¹⁶, 36A¹⁹, 80AG¹⁷, 40Q¹³, 48X⁷, 88F¹⁹, 72S¹³, 36E²¹, 24U¹⁷, 80P²¹, 96C¹⁸, 36N⁷, 40AB¹⁵, 160M¹⁷, 48Y⁸, 40C¹⁵, 16A⁶, 40M¹⁹, 40J¹³, 96AR²¹, 80BE¹⁷, 48N²¹, 48N¹⁵, 64A¹⁷, 160C²¹, 24F⁸, 96N¹⁵, 160F¹⁷, 48A¹³, 24AF⁹, 160A¹⁶, 120I¹⁵, 24T⁷, 192D²¹, 12B², 24AH⁹, 36B¹⁷, 48Y¹⁷, 16J², 44C¹⁶, 24Z¹⁷, 96BE¹⁹, 48AH⁹, 24P¹⁷, 24K¹⁹, 48CK²¹, 48AK⁹, 96A¹⁹, 188A²², 48D⁴, 48L³, 64J¹³, 16C⁹, 60N¹³, 24H¹⁹, 28C¹¹, 32H²¹, 40L¹⁵, 72J¹⁶, 84L²³, 168B²¹, 20S³, 64B¹⁵, 168Q²³, 160B¹⁵, 24C⁸, 24B⁰, 24R¹⁷, 32E²¹, 192O²¹, 24Y¹⁷, 32N²¹, 96B¹⁹, 144E¹⁶, 128D¹³, 24G¹, 48CC²¹, 80T¹⁵, 40AS¹⁷, 20E¹³, 192E¹⁹, 40X⁷, 96A¹⁰, 4E⁰, 32B¹¹, 80B¹⁶, 44B⁹, 96Z¹⁹, 44A¹⁹, 20K⁷, 96B¹¹, 36N¹¹, 60T¹³, 60C⁷, 104B²³, 56B¹², 56L¹¹, 20D¹, 80D¹⁷, 48CP¹⁷, 96B⁷, 192C²¹, 48F¹⁷, 56A²³, 64A⁶, 80F¹³, 40O¹⁵, 168R²³, 96O¹⁹, 48C¹⁷, 72C¹⁶, 28D¹⁰, 60P⁷, 144E¹⁷, 100A²³, 168B²⁰, 88G¹⁹, 96O²³, 60AC¹⁵, 128B⁹, 52B¹³, 48Q¹⁹, 12A⁴, 80A¹⁸, 48AN⁷, 96L¹⁷, 112C¹³, 24B¹¹, 64C⁷, 48AN²¹, 80Q¹⁵, 48J²¹, 192F¹⁹, 176B²¹, 36A¹⁷, 120A¹⁸, 96C¹¹, 72A¹⁹, 8N⁰, 48F¹⁵, 88C¹⁹, 96BF²¹, 48AH¹³, 80H⁷, 52A⁵, 16B³, 64G¹³, 48AO⁷, 8I⁰, 96N¹⁹, 36D⁷, 120A¹⁴, 32B⁹, 64C¹⁵, 32A¹³, 80B¹⁹, 48CJ²¹, 120N¹⁷, 96K²¹, 48J¹³, 72D²¹, 40I¹⁷, 32A²¹, 64C⁵, 16A³, 48S²¹, 224C²³, 44D⁴, 112G¹¹, 16A¹⁷, 160E²¹, 36U¹³, 32A¹, 112S²³, 256A²¹, 72F²², 72B⁵, 80O⁹, 96D²³, 16B²¹, 40G¹⁷, 24AB⁹, 20A², 56F²⁴, 96J²³, 48G¹⁹, 36L⁵, 88A²⁰, 72O¹⁷, 68B¹³, 72X¹⁷, 84B¹⁹, 128A⁷, 40B¹⁵, 36K¹⁷, 24AN¹⁷, 48B¹⁷, 144E²¹, 36B¹⁶, 48B¹⁹, 36Q¹⁹, 36I²², 48R¹⁵, 20A⁴, 48X¹¹, 16C¹³, 20F⁹, 12C⁴, 36M¹⁹, 48D⁵, 112I¹¹, 64C⁹, 176B²⁰, 100O¹⁹, 192P²¹, 32F⁷, 96Q¹⁹, 24AA³, 40E¹⁵, 24F⁵, 100C¹³, 28B²¹, 36B²², 48AL⁷, 40Z¹⁵, 96AQ²¹, 168C²⁰, 80I²¹, 72P¹¹, 96M¹⁷, 192I²³, 60K¹⁵, 48I³, 48F⁹, 96A⁸, 32B³, 48W⁷, 48Z²¹, 24A¹⁹, 32A⁹, 48I¹⁸, 28C¹⁶, 96BF¹⁹, 80F¹⁹, 24A¹¹, 28A⁵, 48I¹³, 48CQ¹⁷, 32B², 48C⁹, 72L¹⁹, 16A⁹, 72K²², 32M¹³, 36A¹⁶, 28A⁶, 32D¹³, 28B⁷, 104A²³, 8J⁰, 52B¹⁹, 48I¹⁷, 28A⁹, 40A¹⁸, 24I⁴, 8B³, 24V³, 48Q⁹, 28D², 40A²², 28A³, 36D¹⁵, 56M¹¹, 120F¹⁹, 192G²³, 72N¹⁹, 48AQ⁷, 12B⁷, 32A⁵, 56R¹¹, 24J⁹, 36J⁸, 24B¹⁷, 48I⁵, 176G¹⁹, 80AI¹⁷, 12B⁹, 24B⁸, 40V¹⁷, 56G¹², 48L¹⁹, 64D¹⁵, 208F²³, 32C⁵, 80L¹⁹, 80D¹³, 60D¹⁵, 48C¹³, 32D²¹, 64B⁹, 72H¹⁹, 40G⁷, 48I²¹, 60H⁷, 48CK¹⁷, 48W¹³, 96H¹¹, 48CG²¹, 36E¹⁶, 100A¹³, 40A⁹, 36B¹⁵, 12L³, 88B²⁰, 48J⁸, 84D¹⁰, 60AJ¹³, 24S⁹, 48BR¹⁹, 148A¹⁷, 160L¹⁹, 96Q²¹, 96AW¹⁹, 96M²¹, 32J³, 192H²³, 24G⁸, 56B⁶, 96E¹⁹, 32D⁷, 128A²¹, 92A¹⁰, 32B¹³, 132A¹⁶, 144H¹⁹, 64F²¹, 96N²¹, 40P¹³, 168D²⁰, 36S¹⁰, 24F¹⁷, 48A¹⁹, 24J¹, 40T¹⁷, 48B¹¹, 72N¹⁷, 40C¹⁹, 56B²⁴, 112A²⁴, 112D¹², 40W¹⁷, 40I²², 20E⁵, 80J¹⁵, 96BA²¹, 56W²³, 96AK¹⁷, 192B²¹, 40J³, 168C²², 40AD¹⁷, 216B²¹, 48P⁹, 80T¹⁹, 48D⁸, 152A¹⁷, 88E¹⁹, 60D¹⁴, 24F², 112C²⁴, 32I⁹, 64A¹⁹, 64A⁵, 96D²¹, 48W¹⁷, 88C²⁰, 20L⁷, 128A¹⁷, 196A¹⁷, 32L¹³, 24AJ¹⁷, 12E⁵, 32C¹³, 84J²⁰, 72C¹⁷, 80S¹⁷, 88D¹⁹, 16C⁰, 72C⁷, 48V¹³, 24A¹⁵, 32E⁹, 144F²¹, 12O³, 68B⁷, 20D¹⁵, 64J²¹, 120F¹⁵, 8A⁵, 48AL²¹, 28E⁴, 48AB¹⁷, 56C²⁴, 24M¹³, 160A¹⁹, 52C²¹, 80Z¹⁷, 32Q²¹, 192C²³, 64C¹⁷, 24AT¹⁷, 192A²², 96BD¹⁹, 8C⁰, 40Y¹⁷, 24G⁹, 200I¹⁹, 124A¹⁴, 52D²³, 64B²¹, 40D²², 120O¹⁷, 96B¹⁸, 120B¹⁶, 56F¹², 48E⁸, 132B¹⁶, 24I⁷, 28C⁶, 144B¹⁷, 52D¹¹, 96B¹³, 96F¹⁹, 48F¹¹, 24U⁷, 28F⁴, 24D⁸, 96BK²¹, 24S¹⁷, 40V⁷, 128E²¹, 100B¹³, 32E¹⁷, 64A¹³, 84E²¹, 84G²¹, 48D¹⁹, 96AC¹⁷, 96L²³, 48AP⁷, 84G²⁰, 40B¹⁹, 24AE⁹, 60A¹⁴, 60V¹⁵, 52B¹¹, 80F⁷, 20I⁵, 144E¹⁹, 48G¹⁷, 56B¹⁶, 80X¹⁷, 48AX¹⁹, 36K⁸, 108A⁷, 56N²¹, 16O⁵, 24J⁸, 136C¹⁵, 80G²², 24L⁹, 72R¹³, 20P⁷, 72C²¹, 64B⁷, 80M¹⁹, 72G¹⁹, 80G²¹, 176A²¹, 192K²³, 96BL²¹, 40W⁷, 48K³, 48B²², 96AL¹⁷, 24K¹³, 24AC³, 48CI²¹, 16G⁹, 48M¹⁹, 36C⁷, 144D¹⁷, 40A¹⁶, 40L²², 120L¹⁵, 16D⁰, 40A¹⁷, 36D²², 72D¹⁶, 208E²³, 72D⁹, 128C¹⁵, 96D¹¹, 64O²¹, 72Q¹³, 112P²³, 64D⁹, 24AA⁵, 24X¹⁷, 40B¹⁶, 48R¹⁹, 24A²¹, 8F¹, 100D¹³, 96G⁹, 20A¹³, 24F¹⁵, 72A³, 112A¹³, 48AU²¹, 48R⁷, 48D¹¹, 60C¹³, 96AZ²¹, 48Z¹³, 24B¹⁰, 84Q²¹, 80H¹⁵, 96A¹¹, 104A¹⁹, 48D⁹, 32A⁶, 24W⁷, 72V¹³, 96V²¹, 48A⁹, 28E¹¹, 12D⁷, 176A²⁰, 16B⁹, 64W¹³, 168A²⁴, 84B²³, 48N¹⁹, 72E⁹, 24F⁹, 72G¹⁶, 48I⁸, 36K¹⁵, 16D⁵, 72P¹⁶, 48Q¹⁵, 96G¹⁹, 20C²², 36I¹⁵, 96S²¹, 96K²³, 24I⁸, 20H³, 24G¹⁵, 68D¹⁵, 80BD¹⁷, 24J¹³, 132D¹⁹, 40E³, 48G⁹, 40C⁸, 72I⁹, 224B²⁴, 40C²², 40AD¹⁵, 48K⁸, 28D²¹, 56C⁹, 28A¹⁶, 24D⁴, 36C¹⁹, 60A⁷, 144B¹⁶, 56D¹⁶, 28F¹³, 112F²⁴, 60F¹⁴, 48C¹⁹, 128E¹⁵, 104K²³, 64B¹⁷, 112G²⁴, 24C²¹, 24G²¹, 48AL⁹, 16C⁵, 48Z¹⁷, 72F¹⁵, 168A²⁰, 16A¹, 120J¹⁵, 40AE¹⁷, 96AH¹⁷, 56D⁵, 44B⁸, 96S¹⁷, 64C¹³, 24Z⁵, 64E¹³, 60AD¹⁵, 80V¹⁷, 80W¹⁷, 112E²⁴, 24A¹⁷, 96BG²¹, 84E²⁰, 32L⁷, 36O⁷, 40N¹⁵, 120E¹⁵, 80F⁹, 16I², 36G⁴, 24P¹³, 12B¹³, 64B⁵, 72E¹⁷, 112T²³, 144H²¹, 16G¹, 144G¹⁹, 224B²³, 32C¹⁹, 96B⁸, 56R²³, 168E²², 24T⁹, 80D²¹, 48CN¹⁷, 80R¹⁵, 32B⁷</t>
        </is>
      </c>
    </row>
    <row r="12">
      <c r="A12">
        <f>HYPERLINK("https://mathstats.uncg.edu/sites/pauli/congruence/csg0.html#group4C0", "4C⁰")</f>
        <v/>
      </c>
      <c r="B12" t="n">
        <v>0</v>
      </c>
      <c r="C12" t="inlineStr"/>
      <c r="D12" t="inlineStr">
        <is>
          <t>6</t>
        </is>
      </c>
      <c r="E12" t="inlineStr">
        <is>
          <t>1</t>
        </is>
      </c>
      <c r="F12" t="inlineStr">
        <is>
          <t>3</t>
        </is>
      </c>
      <c r="G12" t="inlineStr">
        <is>
          <t>2</t>
        </is>
      </c>
      <c r="H12" t="inlineStr">
        <is>
          <t>0</t>
        </is>
      </c>
      <c r="I12" t="inlineStr">
        <is>
          <t>2¹, 4¹</t>
        </is>
      </c>
      <c r="J12" t="n">
        <v>2</v>
      </c>
      <c r="K12" t="inlineStr">
        <is>
          <t>1³</t>
        </is>
      </c>
      <c r="L12" t="inlineStr">
        <is>
          <t>2B⁰</t>
        </is>
      </c>
      <c r="M12" t="inlineStr">
        <is>
          <t>4E⁰, 4F⁰, 8B⁰, 8D⁰, 12C⁰, 8A¹, 12F¹, 20E¹, 20B², 28C², 20F³, 28C³, 44C⁴, 44B⁵, 52B⁵, 68D⁷, 76A⁹, 36O¹⁰, 92A¹¹, 116B¹³, 124A¹⁵, 148B¹⁷, 164D¹⁹, 44B²⁰, 172A²¹, 188A²³, 76A²⁴</t>
        </is>
      </c>
      <c r="N12" t="inlineStr">
        <is>
          <t>1A⁰, 2B⁰</t>
        </is>
      </c>
      <c r="O12" t="inlineStr">
        <is>
          <t>24E¹, 16F⁵, 16A¹¹, 36L⁸, 24M¹⁹, 72F¹⁴, 48BK¹⁹, 120O²¹, 56H¹², 56G²⁴, 88A⁹, 16B⁰, 96B²⁰, 48AT¹⁹, 56H²⁴, 56C⁷, 60G¹³, 40E⁹, 24AC⁹, 48AH⁷, 72L¹⁷, 48AM¹⁷, 264C²⁴, 136B¹⁵, 160N¹⁹, 48A⁰, 48AJ⁷, 104G²³, 36H¹⁶, 48CD²¹, 24I¹⁵, 96AS¹⁹, 80P¹⁹, 48AC¹³, 28D⁵, 36D¹⁹, 60H⁹, 88H²¹, 16D⁹, 72I¹⁶, 24AA¹⁷, 40P⁹, 48AF²¹, 96AY²¹, 48BR¹⁷, 16B¹⁰, 24D¹⁵, 24X¹³, 48BV²¹, 36F¹², 48BR²¹, 40T¹³, 40C¹⁶, 112P²⁴, 40G¹⁹, 36H⁵, 72X²¹, 72F¹², 64J⁷, 52G²³, 24J⁵, 64A¹¹, 96AF²⁰, 60U²¹, 32C²³, 48AF⁹, 96AA¹⁷, 160C²³, 32N³, 32R¹³, 24AP¹⁷, 96A⁷, 124A¹⁵, 72N¹¹, 92B²², 24Y¹³, 252G²⁴, 40C¹⁷, 112D²¹, 8B², 36B⁵, 24J¹⁵, 32H¹³, 88A¹¹, 4F⁰, 28D⁷, 24E⁹, 80G⁹, 144A²¹, 20C²¹, 44C²¹, 52C¹⁹, 28E¹³, 96AJ²¹, 168F²², 24T³, 80H¹⁹, 144J²³, 40AQ¹⁷, 24V¹⁷, 48B¹³, 56B¹³, 112L²⁴, 152A¹⁹, 40U¹⁷, 72D¹⁹, 52F²¹, 24I⁵, 84C²⁰, 96D¹⁶, 96Y¹⁷, 60N¹⁹, 24H⁷, 80D¹⁹, 60T¹⁷, 144B¹³, 48C¹⁶, 16K⁹, 96BC¹⁹, 160I²¹, 88C²¹, 72H²¹, 96E¹⁵, 80H²², 80H¹⁷, 84C¹¹, 48O²¹, 60B¹⁷, 56A¹⁸, 144W²³, 96O¹⁵, 96S²³, 96A²², 24K⁶, 24O¹³, 48V²¹, 32P²¹, 64H¹⁵, 100G¹³, 96C¹⁰, 32C¹¹, 48AK²¹, 40W¹⁵, 48V⁸, 64G⁷, 92A²¹, 48O¹⁹, 48CH²¹, 32A²⁴, 48AX²¹, 72E¹⁸, 144E¹⁰, 132C²¹, 48BG¹⁷, 48CB¹⁷, 64M¹³, 88B¹⁹, 112A²², 16A⁴, 140A¹⁹, 48AG¹³, 36R⁴, 72K¹⁷, 108E¹¹, 80AO¹⁷, 224A²¹, 80H¹³, 48F²⁰, 56F¹³, 40H⁷, 80AB¹⁹, 48BT²¹, 96C²³, 108C¹⁷, 40AE¹⁵, 88H¹⁹, 24AS¹⁷, 48Q⁸, 8A², 24U⁹, 16I⁵, 96H⁹, 80U¹⁵, 176E²³, 60C¹², 48AP²¹, 48AF¹⁵, 24C¹⁷, 48A¹⁰, 24AK⁷, 96A²¹, 40K¹³, 48P⁷, 8H¹, 72I¹³, 96BA¹⁹, 24AE⁷, 24Y⁹, 40AF¹⁵, 96A³, 24K⁷, 48CE²¹, 40G²³, 16E¹, 48W⁸, 40D⁸, 48Y¹¹, 204F²³, 72B⁶, 96AC²³, 48V⁷, 80M⁹, 24M⁵, 72D⁶, 24T¹⁷, 40Q⁹, 72B⁷, 180I²¹, 40N⁵, 48E¹³, 96AO¹⁹, 168C¹⁶, 20E⁴, 112B¹⁴, 112H¹⁵, 16A²¹, 56O²³, 120B¹⁵, 8C², 36F²¹, 32J⁷, 72U¹⁵, 24AB¹³, 24F¹⁹, 76A¹⁷, 120M²³, 200B²³, 8G⁰, 96D¹⁵, 72W¹⁵, 48AI²¹, 144K²¹, 120D²¹, 72Q¹⁵, 120N²³, 40B²⁴, 48AA¹⁵, 48BB¹⁹, 16C⁷, 56A²⁴, 48B¹⁰, 96A¹², 32P⁹, 40E⁷, 144C¹⁸, 48E²¹, 96AE²⁰, 24E⁴, 32A¹⁹, 40D³, 32D²³, 224C²⁴, 96R¹⁵, 80AC¹⁹, 104M²³, 48A⁷, 48R¹¹, 48AI¹⁷, 68F¹⁵, 104F²³, 24AB¹⁷, 20F¹⁰, 100B²¹, 224A²³, 80L⁹, 36E⁷, 24AA⁹, 96AK¹⁹, 48S¹³, 32A¹¹, 48N¹¹, 48V⁹, 96L¹⁹, 56A¹², 24A⁸, 120C²¹, 48B¹⁸, 44B⁵, 24U¹³, 144A¹³, 24AG⁷, 56D¹⁰, 48AB²¹, 112E²³, 72J¹³, 48G¹⁰, 88A²², 48B²¹, 56L²¹, 48S¹⁷, 52F¹¹, 72G¹⁴, 96AY¹⁹, 120I¹³, 48W¹¹, 24I², 48E¹⁹, 24I⁹, 60AA¹³, 20D¹³, 24K⁴, 48AE⁹, 48BQ²¹, 104P²³, 60F¹³, 136B¹⁷, 36D⁹, 20E¹, 32G⁷, 48AU¹⁷, 32K⁷, 64F⁹, 28C⁵, 48A¹⁶, 40I⁹, 80N⁹, 48F¹⁰, 48E¹¹, 40E¹¹, 40V¹³, 96AV²¹, 48C⁶, 24O¹⁹, 48G²¹, 32P¹³, 16D⁷, 80O¹⁵, 96I¹¹, 176C¹⁹, 120G¹³, 80U¹⁹, 12F¹, 80AD¹⁷, 24D¹, 40J⁹, 72A²¹, 40H²¹, 72N¹⁶, 48AD⁸, 24J²¹, 144F²³, 48AX¹⁷, 8H⁰, 168D²², 48AK⁷, 96AQ¹⁹, 48CM¹⁷, 48L¹¹, 156D¹⁷, 32F²³, 112F¹², 72L²¹, 96AE¹⁷, 24L⁴, 72E²², 40G⁹, 40D¹⁷, 24P¹⁹, 48BS¹⁹, 48H⁷, 72C¹⁹, 104O²³, 48R²¹, 48BL²¹, 100F¹³, 28M²¹, 48D²², 24A⁹, 48E¹⁵, 48Z¹¹, 80E¹⁸, 48AS¹⁹, 60Q¹¹, 96AB²³, 84A¹¹, 24AC¹⁷, 32F¹³, 64B¹³, 144A²³, 48K¹⁹, 48BY¹⁷, 72C¹¹, 104E¹¹, 24Q¹⁷, 48CJ¹⁷, 72M¹⁹, 64A²², 176A²², 192E²¹, 16J⁹, 48AD¹⁵, 48CI¹⁷, 24D⁹, 48BG²¹, 48AF¹⁷, 112B¹¹, 36C⁶, 96R²³, 20C⁷, 72D⁸, 24Q¹⁹, 24R¹⁵, 96T¹⁷, 48BX²¹, 44A¹⁰, 112B²¹, 48X⁸, 96B²¹, 80AZ¹⁷, 20K³, 32B²¹, 144E¹⁵, 80A¹⁶, 72W¹³, 40G¹⁵, 136F¹⁵, 32T¹³, 48P²¹, 8G¹, 32E¹⁹, 64M²¹, 64D²¹, 64L²¹, 40A⁵, 48C⁷, 112A²³, 112A¹⁴, 120D¹³, 24Z³, 48X¹⁹, 64E¹⁵, 80V²¹, 48Z⁷, 96P²⁰, 72A¹⁷, 48W²¹, 80I¹⁷, 136A¹⁷, 48M³, 160K¹⁷, 160B²³, 48E¹⁷, 24D¹⁹, 16E²¹, 24I²¹, 64Q¹³, 96L²⁰, 96AE¹⁹, 176B¹⁶, 96N²⁰, 24R¹³, 40C⁵, 80D⁹, 24I¹⁷, 224F²⁴, 112W²⁴, 48B⁶, 52C¹³, 80AC²¹, 56D²², 16R³, 72K¹⁹, 48E¹⁸, 48AI⁷, 160G¹⁷, 36F²², 24N¹⁵, 16G³, 36P⁹, 40F²¹, 16K³, 80AW¹⁷, 96P²³, 8C¹, 40W¹³, 48F¹⁹, 80K¹⁵, 96AZ¹⁹, 184B²², 56D¹³, 48AW²¹, 56I¹², 48Y¹⁹, 32E⁷, 28J²¹, 72E⁶, 48BZ²¹, 32A²³, 64S¹³, 96V¹⁹, 104N²³, 20B¹⁰, 40AH¹⁷, 208G²³, 24K⁵, 48J¹⁵, 24H¹⁷, 72B²², 72K²¹, 72O¹⁵, 48I¹⁶, 24AF¹⁷, 48U¹¹, 96AB¹⁷, 24B⁵, 80AN¹⁷, 20B¹⁷, 48AB⁸, 72B¹¹, 24AA⁷, 24N⁵, 20J⁵, 96C¹⁶, 112F¹⁵, 24J⁷, 48AQ¹⁹, 20F¹³, 48A²², 40I¹⁵, 24I¹⁹, 40B²⁰, 96V²³, 40AR¹⁷, 64R¹³, 48AR¹⁹, 80B²², 40H⁹, 16D²¹, 80K⁹, 16O³, 112T²⁴, 128D²¹, 144B¹⁴, 24W⁹, 20G¹⁵, 32O⁹, 80P¹⁵, 20A²², 80N¹⁹, 48H⁹, 48BA²¹, 80B¹⁰, 112I²⁴, 48J⁴, 40H²³, 48AN¹⁷, 40AO¹⁷, 40Y¹⁵, 32A²², 176D²³, 56L¹², 168A¹², 96H¹⁷, 48CP²¹, 32X²¹, 32A¹⁷, 72O¹³, 56C¹³, 32B⁵, 24E¹⁹, 84D¹⁷, 112K²⁴, 48AC¹⁹, 24G⁵, 80J⁹, 48H¹⁵, 192L²¹, 48G⁵, 108A¹³, 48BV¹⁷, 88D²¹, 48BN¹⁹, 40D¹⁵, 20A⁸, 32G¹¹, 48BM²¹, 24C¹⁰, 48O¹⁷, 64Q²¹, 48O⁸, 96A¹⁸, 20A²⁰, 12G³, 52A¹¹, 40E¹⁰, 36G²², 112Q²⁴, 36I⁶, 48Z¹⁹, 60A⁵, 24K¹⁵, 48AG¹⁷, 36R¹⁹, 288A²³, 36U¹⁹, 96AJ²³, 48L¹³, 20J³, 24AD¹⁷, 48CH¹⁷, 48O¹⁸, 112A¹¹, 48I¹¹, 28F¹¹, 48K¹¹, 96E²¹, 32C²¹, 32U²¹, 48AH¹⁷, 96W¹⁷, 96Y¹⁹, 32C⁷, 72L¹⁶, 20B²⁰, 96M¹⁹, 48AZ¹⁹, 72B²¹, 28D¹¹, 40M⁷, 44A²⁰, 16C¹, 48H¹⁶, 28C¹², 24AI⁹, 60G¹⁸, 24G¹⁹, 72V¹⁵, 24A¹⁰, 40AP¹⁷, 60D⁶, 40N⁹, 48U¹⁵, 48BE²¹, 32B²³, 40A¹⁹, 96AE²¹, 48P¹⁹, 12H², 48P¹¹, 12C⁵, 20H⁷, 80V¹⁹, 72H¹⁶, 24D¹⁷, 36A¹⁹, 72C⁹, 160L²¹, 32L⁹, 168B¹⁵, 16E³, 40E¹⁹, 48T⁹, 80P²¹, 160O²¹, 96C¹⁸, 224E²⁴, 24O⁷, 112S²⁴, 64I⁹, 168A²³, 40AB¹⁵, 80K²¹, 16C¹⁰, 24AK¹⁷, 96Y²³, 176A²³, 40J¹³, 96E¹⁸, 48N²¹, 40AI¹⁵, 96AD¹⁹, 64O¹³, 96AA¹⁹, 36B²⁰, 56A⁵, 84G¹³, 64H²¹, 80D¹¹, 72K¹², 12B², 36B¹⁷, 24W⁵, 96AO²¹, 48M¹⁸, 72K¹⁵, 96R²⁰, 32A¹⁰, 48CK²¹, 48AK⁹, 96A¹⁹, 16C⁶, 16C⁹, 104A²¹, 28B⁹, 80AG²¹, 36C²⁰, 80AT¹⁷, 48E²⁰, 32H²¹, 28C¹¹, 12L¹, 8D¹, 24R⁹, 36D²³, 112C²¹, 48T¹⁵, 24R¹⁷, 72O¹², 16C⁴, 24Y¹⁷, 224D²⁴, 12J¹, 96B¹⁹, 48O⁷, 104R²³, 48AA⁸, 40B⁸, 72W¹⁹, 64E¹⁴, 112A¹², 4E⁰, 32B¹¹, 96AT²¹, 40AJ¹⁷, 36N¹⁹, 176B²³, 96AX²¹, 20K⁷, 24R¹⁹, 144C¹⁴, 48AB¹⁵, 64G¹⁵, 20C¹³, 60G¹⁷, 104B²³, 56B¹², 56L¹¹, 144D¹⁴, 40B⁵, 56A²³, 48AE⁷, 48AA⁷, 48BI¹⁹, 48AM¹⁹, 80S²¹, 96AI²³, 80AX¹⁷, 56A⁷, 96O²³, 96AJ¹⁹, 112D¹¹, 96A⁵, 32S²¹, 48H²¹, 72H¹⁴, 176G²³, 72H¹³, 60A¹⁵, 140D¹⁷, 288A²¹, 48AN²¹, 120H¹³, 48AG⁷, 92A¹¹, 56J²¹, 96R¹⁷, 176C²⁰, 16B³, 32H⁵, 20C⁴, 48H⁸, 56J¹², 96Z²⁰, 32G⁹, 84B¹⁶, 80BB¹⁷, 40M⁹, 144M²³, 112G¹⁵, 144B²³, 104D²¹, 88A¹⁹, 48BD¹⁹, 136E¹⁵, 16H⁹, 72O¹⁹, 96V²⁰, 32A¹³, 80B¹⁹, 40AK¹⁷, 24B¹⁶, 32A²¹, 24N¹¹, 132F¹², 48T¹³, 176C²³, 32G³, 96Q¹⁵, 96AB¹⁹, 16A¹⁷, 28D¹⁵, 32I⁷, 60S¹¹, 36O¹⁰, 96D²³, 24AH¹⁷, 16B²¹, 48D³, 48W⁹, 40G¹⁰, 24AB⁹, 36G³, 72N¹³, 96F¹⁸, 72J²², 28E¹⁵, 96J²³, 48G¹⁹, 56A¹¹, 32C⁴, 32C²⁴, 40O⁵, 120B¹⁹, 48I⁹, 96A¹⁴, 96W²⁰, 40B¹⁵, 48AE¹⁵, 24AN¹⁷, 120C¹², 24G⁶, 96D⁹, 72F¹⁷, 20A⁴, 48AE¹⁹, 48X¹¹, 16C¹³, 112B¹⁵, 12C⁴, 40I²³, 32F⁷, 56D²³, 80AF²¹, 64H⁷, 48S⁷, 48AZ²¹, 80I²¹, 24R³, 160D¹⁹, 24I⁶, 96E¹⁶, 32A⁹, 24B⁹, 28C¹⁶, 48I¹³, 96X¹⁹, 32C¹⁰, 112E¹¹, 168D¹⁶, 12P³, 48D²¹, 32D¹³, 48A⁶, 48D²⁰, 8J⁰, 48I¹⁷, 240C²⁴, 96AR¹⁹, 40A¹⁸, 64I²¹, 24V³, 40D¹⁹, 96AI¹⁹, 32M⁹, 60M¹⁹, 24A¹⁶, 36D¹⁵, 40Q¹⁷, 60N²³, 56M¹¹, 56N²³, 96U²⁰, 24H³, 24M¹⁷, 24U⁵, 24S⁵, 32A⁵, 24J⁹, 24AB⁷, 32H⁷, 48U¹⁹, 80C¹³, 60X¹³, 24B¹⁷, 40AA¹⁷, 72L¹², 12B⁹, 24B⁸, 40F¹⁵, 32A¹², 48P⁸, 64D¹⁵, 96AV¹⁹, 112G²³, 160G¹⁹, 60D¹⁵, 48BK¹⁷, 56M²³, 24AE¹⁷, 40Y⁷, 48C¹³, 144B²¹, 40N¹⁷, 32D²¹, 32H³, 116B¹³, 24M¹⁵, 64B⁹, 80I⁹, 336I²⁴, 96AH¹⁹, 96B¹⁶, 48I²¹, 36D¹², 56G¹⁴, 48AK¹⁷, 96A¹⁵, 96B¹², 140B¹⁶, 64U¹³, 36I⁷, 40A⁹, 16B⁴, 12L³, 80I¹³, 24Q¹³, 56J¹³, 64I⁷, 80R¹⁷, 144N²³, 80AE¹⁷, 24E¹⁰, 60B⁹, 48CD¹⁷, 48H²⁰, 48P¹⁷, 48AT²¹, 32J³, 32E⁶, 32C⁶, 96S¹⁵, 48U⁷, 32B¹³, 80AV¹⁷, 144H²³, 56G¹¹, 176D²⁰, 48CF¹⁷, 48AV²¹, 48BM¹⁹, 32E¹¹, 160H²¹, 64C¹⁴, 48Q¹⁸, 112C¹¹, 188A²³, 40D⁷, 80B²¹, 84E¹⁷, 176B¹⁹, 40B⁹, 96K¹⁵, 48AF¹⁹, 48C³, 40AD¹⁷, 72J¹⁵, 40S¹⁵, 48D⁸, 48AR¹⁷, 88C²⁰, 96AU¹⁹, 144B²², 80F²¹, 72E²¹, 56C²¹, 96Z²¹, 96AN²¹, 32L¹³, 24O³, 40A¹³, 36B²³, 36I¹¹, 64T¹³, 16A², 72C¹⁷, 164D¹⁹, 80A²¹, 44A²², 120A¹⁷, 56D¹¹, 48BX¹⁷, 192G²¹, 40L⁵, 80I¹⁹, 160E¹⁹, 144B¹⁸, 16B¹¹, 24AG¹⁷, 120A¹⁹, 96V¹⁵, 24E⁶, 40U¹³, 168F²³, 16H⁵, 24B³, 24AM¹⁷, 20D¹⁵, 40G²², 36B¹⁸, 56H²³, 144X²³, 96AF²³, 96V¹⁷, 24V⁹, 16F³, 72D¹⁰, 40C²⁴, 80Z¹⁷, 40D²³, 80C⁹, 24AT¹⁷, 72M¹⁶, 96BD¹⁹, 40Y¹⁷, 40AM¹⁷, 48H¹¹, 96W²³, 96AG¹⁷, 112C²³, 24H⁶, 96E¹⁰, 28C⁶, 40C⁹, 76A²⁴, 64B¹⁴, 48F¹¹, 144A¹⁸, 144D¹⁵, 32D²⁴, 24S¹⁷, 24D⁵, 72I²³, 48D¹⁹, 96U²³, 32V²¹, 96L²³, 48BJ²¹, 40B¹⁹, 80AP¹⁷, 120A²¹, 96AA²¹, 32L³, 24AE⁹, 160I¹⁹, 60A¹⁴, 28C⁴, 48D⁶, 88B²¹, 120B¹⁷, 180F²⁰, 16E², 96G¹³, 48AX¹⁹, 48E⁴, 80W¹⁹, 16O⁵, 72C²¹, 80G²¹, 32N¹³, 40W⁷, 24K¹³, 240A²³, 144I²³, 48AV¹⁹, 36P¹³, 112A¹⁵, 48M¹⁹, 80U²¹, 24C¹⁶, 40A¹⁶, 40L²², 80P¹⁷, 160U²¹, 72Q¹³, 32P³, 96C¹², 40AN¹⁷, 48C¹¹, 112P²³, 40B¹⁶, 32R⁹, 200A²¹, 144I²¹, 48R¹⁹, 96AD²⁰, 32G⁵, 96F¹⁷, 48J¹⁶, 56G²², 100H¹³, 24AA¹³, 32J¹¹, 48S¹⁸, 48M¹³, 40L¹⁷, 56E¹¹, 48AP¹⁷, 40N²², 24N⁸, 144K²³, 40Z⁷, 240B²³, 64F¹⁴, 32A⁶, 16J¹, 24J¹⁹, 80AY¹⁷, 48W¹⁹, 64I¹⁵, 32C¹, 72R¹⁷, 96AF¹⁹, 144P²³, 80E¹⁹, 72G¹⁶, 96AC¹⁹, 16D⁵, 20C²², 112X²⁴, 48AI¹⁹, 24P², 32D¹, 120H¹⁵, 96K²³, 28D¹², 48H³, 32F¹¹, 96H²³, 68D¹⁵, 48Z¹⁵, 40J²², 80B¹¹, 32Q¹³, 80BD¹⁷, 24P¹⁵, 24J¹³, 32D³, 56E¹⁰, 96E²⁰, 176B²², 80O¹⁷, 96AK²³, 72E²⁰, 24D⁴, 36C¹⁹, 80C¹⁹, 96AL²¹, 104H²³, 12I³, 120A¹⁵, 80AF¹⁷, 144C²³, 96J²⁰, 24G²¹, 72H¹⁷, 52E¹¹, 60D¹³, 72N¹², 40F¹⁷, 16L⁹, 48C²³, 48H¹³, 24Z⁵, 96J¹⁵, 16D¹, 172A²¹, 48AB⁹, 80Q¹⁷, 16F¹, 32L⁷, 32J²¹, 40N¹⁵, 48T¹⁹, 48AA¹¹, 60D¹⁶, 168A²¹, 12B¹³, 72E¹⁷, 48BQ¹⁷, 80B¹⁸, 32I¹³, 96T¹⁹, 48J⁶, 24T⁹, 56R²³, 40G³, 72I²², 16B¹⁹, 84F¹⁶, 48M⁹, 16P³, 24O⁹, 96D²⁰, 40E⁸, 48D¹⁶, 64K¹³, 80C²¹, 24AO¹⁷, 20B²¹, 72P¹⁵, 48AD²¹, 48E⁵, 36E⁶, 24AF⁷, 32G²¹, 32H¹¹, 48L¹⁵, 48BW²¹, 40U¹⁵, 168A¹⁷, 32K⁹, 40R¹⁵, 48A¹¹, 112H²³, 64G²¹, 48BH²¹, 48AY¹⁹, 32B²⁴, 112B²⁴, 44B²⁰, 48BH¹⁷, 56B⁵, 56D²⁴, 56J²⁴, 24V¹³, 48BG¹⁹, 56A¹⁰, 24B¹⁹, 160G²¹, 48AW¹⁹, 84J²², 12A¹³, 96I⁹, 48X¹⁵, 100N¹⁹, 16K¹, 132A¹⁷, 40F²², 48BU²¹, 60R²³, 16A¹⁹, 40F⁹, 64A²¹, 64E²¹, 64B²², 96BD²¹, 48Y⁹, 48L⁹, 48BZ¹⁷, 96AL¹⁹, 72C¹⁰, 72G¹⁷, 192F²¹, 24E¹⁵, 24AC¹³, 64P²¹, 40F¹³, 48H¹⁹, 160I¹⁷, 24X⁵, 16G⁰, 48M¹¹, 24P⁴, 48R⁸, 32F⁹, 32N⁵, 48G²⁰, 40V¹⁵, 80K¹⁷, 120B¹¹, 80K¹⁹, 56B⁹, 28I⁶, 8K⁰, 96AC²⁰, 20T³, 48Y²¹, 32E¹³, 72O¹⁶, 96AA²⁰, 72C¹⁴, 24L⁷, 32B¹, 48AC⁸, 168B²², 48K¹⁵, 96I²⁰, 48J¹¹, 96H¹³, 64V¹³, 56G²¹, 144Y²³, 48H⁵, 48BT¹⁹, 40D⁹, 12P¹, 72H¹⁵, 40F²³, 72AA²¹, 56F¹⁶, 48AJ²¹, 80T²¹, 64J¹⁵, 100Q¹⁹, 160M¹⁹, 40AH¹⁵, 40AI¹⁷, 24Q³, 32L⁵, 96I²³, 72I²¹, 80S¹⁹, 48D¹⁷, 24AH⁷, 8L⁰, 32J¹³, 108E²¹, 96D¹⁷, 36B¹⁹, 96P¹⁷, 96C¹⁷, 80M¹⁷, 48BN²¹, 32A¹⁸, 144D¹³, 16M¹, 160F¹⁹, 96AF¹⁷, 80E²², 96G¹⁸, 80J¹⁹, 24N², 84A²¹, 48AS²¹, 16C³, 112J²⁴, 12D⁵, 56I²³, 80B¹⁷, 96F²³, 96G¹⁷, 112O²⁴, 16C²¹, 104C²³, 60Y¹³, 96C²², 16A⁵, 36K¹¹, 60G²³, 48CQ²¹, 36C²³, 80AR¹⁷, 36I⁵, 32C⁹, 72P¹³, 96AG²¹, 88A²¹, 24M⁸, 40H¹⁵, 24F¹¹, 48V¹⁵, 16B¹⁷, 96T¹⁵, 16F⁹, 160N²¹, 20K⁵, 24S³, 48CO²¹, 24B⁶, 184B²³, 168E¹⁸, 160C¹⁷, 72G²¹, 48R¹⁷, 40Z¹⁷, 96E²³, 48BL¹⁷, 84I²², 84C¹⁴, 36O⁹, 80AE²¹, 24J¹⁷, 72M¹⁷, 48AD⁷, 28A¹⁰, 28C², 48BC¹⁷, 80H⁹, 48BH¹⁹, 48C⁸, 56D¹², 24C⁹, 48G¹⁸, 56K²¹, 96U¹⁵, 48BF¹⁷, 40A⁴, 112D¹⁴, 40T⁷, 24X⁷, 24E²¹, 16E⁷, 48CB²¹, 192J²¹, 40C⁴, 72D¹⁷, 80I⁷, 96AP²¹, 60O¹³, 24AR¹⁷, 96G²³, 48AV¹⁷, 24S¹⁵, 120L¹⁹, 80N²¹, 48BD¹⁷, 16C², 8A³, 44C⁴, 72E⁴, 96Y²⁰, 16B⁵, 80L¹⁵, 16L³, 104C²¹, 96L¹⁵, 48BE¹⁷, 224A¹⁹, 72M¹⁵, 72A¹¹, 48BU¹⁷, 96H¹⁹, 96H²¹, 24AI⁷, 12T¹, 112H²⁴, 48BM¹⁷, 16M⁵, 48BJ¹⁹, 24F⁶, 36M¹⁵, 24AD⁹, 48B²⁰, 24D²¹, 24U³, 16B², 48J¹⁷, 160M²¹, 16B¹³, 24H⁵, 64L¹³, 48F²¹, 160P²¹, 32N⁹, 48E⁹, 112Y²⁴, 48K¹⁷, 8B⁰, 200B²¹, 24Y⁵, 48BD²¹, 208A²³, 24H⁴, 16F²¹, 28F⁹, 56G¹³, 96W¹⁹, 96B²³, 48CN²¹, 72B¹⁴, 80C¹¹, 48F⁸, 24F²¹, 32F⁶, 96B⁹, 24AG⁹, 88B¹¹, 112K²³, 24I³, 80J⁷, 96D⁸, 48B¹⁶, 72B¹⁷, 72M¹¹, 96AM²¹, 56C¹⁰, 20A¹⁰, 28E⁵, 20D¹⁹, 40X¹⁵, 24B¹⁵, 40E²², 64H⁹, 40N¹³, 48P¹⁸, 48F⁵, 24H⁹, 36I¹³, 48BC¹⁹, 48H⁴, 24AB⁵, 48S¹⁵, 72M¹³, 96AN¹⁹, 80H²¹, 104Q²³, 60P¹⁷, 48Q¹¹, 48AB¹⁹, 48G⁸, 48F³, 32B⁶, 144G²³, 24AK⁹, 64K¹⁵, 48P¹³, 36J¹⁰, 48BE¹⁹, 40A⁸, 64A¹⁵, 32B⁴, 48AH²¹, 48U¹⁷, 160A²⁰, 40P¹⁵, 24AJ⁹, 136A¹⁵, 144B¹⁵, 96S²⁰, 40M¹⁷, 80Q²¹, 56I²⁴, 40S¹³, 96B²², 28E²¹, 36N¹⁵, 40A²⁰, 32K¹¹, 80L¹⁷, 56B¹⁰, 24V⁷, 40K¹¹, 68B¹⁵, 48BC²¹, 72B²⁰, 32G¹³, 96AA²³, 48B²³, 36Q⁹, 8I¹, 48BJ¹⁷, 24Z⁹, 12G², 12K³, 48Q²¹, 56H¹³, 64D¹⁷, 112H¹², 96AL²³, 24E¹⁶, 96Z²³, 72A²⁰, 80AE¹⁹, 64C²¹, 72B¹⁶, 56P²³, 56B¹⁹, 48BB¹⁷, 160B²⁰, 44B¹⁹, 56E¹³, 72H¹², 32R²¹, 120B¹³, 80BC¹⁷, 56F²², 48M²¹, 40O⁹, 48D¹³, 48U⁹, 96AM¹⁹, 112A²¹, 8B¹, 24J⁶, 40E²³, 48AB⁷, 144J²¹, 112D¹⁵, 24AL⁷, 32B²², 160H¹⁷, 96D¹², 72I¹⁵, 48K²¹, 24C¹⁹, 96G²⁰, 24M², 24T⁵, 36T¹³, 176C²², 48T¹⁷, 32B¹⁰, 96O²⁰, 32H⁶, 16J⁵, 48D¹⁸, 88C¹⁰, 48AA¹³, 40Q⁷, 32K⁵, 80AM¹⁷, 96AD²¹, 48L²¹, 144F¹⁶, 96J⁹, 24C¹⁵, 112N²⁴, 144B²⁰, 48T⁷, 56Q¹¹, 80AD²¹, 160J²¹, 80AB¹⁷, 48I¹⁰, 40A¹², 48G⁷, 16Q³, 48O¹³, 48CA²¹, 60X²¹, 48AT¹⁷, 72Q¹⁶, 48CG¹⁷, 48E¹⁶, 104J²³, 72R¹¹, 24G¹⁷, 36B⁸, 176A¹⁹, 208H²³, 48AH¹⁹, 96X²⁰, 32F²¹, 144E¹³, 80C¹⁸, 56Q²³, 80BA¹⁷, 8O⁰, 48I²⁰, 80AD¹⁹, 72I¹⁷, 12B⁵, 144E²³, 80O²¹, 24B²¹, 16S³, 72A¹⁶, 28G⁶, 32F³, 32D¹⁷, 68D¹³, 24V⁵, 144L²³, 64A¹⁴, 112N²³, 48G¹³, 16D¹¹, 48N¹³, 56C¹¹, 80R²¹, 120K¹⁹, 112O²³, 8K¹, 80A¹⁹, 48AO¹⁹, 16G⁵, 96AT¹⁹, 80Y¹⁹, 24N¹⁹, 48T²¹, 32K³, 112E¹⁵, 32O¹³, 16K², 168E²³, 16L¹, 144L²¹, 52B⁹, 40C²³, 24Y⁷, 80N¹⁵, 20A¹⁹, 84C²¹, 28B¹², 36B², 24A⁵, 32Y²¹, 40P⁷, 48L¹⁸, 48CA¹⁷, 72L¹⁵, 192I²¹, 24H⁸, 112R²⁴, 56E¹², 72J¹⁴, 72E¹⁴, 84A¹⁶, 144D²³, 56F¹⁵, 168F¹⁸, 24W¹⁷, 96H²⁰, 32B¹⁷, 48BO¹⁹, 72D²⁰, 48X²¹, 40AC¹⁷, 32K²¹, 96E¹⁷, 40Q¹⁵, 48F¹⁸, 80D⁷, 28H¹⁶, 48V¹¹, 32B¹², 24R⁴, 48AM²¹, 80Y²¹, 64K⁷, 160D²³, 24Z¹³, 60B¹³, 96U¹⁷, 48K¹⁸, 40AB¹⁷, 24S¹³, 16B⁶, 80J²¹, 48Z⁸, 24AQ¹⁷, 32D¹¹, 16J³, 112Z²⁴, 24A⁰, 24D¹⁶, 112J²³, 48CL¹⁷, 28F¹⁵, 72F²⁰, 40AG¹⁵, 96T²⁰, 40AT¹⁷, 48H¹⁷, 48AW¹⁷, 12V¹, 84I¹⁶, 72A²², 72A⁵, 24S¹⁹, 20E¹⁵, 44D¹⁷, 16H³, 40F⁸, 36C⁹, 160B¹⁷, 16F², 40R⁷, 96AD¹⁷, 144J¹⁹, 120D¹⁸, 76A⁹, 48BF¹⁹, 48AG²¹, 196A²¹, 80A¹⁷, 24G⁴, 64N¹³, 48AO²¹, 104I²³, 48G³, 40I⁷, 40AL¹⁷, 64G¹⁴, 80E¹⁵, 32M⁵, 56B⁷, 56A¹⁹, 168F¹⁶, 48BI²¹, 64A²³, 20F⁵, 48BP¹⁹, 28C²³, 64D¹³, 96I¹⁵, 40H³, 20B⁹, 48T⁸, 128A¹⁹, 96E⁹, 72I¹², 48AE¹³, 80G¹⁹, 12D³, 48V¹⁹, 28I²¹, 24C⁵, 16A¹⁵, 144F¹³, 48L¹⁷, 56V²³, 48R¹⁸, 40L⁷, 48AK¹⁹, 56C⁵, 84C¹³, 16I¹, 48N¹⁷, 36H¹³, 72B¹⁹, 64F¹⁵, 24E⁵, 80A¹⁰, 64P¹³, 40S⁷, 112M²⁴, 160T²¹, 48J¹⁹, 48BP¹⁷, 56F¹¹, 60I²³, 128F²¹, 24E¹⁷, 72T¹⁷, 80AS¹⁷, 16N⁵, 16D³, 24H¹¹, 56C²², 40AF¹⁷, 96M²³, 48D²³, 24P⁸, 96E⁸, 40H¹⁹, 40AA⁷, 24AL¹⁷, 144A²⁰, 12H⁰, 16E⁵, 28D¹⁷, 40R¹³, 80M²¹, 56H²¹, 168E¹⁶, 80G¹⁷, 40J¹⁷, 48T¹¹, 40X¹⁷, 24L¹⁵, 96AU²¹, 48CE¹⁷, 120G¹⁵, 48AE²¹, 24R⁷, 48CF²¹, 104B¹³, 96W¹⁵, 48BS²¹, 32U¹³, 8A¹, 48BW¹⁷, 48M¹⁷, 64B¹⁸, 60B⁶, 48I¹⁹, 16I³, 36J¹³, 88B¹⁸, 48AQ¹⁷, 112U²⁴, 112F¹¹, 80N¹⁷, 16E⁹, 40F¹⁹, 56F²³, 16B⁷, 32D⁹, 4G⁰, 36A⁵, 40D²⁴, 148B¹⁷, 16A¹⁰, 52C²³, 84D²¹, 24N⁴, 36A²³, 40Q¹³, 48BO¹⁷, 48CC¹⁷, 32F⁵, 120A¹¹, 48AD¹⁹, 36E²¹, 24U¹⁷, 72J²¹, 44C¹⁰, 40O¹⁷, 40C¹⁵, 96Q¹⁷, 16A⁶, 24C³, 96A¹⁶, 72D¹¹, 64A¹⁷, 56A¹³, 48AF¹³, 48A¹³, 60L¹¹, 84N²², 48AZ¹⁷, 96AH²³, 24L¹⁹, 96AD²³, 56E⁶, 72A²⁴, 24AF⁹, 48B⁷, 96AI²¹, 80AA²¹, 24AH⁹, 32A⁴, 48S¹⁹, 24Z¹⁷, 96X¹⁷, 48AH⁹, 48AE¹⁷, 184A²³, 120F¹³, 24P¹⁷, 24K¹⁹, 48A²³, 96J¹¹, 96N¹⁷, 64L¹⁵, 32H²³, 48AC²¹, 144B¹², 96K²⁰, 24H¹⁹, 36D¹³, 48C⁴, 24J³, 64B¹⁵, 32E²³, 24C⁸, 48E³, 32E²¹, 48N¹⁸, 48AS¹⁷, 40R⁹, 24O⁴, 84D¹⁴, 144C¹³, 32D¹⁹, 96F⁹, 48AQ²¹, 20E¹³, 48CC²¹, 40X⁷, 72Q¹⁷, 76C¹⁸, 96C¹⁵, 44B⁹, 12A¹¹, 96F¹⁰, 80W²¹, 24Q⁹, 96N²³, 44A¹⁹, 100A²¹, 36N¹¹, 80D⁸, 40I¹³, 48BL¹⁹, 20M⁷, 40A²⁴, 48I⁶, 24Z⁷, 16M³, 48U⁸, 56C¹⁶, 48AL¹⁷, 32I³, 60Z¹³, 24L², 40O¹⁵, 20I¹, 48AB¹³, 72J¹², 56B⁴, 80AA¹⁷, 88G¹⁹, 96AG²³, 48S⁸, 12A⁴, 80A¹⁸, 56G¹⁵, 48A²¹, 24B¹¹, 64D¹⁴, 48J²¹, 112B⁸, 140C²¹, 24K¹⁷, 36A¹⁷, 16I⁹, 80P⁹, 48AA²¹, 72A¹⁹, 8N⁰, 48F¹⁵, 32H⁹, 88C¹⁹, 96BF²¹, 48K⁹, 20G³, 48Y¹⁵, 16L², 36K¹⁰, 36K¹³, 84L²², 20C⁸, 24O¹⁵, 120E¹³, 80E²¹, 112M²³, 32B⁹, 64C¹⁵, 48CJ²¹, 48W¹⁵, 88E²⁰, 32K¹³, 32A⁷, 32E⁵, 96B¹⁷, 48J¹³, 72D²¹, 16A³, 80A²⁴, 24M⁹, 48S²¹, 48AE⁸, 32Q³, 160L¹⁷, 36U¹³, 28H¹⁵, 100I⁹, 24N³, 24G¹¹, 72J¹⁷, 56L¹³, 72D⁷, 176H²³, 16H¹, 40G¹⁷, 84H¹⁷, 56F²⁴, 24P⁷, 36L⁵, 88A²⁰, 168G¹⁶, 48J⁹, 24N¹⁷, 24O¹⁷, 144D¹⁸, 36B¹⁶, 48B¹⁹, 112A¹⁰, 12C⁷, 20F⁹, 120B¹², 40M¹³, 24T¹⁵, 24O², 64C⁹, 72F²¹, 20D⁷, 24AA³, 80AA¹⁹, 108B¹⁷, 48AN¹⁹, 24F⁵, 68D⁷, 24AI¹⁷, 24L¹⁷, 120B²¹, 36B²², 48AL⁷, 96AB²⁰, 48X⁹, 60M⁹, 32Q⁹, 40P¹⁷, 144A⁸, 48N⁸, 80AU¹⁷, 80L²¹, 80X²¹, 32I¹¹, 48Z²¹, 24A¹⁹, 96A²⁰, 48BN¹⁷, 96Q²⁰, 8D⁰, 20B², 112I²³, 48I¹⁸, 144I¹⁹, 80F¹⁹, 40H¹³, 24A¹¹, 12J³, 48D⁷, 72L¹⁹, 32B², 56E²², 72N¹⁵, 48BA¹⁹, 32M¹³, 16A⁹, 24K⁸, 48J¹⁸, 48AC¹⁵, 36A¹⁶, 24C¹, 52B⁵, 96K⁹, 20L³, 36C²¹, 48G¹¹, 8B³, 24I¹¹, 48O¹¹, 100B²³, 40A²², 120A¹³, 40B²², 72N¹⁹, 48C²¹, 40AC¹⁵, 12B⁷, 56R¹¹, 24U¹⁵, 48AY¹⁷, 32I⁵, 84B⁶, 48R⁹, 96D²², 48G¹⁵, 192K²¹, 104A¹¹, 40V¹⁷, 48L¹⁹, 84I¹⁵, 80L¹⁹, 48BB²¹, 48N⁷, 96H¹⁵, 48X¹³, 160J¹⁷, 96C⁹, 40K¹⁷, 48C¹⁰, 112C¹⁴, 80AK¹⁷, 104A¹³, 168D²³, 96Y²¹, 72K¹³, 48AY²¹, 48D¹⁰, 112V²⁴, 48CK¹⁷, 48CG²¹, 36E¹⁶, 48M¹⁵, 80F¹⁷, 20D¹¹, 96F²⁰, 56H¹⁵, 8P⁰, 96C²⁰, 24AD⁷, 96F¹⁵, 152B¹⁸, 48AL¹⁹, 24S⁹, 104B¹¹, 48BK²¹, 56A¹⁴, 112L²³, 24G⁸, 88E²¹, 24L⁸, 96E¹⁹, 32D⁷, 48BI¹⁷, 96D¹⁰, 24A³, 24D⁶, 40E¹⁷, 32B¹⁸, 64F²¹, 80Z²¹, 48BO²¹, 48K⁶, 24F¹⁷, 32I²¹, 48A¹⁹, 40N⁷, 48T¹⁸, 40T¹⁷, 36F⁶, 48BP²¹, 48B¹¹, 72U¹⁷, 72N¹⁷, 40C¹⁹, 96T²³, 56B²⁴, 100E¹⁷, 112A²⁴, 48F⁷, 56K¹³, 120C¹³, 40W¹⁷, 80A⁸, 16D², 144A¹⁴, 96BA²¹, 40M²², 168B²³, 56W²³, 60P¹³, 104D²³, 48BA¹⁷, 80AQ¹⁷, 96C⁸, 36E¹², 32E³, 24N⁹, 32T²¹, 64A¹⁹, 112C¹⁵, 144D²¹, 48AU¹⁹, 20L⁷, 32M²¹, 96AG²⁰, 12M¹, 24AJ¹⁷, 80AB²¹, 144C²¹, 72B⁹, 12E⁵, 32C¹³, 112D²³, 48H¹⁰, 20G⁷, 48A²⁰, 208B²³, 56I¹³, 24A¹⁵, 80O¹⁹, 32E⁹, 72X¹⁵, 88A¹⁸, 32D⁶, 96J¹⁹, 8A⁵, 240B²⁴, 48AL²¹, 144A²², 96AW²¹, 64A¹⁸, 40C¹⁰, 24O⁸, 56C²⁴, 96B¹⁵, 52C²¹, 40J²³, 28C³, 32Q²¹, 80F¹⁵, 80C⁷, 24G⁹, 24C², 52D²³, 56G²³, 64B²¹, 72H⁹, 52D²¹, 160H¹⁹, 200A²³, 48M⁷, 36A¹⁴, 24I⁷, 52D¹¹, 24D⁸, 48K¹³, 80Q¹⁹, 28B⁵, 56E¹⁵, 68E¹⁵, 32E¹⁷, 64A¹³, 96F⁸, 48AJ¹⁹, 56D²¹, 84G²¹, 24X⁹, 48AR²¹, 40J¹⁵, 24Q⁷, 40AB⁷, 12C⁰, 24AC⁷, 72A⁹, 32J⁵, 20I⁵, 56J²³, 20E¹¹, 192H²¹, 88G²¹, 144O²³, 168C²³, 56N²¹, 48S⁹, 48BF²¹, 24J⁸, 72R¹³, 80A¹¹, 80M¹⁹, 48Q¹⁷, 24H¹, 24P⁹, 80T¹⁷, 160K²¹, 112A¹⁹, 96AF²¹, 48B²², 84J¹⁶, 72Y¹⁵, 48C²⁰, 96AE²³, 96Z¹⁷, 48CI²¹, 16G⁹, 48E⁷, 36B¹⁴, 96BB¹⁹, 32G²³, 132A²¹, 72M¹², 48A², 40A¹⁷, 160D¹⁷, 12I², 64G⁹, 80BF¹⁷, 48AF⁸, 36A¹⁵, 24A²¹, 80X¹⁹, 40I²¹, 72D¹⁴, 8F¹, 56A⁶, 48AJ¹⁷, 24F¹⁵, 20A¹³, 48U²¹, 96X²³, 88F²¹, 48AU²¹, 64B²³, 48D¹¹, 112G¹², 48C²², 96AZ²¹, 36C¹², 88C¹¹, 32W²¹, 24B¹⁰, 96G¹⁵, 48AB¹¹, 24S⁷, 80Z¹⁹, 28C¹⁴, 96O¹⁷, 24W⁷, 20F³, 72V¹³, 36A²⁰, 48A⁹, 28E¹¹, 12D⁷, 32L²¹, 96K¹¹, 16B⁹, 100E¹³, 72G¹³, 16C¹¹, 72G¹², 48N¹⁹, 48AF⁷, 108A¹⁵, 24F⁹, 48AD⁹, 36K¹⁵, 96AC²¹, 48AC⁷, 48A¹⁴, 24I⁸, 108A¹⁷, 88B⁸, 40C³, 16E⁰, 24Q¹⁵, 72J²³, 56C¹⁹, 40C¹⁸, 96A²³, 24T¹³, 40C²², 96AH²¹, 40AD¹⁵, 96Q²³, 16B¹, 28D²¹, 144C¹⁵, 80R¹⁹, 48AG¹⁹, 48F¹³, 48I¹⁵, 120B¹⁴, 96U¹⁹, 96AG¹⁹, 28F¹³, 60Q¹⁷, 60F¹⁴, 48C¹⁹, 48G¹⁶, 24C²¹, 56K¹², 16C⁵, 48Z⁹, 24Q², 80AL¹⁷, 40AE¹⁷, 24P³, 48AO¹⁷, 56B¹⁷, 64C¹³, 32C¹², 88D²⁰, 80W¹⁷, 96AK²¹, 64H¹⁴, 176F²³, 24A¹⁷, 44A⁹, 168A¹⁵, 156B¹⁷, 16I², 152B¹⁹, 120J¹³, 40B¹⁷, 48AD¹³, 96AP¹⁹, 160A²³, 72C⁶, 48F¹⁶, 104F¹¹, 72K²³, 32C¹⁹, 80AC¹⁷, 24W¹³, 80D²¹, 40AG¹⁷, 96M²⁰, 48BY²¹, 48CN¹⁷, 32B⁷, 24P¹³, 80B⁹, 48S¹¹, 80J¹⁷</t>
        </is>
      </c>
    </row>
    <row r="13">
      <c r="A13">
        <f>HYPERLINK("https://mathstats.uncg.edu/sites/pauli/congruence/csg0.html#group4D0", "4D⁰")</f>
        <v/>
      </c>
      <c r="B13" t="n">
        <v>0</v>
      </c>
      <c r="C13" t="inlineStr"/>
      <c r="D13" t="inlineStr">
        <is>
          <t>8</t>
        </is>
      </c>
      <c r="E13" t="inlineStr">
        <is>
          <t>1</t>
        </is>
      </c>
      <c r="F13" t="inlineStr">
        <is>
          <t>4</t>
        </is>
      </c>
      <c r="G13" t="inlineStr">
        <is>
          <t>0</t>
        </is>
      </c>
      <c r="H13" t="inlineStr">
        <is>
          <t>2</t>
        </is>
      </c>
      <c r="I13" t="inlineStr">
        <is>
          <t>4²</t>
        </is>
      </c>
      <c r="J13" t="n">
        <v>2</v>
      </c>
      <c r="K13" t="inlineStr">
        <is>
          <t>2²</t>
        </is>
      </c>
      <c r="L13" t="inlineStr">
        <is>
          <t>2A⁰, 4A⁰</t>
        </is>
      </c>
      <c r="M13" t="inlineStr">
        <is>
          <t>4G⁰, 8E⁰, 8E¹, 12E¹, 12I¹, 12A², 20D², 20C³, 28E³, 28A⁴, 20A⁵, 44A⁶, 44A⁷, 52B⁷, 68B¹¹, 76A¹¹, 36C¹⁴, 92A¹⁵, 116C¹⁹, 124A¹⁹, 148B²³</t>
        </is>
      </c>
      <c r="N13" t="inlineStr">
        <is>
          <t>2A⁰, 1A⁰, 4A⁰</t>
        </is>
      </c>
      <c r="O13" t="inlineStr">
        <is>
          <t>16A¹¹, 24A⁶, 140C²³, 40X¹⁷, 24E¹³, 84A¹⁴, 112A¹⁶, 12A⁵, 72K¹¹, 176A²⁴, 120C²³, 48A¹⁵, 60B²³, 72C²³, 80A¹⁵, 48CF²¹, 36F¹⁶, 52A¹³, 32A¹¹, 24AC⁹, 36J¹⁹, 72B²⁴, 100K¹⁹, 24AO¹⁷, 24F¹³, 120A²⁰, 24AF⁷, 36H¹¹, 24A⁸, 144V²³, 32C²¹, 48B¹⁸, 24AG⁷, 108A¹⁹, 24D¹¹, 24C⁶, 16I³, 120E²³, 24F³, 40U¹⁵, 48CD²¹, 92A¹⁵, 44A²⁰, 72D¹⁵, 16F⁰, 12K³, 24G¹⁹, 48Q²¹, 136A²³, 20D⁵, 16E⁹, 24A¹⁰, 16D⁹, 32B¹³, 20F¹⁵, 36B⁷, 64F²¹, 24H¹³, 16B⁷, 72L¹¹, 4G⁰, 56P²³, 40A¹⁹, 24F¹⁷, 24B¹⁹, 48A¹⁹, 44A¹³, 28G⁹, 52C²³, 12D⁴, 12A¹³, 48C¹⁵, 100L¹⁹, 56B²⁴, 24B⁴, 36A¹⁹, 108C¹⁹, 108D¹⁷, 116C¹⁹, 120D²³, 140A²², 12E¹, 20C³, 36G¹⁷, 24A¹³, 60F¹¹, 16A⁶, 120E¹⁸, 24A²⁴, 120A¹⁶, 24C¹⁹, 88A¹², 36T¹³, 132A²², 84Q¹⁷, 24Q⁵, 40A¹⁴, 28K²¹, 64A¹⁹, 24AF⁹, 48B⁸, 124A¹⁹, 88B¹⁵, 60E¹⁸, 72J¹¹, 40V¹⁵, 48L²¹, 28M²¹, 8J¹, 12E⁵, 32C¹³, 68B²¹, 24AP¹⁷, 72M²¹, 72B¹⁵, 36A²¹, 28A⁴, 120F²³, 36F¹⁹, 36D¹⁷, 144B²⁴, 60G¹⁹, 24A¹⁵, 32F¹³, 36M⁹, 36C¹⁷, 20A¹⁷, 16C⁹, 108E¹⁷, 72A²³, 112L¹⁵, 20D¹⁵, 24G¹⁷, 12C³, 8E⁰, 24H¹⁹, 72I¹¹, 8A⁵, 36D¹⁶, 32F²¹, 40A⁷, 28E¹⁷, 24H²¹, 108C²¹, 24C⁸, 24R¹⁷, 32E²¹, 24C¹¹, 72A¹², 36I¹⁹, 72E²³, 60D⁹, 68B¹¹, 60E¹⁹, 24AT¹⁷, 20E¹³, 24B²¹, 52B⁷, 24D¹³, 36B¹³, 32B²¹, 36B¹⁹, 144A²⁴, 44A¹⁹, 20K⁷, 32T¹³, 48B¹⁵, 60F²¹, 64D²¹, 36J⁹, 52E²¹, 40B²¹, 12I¹, 36F¹¹, 56F⁷, 36B⁶, 8K¹, 28B²³, 76A¹¹, 24B¹³, 56A⁸, 72N²¹, 40U¹⁷, 80C²³, 72C¹⁵, 20A⁵, 24E¹¹, 20B⁸, 36F¹⁷, 16C²¹, 152B²³, 32E¹⁷, 36H¹⁹, 36E¹⁹, 16A⁵, 48D¹⁹, 108B¹⁹, 60J¹¹, 40B¹⁹, 24I¹³, 24D¹⁹, 16E²¹, 72A¹³, 132A²⁰, 76A²¹, 36B²¹, 28B¹², 84B¹⁴, 40C²¹, 36A⁶, 60M¹³, 16B¹⁷, 44A⁶, 12A⁴, 120B²³, 56T²³, 24B¹¹, 16O⁵, 132E²³, 72C¹², 16K⁵, 28G¹¹, 36E¹¹, 36F⁵, 24W¹⁷, 40B¹¹, 8N⁰, 36C¹⁴, 72A¹⁵, 48BO¹⁹, 16A⁷, 72Y²¹, 48B²², 24J¹⁷, 136B²³, 108A²², 108A²¹, 48U¹³, 40D¹⁸, 40A¹⁶, 100C¹⁵, 100J¹⁹, 40A¹⁷, 28A⁷, 32B⁹, 24C⁹, 48G¹⁸, 32A¹³, 84E¹³, 132C²³, 56C¹⁷, 152A²³, 48A⁸, 24E²¹, 32A²¹, 24A²¹, 28A¹², 28I⁵, 48CB²¹, 8F¹, 16A¹⁷, 36A⁷, 20E⁹, 60A¹⁰, 20D², 12A², 16B²¹, 24B¹⁰, 120K²³, 72B¹², 48G¹⁹, 120L²³, 8A³, 84I¹³, 80E⁸, 24A⁴, 24S¹⁹, 24G³, 72B²³, 24AN¹⁷, 40A²¹, 16H³, 56A¹⁵, 56G⁷, 8A², 28E¹¹, 16B⁵, 16B⁹, 48B¹⁹, 40B⁷, 56B⁸, 120D¹⁶, 36N⁹, 16C¹³, 40C¹³, 40A¹¹, 60O²¹, 40B¹³, 60E¹¹, 16M⁵, 36H¹⁷, 40A²³, 28E³, 8E¹, 36O⁴, 36G⁵, 56A¹⁷, 24D²¹, 48A²², 60T²¹, 20A⁹, 72G²³, 56S²³, 16B¹³, 48BP¹⁹, 24I¹⁹, 28C²³, 24G¹³, 36D¹¹, 60M²¹, 12R¹, 48I⁴, 48F²¹, 40E¹³, 112B¹⁶, 20A⁶, 48CE²¹, 56N¹³, 24A¹⁹, 48K⁷, 16A¹³, 16D²¹, 112K¹⁵, 32A⁹, 120A²³, 24E², 40C¹¹, 28A¹⁵, 36G¹⁹, 24A¹¹, 60B⁸, 80B¹⁵, 20A²², 80A²³, 16A⁹, 36A¹⁶, 72D²³, 108D²¹, 72B¹³, 24C²¹, 24G²¹, 24J¹¹, 40A¹⁸, 8B³, 40D⁴, 24F²¹, 72Z²¹, 80C¹⁵, 12F⁷, 16A²¹, 84C¹⁷, 104B¹⁵, 56O²³, 24AB¹³, 32A¹⁷, 24F¹⁹, 60H²¹, 12A⁹, 84C¹⁵, 72H²³, 48L⁷, 24C⁷, 100I¹⁹, 36E¹⁷, 84A¹³, 72C¹³, 24B¹⁵, 40B¹⁸, 24E¹⁹, 12B⁷, 108B²¹, 32L⁷, 72D¹³, 24H⁹, 28N²¹, 24B¹⁷, 120B²⁰, 36A¹³, 88A¹⁵, 16I², 108A²³, 24A⁷, 56A²⁴, 28D²³, 104A¹⁵, 24E⁷, 80B²³, 60F⁸, 108A²⁰, 144C²⁴, 144U²³, 48E²¹, 36M⁷, 20A⁸, 52F²³, 148B²³, 44A⁷, 32A¹⁹, 32S¹³, 32D²¹, 24B⁷</t>
        </is>
      </c>
    </row>
    <row r="14">
      <c r="A14">
        <f>HYPERLINK("https://mathstats.uncg.edu/sites/pauli/congruence/csg0.html#group4E0", "4E⁰")</f>
        <v/>
      </c>
      <c r="B14" t="n">
        <v>0</v>
      </c>
      <c r="C14" t="inlineStr">
        <is>
          <t>Γ₀(4)∩Γ(2)</t>
        </is>
      </c>
      <c r="D14" t="inlineStr">
        <is>
          <t>12</t>
        </is>
      </c>
      <c r="E14" t="inlineStr">
        <is>
          <t>1</t>
        </is>
      </c>
      <c r="F14" t="inlineStr">
        <is>
          <t>3</t>
        </is>
      </c>
      <c r="G14" t="inlineStr">
        <is>
          <t>0</t>
        </is>
      </c>
      <c r="H14" t="inlineStr">
        <is>
          <t>0</t>
        </is>
      </c>
      <c r="I14" t="inlineStr">
        <is>
          <t>2², 4²</t>
        </is>
      </c>
      <c r="J14" t="n">
        <v>4</v>
      </c>
      <c r="K14" t="inlineStr">
        <is>
          <t>1³</t>
        </is>
      </c>
      <c r="L14" t="inlineStr">
        <is>
          <t>2C⁰, 4B⁰, 4C⁰</t>
        </is>
      </c>
      <c r="M14" t="inlineStr">
        <is>
          <t>4G⁰, 8G⁰, 8J⁰, 8B¹, 12P¹, 12B², 20J³, 20A⁴, 28E⁵, 28C⁶, 20C⁷, 44B⁹, 44A¹⁰, 52D¹¹, 68D¹⁵, 76A¹⁷, 92A²¹, 36B²²</t>
        </is>
      </c>
      <c r="N14" t="inlineStr">
        <is>
          <t>2A⁰, 2B⁰, 4B⁰, 1A⁰, 2C⁰, 4C⁰</t>
        </is>
      </c>
      <c r="O14" t="inlineStr">
        <is>
          <t>40R¹³, 16A¹¹, 96A¹⁸, 40X¹⁷, 12G³, 56H¹², 56G²⁴, 48CF²¹, 80C²¹, 20J³, 24AC⁹, 48BS²¹, 32U¹³, 24AO¹⁷, 48I¹¹, 24AF⁷, 28F¹¹, 32G²¹, 96E²¹, 32C²¹, 48I¹⁹, 32C⁷, 16I³, 72B²¹, 40U¹⁵, 48CD²¹, 24I¹⁵, 48A¹¹, 40M⁷, 44A²⁰, 28C¹², 112B²⁴, 36D¹⁹, 24G¹⁹, 16E⁹, 24A¹⁰, 16D⁹, 72I¹⁶, 56D²⁴, 56F²³, 16B⁷, 32D⁹, 4G⁰, 40A¹⁹, 24B¹⁹, 48P¹⁹, 48AW¹⁹, 52C²³, 12A¹³, 24N⁴, 72H¹⁶, 24D¹⁵, 36A¹⁹, 40Q¹³, 48BR²¹, 36E²¹, 24U¹⁷, 80P²¹, 96C¹⁸, 64A²¹, 40AB¹⁵, 64E²¹, 40C¹⁵, 16A⁶, 96BD²¹, 40J¹³, 48N²¹, 64A¹⁷, 48A¹³, 24E¹⁵, 24AC¹³, 64A¹¹, 48H¹⁹, 24AF⁹, 16G⁰, 48M¹¹, 32N⁵, 12B², 24AH⁹, 40V¹⁵, 36B¹⁷, 24Z¹⁷, 48AH⁹, 24AP¹⁷, 48Y²¹, 32E¹³, 24P¹⁷, 24K¹⁹, 48CK²¹, 48AK⁹, 96A¹⁹, 48K¹⁵, 16C⁹, 64V¹³, 40C¹⁷, 48BT¹⁹, 24H¹⁹, 32H²¹, 28C¹¹, 12P¹, 24J¹⁵, 64B¹⁵, 32H¹³, 24C⁸, 48AJ²¹, 24R¹⁷, 32E²¹, 24Y¹⁷, 100Q¹⁹, 96B¹⁹, 96I²³, 20E¹³, 48CC²¹, 40X⁷, 48D¹⁷, 24AH⁷, 32B¹¹, 108E²¹, 36B¹⁹, 44B⁹, 44A¹⁹, 20K⁷, 36N¹¹, 16M¹, 24V¹⁷, 48B¹³, 84A²¹, 104B²³, 56B¹², 56L¹¹, 40U¹⁷, 72D¹⁹, 96F²³, 56A²³, 16C²¹, 104C²³, 24I⁵, 40O¹⁵, 96C²², 84C²⁰, 16A⁵, 48CQ²¹, 60T¹⁷, 32C⁹, 88G¹⁹, 96O²³, 88A²¹, 96BC¹⁹, 88C²¹, 16B¹⁷, 12A⁴, 16F⁹, 80A¹⁸, 48O²¹, 60B¹⁷, 24B¹¹, 48AN²¹, 96A²², 48J²¹, 24O¹³, 36A¹⁷, 72A¹⁹, 8N⁰, 48F¹⁵, 48AK²¹, 88C¹⁹, 96BF²¹, 96E²³, 16B³, 72M¹⁷, 24J¹⁷, 40W¹⁵, 92A²¹, 48O¹⁹, 48CH²¹, 48C⁸, 32B⁹, 64C¹⁵, 24C⁹, 32A¹³, 80B¹⁹, 48G¹⁸, 48CJ²¹, 88B¹⁹, 48AG¹³, 48J¹³, 72D²¹, 24E²¹, 32A²¹, 16A³, 48CB²¹, 48S²¹, 72K¹⁷, 16A¹⁷, 36U¹³, 24AR¹⁷, 96D²³, 16B²¹, 96G²³, 96C²³, 40G¹⁷, 24AB⁹, 56F²⁴, 96J²³, 48G¹⁹, 36L⁵, 16C², 88A²⁰, 8A³, 88H¹⁹, 24AS¹⁷, 40B¹⁵, 24AN¹⁷, 8A², 16B⁵, 36B¹⁶, 24U⁹, 48B¹⁹, 20A⁴, 48X¹¹, 20F⁹, 16C¹³, 12C⁴, 48AP²¹, 24C¹⁷, 24AI⁷, 96H¹⁹, 96H²¹, 64C⁹, 48A¹⁰, 32F⁷, 24AK⁷, 96A²¹, 24AA³, 16M⁵, 40K¹³, 24AD⁹, 24F⁵, 24D²¹, 36B²², 48AL⁷, 24U³, 48J¹⁷, 16B¹³, 80I²¹, 24H⁵, 48F²¹, 48CE²¹, 48E⁹, 24A¹⁹, 48Z²¹, 48K¹⁷, 16E¹, 32A⁹, 40D⁸, 48I¹⁸, 28C¹⁶, 80F¹⁹, 24A¹¹, 48I¹³, 72L¹⁹, 32B², 28F⁹, 16A⁹, 24T¹⁷, 36A¹⁶, 56G¹³, 32M¹³, 32D¹³, 96B²³, 8J⁰, 48I¹⁷, 40A¹⁸, 8B³, 24V³, 24F²¹, 24AG⁹, 16A²¹, 56O²³, 40A²², 36F²¹, 36D¹⁵, 24AB¹³, 24F¹⁹, 76A¹⁷, 56M¹¹, 20A¹⁰, 28E⁵, 72N¹⁹, 20D¹⁹, 8G⁰, 40X¹⁵, 24B¹⁵, 12B⁷, 48AI²¹, 32A⁵, 56R¹¹, 24J⁹, 40E²², 24H⁹, 24B¹⁷, 12B⁹, 24B⁸, 40V¹⁷, 48L¹⁹, 24AB⁵, 16C⁷, 64D¹⁵, 56A²⁴, 48B¹⁰, 80L¹⁹, 60D¹⁵, 48E²¹, 24E⁴, 48C¹³, 32A¹⁹, 32D²¹, 24AK⁹, 64B⁹, 48I²¹, 104M²³, 40A⁸, 64A¹⁵, 48CK¹⁷, 48CG²¹, 36E¹⁶, 48AH²¹, 48U¹⁷, 40A⁹, 12L³, 80Q²¹, 32A¹¹, 56A¹², 24A⁸, 24V⁷, 24S⁹, 48B¹⁸, 24AG⁷, 32J³, 32G¹³, 56L²¹, 24G⁸, 48W¹¹, 24I⁹, 48E¹⁹, 36Q⁹, 96E¹⁹, 24Z⁹, 32D⁷, 12K³, 48Q²¹, 48BQ²¹, 56H¹³, 64D¹⁷, 36D⁹, 32B¹³, 32G⁷, 64F²¹, 64C²¹, 72B¹⁶, 56P²³, 40I⁹, 24F¹⁷, 48A¹⁹, 40T¹⁷, 44B¹⁹, 48B¹¹, 72N¹⁷, 40C¹⁹, 56B²⁴, 32R²¹, 80O¹⁵, 112A²⁴, 40W¹⁷, 96BA²¹, 48D¹³, 56W²³, 8B¹, 40J⁹, 72A²¹, 40AD¹⁷, 48AK⁷, 48CM¹⁷, 24AL⁷, 48K²¹, 48D⁸, 24C¹⁹, 36T¹³, 64A¹⁹, 48D¹⁸, 40D¹⁷, 88C²⁰, 20L⁷, 48BS¹⁹, 72C¹⁹, 32L¹³, 48L²¹, 24AJ¹⁷, 48R²¹, 28M²¹, 12E⁵, 32C¹³, 56Q¹¹, 80AD²¹, 72C¹⁷, 48E¹⁵, 32F¹³, 24A¹⁵, 32E⁹, 48CA²¹, 64B¹³, 72Q¹⁶, 48K¹⁹, 24G¹⁷, 20D¹⁵, 48CJ¹⁷, 24Q¹⁷, 72M¹⁹, 36B⁸, 8A⁵, 48AL²¹, 32F²¹, 24D⁹, 56C²⁴, 52C²¹, 20C⁷, 80Z¹⁷, 56Q²³, 32Q²¹, 8O⁰, 44A¹⁰, 24AT¹⁷, 12B⁵, 96B²¹, 24B²¹, 96BD¹⁹, 72A¹⁶, 40Y¹⁷, 24G⁹, 32B²¹, 52D²³, 64B²¹, 80A¹⁶, 72W¹³, 32D¹⁷, 32T¹³, 48P²¹, 8G¹, 24I⁷, 28C⁶, 64D²¹, 52D¹¹, 48F¹¹, 24D⁸, 24Z³, 112O²³, 80R²¹, 8K¹, 80A¹⁹, 64E¹⁵, 32K³, 24S¹⁷, 16K², 32E¹⁷, 64A¹³, 84G²¹, 48D¹⁹, 96L²³, 40B¹⁹, 80N¹⁵, 48E¹⁷, 24D¹⁹, 16E²¹, 24AE⁹, 60A¹⁴, 20I⁵, 28B¹², 24A⁵, 24I¹⁷, 48AX¹⁹, 56N²¹, 24H⁸, 16O⁵, 24J⁸, 80AC²¹, 72R¹³, 72C²¹, 80M¹⁹, 72K¹⁹, 80G²¹, 24W¹⁷, 32B¹⁷, 40W⁷, 48BO¹⁹, 36F²², 48B²², 24K¹³, 48CI²¹, 16G⁹, 48M¹⁹, 96P²³, 48F¹⁹, 40A¹⁶, 40L²², 48AM²¹, 40A¹⁷, 64K⁷, 72Q¹³, 56D¹³, 112P²³, 56I¹², 32E⁷, 40B¹⁶, 24AQ¹⁷, 48R¹⁹, 24A²¹, 16J³, 8F¹, 20A¹³, 24F¹⁵, 48AU²¹, 48BZ²¹, 48D¹¹, 96AZ²¹, 48CL¹⁷, 24B¹⁰, 104N²³, 48H¹⁷, 40AH¹⁷, 12V¹, 24H¹⁷, 24S¹⁹, 20E¹⁵, 32A⁶, 24W⁷, 44D¹⁷, 72V¹³, 16H³, 36C⁹, 48A⁹, 28E¹¹, 12D⁷, 16B⁹, 48AG²¹, 48N¹⁹, 80A¹⁷, 24G⁴, 24F⁹, 48AO²¹, 72G¹⁶, 36K¹⁵, 16D⁵, 20C²², 24J⁷, 96K²³, 24I⁸, 32M⁵, 20F¹³, 48A²², 68D¹⁵, 48BP¹⁹, 80BD¹⁷, 24J¹³, 24I¹⁹, 28C²³, 40AR¹⁷, 48AR¹⁹, 64D¹³, 40C²², 40AD¹⁵, 16D²¹, 16O³, 128D²¹, 28D²¹, 128A¹⁹, 24D⁴, 36C¹⁹, 80P¹⁵, 20A²², 80N¹⁹, 28F¹³, 60F¹⁴, 48C¹⁹, 56V²³, 24C²¹, 24G²¹, 40L⁷, 40Y¹⁵, 16C⁵, 48CP²¹, 72B¹⁹, 40AE¹⁷, 32A¹⁷, 64F¹⁵, 64C¹³, 24Z⁵, 48BP¹⁷, 32B⁵, 56C¹³, 80W¹⁷, 24E¹⁹, 128F²¹, 24A¹⁷, 32L⁷, 40N¹⁵, 16N⁵, 16D³, 16I², 12B¹³, 72E¹⁷, 88D²¹, 32C¹⁹, 56R²³, 24T⁹, 80D²¹, 20A⁸, 48CN¹⁷, 32B⁷, 24P¹³</t>
        </is>
      </c>
    </row>
    <row r="15">
      <c r="A15">
        <f>HYPERLINK("https://mathstats.uncg.edu/sites/pauli/congruence/csg0.html#group4F0", "4F⁰")</f>
        <v/>
      </c>
      <c r="B15" t="n">
        <v>0</v>
      </c>
      <c r="C15" t="inlineStr"/>
      <c r="D15" t="inlineStr">
        <is>
          <t>12</t>
        </is>
      </c>
      <c r="E15" t="inlineStr">
        <is>
          <t>1</t>
        </is>
      </c>
      <c r="F15" t="inlineStr">
        <is>
          <t>6</t>
        </is>
      </c>
      <c r="G15" t="inlineStr">
        <is>
          <t>2</t>
        </is>
      </c>
      <c r="H15" t="inlineStr">
        <is>
          <t>0</t>
        </is>
      </c>
      <c r="I15" t="inlineStr">
        <is>
          <t>4³</t>
        </is>
      </c>
      <c r="J15" t="n">
        <v>3</v>
      </c>
      <c r="K15" t="inlineStr">
        <is>
          <t>1², 2²</t>
        </is>
      </c>
      <c r="L15" t="inlineStr">
        <is>
          <t>4A⁰, 4C⁰</t>
        </is>
      </c>
      <c r="M15" t="inlineStr">
        <is>
          <t>4G⁰, 8H⁰, 8K⁰, 8C¹, 8D¹, 12J¹, 12G², 20L³, 20C⁴, 28D⁵, 28G⁶, 20H⁷, 44A⁹, 44C¹⁰, 52F¹¹, 68F¹⁵, 76C¹⁸, 36G²², 92B²²</t>
        </is>
      </c>
      <c r="N15" t="inlineStr">
        <is>
          <t>2B⁰, 1A⁰, 4A⁰, 4C⁰</t>
        </is>
      </c>
      <c r="O15" t="inlineStr">
        <is>
          <t>24C¹⁰, 16F⁵, 16A¹¹, 16B¹⁹, 80M²¹, 80G¹⁷, 64Q²¹, 40X¹⁷, 16P³, 24M¹⁹, 72F¹⁴, 24L¹⁵, 40E⁸, 96B²⁰, 36G²², 48D¹⁶, 48AE²¹, 48AT¹⁹, 56H²⁴, 64K¹³, 24R⁷, 48Z¹⁹, 48CF²¹, 60G¹³, 96AJ²³, 48L¹³, 40E⁹, 24AC⁹, 24AD¹⁷, 24AO¹⁷, 48O¹⁸, 48E⁵, 24AF⁷, 48AD²¹, 48AM¹⁷, 48BW¹⁷, 64B¹⁸, 32C²¹, 32H¹¹, 72L¹⁶, 20B²⁰, 48BW²¹, 16I³, 96M¹⁹, 48AZ¹⁹, 40U¹⁵, 48CD²¹, 32K⁹, 28D¹¹, 112H²³, 64G²¹, 44A²⁰, 48AQ¹⁷, 28D⁵, 60G¹⁸, 48H¹⁶, 32B²⁴, 48AY¹⁹, 24AI⁹, 24G¹⁹, 16E⁹, 24A¹⁰, 16D⁹, 40F¹⁹, 40AP¹⁷, 48U¹⁵, 32B²³, 56J²⁴, 24AA¹⁷, 16B⁷, 24V¹³, 4G⁰, 40A¹⁹, 24B¹⁹, 40P⁹, 16A¹⁰, 48AF²¹, 52C²³, 20H⁷, 12A¹³, 16B¹⁰, 48BR¹⁷, 80V¹⁹, 24D¹⁷, 36A¹⁹, 24X¹³, 48X¹⁵, 32L⁹, 48BV²¹, 48BO¹⁷, 36F¹², 16K¹, 40T¹³, 16E³, 32F⁵, 40F²², 48AD¹⁹, 40E¹⁹, 40C¹⁶, 44C¹⁰, 16A¹⁹, 40O¹⁷, 40G¹⁹, 16C¹⁰, 24AK¹⁷, 16A⁶, 96AD¹⁹, 48BZ¹⁷, 72F¹², 52G²³, 24J⁵, 36B²⁰, 96AD²³, 64P²¹, 64H²¹, 24L¹⁹, 24AF⁹, 32C²³, 32F⁹, 48R⁸, 48G²⁰, 40V¹⁵, 80K¹⁷, 80K¹⁹, 48S¹⁹, 8K⁰, 24W⁵, 48M¹⁸, 32R¹³, 96X¹⁷, 24AP¹⁷, 32A¹⁰, 48AE¹⁷, 48A²³, 24L⁷, 16C⁶, 96N¹⁷, 92B²², 32H²³, 64L¹⁵, 16C⁹, 48J¹¹, 8B², 80AG²¹, 48E²⁰, 24H¹⁹, 8D¹, 24R⁹, 24J³, 36D²³, 48T¹⁵, 32E²³, 24C⁸, 24R¹⁷, 32E²¹, 16C⁴, 48N¹⁸, 80T²¹, 12J¹, 48AS¹⁷, 48O⁷, 40R⁹, 40AI¹⁷, 24O⁴, 40B⁸, 20C²¹, 32D¹⁹, 48AQ²¹, 80S¹⁹, 20E¹³, 72Q¹⁷, 32J¹³, 76C¹⁸, 36B¹⁹, 96D¹⁷, 40AJ¹⁷, 12A¹¹, 24Q⁹, 44A¹⁹, 20K⁷, 96C¹⁷, 48BN²¹, 32A¹⁸, 48BL¹⁹, 20M⁷, 20C¹³, 40A²⁴, 16C³, 112L²⁴, 48AS²¹, 16M³, 12D⁵, 40U¹⁷, 48U⁸, 48AL¹⁷, 56I²³, 80B¹⁷, 24L², 16C²¹, 96Y¹⁷, 16A⁵, 60N¹⁹, 48AB¹³, 48AM¹⁹, 80S²¹, 80AR¹⁷, 96AI²³, 48C¹⁶, 16K⁹, 72H²¹, 24M⁸, 40H¹⁵, 24F¹¹, 16B¹⁷, 12A⁴, 48V¹⁵, 24B¹¹, 96O¹⁵, 64D¹⁴, 48CO²¹, 24B⁶, 48V²¹, 16I⁹, 32P²¹, 56J²¹, 72G²¹, 8N⁰, 32C¹¹, 32H⁹, 96R¹⁷, 48K⁹, 40Z¹⁷, 84I²², 48BL¹⁷, 32H⁵, 20C⁴, 24J¹⁷, 48H⁸, 48Y¹⁵, 32G⁹, 48V⁸, 16L², 80BB¹⁷, 84L²², 56J¹², 24O¹⁵, 84B¹⁶, 28A¹⁰, 36K¹⁰, 32A²⁴, 88A¹⁹, 48AX²¹, 16H⁹, 72O¹⁹, 32B⁹, 24C⁹, 48G¹⁸, 32A¹³, 48W¹⁵, 88E²⁰, 32K¹³, 16A⁴, 32A⁷, 40AK¹⁷, 32E⁵, 96B¹⁷, 24B¹⁶, 24E²¹, 32A²¹, 24X⁷, 16E⁷, 48CB²¹, 32Q³, 16A¹⁷, 24G¹¹, 48F²⁰, 56F¹³, 16B²¹, 24AH¹⁷, 16H¹, 48G¹⁹, 40AE¹⁵, 32C⁴, 8A³, 32C²⁴, 24N¹⁷, 24AN¹⁷, 8A², 24G⁶, 16B⁵, 16L³, 48B¹⁹, 16I⁵, 72F¹⁷, 72M¹⁵, 48AE¹⁹, 12C⁷, 16C¹³, 40M¹³, 72F²¹, 48BM¹⁷, 16M⁵, 48P⁷, 24F⁶, 56D²³, 80AF²¹, 48B²⁰, 8H¹, 24D²¹, 48AZ²¹, 24AE⁷, 16B¹³, 40P¹⁷, 32Q⁹, 24Y⁹, 24R³, 40AF¹⁵, 48F²¹, 32N⁹, 48CE²¹, 24K⁷, 112Y²⁴, 24A¹⁹, 48BN¹⁷, 40G²³, 96A²⁰, 32A⁹, 112I²³, 48Y¹¹, 24A¹¹, 12J³, 96AC²³, 24H⁴, 16F²¹, 32C¹⁰, 56E²², 16A⁹, 48BA¹⁹, 36A¹⁶, 24K⁸, 48J¹⁸, 40Q⁹, 48CN²¹, 48D²⁰, 48E¹³, 20L³, 40A¹⁸, 64I²¹, 8B³, 24I¹¹, 24F²¹, 48F⁸, 48O¹¹, 40D¹⁹, 16A²¹, 32M⁹, 56O²³, 8C², 24A¹⁶, 112K²³, 48B¹⁶, 24AB¹³, 24F¹⁹, 40Q¹⁷, 40B²², 56C¹⁰, 56N²³, 24B¹⁵, 40AC¹⁵, 12B⁷, 24AB⁷, 48U¹⁹, 64H⁹, 32I⁵, 96D²², 48P¹⁸, 24H⁹, 24B¹⁷, 36I¹³, 40AA¹⁷, 32A¹², 56A²⁴, 48S¹⁵, 72M¹³, 48BK¹⁷, 56M²³, 48E²¹, 24AE¹⁷, 40Y⁷, 48AB¹⁹, 40N¹⁷, 48G⁸, 32A¹⁹, 32B⁶, 32D²¹, 48C¹⁰, 32D²³, 80AK¹⁷, 64K¹⁵, 24M¹⁵, 36J¹⁰, 48AY²¹, 36D¹², 48D¹⁰, 48AK¹⁷, 68F¹⁵, 24AB¹⁷, 64U¹³, 36I⁷, 100B²¹, 16B⁴, 40P¹⁵, 80F¹⁷, 24AJ⁹, 24AA⁹, 40M¹⁷, 8P⁰, 56J¹³, 32A¹¹, 56I²⁴, 40S¹³, 96B²², 80AE¹⁷, 96L¹⁹, 24E¹⁰, 36N¹⁵, 32K¹¹, 80L¹⁷, 24A⁸, 48H²⁰, 48AL¹⁹, 48B¹⁸, 24U¹³, 24AG⁷, 48P¹⁷, 48AT²¹, 72B²⁰, 56A¹⁴, 88A²², 48G¹⁰, 112E²³, 48B²³, 52F¹¹, 48S¹⁷, 72G¹⁴, 32C⁶, 88E²¹, 8I¹, 48BJ¹⁷, 24L⁸, 24K⁴, 48BI¹⁷, 12G², 12K³, 48Q²¹, 104P²³, 96AL²³, 48U⁷, 32B¹³, 56G¹¹, 24D⁶, 24E¹⁶, 48AU¹⁷, 72A²⁰, 32B¹⁸, 64F²¹, 32K⁷, 48BO²¹, 64F⁹, 56P²³, 48A¹⁶, 48F¹⁰, 24F¹⁷, 32I²¹, 48A¹⁹, 48T¹⁸, 36F⁶, 48BP²¹, 32E¹¹, 48BM¹⁹, 64C¹⁴, 56B²⁴, 24O¹⁹, 16D⁷, 32P¹³, 48Q¹⁸, 96I¹¹, 16D², 80U¹⁹, 40B⁹, 40O⁹, 40M²², 80AD¹⁷, 60P¹³, 24J²¹, 8H⁰, 48AB⁷, 72J¹⁵, 80AQ¹⁷, 32B²², 96G²⁰, 32F²³, 32B¹⁰, 24C¹⁹, 36T¹³, 48T¹⁷, 96O²⁰, 32H⁶, 16J⁵, 64A¹⁹, 48AU¹⁹, 24P¹⁹, 32M²¹, 72E²¹, 104O²³, 48L²¹, 48BL²¹, 28M²¹, 12E⁵, 24C¹⁵, 48D²², 32C¹³, 48I¹⁰, 48H¹⁰, 48Z¹¹, 48AS¹⁹, 48A²⁰, 48BX¹⁷, 56I¹³, 16Q³, 24AC¹⁷, 24A¹⁵, 32F¹³, 16B¹¹, 24AG¹⁷, 48AT¹⁷, 72X¹⁵, 16H⁵, 48E¹⁶, 88A¹⁸, 24E⁶, 20D¹⁵, 24G¹⁷, 32D⁶, 96J¹⁹, 64A²², 8A⁵, 16J⁹, 48AH¹⁹, 48CI¹⁷, 32F²¹, 48AF¹⁷, 64A¹⁸, 24V⁹, 24Q¹⁹, 24R¹⁵, 80C¹⁸, 80BA¹⁷, 48I²⁰, 48BX²¹, 24AT¹⁷, 112B²¹, 80O²¹, 24B²¹, 80AZ¹⁷, 28G⁶, 32B²¹, 40AM¹⁷, 56G²³, 52D²¹, 32T¹³, 64A¹⁴, 32E¹⁹, 64D²¹, 48G¹³, 16D¹¹, 64B¹⁴, 8K¹, 48K¹³, 16G⁵, 80Q¹⁹, 80Y¹⁹, 24N¹⁹, 32D²⁴, 48T²¹, 16L¹, 32E¹⁷, 48AJ¹⁹, 24X⁹, 48D¹⁹, 48AR²¹, 32L³, 24Y⁷, 40B¹⁹, 24D¹⁹, 16E²¹, 24I²¹, 24Q⁷, 24AC⁷, 28B¹², 56J²³, 96N²⁰, 88B²¹, 24R¹³, 20E¹¹, 16E², 32Y²¹, 48L¹⁸, 112W²⁴, 72L¹⁵, 16O⁵, 56E¹², 72J¹⁴, 56D²², 48Q¹⁷, 24P⁹, 48E¹⁸, 24W¹⁷, 96H²⁰, 48BO¹⁹, 24N¹⁵, 48B²², 16G³, 72Y¹⁵, 48AV¹⁹, 48C²⁰, 32K²¹, 96E¹⁷, 16K³, 40Q¹⁵, 36B¹⁴, 8C¹, 32G²³, 40A¹⁶, 28H¹⁶, 24C¹⁶, 32B¹², 48F¹⁸, 24R⁴, 40A¹⁷, 32P³, 48C¹¹, 60B¹³, 40AN¹⁷, 64G⁹, 48K¹⁸, 40AB¹⁷, 16B⁶, 12I², 80BF¹⁷, 48Y¹⁹, 32R⁹, 28J²¹, 24A²¹, 32D¹¹, 96F¹⁷, 32G⁵, 48J¹⁶, 8F¹, 72D¹⁴, 48S¹⁸, 88F²¹, 40L¹⁷, 48U²¹, 64B²³, 112Z²⁴, 56E¹¹, 48AP¹⁷, 24N⁸, 32A²³, 48C²², 112J²³, 24D¹⁶, 32W²¹, 28F¹⁵, 24B¹⁰, 40Z⁷, 48AB¹¹, 20B¹⁰, 40AG¹⁵, 24K⁵, 48J¹⁵, 72A²², 80Z¹⁹, 24S¹⁹, 72B²², 96O¹⁷, 24J¹⁹, 16H³, 80AY¹⁷, 32L²¹, 28E¹¹, 24AF¹⁷, 48I¹⁶, 16B⁹, 72R¹⁷, 40R⁷, 16C¹¹, 24B⁵, 96AC¹⁹, 104I²³, 20J⁵, 48AC⁷, 112X²⁴, 40AL¹⁷, 48AI¹⁹, 48A¹⁴, 32F¹¹, 48A²², 24Q¹⁵, 40C¹⁸, 64A²³, 40I¹⁵, 48BP¹⁹, 32Q¹³, 24P¹⁵, 24I¹⁹, 28C²³, 96A²³, 24T¹³, 16D²¹, 24W⁹, 20G¹⁵, 96AK²³, 80C¹⁹, 48I¹⁵, 48F¹³, 20A²², 80G¹⁹, 104H²³, 48V¹⁹, 16A¹⁵, 48BA²¹, 48G¹⁶, 48AN¹⁷, 48R¹⁸, 24C²¹, 24G²¹, 56K¹², 40AO¹⁷, 32A²², 48AK¹⁹, 16I¹, 56L¹², 32X²¹, 80AL¹⁷, 48AO¹⁷, 32A¹⁷, 24P³, 48C²³, 16L⁹, 40S⁷, 48H¹³, 32C¹², 56F¹¹, 88D²⁰, 24E¹⁹, 16F¹, 112K²⁴, 24E¹⁷, 44A⁹, 32L⁷, 48AC¹⁹, 32J²¹, 24H¹¹, 48T¹⁹, 56C²², 48AA¹¹, 16I², 48H¹⁵, 48D²³, 24P⁸, 40H¹⁹, 48F¹⁶, 32I¹³, 80B¹⁸, 24AL¹⁷, 20A⁸, 48BY²¹, 32G¹¹, 64B²², 48BM²¹, 16E⁵</t>
        </is>
      </c>
    </row>
    <row r="16">
      <c r="A16">
        <f>HYPERLINK("https://mathstats.uncg.edu/sites/pauli/congruence/csg0.html#group4G0", "4G⁰")</f>
        <v/>
      </c>
      <c r="B16" t="n">
        <v>0</v>
      </c>
      <c r="C16" t="inlineStr">
        <is>
          <t>Γ(4)</t>
        </is>
      </c>
      <c r="D16" t="inlineStr">
        <is>
          <t>24</t>
        </is>
      </c>
      <c r="E16" t="inlineStr">
        <is>
          <t>1</t>
        </is>
      </c>
      <c r="F16" t="inlineStr">
        <is>
          <t>1</t>
        </is>
      </c>
      <c r="G16" t="inlineStr">
        <is>
          <t>0</t>
        </is>
      </c>
      <c r="H16" t="inlineStr">
        <is>
          <t>0</t>
        </is>
      </c>
      <c r="I16" t="inlineStr">
        <is>
          <t>4⁶</t>
        </is>
      </c>
      <c r="J16" t="n">
        <v>6</v>
      </c>
      <c r="K16" t="inlineStr">
        <is>
          <t>1¹</t>
        </is>
      </c>
      <c r="L16" t="inlineStr">
        <is>
          <t>4D⁰, 4E⁰, 4F⁰</t>
        </is>
      </c>
      <c r="M16" t="inlineStr">
        <is>
          <t>8N⁰, 8F¹, 8A², 12K³, 12A⁴, 20K⁷, 20A⁸, 28E¹¹, 28B¹², 20D¹⁵, 44A¹⁹, 44A²⁰, 52C²³</t>
        </is>
      </c>
      <c r="N16" t="inlineStr">
        <is>
          <t>2A⁰, 4A⁰, 4D⁰, 4C⁰, 2B⁰, 4E⁰, 4F⁰, 4B⁰, 1A⁰, 2C⁰</t>
        </is>
      </c>
      <c r="O16" t="inlineStr">
        <is>
          <t>16A¹¹, 28B¹², 40X¹⁷, 16B¹⁷, 12A⁴, 24B¹¹, 16O⁵, 48CF²¹, 32A¹¹, 24AC⁹, 24AO¹⁷, 24W¹⁷, 8N⁰, 24AF⁷, 24A⁸, 48BO¹⁹, 32C²¹, 48B¹⁸, 24AG⁷, 48B²², 24J¹⁷, 16I³, 40U¹⁵, 48CD²¹, 40A¹⁶, 44A²⁰, 40A¹⁷, 32B⁹, 12K³, 24G¹⁹, 24C⁹, 48Q²¹, 48G¹⁸, 32A¹³, 16E⁹, 24A¹⁰, 16D⁹, 32B¹³, 64F²¹, 24E²¹, 16B⁷, 32A²¹, 56P²³, 24A²¹, 48CB²¹, 40A¹⁹, 8F¹, 24F¹⁷, 24B¹⁹, 48A¹⁹, 16A¹⁷, 52C²³, 12A¹³, 56B²⁴, 36A¹⁹, 16B²¹, 24B¹⁰, 48G¹⁹, 8A³, 24S¹⁹, 16A⁶, 24AN¹⁷, 16H³, 8A², 28E¹¹, 16B⁵, 16B⁹, 48B¹⁹, 24C¹⁹, 36T¹³, 16C¹³, 64A¹⁹, 24AF⁹, 16M⁵, 40V¹⁵, 48L²¹, 28M²¹, 12E⁵, 32C¹³, 24D²¹, 48A²², 24AP¹⁷, 16B¹³, 48BP¹⁹, 24I¹⁹, 28C²³, 48F²¹, 24A¹⁵, 32F¹³, 48CE²¹, 16C⁹, 24A¹⁹, 16D²¹, 20D¹⁵, 24G¹⁷, 32A⁹, 24H¹⁹, 24A¹¹, 8A⁵, 20A²², 32F²¹, 24C⁸, 16A⁹, 24R¹⁷, 36A¹⁶, 32E²¹, 24C²¹, 24G²¹, 40A¹⁸, 8B³, 24AT¹⁷, 24F²¹, 16A²¹, 20E¹³, 56O²³, 24B²¹, 24AB¹³, 32A¹⁷, 32B²¹, 24F¹⁹, 36B¹⁹, 44A¹⁹, 20K⁷, 32T¹³, 24B¹⁵, 24E¹⁹, 12B⁷, 64D²¹, 32L⁷, 24H⁹, 24B¹⁷, 8K¹, 16I², 40U¹⁷, 56A²⁴, 16C²¹, 32E¹⁷, 48E²¹, 16A⁵, 48D¹⁹, 20A⁸, 32A¹⁹, 32D²¹, 40B¹⁹, 24D¹⁹, 16E²¹</t>
        </is>
      </c>
    </row>
    <row r="17">
      <c r="A17">
        <f>HYPERLINK("https://mathstats.uncg.edu/sites/pauli/congruence/csg0.html#group5A0", "5A⁰")</f>
        <v/>
      </c>
      <c r="B17" t="n">
        <v>0</v>
      </c>
      <c r="C17" t="inlineStr"/>
      <c r="D17" t="inlineStr">
        <is>
          <t>5</t>
        </is>
      </c>
      <c r="E17" t="inlineStr">
        <is>
          <t>1</t>
        </is>
      </c>
      <c r="F17" t="inlineStr">
        <is>
          <t>5</t>
        </is>
      </c>
      <c r="G17" t="inlineStr">
        <is>
          <t>1</t>
        </is>
      </c>
      <c r="H17" t="inlineStr">
        <is>
          <t>2</t>
        </is>
      </c>
      <c r="I17" t="inlineStr">
        <is>
          <t>5¹</t>
        </is>
      </c>
      <c r="J17" t="n">
        <v>1</v>
      </c>
      <c r="K17" t="inlineStr">
        <is>
          <t>1¹, 4¹</t>
        </is>
      </c>
      <c r="L17" t="inlineStr">
        <is>
          <t>1A⁰</t>
        </is>
      </c>
      <c r="M17" t="inlineStr">
        <is>
          <t>5E⁰, 5F⁰, 10A⁰, 15A⁰, 10B¹, 15A¹, 15B¹, 20A¹, 35A², 35B², 55A³, 65A⁴, 55A⁵, 85A⁷, 95A⁷, 45C⁸, 115A¹⁰, 145A¹², 155A¹², 185A¹⁴, 205A¹⁷, 215A¹⁷, 55A¹⁹, 95A²⁰, 235A²⁰, 265A²², 305A²⁴</t>
        </is>
      </c>
      <c r="N17" t="inlineStr">
        <is>
          <t>1A⁰</t>
        </is>
      </c>
      <c r="O17" t="inlineStr">
        <is>
          <t>90K²², 45A²⁰, 30I¹⁰, 135C¹³, 15A¹⁹, 80G¹⁷, 65A⁸, 105B¹⁶, 140C²³, 90D²⁰, 70F²¹, 20A²⁰, 140A¹², 60D¹⁸, 50B²³, 40H²², 30E¹⁷, 15A⁹, 40E⁸, 210J²³, 30P⁷, 70C¹⁹, 40E¹⁰, 30L⁵, 90L²², 40G²¹, 50F⁹, 60G¹³, 45A⁴, 255A²¹, 40E⁹, 45O¹³, 30O¹³, 90B⁹, 30D¹⁶, 120A²⁰, 60B¹⁸, 15A⁸, 20B²¹, 10D³, 60B¹⁶, 105B²², 45A⁵, 135D¹³, 60B⁶, 70A²³, 20B²⁰, 40AJ¹⁵, 5H⁰, 210B¹³, 35B⁸, 60G¹⁸, 120F¹⁸, 90D²², 120B¹⁸, 90D¹⁴, 35B¹⁹, 40E¹⁶, 280A²¹, 30A³, 20F¹⁵, 30D²², 30A¹¹, 60D⁶, 180A¹⁸, 30B¹⁰, 30K⁷, 30E¹², 30E²³, 5F⁰, 50A¹⁴, 180A¹⁹, 40D²⁴, 90F⁷, 80C¹⁷, 40K²², 210A¹⁸, 80A⁹, 160A¹⁸, 105A¹¹, 70C¹⁸, 20C⁶, 10B⁴, 55A²¹, 60A²², 40F²², 40C¹⁶, 10A⁴, 30F¹², 180A²⁰, 90C¹⁴, 195A¹⁶, 140A²², 40O¹⁷, 90B¹⁶, 35A¹⁵, 45H¹³, 45D¹³, 90A¹⁵, 30F²³, 15B⁹, 180A²², 105A¹⁵, 35B¹⁴, 15A²³, 35A², 45A¹⁶, 40M¹⁹, 210G¹⁶, 60A⁴, 120E¹⁶, 30C¹², 45B⁹, 160A¹⁶, 60A¹⁷, 60B²⁴, 10A⁵, 30F¹⁰, 90E⁸, 45B¹¹, 80K¹⁷, 80K¹⁹, 35A¹⁹, 190A²⁴, 45C¹², 180G²⁰, 10B⁵, 90I²⁴, 60E⁸, 20B¹³, 25A⁸, 15A¹⁷, 80B⁸, 30E¹³, 90H¹⁴, 20C¹⁰, 90C²², 60B¹², 90F¹⁹, 80F¹⁸, 70A¹⁵, 120A⁷, 30A²⁴, 45C³, 140A¹⁸, 15D³, 50B²⁴, 90C¹³, 105A⁸, 120B⁹, 40D⁵, 180A¹⁵, 40F²³, 30B¹⁹, 15A³, 50A²⁰, 120C¹⁹, 10B³, 280A²⁴, 70C¹⁶, 55A¹⁹, 185A¹⁴, 70B¹⁷, 135C¹², 40B⁸, 30G⁷, 20C²¹, 90H²⁴, 25A²⁰, 45B¹⁰, 35B¹³, 25E⁶, 30B⁶, 80B¹⁶, 20F⁷, 30B⁵, 30C⁷, 90D¹⁵, 90C²⁰, 135A¹⁵, 70B⁴, 90B¹⁴, 60P¹⁵, 60I¹⁸, 20D¹⁰, 45F¹³, 90B¹⁰, 15B³, 180A¹⁷, 80D⁸, 80H¹⁹, 30A²¹, 160F¹⁹, 60C⁷, 315A²³, 80E²², 45B¹⁶, 40A²⁴, 60E¹⁷, 10A⁷, 45D¹², 240B¹⁹, 60F¹⁶, 80B¹⁷, 310A²⁴, 45B⁵, 70D¹⁸, 10D², 20B⁸, 45C¹⁶, 15C⁴, 105B⁹, 85A⁷, 30A², 180B¹⁵, 130A¹⁶, 25A¹⁰, 60A¹⁹, 165B¹⁷, 30D⁷, 20C¹⁵, 180A¹², 65A¹², 45C¹⁴, 45C⁶, 20B¹¹, 30M⁹, 30F¹³, 90D⁸, 60A¹⁶, 40C²¹, 30D¹⁰, 80H²², 55A¹⁷, 45B⁶, 70C¹⁴, 80A¹⁸, 210A²², 60B¹⁷, 130A⁸, 45I¹³, 240A¹⁹, 130B¹⁷, 120A¹⁸, 80A²², 35A¹⁰, 160C¹⁷, 330C²⁴, 210E¹⁶, 20C⁴, 30B¹², 55A⁵, 140A²¹, 90A²⁰, 20C⁸, 60S²¹, 45H¹⁹, 25F², 10C³, 120A¹², 90D¹⁹, 40D¹⁸, 120A¹⁴, 195A¹⁵, 90E¹², 80B¹⁹, 95B²³, 75A¹⁹, 80C⁸, 140A¹⁹, 40A⁴, 40G⁸, 60R²¹, 165A¹⁵, 45A¹⁴, 80A²⁴, 120C¹⁸, 280C²¹, 270A²², 60J¹⁸, 30C¹³, 135A¹³, 55A¹³, 40C⁴, 180C²⁰, 10A⁰, 20D², 90I²², 60C⁸, 120K²³, 50E⁹, 40G¹⁰, 40G¹⁷, 90A¹³, 20A², 90B²², 90A⁶, 70B¹⁵, 50A²², 90A²¹, 30B⁹, 30B²¹, 30E¹⁰, 90F²⁴, 80E⁸, 45B¹⁹, 120B¹⁹, 40B²³, 50B¹⁸, 120C¹², 35C⁹, 30C⁸, 20G¹³, 180C¹⁶, 280B²¹, 180C¹⁸, 45C¹¹, 60C¹⁹, 20A⁴, 135C¹⁴, 70D²¹, 30C²³, 45C¹⁰, 60C¹², 160A¹⁷, 290A²⁴, 70E²¹, 105C²², 30F¹⁵, 120B¹², 60H¹³, 20D⁷, 30C¹⁶, 140A¹⁷, 40I²³, 10A², 285C²³, 30C²², 195B¹⁴, 80D²³, 90A⁸, 55A¹⁸, 30A¹², 45A¹³, 25A¹⁶, 50A¹⁰, 70E¹⁶, 30A⁸, 60T²¹, 20A⁹, 220A²⁰, 10F², 230A²⁰, 145A¹², 20A¹¹, 35C⁶, 90C⁸, 40A², 90C¹², 15A¹, 110A¹³, 55A¹¹, 20A⁶, 80C²², 260A²¹, 60C¹⁴, 40G²³, 160D¹⁹, 60C⁶, 45E¹³, 60C²³, 210A²⁰, 40D⁸, 210A¹⁷, 70G²¹, 20B², 40C¹¹, 80F¹⁹, 10B², 60B⁸, 15B¹⁰, 45D¹⁶, 45D¹⁵, 240A²⁴, 20C⁹, 90C¹⁰, 50B⁷, 90C¹⁵, 50A¹⁸, 95A²⁰, 30F⁹, 240C²⁴, 40A¹⁸, 135A¹⁴, 40D⁴, 30E⁶, 15A⁴, 20E⁴, 210A¹⁶, 210B¹⁵, 30F²², 40A²², 60I¹⁹, 120B¹⁵, 120A¹³, 50B¹¹, 30D²³, 40B²², 20A¹⁰, 20D¹⁹, 15D⁵, 70B¹⁴, 135B¹², 45E²³, 40E²², 30G²², 210A¹³, 40B²⁴, 110A¹⁰, 70A⁹, 10B¹, 90E¹⁴, 110A¹⁴, 20I¹⁵, 65B¹⁹, 30E¹¹, 70D¹⁶, 210B²⁴, 85A¹⁹, 55A²⁴, 210B¹⁶, 160G¹⁹, 20B¹⁹, 45B³, 90A⁷, 60F⁸, 45C¹⁹, 10E⁰, 95A²³, 70E¹⁴, 40N¹⁷, 45C¹⁷, 120A⁹, 205A¹⁷, 50C¹⁹, 90B²¹, 60B⁴, 40F²⁴, 40A⁸, 80E²³, 190A¹⁴, 140B¹⁶, 20F¹⁰, 15A¹⁰, 40A⁹, 160A²⁰, 10I¹, 80F¹⁷, 30D¹², 90B¹⁸, 70A¹⁷, 120D¹⁴, 20E⁷, 45C¹³, 75B¹¹, 35C¹⁵, 10A⁶, 195B¹⁵, 265A²², 40A²⁰, 15D⁴, 45A¹⁹, 60B⁹, 80L¹⁷, 135B¹⁴, 20A²¹, 70B¹⁶, 40J¹¹, 120C¹⁷, 90P¹⁷, 105C¹⁴, 180B²², 90C⁹, 180A¹⁶, 5E⁰, 35C¹⁹, 60F¹³, 45A¹⁷, 90F⁸, 40E¹⁷, 50A²⁴, 60L¹⁷, 15B⁴, 30F¹⁷, 195A¹⁴, 40R¹⁷, 140A⁸, 45D⁷, 60D¹⁹, 40E¹¹, 160B²⁰, 60T¹⁵, 30H⁷, 70A⁵, 35A⁷, 10C², 110A²³, 30A⁹, 120B¹³, 120C¹³, 90J²², 15H³, 80A⁸, 140A¹⁰, 40I²², 15E⁴, 20E⁵, 180A¹³, 235A²⁰, 25E⁴, 40B⁹, 40M²², 210B¹⁸, 90B⁷, 55A¹⁶, 270B²⁴, 70C¹⁷, 60B¹⁹, 60A⁹, 25A²², 40H²¹, 35A⁸, 40E²³, 60J²³, 120E¹⁸, 120A¹⁶, 70C¹⁵, 45H¹², 155A¹², 30D¹⁷, 90F¹⁵, 120B⁷, 90C⁶, 40H⁸, 30M⁷, 40A¹⁴, 60D¹⁴, 15B⁸, 45B¹³, 30A²², 45B¹⁴, 35D⁶, 20B⁵, 40K¹⁵, 45B¹⁷, 30A⁴, 45B¹², 60A⁶, 105B⁸, 40A¹³, 30O⁷, 220B²⁰, 60A³, 90G¹⁹, 30B²², 60F¹⁹, 305A²⁴, 80D¹⁸, 30E⁴, 40A¹², 60A¹⁸, 65A¹⁴, 80E¹⁸, 105F²¹, 60C¹⁸, 30B²³, 85A¹³, 60G¹⁹, 5G⁰, 160E¹⁹, 30N⁹, 120A¹⁹, 30B¹³, 55B²⁴, 20A¹⁷, 45A¹⁸, 70B¹⁸, 40G²², 240B²⁴, 195A²¹, 210B¹⁷, 30D³, 60A²⁴, 50E²¹, 90A¹⁴, 15A², 105B¹⁹, 30E³, 40C¹⁰, 40J²³, 40C²⁴, 160A¹⁹, 15B¹⁹, 80C¹⁸, 60D⁹, 40D²³, 80C⁹, 10A¹³, 60D²², 60E¹⁴, 80A⁴, 15B⁷, 15E², 165B¹⁰, 45A⁶, 210A¹⁵, 180B¹⁶, 65B¹⁴, 15F¹, 210D¹⁷, 210D¹⁶, 70A¹⁶, 40D²², 80A¹⁶, 90E²⁰, 30B², 160H¹⁹, 120B¹⁶, 20A¹⁵, 15G³, 20C⁵, 15A¹², 160C¹⁹, 160B¹⁹, 40A⁵, 50A⁷, 105C¹⁵, 30F⁶, 40B²¹, 30E⁸, 120D¹³, 260A¹⁷, 105B⁶, 30A¹⁰, 135A¹¹, 30A⁷, 105B¹⁵, 80A¹⁹, 180D²⁰, 35A²², 30D², 90F¹⁴, 330A²⁴, 210C¹⁷, 110A²⁴, 90E⁷, 90G²⁴, 90A¹⁰, 40G¹³, 75A²⁴, 30N¹³, 35B², 115A¹⁰, 60E¹⁶, 30E¹⁶, 60J¹¹, 40C²³, 90E¹⁹, 165B¹⁵, 210E¹⁸, 170B¹⁵, 160I¹⁹, 15B⁵, 20A¹⁹, 20D⁴, 30K¹⁷, 60A¹⁴, 70A⁴, 105A¹⁶, 20B⁶, 80D⁹, 20B¹⁵, 60J¹⁹, 270A²⁴, 180F²⁰, 285A²³, 180A²¹, 45E¹², 45D¹¹, 80G²², 20P⁷, 70G¹⁴, 30B¹¹, 280D²¹, 215A¹⁷, 50D¹⁹, 180B²⁰, 75B¹⁹, 120C¹⁶, 60D⁸, 60Q¹⁵, 95C²³, 10E¹, 30C¹⁵, 40B¹⁰, 40F²¹, 70A²², 30F¹¹, 105C¹⁹, 210C¹⁶, 40A¹⁶, 30B¹, 40L²², 35A¹⁷, 240A¹⁵, 30B¹⁵, 100R¹⁹, 40A¹⁷, 140B²⁰, 30G⁴, 70A⁸, 40F¹⁰, 160D¹⁷, 60B¹³, 105A¹⁴, 45C²³, 30D⁸, 40B¹⁶, 30B⁷, 30D¹³, 100M¹⁹, 90A¹², 80F²², 40I²¹, 105A¹⁰, 50D²², 180C¹⁹, 210D¹⁸, 30O⁹, 20A¹³, 210A²⁴, 45E¹⁹, 60A¹⁰, 30F⁴, 165A¹⁹, 30H¹², 60H¹⁹, 40N²², 40S¹⁷, 60C¹³, 75B²⁴, 65B¹², 120D¹⁹, 105A⁹, 140B¹⁷, 30A⁶, 180B²¹, 60C²², 20B¹⁰, 60C⁹, 50A¹⁹, 50B²², 20D³, 90B¹², 20D⁹, 70D¹⁴, 120L²³, 145A²⁴, 30A¹⁹, 20C¹⁹, 45A⁷, 35C¹⁴, 60B⁷, 20N³, 70B⁹, 90D²⁴, 180B¹⁸, 40A²¹, 15B¹⁷, 40F⁸, 30F²¹, 70A²¹, 60B¹⁰, 40L¹⁹, 120C¹⁴, 330B²⁴, 30D⁴, 160B¹⁷, 60Y¹⁵, 180E²⁰, 15B¹, 120D¹⁶, 25F⁶, 40A¹⁵, 90B²⁰, 170A²¹, 120D¹⁸, 65A⁴, 80A¹⁷, 45A³, 20B¹⁷, 10H¹, 105A⁶, 55A³, 20E¹⁰, 20C²², 135A¹², 140A¹⁶, 90B¹⁵, 45C⁸, 165A¹⁰, 30A¹, 90I¹⁹, 40C¹⁸, 210I²³, 70A¹⁴, 210F¹⁶, 40J²², 40B²⁰, 30B¹⁶, 45A¹², 220A¹⁶, 40C⁸, 210C²⁴, 30E²², 120D¹⁷, 105A²¹, 40C²², 35A¹⁴, 210B²², 40E²⁴, 80B²², 20C¹¹, 60C¹⁶, 20B⁹, 20G¹⁵, 135B¹³, 35A¹², 70F¹⁴, 105A⁷, 80C¹⁹, 165A¹², 90C¹⁸, 20A²², 60A⁷, 80G¹⁹, 120B¹⁴, 105B¹⁴, 30G¹³, 80D²², 80B¹⁰, 25A¹², 90E²⁴, 40B¹⁴, 60F¹⁴, 120A¹⁵, 40H²³, 30J²³, 60G¹⁴, 15A⁰, 15C⁷, 130A⁹, 170A¹⁵, 25F⁴, 40D¹⁶, 90D¹⁰, 60D¹³, 40D¹¹, 60B²², 20A¹, 40F¹⁷, 95A⁷, 60F¹⁸, 80A¹⁰, 245A¹⁹, 20D⁶, 40B¹⁸, 20P³, 105D¹¹, 20B²², 60M¹⁷, 35A⁹, 120B²⁰, 45D¹⁹, 90A²², 60D¹⁶, 15A¹⁶, 210C¹⁸, 45B⁴, 70A¹⁸, 110A⁷, 210B²⁰, 40B⁴, 180B¹⁹, 240B¹⁵, 95A¹⁹, 45G¹³, 285B²³, 80B¹⁸, 30B⁸, 30E⁷, 255B²¹, 15A¹³, 40D¹⁵, 35A⁴, 20A⁸, 35B⁶, 80B⁹, 40D¹⁰, 80J¹⁷</t>
        </is>
      </c>
    </row>
    <row r="18">
      <c r="A18">
        <f>HYPERLINK("https://mathstats.uncg.edu/sites/pauli/congruence/csg0.html#group5B0", "5B⁰")</f>
        <v/>
      </c>
      <c r="B18" t="n">
        <v>0</v>
      </c>
      <c r="C18" t="inlineStr">
        <is>
          <t>Γ₀(5)</t>
        </is>
      </c>
      <c r="D18" t="inlineStr">
        <is>
          <t>6</t>
        </is>
      </c>
      <c r="E18" t="inlineStr">
        <is>
          <t>1</t>
        </is>
      </c>
      <c r="F18" t="inlineStr">
        <is>
          <t>6</t>
        </is>
      </c>
      <c r="G18" t="inlineStr">
        <is>
          <t>2</t>
        </is>
      </c>
      <c r="H18" t="inlineStr">
        <is>
          <t>0</t>
        </is>
      </c>
      <c r="I18" t="inlineStr">
        <is>
          <t>1¹, 5¹</t>
        </is>
      </c>
      <c r="J18" t="n">
        <v>2</v>
      </c>
      <c r="K18" t="inlineStr">
        <is>
          <t>1², 4¹</t>
        </is>
      </c>
      <c r="L18" t="inlineStr">
        <is>
          <t>1A⁰</t>
        </is>
      </c>
      <c r="M18" t="inlineStr">
        <is>
          <t>5D⁰, 5G⁰, 10B⁰, 10C⁰, 15B⁰, 25A⁰, 10A¹, 15C¹, 20B¹, 25A², 25B², 25C², 25D², 35C², 35A³, 55A⁴, 55B⁵, 65A⁵, 85B⁷, 95A⁹, 45A¹⁰, 115A¹¹, 145A¹³, 155A¹⁵, 185A¹⁷, 205A¹⁹, 55A²⁰, 215A²¹, 235A²³, 95A²⁴</t>
        </is>
      </c>
      <c r="N18" t="inlineStr">
        <is>
          <t>1A⁰</t>
        </is>
      </c>
      <c r="O18" t="inlineStr">
        <is>
          <t>140C¹⁶, 35C⁴, 15A¹⁹, 50B²³, 110B¹⁴, 120C²³, 120O²¹, 15A⁹, 50A⁶, 135B¹⁵, 70C⁴, 80A¹⁵, 80C²¹, 100K¹⁹, 60AE¹³, 75B⁹, 20B²¹, 60U¹¹, 30P¹³, 160N¹⁹, 50C²¹, 40AJ¹⁵, 100I¹³, 60G⁷, 15I³, 40U¹⁵, 30F⁷, 80P¹⁹, 180L²³, 45A¹⁵, 20G¹, 20I³, 60H⁹, 90H²¹, 20F¹⁵, 90G¹⁵, 90M¹⁵, 30B¹⁰, 120R²³, 35A⁶, 40P⁹, 160G²¹, 60C³, 200G¹⁹, 75D⁹, 10B⁴, 30H¹³, 100N¹⁹, 40T¹³, 120G²¹, 40I⁵, 60R²³, 40U⁷, 45F⁹, 40C⁷, 120H²³, 60R¹¹, 40G¹⁹, 20C³, 40F⁹, 120D¹⁵, 210E¹⁷, 100B¹⁵, 60P²³, 30H¹⁷, 70H¹⁷, 160I¹⁷, 45F⁵, 10A⁵, 175D¹⁶, 30J³, 110A¹¹, 45A⁸, 60W²¹, 250A²³, 40V¹⁵, 55B¹⁷, 225D²⁰, 70B¹⁹, 120B¹¹, 30G³, 175C¹⁹, 140A²⁰, 160C²³, 60I⁹, 20T³, 20B¹³, 60G¹⁵, 100A¹², 130A¹¹, 90N²¹, 75A⁵, 30E¹³, 45D⁹, 40M⁵, 50E⁶, 75A⁹, 30I⁹, 275A²⁴, 150H¹⁵, 160A¹⁵, 50E¹², 210G²³, 50B²⁴, 80A⁷, 10B³, 120K¹⁵, 80T²¹, 140B¹⁹, 100Q¹⁹, 160M¹⁹, 235A²³, 40AH¹⁵, 80U¹⁷, 80G⁹, 40AI¹⁷, 50B¹⁶, 45A², 70E¹⁵, 20C²¹, 25A²⁰, 80S¹⁹, 60N¹¹, 90A¹¹, 60O⁷, 30K¹³, 25E⁶, 20F⁷, 45G⁹, 150E¹⁹, 75A⁸, 125B¹², 90I¹⁵, 90B⁸, 70A¹⁹, 15B², 210A²¹, 30I¹¹, 35D¹³, 60AB¹³, 40AQ¹⁷, 45N¹³, 90F⁹, 30I³, 10A⁷, 30N⁵, 40U¹⁷, 150C¹⁴, 75A⁴, 215A²¹, 180J²³, 60Y¹³, 125B²⁰, 50H¹², 55A²⁰, 120E¹⁹, 60U¹⁷, 60N¹⁹, 70C¹³, 150D¹⁵, 180M²³, 80AR¹⁷, 60T¹⁷, 75B¹³, 180D¹³, 60D³, 160I²¹, 30P⁵, 150E¹², 160N²¹, 20K⁵, 30D⁶, 60K⁹, 40J⁵, 65B⁹, 30K¹¹, 205A¹⁹, 110B¹¹, 100G¹³, 25A⁶, 170B¹⁷, 40Z¹⁷, 120Q¹⁹, 80AE²¹, 40W¹⁵, 60N⁷, 90L²¹, 40L²¹, 45H¹⁹, 75D¹⁹, 55A⁴, 120L¹⁷, 120G²³, 105B²¹, 100J¹⁹, 80H⁹, 35B¹², 175A¹⁶, 60E¹⁵, 35B²¹, 60AF¹³, 120J²¹, 70G¹⁹, 180F²³, 60O¹⁹, 65B¹¹, 90G¹⁷, 90N¹⁵, 120C¹¹, 40T⁷, 140D²¹, 70E¹⁹, 10A¹, 80AO¹⁷, 70E¹⁸, 25B², 45C⁵, 60AA¹⁵, 80H¹³, 140C¹⁹, 80I⁷, 60O¹³, 80AB¹⁹, 200H¹⁹, 160F²¹, 45M¹³, 140I¹⁹, 50F⁵, 80N²¹, 50D¹⁶, 120L¹⁹, 40AE¹⁵, 90B¹⁷, 330D²⁴, 160E¹⁷, 30B²¹, 60AK¹³, 180J²¹, 195A¹⁷, 40L⁹, 20G¹³, 150F¹³, 100B⁹, 100G⁹, 175A¹⁹, 80U¹⁵, 40C¹³, 60E¹¹, 30C¹⁶, 150H¹⁹, 45D⁶, 90L¹⁵, 40K¹³, 25A⁴, 120C¹⁵, 160M²¹, 165A²¹, 125A¹², 40AF¹⁵, 40E¹³, 160P²¹, 160A²¹, 105C²¹, 35C², 35D¹⁵, 75F⁹, 120M¹⁷, 230B²³, 90C¹¹, 200B²¹, 75D¹⁷, 80B¹⁵, 70H²¹, 200B¹⁹, 80M⁹, 40Q⁹, 75C¹³, 120I¹⁷, 180I²¹, 40N⁵, 150B²⁰, 80C¹⁵, 80C¹¹, 80S¹⁵, 75F¹⁷, 80J⁷, 5D⁰, 160K¹⁹, 60K¹⁹, 60R¹³, 60B¹⁵, 20D¹⁹, 200B²³, 100H¹⁹, 40X¹⁵, 120D²¹, 120R¹⁹, 225A¹⁸, 15C⁹, 40N¹³, 40O⁷, 140D¹⁵, 90H¹³, 15F³, 100D¹², 50B⁶, 105E²¹, 80H²¹, 80AH¹⁷, 20B¹⁹, 150A¹⁶, 220C²³, 30E², 70C⁷, 60P¹⁷, 60V¹³, 40D³, 60O¹⁵, 25G⁴, 20C¹, 80AC¹⁹, 90J²¹, 100G¹⁹, 50B¹³, 35B⁷, 225A²⁰, 30C⁶, 20B¹, 15A¹⁰, 100B²¹, 65A¹¹, 80L⁹, 75C²⁴, 250A²⁴, 160J¹⁹, 60I¹⁵, 60J¹³, 80Q²¹, 40S¹³, 35C¹⁵, 15D⁴, 20M³, 40K¹¹, 45G⁵, 120C²¹, 70D¹¹, 60L¹³, 80E⁹, 120I¹³, 75D¹², 40K⁷, 60AA¹³, 60M¹⁵, 75C¹⁴, 165B¹², 20D⁵, 220B²³, 20Q³, 20E¹, 160C¹⁵, 60C¹¹, 75B¹⁴, 80AE¹⁹, 60R⁷, 70B⁸, 60C⁴, 70B⁵, 40I⁹, 80N⁹, 120K¹⁷, 20A³, 220A²³, 40V¹³, 35C¹³, 160S²¹, 150A¹⁵, 40F³, 135E¹³, 165A¹⁷, 10C², 190A¹⁹, 80O¹⁵, 120L²¹, 35A³, 80BC¹⁷, 150A¹¹, 120G¹³, 60B²¹, 45E²¹, 90E¹¹, 40O⁹, 80U¹⁹, 75E¹⁷, 80AD¹⁷, 100P¹⁹, 40J⁹, 100A¹⁰, 40H²¹, 180E²³, 30R¹³, 40H⁵, 140H¹⁹, 160H¹⁷, 75C⁶, 70F¹⁶, 110C¹¹, 75A⁶, 160D²¹, 40G⁹, 90H¹⁷, 70D¹³, 100A⁶, 40Q⁷, 60J⁹, 140B¹⁵, 80AM¹⁷, 60C¹⁵, 60Y¹⁷, 180K²³, 20H¹, 30O⁵, 10D¹, 100F¹³, 140A¹¹, 45C¹⁵, 105D¹⁴, 80AD²¹, 160J²¹, 80AB¹⁷, 105D²¹, 35D¹⁴, 175D¹⁹, 60Q¹¹, 65A⁵, 200J¹⁹, 180H²¹, 5G⁰, 60X²¹, 175B¹⁶, 250A²¹, 150A¹⁴, 40W⁹, 40AA¹⁵, 90F²¹, 30H⁵, 50E²¹, 200B¹⁷, 140D¹¹, 80D¹⁵, 50C¹³, 80BA¹⁷, 10A¹³, 60L⁹, 80AD¹⁹, 80O²¹, 30R⁹, 80AZ¹⁷, 55A¹⁰, 20K³, 25C², 60O²³, 80AJ¹⁷, 100C¹², 210A²³, 60N¹⁷, 80E⁷, 20C², 30G¹¹, 75C¹², 240D²¹, 80R²¹, 120H¹⁹, 75A¹⁰, 120K¹⁹, 110A⁸, 60G⁹, 80V²¹, 80Y¹⁹, 70F¹⁷, 80G⁷, 225A¹⁹, 220D²³, 85A¹⁵, 120M²¹, 55B²¹, 160K¹⁷, 120F²¹, 25E¹⁶, 60Q⁷, 180I²³, 40F¹¹, 40C²³, 15B⁵, 60C²¹, 80N¹⁵, 10G¹, 160B²³, 20A¹⁹, 40G⁵, 160R²¹, 125A⁶, 60K¹³, 40C⁵, 60Q²³, 110B²¹, 60M¹³, 40P⁷, 150F¹⁵, 120B²³, 50B⁹, 20N⁷, 30J⁹, 45H¹¹, 50B¹², 120I²³, 80AC²¹, 50C⁹, 30B¹¹, 150C¹², 120I²¹, 100A⁹, 160G¹⁷, 60C⁵, 90H²², 20B³, 160B²¹, 150I¹⁹, 180G²³, 40AC¹⁷, 20A⁰, 80AW¹⁷, 40W¹³, 80D⁷, 90G⁹, 155A¹⁵, 40I¹¹, 70G¹⁷, 80Y²¹, 80E¹³, 60I²¹, 160D²³, 30D⁵, 40AB¹⁷, 315A²⁴, 80J²¹, 210C²³, 150A¹⁰, 90K¹⁵, 75C¹⁷, 140H²³, 35B¹⁷, 30D¹³, 60G¹¹, 90C¹⁷, 20J¹, 40L¹³, 60AI¹³, 20E⁹, 45A¹⁰, 30K⁹, 70I¹⁹, 105B¹¹, 105B¹³, 80K⁷, 90G²², 40AG¹⁵, 40AT¹⁷, 50D¹³, 40AH¹⁷, 105A¹⁷, 90J¹⁹, 170A²³, 90G²⁰, 20C¹⁹, 75D¹⁴, 35C¹⁴, 90E⁹, 30Q¹³, 175B¹⁹, 125A¹⁰, 110A¹⁵, 100C⁷, 40V⁹, 150C¹⁹, 90I¹⁷, 55B⁵, 40L¹⁹, 100E⁹, 60F⁷, 90G²¹, 180B²³, 40B⁷, 50B¹⁹, 40R⁷, 25F⁶, 90A²⁴, 75D¹³, 90S¹⁷, 25C⁴, 30C², 80AN¹⁷, 20B¹⁷, 75C⁹, 10G⁰, 30M⁵, 20J⁵, 40AL¹⁷, 100A¹⁷, 15H¹, 20F¹³, 30D¹, 245A²¹, 140A¹⁵, 10C⁰, 70A⁷, 35B⁵, 50E¹³, 60M²¹, 40AR¹⁷, 30L³, 50F⁴, 100J¹³, 40H³, 70H¹⁴, 40H⁹, 60O¹⁷, 120A²³, 60K²¹, 80K⁹, 20B⁹, 180D²², 90F²², 80Y¹⁷, 80P¹⁵, 70G¹⁶, 80N¹⁹, 60U¹³, 30A⁰, 200A¹⁹, 40AO¹⁷, 40Y¹⁵, 40L⁷, 25C⁶, 75A¹⁷, 250A²², 90R¹⁷, 200F¹⁹, 30L¹³, 160Q²¹, 40S⁷, 160T²¹, 50A⁹, 70E¹⁷, 90E¹³, 100I¹⁹, 25B⁶, 60E⁷, 120M¹⁵, 200D¹⁹, 90H¹¹, 60R¹⁷, 150J¹⁵, 30G²¹, 80AS¹⁷, 90D¹⁷, 25D⁶, 110C²¹, 15C⁰, 80J⁹, 135A²¹, 40AF¹⁷, 150D¹³, 50A¹³, 250B²³, 150D¹², 40H¹⁹, 100C⁹, 45D⁵, 40AA⁷, 40B³, 25C¹⁶, 55B⁹, 80V¹⁵, 80G¹³, 225B²⁰, 40R¹³, 80M²¹, 75A¹², 105E¹⁴, 40X¹⁷, 150A¹³, 60AE¹⁵, 120G¹⁵, 100C¹⁷, 120K¹³, 60A⁵, 45D⁸, 40G²¹, 60AG¹³, 70F¹⁸, 20J³, 45F¹⁹, 90O²¹, 90E²¹, 50B¹⁴, 50E²², 90B¹¹, 5H⁰, 120E²³, 35A¹⁶, 40M⁷, 40O¹³, 130A¹⁷, 90K¹⁹, 30K³, 40F¹⁹, 40AP¹⁷, 60AF¹⁵, 40N⁹, 45F¹¹, 90A⁹, 50A¹⁴, 240A²¹, 40A¹⁹, 45E¹⁶, 130B²³, 130B¹³, 40K²¹, 50C¹⁶, 105A¹³, 60I⁷, 120N¹⁹, 80V¹⁹, 30H⁹, 80AG¹⁷, 40Q¹³, 160L²¹, 150E¹³, 250B²⁴, 40E¹⁹, 120D²³, 120A¹¹, 80P²¹, 160O²¹, 105D¹⁵, 120E²¹, 120J²³, 40AB¹⁵, 50D⁵, 160M¹⁷, 80K²¹, 15B⁹, 60F¹¹, 10F⁰, 40J¹³, 40M¹⁹, 100A⁷, 80BE¹⁷, 125A²⁰, 40AI¹⁵, 135C¹⁷, 160C²¹, 95A¹⁷, 160F¹⁷, 150C²³, 45B¹⁵, 50D⁴, 75E⁹, 180G²¹, 220B¹⁹, 180E²¹, 60B⁵, 30Q⁷, 120I¹⁵, 75A¹³, 80D¹¹, 90K²¹, 80AA²¹, 60A²¹, 150C²⁰, 30H¹¹, 90D²¹, 60E⁹, 60W¹³, 25A⁸, 15A¹⁷, 250B¹⁸, 120H²¹, 120F¹³, 90D⁹, 225C²⁰, 125B¹⁰, 45C⁹, 250B²², 90C²¹, 80AG²¹, 90C²⁴, 60N¹³, 80AT¹⁷, 120M¹⁹, 180C¹³, 50C⁴, 125A¹⁶, 20S³, 130C²¹, 30B¹⁹, 15C¹, 30R⁵, 160B¹⁵, 120Q²³, 200C¹⁹, 50A²⁰, 50G¹², 150B¹⁹, 30H⁴, 10K¹, 40R⁹, 45E¹⁷, 20E¹³, 40AS¹⁷, 80T¹⁵, 40X⁷, 45I¹⁹, 135A¹⁷, 40AJ¹⁷, 30F⁵, 80W²¹, 180C²³, 195B¹⁷, 20K⁷, 90E²², 180E¹³, 100A²¹, 60F²¹, 120N²¹, 60P¹¹, 60T¹³, 50A¹⁶, 120K²¹, 70F¹³, 20M⁷, 30H²¹, 65A²¹, 30J¹⁷, 80A¹³, 180D²³, 120E⁹, 75A¹⁴, 50C¹², 20D¹, 40B⁵, 140C¹⁵, 60Z¹³, 30G⁹, 40M²¹, 60G²¹, 80F¹³, 20I¹, 25A¹⁰, 30L⁹, 90I¹³, 70G¹⁸, 45C⁴, 45E⁹, 60P⁷, 80S²¹, 115A¹¹, 80AA¹⁷, 80AX¹⁷, 120J¹⁷, 25D¹⁶, 200E¹⁹, 90E¹⁰, 60AC¹⁵, 30S⁷, 60T¹¹, 25D², 90H¹⁵, 75B¹², 90D⁷, 60A¹⁵, 140D¹⁷, 35A¹¹, 65C¹⁹, 80Q¹⁵, 120H¹³, 60V¹⁷, 140C²¹, 120G¹⁹, 105C¹⁶, 60D¹¹, 80P⁹, 40K⁹, 20G³, 80H⁷, 15I¹, 35E⁹, 60H¹⁵, 120D⁹, 80BB¹⁷, 40M⁹, 190B¹⁹, 50A²¹, 120E¹³, 40I³, 90C⁷, 30E⁵, 150B¹⁴, 80E²¹, 150G¹⁵, 120N¹⁷, 30C¹, 30S⁹, 40G¹¹, 40AK¹⁷, 40A¹, 45B²², 140B²¹, 180A²⁴, 105C¹⁷, 150I¹⁵, 35D⁹, 160L¹⁷, 70A²⁴, 160E²¹, 60S¹³, 50B⁵, 105C⁶, 60S¹¹, 100I⁹, 80O⁹, 45B⁷, 50D¹², 180C²¹, 80B¹³, 100D¹⁹, 60AD¹³, 40O⁵, 115A²¹, 70H¹⁶, 90A⁵, 60M⁷, 90D¹⁸, 150F¹⁹, 50B¹⁸, 140C¹¹, 25A², 25A⁰, 30C²³, 20F⁹, 40B¹³, 40M¹³, 100O¹⁹, 200A¹⁵, 80AA¹⁹, 135B¹⁷, 80AF²¹, 100D¹⁴, 120D¹¹, 100C¹³, 25A¹⁶, 180H²⁰, 120B²¹, 40Z¹⁵, 10F², 65A¹³, 90F¹⁷, 20R³, 80I²¹, 60M⁹, 60K¹⁵, 45G¹¹, 150B¹⁵, 80AU¹⁷, 95A²⁴, 80L²¹, 80X²¹, 90O¹⁵, 85C¹³, 100C¹⁹, 210E²³, 125B⁶, 175A¹⁴, 50A¹⁸, 90I¹¹, 20L³, 50A⁴, 30P⁹, 30C⁵, 210H¹⁶, 50A⁵, 25B⁴, 40D¹⁹, 45F²¹, 60M¹⁹, 140E²³, 90I²¹, 60N¹⁵, 50D⁹, 60H²¹, 60N²³, 120F¹⁹, 40AC¹⁵, 140F²³, 60S¹⁷, 80C¹³, 45C¹⁸, 40J²¹, 90A⁴, 60X¹³, 170C¹⁵, 40AA¹⁷, 150D¹⁴, 80AI¹⁷, 40V¹⁷, 20I¹⁵, 50F¹², 15C⁵, 80L¹⁹, 80D¹³, 60D¹⁵, 210G¹⁸, 160J¹⁷, 150G¹⁹, 45H⁵, 40Y⁷, 70A¹³, 60X¹⁷, 80AK¹⁷, 150B¹³, 40D¹³, 80I⁹, 175A¹⁵, 50C¹⁹, 60H⁷, 70J¹⁷, 60N²¹, 120S²³, 60B¹¹, 90P¹⁵, 240C²¹, 175C¹⁶, 70A⁶, 100A¹³, 20E⁷, 100A¹⁴, 30D¹², 50A², 80I¹³, 45A²², 50C⁵, 150D¹⁹, 200A¹⁷, 60AJ¹³, 10A⁶, 75B¹⁷, 100D¹⁷, 80AE¹⁷, 60AB¹⁵, 50B⁴, 90F²⁰, 120L¹³, 160L¹⁹, 85B¹⁵, 90A²³, 20A²¹, 60D⁷, 60L¹⁵, 35A²¹, 75B⁶, 15B⁰, 50D⁶, 120J¹⁹, 60I¹³, 210B²³, 80AV¹⁷, 50A²⁴, 45F¹⁷, 100B¹⁹, 30C³, 80Z²¹, 40P¹³, 40R¹⁷, 50B², 45A²¹, 30B³, 180D²¹, 40N⁷, 90J¹¹, 40T¹⁷, 100C¹⁴, 145A¹³, 60W¹⁷, 100L¹⁹, 240B²¹, 40C¹⁹, 160H²¹, 100E¹⁷, 130A¹³, 50B²¹, 40W¹⁷, 100A¹⁵, 120Q¹⁷, 120I¹⁹, 150D²⁰, 80B²¹, 60E⁶, 100B⁷, 60F¹⁵, 40J³, 60P¹³, 30I¹³, 250B¹⁹, 180N²³, 40AD¹⁷, 80AQ¹⁷, 30Q⁹, 80T¹⁹, 15B⁸, 70H¹⁹, 200C²¹, 150C¹³, 180C²², 20L⁷, 25B¹², 150A¹², 90D¹¹, 60A¹¹, 80F²¹, 80B⁷, 180B²⁴, 90K¹⁷, 70I²¹, 40AC⁷, 50C⁷, 30G⁵, 60L²¹, 80AB²¹, 140E¹¹, 70F¹⁹, 80A²¹, 150B²³, 120F²³, 120A¹⁷, 60Q¹³, 60B³, 60Q²¹, 30B²³, 40L⁵, 80O¹⁹, 45A¹⁸, 55B²⁴, 40U¹³, 45D³, 210A¹², 90E¹⁷, 210D²³, 140B¹⁸, 120F¹⁵, 30R⁷, 40A⁷, 15E³, 100B¹⁴, 15B¹⁹, 250A²⁰, 165B²¹, 80Z¹⁷, 40D²³, 150A¹⁹, 60F⁶, 140C¹⁷, 255A²³, 80C⁷, 140B¹¹, 200I¹⁹, 40Y¹⁷, 210C¹⁵, 40AM¹⁷, 70D⁹, 135B¹¹, 50D²¹, 200A²³, 180F¹³, 120O¹⁷, 60AG¹⁵, 210F²³, 20A¹⁵, 30S⁵, 105B¹⁷, 140G²³, 100B¹⁷, 210F¹⁸, 100H⁹, 60F⁹, 80Q¹⁹, 90K¹¹, 75C¹⁹, 180H²³, 60D²¹, 230A²³, 40V⁷, 60J²¹, 180B¹³, 100B¹³, 30F³, 45D²³, 40B¹⁹, 40AB⁷, 80AP¹⁷, 120A²¹, 125A⁸, 90J¹⁵, 80F⁷, 20I⁵, 20E¹¹, 60P²¹, 20B¹⁵, 45K¹³, 120B¹⁷, 80X¹⁷, 100D¹⁵, 130B¹¹, 170A¹⁷, 140C¹⁸, 80W¹⁹, 120S¹⁹, 60S²³, 80A¹¹, 20P⁷, 80M¹⁹, 65D¹⁹, 50D¹⁹, 80G²¹, 40W⁷, 160K²¹, 30C¹⁹, 50A³, 240A²³, 30C¹⁵, 150E¹⁵, 60S⁷, 90G¹³, 80U²¹, 100C¹⁵, 120L¹⁵, 30B¹⁵, 150D²³, 160U²¹, 150C¹⁵, 15E¹, 40AN¹⁷, 150B¹², 30J¹¹, 80BF¹⁷, 35E⁶, 90F¹¹, 200A²¹, 80X¹⁹, 90A¹⁷, 40I²¹, 70E¹³, 50D²², 100H¹³, 100D¹³, 120O¹⁹, 45G¹⁹, 210B²¹, 100B¹², 120P¹⁷, 40S¹⁷, 75B²⁴, 55A²², 75D⁶, 40Z⁷, 240B²³, 50A¹⁹, 50B²², 15G¹, 90Q¹⁷, 80Z¹⁹, 15B¹⁷, 35C⁵, 80AY¹⁷, 60AC¹³, 95A⁹, 185A¹⁷, 60V¹¹, 100E¹³, 100A¹⁹, 30I⁴, 90J¹⁷, 25B⁰, 60O²¹, 60A⁸, 30L²³, 40A³, 210D¹⁵, 20E¹⁰, 60O¹¹, 180A²³, 120H¹⁵, 25D⁴, 20H³, 40C³, 170D¹⁵, 25B¹⁶, 80B¹¹, 80BD¹⁷, 40E³, 30J¹³, 30I¹⁷, 40H¹¹, 105C¹¹, 40AD¹⁵, 80R¹⁹, 70E⁹, 150A²⁰, 10B⁰, 45L¹³, 130A²³, 50C⁶, 220A¹⁹, 25A¹², 20J⁷, 60Q¹⁷, 100D⁹, 30G¹⁷, 60E²¹, 80AF¹⁷, 90B²³, 30J²³, 85B⁷, 220C¹⁹, 25F⁴, 90B⁶, 180F²¹, 60L¹⁹, 150A²¹, 110A²¹, 90F¹³, 120J¹⁵, 80AL¹⁷, 40AE¹⁷, 60N⁹, 250A¹⁸, 90B²⁴, 20D⁶, 60J¹⁵, 60AD¹⁵, 80V¹⁷, 105D²², 80W¹⁷, 70B⁷, 70B¹³, 120E¹⁵, 80F⁹, 100E¹⁹, 100F¹⁹, 120J¹³, 250A¹⁹, 120C⁹, 160A²³, 105A²⁰, 100F⁹, 50A¹², 120F⁹, 80AC¹⁷, 100C²¹, 80D²¹, 40AG¹⁷, 80R¹⁵, 120P¹⁹, 210H²³, 40G³</t>
        </is>
      </c>
    </row>
    <row r="19">
      <c r="A19">
        <f>HYPERLINK("https://mathstats.uncg.edu/sites/pauli/congruence/csg0.html#group5C0", "5C⁰")</f>
        <v/>
      </c>
      <c r="B19" t="n">
        <v>0</v>
      </c>
      <c r="C19" t="inlineStr"/>
      <c r="D19" t="inlineStr">
        <is>
          <t>10</t>
        </is>
      </c>
      <c r="E19" t="inlineStr">
        <is>
          <t>1</t>
        </is>
      </c>
      <c r="F19" t="inlineStr">
        <is>
          <t>10</t>
        </is>
      </c>
      <c r="G19" t="inlineStr">
        <is>
          <t>2</t>
        </is>
      </c>
      <c r="H19" t="inlineStr">
        <is>
          <t>1</t>
        </is>
      </c>
      <c r="I19" t="inlineStr">
        <is>
          <t>5²</t>
        </is>
      </c>
      <c r="J19" t="n">
        <v>2</v>
      </c>
      <c r="K19" t="inlineStr">
        <is>
          <t>2¹, 4²</t>
        </is>
      </c>
      <c r="L19" t="inlineStr">
        <is>
          <t>1A⁰</t>
        </is>
      </c>
      <c r="M19" t="inlineStr">
        <is>
          <t>5F⁰, 5G⁰, 10D⁰, 10C¹, 10F¹, 15D¹, 15C², 20E², 25E², 35B⁴, 35A⁵, 55A⁷, 55A⁹, 65A⁹, 85B¹³, 25A¹⁴, 95A¹⁵, 45B¹⁸, 115A¹⁹, 145A²³</t>
        </is>
      </c>
      <c r="N19" t="inlineStr">
        <is>
          <t>1A⁰</t>
        </is>
      </c>
      <c r="O19" t="inlineStr">
        <is>
          <t>40G⁷, 25A¹⁴, 50C¹⁹, 60A¹³, 15A¹⁹, 35B¹⁵, 20E³, 40J¹⁷, 115A¹⁹, 145A²³, 70F²¹, 60S¹⁵, 80E²³, 90C¹⁹, 50B²³, 30E¹⁷, 150A²³, 165A²³, 15A⁹, 15A¹⁰, 30E²¹, 20E⁷, 60B²³, 40P¹⁵, 30D¹², 25E², 40G²¹, 20D¹¹, 50F⁹, 90F¹⁰, 105C¹³, 40M¹⁷, 95A¹⁵, 35C¹⁵, 10A⁶, 45O¹³, 80R¹⁷, 30J⁵, 20B²¹, 15D⁴, 10D³, 15A⁷, 65A⁹, 140D²³, 20A²¹, 45B²¹, 40AJ¹⁵, 30F², 5H⁰, 40J¹¹, 60D¹⁷, 40R¹⁵, 45D¹⁷, 90D¹³, 50E⁵, 80G¹⁵, 20D¹³, 90D¹², 80N¹⁷, 20E², 60C¹⁰, 35B¹⁹, 45A¹⁷, 60B¹⁴, 20F¹⁵, 30B⁴, 40E¹⁷, 50A²⁴, 150A²², 110B¹⁹, 40E²¹, 35A¹³, 30B¹⁰, 15B⁴, 30B¹⁷, 5F⁰, 50A¹⁴, 40R¹⁷, 60K¹⁷, 30C¹⁰, 75A²², 40F⁷, 60D¹⁹, 30C⁴, 30H⁷, 20H⁷, 30K²³, 20G⁵, 60H¹⁷, 10C², 60U¹⁵, 30C⁹, 10B⁴, 15C², 120P²³, 40D⁷, 20E⁵, 20B⁷, 30F¹², 25E⁴, 80J¹⁵, 55A¹⁶, 60B¹⁹, 30F²³, 15B⁹, 60A¹², 40H²¹, 50C²², 15A²³, 60D¹², 40C¹⁵, 45A¹⁶, 35A¹⁸, 30H²³, 45H¹², 30Q⁵, 40M¹⁹, 30D¹⁵, 30D¹⁷, 40S¹⁵, 35B⁴, 50E⁴, 60L¹¹, 90C²³, 15B⁸, 40F¹³, 60U²¹, 40D¹⁷, 60A¹⁷, 30A¹⁵, 10A⁵, 60E¹⁸, 15D², 20B⁵, 45B¹⁷, 50A¹¹, 60E¹³, 30I⁵, 70D¹⁹, 40I¹⁹, 90D²³, 10B⁵, 135A²³, 35B⁹, 45A⁹, 30B²², 20B¹³, 60F¹⁹, 25A⁸, 15A¹⁷, 80S¹⁷, 30E¹³, 70I¹⁷, 50A²³, 20G⁷, 30G¹⁰, 60F¹⁷, 30B²³, 80I¹⁹, 5G⁰, 30N⁹, 45A¹⁸, 55B²⁴, 20A¹⁷, 90L¹⁷, 60AH¹³, 70C¹¹, 140A²³, 100A²², 50B²⁴, 30H¹⁰, 40C¹⁷, 20D¹⁵, 45E⁵, 80M¹⁵, 40D⁹, 60Z¹⁵, 20F², 40L¹⁵, 60H²³, 60L⁷, 30B¹⁹, 70C²¹, 50E²¹, 40K¹⁹, 90E²³, 140B²³, 140E¹⁹, 50A²⁰, 70C⁹, 10B³, 110A¹⁷, 75A²³, 10C¹, 15B¹⁹, 20C⁷, 60F²³, 40D²³, 80F¹¹, 10A¹³, 30G⁷, 20H¹⁵, 40S⁹, 15B⁷, 45A²³, 20C²¹, 25A²⁰, 60M¹¹, 60E¹⁹, 80F¹⁵, 120E¹⁷, 20A¹², 130B²¹, 10A³, 15A⁵, 90N¹⁷, 25E⁶, 30H³, 20F⁷, 30J⁷, 90A¹⁶, 40G¹⁵, 40J¹⁹, 20A¹⁵, 80M¹⁷, 60P¹⁵, 15G³, 60K⁷, 15A¹², 15B³, 30A²³, 40C⁹, 40I¹³, 60K²³, 40B²¹, 80J¹⁹, 20C¹³, 150A²⁴, 60G¹⁷, 80AI²¹, 60R¹⁵, 10A⁷, 40M¹⁵, 30A¹³, 80E¹¹, 70B²¹, 60D²³, 80C²³, 60H¹¹, 80D¹⁷, 20A⁵, 10D², 20F¹, 30K⁵, 140D¹⁹, 80I¹⁷, 40O¹⁵, 120H¹⁷, 25A¹⁰, 40G¹³, 75A²⁴, 30N¹³, 60G²³, 20C¹⁵, 40C²³, 40J¹⁵, 80D¹⁹, 15B⁵, 45C¹⁴, 100A²³, 20A¹⁹, 105A²², 60J⁷, 30K¹⁷, 60V¹⁵, 20B¹¹, 130A¹⁹, 30M⁹, 30A¹⁶, 20B¹⁵, 30L⁷, 60C¹⁷, 40H¹⁵, 45E¹¹, 80H¹⁷, 55A¹⁷, 40E⁵, 30N⁷, 90F²³, 40T⁹, 20P⁷, 30B¹¹, 70A¹¹, 50D¹⁹, 105A¹⁸, 35A¹⁰, 150E²⁰, 80T¹⁷, 40B¹¹, 30I⁷, 60Q¹⁵, 70D¹⁷, 30I²³, 30B¹², 30D²¹, 40A¹⁰, 30C¹⁵, 45H¹⁹, 60S²¹, 45A¹¹, 40Q¹⁵, 80AH²¹, 35A¹⁷, 30B¹⁵, 60E¹², 60I¹¹, 100R¹⁹, 65A¹⁹, 75A¹¹, 30A¹⁴, 80P¹⁷, 80K¹⁵, 20B⁴, 40T¹⁵, 75A¹⁹, 55A⁷, 60E²³, 70D¹⁵, 70A¹⁰, 45C²³, 10D⁰, 60R²¹, 40I¹⁷, 90A¹⁸, 30D¹³, 90A¹⁹, 40I²¹, 50D²², 120G¹⁷, 20A¹³, 40L¹⁷, 75B²⁴, 105A²³, 75E¹⁴, 40S¹⁷, 40H⁷, 90B¹³, 85B¹³, 50A¹⁹, 50B²², 50A²², 20C¹⁹, 30B⁹, 35C¹⁴, 30B²¹, 80H¹⁵, 130B¹⁹, 20N³, 20E¹⁵, 40B¹⁵, 40B²³, 50B¹⁸, 20F³, 40A²¹, 15B¹⁷, 10F¹, 45C²¹, 35C⁹, 30C⁸, 20G¹³, 80L¹⁵, 10E², 40L¹⁹, 60X¹⁵, 60K¹¹, 30C²³, 20O⁷, 70D²¹, 40A¹⁵, 25F⁶, 90G¹⁴, 40A¹¹, 70E²¹, 40K⁵, 30A¹⁷, 80E¹⁹, 20B¹⁷, 10H¹, 20D⁷, 30C¹⁶, 40I⁷, 20E¹⁰, 40E¹⁵, 45B⁸, 40A²³, 45C⁷, 40D²¹, 100A²⁴, 30G²³, 80E¹⁵, 25A¹⁶, 45D¹⁰, 65A¹⁷, 10J¹, 15A¹¹, 20A⁹, 40I¹⁵, 10F², 20F⁵, 60J¹⁷, 120O²³, 40P¹⁷, 45J¹³, 20A¹¹, 90H¹⁹, 110C¹⁴, 40H¹⁷, 20C¹¹, 90O¹⁷, 60A²³, 60C²³, 130A²¹, 20B⁹, 45B¹⁸, 70G²¹, 40H¹³, 20G¹⁵, 80O¹⁷, 60H¹⁸, 70C⁸, 45D¹⁵, 90M²¹, 140F¹⁹, 30C¹¹, 50A¹⁸, 80A²³, 110A¹⁹, 25A¹², 30D⁹, 30J²³, 90E¹⁵, 35C⁸, 30G¹², 30C¹⁷, 30F⁹, 30C²¹, 40F⁵, 25F⁴, 35A⁵, 105A¹⁹, 60W¹⁵, 80I¹⁵, 100B²³, 45B²³, 40U⁹, 40D¹¹, 40J⁷, 40F¹⁷, 15C³, 60F¹⁸, 90M¹⁷, 80E¹⁷, 30A⁵, 40Q¹⁷, 120M²³, 60I¹⁷, 45F¹², 20D⁶, 45G¹², 20D¹⁹, 60L²³, 45D²¹, 60I²³, 70B¹¹, 15D⁵, 90B¹⁹, 80Q¹⁷, 60M²³, 45E²³, 120N²³, 30E⁹, 20H⁵, 55A⁹, 40N¹⁵, 30D¹¹, 20O³, 40F¹⁵, 140C²⁰, 120F¹⁷, 20I¹⁵, 65B¹⁹, 45A²⁴, 20I⁷, 40B¹⁷, 50A¹⁷, 140G¹⁹, 100E¹⁴, 20B¹⁹, 15D¹, 30M¹³, 80B²³, 40E⁷, 100J⁹, 15A¹³, 40D¹⁵, 20A⁷, 40K¹⁷, 60V²¹, 30E¹⁵, 90G¹¹</t>
        </is>
      </c>
    </row>
    <row r="20">
      <c r="A20">
        <f>HYPERLINK("https://mathstats.uncg.edu/sites/pauli/congruence/csg0.html#group5D0", "5D⁰")</f>
        <v/>
      </c>
      <c r="B20" t="n">
        <v>0</v>
      </c>
      <c r="C20" t="inlineStr">
        <is>
          <t>Γ₁(5)</t>
        </is>
      </c>
      <c r="D20" t="inlineStr">
        <is>
          <t>12</t>
        </is>
      </c>
      <c r="E20" t="inlineStr">
        <is>
          <t>1</t>
        </is>
      </c>
      <c r="F20" t="inlineStr">
        <is>
          <t>6</t>
        </is>
      </c>
      <c r="G20" t="inlineStr">
        <is>
          <t>0</t>
        </is>
      </c>
      <c r="H20" t="inlineStr">
        <is>
          <t>0</t>
        </is>
      </c>
      <c r="I20" t="inlineStr">
        <is>
          <t>1², 5²</t>
        </is>
      </c>
      <c r="J20" t="n">
        <v>4</v>
      </c>
      <c r="K20" t="inlineStr">
        <is>
          <t>1², 4¹</t>
        </is>
      </c>
      <c r="L20" t="inlineStr">
        <is>
          <t>5B⁰</t>
        </is>
      </c>
      <c r="M20" t="inlineStr">
        <is>
          <t>5H⁰, 10F⁰, 25B⁰, 10D¹, 15G¹, 15B², 20B³, 25C⁴, 25B⁴, 25D⁴, 25A⁴, 35C⁵, 35A⁶, 55B⁹, 55A¹⁰, 65A¹¹, 85B¹⁵, 95A¹⁷, 115A²¹, 45A²²</t>
        </is>
      </c>
      <c r="N20" t="inlineStr">
        <is>
          <t>5B⁰, 1A⁰</t>
        </is>
      </c>
      <c r="O20" t="inlineStr">
        <is>
          <t>80G¹³, 20A¹⁹, 40R¹³, 100G¹⁹, 20I⁵, 60N²¹, 15A¹⁹, 60B¹¹, 60K¹³, 70J¹⁷, 30C⁶, 25D¹⁶, 60P²¹, 20B¹⁵, 110B²¹, 50B⁹, 15A¹⁰, 60A¹⁵, 65A¹¹, 35A¹¹, 30J⁹, 45H¹¹, 50B¹², 60J¹³, 45A²², 120I²³, 50C⁹, 70F¹⁸, 60AJ¹³, 75B¹⁷, 90O²¹, 90E²¹, 60D¹¹, 30P¹³, 20G³, 15I¹, 85B¹⁵, 35E⁹, 20B³, 5H⁰, 35A²¹, 35A¹⁶, 40O¹³, 105B²¹, 40K⁷, 75C¹⁴, 80E¹³, 60I¹³, 90H²¹, 20D⁵, 30D⁵, 30S⁹, 40AB¹⁷, 60C¹¹, 90G¹⁷, 75B¹⁴, 100B¹⁹, 45F¹⁷, 80J²¹, 75C¹⁷, 80Z²¹, 40P¹³, 45B²², 70E¹³, 35A⁶, 20A³, 40L¹³, 40N⁷, 60AI¹³, 40T¹⁷, 20E⁹, 60S¹³, 30K⁹, 10B⁴, 50D¹², 40Q¹³, 30H¹³, 100N¹⁹, 100D¹⁹, 50F⁵, 100A¹⁵, 80N²¹, 80B²¹, 45E²¹, 40C⁷, 120J²³, 75D¹⁴, 115A²¹, 15G¹, 90Q¹⁷, 15B⁹, 40J³, 10F⁰, 15B¹⁷, 35C⁵, 40J¹³, 30R¹³, 100B¹⁵, 20G¹³, 125A²⁰, 90G²¹, 30H¹⁷, 95A¹⁷, 100A¹⁹, 45B¹⁵, 90J¹⁷, 20F⁹, 40C¹³, 90A²⁴, 90S¹⁷, 80U¹⁵, 25B⁰, 40B¹³, 25C⁴, 40G⁹, 25B¹², 10A⁵, 60A¹¹, 30M⁵, 80F²¹, 40K¹³, 45A⁸, 80AA²¹, 30G⁵, 60L²¹, 55B¹⁷, 20H¹, 30H¹¹, 25D⁴, 10D¹, 90D²¹, 25A⁴, 25A¹⁶, 20F¹³, 45C¹⁵, 25B¹⁶, 45D⁹, 80A²¹, 90F¹⁷, 20R³, 40M⁵, 50E¹³, 125A¹², 80O¹⁹, 45C⁹, 75F⁹, 50F⁴, 100J¹³, 90C²¹, 40H⁹, 60O¹⁷, 40W⁹, 60N¹³, 75D¹⁷, 100C¹⁹, 125A¹⁶, 20S³, 90F²¹, 25A¹², 20J⁷, 60Q¹⁷, 30G¹⁷, 10K¹, 80D¹⁵, 80U¹⁷, 30P⁹, 30C⁵, 10A¹³, 45E¹⁷, 75A¹⁷, 25B⁴, 25A²⁰, 20E¹³, 110A²¹, 75F¹⁷, 45F²¹, 50D⁹, 55A¹⁰, 90R¹⁷, 40Y¹⁷, 30L¹³, 45G⁹, 60H²¹, 50A⁹, 125B¹², 60J¹⁵, 100H¹⁹, 20A¹⁵, 40AC¹⁵, 80V¹⁷, 15B², 60F²¹, 30S⁵, 30G²¹, 35D¹³, 90D¹⁷, 15C⁹, 110C²¹, 70F¹³, 70B¹³, 20M⁷, 40AA¹⁷, 65A²¹, 75A¹⁰, 30J¹⁷, 135A²¹, 30N⁵, 40AF¹⁷, 100E¹⁹, 100F¹⁹, 75A¹⁴, 15F³, 50C¹², 75C¹⁹, 105E²¹, 60D²¹, 40H¹⁹, 80H²¹, 60G²¹, 105A²⁰, 50A¹², 80F¹³, 15C⁵, 125B²⁰, 80D¹³, 25E¹⁶, 70C¹³, 45H⁵, 25C¹⁶, 55B⁹, 40AG¹⁷, 60C²¹, 40D¹³</t>
        </is>
      </c>
    </row>
    <row r="21">
      <c r="A21">
        <f>HYPERLINK("https://mathstats.uncg.edu/sites/pauli/congruence/csg0.html#group5E0", "5E⁰")</f>
        <v/>
      </c>
      <c r="B21" t="n">
        <v>0</v>
      </c>
      <c r="C21" t="inlineStr"/>
      <c r="D21" t="inlineStr">
        <is>
          <t>15</t>
        </is>
      </c>
      <c r="E21" t="inlineStr">
        <is>
          <t>1</t>
        </is>
      </c>
      <c r="F21" t="inlineStr">
        <is>
          <t>5</t>
        </is>
      </c>
      <c r="G21" t="inlineStr">
        <is>
          <t>3</t>
        </is>
      </c>
      <c r="H21" t="inlineStr">
        <is>
          <t>0</t>
        </is>
      </c>
      <c r="I21" t="inlineStr">
        <is>
          <t>5³</t>
        </is>
      </c>
      <c r="J21" t="n">
        <v>3</v>
      </c>
      <c r="K21" t="inlineStr">
        <is>
          <t>1¹, 4¹</t>
        </is>
      </c>
      <c r="L21" t="inlineStr">
        <is>
          <t>5A⁰</t>
        </is>
      </c>
      <c r="M21" t="inlineStr">
        <is>
          <t>5G⁰, 10E¹, 10I¹, 15F¹, 10A², 25F², 15A³, 20D³, 35B⁶, 35A⁸, 55A¹¹, 55A¹³, 65A¹⁴, 85A¹⁹, 95A²³</t>
        </is>
      </c>
      <c r="N21" t="inlineStr">
        <is>
          <t>1A⁰, 5A⁰</t>
        </is>
      </c>
      <c r="O21" t="inlineStr">
        <is>
          <t>20D⁴, 20A¹⁹, 50C¹⁹, 30I¹⁰, 20B⁶, 15A¹⁹, 40F²⁴, 60J¹⁹, 20B¹⁵, 20A²⁰, 60D¹⁸, 50B²³, 40H²², 80H²², 30D¹⁰, 15A⁹, 30P⁷, 20F¹⁰, 15A¹⁰, 40E¹⁰, 20E⁷, 10I¹, 30L⁵, 30D¹², 40G²¹, 80G²², 20P⁷, 75B¹¹, 30B¹¹, 35C¹⁵, 10A⁶, 50D¹⁹, 30D¹⁶, 20B²¹, 75B¹⁹, 40A²⁰, 15A⁸, 15D⁴, 80D¹⁸, 20A²¹, 10E¹, 30C¹⁵, 20B²⁰, 40AJ¹⁵, 20C⁸, 45H¹⁹, 40F²¹, 25F², 70A²², 10C³, 90P¹⁷, 90D¹⁹, 105C¹⁹, 40D¹⁸, 40L²², 30B¹⁵, 40F¹⁰, 35C¹⁹, 40E¹⁶, 30A¹¹, 20F¹⁵, 50A²⁴, 30D⁸, 40G⁸, 30B¹⁰, 30F¹⁷, 30E²³, 50A¹⁴, 30D¹³, 80A²⁴, 100M¹⁹, 80F²², 40I²¹, 50D²², 40R¹⁷, 40D²⁴, 60J¹⁸, 30O⁹, 40E¹¹, 55A¹³, 45D⁷, 30F⁴, 40K²², 60H¹⁹, 40N²², 75B²⁴, 40S¹⁷, 10C², 10B⁴, 50E⁹, 60C²², 20B¹⁰, 40G¹⁰, 50A¹⁹, 60A²², 15H³, 20D³, 20D⁹, 40F²², 50B²², 40I²², 10A⁴, 30A¹⁹, 20C¹⁹, 40M²², 30B²¹, 30E¹⁰, 90B¹⁶, 45B¹⁹, 35C¹⁴, 25A²², 15B⁹, 35A⁸, 40H²¹, 90E¹⁹, 40E²³, 50B¹⁸, 60J²³, 15B¹⁷, 70C¹⁵, 40M¹⁹, 30F²¹, 20G¹³, 60B¹⁰, 40L¹⁹, 40H⁸, 30C¹², 25F⁶, 30C²³, 15B⁸, 45B¹³, 30F¹⁵, 30A²², 20B¹⁷, 30C¹⁶, 40I²³, 10A², 10A⁵, 30C²², 30F¹⁰, 20C²², 20E¹⁰, 40K¹⁵, 40A¹³, 45A¹³, 50A¹⁰, 25A¹⁶, 65A¹⁴, 30A⁸, 90I¹⁹, 30E⁴, 40A¹², 15A¹⁷, 60A¹⁸, 30E¹³, 10F², 20C¹⁰, 40J²², 70A¹⁴, 60C¹⁸, 40B²⁰, 30B¹⁶, 30B²³, 80F¹⁸, 5G⁰, 30E²², 55A¹¹, 30B¹³, 80C²², 45A¹⁸, 40C²², 40G²³, 35A¹⁴, 40E²⁴, 80B²², 55B²⁴, 50B²⁴, 20B⁹, 15B¹⁰, 45D¹⁶, 40G²², 20C⁹, 40F²³, 90C¹⁸, 30B¹⁹, 20A²², 15A³, 50B⁷, 50E²¹, 60A²⁴, 30G¹³, 50A¹⁸, 80D²², 40C¹⁰, 50A²⁰, 10B³, 25A¹², 40J²³, 40C²⁴, 15B¹⁹, 40H²³, 30J²³, 70B¹⁷, 40D²³, 15C⁷, 25F⁴, 60D²², 10A¹³, 25A⁸, 20E⁴, 20C²¹, 45B¹⁰, 45C¹⁷, 40D¹⁶, 25A²⁰, 5H⁰, 40A²², 15F¹, 60I¹⁹, 60B²², 35B¹³, 25E⁶, 20F⁷, 50B¹¹, 30D²³, 30C⁷, 40D²², 40B²², 20A¹⁰, 20D⁶, 20D¹⁹, 20A¹⁵, 40B¹⁸, 20D¹⁰, 20C⁵, 70B¹⁴, 20P³, 40E²², 30A²¹, 20B¹³, 50A⁷, 80E²², 20B²², 45B¹⁶, 60M¹⁷, 40B²⁴, 40A²⁴, 30A¹⁰, 30A⁷, 90A²², 10A⁷, 60D¹⁶, 35A²², 15A¹⁶, 60F¹⁶, 20I¹⁵, 70A¹⁸, 30E¹¹, 85A¹⁹, 70D¹⁸, 20B⁸, 45C¹⁶, 15C⁴, 20B¹⁹, 110A²⁴, 25A¹⁰, 95A²³, 35B⁶, 60E¹⁶, 40C²³, 30E¹⁶, 40D¹⁰, 15B⁵</t>
        </is>
      </c>
    </row>
    <row r="22">
      <c r="A22">
        <f>HYPERLINK("https://mathstats.uncg.edu/sites/pauli/congruence/csg0.html#group5F0", "5F⁰")</f>
        <v/>
      </c>
      <c r="B22" t="n">
        <v>0</v>
      </c>
      <c r="C22" t="inlineStr"/>
      <c r="D22" t="inlineStr">
        <is>
          <t>20</t>
        </is>
      </c>
      <c r="E22" t="inlineStr">
        <is>
          <t>1</t>
        </is>
      </c>
      <c r="F22" t="inlineStr">
        <is>
          <t>10</t>
        </is>
      </c>
      <c r="G22" t="inlineStr">
        <is>
          <t>0</t>
        </is>
      </c>
      <c r="H22" t="inlineStr">
        <is>
          <t>2</t>
        </is>
      </c>
      <c r="I22" t="inlineStr">
        <is>
          <t>5⁴</t>
        </is>
      </c>
      <c r="J22" t="n">
        <v>4</v>
      </c>
      <c r="K22" t="inlineStr">
        <is>
          <t>2¹, 4²</t>
        </is>
      </c>
      <c r="L22" t="inlineStr">
        <is>
          <t>5A⁰, 5C⁰</t>
        </is>
      </c>
      <c r="M22" t="inlineStr">
        <is>
          <t>5H⁰, 10H¹, 10D², 15B³, 15G³, 15B⁴, 25E⁴, 20B⁵, 35C⁹, 35A¹⁰, 55A¹⁶, 55A¹⁷, 65B¹⁹</t>
        </is>
      </c>
      <c r="N22" t="inlineStr">
        <is>
          <t>5C⁰, 5A⁰, 1A⁰</t>
        </is>
      </c>
      <c r="O22" t="inlineStr">
        <is>
          <t>10H¹, 60A¹⁷, 20D⁷, 30K¹⁷, 20A¹⁹, 10A⁵, 20B¹¹, 30M⁹, 15A¹⁹, 20B⁵, 70F²¹, 45B¹⁷, 80E²³, 20B¹⁵, 30E¹⁷, 10B⁵, 25A¹⁶, 55A¹⁷, 30B²², 15A¹⁰, 60F¹⁹, 20A⁹, 20A¹¹, 50F⁹, 45O¹³, 30N⁹, 35A¹⁰, 20A¹⁷, 10D³, 20C¹¹, 60Q¹⁵, 60C²³, 70G²¹, 30B¹², 20G¹⁵, 45D¹⁵, 5H⁰, 40J¹¹, 60S²¹, 35A¹⁷, 25A¹², 100R¹⁹, 30F⁹, 75A¹⁹, 35B¹⁹, 45A¹⁷, 10A¹³, 30G⁷, 40E¹⁷, 15B⁷, 45C²³, 25A²⁰, 15B⁴, 60R²¹, 40D¹¹, 40F¹⁷, 60F¹⁸, 60D¹⁹, 20A¹³, 30H⁷, 20A¹⁵, 15G³, 60P¹⁵, 15D⁵, 15A¹², 15B³, 10B⁴, 45E²³, 40B²¹, 20E⁵, 30F¹², 50A²², 25E⁴, 30B⁹, 55A¹⁶, 65B¹⁹, 20N³, 60B¹⁹, 30F²³, 15B⁹, 10D², 15A²³, 40B²³, 40A²¹, 15B¹⁷, 45A¹⁶, 45H¹², 35C⁹, 30C⁸, 20G¹³, 30D¹⁷, 15A¹³, 40D¹⁵, 40G¹³, 75A²⁴, 70D²¹, 30N¹³, 20C¹⁵, 40A¹⁵, 70E²¹, 45C¹⁴</t>
        </is>
      </c>
    </row>
    <row r="23">
      <c r="A23">
        <f>HYPERLINK("https://mathstats.uncg.edu/sites/pauli/congruence/csg0.html#group5G0", "5G⁰")</f>
        <v/>
      </c>
      <c r="B23" t="n">
        <v>0</v>
      </c>
      <c r="C23" t="inlineStr"/>
      <c r="D23" t="inlineStr">
        <is>
          <t>30</t>
        </is>
      </c>
      <c r="E23" t="inlineStr">
        <is>
          <t>1</t>
        </is>
      </c>
      <c r="F23" t="inlineStr">
        <is>
          <t>15</t>
        </is>
      </c>
      <c r="G23" t="inlineStr">
        <is>
          <t>2</t>
        </is>
      </c>
      <c r="H23" t="inlineStr">
        <is>
          <t>0</t>
        </is>
      </c>
      <c r="I23" t="inlineStr">
        <is>
          <t>5⁶</t>
        </is>
      </c>
      <c r="J23" t="n">
        <v>6</v>
      </c>
      <c r="K23" t="inlineStr">
        <is>
          <t>1¹, 2¹, 4³</t>
        </is>
      </c>
      <c r="L23" t="inlineStr">
        <is>
          <t>5B⁰, 5C⁰, 5E⁰</t>
        </is>
      </c>
      <c r="M23" t="inlineStr">
        <is>
          <t>5H⁰, 10C², 10F², 10B³, 15D⁴, 25F⁴, 15B⁵, 25E⁶, 25F⁶, 20F⁷, 25A⁸, 25A¹⁰, 35C¹⁴, 35C¹⁵, 55B²⁴</t>
        </is>
      </c>
      <c r="N23" t="inlineStr">
        <is>
          <t>5B⁰, 5E⁰, 1A⁰, 5A⁰, 5C⁰</t>
        </is>
      </c>
      <c r="O23" t="inlineStr">
        <is>
          <t>20B¹⁷, 20A¹⁹, 30C¹⁶, 50C¹⁹, 10A⁵, 20E¹⁰, 15A¹⁹, 20B¹⁵, 50B²³, 25A¹⁶, 15A⁹, 15A¹⁰, 20B¹³, 25A⁸, 20E⁷, 15A¹⁷, 30D¹², 10F², 30E¹³, 40G²¹, 20P⁷, 30B²³, 30B¹¹, 35C¹⁵, 10A⁶, 50D¹⁹, 45A¹⁸, 55B²⁴, 20B²¹, 15D⁴, 50B²⁴, 20B⁹, 20A²¹, 40AJ¹⁵, 30C¹⁵, 5H⁰, 45H¹⁹, 30B¹⁹, 50E²¹, 50A¹⁸, 50A²⁰, 30B¹⁵, 10B³, 25A¹², 15B¹⁹, 30J²³, 40D²³, 25F⁴, 10A¹³, 20F¹⁵, 50A²⁴, 20C²¹, 25A²⁰, 30B¹⁰, 50A¹⁴, 30D¹³, 25E⁶, 40I²¹, 40R¹⁷, 50D²², 20F⁷, 20D⁶, 20D¹⁹, 75B²⁴, 20A¹⁵, 40S¹⁷, 10C², 10B⁴, 50A¹⁹, 50B²², 10A⁷, 20C¹⁹, 35C¹⁴, 30B²¹, 20I¹⁵, 15B⁹, 40H²¹, 50B¹⁸, 15B¹⁷, 40M¹⁹, 20B¹⁹, 20G¹³, 40L¹⁹, 25A¹⁰, 25F⁶, 30C²³, 40C²³, 15B⁸, 15B⁵</t>
        </is>
      </c>
    </row>
    <row r="24">
      <c r="A24">
        <f>HYPERLINK("https://mathstats.uncg.edu/sites/pauli/congruence/csg0.html#group5H0", "5H⁰")</f>
        <v/>
      </c>
      <c r="B24" t="n">
        <v>0</v>
      </c>
      <c r="C24" t="inlineStr">
        <is>
          <t>Γ(5)</t>
        </is>
      </c>
      <c r="D24" t="inlineStr">
        <is>
          <t>60</t>
        </is>
      </c>
      <c r="E24" t="inlineStr">
        <is>
          <t>1</t>
        </is>
      </c>
      <c r="F24" t="inlineStr">
        <is>
          <t>1</t>
        </is>
      </c>
      <c r="G24" t="inlineStr">
        <is>
          <t>0</t>
        </is>
      </c>
      <c r="H24" t="inlineStr">
        <is>
          <t>0</t>
        </is>
      </c>
      <c r="I24" t="inlineStr">
        <is>
          <t>5¹²</t>
        </is>
      </c>
      <c r="J24" t="n">
        <v>12</v>
      </c>
      <c r="K24" t="inlineStr">
        <is>
          <t>1¹</t>
        </is>
      </c>
      <c r="L24" t="inlineStr">
        <is>
          <t>5D⁰, 5F⁰, 5G⁰</t>
        </is>
      </c>
      <c r="M24" t="inlineStr">
        <is>
          <t>10B⁴, 10A⁵, 15B⁹, 15A¹⁰, 25A¹², 20B¹⁵, 25A¹⁶, 25A²⁰</t>
        </is>
      </c>
      <c r="N24" t="inlineStr">
        <is>
          <t>5A⁰, 5C⁰, 5B⁰, 5E⁰, 5D⁰, 5F⁰, 1A⁰, 5G⁰</t>
        </is>
      </c>
      <c r="O24" t="inlineStr">
        <is>
          <t>20A¹⁹, 10A¹³, 15A¹⁰, 20G¹³, 10A⁵, 25A²⁰, 15A¹⁹, 20A¹⁵, 25A¹², 10B⁴, 15B⁹, 20B¹⁵, 15B¹⁷, 25A¹⁶</t>
        </is>
      </c>
    </row>
    <row r="25">
      <c r="A25">
        <f>HYPERLINK("https://mathstats.uncg.edu/sites/pauli/congruence/csg0.html#group6A0", "6A⁰")</f>
        <v/>
      </c>
      <c r="B25" t="n">
        <v>0</v>
      </c>
      <c r="C25" t="inlineStr"/>
      <c r="D25" t="inlineStr">
        <is>
          <t>6</t>
        </is>
      </c>
      <c r="E25" t="inlineStr">
        <is>
          <t>1</t>
        </is>
      </c>
      <c r="F25" t="inlineStr">
        <is>
          <t>2</t>
        </is>
      </c>
      <c r="G25" t="inlineStr">
        <is>
          <t>0</t>
        </is>
      </c>
      <c r="H25" t="inlineStr">
        <is>
          <t>3</t>
        </is>
      </c>
      <c r="I25" t="inlineStr">
        <is>
          <t>6¹</t>
        </is>
      </c>
      <c r="J25" t="n">
        <v>1</v>
      </c>
      <c r="K25" t="inlineStr">
        <is>
          <t>2¹</t>
        </is>
      </c>
      <c r="L25" t="inlineStr">
        <is>
          <t>2A⁰</t>
        </is>
      </c>
      <c r="M25" t="inlineStr">
        <is>
          <t>6J⁰, 6C¹, 12E¹, 12H¹, 30A¹, 42B², 30C³, 42A³, 30B⁴, 66A⁴, 78A⁵, 66C⁶, 18H⁷, 114A⁸, 102C⁹, 138B¹², 186A¹⁴, 174B¹⁵, 222A¹⁷, 258A²⁰, 246C²¹, 282B²⁴</t>
        </is>
      </c>
      <c r="N25" t="inlineStr">
        <is>
          <t>2A⁰, 1A⁰</t>
        </is>
      </c>
      <c r="O25" t="inlineStr">
        <is>
          <t>48I²¹, 114A²², 60B¹¹, 96A¹⁸, 24A⁶, 54P¹³, 12G³, 120C²³, 36E¹⁶, 48AH²¹, 78D¹⁶, 48U¹⁷, 18N⁴, 36F¹⁶, 222A¹⁷, 48BS²¹, 78A⁹, 48I¹¹, 12H¹, 18H⁷, 24A⁸, 24V⁷, 18E¹⁰, 96E²¹, 24S⁹, 36C¹⁵, 36I¹⁷, 48B¹⁸, 48I¹⁹, 24D¹¹, 24C⁶, 60L¹⁵, 36D⁸, 78B¹⁹, 24G⁸, 24I¹⁵, 48A¹¹, 30F⁷, 48E¹⁹, 24I⁹, 96E¹⁹, 24Z⁹, 42D⁵, 24G¹⁹, 48Q²¹, 48BQ²¹, 18C¹⁰, 24A¹⁰, 30B⁴, 30D²², 42H¹¹, 72I¹⁶, 84H²⁰, 30C³, 30K⁷, 72B¹⁶, 24F¹⁷, 42A²³, 24B¹⁹, 48A¹⁹, 48P¹⁹, 48B¹¹, 36K²², 48AW¹⁹, 12A¹³, 60T¹⁵, 12D⁴, 24N⁴, 282B²⁴, 72H¹⁶, 24D¹⁵, 48BR²¹, 30H¹³, 120D²³, 36E²¹, 24U¹⁷, 96C¹⁸, 120H²³, 12E¹, 60F¹¹, 30I¹³, 120A¹⁶, 42H¹⁹, 24A²⁴, 66D²¹, 48N²¹, 84F²¹, 246C²¹, 48K²¹, 24C¹⁹, 48D⁸, 18P⁷, 24E¹⁵, 48H¹⁹, 48D¹⁸, 48M¹¹, 42C¹⁹, 84K¹⁶, 60E¹⁸, 6C¹, 12B², 60C¹⁵, 48L²¹, 24AJ¹⁷, 48R²¹, 108C²², 60E⁸, 24Z¹⁷, 30B²², 72C¹⁷, 42H²³, 30E¹³, 48Y²¹, 48E¹⁵, 24P¹⁷, 24K¹⁹, 36F¹⁹, 36M²², 54H¹³, 96A¹⁹, 138B¹², 24A¹⁵, 48K¹⁵, 150H¹⁵, 72Q¹⁶, 48K¹⁹, 24G¹⁷, 24Q¹⁷, 36B⁸, 24H¹⁹, 48AL²¹, 54K¹³, 42B², 24J¹⁵, 12A⁷, 24D⁹, 24H²¹, 24C⁸, 48AJ²¹, 24R¹⁷, 24C¹¹, 84H¹³, 24Y¹⁷, 96B¹⁹, 30G⁷, 96I²³, 60E¹⁴, 12B⁵, 96B²¹, 42M⁷, 48D¹⁷, 72A¹⁶, 24G⁹, 66A⁴, 42C¹⁰, 30C⁷, 36M¹¹, 48P²¹, 42A¹², 60P¹⁵, 24I⁷, 36N¹¹, 42G¹⁹, 42K¹⁹, 48F¹¹, 18N⁷, 66A¹⁶, 24V¹⁷, 30A¹³, 24D⁸, 84A²¹, 18K¹, 30J¹⁷, 6F¹, 84A⁴, 96F²³, 54J¹⁶, 24S¹⁷, 24E¹¹, 60J²¹, 78C¹⁹, 96C²², 84C²⁰, 30L⁹, 48D¹⁹, 96L²³, 24J², 48E¹⁷, 24D¹⁹, 132A²⁰, 24M⁷, 102C⁹, 60A¹⁴, 96O²³, 18E⁷, 30A¹⁶, 12F³, 24A⁵, 12E², 60P²¹, 24I¹⁷, 150F¹⁵, 12A⁴, 48AX¹⁹, 48O²¹, 276B²⁴, 24H⁸, 24J⁸, 48AN²¹, 96A²², 48J²¹, 132E²³, 24O¹³, 24W¹⁷, 150E²⁰, 186A¹⁴, 330C²⁴, 48F¹⁵, 210E¹⁶, 48AK²¹, 84A²², 120C¹⁶, 36F²², 96E²³, 42E¹⁰, 24J¹⁷, 48B²², 24K¹³, 150E¹⁵, 84D¹³, 48O¹⁹, 48M¹⁹, 96P²³, 210C¹⁶, 120G²³, 48F¹⁹, 54F¹⁰, 48AM²¹, 48C⁸, 36C¹⁶, 30G⁴, 18B¹³, 150G¹⁵, 60I²¹, 24C⁹, 48G¹⁸, 84E¹³, 30D⁵, 18A⁷, 210C²³, 48R¹⁹, 30B⁷, 60G¹¹, 12B⁴, 42I²¹, 48S²¹, 72K¹⁷, 18F⁴, 132B¹², 66C²², 30C¹³, 84K²⁰, 24F¹⁵, 210B²¹, 48AU²¹, 90I²², 48D¹¹, 18A⁴, 96D²³, 24B¹⁰, 96G²³, 96C²³, 84F²², 48H¹⁷, 90B²², 96J²³, 48G¹⁹, 30A¹⁹, 24H¹⁷, 18E¹⁹, 42E¹², 24S¹⁹, 78E²³, 24W⁷, 42B¹⁶, 42B¹⁰, 48A⁹, 36S⁴, 12D⁷, 36B¹⁶, 24U⁹, 48B¹⁹, 258A²⁰, 102C¹⁷, 12C⁴, 18A¹⁹, 48AP²¹, 48AG²¹, 48N¹⁹, 24C¹⁷, 96H¹⁹, 24G⁴, 96H²¹, 48AO²¹, 24F⁹, 72G¹⁶, 36K¹⁵, 48A¹⁰, 96A²¹, 42P¹⁹, 24J⁷, 12N³, 96K²³, 36G⁸, 84I²⁰, 24I⁸, 24F⁵, 84F²⁰, 18J¹⁰, 48A²², 30A¹, 18I¹⁰, 48J¹⁷, 24J¹³, 24I¹⁹, 48I⁴, 30J¹³, 48F²¹, 36J¹⁵, 12O¹, 48AR¹⁹, 6E¹, 48Z²¹, 48E⁹, 24A¹⁹, 66A¹⁹, 48K¹⁷, 24E², 84B²⁰, 48I¹⁸, 36G¹⁹, 60H¹⁸, 60B⁸, 24D⁴, 24T¹⁷, 36A¹⁶, 48C¹⁹, 96B²³, 78A⁵, 66B¹⁶, 48I¹⁷, 24J¹¹, 24D¹⁰, 12F⁷, 30F²², 60N¹⁵, 36D¹⁵, 54J¹³, 24F¹⁹, 60H²¹, 114A⁸, 42F¹⁰, 48BP¹⁷, 84A¹³, 42A³, 24B¹⁵, 36E²², 24E¹⁹, 12B⁷, 48AI²¹, 18C¹⁹, 24J⁹, 24A¹⁷, 132H²³, 156D¹⁹, 24H⁹, 24B¹⁷, 12B⁹, 36E¹⁰, 24B⁸, 294A²³, 12B¹³, 48L¹⁹, 174B¹⁵, 42L¹⁹, 48B¹⁰, 132C²⁰, 72E¹⁷, 36D¹⁰, 36J²², 60D¹⁵, 48E²¹, 6J⁰, 24T⁹, 24K⁹, 24E⁴, 66C⁶, 228A¹⁶, 24P¹³, 84C²², 150B¹³, 18G⁴</t>
        </is>
      </c>
    </row>
    <row r="26">
      <c r="A26">
        <f>HYPERLINK("https://mathstats.uncg.edu/sites/pauli/congruence/csg0.html#group6B0", "6B⁰")</f>
        <v/>
      </c>
      <c r="B26" t="n">
        <v>0</v>
      </c>
      <c r="C26" t="inlineStr"/>
      <c r="D26" t="inlineStr">
        <is>
          <t>6</t>
        </is>
      </c>
      <c r="E26" t="inlineStr">
        <is>
          <t>1</t>
        </is>
      </c>
      <c r="F26" t="inlineStr">
        <is>
          <t>3</t>
        </is>
      </c>
      <c r="G26" t="inlineStr">
        <is>
          <t>4</t>
        </is>
      </c>
      <c r="H26" t="inlineStr">
        <is>
          <t>0</t>
        </is>
      </c>
      <c r="I26" t="inlineStr">
        <is>
          <t>6¹</t>
        </is>
      </c>
      <c r="J26" t="n">
        <v>1</v>
      </c>
      <c r="K26" t="inlineStr">
        <is>
          <t>1¹, 2¹</t>
        </is>
      </c>
      <c r="L26" t="inlineStr">
        <is>
          <t>3A⁰</t>
        </is>
      </c>
      <c r="M26" t="inlineStr">
        <is>
          <t>6E⁰, 6H⁰, 12F⁰, 18A⁰, 6B¹, 18A¹, 18B¹, 30C¹, 42B¹, 30A², 30H³, 66A³, 42C⁴, 78B⁵, 66D⁶, 102B⁷, 114B¹⁰, 138C¹², 174A¹³, 186B¹⁶, 222B¹⁷, 66D¹⁹, 246B¹⁹, 258B²², 114A²³, 282C²⁴</t>
        </is>
      </c>
      <c r="N26" t="inlineStr">
        <is>
          <t>3A⁰, 1A⁰</t>
        </is>
      </c>
      <c r="O26" t="inlineStr">
        <is>
          <t>24Q⁴, 36K⁴, 30I¹⁰, 48O⁸, 90D²⁰, 60S¹⁵, 198C¹⁸, 12G³, 36G¹⁵, 42F¹⁴, 24L¹⁵, 30E¹⁷, 150A²³, 48A¹⁵, 30E²¹, 126E¹⁹, 48D¹⁶, 48AE²¹, 18B³, 24K¹⁵, 48AG¹⁷, 84E²³, 12M³, 126A²², 54H²², 36U¹⁹, 96S¹⁹, 126C¹⁷, 30D¹⁶, 48AH⁷, 72P¹⁵, 84D¹⁵, 126D¹², 12A³, 48M¹⁷, 36K⁵, 36C¹⁵, 48AH¹⁷, 48E⁶, 36H¹⁶, 24I¹⁵, 96AS¹⁹, 90D¹³, 42E²¹, 48AC¹³, 48AQ¹⁷, 72P²¹, 36T¹⁵, 126C¹², 30I³, 120F¹⁸, 120B¹⁸, 126E²⁰, 90D¹⁴, 48BH¹⁷, 144H²⁰, 48CR²¹, 18S⁴, 90M¹⁵, 132D¹⁶, 48U¹⁵, 48BE²¹, 54A¹⁹, 42O¹⁹, 30B¹⁷, 24AA¹⁷, 30E¹², 12E⁷, 36K⁹, 24V¹³, 126C²³, 54I²², 72I¹⁰, 24B¹⁹, 126A²³, 126L²¹, 78A¹¹, 12H², 36K²², 12A¹³, 42I¹³, 30K²³, 12C⁵, 48BR¹⁷, 36A²³, 24D¹⁵, 24X¹³, 30H⁹, 36F¹², 48CC¹⁷, 150E¹³, 24AM⁹, 36E²¹, 36L¹¹, 42N¹⁹, 126A¹⁶, 60R¹¹, 90C¹⁴, 18B⁶, 90B¹⁶, 126A¹⁹, 24N⁷, 234B¹⁹, 90A¹⁵, 24A¹³, 24AK¹⁷, 144I²², 18D⁶, 36C⁵, 60P²³, 96A¹⁶, 96AL¹⁹, 84H²¹, 30H¹⁷, 54J²², 24F⁸, 48AF¹³, 42A²¹, 90C²³, 24E¹⁵, 18D¹³, 24L¹⁹, 24X⁵, 102B¹³, 48AF⁹, 78D¹³, 18K², 90K²¹, 126E¹⁸, 48G²⁰, 60A²¹, 144E²², 36T¹⁰, 72S¹⁹, 36D²¹, 24W⁵, 60E⁹, 48F⁶, 24Z¹⁷, 48AC¹⁷, 90N²¹, 72M²¹, 90H¹⁴, 48Y²¹, 66B¹³, 144F²², 24K¹⁹, 30I⁹, 72C¹⁴, 90F¹⁹, 36C¹⁷, 48K¹⁵, 168K²², 24Y¹³, 126B²³, 72A²³, 96K²⁰, 24K²¹, 24AN⁹, 90C¹³, 138C¹², 144Y²³, 48E²⁰, 60Z¹⁵, 72J¹⁶, 156H²³, 72AA²¹, 24J¹⁵, 42G¹⁷, 168M²², 84N²¹, 36D²³, 18D¹⁶, 48T¹⁵, 30R⁵, 36M⁵, 36G¹², 24Y¹⁷, 72P¹⁹, 66C¹¹, 84H¹⁶, 48AS¹⁷, 36K¹⁹, 24E⁹, 54A¹¹, 54B¹⁹, 24H², 84D¹⁴, 66D⁶, 66B¹¹, 126F¹⁷, 30B⁶, 18C⁷, 12A¹¹, 30B⁵, 90C²⁰, 126H²¹, 90D¹⁵, 24Q⁹, 24R¹⁹, 36Q¹³, 36N¹¹, 48AB¹⁵, 30I¹¹, 168R²², 30A²¹, 18N⁷, 24V¹⁷, 30H²¹, 18K⁷, 60R¹⁵, 24N², 48I⁶, 24B¹³, 36J⁷, 72N²¹, 60E¹⁷, 12D⁵, 126D¹⁷, 48F¹⁷, 60G²¹, 30A², 234A¹⁹, 126I¹⁸, 72C¹⁶, 96O¹⁹, 42I¹⁵, 24M²¹, 60A¹⁹, 96D¹⁶, 90I¹³, 78H¹³, 48AB¹³, 18F⁷, 48AE⁷, 42C⁷, 36C²³, 18A¹, 36O¹³, 198B¹⁴, 18F¹⁰, 42F⁵, 36B²¹, 36C⁸, 72F¹⁰, 18E⁷, 30F¹³, 84M¹⁷, 48C¹⁶, 18R⁴, 60C¹⁷, 54K¹⁶, 24M⁸, 30P⁵, 24L²¹, 48V¹⁵, 144G²², 90D⁷, 48O²¹, 24S³, 42H⁵, 30K¹¹, 18A¹³, 36K⁷, 24O¹³, 18E⁴, 60V¹⁷, 120G¹⁹, 36E¹¹, 66A²³, 48AA²¹, 54I¹³, 84J¹⁷, 48F¹⁵, 48R¹⁷, 144H²², 120Q¹⁹, 36O⁹, 24J¹⁷, 60N⁷, 90L²¹, 30D²¹, 198A²⁴, 60H¹⁵, 72T²¹, 36F⁷, 18H⁴, 36A¹¹, 24O¹⁵, 48AD⁷, 90D¹⁹, 42A¹⁴, 48BC¹⁷, 36D⁵, 42H¹⁰, 90C⁷, 54B²¹, 78B⁹, 36F⁸, 48BG¹⁷, 60AF¹³, 132D²³, 72W¹⁷, 30C¹, 54A²⁴, 96K²¹, 48BF¹⁷, 42D⁷, 144N²², 90G¹⁷, 18C¹⁶, 90N¹⁵, 126C¹⁸, 42F⁴, 18A⁵, 126B¹⁸, 66B⁸, 36R⁴, 24N¹¹, 126N²¹, 24M⁹, 120C¹⁸, 48S²¹, 198D¹⁸, 12N¹, 30C¹³, 72D¹⁷, 18F³, 48L⁸, 36N⁸, 60S¹¹, 90B¹³, 48F²⁰, 48AV¹⁷, 90A¹³, 24S¹⁵, 126A¹², 72J⁸, 12U¹, 90A⁶, 48BD¹⁷, 90B¹⁷, 42E¹⁶, 90A²¹, 60AD¹³, 30B²¹, 36L¹³, 60AK¹³, 18E¹⁹, 90A⁵, 306B²³, 60M⁷, 24N¹⁷, 24O¹⁷, 222B¹⁷, 48BE¹⁷, 150F¹³, 36I²², 42L⁷, 48R¹⁵, 60C¹², 18A¹⁹, 186B¹⁶, 48AP²¹, 48BU¹⁷, 24C¹⁷, 60H¹³, 12T¹, 24O², 42Q¹⁹, 24T¹⁵, 36A⁹, 90L¹⁵, 18A³, 18B¹, 42E¹⁴, 24F⁶, 126G¹⁷, 84N¹⁷, 102B¹⁵, 18A¹⁸, 48BT¹⁷, 18L², 84I¹⁷, 48S⁷, 72I¹³, 72G²³, 126G²³, 96AQ²¹, 54V¹⁶, 24AE⁷, 90F¹⁷, 174A¹³, 126J¹⁸, 36D¹¹, 42R¹⁹, 48F⁹, 48N⁸, 66A²¹, 36J¹⁵, 24L⁵, 6E¹, 48Z²¹, 96E¹⁶, 126G²¹, 90O¹⁵, 48K¹⁷, 48W⁸, 126B²¹, 24Y⁵, 210E²³, 48G⁶, 72S¹⁷, 18D⁷, 24K², 90C¹⁵, 24T¹⁷, 12P³, 48AC¹⁵, 72D²³, 30C¹⁷, 168Q²², 30F⁹, 72V¹⁹, 144G²⁰, 24I⁴, 48G¹¹, 126J¹³, 72B¹⁴, 36E¹³, 210B¹⁵, 36H¹², 24H¹⁵, 36D¹⁵, 48B¹⁶, 12A⁹, 198A¹⁸, 102D¹⁵, 72H²³, 72Q²¹, 36E¹⁷, 24M¹⁷, 24B¹⁵, 36O⁸, 24U⁵, 12B⁷, 84O²¹, 24S⁵, 18T⁴, 18C¹⁹, 24J⁹, 48U¹⁹, 72Q¹⁵, 54B¹¹, 30D¹¹, 72L¹², 72H⁸, 12B⁹, 42B⁹, 78E¹¹, 90H¹³, 36J¹¹, 54G¹⁶, 42C⁴, 54A²¹, 24A⁷, 48S¹⁵, 36H⁴, 126E¹⁷, 96AN¹⁹, 96AV¹⁹, 126F¹⁴, 48BS¹⁷, 18H², 132A¹⁹, 54B²⁴, 90A⁷, 78A²¹, 126K¹³, 48X¹³, 24AE¹⁷, 24K⁹, 84L¹⁹, 18G², 36Q¹⁵, 60X¹⁷, 24B⁷, 54E¹³, 96AH¹⁹, 90J²¹, 126D¹⁶, 96B¹⁶, 48AY²¹, 60N²¹, 48R¹¹, 90P¹⁵, 126C¹⁶, 12A⁵, 42H¹⁵, 48U¹⁷, 36B¹⁵, 168L²², 18N⁴, 96L²¹, 72C²³, 84B¹⁵, 102G¹⁷, 18K³, 18E¹³, 66C¹⁶, 96AK¹⁹, 24Q¹³, 96F²⁰, 12Q¹, 36G⁷, 18G¹, 126D⁸, 24F¹³, 48N¹¹, 24AD⁷, 126F²³, 42D¹³, 42C¹³, 102D²³, 18H¹, 24V⁷, 18H¹⁶, 18E¹⁰, 84I⁸, 48CD¹⁷, 36I¹⁷, 24U¹³, 48BK²¹, 72T¹⁹, 90A²³, 120P¹⁹, 60D¹⁷, 96AW¹⁹, 48AT²¹, 126A⁸, 72V²¹, 96AA²³, 48R¹³, 132B²³, 102E¹⁷, 48E¹⁹, 60M¹⁵, 120J¹⁹, 198B¹¹, 36L¹⁹, 126K¹⁸, 126E¹⁴, 48AD¹⁷, 24AO⁹, 12D¹, 36S¹³, 48AV²¹, 78B⁵, 60R⁷, 72U¹⁹, 126A⁵, 36G¹³, 48K⁶, 18L⁷, 144D²⁰, 42K²³, 48BM¹⁹, 18K¹⁰, 48C¹⁵, 72K¹⁴, 144E²⁰, 36F³, 30A⁹, 126J¹², 120I¹⁹, 18F², 48M²¹, 150A¹¹, 60B²¹, 90B⁷, 48H⁶, 96AM¹⁹, 60A⁹, 24J⁶, 72I⁸, 30Q⁵, 48AA⁹, 6D¹, 30D¹⁷, 90F¹⁵, 24T⁵, 156F²³, 36M¹³, 48K²¹, 24C¹⁹, 36E¹², 72L¹⁰, 60D¹⁴, 24AB³, 48AR¹⁷, 150C¹³, 168N²², 48W¹⁷, 24P¹⁹, 48AA¹³, 96AU¹⁹, 72R¹⁶, 102B⁷, 90K¹⁷, 246B¹⁹, 60Y¹⁷, 30G⁵, 18G¹³, 30A⁴, 18A⁰, 48AA¹⁹, 78B¹⁷, 36B²³, 144J²², 72K⁸, 48T⁷, 18D³, 36S¹⁹, 30E⁴, 66A³, 36A²¹, 48E¹⁵, 150B²³, 42I¹⁶, 18B⁸, 54Q¹⁶, 96AB²³, 30B²³, 48E¹⁰, 36L⁹, 24A¹⁵, 60G¹⁹, 30B¹³, 36J⁴, 60X²¹, 96V¹⁵, 36I⁴, 24E⁶, 48K¹⁹, 48E¹⁶, 48BY¹⁷, 282C²⁴, 72R¹¹, 24G¹⁷, 24J⁴, 12C³, 24AM¹⁷, 54A¹⁶, 78E¹³, 36B¹⁸, 60H²³, 30H⁵, 48CI¹⁷, 114A¹⁹, 12A⁷, 126I¹⁷, 36A¹², 42G⁴, 36C⁶, 24O⁸, 36T¹⁹, 96R²³, 24R¹⁵, 126M²¹, 48I²⁰, 12B⁵, 36P¹⁵, 12D², 30R⁹, 24G⁹, 72E¹⁰, 30H³, 90E²⁰, 72H⁹, 60O²³, 24V⁵, 96W²³, 36M¹¹, 48P²¹, 36A¹⁴, 48B¹⁵, 60N¹⁷, 126B⁵, 18D¹⁹, 36L¹⁵, 24I⁷, 144M²², 36J⁹, 12H³, 18J⁷, 24P⁵, 36C¹⁰, 24AL⁹, 30A¹⁰, 36F¹¹, 84D¹⁸, 120H¹⁹, 6F¹, 60F⁹, 96AT¹⁹, 168O²², 126B¹⁷, 90K¹¹, 18M², 60D²¹, 42E¹³, 144C²⁰, 144D²², 36O¹⁵, 126R²¹, 24D⁵, 36H¹⁹, 84F¹¹, 18D⁰, 48X¹⁷, 48M³, 72I²³, 84E²¹, 36E¹⁹, 144C²², 156A²³, 36B¹¹, 90E¹⁹, 84G²⁰, 60C²¹, 48E¹⁷, 48BJ²¹, 24M⁷, 84C²¹, 90J¹⁵, 96L²⁰, 96AE¹⁹, 12F³, 24R¹³, 24I¹⁷, 48G¹⁷, 42H¹⁶, 18F¹⁶, 48CA¹⁷, 156B²³, 30J⁹, 48BF²¹, 30N⁷, 90F²³, 24L⁹, 60S²³, 42B¹, 18O⁴, 24H¹, 30B¹¹, 42E⁷, 18E⁶, 30I⁷, 60D⁸, 12F⁰, 126B¹⁶, 24K¹³, 36P¹³, 42D¹⁴, 36P⁹, 42B¹¹, 60S⁷, 36B¹⁴, 36N⁴, 18G¹⁶, 90G¹³, 90G⁹, 48F¹⁹, 126H¹⁷, 126H¹⁸, 126D¹⁸, 72M¹², 18B⁵, 150D²³, 18B¹³, 18F¹, 36D²², 72D¹⁶, 72U²¹, 24Z¹³, 12I², 48AW²¹, 18A⁷, 24S¹³, 114A²³, 42G¹⁵, 48Y¹⁹, 24X¹⁷, 198A¹¹, 90A¹², 48J¹⁶, 114B¹⁹, 96I¹⁹, 90C¹⁷, 138B²³, 30O⁹, 24AA¹³, 66D¹⁹, 24F¹⁵, 126D²³, 96X²³, 48AU²¹, 126H²³, 72K¹⁶, 24N⁸, 66A¹¹, 84A¹⁵, 30K⁹, 24G², 114B¹⁰, 24S⁷, 90B¹², 90J¹⁹, 36H¹⁵, 36S¹⁵, 132F²³, 24H¹⁷, 18B⁷, 48Q¹³, 30Q¹³, 24W⁷, 72B²³, 18C⁶, 30F²¹, 36B¹², 60X¹⁵, 12D⁷, 96K¹¹, 6E⁰, 6L⁰, 42C⁹, 42B¹⁷, 84E¹⁵, 198A¹⁴, 258B²², 18C³, 96AF¹⁹, 90J¹⁷, 144J¹⁹, 60O²¹, 48AO²¹, 36K¹⁵, 210D¹⁵, 96G¹⁹, 36I¹⁵, 54D⁸, 90B¹⁵, 96C¹⁶, 42P¹⁹, 24J⁷, 12N³, 30G²³, 48AQ¹⁹, 72G¹⁰, 30D¹, 72J²³, 24G¹⁵, 24Q¹⁵, 18H³, 42E¹⁹, 24J¹³, 24P¹⁵, 48M⁸, 24E⁸, 42L¹¹, 48G⁹, 6H⁰, 30J¹³, 30I¹⁷, 42F³, 126A²¹, 36D², 72H¹⁰, 36F¹³, 24T¹³, 30L³, 18L⁴, 72S¹⁶, 18G⁷, 18C¹³, 42G¹³, 96E²⁰, 96Q²³, 18B¹⁹, 54A⁷, 18D¹⁰, 36E⁹, 18H¹³, 66C²¹, 90M²¹, 48AE¹³, 96U¹⁹, 96AG¹⁹, 36F¹⁰, 54K²², 12E³, 48L¹⁷, 30J²³, 42K¹⁷, 36R¹⁵, 72H¹⁷, 48V¹⁷, 42H⁴, 150A²¹, 144F²⁰, 60B²², 72Z¹⁵, 30L¹³, 234A¹⁷, 90E¹³, 96T²¹, 96O²¹, 84P²¹, 36E¹⁵, 126I²³, 6B¹, 72R¹⁹, 60I²³, 90H¹¹, 54H¹⁶, 24A¹⁷, 132A²³, 30E⁹, 168P²², 150D¹³, 126E²³, 42I¹⁰, 72S²¹, 12B¹³, 48AD¹³, 210B²⁰, 42L¹⁹, 138A²³, 24K¹¹, 30M¹³, 48BQ¹⁷, 48BV¹⁷, 72K²³, 84A²³, 18F¹³, 48BN¹⁹, 48J⁶, 24W¹³, 24AL¹⁷, 24P¹³, 12H⁰, 90G¹¹, 84E¹¹, 36L⁴</t>
        </is>
      </c>
    </row>
    <row r="27">
      <c r="A27">
        <f>HYPERLINK("https://mathstats.uncg.edu/sites/pauli/congruence/csg0.html#group6C0", "6C⁰")</f>
        <v/>
      </c>
      <c r="B27" t="n">
        <v>0</v>
      </c>
      <c r="C27" t="inlineStr"/>
      <c r="D27" t="inlineStr">
        <is>
          <t>8</t>
        </is>
      </c>
      <c r="E27" t="inlineStr">
        <is>
          <t>1</t>
        </is>
      </c>
      <c r="F27" t="inlineStr">
        <is>
          <t>4</t>
        </is>
      </c>
      <c r="G27" t="inlineStr">
        <is>
          <t>0</t>
        </is>
      </c>
      <c r="H27" t="inlineStr">
        <is>
          <t>2</t>
        </is>
      </c>
      <c r="I27" t="inlineStr">
        <is>
          <t>2¹, 6¹</t>
        </is>
      </c>
      <c r="J27" t="n">
        <v>2</v>
      </c>
      <c r="K27" t="inlineStr">
        <is>
          <t>1², 2¹</t>
        </is>
      </c>
      <c r="L27" t="inlineStr">
        <is>
          <t>2A⁰, 3B⁰</t>
        </is>
      </c>
      <c r="M27" t="inlineStr">
        <is>
          <t>6I⁰, 6J⁰, 12B⁰, 18B⁰, 18C⁰, 6D¹, 12I¹, 18C¹, 18D¹, 18B², 18C², 30D², 30G³, 42E³, 42E⁴, 30J⁵, 66E⁶, 66B⁷, 78C⁷, 102B¹¹, 114B¹¹, 138B¹⁵, 174B¹⁹, 186B¹⁹, 222B²³</t>
        </is>
      </c>
      <c r="N27" t="inlineStr">
        <is>
          <t>3B⁰, 2A⁰, 1A⁰</t>
        </is>
      </c>
      <c r="O27" t="inlineStr">
        <is>
          <t>90K²², 198B²², 156A¹⁵, 12I⁰, 42F⁷, 54P¹³, 72K¹¹, 210J²³, 60B²³, 126F¹³, 90L²², 234E²³, 48CF²¹, 84G¹⁵, 198C²¹, 204B²³, 54D¹⁰, 24AC⁹, 90B⁹, 90E²¹, 24AO¹⁷, 60B¹⁸, 24AF⁷, 84J²³, 12A³, 30P¹³, 24D¹¹, 18J¹, 126E¹³, 72B²¹, 48CD²¹, 54B³, 36D¹⁹, 54B⁷, 90H²¹, 126J²³, 30D²², 36I¹⁰, 54E¹⁰, 30B¹⁷, 30K⁷, 72L¹¹, 66E⁶, 84K¹³, 180A¹⁹, 90F⁷, 12F², 36K²², 84H²³, 12D⁴, 12A¹³, 36A¹⁹, 78B²³, 162A¹⁶, 30H⁹, 42I⁵, 36E²¹, 180A²⁰, 36G¹⁷, 24A¹³, 78C²³, 252F²⁴, 252A²³, 96BD²¹, 84I²³, 36H⁸, 30H¹⁷, 42D²³, 48A¹³, 18P⁷, 24Q⁵, 24AC¹³, 18D¹³, 180E²¹, 66B⁷, 18C⁴, 30Q⁷, 252B²³, 24AF⁹, 90E⁸, 24AH⁹, 60A²¹, 36B¹⁷, 108C²², 30G³, 198E²³, 90I²⁴, 48AH⁹, 24AP¹⁷, 36M²², 36F¹⁹, 54H¹³, 48CK²¹, 36D¹⁷, 48AK⁹, 36M⁹, 78G¹³, 126E¹⁵, 234B²³, 36C¹⁷, 108E¹⁷, 126B¹⁵, 48BT¹⁹, 12P¹, 180A¹⁵, 42D²¹, 54B¹⁶, 36A⁴, 108B⁸, 54C¹³, 90H²⁴, 48CC²¹, 24AH⁷, 108E²¹, 36B¹⁹, 18B¹¹, 150E¹⁹, 90A¹⁶, 180C²³, 36B¹, 90B¹⁰, 180A¹⁷, 198A²², 36A⁰, 18N⁷, 12I¹, 48B¹³, 90F⁹, 6I⁰, 18K¹, 30J¹⁷, 24B¹³, 30N⁵, 180D²³, 72C¹⁵, 72D¹⁹, 54J¹⁶, 24E¹¹, 36F¹⁷, 78A²⁴, 24I⁵, 180B¹⁵, 30L⁹, 60A¹⁹, 48CQ²¹, 108B¹⁹, 180A¹², 72A¹³, 24I¹³, 18F¹⁰, 60T¹⁷, 18D¹, 36B²¹, 54A⁶, 30A¹⁶, 108A⁹, 132B¹⁵, 234C²³, 90D⁸, 60A¹⁶, 54K¹⁶, 96BC¹⁹, 60B¹⁷, 24B¹¹, 42E³, 18A¹³, 36B⁹, 18E⁴, 24O¹³, 36F⁵, 36A¹⁷, 72A¹⁹, 54I¹³, 96BF²¹, 42J²¹, 72M¹⁷, 54N¹³, 138B¹⁵, 18H⁴, 36A¹¹, 60S²¹, 108A¹⁰, 18O⁷, 54F¹⁰, 48CH²¹, 36A¹⁰, 42H¹², 60I¹¹, 48CJ²¹, 66B¹⁹, 180F²³, 48AG¹³, 48J¹³, 18A⁵, 60R²¹, 72D²¹, 24E²¹, 90A¹⁸, 18F⁴, 84E⁸, 48CB²¹, 270A²², 36A⁷, 60AA¹⁵, 36U¹³, 18F³, 90I²², 24AR¹⁷, 120K²³, 180C²¹, 24AB⁹, 36L⁵, 84G²³, 54B⁴, 90F²⁴, 42K¹¹, 78E²³, 24AS¹⁷, 24G³, 54O¹³, 150F¹⁹, 24AN¹⁷, 108B⁹, 180C¹⁶, 54D¹³, 48X¹¹, 18D⁴, 36J³, 24C¹⁷, 24AI⁷, 108D²², 150H¹⁹, 24AK⁷, 36A⁹, 24AA³, 36H¹⁷, 24AD⁹, 36O⁴, 36A³, 18J¹⁰, 24D²¹, 18I¹⁰, 24U³, 42D⁹, 60T²¹, 48AL⁷, 30A⁸, 18H¹⁰, 24H⁵, 54S¹³, 42C¹², 24G¹³, 66A²¹, 90C⁸, 48CE²¹, 66A¹⁹, 198D²¹, 126T²¹, 90C¹¹, 24A¹¹, 54C¹⁶, 204A²³, 102B²¹, 48I¹³, 90C¹⁰, 72L¹⁹, 54A³, 54F¹³, 72B¹³, 30P⁹, 12B⁰, 54C¹¹, 42G²³, 72Z²¹, 24F²¹, 24V³, 30E⁶, 24AG⁹, 54G¹³, 36F²¹, 36I⁸, 198A²¹, 24AB¹³, 54J¹³, 114A²¹, 90M¹⁷, 78H²³, 60K¹⁹, 12A⁹, 54P¹⁶, 48L⁷, 72N¹⁹, 36E¹⁷, 90B¹⁹, 222B²³, 60S¹⁷, 72D¹³, 42H²¹, 126F¹¹, 36A¹³, 12B⁹, 42F²³, 126B¹⁴, 54G¹⁶, 24AB⁵, 54R¹³, 54A¹⁴, 54A⁵, 54C³, 36D¹⁰, 108A²⁰, 144U²³, 108E²², 198E¹⁸, 150G¹⁹, 48C¹³, 108A¹², 108B¹¹, 24AK⁹, 18G⁴, 54E¹³, 60B⁴, 12A⁵, 90C¹⁹, 48CK¹⁷, 132A¹⁵, 48CG²¹, 126B¹³, 18C¹, 12L³, 18N², 60J¹³, 36F¹⁶, 18E¹³, 18I³, 36J¹⁹, 72B²⁴, 54O¹⁶, 30J⁵, 84D⁸, 60AB¹⁵, 42C¹³, 36H¹¹, 144V²³, 18B⁰, 18E¹⁰, 36I¹⁷, 126H¹³, 108A¹⁹, 24AG⁷, 60D⁷, 54C¹⁰, 24F³, 90C⁹, 48W¹¹, 198F²³, 36Q⁹, 72D¹⁵, 180A¹⁶, 54A¹⁰, 60I¹³, 12K³, 162A¹³, 108C¹⁰, 114B¹¹, 36D⁹, 90F⁸, 42H¹¹, 60L¹⁷, 36B⁷, 42B²⁴, 24H¹³, 126S²¹, 180D²¹, 60T¹⁵, 18K¹⁰, 72N¹⁷, 108C¹⁹, 18I⁴, 108D¹⁷, 30A⁹, 90J²², 126L²³, 60B²¹, 90E¹¹, 48D¹³, 18G¹⁰, 96BA²¹, 270B²⁴, 72A²¹, 24A²⁴, 180E²³, 18B², 48AK⁷, 48CM¹⁷, 66D²¹, 6D¹, 24AL⁷, 162B¹⁶, 162D¹⁶, 90C⁶, 36T¹³, 30M⁷, 234A²⁴, 84Q¹⁷, 30A²², 30A¹⁵, 90D¹¹, 48BS¹⁹, 72J¹¹, 72C¹⁹, 18G¹³, 12E⁵, 54D¹⁶, 18C⁰, 42H²³, 72B¹⁵, 60A¹⁸, 36A²¹, 60C¹⁸, 30N⁹, 54Q¹³, 126G¹², 48CA²¹, 78B²¹, 48CJ¹⁷, 72M¹⁹, 54A¹⁶, 72I¹¹, 90F²¹, 54K¹³, 12A⁷, 24H²¹, 108C²¹, 42G²¹, 36I¹⁹, 36B⁴, 36A², 126K²³, 126I¹², 126C¹³, 24AT¹⁷, 42L¹⁷, 12B⁵, 180B¹⁶, 24B²¹, 96BD¹⁹, 36B¹³, 36G¹⁰, 198D²³, 54B¹⁰, 72W¹³, 36B¹⁰, 84A²⁴, 126F¹², 156B¹⁵, 36C¹⁰, 108B²², 30E⁸, 24Z³, 36B⁶, 198C²³, 180D²⁰, 6F¹, 30D², 54I¹⁶, 108A⁴, 198A¹⁹, 180H²³, 60H¹¹, 108F¹⁷, 60J²¹, 90E⁷, 132E¹², 36H¹⁹, 90G²⁴, 90A¹⁰, 42M²³, 36E¹⁹, 60J¹¹, 36B¹¹, 18A¹¹, 18C², 66A²⁰, 24AE⁹, 30K¹⁷, 228B²³, 54G¹⁰, 42B¹⁵, 78C⁷, 126D¹⁴, 162C¹⁶, 60M¹³, 270A²⁴, 126M²³, 72R¹³, 72C²¹, 72K¹⁹, 180B²⁰, 72A¹⁵, 48BO¹⁹, 72Y²¹, 24K¹³, 102B¹¹, 30C¹⁵, 108A²², 48CI²¹, 180G²³, 108A²¹, 48U¹³, 126D¹¹, 18J⁴, 54B¹³, 18B⁵, 18B¹³, 54A⁴, 60I²¹, 162B¹³, 72Q¹³, 54B⁵, 54N¹⁶, 252E²⁴, 84B²⁴, 90F¹¹, 24AQ¹⁷, 42I²¹, 24A²¹, 54A², 108A¹¹, 48BZ²¹, 54M¹³, 96AZ²¹, 36K⁶, 48CL¹⁷, 126C¹⁴, 36O²², 42E²³, 120L²³, 12V¹, 90E⁹, 42E¹², 84E⁷, 90D²⁴, 180B¹⁸, 174B¹⁹, 72V¹³, 198A²⁰, 36J⁶, 36C⁹, 36S⁴, 180B²³, 90G²¹, 36J¹⁷, 60Y¹⁵, 228A²³, 36N⁹, 54C⁴, 90S¹⁷, 126C¹¹, 66A¹³, 36F⁹, 126A²⁴, 126I¹³, 180A²³, 36H⁷, 18O², 54B¹⁴, 12N³, 36G⁵, 48BP¹⁹, 18H³, 24J¹³, 12R¹, 12O¹, 36N²², 210B²², 48K⁷, 18C¹³, 90O¹⁷, 42G¹³, 54D¹¹, 18D¹⁰, 36G¹⁹, 36E⁹, 18H¹³, 108A⁸, 66C²¹, 186B¹⁹, 36C¹⁹, 18G³, 36F¹⁰, 42D¹², 90E²⁴, 108D²¹, 60G¹⁴, 24C²¹, 24G²¹, 180F²¹, 54E¹⁶, 12F⁷, 60L¹⁹, 84C¹⁷, 108A⁶, 126U²¹, 48CP²¹, 42F¹¹, 54D⁴, 72B¹⁹, 90R¹⁷, 84D⁷, 24Z⁵, 54H¹⁰, 108B¹⁰, 60E⁷, 54T¹³, 126C¹⁵, 72C¹³, 54H¹⁶, 54F¹⁶, 54L¹³, 150J¹⁵, 54L¹⁶, 54C⁵, 108B²¹, 54M¹⁶, 24A¹⁷, 42G¹¹, 36E¹⁰, 108A²³, 12B¹³, 24E⁷, 30B⁸, 18F¹³, 42E⁴, 36M⁷, 6J⁰, 48CN¹⁷, 24P¹³</t>
        </is>
      </c>
    </row>
    <row r="28">
      <c r="A28">
        <f>HYPERLINK("https://mathstats.uncg.edu/sites/pauli/congruence/csg0.html#group6D0", "6D⁰")</f>
        <v/>
      </c>
      <c r="B28" t="n">
        <v>0</v>
      </c>
      <c r="C28" t="inlineStr"/>
      <c r="D28" t="inlineStr">
        <is>
          <t>9</t>
        </is>
      </c>
      <c r="E28" t="inlineStr">
        <is>
          <t>1</t>
        </is>
      </c>
      <c r="F28" t="inlineStr">
        <is>
          <t>3</t>
        </is>
      </c>
      <c r="G28" t="inlineStr">
        <is>
          <t>3</t>
        </is>
      </c>
      <c r="H28" t="inlineStr">
        <is>
          <t>0</t>
        </is>
      </c>
      <c r="I28" t="inlineStr">
        <is>
          <t>3¹, 6¹</t>
        </is>
      </c>
      <c r="J28" t="n">
        <v>2</v>
      </c>
      <c r="K28" t="inlineStr">
        <is>
          <t>1³</t>
        </is>
      </c>
      <c r="L28" t="inlineStr">
        <is>
          <t>2B⁰, 3A⁰</t>
        </is>
      </c>
      <c r="M28" t="inlineStr">
        <is>
          <t>6G⁰, 6H⁰, 12C⁰, 12D⁰, 6C¹, 12B¹, 12C¹, 18E¹, 30E², 30D³, 42C³, 30K⁵, 42A⁵, 66F⁶, 66A⁸, 78A⁸, 102C¹¹, 114A¹⁴, 138A¹⁷, 174A²⁰, 186A²³</t>
        </is>
      </c>
      <c r="N28" t="inlineStr">
        <is>
          <t>3A⁰, 1A⁰, 2B⁰</t>
        </is>
      </c>
      <c r="O28" t="inlineStr">
        <is>
          <t>24E¹, 192E²³, 84F¹⁶, 36L⁸, 48M⁹, 90D²⁰, 24M¹⁹, 72F¹⁴, 48BK¹⁹, 84H¹⁹, 120O²¹, 24O⁹, 96D²⁰, 30P⁷, 96B²⁰, 48D¹⁶, 48AT¹⁹, 36C¹³, 24K³, 96S¹⁹, 60AE¹³, 48AH⁷, 30D¹⁶, 60U¹¹, 72P¹⁵, 48AD²¹, 72L¹⁷, 36E⁶, 48E⁵, 264C²⁴, 48AM¹⁷, 36K⁵, 36C¹⁵, 48A⁰, 48AJ⁷, 48L¹⁵, 48BW²¹, 36H¹⁶, 78B¹⁹, 168A¹⁷, 24I¹⁵, 48A¹¹, 96AS¹⁹, 102C²³, 84D²⁰, 30F⁷, 48AC¹³, 48BH²¹, 48AY¹⁹, 48BH¹⁷, 168C²¹, 18C¹⁰, 72I¹⁶, 24AA¹⁷, 30E¹², 24V¹³, 48BG¹⁹, 120R²³, 24B¹⁹, 48AF²¹, 48AW¹⁹, 84J²², 96I⁹, 48BR¹⁷, 12A¹³, 96AY²¹, 36K²², 36A²², 30K²³, 24D¹⁵, 24X¹³, 48BV²¹, 36F¹², 48X¹⁵, 48BR²¹, 30H¹³, 132A¹⁷, 48BU²¹, 36L¹¹, 60R²³, 60R¹¹, 84E¹⁸, 24N⁷, 36H⁵, 30F²³, 180A²², 36C²², 60D¹², 18D⁶, 48Y⁹, 48L⁹, 72X²¹, 48BZ¹⁷, 60P²³, 96AL¹⁹, 72F¹², 84H²¹, 72C⁸, 72G¹⁷, 192F²¹, 12D⁰, 24E¹⁵, 192B¹⁹, 48H¹⁹, 96AF²⁰, 60U²¹, 24X⁵, 48M¹¹, 24P⁴, 48R⁸, 72Q¹¹, 48AF⁹, 6C¹, 60W²¹, 48G²⁰, 96AA¹⁷, 48F⁴, 144D¹⁶, 120B¹¹, 96AC²⁰, 180G²⁰, 60G¹⁵, 48AC¹⁷, 84G¹⁸, 66B¹³, 48Y²¹, 72O¹⁶, 96AA²⁰, 96A⁷, 78B¹⁸, 72C¹⁴, 24L⁷, 60B¹², 48AC⁸, 168B²², 84B¹¹, 72N¹¹, 48K¹⁵, 24Y¹³, 96I²⁰, 48J¹¹, 96H¹³, 252G²⁴, 24N¹³, 144Y²³, 48H⁵, 72H¹⁵, 96F²¹, 84C¹⁶, 42C¹⁷, 72AA²¹, 24J¹⁵, 42G¹⁷, 48AJ²¹, 36G¹¹, 84H¹⁶, 48P¹⁵, 78A¹⁷, 24L³, 60F²³, 24E⁹, 24Q³, 96I²³, 12K¹, 60N¹¹, 48D¹⁷, 30K¹³, 84F⁸, 96D¹⁷, 84C⁹, 96AJ²¹, 42C¹⁰, 96P¹⁷, 96C¹⁷, 48BN²¹, 42C¹⁶, 24T³, 84B⁹, 6K⁰, 144D¹³, 30A²³, 30I¹¹, 42G¹⁹, 42K¹⁹, 96AF¹⁷, 60AB¹³, 96G¹⁸, 18N⁷, 36Q¹⁰, 156A¹⁹, 24V¹⁷, 192A¹⁹, 18K⁷, 24N², 84A²¹, 48AS²¹, 96AB²¹, 12D⁵, 60D²³, 18A¹⁶, 96D¹⁸, 96F²³, 96G¹⁷, 30K⁵, 36A⁸, 60Y¹³, 96C²², 84C²⁰, 96D¹⁶, 96Y¹⁷, 60G²³, 180M²³, 36C²³, 24H⁷, 96B¹⁰, 96P²¹, 36I⁵, 18M¹⁰, 36C⁸, 18E⁷, 36N¹⁰, 72AB²¹, 144B¹³, 72P¹³, 48C¹⁶, 96AG²¹, 48C¹⁸, 96U²¹, 84M¹⁷, 24M⁸, 30P⁵, 36H⁶, 48V¹⁵, 96T¹⁵, 30D⁶, 48O²¹, 48H¹⁸, 144W²³, 24S³, 96O¹⁵, 96S²³, 24R⁵, 30K¹¹, 96A²², 24K⁶, 24O¹³, 168E¹⁸, 204G²³, 48V²¹, 96C¹⁰, 96I¹⁷, 84J¹⁷, 48R¹⁷, 48AK²¹, 96E²³, 48BL¹⁷, 84I²², 84C¹⁴, 36O⁹, 24J¹⁷, 18M⁷, 30B¹², 48V⁸, 36F⁷, 90A²⁰, 48AD⁷, 144H¹⁶, 48O¹⁹, 48BC¹⁷, 48AX²¹, 72E¹⁸, 144E¹⁰, 36D⁴, 48BH¹⁹, 48C⁸, 18P², 48BG¹⁷, 60E¹⁵, 36F⁸, 24C⁹, 48G¹⁸, 60AF¹³, 42L²³, 48CB¹⁷, 132C¹⁶, 96U¹⁵, 36E⁸, 48BF¹⁷, 60E²³, 96X²¹, 54A²², 120C¹¹, 48AP¹⁹, 24X⁷, 36R⁴, 12S¹, 42C²⁴, 72K¹⁷, 12N¹, 96I²¹, 192J²¹, 96P¹⁵, 72D¹⁷, 48L⁸, 36N⁸, 48F²⁰, 96AP²¹, 60O¹³, 96P¹⁹, 48BT²¹, 96G²³, 192A²³, 96C²³, 48AV¹⁷, 24S¹⁵, 12U¹, 48BD¹⁷, 42E¹⁶, 90A²¹, 72E⁴, 18E¹⁹, 96D¹⁹, 180J²¹, 48Q⁸, 96Y²⁰, 24U⁹, 48BE¹⁷, 72M¹⁵, 96H⁹, 48BU¹⁷, 60C¹², 48AP²¹, 48AF¹⁵, 42C³, 24C¹⁷, 96H¹⁹, 96H²¹, 12C², 12T¹, 66A⁸, 30C¹⁶, 48A¹⁰, 30F¹⁵, 48BM¹⁷, 96A²¹, 84C¹⁹, 48BJ¹⁹, 48P⁷, 24F⁶, 36M¹⁵, 84N¹⁷, 48B²⁰, 36G⁸, 18A¹⁸, 48BT¹⁷, 18L², 42I⁷, 24B², 96G²¹, 72I¹³, 96BA¹⁹, 48J¹⁷, 24AE⁷, 24Y⁹, 12B¹, 48F²¹, 96A³, 48B⁵, 24K⁷, 48A⁵, 48E⁹, 72E⁸, 48K¹⁷, 96AX¹⁹, 48W⁸, 204F²³, 24Y⁵, 72B⁶, 48BD²¹, 18A⁸, 96AC²³, 48V⁷, 192D²³, 24H⁴, 72D⁶, 24T¹⁷, 72B⁷, 114A¹⁴, 96W¹⁹, 180I²¹, 96B²³, 66A¹⁴, 48O¹⁵, 66B¹⁶, 96AO¹⁹, 36C², 150B²⁰, 168C¹⁶, 72B¹⁴, 48F⁸, 96B⁹, 72B⁸, 24I³, 96D⁸, 72U¹⁵, 72B¹⁷, 48B¹⁶, 24H¹⁵, 168E²⁰, 24F¹⁹, 72M¹¹, 42A⁹, 96AM²¹, 120M²³, 60R¹³, 72E¹², 84B¹⁸, 60B¹⁵, 24B¹⁵, 36O⁸, 72W¹⁵, 48AI²¹, 72S¹⁵, 144G¹⁶, 72Q¹⁵, 48P¹⁸, 120N²³, 48F⁵, 156B¹⁹, 24H⁹, 30D¹¹, 36I¹³, 48BC¹⁹, 48H⁴, 48AA¹⁵, 48BB¹⁹, 36J¹¹, 48S¹⁵, 72M¹³, 96A¹², 48B¹⁰, 96AN¹⁹, 48G⁴, 150A¹⁶, 24L¹³, 30E², 48BS¹⁷, 54A¹⁵, 156A¹⁶, 192L²³, 144C¹⁸, 48E²¹, 96AE²⁰, 24E⁴, 48Q¹¹, 48AB¹⁹, 48G⁸, 48F³, 60C¹⁰, 60V¹³, 60O¹⁵, 96R¹⁵, 48BE¹⁹, 90B²¹, 48R¹¹, 48N⁹, 48AI¹⁷, 156B¹⁸, 30C⁶, 72E¹⁶, 24AB¹⁷, 48AH²¹, 36L²², 48U¹⁷, 96W²¹, 18N⁴, 96L²¹, 60I¹⁵, 36E⁷, 144B¹⁵, 24AA⁹, 96AK¹⁹, 66C¹⁶, 96S²⁰, 96B²², 48N¹¹, 48V⁹, 36N¹⁵, 96L¹⁹, 102D²³, 24A⁸, 24V⁷, 18E¹⁰, 96C²¹, 48B¹⁸, 24U¹³, 36I¹⁷, 144A¹³, 168F²⁰, 48AB²¹, 48BC²¹, 72J¹³, 48G¹⁰, 36D⁸, 96AA²³, 48B²¹, 180B²², 48S¹⁷, 72G¹⁴, 96AY¹⁹, 120I¹³, 48Y¹³, 48E¹⁹, 24I⁹, 60AA¹³, 48BJ¹⁷, 24K⁴, 24Z⁹, 48AE⁹, 60M¹⁵, 48Q²¹, 48BQ²¹, 60F¹³, 24E¹⁶, 96Z²³, 48AU¹⁷, 84H²⁰, 48AD¹⁷, 36S¹³, 30F¹⁷, 6G⁰, 72B¹⁶, 24M³, 48A¹⁶, 48F¹⁰, 192J²³, 60C⁴, 48E¹¹, 36G¹³, 48AA¹⁷, 30C¹⁰, 48BB¹⁷, 96AV²¹, 48C⁶, 72K¹⁴, 24O¹⁹, 24M⁴, 48G²¹, 72H¹², 96I¹¹, 120B¹³, 84D¹⁹, 48M²¹, 120G¹³, 144C¹⁷, 24F⁴, 96A⁹, 96K¹⁹, 24D¹, 48U⁹, 96AM¹⁹, 84H¹⁵, 24J⁶, 96M¹⁵, 72N¹⁶, 48AD⁸, 48B⁴, 48AX¹⁷, 30H²³, 168D²², 36M⁸, 48AB⁷, 96AQ¹⁹, 48AA⁹, 84F²¹, 36O¹⁹, 48L¹¹, 96D¹², 72I¹⁵, 48K²¹, 24C¹⁹, 96G²⁰, 24M², 24T⁵, 72H²², 132D¹⁵, 48T¹⁷, 96AE¹⁷, 96O²⁰, 24L⁴, 18I², 48D¹⁸, 24P¹⁹, 48AA¹³, 84K¹⁷, 60C¹⁵, 96AD²¹, 18I⁷, 48R²¹, 48L²¹, 48BL²¹, 144F¹⁶, 96J⁹, 48D²², 24C¹⁵, 30O⁵, 48AA¹⁹, 48T⁷, 24A⁹, 36S¹⁹, 48E¹⁵, 48AS¹⁹, 42I¹⁶, 60Q¹¹, 18B⁸, 96AB²³, 84A¹¹, 48E¹⁰, 24AC¹⁷, 96C¹⁹, 60X²¹, 48AT¹⁷, 84A¹⁹, 72Q¹⁶, 48CG¹⁷, 48K¹⁹, 48E¹⁶, 48BY¹⁷, 66A¹⁵, 72R¹¹, 24G¹⁷, 24J⁴, 24Q¹⁷, 36B⁸, 126A¹⁷, 192E²¹, 48AH¹⁹, 48AD¹⁵, 48CI¹⁷, 24D⁹, 96X²⁰, 48BG²¹, 12C¹, 48AF¹⁷, 192D¹⁹, 36C⁶, 96R²³, 144E¹³, 72D⁸, 24Q¹⁹, 24R¹⁵, 36T¹⁹, 96T¹⁷, 72G¹⁵, 48I²⁰, 48BX²¹, 84F¹⁸, 60E¹⁴, 72I¹⁷, 12B⁵, 48X⁸, 96B²¹, 12D², 30R⁹, 72G²², 72A¹⁶, 60O²³, 24V⁵, 48P²¹, 12H³, 30G¹¹, 66A¹⁶, 84D¹⁸, 48X¹⁹, 192C¹⁹, 6F¹, 192F²³, 48AO¹⁹, 96AT¹⁹, 204E²³, 24N¹⁹, 48T²¹, 48Z⁷, 96P²⁰, 72A¹⁷, 48W²¹, 48Q⁷, 48X¹⁷, 48M³, 72K²², 60E¹⁶, 24Y⁷, 48E¹⁷, 24D¹⁹, 84C²¹, 96L²⁰, 96AE¹⁹, 36B², 24R¹³, 24A⁵, 96N²⁰, 12F³, 12E², 24I¹⁷, 60Q²³, 60J¹⁹, 48L¹⁸, 42H¹⁶, 192B¹⁸, 180A²¹, 48CA¹⁷, 72L¹⁵, 48B⁶, 192I²¹, 24H⁸, 72J¹⁴, 72E¹⁴, 84A¹⁶, 192A²¹, 168F¹⁸, 24AP⁹, 48E¹⁸, 24W¹⁷, 48AI⁷, 96H²⁰, 84A¹⁰, 84A²², 84A²⁰, 36F²², 72D²⁰, 48X²¹, 24N¹⁵, 42E¹⁰, 84F¹⁹, 36P⁹, 96E¹⁷, 144C¹⁶, 96P²³, 36G¹⁶, 48F¹⁸, 48F¹⁹, 18A⁶, 48V¹¹, 48AM²¹, 36C¹⁶, 48O⁹, 96AZ¹⁹, 24Z¹³, 60B¹³, 96U¹⁷, 48K¹⁸, 48AW²¹, 24S¹³, 18A⁷, 48Y¹⁹, 48Z⁸, 36E⁴, 30B⁷, 12B⁴, 96I¹⁹, 210A²⁴, 72E⁶, 84B¹⁰, 24A⁰, 42A⁵, 60H¹⁹, 72K¹⁶, 24D¹⁶, 30A⁶, 96V¹⁹, 72F²⁰, 90G²², 96T²⁰, 84F²², 48H¹⁷, 48AW¹⁷, 90G²⁰, 30A¹⁹, 48J¹⁵, 84I¹⁶, 60B⁷, 24H¹⁷, 72A⁵, 24S¹⁹, 186A²³, 72O¹⁵, 48I¹⁶, 24AF¹⁷, 120C¹⁴, 192B²², 36H²², 42C⁸, 96AD¹⁷, 144J¹⁹, 90B²⁰, 90A²⁴, 48BF¹⁹, 48AG²¹, 48U¹¹, 126H¹², 96AB¹⁷, 24B⁵, 24G⁴, 48AB⁸, 48AO²¹, 24AA⁷, 48G³, 48B⁹, 42K¹⁰, 96C¹⁶, 24J⁷, 84I²⁰, 48AQ¹⁹, 48A²², 168F¹⁶, 192A¹⁸, 48BI²¹, 120O²³, 24I¹⁹, 48M⁸, 24E⁸, 30B¹⁶, 96V²³, 48AR¹⁹, 144A¹⁷, 84B²⁰, 180D²², 48T⁸, 144B¹⁴, 84K¹⁹, 24W⁹, 96E⁹, 72I¹², 96R¹⁹, 48AE¹³, 30C¹¹, 12G⁰, 96J²¹, 12D³, 48V¹⁹, 48H⁹, 24C⁵, 48BA²¹, 18J³, 144F¹³, 36Q⁴, 12E³, 48L¹⁷, 72L²², 60U¹³, 192B²³, 48AN¹⁷, 48R¹⁸, 30G¹², 48V¹⁷, 48AK¹⁹, 48N¹⁷, 36H¹³, 168A¹², 96H¹⁷, 96E¹¹, 96R²¹, 30L¹³, 24E⁵, 42D¹⁵, 72O¹³, 96A¹⁷, 48Y⁷, 48J¹⁹, 96T²¹, 96O²¹, 48BP¹⁷, 84E²⁴, 36E²², 60I²³, 24E¹⁹, 24D², 30G²¹, 36I³, 84D¹⁷, 24E¹⁷, 96J¹⁷, 48AC¹⁹, 24G⁵, 42C²², 48H¹⁵, 96M²³, 42I¹⁰, 96K¹⁷, 192L²¹, 24P⁸, 96E⁸, 48G⁵, 42L¹⁹, 36D⁶, 84L²⁰, 18E³, 48BV¹⁷, 48BN¹⁹, 24AL¹⁷, 66F⁶, 12H⁰, 48BM²¹, 96AS²¹, 24C¹⁰, 24Q⁴, 60A¹³, 168E¹⁶, 48O¹⁷, 48T¹¹, 48O⁸, 96A¹⁸, 42D²⁴, 24L¹⁵, 12G³, 96AU²¹, 48AC⁹, 48CE¹⁷, 48AE²¹, 24R⁷, 36I⁶, 48Z¹⁹, 60A⁵, 120G¹⁵, 36P¹⁰, 120K¹³, 24K¹⁵, 48AG¹⁷, 36R¹⁹, 288A²³, 24G⁷, 36U¹⁹, 60AG¹³, 96W¹⁵, 24AD¹⁷, 48CH¹⁷, 48BS²¹, 48O¹⁸, 48I¹¹, 48BW¹⁷, 48M¹⁷, 48K¹¹, 84C¹⁰, 96E²¹, 60B⁶, 48AH¹⁷, 96W¹⁷, 48I¹⁹, 96Y¹⁹, 72L¹⁶, 168A²², 96M¹⁹, 48AZ¹⁹, 72R¹⁵, 48AQ¹⁷, 48H¹⁶, 90K¹⁹, 24G¹⁹, 18A²², 60B¹⁴, 72V¹⁵, 24A¹⁰, 78B¹⁶, 48U¹⁵, 48BE²¹, 12E⁷, 72F¹⁶, 78A⁸, 102C¹¹, 96AE²¹, 48P¹⁹, 12H², 48P¹¹, 12C⁵, 84D²¹, 60I⁷, 24N⁴, 36A²³, 72H¹⁶, 24D¹⁷, 48BO¹⁷, 36D³, 48CC¹⁷, 168B¹⁵, 48X⁷, 48AD¹⁹, 120A¹¹, 36E²¹, 24U¹⁷, 48T⁹, 96C¹⁸, 24O⁷, 36N⁷, 168A²³, 48Y⁸, 24AK¹⁷, 96Q¹⁷, 96Y²³, 96E¹⁸, 48N²¹, 96AR²¹, 96AD¹⁹, 96A¹⁶, 48N¹⁵, 24F⁸, 96N¹⁵, 48AF¹³, 96AA¹⁹, 60L¹¹, 84N²², 36B²⁰, 96AH²³, 48AZ¹⁷, 24L¹⁹, 96AD²³, 72A²⁴, 60B⁵, 120I¹⁵, 24T⁷, 72K¹², 96AI²¹, 192D²¹, 12B², 90K²¹, 150C²⁰, 84G¹⁷, 48Y¹⁷, 30H¹¹, 36D²¹, 48S¹⁹, 60E¹³, 24W⁵, 96AO²¹, 60W¹³, 48M¹⁸, 72K¹⁵, 24Z¹⁷, 96X¹⁷, 96R²⁰, 48AE¹⁷, 24P¹⁷, 24K¹⁹, 120F¹³, 96A¹⁹, 96J¹¹, 48D⁴, 96N¹⁷, 48AC²¹, 144B¹², 30H¹⁰, 96K²⁰, 54T¹⁶, 36C²⁰, 48E²⁰, 60N¹³, 24H¹⁹, 90C²⁴, 36D¹³, 72J¹⁶, 12L¹, 24R⁹, 168B²¹, 48C⁴, 24J³, 36D²³, 48T¹⁵, 18D¹⁶, 24C⁸, 48E³, 120Q²³, 24R¹⁷, 72O¹², 24Y¹⁷, 48N¹⁸, 12J¹, 30H⁴, 48AS¹⁷, 96B¹⁹, 48O⁷, 48AA⁸, 144E¹⁶, 24O⁴, 84D¹⁴, 144C¹³, 72W¹⁹, 36E³, 60M¹¹, 96F⁹, 48AQ²¹, 96A¹⁰, 42A⁸, 30B⁶, 96AT²¹, 36N¹⁹, 12A¹¹, 24Q⁹, 96AX²¹, 96N²³, 96Z¹⁹, 90E²², 24R¹⁹, 96B¹¹, 144C¹⁴, 60P¹¹, 48AB¹⁵, 36N¹¹, 60T¹³, 60K²³, 174A²⁰, 48BL¹⁹, 30H²¹, 48I⁶, 24Z⁷, 60F¹⁶, 144D¹⁴, 48U⁸, 48AL¹⁷, 24L², 60Z¹³, 192C²¹, 48F¹⁷, 84B⁷, 96O¹⁹, 48C¹⁷, 72C¹⁶, 48AB¹³, 48AE⁷, 48AA⁷, 48BI¹⁹, 48AM¹⁹, 72J¹², 168B²⁰, 96O²³, 96AJ¹⁹, 96A⁵, 96AG²³, 90E¹⁰, 48H²¹, 72H¹⁴, 72H¹³, 60T¹¹, 48S⁸, 48Q¹⁹, 12A⁴, 60A¹⁵, 96L¹⁷, 48A²¹, 288A²¹, 48AN²¹, 48J²¹, 120H¹³, 24K¹⁷, 138A¹⁷, 48AG⁷, 48AA²¹, 96R¹⁷, 96C¹¹, 48F¹⁵, 48K⁹, 48H⁸, 48Y¹⁵, 96Z²⁰, 30D²¹, 36D⁷, 84B¹⁶, 96N¹⁹, 60H¹⁵, 84C¹⁸, 24O¹⁵, 120E¹³, 84L¹⁷, 48BD¹⁹, 120A¹⁴, 60E¹², 96V²⁰, 102C²¹, 48W¹⁵, 96K²¹, 156C¹⁷, 96B¹⁷, 24B¹⁶, 24N¹¹, 24M⁹, 132F¹², 48S²¹, 180A²⁴, 48AE⁸, 96Q¹⁵, 96AB¹⁹, 30C¹³, 84K²⁰, 60J¹⁸, 60S¹³, 60S¹¹, 24N³, 72J¹⁷, 96D²³, 24AH¹⁷, 48D³, 48W⁹, 72N¹³, 96F¹⁸, 72J²², 84H¹⁷, 24P⁷, 96J²³, 48G¹⁹, 90B²², 24I¹, 102A²³, 60AD¹³, 168G¹⁶, 72X¹⁷, 48J⁹, 84G¹⁶, 84G⁸, 48I⁹, 96W²⁰, 24N¹⁷, 24O¹⁷, 48AE¹⁵, 36K¹⁷, 144D¹⁸, 24G⁶, 48B¹⁷, 36B¹⁶, 48B¹⁹, 36Q¹⁹, 96D⁹, 72F¹⁷, 36I²², 48R¹⁵, 42L⁷, 48AE¹⁹, 12C⁷, 36M¹⁹, 12C⁴, 18A¹⁹, 18M⁴, 84A¹⁸, 120B¹², 24T¹⁵, 24O², 60H¹³, 96Q¹⁹, 72F¹³, 42F¹⁷, 120D¹¹, 30A¹², 48AN¹⁹, 24F⁵, 24AI¹⁷, 24L¹⁷, 48S⁷, 84F²⁰, 180H²⁰, 84I¹⁷, 48AZ²¹, 96AQ²¹, 168C²⁰, 96AB²⁰, 48X⁹, 60M⁹, 72P¹¹, 96M¹⁷, 144A⁸, 24R³, 48N⁸, 42R¹⁹, 192I²³, 48F⁹, 96A⁸, 60K¹⁵, 36J¹⁵, 42B²², 6E¹, 60C¹⁴, 24I⁶, 96E¹⁶, 24A¹⁹, 96A²⁰, 48Z²¹, 48BN¹⁷, 96Q²⁰, 48W⁷, 60C⁶, 72M⁸, 24B⁹, 48I¹⁸, 42K⁷, 12J³, 96X¹⁹, 18L¹⁰, 48C⁹, 72N¹⁵, 48BA¹⁹, 168D¹⁶, 42B¹⁸, 24K⁸, 48J¹⁸, 48AC¹⁵, 36A¹⁶, 48D²¹, 24C¹, 96K⁹, 12P³, 48A⁶, 48D²⁰, 48I¹⁷, 36C²¹, 96AR¹⁹, 48G¹¹, 24I⁴, 204H²³, 48O¹¹, 96AI¹⁹, 24D¹⁰, 48Q⁹, 24A¹⁶, 90I²¹, 60I¹⁹, 60N¹⁵, 36D¹⁵, 42I¹⁷, 120A¹³, 60N²³, 192G²³, 48C²¹, 96U²⁰, 24H³, 60L²³, 24M¹⁷, 84C⁷, 24U⁵, 12B⁷, 24S⁵, 24J⁹, 24AB⁷, 18C¹⁹, 18E¹, 48U¹⁹, 24U¹⁵, 48AY¹⁷, 84B⁶, 48R⁹, 96D²², 48G¹⁵, 192K²¹, 72O¹¹, 24B¹⁷, 60X¹³, 72L¹², 12B⁹, 24B⁸, 48L¹⁹, 48P⁸, 96AV¹⁹, 84I¹⁵, 42C¹⁸, 48BB²¹, 48N⁷, 60D¹⁵, 48BK¹⁷, 48X¹³, 24AE¹⁷, 24K⁹, 156A¹⁸, 96C⁹, 48C¹⁰, 60V²¹, 24M¹⁵, 168D²³, 96Y²¹, 336I²⁴, 96AH¹⁹, 96B¹⁶, 72K¹³, 48I²¹, 60H⁷, 48AY²¹, 120S²³, 36D¹², 48D¹⁰, 48AK¹⁷, 72T¹⁵, 48W¹³, 18B¹⁶, 42H¹⁵, 96B¹², 84D¹⁶, 36E¹⁶, 36B¹⁵, 48M¹⁵, 18K³, 96F²⁰, 24Q¹³, 48J⁸, 36G⁷, 96C²⁰, 24AD⁷, 24E¹⁰, 48CD¹⁷, 90F²⁰, 48H²⁰, 48AL¹⁹, 24S⁹, 36P⁴, 48BK²¹, 120L¹³, 48P¹⁷, 90A²³, 48AT²¹, 96M²¹, 60L¹⁵, 96Q²¹, 96AW¹⁹, 192H²³, 24G⁸, 24L⁸, 96E¹⁹, 48BI¹⁷, 96S¹⁵, 36I¹⁶, 48U⁷, 96D¹⁰, 24A³, 24D⁶, 132A¹⁶, 48CF¹⁷, 48AV²¹, 48BO²¹, 96N²¹, 168D²⁰, 48K⁶, 24F¹⁷, 48A¹⁹, 48T¹⁸, 36F⁶, 48BP²¹, 48BM¹⁹, 48B¹¹, 42K²³, 96T²³, 96F¹¹, 48Q¹⁸, 120C¹³, 120P²³, 84H¹⁸, 150D²⁰, 60E⁶, 144A¹⁴, 168B²³, 60F¹⁵, 48AF¹⁹, 192B²¹, 60P¹³, 30I¹³, 168C²², 180N²³, 48C³, 72J¹⁵, 48BA¹⁷, 48P⁹, 30Q⁹, 96C⁸, 48D⁸, 36E¹², 60D¹⁴, 24N⁹, 48AR¹⁷, 180C²², 48AU¹⁹, 96D²¹, 48W¹⁷, 96AU¹⁹, 180B²⁴, 72R¹⁶, 132B¹⁷, 84B²¹, 96AG²⁰, 12M¹, 96Z²¹, 24AJ¹⁷, 96AN²¹, 24O³, 36B²³, 36I¹¹, 72L⁸, 90G¹⁹, 78B¹⁷, 84J²⁰, 72C¹⁷, 18D³, 120A¹⁷, 48V¹³, 60Q¹³, 48A²⁰, 48BX¹⁷, 192G²¹, 198E²¹, 24A¹⁵, 144B¹⁸, 24AG¹⁷, 12O³, 96V¹⁵, 72X¹⁵, 24E⁶, 24AM¹⁷, 96J¹⁹, 60H²³, 36B¹⁸, 120F¹⁵, 240B²⁴, 48AL²¹, 30D³, 12A⁷, 36A¹², 48AB¹⁷, 144X²³, 96AF²³, 96AW²¹, 96V¹⁷, 24V⁹, 24O⁸, 24M¹³, 192C²³, 72M¹⁶, 60F⁶, 192A²², 84E¹⁹, 24G⁹, 24C², 48H¹¹, 72H⁹, 96W²³, 48M⁷, 96AG¹⁷, 36M¹¹, 96B¹⁸, 36A¹⁴, 48E⁸, 24H⁶, 132B¹⁶, 24I⁷, 36L¹⁵, 144B¹⁷, 96F¹⁹, 48F¹¹, 144A¹⁸, 24U⁷, 144D¹⁵, 24D⁸, 30A¹³, 42D⁸, 24S¹⁷, 72L¹³, 24D⁵, 96F⁸, 72I²³, 84E²¹, 48AJ¹⁹, 24X⁹, 48D¹⁹, 48AR²¹, 96U²³, 96AC¹⁷, 30E¹⁶, 96L²³, 24Q⁷, 48BJ²¹, 54E²², 96AA²¹, 84G²⁰, 84M²², 24M⁷, 60A¹⁴, 12C⁰, 24AC⁷, 72A⁹, 192H²¹, 48G¹⁷, 120B¹⁷, 180F²⁰, 96G¹³, 48AX¹⁹, 168C²³, 48E⁴, 48S⁹, 48BF²¹, 24J⁸, 24L⁹, 60S²³, 48Q¹⁷, 24H¹, 24P⁹, 192K²³, 30C¹⁹, 96AF²¹, 48B²², 24AC³, 24K¹³, 84J¹⁶, 240A²³, 48C²⁰, 96AE²³, 36P¹³, 48AV¹⁹, 96Z¹⁷, 48M¹⁹, 36B¹⁴, 96BB¹⁹, 18G¹⁶, 36C⁷, 84F¹⁷, 24C¹⁶, 84E¹⁶, 84F²³, 72M¹², 48A², 18B¹³, 36D²², 72D¹⁶, 96D¹¹, 96C¹², 48C¹¹, 30J¹¹, 12I², 48AF⁸, 24X¹⁷, 156A²⁰, 48R¹⁹, 36A¹⁵, 96AD²⁰, 96F¹⁷, 48J¹⁶, 72D¹⁴, 96G⁹, 24AA¹³, 48AJ¹⁷, 48S¹⁸, 24F¹⁵, 48U²¹, 96X²³, 78C¹⁶, 48AU²¹, 48R⁷, 48D¹¹, 48AP¹⁷, 18A⁴, 24N⁸, 60C¹³, 48C²², 48Z¹³, 36C¹², 24B¹⁰, 180B²¹, 240B²³, 24S⁷, 96A¹¹, 18I¹, 72D¹², 48D⁹, 96O¹⁷, 24W⁷, 24J¹⁹, 48W¹⁹, 36A²⁰, 42H¹³, 36B¹², 48A⁹, 96V²¹, 12D⁷, 60AC¹³, 96K¹¹, 6L⁰, 60V¹¹, 30I⁴, 96AF¹⁹, 72G¹³, 72G¹², 48N¹⁹, 48AF⁷, 60A⁸, 24F⁹, 72G¹⁶, 36K¹⁵, 48AD⁹, 96AC²¹, 96AC¹⁹, 30L²³, 48I⁸, 48Q¹⁵, 48AC⁷, 78A¹⁸, 72P¹⁶, 36I¹⁵, 96G¹⁹, 60O¹¹, 48AI¹⁹, 24P², 42P¹⁹, 96S²¹, 84I¹⁹, 120H¹⁵, 96K²³, 12N³, 30G²³, 24I⁸, 48H³, 96H²³, 24Q¹⁵, 72J²³, 24G¹⁵, 48Z¹⁵, 24P¹⁵, 24J¹³, 48G⁹, 6H⁰, 96A²³, 30J¹³, 90H¹⁹, 24T¹³, 96AH²¹, 18L⁴, 72S¹⁶, 96E²⁰, 48K⁸, 96Q²³, 102B²³, 144C¹⁵, 48AG¹⁹, 84J¹⁹, 72E²⁰, 24D⁴, 36L⁷, 48I¹⁵, 96AL²¹, 120B¹⁴, 78A²², 60A⁷, 150A²⁰, 96U¹⁹, 96AG¹⁹, 144B¹⁶, 42A²², 12I³, 120A¹⁵, 48C¹⁹, 90B²³, 84G¹⁹, 48G¹⁶, 30C²¹, 96J²⁰, 72H¹⁷, 48Z¹⁷, 48Z⁹, 90D¹⁰, 60D¹³, 72F¹⁵, 168A²⁰, 24Q², 36A¹⁸, 120J¹⁵, 24P³, 72N¹², 48AO¹⁷, 60N⁹, 96S¹⁷, 60J¹⁵, 48AB⁹, 96AK²¹, 132A¹³, 60M²³, 24A¹⁷, 84E²⁰, 168A¹⁵, 60M¹⁷, 120E¹⁵, 48T¹⁹, 156B¹⁷, 60D¹⁶, 168A²¹, 12B¹³, 120J¹³, 48AD¹³, 96AP¹⁹, 72E¹⁷, 72C⁶, 48F¹⁶, 48BQ¹⁷, 36J²², 72K²³, 96T¹⁹, 48J⁶, 24W¹³, 96B⁸, 24T⁹, 96M²⁰, 48BY²¹, 24P¹³, 48S¹¹</t>
        </is>
      </c>
    </row>
    <row r="29">
      <c r="A29">
        <f>HYPERLINK("https://mathstats.uncg.edu/sites/pauli/congruence/csg0.html#group6E0", "6E⁰")</f>
        <v/>
      </c>
      <c r="B29" t="n">
        <v>0</v>
      </c>
      <c r="C29" t="inlineStr"/>
      <c r="D29" t="inlineStr">
        <is>
          <t>12</t>
        </is>
      </c>
      <c r="E29" t="inlineStr">
        <is>
          <t>1</t>
        </is>
      </c>
      <c r="F29" t="inlineStr">
        <is>
          <t>3</t>
        </is>
      </c>
      <c r="G29" t="inlineStr">
        <is>
          <t>4</t>
        </is>
      </c>
      <c r="H29" t="inlineStr">
        <is>
          <t>0</t>
        </is>
      </c>
      <c r="I29" t="inlineStr">
        <is>
          <t>6²</t>
        </is>
      </c>
      <c r="J29" t="n">
        <v>2</v>
      </c>
      <c r="K29" t="inlineStr">
        <is>
          <t>1¹, 2¹</t>
        </is>
      </c>
      <c r="L29" t="inlineStr">
        <is>
          <t>3C⁰, 6B⁰</t>
        </is>
      </c>
      <c r="M29" t="inlineStr">
        <is>
          <t>6L⁰, 18D⁰, 6D¹, 12D¹, 12Q¹, 18F¹, 18G¹, 18G², 18H², 30I³, 30A⁴, 42F⁴, 30I⁷, 42D⁷, 66B⁸, 66B¹¹, 78A¹¹, 102B¹⁵, 114A¹⁹, 138A²³</t>
        </is>
      </c>
      <c r="N29" t="inlineStr">
        <is>
          <t>3C⁰, 6B⁰, 3A⁰, 1A⁰</t>
        </is>
      </c>
      <c r="O29" t="inlineStr">
        <is>
          <t>36K⁴, 90P¹⁵, 24L¹⁵, 12A⁵, 36G¹⁵, 36B¹⁵, 24K¹⁵, 48AG¹⁷, 12M³, 12Q¹, 18K³, 18E¹³, 18G¹, 24Q¹³, 36U¹⁹, 84D¹⁵, 42C¹³, 12A³, 72T¹⁹, 18H¹⁶, 18E¹⁰, 48M¹⁷, 24U¹³, 36I¹⁷, 48AH¹⁷, 60D¹⁷, 72V²¹, 48R¹³, 48AC¹³, 72P²¹, 36T¹⁵, 36L¹⁹, 90D¹⁴, 126K¹⁸, 12D¹, 18S⁴, 36S¹³, 126C²³, 54A¹⁹, 48AV²¹, 30B¹⁷, 24AA¹⁷, 12E⁷, 30E¹², 36K⁹, 48BE²¹, 72U¹⁹, 36G¹³, 126A²³, 126L²¹, 78A¹¹, 36K²², 18K¹⁰, 12C⁵, 12A¹³, 36A²³, 36F³, 36Q¹⁵, 30H⁹, 30A⁹, 126J¹², 48M²¹, 36E²¹, 60B²¹, 42N¹⁹, 36L¹¹, 18B⁶, 24N⁷, 60A⁹, 24A¹³, 18D⁶, 36C⁵, 6D¹, 30D¹⁷, 24T⁵, 36M¹³, 30H¹⁷, 54J²², 42A²¹, 90C²³, 18D¹³, 48AR¹⁷, 126E¹⁸, 60A²¹, 18G¹³, 30A⁴, 72S¹⁹, 48AA¹⁹, 36B²³, 60E⁹, 90N²¹, 90H¹⁴, 36A²¹, 150B²³, 54Q¹⁶, 30B²³, 36L⁹, 36C¹⁷, 36J⁴, 24Y¹³, 36I⁴, 24K²¹, 90C¹³, 54A¹⁶, 114A¹⁹, 72AA²¹, 36A¹², 12A⁷, 84N²¹, 36D²³, 18D¹⁶, 30R⁵, 36M⁵, 36K¹⁹, 24E⁹, 54B¹⁹, 12B⁵, 36P¹⁵, 66B¹¹, 12A¹¹, 60N¹⁷, 36L¹⁵, 36Q¹³, 30A²¹, 30I¹¹, 12H³, 24P⁵, 36C¹⁰, 24AL⁹, 18N⁷, 30I³, 30A¹⁰, 36J⁷, 60E¹⁷, 30H²¹, 24B¹³, 6F¹, 60F⁹, 12D⁵, 48F¹⁷, 36O¹⁵, 60G²¹, 36H¹⁹, 84F¹¹, 18D⁰, 72I²³, 24M²¹, 36E¹⁹, 60A¹⁹, 90I¹³, 36C²³, 36B¹¹, 36O¹³, 18F¹⁰, 36B²¹, 24R¹³, 18R⁴, 60C¹⁷, 54K¹⁶, 48G¹⁷, 24L²¹, 18F¹⁶, 30J⁹, 36K⁷, 18A¹³, 24L⁹, 18E⁴, 60V¹⁷, 24O¹³, 18O⁴, 18E⁶, 54I¹³, 48R¹⁷, 30I⁷, 36O⁹, 24K¹³, 198A²⁴, 72T²¹, 18H⁴, 36P⁹, 36A¹¹, 36P¹³, 42B¹¹, 18G¹⁶, 90G¹³, 42A¹⁴, 36D⁵, 126H¹⁷, 54B²¹, 126D¹⁸, 18B⁵, 18B¹³, 18F¹, 132D²³, 72U²¹, 72W¹⁷, 54A²⁴, 42D⁷, 90N¹⁵, 42F⁴, 18C¹⁶, 24S¹³, 18A⁵, 24X¹⁷, 66B⁸, 126N²¹, 24N¹¹, 90A¹², 18F³, 36N⁸, 90A¹³, 48AV¹⁷, 24S⁷, 90B¹², 12U¹, 36H¹⁵, 42E¹⁶, 36S¹⁵, 36L¹³, 48Q¹³, 30Q¹³, 24N¹⁷, 24O¹⁷, 18C⁶, 36B¹², 6L⁰, 42C⁹, 48R¹⁵, 24C¹⁷, 12T¹, 36A⁹, 36I¹⁵, 12N³, 102B¹⁵, 18A¹⁸, 30G²³, 72J²³, 24G¹⁵, 126G²³, 54V¹⁶, 18H³, 24J¹³, 42R¹⁹, 126J¹⁸, 66A²¹, 24L⁵, 24T¹³, 36F¹³, 18L⁴, 18C¹³, 42G¹³, 18D¹⁰, 36E⁹, 18H¹³, 66C²¹, 72S¹⁷, 36F¹⁰, 12P³, 54K²², 12E³, 48L¹⁷, 36R¹⁵, 72V¹⁹, 48V¹⁷, 36E¹³, 24H¹⁵, 12A⁹, 72Q²¹, 36E¹⁵, 126I²³, 36E¹⁷, 24M¹⁷, 36O⁸, 90H¹¹, 54H¹⁶, 24U⁵, 24S⁵, 18T⁴, 24A¹⁷, 12B⁹, 12B¹³, 72S²¹, 54G¹⁶, 36H⁴, 36J¹¹, 48AD¹³, 54A²¹, 126E¹⁷, 138A²³, 24K¹¹, 30M¹³, 72K²³, 18H², 132A¹⁹, 84A²³, 18F¹³, 78A²¹, 24W¹³, 54B²⁴, 48X¹³, 24AE¹⁷, 18G², 24P¹³, 60X¹⁷, 84E¹¹, 54E¹³</t>
        </is>
      </c>
    </row>
    <row r="30">
      <c r="A30">
        <f>HYPERLINK("https://mathstats.uncg.edu/sites/pauli/congruence/csg0.html#group6F0", "6F⁰")</f>
        <v/>
      </c>
      <c r="B30" t="n">
        <v>0</v>
      </c>
      <c r="C30" t="inlineStr">
        <is>
          <t>Γ₀(6), Γ₁(6)</t>
        </is>
      </c>
      <c r="D30" t="inlineStr">
        <is>
          <t>12</t>
        </is>
      </c>
      <c r="E30" t="inlineStr">
        <is>
          <t>1</t>
        </is>
      </c>
      <c r="F30" t="inlineStr">
        <is>
          <t>12</t>
        </is>
      </c>
      <c r="G30" t="inlineStr">
        <is>
          <t>0</t>
        </is>
      </c>
      <c r="H30" t="inlineStr">
        <is>
          <t>0</t>
        </is>
      </c>
      <c r="I30" t="inlineStr">
        <is>
          <t>1¹, 2¹, 3¹, 6¹</t>
        </is>
      </c>
      <c r="J30" t="n">
        <v>4</v>
      </c>
      <c r="K30" t="inlineStr">
        <is>
          <t>1⁶, 2³</t>
        </is>
      </c>
      <c r="L30" t="inlineStr">
        <is>
          <t>2B⁰, 3B⁰</t>
        </is>
      </c>
      <c r="M30" t="inlineStr">
        <is>
          <t>6I⁰, 6K⁰, 12E⁰, 18E⁰, 12F¹, 18D², 18E², 30K³, 30D⁴, 42G⁵, 42C⁶, 30L⁷, 66A⁹, 66A¹⁰, 78C¹¹, 102C¹⁵, 114A¹⁷, 138A²¹</t>
        </is>
      </c>
      <c r="N30" t="inlineStr">
        <is>
          <t>3B⁰, 1A⁰, 2B⁰</t>
        </is>
      </c>
      <c r="O30" t="inlineStr">
        <is>
          <t>12I⁰, 36C¹³, 48CF²¹, 24G⁷, 96AJ²³, 48L¹³, 24AC⁹, 90O²¹, 24AO¹⁷, 144H¹³, 60B¹⁸, 24AF⁷, 108C¹⁶, 60B¹⁶, 84J²³, 30P¹³, 18J¹, 72B²¹, 144I¹³, 48CD²¹, 36J¹³, 24X³, 18E⁰, 60G¹⁸, 24AI⁹, 36D¹⁹, 30K³, 54B⁷, 60H⁹, 72P¹⁷, 60AF¹⁵, 90G¹⁵, 18E², 36Q²², 36A⁵, 72B¹⁰, 84C²⁴, 12F², 36K²², 12A¹³, 24D¹⁷, 36A¹⁹, 60U¹⁵, 72C⁹, 126O²¹, 108B¹⁶, 60A²², 72S¹³, 72J²¹, 36E²¹, 120E²¹, 36N⁷, 78C²³, 96BD²¹, 24C³, 84I²³, 36H⁸, 72D¹¹, 72C¹⁰, 144F¹⁹, 36R¹⁰, 48A¹³, 24J⁵, 24AC¹³, 84G¹³, 54A⁸, 24AF⁹, 48B⁷, 30Q⁷, 18C⁴, 96M⁹, 30F¹⁰, 24AH⁹, 36B¹⁷, 126P²¹, 96BE¹⁹, 48AH⁹, 24AP¹⁷, 48A²³, 48CK²¹, 48AK⁹, 72M²², 108F²², 48L³, 48CO¹⁷, 24N¹³, 54T¹⁶, 48BT¹⁹, 36B⁵, 120M¹⁹, 36D¹³, 12P¹, 84L²³, 30B¹⁹, 18P⁴, 168Q²³, 90E²³, 24B⁰, 120K¹⁵, 192O²¹, 96C⁷, 144A²¹, 72I²¹, 24G¹, 162A²², 48CC²¹, 24AH⁷, 72Q¹⁷, 60O⁷, 192E¹⁹, 108E²¹, 96C¹⁵, 36B¹⁹, 96F¹⁰, 144G¹³, 90B¹⁴, 6K⁰, 30A²³, 144J²³, 36Q¹⁰, 18N⁷, 60G¹⁷, 48B¹³, 6I⁰, 36F⁴, 18A¹⁶, 48CP¹⁷, 72D¹⁹, 96B⁷, 24I⁵, 168R²³, 48C¹⁷, 120E¹⁹, 60N¹⁹, 36K¹¹, 48CQ²¹, 126F¹⁸, 60P⁷, 24H⁷, 144E¹⁷, 54R¹⁶, 60T¹⁷, 96AI²³, 42L¹³, 18M¹⁰, 96AI¹⁷, 72AB²¹, 60AC¹⁵, 48H²¹, 60A¹⁶, 96BC¹⁹, 30S⁷, 72H²¹, 96E¹⁵, 24F¹¹, 90H¹⁵, 48AN⁷, 144J¹³, 42C⁶, 60B¹⁷, 48A²¹, 24B¹¹, 48AM⁷, 48CO²¹, 54B⁸, 24R⁵, 24O¹³, 24B⁶, 24K¹⁷, 192F¹⁹, 120A¹⁸, 36A¹⁷, 144A¹⁹, 72G²¹, 72A¹⁹, 96BF²¹, 48AH¹³, 72M¹⁷, 48AO⁷, 36K¹⁰, 36K¹³, 144M²³, 144B²³, 36P²², 18O⁷, 48CH²¹, 108F¹⁰, 36A¹⁰, 54F²², 132C¹⁹, 132C²¹, 18P², 72O¹⁹, 90E¹², 42E⁹, 48CJ²¹, 66B¹⁹, 120N¹⁷, 30S⁹, 60O¹⁹, 96C¹³, 54A²², 54B², 84B¹², 156C²³, 48AG¹³, 96AJ¹⁷, 48J¹³, 96L⁹, 72D²¹, 24E²¹, 12S¹, 48T¹³, 108E¹¹, 48CB²¹, 48AG⁹, 48AM⁹, 72T¹³, 60AA¹⁵, 36U¹³, 168B²⁴, 60C⁸, 72B⁵, 24G¹¹, 24AR¹⁷, 72D⁷, 54C⁸, 36G³, 24AB⁹, 120L¹⁹, 108C¹⁷, 36L⁵, 132B²¹, 192N²¹, 72O¹⁷, 72X¹⁷, 120B¹⁹, 24AS¹⁷, 96A¹⁴, 36K¹⁷, 24AN¹⁷, 48B¹⁷, 144E²¹, 96L¹⁵, 72A¹¹, 48AI⁹, 72N²², 48X¹¹, 12C⁷, 36C¹, 18M⁴, 18D⁴, 36J³, 162B²², 48D⁵, 24C¹⁷, 24AI⁷, 72F²¹, 24AK⁷, 192P²¹, 30C²², 24AA³, 72U¹³, 24AD⁹, 108B¹⁷, 30A¹², 24L¹⁷, 24D²¹, 120B²¹, 48AL⁷, 24U³, 72F¹⁹, 18H¹⁰, 24H⁵, 48I³, 126K²¹, 90C¹², 48CE²¹, 54S¹⁶, 96BI²¹, 24B⁹, 48Y¹¹, 144I¹⁹, 96BF¹⁹, 24A¹¹, 84I¹¹, 48D⁷, 48I¹³, 48BQ¹⁹, 72L¹⁹, 48CQ¹⁷, 24M⁵, 42B¹⁸, 48D²¹, 48CN²¹, 48E¹³, 132B²⁰, 24I¹¹, 24F²¹, 24V³, 24AG⁹, 36L¹⁷, 60M¹⁹, 36F²¹, 36I⁸, 24AB¹³, 42I¹⁷, 120F¹⁹, 60K¹⁹, 72N¹⁹, 216A¹⁷, 48C²¹, 48AQ⁷, 96D¹⁵, 66A⁹, 144K²¹, 120D²¹, 96F¹³, 54I¹⁰, 72G⁸, 60S¹⁷, 36J⁸, 42H²¹, 48G¹⁵, 48I⁵, 90E¹⁴, 42F²³, 12B⁹, 24AB⁵, 24L¹³, 126C²⁰, 96H¹⁵, 108E²², 144B²¹, 48C¹³, 144G²³, 60P¹⁷, 96BB²¹, 30E¹⁵, 24AK⁹, 72H¹⁹, 138A²¹, 48P¹³, 36J¹⁰, 54B²², 48AJ⁹, 48A⁷, 18D², 96G¹¹, 48CK¹⁷, 18B¹⁶, 48W¹³, 96A¹⁵, 126D²⁰, 48CG²¹, 78F²³, 36L²², 36I⁷, 96H¹¹, 96E¹³, 24AJ⁹, 12L³, 54D²², 84F¹³, 48S¹³, 60AJ¹³, 54E⁴, 144N²³, 216C²², 60AB¹⁵, 60B⁹, 96F¹⁵, 96BJ²¹, 18E¹⁰, 120C²¹, 36I¹⁷, 24AG⁷, 48BR¹⁹, 84H¹¹, 48CM²¹, 42A¹⁶, 72B²⁰, 48B²¹, 48B²³, 24I², 48W¹¹, 48Y¹³, 36Q⁹, 18Q⁴, 96A¹³, 12G², 54A¹⁰, 12K³, 84D²⁴, 96D¹³, 96AL²³, 36D⁹, 144H²³, 72A²⁰, 144H¹⁹, 36S¹⁰, 90J¹¹, 24J¹, 72U¹⁷, 72N¹⁷, 48G²¹, 84B¹³, 54G²², 48F⁷, 96BC²¹, 12F¹, 48D¹³, 96BA²¹, 18G¹⁰, 96K¹⁵, 96AK¹⁷, 72A²¹, 24J²¹, 144F²³, 66C¹⁹, 30R¹³, 144J²¹, 48AK⁷, 48CM¹⁷, 216B²¹, 24AL⁷, 48CL²¹, 36T¹³, 72L²¹, 144B¹⁹, 24F², 24AJ⁷, 144D²¹, 30A²², 108G¹⁷, 30A¹⁵, 144B²², 48H⁷, 48BS¹⁹, 96BH²¹, 72E²¹, 72C¹⁹, 12J⁰, 114A¹⁷, 144C²¹, 72B⁹, 24C¹⁵, 12E⁵, 36I¹¹, 54D¹⁶, 144B²⁰, 144D¹⁹, 108A¹⁶, 24A⁹, 48I¹⁰, 72C⁷, 48Z¹¹, 48G⁷, 48H¹⁰, 48V¹³, 60F¹⁷, 48O¹³, 78C¹¹, 120A¹⁹, 48CA²¹, 144F²¹, 12O³, 144A²³, 54B⁶, 24B³, 72C¹¹, 48CJ¹⁷, 72M¹⁹, 42G¹², 12A⁷, 72Y¹⁷, 90A¹⁴, 144A²², 126K¹⁷, 162E¹⁶, 96B¹⁵, 72D¹⁰, 24M¹³, 72I¹⁹, 24Y³, 60D²², 24AT¹⁷, 12B⁵, 144E²³, 24B²¹, 96BD¹⁹, 144E¹⁵, 72W¹³, 36B¹⁰, 102C¹⁵, 144L²³, 120O¹⁷, 84A²⁴, 120B¹⁶, 30S⁵, 96E¹⁰, 48G¹³, 48C⁷, 96B¹³, 48N¹³, 30G¹¹, 96I¹³, 24Z³, 96BK²¹, 120K¹⁹, 6F¹, 48K¹³, 60G⁹, 90F¹⁴, 108F¹⁷, 48W²¹, 144L²¹, 144G²¹, 18E¹⁶, 120F²¹, 30N¹³, 84K²³, 48J⁵, 54E²², 48AP⁷, 120A²¹, 24I²¹, 24AE⁹, 66A²⁰, 126J¹⁷, 60V¹⁵, 66A¹⁷, 48D⁶, 144E¹⁹, 30L⁷, 144O²³, 36K⁸, 108A⁷, 72E¹⁹, 42C²¹, 72R¹³, 72C²¹, 144D²³, 72G¹⁹, 72K¹⁹, 24AP⁹, 48C⁵, 72A¹⁰, 96BL²¹, 126J²¹, 48BO¹⁹, 48K³, 48X²¹, 24AC³, 24K¹³, 96AL¹⁷, 144I²³, 72Y¹⁵, 48CI²¹, 150I¹⁹, 48E⁷, 144D¹⁷, 18A⁶, 54B¹³, 120L¹⁵, 132A²¹, 24R⁴, 48AN⁹, 36K³, 18B¹³, 72Q¹³, 72D⁹, 72AC²¹, 24AA⁵, 84B²⁴, 24AQ¹⁷, 36A¹⁵, 144I²¹, 24A²¹, 78C²¹, 42J¹⁷, 42I¹¹, 72A³, 48M¹³, 60AI¹³, 30H¹², 48BZ²¹, 144K²³, 96AZ²¹, 48Z¹³, 48CL¹⁷, 96G¹⁵, 48AB¹¹, 108B¹³, 36O²², 24K⁵, 84Q²¹, 12V¹, 72A²², 42C¹¹, 72B²², 42G⁵, 84A¹², 72V¹³, 24J¹⁹, 72K²¹, 36C⁹, 30D⁴, 168A²⁴, 36J¹⁷, 72R¹⁷, 24W³, 120D¹⁸, 144P²³, 84B²³, 108A¹⁵, 72B¹¹, 72E⁹, 24N⁵, 72J¹⁹, 48A¹⁴, 36H⁷, 12N³, 108A¹⁷, 54U¹⁶, 48BP¹⁹, 132D¹⁹, 24J¹³, 72I⁹, 36N²², 120D¹⁷, 96I¹⁵, 60O¹⁷, 96AK²³, 48F¹³, 36C¹⁹, 54C²², 144C¹⁹, 12D³, 42D¹², 48J⁴, 60Q¹⁷, 144C²³, 72L²², 24C²¹, 24G²¹, 84C¹³, 48AL⁹, 54E¹⁶, 60L¹⁹, 48CP²¹, 72B¹⁹, 96AH¹⁷, 48C²³, 66A¹⁰, 48H¹³, 24Z⁵, 48J¹⁹, 96J¹⁵, 60AD¹⁵, 18Q², 120M¹⁵, 48J³, 54F¹⁶, 60R¹⁷, 192M²¹, 30G²¹, 48AO⁹, 24E¹⁷, 24A¹⁷, 72T¹⁷, 96BG²¹, 42G¹¹, 36O⁷, 156D²³, 24H¹¹, 48AA¹¹, 36G⁴, 48D²³, 12B¹³, 96BM²¹, 108A¹³, 30B⁸, 144H²¹, 144G¹⁹, 144A²⁰, 96BE²¹, 48CN¹⁷, 24P¹³, 72F⁸, 12E⁰</t>
        </is>
      </c>
    </row>
    <row r="31">
      <c r="A31">
        <f>HYPERLINK("https://mathstats.uncg.edu/sites/pauli/congruence/csg0.html#group6G0", "6G⁰")</f>
        <v/>
      </c>
      <c r="B31" t="n">
        <v>0</v>
      </c>
      <c r="C31" t="inlineStr"/>
      <c r="D31" t="inlineStr">
        <is>
          <t>18</t>
        </is>
      </c>
      <c r="E31" t="inlineStr">
        <is>
          <t>1</t>
        </is>
      </c>
      <c r="F31" t="inlineStr">
        <is>
          <t>9</t>
        </is>
      </c>
      <c r="G31" t="inlineStr">
        <is>
          <t>2</t>
        </is>
      </c>
      <c r="H31" t="inlineStr">
        <is>
          <t>0</t>
        </is>
      </c>
      <c r="I31" t="inlineStr">
        <is>
          <t>3², 6²</t>
        </is>
      </c>
      <c r="J31" t="n">
        <v>4</v>
      </c>
      <c r="K31" t="inlineStr">
        <is>
          <t>1³, 2³</t>
        </is>
      </c>
      <c r="L31" t="inlineStr">
        <is>
          <t>3C⁰, 6D⁰</t>
        </is>
      </c>
      <c r="M31" t="inlineStr">
        <is>
          <t>6K⁰, 6L⁰, 12G⁰, 6E¹, 12K¹, 12L¹, 18I¹, 12C², 18I², 18E³, 30O⁵, 30A⁶, 42C⁸, 42A⁹, 30C¹¹, 66A¹⁴, 66A¹⁵, 78A¹⁷, 102B²³</t>
        </is>
      </c>
      <c r="N31" t="inlineStr">
        <is>
          <t>3C⁰, 2B⁰, 3A⁰, 1A⁰, 6D⁰</t>
        </is>
      </c>
      <c r="O31" t="inlineStr">
        <is>
          <t>96Y²¹, 72K¹³, 48BE¹⁹, 90B²¹, 48O¹⁷, 48M⁹, 48N⁹, 36D¹², 48AI¹⁷, 24M¹⁹, 48AK¹⁷, 24L¹⁵, 12G³, 72T¹⁵, 48W¹³, 18B¹⁶, 24O⁹, 96AU²¹, 24AB¹⁷, 36L²², 48U¹⁷, 36B¹⁵, 24R⁷, 18N⁴, 48Z¹⁹, 24K¹⁵, 36C¹³, 48AG¹⁷, 36R¹⁹, 36E⁷, 18K³, 24G⁷, 24K³, 36U¹⁹, 24Q¹³, 24AD¹⁷, 48V⁹, 36N¹⁵, 48AD²¹, 24V⁷, 18E¹⁰, 48M¹⁷, 48AL¹⁹, 36I¹⁷, 36C¹⁵, 24U¹³, 48AH¹⁷, 96W¹⁷, 48P¹⁷, 36P⁴, 48BW²¹, 96M²¹, 48AB²¹, 72J¹³, 48BC²¹, 48B²¹, 72R¹⁵, 24I¹⁵, 48Y¹³, 84D²⁰, 48AC¹³, 48E¹⁹, 48BJ¹⁷, 90K¹⁹, 48BI¹⁷, 36I¹⁶, 18A²², 72V¹⁵, 96Z²³, 48AV²¹, 48BE²¹, 36S¹³, 24AA¹⁷, 12E⁷, 96N²¹, 30E¹², 48BG¹⁹, 24M³, 48E¹¹, 36G¹³, 48AA¹⁷, 24B¹⁹, 96AE²¹, 96AV²¹, 48AF²¹, 36A²², 36K²², 48P¹¹, 12A¹³, 84D²¹, 12C⁵, 96T²³, 36A²³, 24O¹⁹, 24D¹⁵, 24D¹⁷, 48G²¹, 72H¹², 84D¹⁹, 48X⁷, 48M²¹, 36L¹¹, 36E²¹, 48V¹⁹, 24O⁷, 36N⁷, 24N⁷, 48AF¹⁹, 30F²³, 36H⁵, 96M¹⁵, 36C²², 96Q¹⁷, 96Y²³, 48AX¹⁷, 30H²³, 18D⁶, 36O¹⁹, 48N¹⁵, 30Q⁹, 72I¹⁵, 48K²¹, 96N¹⁵, 24C¹⁹, 24T⁵, 48AZ¹⁷, 24E¹⁵, 24N⁹, 18I², 48AR¹⁷, 72Q¹¹, 24T⁷, 60W²¹, 84B²¹, 18I⁷, 96AN²¹, 30O⁵, 48Y¹⁷, 30H¹¹, 24C¹⁵, 48AA¹⁹, 36I¹¹, 36B²³, 72L⁸, 90G¹⁹, 24O³, 24Z¹⁷, 60G¹⁵, 96AO²¹, 24A⁹, 48Y²¹, 48E¹⁵, 48AE¹⁷, 48V¹³, 24K¹⁹, 60Q¹³, 60B¹², 24AC¹⁷, 24A¹⁵, 72N¹¹, 24AG¹⁷, 12O³, 48K¹⁵, 48AC²¹, 24Y¹³, 24N¹³, 48K¹⁹, 66A¹⁵, 24G¹⁷, 54T¹⁶, 36D¹³, 72H¹⁵, 96F²¹, 12L¹, 48AH¹⁹, 24R⁹, 84C¹⁶, 42C¹⁷, 72AA²¹, 24J¹⁵, 12A⁷, 36D²³, 48AB¹⁷, 36A¹², 18D¹⁶, 48BG²¹, 48AF¹⁷, 144X²³, 96V¹⁷, 24V⁹, 24M¹³, 24Y¹⁷, 24Q¹⁹, 48P¹⁵, 78A¹⁷, 24L³, 24E⁹, 96T¹⁷, 72G¹⁵, 12K¹, 12B⁵, 72I¹⁷, 60N¹¹, 30K¹³, 24G⁹, 48H¹¹, 36N¹⁹, 12A¹¹, 48M⁷, 48P²¹, 36M¹¹, 96P¹⁷, 42C¹⁶, 24I⁷, 36L¹⁵, 6K⁰, 36N¹¹, 30A²³, 60T¹³, 30I¹¹, 96F¹⁹, 12H³, 24U⁷, 36Q¹⁰, 30G¹¹, 18N⁷, 24V¹⁷, 30H²¹, 48X¹⁹, 96AB²¹, 6F¹, 24Z⁷, 12D⁵, 60D²³, 48AL¹⁷, 24N¹⁹, 18A¹⁶, 48Z⁷, 48F¹⁷, 72A¹⁷, 48W²¹, 48Q⁷, 72L¹³, 36A⁸, 60Y¹³, 48C¹⁷, 72I²³, 36C²³, 24H⁷, 54E²², 48AA⁷, 24Y⁷, 48E¹⁷, 96P²¹, 96AA²¹, 36I⁵, 48AM¹⁹, 24M⁷, 24Q⁷, 18M¹⁰, 96AJ¹⁹, 18E⁷, 72AB²¹, 12F³, 24R¹³, 96AG²¹, 48H²¹, 24I¹⁷, 48G¹⁷, 60Q²³, 72H¹³, 36H⁶, 48O²¹, 48A²¹, 144W²³, 48S⁹, 96S²³, 24R⁵, 24L⁹, 24O¹³, 24K¹⁷, 48Q¹⁷, 24AP⁹, 24P⁹, 96I¹⁷, 48F¹⁵, 48R¹⁷, 30C¹⁹, 48X²¹, 48BL¹⁷, 24N¹⁵, 36O⁹, 24J¹⁷, 24AC³, 24K¹³, 96AF²¹, 18M⁷, 36D⁷, 96N¹⁹, 90A²⁰, 36P⁹, 36P¹³, 18G¹⁶, 36C⁷, 36G¹⁶, 84F¹⁷, 48F¹⁹, 18A⁶, 48BD¹⁹, 18P², 60E¹⁵, 18B¹³, 30J¹¹, 96U¹⁷, 36E⁸, 60E²³, 18A⁷, 54A²², 24S¹³, 24X¹⁷, 24X⁷, 36A¹⁵, 12S¹, 24N¹¹, 42C²⁴, 48S²¹, 96I²¹, 48AJ¹⁷, 30C¹³, 24F¹⁵, 96P¹⁵, 48AU²¹, 48R⁷, 36N⁸, 24N³, 60C¹³, 72J¹⁷, 48Z¹³, 96AP²¹, 36C¹², 48BT²¹, 30A⁶, 24AH¹⁷, 48W⁹, 48AV¹⁷, 84H¹⁷, 24S⁷, 12U¹, 24P⁷, 48AW¹⁷, 24I¹, 42E¹⁶, 18I¹, 72X¹⁷, 48J⁹, 24H¹⁷, 18E¹⁹, 96D¹⁹, 72D¹², 48D⁹, 48I⁹, 24N¹⁷, 36K¹⁷, 24W⁷, 24J¹⁹, 24O¹⁷, 48W¹⁹, 36B¹², 72O¹⁵, 48B¹⁷, 12D⁷, 24AF¹⁷, 36Q¹⁹, 6L⁰, 48R¹⁵, 36H²², 42C⁸, 12C⁷, 90B²⁰, 36M¹⁹, 18M⁴, 18A¹⁹, 48AP²¹, 12C², 72G¹³, 24C¹⁷, 84A¹⁸, 48AO²¹, 12T¹, 36K¹⁵, 30L²³, 24AA⁷, 48BM¹⁷, 48Q¹⁵, 72F¹³, 36I¹⁵, 42F¹⁷, 60O¹¹, 48AI¹⁹, 96S²¹, 24J⁷, 42P¹⁹, 36M¹⁵, 12N³, 18A¹⁸, 30G²³, 30A¹², 24L¹⁷, 24AI¹⁷, 96G²¹, 24G¹⁵, 72J²³, 48AZ²¹, 24J¹³, 24Y⁹, 72P¹¹, 42R¹⁹, 30B¹⁶, 30J¹³, 36J¹⁵, 6E¹, 60C¹⁴, 48W⁷, 48Z²¹, 24T¹³, 96AH²¹, 18L⁴, 48K¹⁷, 72M⁸, 84K¹⁹, 24B⁹, 102B²³, 48AG¹⁹, 84J¹⁹, 12J³, 48BD²¹, 18A⁸, 72I¹², 30C¹¹, 12G⁰, 96J²¹, 48C⁹, 12D³, 72N¹⁵, 12I³, 24T¹⁷, 42B¹⁸, 48H⁹, 48D²¹, 24C⁵, 12P³, 36Q⁴, 12E³, 48BA²¹, 48L¹⁷, 66A¹⁴, 48O¹⁵, 72L²², 90B²³, 60U¹³, 30C²¹, 84G¹⁹, 36C²¹, 48V¹⁷, 48Z¹⁷, 96AI¹⁹, 48N¹⁷, 48Z⁹, 60D¹³, 36H¹³, 72F¹⁵, 90I²¹, 24I³, 36A¹⁸, 24H¹⁵, 36D¹⁵, 42I¹⁷, 72U¹⁵, 72B¹⁷, 24E⁵, 72M¹¹, 42A⁹, 96S¹⁷, 96AM²¹, 48Y⁷, 48J¹⁹, 72E¹², 84B¹⁸, 48C²¹, 24H³, 24M¹⁷, 24B¹⁵, 36O⁸, 24U⁵, 12B⁷, 24S⁵, 18C¹⁹, 24J⁹, 30G²¹, 36I³, 72S¹⁵, 24A¹⁷, 96J¹⁷, 24E¹⁷, 24U¹⁵, 48AY¹⁷, 48R⁹, 48G¹⁵, 72O¹¹, 48BC¹⁹, 36I¹³, 12B⁹, 12B¹³, 48BB¹⁹, 36J¹¹, 48AD¹³, 36D⁶, 42L¹⁹, 18E³, 42C¹⁸, 24L¹³, 72K²³, 48BB²¹, 48N⁷, 24W¹³, 48BK¹⁷, 48X¹³, 24AE¹⁷, 24K⁹, 48BY²¹, 24P¹³, 48S¹¹, 24M¹⁵</t>
        </is>
      </c>
    </row>
    <row r="32">
      <c r="A32">
        <f>HYPERLINK("https://mathstats.uncg.edu/sites/pauli/congruence/csg0.html#group6H0", "6H⁰")</f>
        <v/>
      </c>
      <c r="B32" t="n">
        <v>0</v>
      </c>
      <c r="C32" t="inlineStr"/>
      <c r="D32" t="inlineStr">
        <is>
          <t>18</t>
        </is>
      </c>
      <c r="E32" t="inlineStr">
        <is>
          <t>1</t>
        </is>
      </c>
      <c r="F32" t="inlineStr">
        <is>
          <t>9</t>
        </is>
      </c>
      <c r="G32" t="inlineStr">
        <is>
          <t>4</t>
        </is>
      </c>
      <c r="H32" t="inlineStr">
        <is>
          <t>0</t>
        </is>
      </c>
      <c r="I32" t="inlineStr">
        <is>
          <t>6³</t>
        </is>
      </c>
      <c r="J32" t="n">
        <v>3</v>
      </c>
      <c r="K32" t="inlineStr">
        <is>
          <t>1³, 2³</t>
        </is>
      </c>
      <c r="L32" t="inlineStr">
        <is>
          <t>6B⁰, 6D⁰</t>
        </is>
      </c>
      <c r="M32" t="inlineStr">
        <is>
          <t>6L⁰, 12H⁰, 6E¹, 12N¹, 12D², 18L², 18D³, 30P⁵, 30B⁶, 42L⁷, 42I¹⁰, 30D¹¹, 66B¹³, 66C¹⁶, 78B¹⁷, 102D²³</t>
        </is>
      </c>
      <c r="N32" t="inlineStr">
        <is>
          <t>2B⁰, 6B⁰, 3A⁰, 1A⁰, 6D⁰</t>
        </is>
      </c>
      <c r="O32" t="inlineStr">
        <is>
          <t>24Q⁴, 96AH¹⁹, 96B¹⁶, 48AY²¹, 48O⁸, 90D²⁰, 48R¹¹, 24L¹⁵, 12G³, 42H¹⁵, 48U¹⁷, 36B¹⁵, 48D¹⁶, 48AE²¹, 18N⁴, 96L²¹, 24K¹⁵, 48AG¹⁷, 18K³, 96AK¹⁹, 66C¹⁶, 36U¹⁹, 24Q¹³, 96S¹⁹, 96F²⁰, 36G⁷, 48N¹¹, 24AD⁷, 30D¹⁶, 48AH⁷, 72P¹⁵, 102D²³, 48CD¹⁷, 24V⁷, 18E¹⁰, 48M¹⁷, 36K⁵, 36C¹⁵, 36I¹⁷, 24U¹³, 48AH¹⁷, 48BK²¹, 90A²³, 96AW¹⁹, 48AT²¹, 36H¹⁶, 96AA²³, 24I¹⁵, 96AS¹⁹, 48AC¹³, 48E¹⁹, 48AQ¹⁷, 60M¹⁵, 48BH¹⁷, 48AD¹⁷, 36S¹³, 48AV²¹, 48BE²¹, 48U¹⁵, 24AA¹⁷, 30E¹², 12E⁷, 24V¹³, 36G¹³, 48K⁶, 24B¹⁹, 12H², 42K²³, 36K²², 48BM¹⁹, 12A¹³, 12C⁵, 30K²³, 72K¹⁴, 48BR¹⁷, 36A²³, 24D¹⁵, 24X¹³, 36F¹², 48CC¹⁷, 48M²¹, 36E²¹, 36L¹¹, 60R¹¹, 24N⁷, 96AM¹⁹, 24J⁶, 24AK¹⁷, 18D⁶, 48AA⁹, 60P²³, 96A¹⁶, 96AL¹⁹, 24T⁵, 84H²¹, 48K²¹, 24C¹⁹, 24F⁸, 36E¹², 48AF¹³, 60D¹⁴, 24E¹⁵, 24L¹⁹, 48AR¹⁷, 24X⁵, 48W¹⁷, 24P¹⁹, 48AA¹³, 96AU¹⁹, 72R¹⁶, 48AF⁹, 90K²¹, 48G²⁰, 36D²¹, 24W⁵, 48AA¹⁹, 78B¹⁷, 36B²³, 48T⁷, 24Z¹⁷, 48AC¹⁷, 18D³, 36S¹⁹, 66B¹³, 48Y²¹, 48E¹⁵, 42I¹⁶, 24K¹⁹, 72C¹⁴, 18B⁸, 96AB²³, 48E¹⁰, 24A¹⁵, 48K¹⁵, 60X²¹, 96V¹⁵, 24Y¹³, 24E⁶, 48K¹⁹, 48E¹⁶, 48BY¹⁷, 96K²⁰, 24G¹⁷, 24J⁴, 24AM¹⁷, 48E²⁰, 72R¹¹, 144Y²³, 72J¹⁶, 60H²³, 36B¹⁸, 72AA²¹, 24J¹⁵, 12A⁷, 36D²³, 36A¹², 42G¹⁷, 18D¹⁶, 48CI¹⁷, 48T¹⁵, 36C⁶, 24O⁸, 36T¹⁹, 24Y¹⁷, 96R²³, 84H¹⁶, 24R¹⁵, 48AS¹⁷, 24E⁹, 48I²⁰, 84D¹⁴, 12B⁵, 12D², 30R⁹, 24G⁹, 30B⁶, 12A¹¹, 24Q⁹, 72H⁹, 60O²³, 24V⁵, 96W²³, 36M¹¹, 48P²¹, 24R¹⁹, 36A¹⁴, 24I⁷, 36L¹⁵, 36N¹¹, 48AB¹⁵, 30I¹¹, 12H³, 18N⁷, 24V¹⁷, 30H²¹, 84D¹⁸, 24N², 48I⁶, 18K⁷, 6F¹, 12D⁵, 96AT¹⁹, 48F¹⁷, 24D⁵, 48X¹⁷, 96O¹⁹, 72C¹⁶, 72I²³, 84E²¹, 48M³, 96D¹⁶, 48AB¹³, 48AE⁷, 36C²³, 48BJ²¹, 84G²⁰, 48E¹⁷, 24M⁷, 84C²¹, 96L²⁰, 36C⁸, 18E⁷, 96AE¹⁹, 12F³, 24R¹³, 48C¹⁶, 84M¹⁷, 24I¹⁷, 48G¹⁷, 24M⁸, 30P⁵, 48V¹⁵, 42H¹⁶, 48CA¹⁷, 48O²¹, 24S³, 48BF²¹, 30K¹¹, 24L⁹, 60S²³, 24O¹³, 24H¹, 48AA²¹, 84J¹⁷, 48F¹⁵, 48R¹⁷, 36O⁹, 24J¹⁷, 24K¹³, 30D²¹, 60H¹⁵, 36F⁷, 36P¹³, 36P⁹, 24O¹⁵, 48AD⁷, 18G¹⁶, 36B¹⁴, 48F¹⁹, 48BC¹⁷, 72M¹², 18B¹³, 36F⁸, 36D²², 60AF¹³, 72D¹⁶, 48BG¹⁷, 24Z¹³, 12I², 96K²¹, 48BF¹⁷, 18A⁷, 24S¹³, 48AW²¹, 48Y¹⁹, 24X¹⁷, 36R⁴, 24N¹¹, 24M⁹, 48J¹⁶, 12N¹, 48S²¹, 96I¹⁹, 24AA¹³, 30C¹³, 24F¹⁵, 96X²³, 48AU²¹, 72D¹⁷, 48L⁸, 36N⁸, 60S¹¹, 72K¹⁶, 24N⁸, 48F²⁰, 48AV¹⁷, 24S¹⁵, 24S⁷, 12U¹, 48BD¹⁷, 42E¹⁶, 90A²¹, 60AD¹³, 24H¹⁷, 18E¹⁹, 24N¹⁷, 24W⁷, 24O¹⁷, 36B¹², 12D⁷, 96K¹¹, 6L⁰, 48BE¹⁷, 42L⁷, 36I²², 48R¹⁵, 96AF¹⁹, 144J¹⁹, 60C¹², 18A¹⁹, 48AP²¹, 48BU¹⁷, 24C¹⁷, 48AO²¹, 60H¹³, 12T¹, 36K¹⁵, 24O², 24T¹⁵, 96G¹⁹, 36I¹⁵, 96C¹⁶, 24F⁶, 42P¹⁹, 24J⁷, 12N³, 18A¹⁸, 48BT¹⁷, 30G²³, 84N¹⁷, 48AQ¹⁹, 18L², 84I¹⁷, 48S⁷, 72J²³, 72I¹³, 24G¹⁵, 24Q¹⁵, 96AQ²¹, 24AE⁷, 24P¹⁵, 24J¹³, 48M⁸, 24E⁸, 42R¹⁹, 48G⁹, 48F⁹, 48N⁸, 30J¹³, 36J¹⁵, 6E¹, 24T¹³, 48Z²¹, 96E¹⁶, 18L⁴, 72S¹⁶, 48K¹⁷, 96E²⁰, 48W⁸, 96Q²³, 24Y⁵, 48AE¹³, 96U¹⁹, 96AG¹⁹, 24T¹⁷, 12P³, 48AC¹⁵, 12E³, 48L¹⁷, 24I⁴, 48V¹⁷, 72H¹⁷, 48G¹¹, 72B¹⁴, 24H¹⁵, 36D¹⁵, 48B¹⁶, 30L¹³, 96T²¹, 96O²¹, 24M¹⁷, 24B¹⁵, 60I²³, 36O⁸, 24U⁵, 12B⁷, 24S⁵, 18C¹⁹, 24J⁹, 48U¹⁹, 24A¹⁷, 72Q¹⁵, 30D¹¹, 72L¹², 12B⁹, 42I¹⁰, 12B¹³, 36J¹¹, 48AD¹³, 42L¹⁹, 48S¹⁵, 96AN¹⁹, 96AV¹⁹, 48BQ¹⁷, 48BV¹⁷, 72K²³, 48BS¹⁷, 48BN¹⁹, 48J⁶, 24W¹³, 24AL¹⁷, 48X¹³, 24AE¹⁷, 24K⁹, 24P¹³, 12H⁰</t>
        </is>
      </c>
    </row>
    <row r="33">
      <c r="A33">
        <f>HYPERLINK("https://mathstats.uncg.edu/sites/pauli/congruence/csg0.html#group6I0", "6I⁰")</f>
        <v/>
      </c>
      <c r="B33" t="n">
        <v>0</v>
      </c>
      <c r="C33" t="inlineStr">
        <is>
          <t>Γ₀(3)∩Γ(2)</t>
        </is>
      </c>
      <c r="D33" t="inlineStr">
        <is>
          <t>24</t>
        </is>
      </c>
      <c r="E33" t="inlineStr">
        <is>
          <t>1</t>
        </is>
      </c>
      <c r="F33" t="inlineStr">
        <is>
          <t>4</t>
        </is>
      </c>
      <c r="G33" t="inlineStr">
        <is>
          <t>0</t>
        </is>
      </c>
      <c r="H33" t="inlineStr">
        <is>
          <t>0</t>
        </is>
      </c>
      <c r="I33" t="inlineStr">
        <is>
          <t>2³, 6³</t>
        </is>
      </c>
      <c r="J33" t="n">
        <v>6</v>
      </c>
      <c r="K33" t="inlineStr">
        <is>
          <t>1², 2¹</t>
        </is>
      </c>
      <c r="L33" t="inlineStr">
        <is>
          <t>2C⁰, 6C⁰, 6F⁰</t>
        </is>
      </c>
      <c r="M33" t="inlineStr">
        <is>
          <t>12I⁰, 6F¹, 12P¹, 18J¹, 12F², 18C⁴, 18D⁴, 30Q⁷, 30B⁸, 42G¹¹, 42D¹², 30A¹⁵, 66B¹⁹, 66A²⁰, 78C²³</t>
        </is>
      </c>
      <c r="N33" t="inlineStr">
        <is>
          <t>3B⁰, 2A⁰, 6C⁰, 6F⁰, 2B⁰, 1A⁰, 2C⁰</t>
        </is>
      </c>
      <c r="O33" t="inlineStr">
        <is>
          <t>60T¹⁷, 66A²⁰, 24AE⁹, 12I⁰, 60A¹⁶, 96BC¹⁹, 48CK¹⁷, 48CG²¹, 60B¹⁷, 24B¹¹, 12L³, 48CF²¹, 72R¹³, 24O¹³, 72C²¹, 24AC⁹, 36A¹⁷, 72K¹⁹, 24AO¹⁷, 60AB¹⁵, 60B¹⁸, 72A¹⁹, 24AF⁷, 84J²³, 48BO¹⁹, 18E¹⁰, 96BF²¹, 30P¹³, 36I¹⁷, 72M¹⁷, 24AG⁷, 24K¹³, 18J¹, 48CI²¹, 72B²¹, 48CD²¹, 48CH²¹, 18O⁷, 48W¹¹, 36A¹⁰, 54B¹³, 36Q⁹, 36D¹⁹, 18B¹³, 12K³, 54A¹⁰, 54B⁷, 72Q¹³, 48CJ²¹, 66B¹⁹, 36D⁹, 48AG¹³, 48J¹³, 72D²¹, 84B²⁴, 24E²¹, 24AQ¹⁷, 24A²¹, 48CB²¹, 12F², 60AA¹⁵, 36U¹³, 36K²², 12A¹³, 48BZ²¹, 72N¹⁷, 96AZ²¹, 36A¹⁹, 24AR¹⁷, 48CL¹⁷, 24AB⁹, 36O²², 36E²¹, 36L⁵, 12V¹, 48D¹³, 96BA²¹, 18G¹⁰, 24AS¹⁷, 78C²³, 72A²¹, 72V¹³, 24AN¹⁷, 96BD²¹, 36C⁹, 48AK⁷, 84I²³, 48CM¹⁷, 24AL⁷, 36H⁸, 36J¹⁷, 48A¹³, 36T¹³, 48X¹¹, 18D⁴, 36J³, 24AC¹³, 24C¹⁷, 24AI⁷, 24AF⁹, 18C⁴, 30Q⁷, 30A²², 30A¹⁵, 24AK⁷, 24AA³, 48BS¹⁹, 24AH⁹, 72C¹⁹, 36B¹⁷, 36H⁷, 24AD⁹, 12N³, 12E⁵, 54D¹⁶, 24D²¹, 24U³, 48AL⁷, 24AP¹⁷, 48AH⁹, 48BP¹⁹, 18H¹⁰, 24J¹³, 24H⁵, 48CK²¹, 48AK⁹, 36N²², 48CA²¹, 48CE²¹, 48CJ¹⁷, 72M¹⁹, 48BT¹⁹, 12P¹, 24A¹¹, 36C¹⁹, 48I¹³, 12A⁷, 72L¹⁹, 42D¹², 24C²¹, 24G²¹, 24AT¹⁷, 24V³, 24F²¹, 12B⁵, 54E¹⁶, 24AG⁹, 60L¹⁹, 48CC²¹, 24B²¹, 72B¹⁹, 48CP²¹, 36I⁸, 36F²¹, 24AB¹³, 24AH⁷, 108E²¹, 36B¹⁹, 96BD¹⁹, 60K¹⁹, 72W¹³, 36B¹⁰, 24Z⁵, 72N¹⁹, 84A²⁴, 54F¹⁶, 24A¹⁷, 60S¹⁷, 42G¹¹, 42H²¹, 18N⁷, 24Z³, 48B¹³, 12B⁹, 6F¹, 42F²³, 12B¹³, 24AB⁵, 72D¹⁹, 108F¹⁷, 24I⁵, 30B⁸, 108E²², 48C¹³, 48CQ²¹, 48CN¹⁷, 24P¹³, 24AK⁹</t>
        </is>
      </c>
    </row>
    <row r="34">
      <c r="A34">
        <f>HYPERLINK("https://mathstats.uncg.edu/sites/pauli/congruence/csg0.html#group6J0", "6J⁰")</f>
        <v/>
      </c>
      <c r="B34" t="n">
        <v>0</v>
      </c>
      <c r="C34" t="inlineStr"/>
      <c r="D34" t="inlineStr">
        <is>
          <t>24</t>
        </is>
      </c>
      <c r="E34" t="inlineStr">
        <is>
          <t>1</t>
        </is>
      </c>
      <c r="F34" t="inlineStr">
        <is>
          <t>8</t>
        </is>
      </c>
      <c r="G34" t="inlineStr">
        <is>
          <t>0</t>
        </is>
      </c>
      <c r="H34" t="inlineStr">
        <is>
          <t>3</t>
        </is>
      </c>
      <c r="I34" t="inlineStr">
        <is>
          <t>6⁴</t>
        </is>
      </c>
      <c r="J34" t="n">
        <v>4</v>
      </c>
      <c r="K34" t="inlineStr">
        <is>
          <t>2⁴</t>
        </is>
      </c>
      <c r="L34" t="inlineStr">
        <is>
          <t>6A⁰, 6C⁰</t>
        </is>
      </c>
      <c r="M34" t="inlineStr">
        <is>
          <t>6F¹, 12O¹, 18K¹, 12D⁴, 18F⁴, 18G⁴, 30K⁷, 30L⁹, 42H¹¹, 42E¹², 30A¹⁶, 66A¹⁹, 66D²¹, 78E²³</t>
        </is>
      </c>
      <c r="N34" t="inlineStr">
        <is>
          <t>3B⁰, 2A⁰, 6A⁰, 1A⁰, 6C⁰</t>
        </is>
      </c>
      <c r="O34" t="inlineStr">
        <is>
          <t>30D²², 42H¹¹, 12B⁵, 60I²¹, 12F⁷, 30A¹⁶, 30K⁷, 18F⁴, 42I²¹, 108C²², 12N³, 54P¹³, 54J¹³, 18J¹⁰, 42H²³, 18I¹⁰, 60T¹⁵, 12D⁴, 36K²², 12A¹³, 90I²², 36F¹⁹, 36M²², 36F¹⁶, 24J¹³, 54H¹³, 24O¹³, 24A¹⁷, 12O¹, 18N⁷, 36E²¹, 66A¹⁹, 18K¹, 18E¹⁰, 6F¹, 12B⁹, 30J¹⁷, 36I¹⁷, 36E¹⁰, 42E¹², 78E²³, 36G¹⁹, 24D¹¹, 12B¹³, 54J¹⁶, 24K¹³, 24E¹¹, 24A²⁴, 60J²¹, 54K¹³, 12A⁷, 66D²¹, 36S⁴, 24H²¹, 54F¹⁰, 36D¹⁰, 30L⁹, 18B¹³, 18P⁷, 24P¹³, 24C¹⁷, 18G⁴</t>
        </is>
      </c>
    </row>
    <row r="35">
      <c r="A35">
        <f>HYPERLINK("https://mathstats.uncg.edu/sites/pauli/congruence/csg0.html#group6K0", "6K⁰")</f>
        <v/>
      </c>
      <c r="B35" t="n">
        <v>0</v>
      </c>
      <c r="C35" t="inlineStr">
        <is>
          <t>Γ₀(2)∩Γ(3)</t>
        </is>
      </c>
      <c r="D35" t="inlineStr">
        <is>
          <t>36</t>
        </is>
      </c>
      <c r="E35" t="inlineStr">
        <is>
          <t>1</t>
        </is>
      </c>
      <c r="F35" t="inlineStr">
        <is>
          <t>3</t>
        </is>
      </c>
      <c r="G35" t="inlineStr">
        <is>
          <t>0</t>
        </is>
      </c>
      <c r="H35" t="inlineStr">
        <is>
          <t>0</t>
        </is>
      </c>
      <c r="I35" t="inlineStr">
        <is>
          <t>3⁴, 6⁴</t>
        </is>
      </c>
      <c r="J35" t="n">
        <v>8</v>
      </c>
      <c r="K35" t="inlineStr">
        <is>
          <t>1³</t>
        </is>
      </c>
      <c r="L35" t="inlineStr">
        <is>
          <t>3D⁰, 6F⁰, 6G⁰</t>
        </is>
      </c>
      <c r="M35" t="inlineStr">
        <is>
          <t>6F¹, 12S¹, 18P², 12D³, 18M⁴, 18A⁶, 30G¹¹, 30A¹², 42I¹⁷, 42B¹⁸, 30A²³</t>
        </is>
      </c>
      <c r="N35" t="inlineStr">
        <is>
          <t>3B⁰, 6F⁰, 6G⁰, 3C⁰, 2B⁰, 3A⁰, 1A⁰, 6D⁰, 3D⁰</t>
        </is>
      </c>
      <c r="O35" t="inlineStr">
        <is>
          <t>18M¹⁰, 72AB²¹, 48H²¹, 12N³, 24C¹⁵, 30A¹², 24L¹⁷, 36I¹¹, 18B¹⁶, 48W¹³, 36L²², 24A⁹, 48A²¹, 36C¹³, 24J¹³, 48V¹³, 24R⁵, 24G⁷, 24O¹³, 24K¹⁷, 24AP⁹, 12O³, 24N¹³, 18E¹⁰, 54T¹⁶, 48X²¹, 36I¹⁷, 24B⁹, 24AC³, 36D¹³, 24K¹³, 48B²¹, 12A⁷, 12D³, 48Y¹³, 18A⁶, 42B¹⁸, 48D²¹, 24M¹³, 18P², 18B¹³, 72L²², 54A²², 12B⁵, 36A¹⁵, 12S¹, 42I¹⁷, 48J¹⁹, 48C²¹, 36K²², 12A¹³, 18M⁴, 24D¹⁷, 48G²¹, 48Z¹³, 30G²¹, 30A²³, 24E¹⁷, 24A¹⁷, 30G¹¹, 36E²¹, 48G¹⁵, 18N⁷, 36Q¹⁰, 36N⁷, 72X¹⁷, 12B⁹, 6F¹, 12B¹³, 18A¹⁶, 24J¹⁹, 36K¹⁷, 48W²¹, 24L¹³, 48B¹⁷, 48C¹⁷, 12C⁷, 24P¹³, 24H⁷, 54E²², 24C¹⁷</t>
        </is>
      </c>
    </row>
    <row r="36">
      <c r="A36">
        <f>HYPERLINK("https://mathstats.uncg.edu/sites/pauli/congruence/csg0.html#group6L0", "6L⁰")</f>
        <v/>
      </c>
      <c r="B36" t="n">
        <v>0</v>
      </c>
      <c r="C36" t="inlineStr"/>
      <c r="D36" t="inlineStr">
        <is>
          <t>36</t>
        </is>
      </c>
      <c r="E36" t="inlineStr">
        <is>
          <t>1</t>
        </is>
      </c>
      <c r="F36" t="inlineStr">
        <is>
          <t>9</t>
        </is>
      </c>
      <c r="G36" t="inlineStr">
        <is>
          <t>4</t>
        </is>
      </c>
      <c r="H36" t="inlineStr">
        <is>
          <t>0</t>
        </is>
      </c>
      <c r="I36" t="inlineStr">
        <is>
          <t>6⁶</t>
        </is>
      </c>
      <c r="J36" t="n">
        <v>6</v>
      </c>
      <c r="K36" t="inlineStr">
        <is>
          <t>1³, 2³</t>
        </is>
      </c>
      <c r="L36" t="inlineStr">
        <is>
          <t>6E⁰, 6G⁰, 6H⁰</t>
        </is>
      </c>
      <c r="M36" t="inlineStr">
        <is>
          <t>6F¹, 12T¹, 12U¹, 12E³, 12H³, 18K³, 18L⁴, 18D⁶, 30I¹¹, 30E¹², 42E¹⁶, 42R¹⁹, 30G²³</t>
        </is>
      </c>
      <c r="N36" t="inlineStr">
        <is>
          <t>6B⁰, 6E⁰, 6G⁰, 3C⁰, 2B⁰, 6H⁰, 3A⁰, 1A⁰, 6D⁰</t>
        </is>
      </c>
      <c r="O36" t="inlineStr">
        <is>
          <t>12T¹, 36I¹⁵, 24R¹³, 12N³, 24L¹⁵, 18A¹⁸, 30G²³, 48G¹⁷, 48AA¹⁹, 36B²³, 72J²³, 24G¹⁵, 36B¹⁵, 24K¹⁵, 48AG¹⁷, 24J¹³, 18K³, 42R¹⁹, 36U¹⁹, 24O¹³, 24Q¹³, 24L⁹, 24T¹³, 24Y¹³, 48R¹⁷, 18L⁴, 48M¹⁷, 18E¹⁰, 24U¹³, 48AH¹⁷, 36I¹⁷, 36O⁹, 24K¹³, 36P⁹, 36P¹³, 72AA²¹, 36D²³, 18G¹⁶, 12A⁷, 36A¹², 18D¹⁶, 48AC¹³, 12P³, 12E³, 48L¹⁷, 18B¹³, 24E⁹, 48V¹⁷, 24S¹³, 12B⁵, 48AV²¹, 48BE²¹, 36S¹³, 24X¹⁷, 24AA¹⁷, 30E¹², 12E⁷, 24N¹¹, 24H¹⁵, 36G¹³, 12A¹¹, 36K²², 12C⁵, 12A¹³, 36N⁸, 24M¹⁷, 36A²³, 36O⁸, 24U⁵, 24S⁵, 36L¹⁵, 30I¹¹, 24A¹⁷, 12H³, 48AV¹⁷, 24S⁷, 12U¹, 48M²¹, 36E²¹, 18N⁷, 36L¹¹, 30H²¹, 42E¹⁶, 12B⁹, 6F¹, 24N⁷, 12D⁵, 12B¹³, 36J¹¹, 48AD¹³, 24N¹⁷, 24O¹⁷, 48F¹⁷, 18D⁶, 36B¹², 72K²³, 72I²³, 24T⁵, 24W¹³, 48X¹³, 24AE¹⁷, 48R¹⁵, 24P¹³, 36C²³, 24C¹⁷, 48AR¹⁷</t>
        </is>
      </c>
    </row>
    <row r="37">
      <c r="A37">
        <f>HYPERLINK("https://mathstats.uncg.edu/sites/pauli/congruence/csg0.html#group7A0", "7A⁰")</f>
        <v/>
      </c>
      <c r="B37" t="n">
        <v>0</v>
      </c>
      <c r="C37" t="inlineStr"/>
      <c r="D37" t="inlineStr">
        <is>
          <t>7</t>
        </is>
      </c>
      <c r="E37" t="inlineStr">
        <is>
          <t>2</t>
        </is>
      </c>
      <c r="F37" t="inlineStr">
        <is>
          <t>7</t>
        </is>
      </c>
      <c r="G37" t="inlineStr">
        <is>
          <t>3</t>
        </is>
      </c>
      <c r="H37" t="inlineStr">
        <is>
          <t>1</t>
        </is>
      </c>
      <c r="I37" t="inlineStr">
        <is>
          <t>7¹</t>
        </is>
      </c>
      <c r="J37" t="n">
        <v>1</v>
      </c>
      <c r="K37" t="inlineStr">
        <is>
          <t>2¹, 6²</t>
        </is>
      </c>
      <c r="L37" t="inlineStr">
        <is>
          <t>1A⁰</t>
        </is>
      </c>
      <c r="M37" t="inlineStr">
        <is>
          <t>7C⁰, 7D⁰, 7F⁰, 14A⁰, 21A⁰, 14A¹, 14B¹, 28A¹, 21B², 35A², 35C², 35B⁴, 77A⁴, 77B⁴, 91A⁶, 77A⁷, 119A⁹, 133A¹¹, 63B¹², 161A¹⁴, 203A¹⁶, 217A¹⁸, 259A²⁰, 287A²³</t>
        </is>
      </c>
      <c r="N37" t="inlineStr">
        <is>
          <t>1A⁰</t>
        </is>
      </c>
      <c r="O37" t="inlineStr">
        <is>
          <t>56C⁶, 56H²¹, 42B¹², 140C¹⁶, 14B¹, 84F¹⁶, 56B²³, 168E¹⁶, 308B²¹, 105B¹⁶, 42F⁷, 105E¹⁴, 42D²⁴, 189B²⁰, 84A¹⁴, 21C⁷, 28D¹³, 112A¹⁶, 84H¹⁹, 42F¹⁴, 70C¹⁹, 56G²⁴, 56H¹², 168M²³, 63A⁸, 112Q²⁴, 126E¹⁹, 56H²⁴, 70C⁴, 28L²¹, 63C⁶, 63F¹⁹, 84E²³, 189A²⁰, 126A²², 28A¹⁷, 84G¹⁵, 70F¹⁸, 56L²⁴, 112A¹¹, 126C¹⁷, 28E⁹, 112A⁷, 42B⁸, 14C⁹, 105B²², 28A⁸, 56E²¹, 70A²³, 210B¹³, 56F²¹, 168A¹⁷, 126A¹³, 35A¹⁶, 28D¹¹, 112H²³, 56A²¹, 84D²⁰, 42E²¹, 77A¹⁵, 112U²⁴, 42F¹⁶, 28D⁵, 28C¹², 112B²⁴, 112F¹¹, 49A¹⁸, 287A²³, 168G²⁴, 126E²⁰, 28A¹³, 126E²¹, 35B¹⁹, 280A²¹, 84L²¹, 56B⁵, 126J²³, 21D², 91A¹³, 28G⁵, 56D²⁴, 56J²⁴, 56F²³, 21C², 154A²⁰, 21B⁶, 56A¹⁰, 35A⁶, 84C²⁴, 105A¹³, 42I¹³, 210A¹⁸, 105A¹¹, 56C¹², 63H²⁴, 168B¹⁵, 63C²¹, 63F¹⁸, 112P²⁴, 224E²⁴, 105D¹⁵, 126A¹⁶, 112S²⁴, 35A¹⁵, 84E¹⁸, 56I¹¹, 140A²², 126A¹⁹, 56J²², 14B¹³, 63D¹⁸, 105A¹⁵, 63C¹⁸, 84C²³, 252F²⁴, 35B¹⁴, 35A², 210E¹⁷, 28C²¹, 35A¹⁸, 28B¹⁵, 21B¹², 14A³, 56A¹³, 42D²³, 112B¹², 56C¹⁴, 84N²², 42A²¹, 70H¹⁷, 56A⁵, 56I²¹, 28K²¹, 168C¹⁰, 175D¹⁶, 126E¹⁸, 266B²², 84G¹⁷, 70B¹⁹, 140A²⁰, 56B⁹, 28I⁶, 35A¹⁹, 21B¹³, 77A²¹, 84G¹⁸, 126A⁶, 28C¹³, 28A⁴, 168B¹⁸, 182A¹³, 168D¹⁰, 70A¹⁵, 126A¹⁴, 126A¹⁸, 14A⁴, 168K²², 252G²⁴, 28B⁹, 56G²¹, 21D¹¹, 112D²¹, 168D¹⁸, 42D⁶, 28C¹¹, 14G¹, 21A⁵, 14F⁵, 42D²¹, 14A⁷, 84C¹⁶, 42C¹⁷, 70C²¹, 119A⁹, 42G¹⁷, 112C²¹, 168M²², 84N²¹, 336C²⁴, 154A¹⁷, 126I²¹, 70C¹⁶, 224D²⁴, 84H¹⁶, 140B¹⁹, 21B⁹, 70B¹⁷, 112J¹⁵, 21D⁴, 84D¹⁴, 63B¹⁸, 28D⁹, 70E¹⁵, 336A²⁴, 168A¹⁸, 42D¹⁷, 112A¹², 35B¹³, 126F¹⁷, 14D⁷, 14A⁹, 28E¹³, 42A⁸, 203A¹⁶, 84F⁸, 84C⁹, 42B⁷, 154B⁹, 42C¹⁰, 126H²¹, 14A², 35C⁴, 42E⁵, 70A¹⁹, 42C¹⁶, 84B⁹, 210A²¹, 84A¹⁷, 168R²², 42G¹⁹, 42K¹⁹, 63B¹³, 315A²³, 28E⁷, 56B¹³, 112L²⁴, 28B²³, 112J²⁴, 56B¹², 70B²¹, 56C¹⁶, 56I²³, 126D¹⁷, 56A²³, 112O²⁴, 84B⁷, 140D¹⁹, 126I¹⁸, 84C²⁰, 42I¹⁵, 28A²¹, 70G¹⁸, 70C¹³, 126F¹⁸, 14A¹⁵, 42C⁷, 7B¹, 308A²¹, 56B⁴, 168B²⁰, 105A²², 112C⁷, 63E¹⁸, 42F⁵, 56A⁷, 14B³, 112D¹¹, 21D¹, 91A¹⁸, 84M¹⁷, 7G⁰, 28E²³, 77B⁴, 21A¹², 84K²¹, 56H¹¹, 63D¹⁶, 63I²⁴, 119B¹⁹, 70C¹⁴, 210A²², 140D¹⁷, 56G¹⁵, 35A¹¹, 56A¹⁸, 42C⁶, 56E²⁴, 112D²⁴, 42H⁵, 112B⁸, 168E¹⁸, 126C²¹, 63A²⁰, 105C¹⁶, 42H¹⁷, 21B³, 35A¹⁰, 56J²¹, 63C¹⁶, 84J¹⁷, 63B¹⁰, 126F²¹, 112F¹⁴, 42C¹⁵, 84C¹⁴, 42A¹⁷, 56J¹², 84C¹⁸, 168D²⁴, 14B⁶, 84B¹⁶, 217A¹⁸, 42E¹⁷, 140A²¹, 28A¹⁰, 119A¹⁷, 28J⁶, 28C², 84L¹⁷, 84D¹³, 84A³, 21C⁶, 42A¹⁴, 42E¹⁵, 112B⁷, 63G²⁴, 35B¹², 175A¹⁶, 112M²³, 56D¹², 168H²³, 42L²³, 35B²¹, 63A²⁴, 63A²³, 238A²¹, 56K²¹, 28B², 112A²², 70A¹⁰, 42G¹⁶, 84B¹², 126C¹⁸, 42F⁴, 42M¹⁹, 42A¹⁵, 140D²¹, 126B¹⁸, 42G⁷, 133A²¹, 42C²⁴, 28A¹², 84E⁸, 168C²⁴, 280C²¹, 105C¹⁷, 70E¹⁸, 35D⁹, 70A²⁴, 98A²³, 28D¹⁵, 98B²², 224A²¹, 140C¹⁹, 28H¹⁵, 42A², 168B²⁴, 56N²⁴, 105C⁶, 154A²³, 42A⁶, 56F¹³, 84E⁹, 56L²², 21C⁹, 28C⁷, 84H¹⁷, 56F²⁴, 28E¹⁵, 56A¹¹, 70B¹⁵, 21A¹⁷, 14A¹⁷, 21A⁹, 42E¹⁶, 168G¹⁶, 84G⁸, 84G¹⁶, 84B¹⁹, 70H¹⁶, 126B²⁰, 140C¹¹, 56A¹⁵, 168L²³, 56L²³, 21A¹⁴, 42K¹³, 168E¹⁰, 280B²¹, 224A¹⁹, 42L⁷, 112A¹⁰, 70D²¹, 84A¹⁸, 28A¹, 105C²², 28C⁹, 42C³, 70E²¹, 140A¹⁷, 28B¹⁶, 63C¹⁹, 112H²⁴, 28B⁶, 168C¹⁸, 84C¹⁹, 126D²⁴, 42F¹⁷, 77A⁴, 56D²³, 42E¹⁴, 98A²², 126G¹⁷, 154A⁹, 84N¹⁷, 56F¹⁴, 42I⁷, 28B²¹, 84F²⁰, 14A¹¹, 84I¹⁷, 168F²⁴, 56J¹¹, 21C¹¹, 168C²⁰, 14F³, 42C¹², 126J¹⁸, 42B²², 35C², 112Y²⁴, 21A²¹, 35D¹⁵, 126G²¹, 154B²³, 210A¹⁷, 42D¹¹, 112I²³, 42K⁷, 28C¹⁶, 126B²¹, 21B¹⁰, 7C¹, 28A⁵, 84D¹¹, 63A¹², 175A¹⁴, 14D³, 70H²¹, 112E¹¹, 56E²², 168D¹⁶, 63B¹⁹, 42B¹⁸, 28A⁶, 28B⁷, 42A¹⁸, 35C⁸, 168Q²², 28A⁹, 42G²³, 168C¹⁶, 126J¹³, 77A¹⁰, 154A¹², 21B²¹, 210H¹⁶, 42B¹³, 112B¹⁴, 210A¹⁶, 210B¹⁵, 140E²³, 112K²³, 273A¹⁹, 28A³, 168B¹⁰, 56C¹⁰, 56N²³, 84B¹⁸, 189A¹⁸, 84C⁷, 7C⁰, 42D⁴, 42A³, 84O²¹, 56C¹⁵, 56B¹⁵, 28C¹⁵, 70B¹⁴, 140F²³, 84B⁶, 210A¹³, 42F²³, 42A²⁴, 126B¹⁴, 42B⁹, 56G¹², 14C¹³, 210B²⁴, 56A²⁴, 63B⁹, 210B¹⁶, 28D²³, 126B²⁴, 7A³, 84I¹⁵, 112G²³, 42C¹⁸, 126E¹⁷, 126F¹⁴, 168H¹⁰, 84F¹⁰, 126K¹³, 126C²⁰, 56M²³, 14B⁹, 210G¹⁸, 21C¹, 49B¹⁹, 84L¹⁹, 224A²⁴, 91A⁶, 112C¹⁴, 70A¹³, 224C²⁴, 21C²¹, 336I²⁴, 126D¹⁶, 49A¹⁹, 91A¹², 168H²⁴, 21B¹⁷, 21B¹⁵, 126C¹⁶, 98A²⁴, 175C¹⁶, 112V²⁴, 56G¹⁴, 84M²¹, 14D¹, 42H¹⁵, 84D¹⁶, 70A⁶, 126D²⁰, 189A¹⁹, 140B¹⁶, 126B¹³, 224A²³, 56E⁷, 168L²², 84B¹⁷, 42A¹⁰, 84A⁹, 70A¹⁷, 63A¹⁹, 7A¹, 7F⁰, 56B²¹, 14C³, 42A¹³, 42F¹⁹, 105C¹³, 56H¹⁵, 63B²⁴, 56I²⁴, 63D⁷, 126D⁸, 63G¹⁸, 84D⁸, 28E²¹, 154B¹², 56E²³, 56A¹², 42D¹³, 14B², 182A²², 56B¹⁰, 42C¹³, 168E²⁴, 84I⁸, 28A¹⁹, 56H⁶, 70D¹¹, 56D¹⁰, 70B¹⁶, 42A¹⁶, 112L²³, 112E²³, 126A⁸, 35A²¹, 126C⁸, 105C¹⁴, 21B², 154B¹⁷, 56B⁶, 63E¹⁹, 42A⁷, 28B¹⁹, 21A⁷, 42D⁵, 56C³, 84D²⁴, 35C¹⁹, 336G²⁴, 231B¹³, 126K¹⁸, 56G¹¹, 28E¹⁶, 182A¹⁵, 126D²¹, 56I²², 126E¹⁴, 84H²⁰, 126A⁷, 35A¹³, 42B²⁴, 14A¹, 21A⁰, 70B⁸, 56M¹³, 70B⁵, 28B¹⁷, 168D²⁰, 28C⁵, 168C¹⁹, 63D²¹, 63A¹⁷, 42A²³, 126A⁵, 21C³, 84E¹⁰, 63A⁷, 35C¹³, 56E¹³, 189A²¹, 42K²³, 126D¹⁹, 63B²², 42B¹⁹, 28C¹⁹, 56B²⁴, 70A⁵, 35A⁷, 84B¹³, 238B¹⁹, 112C¹¹, 112A²⁴, 112D¹², 21A¹⁵, 84D¹⁹, 126L²³, 126J¹², 56F²², 84H¹⁸, 119A¹⁹, 140A¹⁰, 56A³, 21B¹¹, 42C²³, 84E¹⁷, 14C⁷, 112A²¹, 70C¹⁷, 84H¹⁵, 28D¹⁶, 42C¹⁴, 28H²¹, 70C¹⁵, 42H¹⁹, 42I¹⁹, 28C¹⁷, 63A¹⁸, 168J²², 14A⁵, 231A¹³, 35B⁴, 112F¹², 63D¹⁹, 70F¹⁶, 112B²³, 28G²¹, 112C²⁴, 56M²⁴, 168N²², 70D¹³, 84K¹⁷, 42C¹⁹, 70I²¹, 56A²², 14C², 63B⁶, 56C²¹, 70D¹⁹, 112N²⁴, 140A¹¹, 140E¹¹, 112D²³, 105D¹⁴, 28A¹¹, 42H²³, 273A²⁰, 35B⁹, 42B²³, 182A¹⁴, 238B²¹, 70I¹⁷, 35D¹⁴, 42I¹⁶, 56D¹¹, 21A¹¹, 77A⁷, 63E²⁴, 63D²⁴, 126G¹², 84J¹³, 84A¹⁹, 42F²¹, 63F⁶, 63A¹⁰, 175B¹⁶, 21B⁵, 210A¹², 84D²³, 231A²¹, 154B¹⁴, 189B¹⁹, 91A²⁰, 140B¹⁸, 42G¹², 49B⁹, 210B¹⁷, 168G¹⁰, 56K²⁴, 126I¹⁷, 56H²³, 140E¹⁹, 112B¹¹, 70C⁹, 42G⁴, 56C²⁴, 42N⁷, 126K²³, 140D¹¹, 28B¹¹, 126C¹³, 28F⁵, 84F¹⁸, 112B²¹, 42H⁷, 210A¹⁵, 140C¹⁷, 84E¹⁹, 140B¹¹, 63G⁶, 210D¹⁶, 70A¹⁶, 28B¹⁴, 210C¹⁵, 63B¹⁷, 14A⁶, 56G²³, 63E¹¹, 56E¹⁴, 14A²³, 28H⁶, 42A¹², 84A²⁴, 112C²³, 112N²³, 56F¹², 56D⁷, 126F¹², 126B⁵, 126C¹⁹, 63A²², 28C⁶, 105B¹⁷, 21C¹⁷, 112A²³, 112A¹⁴, 42B¹⁴, 105C¹⁵, 63B⁸, 140G²³, 56C¹¹, 210F¹⁸, 42A¹, 84D¹⁸, 42D⁸, 105B¹⁵, 105B⁶, 56B³, 21A¹⁰, 28F²¹, 56A⁸, 168I²², 126B¹⁷, 168O²², 70F¹⁷, 28B⁵, 28H¹¹, 42E¹³, 168P²³, 14A¹³, 56E¹⁵, 126R²¹, 21C¹², 126Q²¹, 84F¹¹, 14A¹⁹, 56D²¹, 126B¹⁹, 112D⁷, 14B¹⁷, 126B⁸, 84G²⁰, 84M²², 14A⁰, 21A⁸, 70A⁴, 28C⁴, 56E¹⁷, 56J²³, 28B¹², 42B¹⁵, 105A¹⁶, 56D¹⁴, 14C⁵, 84G¹¹, 224F²⁴, 56B²², 77A¹³, 56B¹⁶, 63E⁷, 42H¹⁶, 112W²⁴, 140C¹⁸, 168I²⁴, 336F²⁴, 112R²⁴, 28B⁸, 56E¹², 126F¹⁵, 42C²¹, 28G¹⁵, 56D²², 84A¹⁶, 42B¹, 168G²³, 56F¹⁵, 168H²², 70A¹¹, 280D²¹, 168F¹⁸, 266A²², 112F²³, 28D³, 14B⁷, 84A²⁰, 63B¹², 28A¹⁴, 84A¹⁰, 112A¹⁹, 84F¹⁹, 56K²³, 126B¹⁶, 84J¹⁶, 63C²⁴, 168J²⁴, 56G⁶, 42D¹⁴, 42A¹¹, 84J²¹, 112E¹², 70A²², 42B¹¹, 168F¹⁰, 105C¹⁹, 210C¹⁶, 84F¹⁷, 154A¹⁴, 84F²³, 84E¹⁶, 126H¹⁷, 70G¹⁷, 21A¹⁶, 126H¹⁸, 126D¹⁸, 70A⁸, 28A⁷, 140B²⁰, 182A¹², 105A¹⁴, 56D¹³, 168O²³, 70D¹⁵, 98B²⁴, 315A²⁴, 7D⁰, 56I¹², 42G¹⁵, 35E⁶, 252E²⁴, 140H²³, 84B²⁴, 63E⁶, 56G²², 28J²¹, 14B⁵, 35B¹⁷, 252A¹⁴, 336H²⁴, 42C⁵, 56A⁶, 210A²⁴, 63B¹⁴, 210B²¹, 56E¹¹, 112A¹³, 112Z²⁴, 21E¹, 168I²³, 42B⁶, 112G¹², 112J²³, 28F¹⁶, 28F¹⁵, 140B¹⁷, 56C²³, 112C¹², 126A¹¹, 112I¹⁵, 126C¹⁴, 21A¹³, 42E²³, 28B¹⁰, 105A¹⁷, 14D⁵, 35C¹⁴, 84I¹⁶, 42C¹¹, 42E¹², 63E¹⁶, 28C¹⁴, 70B⁹, 42D¹⁶, 56A¹⁶, 84A¹², 42B¹⁶, 21A⁶, 42I²³, 42B¹⁰, 168J²³, 63D⁹, 70A²¹, 42C⁹, 42B¹⁷, 168A²⁴, 56B⁸, 168A¹⁰, 42C⁸, 112E¹⁴, 14E¹, 42J¹⁹, 84B²³, 126H¹², 105A⁶, 210D¹⁵, 126A²⁴, 112X²⁴, 42J²³, 42K¹⁰, 140A¹⁶, 84I¹⁹, 28B⁴, 28D¹², 56H²², 56D¹⁵, 56A¹⁷, 63A², 56A¹⁹, 168F¹⁶, 84I²¹, 70A¹⁴, 42E¹⁹, 14F², 168G²², 28C²³, 42L¹¹, 70A⁷, 28B³, 35B⁵, 112B¹⁶, 42F³, 210C²⁴, 63D¹¹, 224B²⁴, 105A²¹, 126A²¹, 126E²⁴, 35A¹⁴, 210B²², 56E¹⁰, 70H¹⁴, 84B²⁰, 112T²⁴, 28D²¹, 28A¹⁵, 28A¹⁶, 70E⁹, 336D²⁴, 35A¹², 105A⁷, 70C⁸, 140F¹⁹, 105B¹⁴, 21D⁵, 42A²², 70G¹⁶, 14E³, 63A¹⁵, 28I²¹, 42D¹², 112I²⁴, 259A²⁰, 28I¹¹, 56D¹⁶, 63F²⁴, 112F²⁴, 133A¹¹, 42K¹⁷, 84G¹⁹, 112G²⁴, 21E⁴, 56K¹², 56F¹⁷, 63B²³, 126E¹², 28E², 42I⁴, 56C⁵, 42J⁷, 84C¹³, 56D³, 91A¹⁴, 42H⁴, 77B¹⁰, 84C¹⁷, 336E²⁴, 63A¹³, 238A¹⁹, 168A¹², 168A²⁰, 42A⁴, 56B¹⁷, 42D¹⁵, 42J¹³, 112M²⁴, 70E¹⁷, 84P²¹, 14G⁵, 14F¹, 84H⁸, 84E²⁴, 56C¹³, 56F¹¹, 56K¹¹, 49A⁹, 105D²², 28H⁵, 112E²⁴, 84A¹³, 63C¹⁷, 42F¹², 42A¹⁹, 84D¹⁷, 112K²⁴, 273B¹⁹, 84E²⁰, 56F⁶, 21B⁴, 168A¹⁵, 63A⁹, 70B¹³, 42C²², 35A⁹, 56C²², 126G¹⁸, 77A¹⁹, 42D¹⁹, 28B¹³, 168P²², 336B²⁴, 168A²¹, 140C²⁰, 42F¹⁵, 56K²², 42B²¹, 42L¹⁹, 56B¹¹, 112B¹³, 140G¹⁹, 14E⁵, 105A²⁰, 84A²³, 126C²⁴, 42E⁴, 35A⁴, 126A²⁰, 161A¹⁴, 35B⁶, 168N²³, 28A²³, 84E¹¹, 28D¹⁷, 168K²³</t>
        </is>
      </c>
    </row>
    <row r="38">
      <c r="A38">
        <f>HYPERLINK("https://mathstats.uncg.edu/sites/pauli/congruence/csg0.html#group7B0", "7B⁰")</f>
        <v/>
      </c>
      <c r="B38" t="n">
        <v>0</v>
      </c>
      <c r="C38" t="inlineStr">
        <is>
          <t>Γ₀(7)</t>
        </is>
      </c>
      <c r="D38" t="inlineStr">
        <is>
          <t>8</t>
        </is>
      </c>
      <c r="E38" t="inlineStr">
        <is>
          <t>1</t>
        </is>
      </c>
      <c r="F38" t="inlineStr">
        <is>
          <t>8</t>
        </is>
      </c>
      <c r="G38" t="inlineStr">
        <is>
          <t>0</t>
        </is>
      </c>
      <c r="H38" t="inlineStr">
        <is>
          <t>2</t>
        </is>
      </c>
      <c r="I38" t="inlineStr">
        <is>
          <t>1¹, 7¹</t>
        </is>
      </c>
      <c r="J38" t="n">
        <v>2</v>
      </c>
      <c r="K38" t="inlineStr">
        <is>
          <t>1², 6¹</t>
        </is>
      </c>
      <c r="L38" t="inlineStr">
        <is>
          <t>1A⁰</t>
        </is>
      </c>
      <c r="M38" t="inlineStr">
        <is>
          <t>7E⁰, 14B⁰, 7B¹, 14C¹, 21A¹, 21B¹, 49A¹, 21A², 28A², 35B², 35A³, 35A⁵, 77A⁶, 77B⁷, 91A⁷, 119A¹¹, 133B¹¹, 63A¹⁴, 161A¹⁵, 203A¹⁹, 217A¹⁹, 259A²³</t>
        </is>
      </c>
      <c r="N38" t="inlineStr">
        <is>
          <t>1A⁰</t>
        </is>
      </c>
      <c r="O38" t="inlineStr">
        <is>
          <t>168D²³, 126D¹⁵, 21C²¹, 175A¹⁵, 35B⁷, 63E⁹, 70J¹⁷, 154A²¹, 35B¹⁵, 140C²³, 91B²³, 14D², 154B¹⁵, 147A¹¹, 70F²¹, 84K²², 63C⁹, 140A¹², 28A², 210J²³, 84A⁸, 126F¹³, 84B¹⁵, 84F¹³, 28A¹⁷, 56C⁷, 56J¹³, 84D¹⁰, 35C¹⁵, 28E²¹, 126F²³, 84D¹⁵, 126A¹⁵, 126D¹², 84J²³, 28F¹¹, 189B²¹, 84C¹⁰, 112E²¹, 126H¹³, 84H¹¹, 140D²³, 168D²¹, 28E⁶, 56A⁹, 168A²², 126E¹³, 168F²⁰, 56A¹⁴, 63G¹⁷, 56L²¹, 49C¹⁹, 21A², 35B⁸, 21D⁹, 196A¹³, 42D¹⁰, 126C¹², 63G¹⁹, 28A¹³, 63A⁴, 56H¹³, 168C²¹, 112H¹², 210B²³, 42H¹¹, 126C²³, 42O¹⁹, 63C¹³, 56P²³, 42D³, 84K¹³, 63F¹⁶, 42A²³, 56B¹⁹, 126S²¹, 84G²², 28D⁴, 154A¹⁵, 28G⁹, 126A²³, 126L²¹, 140A⁸, 84J²², 84H²³, 84D²¹, 112U²³, 63K¹⁹, 63A¹⁶, 70C¹⁸, 126O²¹, 56K¹³, 35A³, 168A¹⁶, 42I⁵, 42N¹⁹, 28A⁰, 63L¹⁹, 210B¹⁸, 14C⁷, 168B²³, 168A²³, 63B²¹, 56W²³, 252A²⁴, 35A⁸, 252C²⁴, 252A²³, 21F¹, 168C²², 63A⁵, 189B¹⁷, 28B¹⁵, 84I²³, 168D²², 147B²¹, 112D¹⁵, 161A¹⁵, 84F²¹, 140H¹⁹, 210G¹⁶, 84H²¹, 126B¹¹, 84M²⁰, 84Q¹⁷, 14C⁰, 70H¹⁹, 119A¹¹, 84G¹³, 56E⁶, 112C¹⁵, 77A⁶, 238A²³, 252B²³, 42G¹⁰, 84K¹⁶, 98A⁵, 140B¹⁵, 294B²³, 238B²³, 196A¹⁷, 84B²¹, 35D⁶, 63B⁵, 105B⁸, 84N²⁰, 175C¹⁹, 28M²¹, 35A¹⁹, 126P²¹, 56Q¹¹, 84J²⁰, 105F²¹, 70F¹⁹, 42B²³, 21D³, 105D²¹, 98A¹⁹, 112Q²³, 21A¹¹, 175D¹⁹, 84A¹¹, 56I¹³, 168B²², 84B¹¹, 28C¹⁰, 126E¹⁵, 112J¹¹, 203A¹⁹, 140A¹⁸, 168F²³, 70C¹¹, 140A²³, 112L¹⁵, 210G²³, 98A¹⁷, 126B¹⁵, 126B²³, 105A⁸, 77B¹³, 7E⁰, 84A⁷, 126A¹⁷, 210D²³, 70B¹⁸, 84L²³, 84D²², 168B²¹, 189C²⁰, 56F¹⁶, 42B², 126E¹¹, 168Q²³, 28E⁴, 28E¹⁷, 126K¹⁷, 140B²³, 84C⁸, 105B¹⁹, 42G²¹, 84H¹³, 280A²⁴, 91B¹³, 28C³, 126I¹², 56Q²³, 28D⁷, 126M²¹, 112H¹¹, 42L¹⁷, 252D²⁴, 42M⁷, 210D¹⁷, 28G⁶, 21A³, 266A²³, 70D⁹, 56F¹⁰, 210A²³, 189A²³, 231A²³, 210F²³, 168F²², 70B⁴, 154C¹², 63K¹⁷, 49A¹², 35D¹³, 28F², 84P¹⁷, 70F¹³, 63C⁷, 28F⁴, 56F⁷, 112O²³, 84A²¹, 21A¹⁰, 35A²², 189C²¹, 98B¹⁷, 56L¹¹, 77A²⁰, 112E¹⁵, 84A⁴, 126D¹³, 140C¹⁵, 70D¹⁸, 168E²³, 210C¹⁷, 105B⁹, 189E¹⁹, 231B²³, 168R²³, 21C⁵, 84E²¹, 42M²³, 14A¹⁹, 28D¹⁰, 84H²², 84G²¹, 21E⁵, 168B¹⁹, 63A¹¹, 63N¹⁹, 84K²³, 35B², 21C¹³, 14B¹⁷, 14A¹⁵, 7B¹, 210E¹⁸, 84C²¹, 126J¹⁷, 42L¹³, 56M²¹, 42B⁵, 84B¹⁴, 63E¹⁷, 56U²³, 91B²¹, 63B⁷, 126D¹⁴, 217A¹⁹, 168A¹⁴, 147B¹¹, 84C¹¹, 168C²³, 21B¹, 56T²³, 56N²¹, 21D⁷, 42E³, 126M²³, 112C¹³, 63M¹⁹, 112F²¹, 56P¹¹, 140C²¹, 84B⁸, 28G¹¹, 70G¹⁴, 21A¹, 42E⁷, 105A¹⁸, 210E¹⁶, 63F¹¹, 126J²¹, 112A⁸, 84A²², 70D¹⁷, 84I²², 42J²¹, 189E²¹, 56O¹¹, 42E¹⁰, 35E⁹, 63B¹⁶, 84L²², 112A¹⁵, 112G¹⁵, 126D¹¹, 56C⁴, 28H¹⁶, 105B²¹, 35A¹⁷, 42H¹⁰, 14B⁰, 42H¹², 35B²¹, 42E⁹, 189D²¹, 84E¹³, 70G¹⁹, 56C¹⁷, 112P²³, 42D⁷, 140A¹⁹, 112D¹⁴, 210C²³, 70E¹⁹, 14B⁴, 140B²¹, 42I²¹, 126N²¹, 28I⁵, 91A²¹, 42J¹⁷, 70E¹³, 224C²³, 105A¹⁰, 210D¹⁸, 112G¹¹, 42I¹¹, 84K²⁰, 63J¹⁹, 126D²³, 84B¹⁰, 112S²³, 189A¹⁷, 42A⁵, 126H²³, 105A²³, 56L¹³, 84A¹⁵, 105A⁹, 70I¹⁹, 231B²⁰, 49B¹², 105B¹¹, 105B¹³, 63D⁶, 84F²², 140I¹⁹, 168B¹⁴, 126A¹², 70D¹⁴, 196A¹⁵, 84Q²¹, 14A¹⁷, 84G²³, 42E¹¹, 84I¹³, 42K¹¹, 84A⁶, 175B¹⁹, 84E⁷, 42G⁵, 84B⁴, 49A³, 35C⁵, 42H¹³, 56A⁴, 35C⁹, 56G⁷, 28F⁶, 28E¹¹, 133B¹¹, 98A⁷, 21B⁷, 77B¹⁹, 84E¹⁵, 49A¹, 175A¹⁹, 63A²¹, 294A²⁴, 112B¹⁵, 42F¹⁰, 126C¹¹, 91A²³, 196A²¹, 189C¹⁹, 112I¹¹, 21C⁴, 42B³, 63E¹³, 56B¹⁴, 42Q¹⁹, 126I¹³, 56O¹³, 63D¹³, 126G¹³, 42P¹⁹, 112R²³, 112F¹⁵, 28E³, 182C¹⁵, 84I²⁰, 21A⁴, 56B⁷, 28G¹⁶, 84E²², 245A²¹, 56C¹⁹, 70E¹⁶, 42D⁹, 210I²³, 126G²³, 168A¹⁹, 56S²³, 63H¹⁷, 63B¹¹, 210F¹⁶, 168G²⁰, 140A¹⁵, 231A²⁰, 42R¹⁹, 126K²¹, 35C⁶, 56N¹¹, 147A²¹, 56E¹⁶, 105C²¹, 84F¹⁵, 42F¹³, 56N¹³, 63I¹⁹, 63A⁶, 105C¹¹, 112K¹⁵, 42G¹³, 126T²¹, 28D⁶, 210A²⁰, 70G²¹, 84K¹⁹, 63A¹⁴, 231A²², 77B⁷, 56C⁹, 252B²⁴, 147A¹⁰, 210E²³, 84I¹¹, 259A²³, 84J¹⁹, 133B²¹, 70F¹⁴, 28F⁹, 84B²², 56G¹³, 28F¹³, 168B¹⁶, 56V²³, 119A²¹, 35A⁵, 63F⁹, 105A¹⁹, 21B²¹, 84D⁹, 63O¹⁹, 112H¹⁵, 56O²³, 56L¹², 126U²¹, 63I¹⁷, 42F¹¹, 28D², 168E²⁰, 98A¹⁵, 42I¹⁷, 14E², 84D⁷, 56D⁵, 42A⁹, 56M¹¹, 245A¹⁹, 84C¹⁵, 28E⁵, 63J¹⁷, 126I²³, 126C¹⁵, 266B²³, 70B¹¹, 14C¹, 189A²², 56R¹¹, 91A⁷, 70B⁷, 42G¹¹, 105D¹¹, 42H²¹, 126F¹¹, 42J¹⁰, 28N²¹, 154B²¹, 63F⁷, 70A⁹, 112D¹³, 42A²⁴, 308A²⁴, 294A²³, 42I¹⁰, 182B¹⁵, 140D¹⁵, 84O¹⁷, 126E²³, 210C¹⁸, 70A¹⁸, 84L²⁰, 42C⁴, 105E²¹, 210B²⁰, 70D¹⁶, 63H¹⁹, 7A³, 14E⁵, 112T²³, 42J¹¹, 189D¹⁹, 126B¹², 56D⁶, 63F¹⁷, 42B⁴, 63D¹⁷, 224B²³, 14H¹, 168E²², 56R²³, 42C², 70C⁷, 70E¹⁴, 49B¹⁹, 56D¹⁷, 63C¹¹, 84C²², 21C¹¹, 210H²³</t>
        </is>
      </c>
    </row>
    <row r="39">
      <c r="A39">
        <f>HYPERLINK("https://mathstats.uncg.edu/sites/pauli/congruence/csg0.html#group7C0", "7C⁰")</f>
        <v/>
      </c>
      <c r="B39" t="n">
        <v>0</v>
      </c>
      <c r="C39" t="inlineStr"/>
      <c r="D39" t="inlineStr">
        <is>
          <t>14</t>
        </is>
      </c>
      <c r="E39" t="inlineStr">
        <is>
          <t>2</t>
        </is>
      </c>
      <c r="F39" t="inlineStr">
        <is>
          <t>7</t>
        </is>
      </c>
      <c r="G39" t="inlineStr">
        <is>
          <t>2</t>
        </is>
      </c>
      <c r="H39" t="inlineStr">
        <is>
          <t>2</t>
        </is>
      </c>
      <c r="I39" t="inlineStr">
        <is>
          <t>7²</t>
        </is>
      </c>
      <c r="J39" t="n">
        <v>2</v>
      </c>
      <c r="K39" t="inlineStr">
        <is>
          <t>2¹, 6²</t>
        </is>
      </c>
      <c r="L39" t="inlineStr">
        <is>
          <t>7A⁰</t>
        </is>
      </c>
      <c r="M39" t="inlineStr">
        <is>
          <t>7G⁰, 7B¹, 14D¹, 21C¹, 14A², 21C², 21B³, 28D³, 35A⁴, 35B⁵, 35B⁹, 77A¹⁰, 77B¹⁰, 77A¹³, 91A¹³, 119B¹⁹, 133A²¹</t>
        </is>
      </c>
      <c r="N39" t="inlineStr">
        <is>
          <t>1A⁰, 7A⁰</t>
        </is>
      </c>
      <c r="O39" t="inlineStr">
        <is>
          <t>21C²¹, 21A⁸, 42F⁵, 105A¹⁶, 56B²³, 42F⁷, 14C⁵, 7G⁰, 28E²³, 28D¹³, 77A¹³, 14D¹, 119B¹⁹, 63A⁸, 56E⁷, 84B¹⁷, 126E¹⁹, 35A¹¹, 28L²¹, 84E²³, 28G¹⁵, 28A¹⁷, 42F¹⁹, 84G¹⁵, 168G²³, 126C²¹, 21B³, 28D³, 28E²¹, 112F²³, 56E²³, 126C¹⁷, 14B⁷, 42B⁸, 14C⁹, 70D¹¹, 84F¹⁹, 56K²³, 140A²¹, 42B¹¹, 105C¹⁴, 28D¹¹, 63E¹⁹, 42A⁷, 28A⁷, 168H²³, 42D⁵, 35B²¹, 49A¹⁸, 28A¹³, 35B¹⁹, 105A¹⁴, 91A¹³, 126J²³, 42B²⁴, 56F²³, 21C², 133A²¹, 63A¹⁷, 42A²³, 42C⁵, 84E¹⁰, 35C¹³, 14A¹⁵, 63B²², 28C¹⁹, 42I¹³, 154A²³, 42B⁶, 21C⁹, 56C²³, 112I¹⁵, 126L²³, 21A¹³, 42E²³, 21B¹¹, 84E¹⁷, 56A¹¹, 21A¹⁷, 105A¹⁷, 14A¹⁷, 14D⁵, 14C⁷, 126A¹⁹, 84B¹⁹, 42C¹¹, 105A¹⁵, 70B⁹, 35B¹⁴, 42B¹⁶, 42I²³, 56A¹⁵, 42H¹⁹, 56L²³, 28B¹⁵, 42I¹⁹, 63D¹⁹, 112B²³, 84B²³, 28C⁹, 28K²¹, 42J¹⁹, 70D¹³, 126A²⁴, 42J²³, 56D²³, 84G¹⁷, 56D¹⁵, 70D¹⁹, 35A¹⁹, 21B¹³, 35B⁹, 14A¹¹, 42H²³, 42B²³, 21A¹¹, 14F³, 35B⁵, 28C²³, 63D¹¹, 105A²¹, 35A¹⁴, 14A⁴, 84A¹⁹, 42F²¹, 63A¹⁰, 154B²³, 21B⁵, 21D¹¹, 28C¹¹, 21B¹⁰, 7C¹, 63A¹², 84D¹¹, 28A⁵, 42D²¹, 35A¹², 42C¹⁷, 70C²¹, 42G¹⁷, 105B¹⁴, 56H²³, 14E³, 28I¹¹, 126K²³, 21E⁴, 42G²³, 112J¹⁵, 77A¹⁰, 21B²¹, 77B¹⁰, 63A¹³, 70A¹⁶, 42A⁸, 28E¹³, 63B¹⁷, 14A⁹, 56G²³, 42J¹³, 63E¹¹, 70E¹⁷, 14A²³, 14A², 56D⁷, 63C¹⁷, 84D¹⁷, 105B¹⁷, 21C¹⁷, 42G¹⁹, 112A²³, 63B¹³, 42C²², 56C¹¹, 56B¹³, 105B¹⁵, 42F²³, 28F²¹, 21A¹⁰, 42A²⁴, 42F¹⁵, 126D¹⁷, 14C¹³, 28B⁵, 42E¹³, 28D²³, 56A²³, 56B¹¹, 112G²³, 7A³, 14E⁵, 14A¹⁹, 35A⁴, 21C¹, 28A²¹, 49B¹⁹, 14B¹⁷, 21C¹¹, 7B¹</t>
        </is>
      </c>
    </row>
    <row r="40">
      <c r="A40">
        <f>HYPERLINK("https://mathstats.uncg.edu/sites/pauli/congruence/csg0.html#group7D0", "7D⁰")</f>
        <v/>
      </c>
      <c r="B40" t="n">
        <v>0</v>
      </c>
      <c r="C40" t="inlineStr"/>
      <c r="D40" t="inlineStr">
        <is>
          <t>21</t>
        </is>
      </c>
      <c r="E40" t="inlineStr">
        <is>
          <t>1</t>
        </is>
      </c>
      <c r="F40" t="inlineStr">
        <is>
          <t>21</t>
        </is>
      </c>
      <c r="G40" t="inlineStr">
        <is>
          <t>5</t>
        </is>
      </c>
      <c r="H40" t="inlineStr">
        <is>
          <t>0</t>
        </is>
      </c>
      <c r="I40" t="inlineStr">
        <is>
          <t>7³</t>
        </is>
      </c>
      <c r="J40" t="n">
        <v>3</v>
      </c>
      <c r="K40" t="inlineStr">
        <is>
          <t>3¹, 6³</t>
        </is>
      </c>
      <c r="L40" t="inlineStr">
        <is>
          <t>7A⁰</t>
        </is>
      </c>
      <c r="M40" t="inlineStr">
        <is>
          <t>7G⁰, 7A¹, 14E¹, 21E¹, 14B², 14F², 14A³, 28B⁴, 21A⁵, 35E⁶, 35A⁷, 49A⁹, 35A¹³, 77A¹⁵, 77A¹⁹, 91A²⁰</t>
        </is>
      </c>
      <c r="N40" t="inlineStr">
        <is>
          <t>1A⁰, 7A⁰</t>
        </is>
      </c>
      <c r="O40" t="inlineStr">
        <is>
          <t>84M²², 49A¹⁹, 42B¹², 56B²³, 21B¹⁵, 42D²⁴, 14C⁵, 98A²⁴, 56G¹⁴, 7G⁰, 28E²³, 28D¹³, 21A¹², 56B²², 42F¹⁴, 56B¹⁶, 56H¹¹, 42A¹⁰, 56G¹⁵, 70A¹⁷, 56A¹⁸, 28B⁸, 63A¹⁹, 7A¹, 42H⁵, 28G¹⁵, 42F¹⁹, 56H¹⁵, 63B²⁴, 56F¹⁵, 56L²⁴, 63C¹⁶, 14B², 14B⁷, 28A¹⁴, 14C⁹, 105B²², 28A⁸, 42C¹⁵, 42A¹⁷, 70A²³, 56K²³, 63C²⁴, 70B¹⁶, 42A¹⁶, 42E¹⁷, 42D¹⁴, 28J⁶, 35A¹⁶, 21C⁶, 42A¹⁴, 42E¹⁵, 84F²³, 77A¹⁵, 63G²⁴, 21A¹⁶, 42F¹⁶, 35B¹², 21A⁷, 42L²³, 49A¹⁸, 35C¹⁹, 28E¹⁶, 42G¹⁶, 42M¹⁹, 35A¹³, 42G¹⁵, 35E⁶, 42G⁷, 42C²⁴, 14B⁵, 28A¹², 63D²¹, 70E¹⁸, 70A²⁴, 98A²³, 35C¹³, 28D¹⁵, 42K²³, 63B²², 42B¹⁹, 28C¹⁹, 21E¹, 56N²⁴, 42I¹³, 28H¹⁵, 35A⁷, 28F¹⁶, 28F¹⁵, 21C⁹, 56C²³, 28C⁷, 21A¹⁵, 21A¹³, 28E¹⁵, 42E²³, 28B¹⁰, 42C²³, 21A¹⁷, 14A¹⁷, 21A⁹, 35A¹⁵, 56I¹¹, 14B¹³, 28D¹⁶, 28C¹⁴, 42C¹⁴, 42D¹⁶, 35B¹⁴, 56A¹⁶, 42I²³, 42H¹⁹, 42B¹⁰, 56L²³, 21A¹⁴, 63D⁹, 42K¹³, 21B¹², 14A⁵, 14A³, 42B¹⁷, 42D²³, 84N²², 56I²¹, 14E¹, 105C²², 28C⁹, 56M²⁴, 28B¹⁶, 42C¹⁹, 56A²², 126D²⁴, 42K¹⁰, 42E¹⁴, 98A²², 28B⁴, 28D¹², 28I⁶, 56H²², 21B¹³, 56A¹⁹, 14A¹¹, 56J¹¹, 35D¹⁴, 28C¹³, 42E¹⁹, 14F³, 14F², 42L¹¹, 42C¹², 70A¹⁵, 42B²², 84J¹³, 126E²⁴, 14A⁴, 35D¹⁵, 70H¹⁴, 21D¹¹, 42D⁶, 28C¹⁶, 7C¹, 21A⁵, 91A²⁰, 14F⁵, 28A¹⁶, 14A⁷, 21D⁵, 42A²², 70G¹⁶, 56K²⁴, 63B¹⁹, 28I¹¹, 56D¹⁶, 63F²⁴, 28B⁷, 42A¹⁸, 21E⁴, 28B¹¹, 63B²³, 21D⁴, 42I⁴, 70E¹⁵, 42H⁷, 42D¹⁷, 14A⁹, 28E¹³, 28B¹⁴, 56B¹⁷, 14A⁶, 42J¹³, 14A²³, 14G⁵, 84E²⁴, 56K¹¹, 49A⁹, 105D²², 70A¹⁹, 28H⁵, 42F¹², 42A¹⁹, 63A²², 28C¹⁵, 42B¹⁴, 42C²², 77A¹⁹, 42D¹⁹, 28B²³, 28B¹³, 28F²¹, 56C¹⁶, 42F¹⁵, 70F¹⁷, 14C¹³, 28D²³, 126B²⁴, 14A¹³, 7A³, 56E¹⁵, 126R²¹, 21C¹², 126Q²¹, 14A¹⁹, 28A²¹, 28A²³</t>
        </is>
      </c>
    </row>
    <row r="41">
      <c r="A41">
        <f>HYPERLINK("https://mathstats.uncg.edu/sites/pauli/congruence/csg0.html#group7E0", "7E⁰")</f>
        <v/>
      </c>
      <c r="B41" t="n">
        <v>0</v>
      </c>
      <c r="C41" t="inlineStr">
        <is>
          <t>Γ₁(7)</t>
        </is>
      </c>
      <c r="D41" t="inlineStr">
        <is>
          <t>24</t>
        </is>
      </c>
      <c r="E41" t="inlineStr">
        <is>
          <t>1</t>
        </is>
      </c>
      <c r="F41" t="inlineStr">
        <is>
          <t>8</t>
        </is>
      </c>
      <c r="G41" t="inlineStr">
        <is>
          <t>0</t>
        </is>
      </c>
      <c r="H41" t="inlineStr">
        <is>
          <t>0</t>
        </is>
      </c>
      <c r="I41" t="inlineStr">
        <is>
          <t>1³, 7³</t>
        </is>
      </c>
      <c r="J41" t="n">
        <v>6</v>
      </c>
      <c r="K41" t="inlineStr">
        <is>
          <t>1², 6¹</t>
        </is>
      </c>
      <c r="L41" t="inlineStr">
        <is>
          <t>7B⁰</t>
        </is>
      </c>
      <c r="M41" t="inlineStr">
        <is>
          <t>14H¹, 14D², 7A³, 21D³, 49A³, 21A⁴, 28F⁶, 35B⁷, 35B⁸, 49A¹², 49B¹², 35B¹⁵, 77B¹⁹, 77A²⁰, 91A²³</t>
        </is>
      </c>
      <c r="N41" t="inlineStr">
        <is>
          <t>1A⁰, 7B⁰</t>
        </is>
      </c>
      <c r="O41" t="inlineStr">
        <is>
          <t>63E¹³, 56B¹⁴, 42L¹³, 35B⁷, 35B¹⁵, 42O¹⁹, 70E¹⁹, 14D², 56O¹³, 42F¹¹, 14B⁴, 21A⁴, 56B¹⁹, 84G²², 28G¹⁶, 84E²², 56C¹⁹, 70F¹⁹, 56F¹⁰, 21D³, 63A¹⁶, 98A¹⁹, 49A¹², 49B¹², 35D¹³, 91A²³, 28G¹¹, 28C¹⁰, 56E¹⁶, 28N²¹, 42N¹⁹, 28F⁴, 14A¹⁷, 98A¹⁷, 35A²², 28D⁶, 42E¹¹, 77A²⁰, 70B¹⁸, 63H¹⁹, 7A³, 49A³, 21B⁷, 42H¹³, 56F¹⁶, 28F⁶, 35B⁸, 77B¹⁹, 28H¹⁶, 14A¹⁹, 28D¹⁰, 42G²¹, 84B²², 14H¹, 42D¹⁰, 21E⁵, 28F¹³, 42H¹⁰, 42F¹⁰, 21C¹³, 84C²², 63G¹⁹, 28D⁷</t>
        </is>
      </c>
    </row>
    <row r="42">
      <c r="A42">
        <f>HYPERLINK("https://mathstats.uncg.edu/sites/pauli/congruence/csg0.html#group7F0", "7F⁰")</f>
        <v/>
      </c>
      <c r="B42" t="n">
        <v>0</v>
      </c>
      <c r="C42" t="inlineStr"/>
      <c r="D42" t="inlineStr">
        <is>
          <t>28</t>
        </is>
      </c>
      <c r="E42" t="inlineStr">
        <is>
          <t>1</t>
        </is>
      </c>
      <c r="F42" t="inlineStr">
        <is>
          <t>28</t>
        </is>
      </c>
      <c r="G42" t="inlineStr">
        <is>
          <t>4</t>
        </is>
      </c>
      <c r="H42" t="inlineStr">
        <is>
          <t>1</t>
        </is>
      </c>
      <c r="I42" t="inlineStr">
        <is>
          <t>7⁴</t>
        </is>
      </c>
      <c r="J42" t="n">
        <v>4</v>
      </c>
      <c r="K42" t="inlineStr">
        <is>
          <t>1¹, 3¹, 6⁴</t>
        </is>
      </c>
      <c r="L42" t="inlineStr">
        <is>
          <t>7A⁰</t>
        </is>
      </c>
      <c r="M42" t="inlineStr">
        <is>
          <t>7B¹, 7C¹, 14G¹, 14C³, 14D³, 21C³, 21B⁶, 28H⁶, 35A⁹, 35D⁹, 49B⁹, 35A¹⁸, 77A²¹</t>
        </is>
      </c>
      <c r="N42" t="inlineStr">
        <is>
          <t>1A⁰, 7A⁰</t>
        </is>
      </c>
      <c r="O42" t="inlineStr">
        <is>
          <t>21C²¹, 56H²¹, 42B¹⁵, 70I²¹, 21B¹⁷, 56E¹⁷, 56C²¹, 28E²³, 21C⁷, 84M²¹, 35A¹⁹, 77A²¹, 70C¹⁹, 84K²¹, 28B²¹, 28A¹¹, 42B²³, 84I²¹, 14C³, 42C²¹, 21A¹¹, 56B²¹, 42A¹³, 28A¹⁷, 28E²¹, 14B¹⁷, 21A²¹, 14B⁷, 14C⁹, 28B⁹, 56G²¹, 56E²¹, 28A¹⁹, 28A¹⁵, 28D²¹, 7C¹, 14G¹, 14B⁶, 35A²¹, 49B⁹, 14D³, 84J²¹, 42A¹¹, 70H²¹, 56F²¹, 56A²¹, 42E²¹, 63A¹⁵, 28I²¹, 28B¹⁹, 42K¹⁷, 63A²⁴, 42N⁷, 21B⁹, 35B²¹, 28A¹³, 56F¹⁷, 28A⁹, 28F⁵, 84L²¹, 98B²⁴, 21B²¹, 28G⁵, 42A¹⁵, 35B¹⁷, 28J²¹, 14D⁷, 28B¹⁷, 14A⁹, 21B⁶, 21C³, 42A²³, 35D⁹, 42D¹⁵, 28H⁶, 14A²³, 98B²², 42A¹², 28D¹⁷, 56C¹⁵, 56B¹⁵, 63C²¹, 21A¹³, 35A⁹, 28E⁷, 21A¹⁷, 14A¹⁷, 42A²⁴, 28F²¹, 21A¹⁰, 14C⁷, 42B⁹, 42B²¹, 28H¹¹, 28H²¹, 7A³, 35A¹⁸, 28C²¹, 14E⁵, 28B¹⁵, 28C¹⁷, 70A²¹, 14A¹⁹, 56D²¹, 14B⁹, 28A²¹, 49B¹⁹, 42A²¹, 14A¹⁵, 28G²¹, 21C¹¹, 7B¹</t>
        </is>
      </c>
    </row>
    <row r="43">
      <c r="A43">
        <f>HYPERLINK("https://mathstats.uncg.edu/sites/pauli/congruence/csg0.html#group7G0", "7G⁰")</f>
        <v/>
      </c>
      <c r="B43" t="n">
        <v>0</v>
      </c>
      <c r="C43" t="inlineStr"/>
      <c r="D43" t="inlineStr">
        <is>
          <t>42</t>
        </is>
      </c>
      <c r="E43" t="inlineStr">
        <is>
          <t>2</t>
        </is>
      </c>
      <c r="F43" t="inlineStr">
        <is>
          <t>7</t>
        </is>
      </c>
      <c r="G43" t="inlineStr">
        <is>
          <t>6</t>
        </is>
      </c>
      <c r="H43" t="inlineStr">
        <is>
          <t>0</t>
        </is>
      </c>
      <c r="I43" t="inlineStr">
        <is>
          <t>7⁶</t>
        </is>
      </c>
      <c r="J43" t="n">
        <v>6</v>
      </c>
      <c r="K43" t="inlineStr">
        <is>
          <t>2¹, 6²</t>
        </is>
      </c>
      <c r="L43" t="inlineStr">
        <is>
          <t>7C⁰, 7D⁰</t>
        </is>
      </c>
      <c r="M43" t="inlineStr">
        <is>
          <t>7C¹, 14F³, 14A⁴, 21E⁴, 14C⁵, 21C⁹, 28C⁹, 35C¹³, 35B¹⁴, 49A¹⁸</t>
        </is>
      </c>
      <c r="N43" t="inlineStr">
        <is>
          <t>7D⁰, 1A⁰, 7C⁰, 7A⁰</t>
        </is>
      </c>
      <c r="O43" t="inlineStr">
        <is>
          <t>56B²³, 14C⁵, 28E²³, 28E¹³, 28D¹³, 14A⁹, 21B¹³, 42J¹³, 14A¹¹, 35C¹³, 14A²³, 63B²², 28C¹⁹, 42I¹³, 14F³, 28G¹⁵, 42F¹⁹, 21C⁹, 56C²³, 21A¹³, 42E²³, 14A⁴, 42C²², 14B⁷, 14A¹⁷, 21A¹⁷, 14C⁹, 21D¹¹, 28F²¹, 42F¹⁵, 14C¹³, 56K²³, 7C¹, 35B¹⁴, 28D²³, 7A³, 42I²³, 42H¹⁹, 56L²³, 14A¹⁹, 28I¹¹, 28A²¹, 49A¹⁸, 28C⁹, 21E⁴</t>
        </is>
      </c>
    </row>
    <row r="44">
      <c r="A44">
        <f>HYPERLINK("https://mathstats.uncg.edu/sites/pauli/congruence/csg0.html#group8A0", "8A⁰")</f>
        <v/>
      </c>
      <c r="B44" t="n">
        <v>0</v>
      </c>
      <c r="C44" t="inlineStr"/>
      <c r="D44" t="inlineStr">
        <is>
          <t>8</t>
        </is>
      </c>
      <c r="E44" t="inlineStr">
        <is>
          <t>2</t>
        </is>
      </c>
      <c r="F44" t="inlineStr">
        <is>
          <t>4</t>
        </is>
      </c>
      <c r="G44" t="inlineStr">
        <is>
          <t>2</t>
        </is>
      </c>
      <c r="H44" t="inlineStr">
        <is>
          <t>2</t>
        </is>
      </c>
      <c r="I44" t="inlineStr">
        <is>
          <t>8¹</t>
        </is>
      </c>
      <c r="J44" t="n">
        <v>1</v>
      </c>
      <c r="K44" t="inlineStr">
        <is>
          <t>4²</t>
        </is>
      </c>
      <c r="L44" t="inlineStr">
        <is>
          <t>4A⁰</t>
        </is>
      </c>
      <c r="M44" t="inlineStr">
        <is>
          <t>8E⁰, 8M⁰, 16A⁰, 8D¹, 24A¹, 24A², 40A², 40B³, 56C³, 56D³, 56A⁴, 40F⁵, 88A⁵, 88B⁵, 104B⁷, 88A⁸, 136B¹¹, 152A¹², 72I¹⁴, 184A¹⁶, 232B¹⁹, 248A²⁰, 296B²³</t>
        </is>
      </c>
      <c r="N44" t="inlineStr">
        <is>
          <t>1A⁰, 4A⁰</t>
        </is>
      </c>
      <c r="O44" t="inlineStr">
        <is>
          <t>24C¹⁰, 120A⁹, 16A¹¹, 16B¹⁹, 264A¹⁸, 56B²³, 240C²¹, 144B¹⁰, 16P³, 272B²³, 176A¹¹, 264A²⁴, 80E²³, 112A¹⁶, 72D²², 176A²⁴, 24AB¹⁷, 48A¹⁵, 72A⁷, 16B⁴, 56E⁷, 56H²⁴, 72L¹⁴, 72C²³, 16H², 80A¹⁵, 136B¹¹, 40E⁹, 48B³, 16E¹¹, 120A²⁰, 72A⁶, 48AM¹⁷, 168E²⁴, 112A⁷, 144V²³, 72T¹⁹, 144D¹⁰, 48H²⁰, 32H¹¹, 24D¹¹, 24M¹¹, 48BW²¹, 88A²², 56A¹⁴, 48G¹⁰, 48B²³, 48R¹³, 24E³, 48S¹⁷, 32K⁹, 64G²¹, 48J⁷, 72D¹⁵, 72P²¹, 24L⁸, 16F⁰, 32B²⁴, 120F¹⁸, 312C²³, 144S²³, 56C³, 336G²⁴, 40E¹⁶, 24A¹⁰, 16D⁹, 24AO⁹, 40E²¹, 32B¹⁸, 32B²³, 56J²⁴, 48BO²¹, 16B⁷, 72L¹¹, 240A²¹, 48F¹⁰, 144K²², 72I¹⁰, 32I²¹, 72C²², 16A¹⁰, 144D²⁰, 48BP²¹, 32E¹¹, 216A²², 48A³, 16B¹⁰, 240B²¹, 144E²⁰, 16D⁷, 32P¹³, 200G¹⁹, 88B⁵, 136C²¹, 32L⁹, 48BO¹⁷, 120L²¹, 168A¹⁶, 248A²⁰, 120D²³, 72C²⁰, 16A¹⁹, 40C⁷, 72G¹¹, 56I¹¹, 40G¹⁹, 48H⁶, 144A¹⁶, 16C¹⁰, 120D¹⁵, 24AK¹⁷, 64B²², 144I²², 120E¹⁸, 16A⁶, 24J²¹, 120A¹⁶, 32B²², 120B⁷, 32F²³, 32B¹⁰, 24C¹⁹, 88A¹², 104D¹⁵, 312D²³, 32A¹⁹, 48T¹⁷, 24Q⁵, 72L¹⁰, 40A¹⁴, 16J⁵, 48B⁸, 48AU¹⁹, 56M²⁴, 24P¹⁹, 72O²¹, 88B¹⁵, 32M²¹, 80B⁷, 32F⁹, 72J¹¹, 48G²⁰, 80K¹⁹, 48BL²¹, 48S¹⁹, 8J¹, 48D²², 32G⁶, 144J²², 72H¹¹, 72A⁴, 72K⁸, 32R¹³, 80D¹⁸, 72B¹⁵, 48A²³, 48A²⁰, 168D¹⁰, 144B²⁴, 80F¹⁸, 16C⁶, 16Q³, 16B¹¹, 120A⁷, 16C⁹, 16H⁵, 104B⁷, 112L¹⁵, 168D¹⁸, 80AG²¹, 8B², 8E⁰, 64A²², 8D¹, 8A⁵, 16J⁹, 336C²⁴, 40K¹⁹, 24H²¹, 80A⁷, 32E²³, 72A¹⁸, 24C¹¹, 200B¹⁷, 72A¹², 280A²⁴, 24Q¹⁹, 48A⁴, 80D¹⁵, 40R⁹, 80F¹¹, 184A¹⁶, 48I²⁰, 48BX²¹, 112J¹⁵, 336A²⁴, 80A⁴, 32D¹⁹, 152A¹², 48AQ²¹, 24B²¹, 72A⁸, 24D¹³, 32B²¹, 104E¹³, 72F²³, 40AJ¹⁷, 144A²⁴, 144Q²³, 144R²³, 40AM¹⁷, 56E¹⁴, 40J¹⁹, 48B¹⁵, 56D⁷, 216B²², 32E¹⁹, 32A¹⁸, 144M²², 168R²², 24P⁵, 16D¹¹, 40B²¹, 80E¹¹, 264B¹⁸, 80AI²¹, 240D²¹, 24B¹³, 72N²¹, 80A¹³, 240B¹⁹, 208A¹⁵, 24N¹⁹, 48T²¹, 32D²⁴, 144C²⁰, 144T²³, 40M²¹, 152B²³, 144A¹⁰, 48A¹⁷, 24M²¹, 24F⁷, 24X⁹, 168B¹⁹, 112D⁷, 40F¹¹, 40B¹⁹, 24I¹³, 24D¹⁹, 24I²¹, 16E²¹, 112C⁷, 24A², 56J²³, 200E¹⁹, 24D⁷, 40C²¹, 88A²⁴, 168A¹⁴, 24F¹¹, 48L¹⁸, 120B²³, 48B¹², 72L¹⁵, 56T²³, 336F²⁴, 24B¹¹, 40J⁵, 16L⁵, 120I²³, 240A¹⁹, 24B⁶, 168G²³, 16K⁵, 280D²¹, 168H²², 32P²¹, 16I⁹, 80A²², 48E¹⁸, 40B¹¹, 296B²³, 112A⁸, 72Y²¹, 216A²¹, 112F¹⁴, 24J¹¹, 120Q¹⁹, 48B²², 16G³, 104U²³, 120D⁹, 72T²¹, 48C²⁰, 56G⁶, 48AV¹⁹, 136B²³, 40B¹⁰, 112B⁷, 216A²³, 120A¹², 48U¹³, 72R²¹, 16K³, 32G²³, 144N²¹, 80AH²¹, 24C¹⁶, 40I¹¹, 240A¹⁵, 72I¹⁴, 32A²⁴, 32B¹², 16H⁹, 168H²³, 72O¹⁹, 120J²¹, 72U²¹, 72W¹⁷, 40AN¹⁷, 48A⁸, 16A⁴, 16B⁶, 144N²², 40G¹¹, 24S⁴, 40G⁸, 32A²¹, 32R⁹, 208B¹⁵, 280C²¹, 336H²⁴, 120O¹⁹, 16A¹⁷, 120P¹⁷, 16E⁵, 56N²⁴, 40S¹⁷, 24G¹¹, 24N⁸, 48C²², 120D¹⁹, 32A²³, 32W²¹, 16B²¹, 56L²², 56C²³, 88A⁸, 80B¹³, 200H¹⁹, 112I¹⁵, 304A²⁴, 168B¹⁴, 72J⁸, 120L²³, 32C²⁴, 80E⁸, 24A⁴, 72A²², 48Q¹³, 24G³, 72B²², 24J¹⁹, 72B²³, 56A¹⁵, 56A⁴, 168L²³, 56G⁷, 24AF¹⁷, 8A², 216A²⁰, 144L²², 16I⁵, 40B⁷, 56B⁸, 88B²⁴, 120D¹⁶, 112E¹⁴, 40C¹³, 16C¹¹, 48I⁷, 56B¹⁴, 168C¹⁸, 80AF²¹, 48A¹⁴, 48B²⁰, 56H²², 56F¹⁴, 272A²³, 8H¹, 144M²¹, 168F²⁴, 48A²², 24A¹, 40C¹⁸, 64A²³, 16B¹³, 144A¹⁵, 24P¹⁵, 32Q⁹, 24Y⁹, 24I¹⁹, 168G²², 88A⁵, 8M⁰, 48I⁴, 40A², 112B¹⁶, 24K⁷, 56N¹³, 48E²³, 48BN¹⁷, 16A⁰, 48K⁷, 48A¹², 16A¹³, 16D²¹, 24E², 112K¹⁵, 64I¹⁴, 216A²⁴, 336D²⁴, 48G⁶, 80B¹⁵, 240A²⁴, 24H⁴, 24K², 16F²¹, 80A²³, 32C¹⁰, 16A¹⁵, 48D²⁰, 168Q²², 72B¹³, 56K¹², 24C²¹, 24G²¹, 72V¹⁹, 40F⁵, 176A¹⁶, 40A¹⁸, 40D⁴, 56D³, 72Z²¹, 8B³, 32A²², 48D¹⁵, 40D¹⁹, 336E²⁴, 144F²⁰, 104B¹⁵, 24A¹⁶, 40U⁹, 40D¹¹, 136C²³, 8C², 32X²¹, 200F¹⁹, 48C²³, 40Q¹⁷, 72H²³, 48L⁷, 72Q²¹, 168C¹⁰, 88D²⁰, 40B¹⁸, 56C¹⁵, 72D¹³, 32J²¹, 56F⁶, 48T¹⁹, 144C¹⁰, 176B¹¹, 232B¹⁹, 336B²⁴, 48H¹⁵, 120F¹⁷, 48D²³, 32A¹², 56K²², 40H¹⁹, 240B¹⁵, 80B²³, 24K¹¹, 32I¹³, 72K¹⁰, 144A¹², 144C²⁴, 40B³, 144U²³, 24AE¹⁷, 48BY²¹, 48AB¹⁹, 56D¹⁷, 32S¹³, 40N¹⁷, 32D²¹, 72G⁹, 24B⁷, 168K²³</t>
        </is>
      </c>
    </row>
    <row r="45">
      <c r="A45">
        <f>HYPERLINK("https://mathstats.uncg.edu/sites/pauli/congruence/csg0.html#group8B0", "8B⁰")</f>
        <v/>
      </c>
      <c r="B45" t="n">
        <v>0</v>
      </c>
      <c r="C45" t="inlineStr"/>
      <c r="D45" t="inlineStr">
        <is>
          <t>12</t>
        </is>
      </c>
      <c r="E45" t="inlineStr">
        <is>
          <t>1</t>
        </is>
      </c>
      <c r="F45" t="inlineStr">
        <is>
          <t>3</t>
        </is>
      </c>
      <c r="G45" t="inlineStr">
        <is>
          <t>4</t>
        </is>
      </c>
      <c r="H45" t="inlineStr">
        <is>
          <t>0</t>
        </is>
      </c>
      <c r="I45" t="inlineStr">
        <is>
          <t>4¹, 8¹</t>
        </is>
      </c>
      <c r="J45" t="n">
        <v>2</v>
      </c>
      <c r="K45" t="inlineStr">
        <is>
          <t>1³</t>
        </is>
      </c>
      <c r="L45" t="inlineStr">
        <is>
          <t>4C⁰</t>
        </is>
      </c>
      <c r="M45" t="inlineStr">
        <is>
          <t>8H⁰, 8L⁰, 16B⁰, 24A⁰, 8B¹, 16B¹, 16D¹, 16A², 24B³, 40D³, 40A⁴, 56B⁴, 40E⁷, 56B⁷, 88B⁸, 88B¹¹, 104B¹¹, 136B¹⁵, 152A¹⁹, 72E²², 184A²³</t>
        </is>
      </c>
      <c r="N45" t="inlineStr">
        <is>
          <t>1A⁰, 2B⁰, 4C⁰</t>
        </is>
      </c>
      <c r="O45" t="inlineStr">
        <is>
          <t>16F⁵, 16A¹¹, 16B¹⁹, 80M²¹, 48O¹⁷, 80G¹⁷, 64Q²¹, 48M⁹, 40X¹⁷, 16P³, 48BK¹⁹, 120O²¹, 48CE¹⁷, 16B⁰, 48AE²¹, 24R⁷, 112Q²⁴, 64K¹³, 48CF²¹, 288A²³, 80C²¹, 96W¹⁵, 24AD¹⁷, 48CH¹⁷, 48BS²¹, 24AO¹⁷, 48O¹⁸, 48AH⁷, 112A¹¹, 48E⁵, 48I¹¹, 48AD²¹, 48BW¹⁷, 48AM¹⁷, 264C²⁴, 64B¹⁸, 48K¹¹, 48M¹⁷, 32C²¹, 32U²¹, 136B¹⁵, 48L¹⁵, 48A⁰, 96Y¹⁹, 32C⁷, 48AJ⁷, 104G²³, 160N¹⁹, 96M¹⁹, 48AZ¹⁹, 16I³, 88B¹⁸, 32K⁹, 48CD²¹, 40R¹⁵, 48A¹¹, 96AS¹⁹, 112H²³, 64G²¹, 48BH²¹, 112U²⁴, 48AQ¹⁷, 48H¹⁶, 48AY¹⁹, 32B²⁴, 112F¹¹, 24G¹⁹, 16E⁹, 48BH¹⁷, 88H²¹, 16D⁹, 40AP¹⁷, 48U¹⁵, 32B²³, 24V¹³, 48BG¹⁹, 16B⁷, 16A¹⁰, 96AE²¹, 48AF²¹, 160G²¹, 96I⁹, 96AY²¹, 16B¹⁰, 48BR¹⁷, 80V¹⁹, 24D¹⁷, 24X¹³, 48X¹⁵, 32L⁹, 160L²¹, 48BR²¹, 48BO¹⁷, 48CC¹⁷, 32F⁵, 48AD¹⁹, 48BU²¹, 40C¹⁶, 24U¹⁷, 160O²¹, 16A¹⁹, 112P²⁴, 24O⁷, 112S²⁴, 64I⁹, 80P²¹, 40O¹⁷, 168A²³, 80K²¹, 16C¹⁰, 64B²², 96Q¹⁷, 48Y⁹, 48N²¹, 40AI¹⁵, 48L⁹, 48BZ¹⁷, 96AD¹⁹, 96AL¹⁹, 72F¹², 64J⁷, 64O¹³, 48AF¹³, 192F²¹, 48A¹³, 48AZ¹⁷, 24J⁵, 64P²¹, 64H²¹, 40F¹³, 96AF²⁰, 24AF⁹, 24X⁵, 32C²³, 48M¹¹, 32F⁹, 48R⁸, 72K¹², 96AI²¹, 80AA²¹, 96AA¹⁷, 24AH⁹, 120B¹¹, 56B⁹, 48S¹⁹, 96AC²⁰, 96AO²¹, 24W⁵, 32N³, 48M¹⁸, 32R¹³, 96X¹⁷, 96R²⁰, 24AP¹⁷, 32E¹³, 32A¹⁰, 96A⁷, 184A²³, 96AA²⁰, 48AE¹⁷, 24L⁷, 32B¹, 48AC⁸, 96J¹¹, 16C⁶, 96N¹⁷, 32H²³, 72N¹¹, 16C⁹, 48AC²¹, 24Y¹³, 96I²⁰, 144B¹², 96H¹³, 104A²¹, 112D²¹, 144Y²³, 80AT¹⁷, 48H⁵, 48C⁴, 72AA²¹, 64B¹⁵, 112C²¹, 48T¹⁵, 32H¹³, 32E²³, 48E³, 48AJ²¹, 32E²¹, 72O¹², 16C⁴, 48N¹⁸, 64J¹⁵, 160M¹⁹, 48AS¹⁷, 104R²³, 48O⁷, 48AA⁸, 80G⁹, 40B⁸, 32L⁵, 96I²³, 144C¹³, 32D¹⁹, 96F⁹, 64E¹⁴, 112A¹², 8L⁰, 72Q¹⁷, 32J¹³, 96D¹⁷, 96AT²¹, 96C¹⁵, 96AJ²¹, 80W²¹, 96AX²¹, 96N²³, 96P¹⁷, 96C¹⁷, 48AB¹⁵, 80H¹⁹, 160F¹⁹, 32A¹⁸, 144D¹³, 96AF¹⁷, 64G¹⁵, 24V¹⁷, 48B¹³, 152A¹⁹, 16C³, 48AS²¹, 112L²⁴, 16M³, 24Z⁷, 48AL¹⁷, 56I²³, 80B¹⁷, 24L², 96G¹⁷, 96F²³, 112O²⁴, 16C²¹, 24I⁵, 96Y¹⁷, 16A⁵, 48AB¹³, 48CQ²¹, 48AE⁷, 48BI¹⁹, 48AM¹⁹, 80D¹⁹, 72J¹², 56B⁴, 80AA¹⁷, 96AI²³, 80AR¹⁷, 80AX¹⁷, 96O²³, 96AJ¹⁹, 96A⁵, 144B¹³, 32S²¹, 96AG²¹, 88A²¹, 48H²¹, 176G²³, 16K⁹, 160I²¹, 48S⁸, 24F¹¹, 16B¹⁷, 48V¹⁵, 80H¹⁷, 16F⁹, 96T¹⁵, 160N²¹, 48O²¹, 144W²³, 288A²¹, 96O¹⁵, 64D¹⁴, 48AN²¹, 48CO²¹, 48J²¹, 24K⁶, 112B⁸, 48V²¹, 32P²¹, 64H¹⁵, 16I⁹, 48AG⁷, 56J²¹, 48AA²¹, 32H⁹, 96R¹⁷, 32C¹¹, 48R¹⁷, 48AK²¹, 48K⁹, 96E²³, 16B³, 32H⁵, 24J¹⁷, 48Y¹⁵, 32G⁹, 16L², 96Z²⁰, 144M²³, 64G⁷, 24O¹⁵, 48AD⁷, 112G¹⁵, 32A²⁴, 48AX²¹, 48BC¹⁷, 48BD¹⁹, 72E¹⁸, 80H⁹, 80E²¹, 16H⁹, 48BH¹⁹, 112M²³, 144E¹⁰, 48BG¹⁷, 64C¹⁵, 96V²⁰, 80B¹⁹, 32A¹³, 24C⁹, 56K²¹, 48CB¹⁷, 32B⁹, 48W¹⁵, 64M¹³, 32K¹³, 96U¹⁵, 32A⁷, 48BF¹⁷, 40A⁴, 32E⁵, 96B¹⁷, 48J¹³, 24B¹⁶, 72D²¹, 16A³, 32A²¹, 80A²⁴, 176C²³, 48T¹³, 16E⁷, 48S²¹, 32G³, 48AE⁸, 96Q¹⁵, 48CB²¹, 16A¹⁷, 32Q³, 192J²¹, 224A²¹, 32I⁷, 56L¹³, 96AP²¹, 96D²³, 80AB¹⁹, 16B²¹, 96G²³, 24AH¹⁷, 48W⁹, 96C²³, 16H¹, 40G¹⁷, 48AV¹⁷, 24S¹⁵, 24AB⁹, 80N²¹, 96J²³, 48G¹⁹, 48BD¹⁷, 40AE¹⁵, 56A¹¹, 8A³, 32C²⁴, 72E⁴, 48J⁹, 24AS¹⁷, 96Y²⁰, 96W²⁰, 48AE¹⁵, 24AN¹⁷, 120C¹², 24G⁶, 16B⁵, 16L³, 48B¹⁹, 96D⁹, 224A¹⁹, 48BE¹⁷, 16I⁵, 72A¹¹, 112A¹⁰, 96H⁹, 48AE¹⁹, 16C¹³, 48AP²¹, 48AF¹⁵, 24C¹⁷, 120B¹², 24T¹⁵, 72F²¹, 40M¹³, 32F⁷, 16M⁵, 48BJ¹⁹, 80AA¹⁹, 48P⁷, 56D²³, 24AD⁹, 64H⁷, 8H¹, 24L¹⁷, 48AN¹⁹, 48S⁷, 24D²¹, 96BA¹⁹, 72I¹³, 160M²¹, 16B¹³, 80I²¹, 96AB²⁰, 48X⁹, 32Q⁹, 144A⁸, 80AU¹⁷, 64L¹³, 40AF¹⁵, 48F²¹, 96A³, 32N⁹, 160P²¹, 80X²¹, 80L²¹, 24K⁷, 160D¹⁹, 32I¹¹, 24I⁶, 48BN¹⁷, 24A¹⁹, 96Q²⁰, 48CE²¹, 32A⁹, 112I²³, 24Y⁵, 80F¹⁹, 112E¹¹, 48BD²¹, 48D⁷, 48I¹³, 96X¹⁹, 48V⁷, 208A²³, 16F²¹, 32C¹⁰, 56E²², 16A⁹, 16F², 32M¹³, 96K⁹, 48BA¹⁹, 48D²¹, 24T¹⁷, 32D¹³, 48AC¹⁵, 96W¹⁹, 96B²³, 48A⁶, 240C²⁴, 96AO¹⁹, 96AR¹⁹, 48G¹¹, 64I²¹, 24I¹¹, 32F⁶, 48F⁸, 24F²¹, 8B³, 96B⁹, 32M⁹, 16A²¹, 88B¹¹, 96AI¹⁹, 24AG⁹, 24A¹⁶, 8C², 24I³, 32J⁷, 112K²³, 24F¹⁹, 96AM²¹, 40B²², 56C¹⁰, 56N²³, 48C²¹, 96U²⁰, 200B²³, 96D¹⁵, 48AI²¹, 24S⁵, 144K²¹, 32H⁷, 24J⁹, 24AB⁷, 24U¹⁵, 64H⁹, 48AY¹⁷, 32I⁵, 80C¹³, 48P¹⁸, 48F⁵, 120N²³, 40N¹³, 192K²¹, 24B¹⁷, 48BC¹⁹, 40AA¹⁷, 48AA¹⁵, 40V¹⁷, 32A¹², 48BB¹⁹, 64D¹⁵, 48S¹⁵, 96AN¹⁹, 80H²¹, 160G¹⁹, 96AV¹⁹, 104Q²³, 32P⁹, 40E⁷, 48BB²¹, 48N⁷, 96H¹⁵, 56M²³, 48X¹³, 48E²¹, 96AE²⁰, 48C¹³, 144G²³, 40N¹⁷, 48Q¹¹, 96C⁹, 48AB¹⁹, 32D²¹, 40D³, 32D²³, 48F³, 32H³, 24M¹⁵, 32A¹⁹, 80AK¹⁷, 96Y²¹, 96R¹⁵, 336I²⁴, 96AH¹⁹, 72K¹³, 48P¹³, 80AC¹⁹, 48BE¹⁹, 48I²¹, 64A¹⁵, 112V²⁴, 56G¹⁴, 48AK¹⁷, 96A¹⁵, 48AH²¹, 64U¹³, 224A²³, 40A⁹, 16B⁴, 48M¹⁵, 80F¹⁷, 24AJ⁹, 80L⁹, 96AK¹⁹, 24Q¹³, 96S²⁰, 8P⁰, 80Q²¹, 32A¹¹, 64I⁷, 144N²³, 80AE¹⁷, 96L¹⁹, 32K¹¹, 56B¹⁰, 48CD¹⁷, 48AL¹⁹, 104B¹¹, 24S⁹, 120C²¹, 144A¹³, 48P¹⁷, 56D¹⁰, 48AB²¹, 48BC²¹, 112L²³, 112E²³, 32G¹³, 48B²³, 48S¹⁷, 32E⁶, 96AY¹⁹, 32C⁶, 88E²¹, 8I¹, 32D⁷, 48AE⁹, 48Q²¹, 96S¹⁵, 48BQ²¹, 56H¹³, 48U⁷, 96AL²³, 32B¹³, 32G⁷, 80AV¹⁷, 144H²³, 24D⁶, 40E¹⁷, 48AU¹⁷, 24E¹⁶, 80AE¹⁹, 48CF¹⁷, 32B¹⁸, 64F²¹, 64F⁹, 48A¹⁶, 48E¹¹, 24F¹⁷, 32I²¹, 56B¹⁹, 48A¹⁹, 40V¹³, 48BB¹⁷, 72U¹⁷, 48T¹⁸, 48B¹¹, 32E¹¹, 72N¹⁷, 160H²¹, 64C¹⁴, 16D⁷, 32R²¹, 48Q¹⁸, 48F⁷, 96I¹¹, 176C¹⁹, 80BC¹⁷, 80A⁸, 56F²², 48M²¹, 144A¹⁴, 80U¹⁹, 48D¹³, 80AD¹⁷, 112A²¹, 96AM¹⁹, 40J⁹, 8B¹, 48AD⁸, 24J²¹, 144F²³, 48AX¹⁷, 8H⁰, 48C³, 40AD¹⁷, 48AB⁷, 96AQ¹⁹, 48BA¹⁷, 112D¹⁵, 144J²¹, 32B²², 80AQ¹⁷, 40S¹⁵, 160H¹⁷, 48L¹¹, 24M², 96G²⁰, 32B¹⁰, 48K²¹, 72L²¹, 32E³, 48T¹⁷, 96AE¹⁷, 96O²⁰, 32H⁶, 32T²¹, 16J⁵, 72E²², 112C¹⁵, 48AR¹⁷, 144D²¹, 48AU¹⁹, 64A¹⁹, 40D¹⁷, 96AU¹⁹, 48AA¹³, 40Q⁷, 32K⁵, 32M²¹, 80F²¹, 72E²¹, 96AG²⁰, 56C²¹, 96Z²¹, 32L¹³, 96AN²¹, 80AB²¹, 144C²¹, 96J⁹, 48R²¹, 112N²⁴, 48L²¹, 64T¹³, 32C¹³, 16A², 144F¹⁶, 48T⁷, 72B⁹, 160J²¹, 72C¹⁷, 112D²³, 24A⁹, 80AB¹⁷, 80E¹⁸, 48G⁷, 48Z¹¹, 192G²¹, 48BX¹⁷, 208B²³, 56I¹³, 16Q³, 48O¹³, 32F¹³, 40L⁵, 160E¹⁹, 120A¹⁹, 16B¹¹, 24AG¹⁷, 96V¹⁵, 48AT¹⁷, 48CG¹⁷, 24B³, 88A¹⁸, 48BY¹⁷, 40U¹³, 32D⁶, 24Q¹⁷, 96J¹⁹, 64A²², 176A¹⁹, 176A²², 40G²², 8A⁵, 16J⁹, 240B²⁴, 192E²¹, 48AL²¹, 48AD¹⁵, 24D⁹, 96X²⁰, 56H²³, 32F²¹, 48BG²¹, 48AF¹⁷, 144X²³, 64A¹⁸, 112B¹¹, 40C¹⁰, 16F³, 96B¹⁵, 144E¹³, 24R¹⁵, 80C¹⁸, 40D²³, 32Q²¹, 112B²¹, 80AD¹⁹, 48X⁸, 144E²³, 80F¹⁵, 80O²¹, 80C⁷, 16S³, 40Y¹⁷, 32F³, 32B²¹, 40AM¹⁷, 48H¹¹, 40G¹⁵, 72H⁹, 160H¹⁹, 32T¹³, 96AG¹⁷, 24V⁵, 48M⁷, 48P²¹, 144L²³, 112N²³, 8G¹, 64A¹⁴, 32E¹⁹, 24H⁶, 64M²¹, 112C²³, 64D²¹, 64L²¹, 48G¹³, 48C⁷, 112A²³, 112A¹⁴, 64B¹⁴, 48F¹¹, 144A¹⁸, 8K¹, 80A¹⁹, 64E¹⁵, 48K¹³, 48AO¹⁹, 16G⁵, 32O¹³, 80V²¹, 96AT¹⁹, 48T²¹, 32D²⁴, 96P²⁰, 168E²³, 48W²¹, 32E¹⁷, 80I¹⁷, 48M³, 48AJ¹⁹, 48D¹⁹, 96U²³, 48AR²¹, 32V²¹, 32L³, 96L²³, 40AB⁷, 64Q¹³, 16E²¹, 96AA²¹, 24D¹⁹, 32J⁵, 24AC⁷, 56J²³, 176B¹⁶, 80D⁹, 96AE¹⁹, 96N²⁰, 24A⁵, 24R¹³, 192H²¹, 24I¹⁷, 32Y²¹, 16E², 48L¹⁸, 96G¹³, 48CA¹⁷, 192I²¹, 48BF²¹, 16O⁵, 112R²⁴, 56D²², 80A¹¹, 16R³, 48Q¹⁷, 24H¹, 72C²¹, 80G²¹, 48E¹⁸, 48AI⁷, 96H²⁰, 160G¹⁷, 32N¹³, 160K²¹, 112A¹⁹, 96AF²¹, 24N¹⁵, 240A²³, 48AV¹⁹, 96Z¹⁷, 40F²¹, 16G⁹, 32K²¹, 16K³, 80AW¹⁷, 96P²³, 96BB¹⁹, 32G²³, 80D⁷, 48F¹⁸, 96E¹⁷, 32B¹², 24C¹⁶, 40W¹³, 80P¹⁷, 48AM²¹, 40A¹⁷, 48A², 32P³, 24Z¹³, 48C¹¹, 56D¹³, 64G⁹, 48AW²¹, 24S¹³, 48AF⁸, 32E⁷, 24AQ¹⁷, 56G²², 48R¹⁹, 32D¹¹, 96AD²⁰, 32G⁵, 96F¹⁷, 24A²¹, 8F¹, 32R⁹, 24AA¹³, 32J¹¹, 48S¹⁸, 48U²¹, 64B²³, 24A⁰, 48D¹¹, 40N²², 48AP¹⁷, 144K²³, 32A²³, 24D¹⁶, 64S¹³, 112J²³, 32W²¹, 96V¹⁹, 96G¹⁵, 240B²³, 96T²⁰, 48AW¹⁷, 64F¹⁴, 48J¹⁵, 16J¹, 96O¹⁷, 72K²¹, 40F⁸, 16H³, 64I¹⁵, 72O¹⁵, 32L²¹, 24AF¹⁷, 48I¹⁶, 16B⁹, 96K¹¹, 160B¹⁷, 96AF¹⁹, 96AD¹⁷, 144J¹⁹, 16C¹¹, 48BF¹⁹, 48AG²¹, 48AF⁷, 72G¹², 96AB¹⁷, 64N¹³, 80E¹⁹, 48AB⁸, 24F⁹, 48AO²¹, 72B¹¹, 96AC¹⁹, 16D⁵, 24AA⁷, 24N⁵, 104I²³, 48AC⁷, 40AL¹⁷, 112F¹⁵, 24P², 64G¹⁴, 96K²³, 80E¹⁵, 32F¹¹, 48H³, 96H²³, 56B⁷, 88B⁸, 24Q¹⁵, 48BI²¹, 40I¹⁵, 48Z¹⁵, 40J²², 32Q¹³, 80B¹¹, 24P¹⁵, 32D³, 96V²³, 64R¹³, 96A²³, 48AR¹⁹, 96I¹⁵, 80B²², 56E¹⁰, 96AH²¹, 16D²¹, 16O³, 40H⁹, 112T²⁴, 80K⁹, 48T⁸, 16B¹, 80O¹⁷, 32O⁹, 96E⁹, 80C¹⁹, 48I¹⁵, 96AL²¹, 48AE¹³, 96U¹⁹, 96AG¹⁹, 16A¹⁵, 144F¹³, 80AF¹⁷, 48L¹⁷, 48G¹⁶, 48AN¹⁷, 96J²⁰, 24G²¹, 40AO¹⁷, 48AK¹⁹, 32A²², 16C⁵, 176D²³, 16I¹, 48N¹⁷, 48Z⁹, 96H¹⁷, 48CP²¹, 32X²¹, 168A¹², 24Q², 40AE¹⁷, 32A¹⁷, 72N¹², 64F¹⁵, 48AO¹⁷, 80AL¹⁷, 80A¹⁰, 64P¹³, 16L⁹, 48H¹³, 112M²⁴, 48C²³, 40S⁷, 96J¹⁵, 16D¹, 32C¹², 64H¹⁴, 176F²³, 96AK²¹, 48AB⁹, 16F¹, 112K²⁴, 48AC¹⁹, 32L⁷, 32J²¹, 80AS¹⁷, 16D³, 48T¹⁹, 48AA¹¹, 96M²³, 48H¹⁵, 192L²¹, 96AP¹⁹, 48G⁵, 48F¹⁶, 32I¹³, 48BQ¹⁷, 88D²¹, 40AA⁷, 80AC¹⁷, 96T¹⁹, 24W¹³, 80D²¹, 40AG¹⁷, 32G¹¹, 32B⁷, 80B⁹, 16E⁵, 80J¹⁷</t>
        </is>
      </c>
    </row>
    <row r="46">
      <c r="A46">
        <f>HYPERLINK("https://mathstats.uncg.edu/sites/pauli/congruence/csg0.html#group8C0", "8C⁰")</f>
        <v/>
      </c>
      <c r="B46" t="n">
        <v>0</v>
      </c>
      <c r="C46" t="inlineStr">
        <is>
          <t>Γ₀(8)</t>
        </is>
      </c>
      <c r="D46" t="inlineStr">
        <is>
          <t>12</t>
        </is>
      </c>
      <c r="E46" t="inlineStr">
        <is>
          <t>1</t>
        </is>
      </c>
      <c r="F46" t="inlineStr">
        <is>
          <t>6</t>
        </is>
      </c>
      <c r="G46" t="inlineStr">
        <is>
          <t>0</t>
        </is>
      </c>
      <c r="H46" t="inlineStr">
        <is>
          <t>0</t>
        </is>
      </c>
      <c r="I46" t="inlineStr">
        <is>
          <t>1², 2¹, 8¹</t>
        </is>
      </c>
      <c r="J46" t="n">
        <v>4</v>
      </c>
      <c r="K46" t="inlineStr">
        <is>
          <t>1⁴, 2¹</t>
        </is>
      </c>
      <c r="L46" t="inlineStr">
        <is>
          <t>4B⁰</t>
        </is>
      </c>
      <c r="M46" t="inlineStr">
        <is>
          <t>8G⁰, 8I⁰, 16C⁰, 16D⁰, 16A¹, 24G¹, 24B², 40F³, 40B⁴, 56D⁵, 56C⁶, 40G⁷, 88B⁹, 88A¹⁰, 104D¹¹, 136D¹⁵, 152A¹⁷, 184A²¹, 72F²²</t>
        </is>
      </c>
      <c r="N46" t="inlineStr">
        <is>
          <t>4B⁰, 1A⁰, 2B⁰</t>
        </is>
      </c>
      <c r="O46" t="inlineStr">
        <is>
          <t>80G¹³, 56C⁶, 192E²³, 16A¹¹, 96A¹⁸, 40X¹⁷, 64H¹³, 48AC⁹, 48CF²¹, 176F¹⁹, 96S¹⁹, 64A⁷, 32U¹³, 24AO¹⁷, 144H¹³, 32G²¹, 96E²¹, 32C²¹, 48I¹⁹, 104E²³, 168D²¹, 32O⁵, 16I³, 144I¹³, 56F²¹, 48CD²¹, 24X³, 40M⁷, 80G¹⁵, 40O¹³, 88A¹⁷, 184A²¹, 112B²⁴, 24G¹⁹, 32C¹⁷, 16E⁹, 72P¹⁷, 16D⁹, 104D¹¹, 56D²⁴, 32M³, 16B⁷, 32D⁹, 72F¹⁶, 80C¹⁷, 48P¹⁹, 128B¹⁵, 48AW¹⁹, 40K²², 80A⁹, 112U²³, 160A¹⁸, 56C¹², 24D¹⁵, 80AG¹⁷, 32E¹, 48X⁷, 88F¹⁹, 72S¹³, 96C¹⁸, 40U⁷, 24N⁷, 64A²¹, 64E²¹, 48Y⁸, 160M¹⁷, 208D²³, 40C¹⁵, 96BD²¹, 40M¹⁹, 96AR²¹, 80BE¹⁷, 48N¹⁵, 64A¹⁷, 112B¹², 144F¹⁹, 160C²¹, 24F⁸, 96N¹⁵, 160F¹⁷, 24E¹⁵, 32B¹⁹, 24AC¹³, 64A¹¹, 192B¹⁹, 48H¹⁹, 24AF⁹, 160A¹⁶, 16G⁰, 96M⁹, 24T⁷, 72Q¹¹, 32N⁵, 192D²¹, 48F⁴, 144D¹⁶, 64D⁵, 48Y¹⁷, 16J², 96BE¹⁹, 48AC¹⁷, 48AH⁹, 24AP¹⁷, 80B⁸, 40M⁵, 112Q²³, 24P¹⁷, 48CK²¹, 48AK⁹, 96A¹⁹, 48D⁴, 48L³, 64J¹³, 16C⁹, 64V¹³, 48CO¹⁷, 160A¹⁵, 24N¹³, 48BT¹⁹, 32H²¹, 40L¹⁵, 96F²¹, 168B²¹, 16N³, 160B¹⁵, 32J⁹, 32E²¹, 192O²¹, 64N²¹, 32A², 32N²¹, 48P¹⁵, 96B¹⁹, 24L³, 80U¹⁷, 112H¹¹, 144E¹⁶, 128D¹³, 96C⁷, 24G¹, 48CC²¹, 80T¹⁵, 48D¹⁷, 40AS¹⁷, 24AH⁷, 104B²¹, 192E¹⁹, 32B¹¹, 96A¹⁰, 64B³, 80B¹⁶, 16H⁰, 96Z¹⁹, 144G¹³, 96B¹¹, 16M¹, 192A¹⁹, 96AB²¹, 56B¹², 80D¹⁷, 48CP¹⁷, 72D¹⁹, 96B⁷, 48F¹⁷, 56A²³, 96D¹⁸, 192C²¹, 64A⁶, 16C²¹, 104C²³, 80F¹³, 96O¹⁹, 96C²², 48C¹⁷, 16A⁵, 96B¹⁰, 128D¹⁵, 144E¹⁷, 96P²¹, 168B²⁰, 32C⁹, 96AI¹⁷, 56U²³, 72AB²¹, 48C¹⁸, 96U²¹, 128C¹³, 96BC¹⁹, 128B⁹, 32C³, 48Q¹⁹, 16B¹⁷, 80A¹⁸, 48AN⁷, 48H¹⁸, 144J¹³, 96L¹⁷, 112C¹³, 56E²⁴, 112D²⁴, 48AM⁷, 64C⁷, 32D⁵, 24R⁵, 96A²², 80Q¹⁵, 192F¹⁹, 64K²¹, 176B²¹, 64E⁷, 144A¹⁹, 96C¹¹, 96I¹⁷, 48F¹⁵, 88C¹⁹, 96BF²¹, 48AH¹³, 80H⁷, 64G¹³, 48AO⁷, 24J¹⁷, 8I⁰, 40W¹⁵, 96N¹⁹, 144H¹⁶, 48O¹⁹, 48CH²¹, 120A¹⁴, 48C⁸, 32B⁹, 24C⁹, 32A¹³, 48CJ²¹, 80C⁸, 96K²¹, 96X²¹, 208C²³, 96C¹³, 96AJ¹⁷, 48AG¹³, 96L⁹, 48AP¹⁹, 32A²¹, 64C⁵, 48AG⁹, 48CB²¹, 48AM⁹, 96I²¹, 224C²³, 112G¹¹, 16A¹⁷, 72T¹³, 96P¹⁵, 160E²¹, 176C²¹, 48L⁸, 112S²³, 32A¹, 256A²¹, 72F²², 72B⁵, 96P¹⁹, 24AR¹⁷, 16B²¹, 192A²³, 160F²¹, 48G¹⁹, 16C², 192N²¹, 72O¹⁷, 88A²⁰, 160E¹⁷, 8A³, 128A⁷, 64B¹¹, 96D¹⁹, 24AN¹⁷, 48B¹⁷, 144E²¹, 16B⁵, 48B¹⁹, 48AI⁹, 48R¹⁵, 48X¹¹, 16C¹³, 160A¹⁷, 48D⁵, 24AI⁷, 96H¹⁹, 96H²¹, 64C⁹, 112I¹¹, 176B²⁰, 48A¹⁰, 192P²¹, 96Q¹⁹, 96A²¹, 16M⁵, 40E¹⁵, 40K¹³, 72U¹³, 32M⁷, 48BT¹⁷, 24D²¹, 24B², 96G²¹, 48AL⁷, 40Z¹⁵, 48J¹⁷, 96AQ²¹, 16B¹³, 128C²¹, 72F¹⁹, 96M¹⁷, 192I²³, 48I³, 48F⁹, 96A⁸, 56N¹¹, 48F²¹, 160A²¹, 32B³, 48CE²¹, 48B⁵, 48A⁵, 128A¹³, 48E⁹, 24A¹⁹, 80C²², 128A¹⁵, 96BI²¹, 48K¹⁷, 16E¹, 32A⁹, 32A³, 96AX¹⁹, 48I¹⁸, 96BF¹⁹, 48BQ¹⁹, 192D²³, 48CQ¹⁷, 32B², 48C⁹, 16A⁹, 48O¹⁵, 48I¹⁷, 8B³, 24V³, 24F²¹, 80S¹⁵, 48Q⁹, 16A²¹, 72B⁸, 40A²², 24H¹⁵, 160K¹⁹, 24F¹⁹, 56M¹¹, 192G²³, 48AQ⁷, 8G⁰, 40X¹⁵, 128E¹³, 32A⁵, 96F¹³, 72S¹⁵, 144G¹⁶, 24B¹⁷, 48I⁵, 176G¹⁹, 40O⁷, 112D¹³, 80AI¹⁷, 24B⁸, 56G¹², 48L¹⁹, 16C⁷, 48B¹⁰, 208F²³, 48G⁴, 80AH¹⁷, 24L¹³, 32C⁵, 48BS¹⁷, 80L¹⁹, 64E⁹, 80D¹³, 192L²³, 48E²¹, 96BB²¹, 224A²⁴, 32A¹⁹, 32D²¹, 64B⁹, 72H¹⁹, 40G⁷, 256B²¹, 48AJ⁹, 40A⁸, 72E¹⁶, 96G¹¹, 48CK¹⁷, 48W¹³, 96H¹¹, 48CG²¹, 96E¹³, 96W²¹, 96L²¹, 120D¹⁴, 160J¹⁹, 88B²⁰, 128B¹⁷, 176D¹⁹, 48J⁸, 136D¹⁵, 32A¹¹, 128B²¹, 56E²³, 128H¹⁵, 96BJ²¹, 96C²¹, 112E²¹, 48BR¹⁹, 48CM²¹, 160L¹⁹, 96Q²¹, 96AW¹⁹, 96M²¹, 32J³, 192H²³, 56L²¹, 80E⁹, 48W¹¹, 48Y¹³, 48E¹⁹, 24I⁹, 96E¹⁹, 96A¹³, 128A²¹, 48Q²¹, 96D¹³, 64D¹⁷, 32B¹³, 160C¹⁵, 48AD¹⁷, 144H¹⁹, 64F²¹, 64C²¹, 96N²¹, 40P¹³, 192J²³, 64B¹⁹, 48AA¹⁷, 24F¹⁷, 48A¹⁹, 24J¹, 160S²¹, 40F³, 24M⁴, 80O¹⁵, 112A²⁴, 112D¹², 40W¹⁷, 144C¹⁷, 24F⁴, 40I²², 96BC²¹, 32C², 96A⁹, 80J¹⁵, 96BA²¹, 96K¹⁹, 96AK¹⁷, 192B²¹, 96M¹⁵, 48B⁴, 48AK⁷, 48CM¹⁷, 48AA⁹, 216B²¹, 48P⁹, 96F¹¹, 80T¹⁹, 48D⁸, 48CL²¹, 152A¹⁷, 144B¹⁹, 112B²³, 88E¹⁹, 24AJ⁷, 160D²¹, 112C²⁴, 32I⁹, 48D¹⁸, 64A¹⁹, 64A⁵, 96D²¹, 48W¹⁷, 128A¹⁷, 96BH²¹, 48BS¹⁹, 72C¹⁹, 48L²¹, 64I¹³, 48AA¹⁹, 144D¹⁹, 32C¹³, 32O³, 48E¹⁵, 16C⁰, 176E¹⁹, 88D¹⁹, 48V¹³, 200J¹⁹, 32F¹³, 32E⁹, 48CA²¹, 64B¹³, 144F²¹, 96C¹⁹, 112J¹¹, 40W⁹, 40AA¹⁵, 24J⁴, 48CJ¹⁷, 64J²¹, 120F¹⁵, 8A⁵, 32F²¹, 48AB¹⁷, 192D¹⁹, 56C²⁴, 24M¹³, 160A¹⁹, 72I¹⁹, 24Y³, 64A⁹, 80Z¹⁷, 56Q²³, 192C²³, 72G¹⁵, 8O⁰, 64C¹⁷, 96B²¹, 192A²², 96BD¹⁹, 72G²², 72A¹⁶, 32B²¹, 64B²¹, 80A¹⁶, 256B¹⁹, 32D¹⁷, 40D²², 80AJ¹⁷, 32T¹³, 120O¹⁷, 96B¹⁸, 56F¹², 48E⁸, 80E⁷, 160C¹⁹, 64D²¹, 144B¹⁷, 160B¹⁹, 96B¹³, 96F¹⁹, 24U⁷, 96I¹³, 40M¹⁵, 96BK²¹, 112O²³, 24D⁸, 192C¹⁹, 8K¹, 192F²³, 32K³, 80G⁷, 24S¹⁷, 104L²³, 40V⁷, 16K², 128E²¹, 48Q⁷, 32E¹⁷, 64A¹³, 144G²¹, 48X¹⁷, 40G¹³, 48D¹⁹, 96AC¹⁷, 48J⁵, 48AP⁷, 24D¹⁹, 16E²¹, 48E¹⁷, 80N¹⁵, 24AE⁹, 56M²¹, 80F⁷, 160R²¹, 144E¹⁹, 48G¹⁷, 56B¹⁶, 80X¹⁷, 192B¹⁸, 48AX¹⁹, 72E¹⁹, 112F²¹, 16O⁵, 128A⁹, 64D⁷, 80G²², 72R¹³, 192A²¹, 64B⁷, 56P¹¹, 72G¹⁹, 80M¹⁹, 24AP⁹, 48C⁵, 112F²³, 176A²¹, 32B¹⁷, 192K²³, 96BL²¹, 48K³, 56O¹¹, 96AL¹⁷, 24K¹³, 48CI²¹, 160B²¹, 112E¹², 48M¹⁹, 144C¹⁶, 144D¹⁷, 48F¹⁹, 256A¹⁹, 16D⁰, 48O⁹, 48AN⁹, 64K⁷, 80E¹³, 40A¹⁷, 72D¹⁶, 208E²³, 72D⁹, 128C¹⁵, 96D¹¹, 64O²¹, 112P²³, 72AC²¹, 128F¹⁵, 64D⁹, 24AA⁵, 24X¹⁷, 40B¹⁶, 24A²¹, 80F²², 16J³, 96I¹⁹, 8F¹, 96G⁹, 40L¹³, 112A¹³, 48R⁷, 48BZ²¹, 72K¹⁶, 96AZ²¹, 48Z¹³, 48CL¹⁷, 112C¹², 48H¹⁷, 80H¹⁵, 96A¹¹, 128B¹³, 24H¹⁷, 88B⁹, 88A¹⁰, 48D⁹, 32A⁶, 16H³, 96V²¹, 32O²¹, 48A⁹, 176A²⁰, 16B⁹, 64W¹³, 128G¹⁵, 192B²², 24W³, 48N¹⁹, 80A¹⁷, 72E⁹, 48I⁸, 72P¹⁶, 48B⁹, 48Q¹⁵, 96G¹⁹, 56O¹³, 96S²¹, 112R²³, 72J¹⁹, 24J⁷, 128A¹¹, 32M⁵, 24G¹⁵, 192A¹⁸, 48M⁸, 24E⁸, 48G⁹, 40C⁸, 72I⁹, 120D¹⁷, 224B²⁴, 144A¹⁷, 64D¹³, 48K⁸, 16D²¹, 128D²¹, 56C⁹, 128A¹⁹, 24D⁴, 80Y¹⁷, 96R¹⁹, 96J²¹, 144C¹⁹, 144B¹⁶, 80D²², 112F²⁴, 48C¹⁹, 128E¹⁵, 104K²³, 192B²³, 64B¹⁷, 112G²⁴, 24G²¹, 48V¹⁷, 48AL⁹, 48Z¹⁷, 80I¹⁵, 96E¹¹, 16A¹, 96R²¹, 96AH¹⁷, 32A¹⁷, 64A³, 56D⁵, 80E¹⁷, 160Q²¹, 96S¹⁷, 64C¹³, 96A¹⁷, 24Z⁵, 96T²¹, 96O²¹, 48Y⁷, 64E¹³, 48BP¹⁷, 32B⁵, 48J³, 80V¹⁷, 80W¹⁷, 112E²⁴, 192M²¹, 64F¹³, 128F²¹, 32A⁰, 48AO⁹, 96J¹⁷, 96BG²¹, 64A², 32L⁷, 16N⁵, 80F⁹, 96K¹⁷, 40B⁴, 96BM²¹, 112B¹³, 56B¹¹, 64F⁷, 64B⁵, 112T²³, 144H²¹, 16G¹, 144G¹⁹, 32C¹⁹, 224B²³, 96B⁸, 56R²³, 96BE²¹, 48CN¹⁷, 80R¹⁵, 80V¹⁵, 96AS²¹, 40D¹⁰</t>
        </is>
      </c>
    </row>
    <row r="47">
      <c r="A47">
        <f>HYPERLINK("https://mathstats.uncg.edu/sites/pauli/congruence/csg0.html#group8D0", "8D⁰")</f>
        <v/>
      </c>
      <c r="B47" t="n">
        <v>0</v>
      </c>
      <c r="C47" t="inlineStr"/>
      <c r="D47" t="inlineStr">
        <is>
          <t>12</t>
        </is>
      </c>
      <c r="E47" t="inlineStr">
        <is>
          <t>1</t>
        </is>
      </c>
      <c r="F47" t="inlineStr">
        <is>
          <t>6</t>
        </is>
      </c>
      <c r="G47" t="inlineStr">
        <is>
          <t>2</t>
        </is>
      </c>
      <c r="H47" t="inlineStr">
        <is>
          <t>0</t>
        </is>
      </c>
      <c r="I47" t="inlineStr">
        <is>
          <t>2², 8¹</t>
        </is>
      </c>
      <c r="J47" t="n">
        <v>3</v>
      </c>
      <c r="K47" t="inlineStr">
        <is>
          <t>1², 2²</t>
        </is>
      </c>
      <c r="L47" t="inlineStr">
        <is>
          <t>4C⁰</t>
        </is>
      </c>
      <c r="M47" t="inlineStr">
        <is>
          <t>8G⁰, 8H⁰, 16E⁰, 8C¹, 16C¹, 24C¹, 24I², 40H³, 40C⁴, 56C⁵, 56E⁶, 40I⁷, 88A⁹, 88C¹⁰, 104F¹¹, 136F¹⁵, 152B¹⁸, 72I²², 184B²²</t>
        </is>
      </c>
      <c r="N47" t="inlineStr">
        <is>
          <t>1A⁰, 2B⁰, 4C⁰</t>
        </is>
      </c>
      <c r="O47" t="inlineStr">
        <is>
          <t>24C¹⁰, 16F⁵, 56H²¹, 72I²², 16B¹⁹, 16A¹¹, 80M²¹, 80G¹⁷, 64Q²¹, 96A¹⁸, 48O⁸, 40X¹⁷, 16P³, 24M¹⁹, 96AU²¹, 96D²⁰, 88A⁹, 24O⁹, 96B²⁰, 40E¹⁰, 48AE²¹, 24R⁷, 48Z¹⁹, 64K¹³, 24K¹⁵, 48AG¹⁷, 48CF²¹, 96AJ²³, 48L¹³, 24AD¹⁷, 32U¹³, 24AO¹⁷, 48O¹⁸, 48E⁵, 48AD²¹, 48BW¹⁷, 48AM¹⁷, 64B¹⁸, 32G²¹, 96E²¹, 32C²¹, 32H¹¹, 96W¹⁷, 48I¹⁹, 48AH¹⁷, 16I³, 96M¹⁹, 48AZ¹⁹, 48CD²¹, 32K⁹, 112H²³, 40M⁷, 64G²¹, 80P¹⁹, 48AQ¹⁷, 16C¹, 48H¹⁶, 48AY¹⁹, 24AI⁹, 32B²⁴, 48AC¹³, 112B²⁴, 80N¹⁷, 24G¹⁹, 16E⁹, 72V¹⁵, 16D⁹, 40AP¹⁷, 40N⁹, 48U¹⁵, 56D²⁴, 32B²³, 16B⁷, 32D⁹, 24V¹³, 56A¹⁰, 40P⁹, 16A¹⁰, 48P¹⁹, 48AF²¹, 48AW¹⁹, 16B¹⁰, 48BR¹⁷, 80V¹⁹, 24D¹⁵, 24D¹⁷, 24X¹³, 48X¹⁵, 32L⁹, 48BV²¹, 48BO¹⁷, 16E³, 40E¹⁹, 32F⁵, 48AD¹⁹, 48T⁹, 40C¹⁶, 224E²⁴, 96C¹⁸, 16A¹⁹, 40O¹⁷, 40G¹⁹, 64A²¹, 64E²¹, 16C¹⁰, 40C¹⁵, 96BD²¹, 96E¹⁸, 96AD¹⁹, 48BZ¹⁷, 96A¹⁶, 72C¹⁰, 64A¹⁷, 72F¹², 96AA¹⁹, 24J⁵, 24E¹⁵, 24AC¹³, 56E⁶, 64P²¹, 64H²¹, 48H¹⁹, 64A¹¹, 24AF⁹, 160I¹⁷, 16G⁰, 32C²³, 96AD²³, 32F⁹, 48R⁸, 32N⁵, 48S¹⁹, 24W⁵, 48M¹⁸, 32R¹³, 72K¹⁵, 96X¹⁷, 48AH⁹, 24AP¹⁷, 32A¹⁰, 48AE¹⁷, 24P¹⁷, 120F¹³, 48A²³, 48CK²¹, 24L⁷, 48AK⁹, 96A¹⁹, 72C¹⁴, 168B²², 16C⁶, 96N¹⁷, 32H²³, 64L¹⁵, 16C⁹, 64V¹³, 48J¹¹, 96K²⁰, 8B², 48BT¹⁹, 32H²¹, 24R⁹, 56F¹⁶, 48T¹⁵, 32E²³, 32E²¹, 16C⁴, 48N¹⁸, 224D²⁴, 80T²¹, 48AS¹⁷, 96B¹⁹, 40AH¹⁵, 48O⁷, 40B⁸, 24Q³, 32D¹⁹, 80S¹⁹, 48AQ²¹, 48CC²¹, 48D¹⁷, 24AH⁷, 72Q¹⁷, 32B¹¹, 32J¹³, 96D¹⁷, 96F¹⁰, 24Q⁹, 96C¹⁷, 80M¹⁷, 168F²², 48BN²¹, 144C¹⁴, 80D⁸, 16M¹, 32A¹⁸, 80E²², 96G¹⁸, 112L²⁴, 16C³, 48AS²¹, 112J²⁴, 48I⁶, 16M³, 56B¹², 144D¹⁴, 56I²³, 48AL¹⁷, 80B¹⁷, 24L², 72D¹⁹, 32I³, 56A²³, 16C²¹, 104C²³, 96C²², 96Y¹⁷, 96D¹⁶, 16A⁵, 48AB¹³, 48AA⁷, 24H⁷, 48AM¹⁹, 80S²¹, 80AR¹⁷, 96AI²³, 32C⁹, 112D¹¹, 16K⁹, 96BC¹⁹, 72H¹³, 72H²¹, 80H²², 24F¹¹, 48V¹⁵, 16B¹⁷, 80A¹⁸, 56G¹⁵, 96O¹⁵, 64D¹⁴, 48CO²¹, 96A²², 48V²¹, 32P²¹, 16I⁹, 96C¹⁰, 56J²¹, 160C¹⁷, 32H⁹, 32C¹¹, 48F¹⁵, 96R¹⁷, 72G²¹, 88C¹⁹, 176C²⁰, 96BF²¹, 40Z¹⁷, 48K⁹, 32H⁵, 24J¹⁷, 40W¹⁵, 48Y¹⁵, 32G⁹, 16L², 24O¹⁵, 48O¹⁹, 48CH²¹, 32A²⁴, 48AX²¹, 16H⁹, 56D¹², 48C⁸, 32B⁹, 24C⁹, 32A¹³, 48CJ²¹, 48W¹⁵, 32K¹³, 112A²², 32A⁷, 16A⁴, 32E⁵, 112D¹⁴, 48AG¹³, 96B¹⁷, 24B¹⁶, 32A²¹, 24N¹¹, 16E⁷, 48CB²¹, 80AO¹⁷, 32Q³, 96AB¹⁹, 16A¹⁷, 160L¹⁷, 40C⁴, 80H¹³, 80I⁷, 24G¹¹, 56F¹³, 24AR¹⁷, 72D⁷, 16B²¹, 24AH¹⁷, 48D³, 16H¹, 96F¹⁸, 120L¹⁹, 72N¹³, 24P⁷, 48G¹⁹, 40AE¹⁵, 32C⁴, 88A²⁰, 16C², 32C²⁴, 8A³, 96A¹⁴, 48Q⁸, 24N¹⁷, 24AN¹⁷, 24G⁶, 80L¹⁵, 16B⁵, 16L³, 104C²¹, 48B¹⁹, 16I⁵, 72F¹⁷, 48AE¹⁹, 80U¹⁵, 16C¹³, 48X¹¹, 48BU¹⁷, 24AI⁷, 96H¹⁹, 96H²¹, 64C⁹, 40M¹³, 72F²¹, 48A¹⁰, 24O², 112H²⁴, 96A²¹, 16M⁵, 48P⁷, 40K¹³, 56D²³, 48B²⁰, 8H¹, 24D²¹, 24AI¹⁷, 48AL⁷, 48AZ²¹, 48J¹⁷, 16B¹³, 32Q⁹, 48N⁸, 40AF¹⁵, 32N⁹, 48F²¹, 48CE²¹, 24K⁷, 48E⁹, 96A²⁰, 24A¹⁹, 48BN¹⁷, 96E¹⁶, 48K¹⁷, 16E¹, 32A⁹, 200B²¹, 112I²³, 48Y¹¹, 48I¹⁸, 144I¹⁹, 40H¹³, 96AC²³, 32B², 32C¹⁰, 56E²², 168D¹⁶, 16F²¹, 16A⁹, 48BA¹⁹, 24C¹, 40N⁵, 48CN²¹, 48E¹³, 48I¹⁷, 64I²¹, 8B³, 24I¹¹, 24V³, 24F²¹, 48F⁸, 48O¹¹, 32M⁹, 16A²¹, 112K²³, 40A²², 8C², 80J⁷, 96D⁸, 24A¹⁶, 120A¹³, 24F¹⁹, 56M¹¹, 40B²², 56C¹⁰, 56N²³, 8G⁰, 40X¹⁵, 24U⁵, 32A⁵, 24AB⁷, 48U¹⁹, 64H⁹, 32I⁵, 96D²², 48R⁹, 48P¹⁸, 48G¹⁵, 40B²⁴, 24B¹⁷, 40AA¹⁷, 48H⁴, 24B⁸, 40F¹⁵, 32A¹², 48L¹⁹, 16C⁷, 48P⁸, 48B¹⁰, 48S¹⁵, 112G²³, 80L¹⁹, 56M²³, 48E²¹, 160J¹⁷, 48AB¹⁹, 40K¹⁷, 32B⁶, 32A¹⁹, 48C¹⁰, 32D²¹, 40N¹⁷, 32D²³, 80AK¹⁷, 64K¹⁵, 64B⁹, 24M¹⁵, 224C²⁴, 80I⁹, 96B¹⁶, 48AY²¹, 48AI¹⁷, 48D¹⁰, 40A⁸, 48AK¹⁷, 48CK¹⁷, 48CG²¹, 104F²³, 64U¹³, 16B⁴, 80F¹⁷, 24AJ⁹, 80I¹³, 144B¹⁵, 96F²⁰, 40M¹⁷, 8P⁰, 56J¹³, 32A¹¹, 96C²⁰, 96B²², 24AD⁷, 80AE¹⁷, 96L¹⁹, 24E¹⁰, 32K¹¹, 40K¹¹, 152B¹⁸, 48AL¹⁹, 48P¹⁷, 48AT²¹, 112E²³, 32J³, 48B²³, 56L²¹, 48S¹⁷, 24I², 48W¹¹, 32C⁶, 88E²¹, 24I⁹, 48E¹⁹, 8I¹, 96E¹⁹, 48Q²¹, 64D¹⁷, 96AL²³, 112H¹², 32B¹³, 48U⁷, 96D¹⁰, 24D⁶, 24E¹⁶, 48AU¹⁷, 176D²⁰, 32B¹⁸, 64F²¹, 32K⁷, 64C²¹, 64F⁹, 48A¹⁶, 24F¹⁷, 32I²¹, 48A¹⁹, 40N⁷, 48T¹⁸, 96AV²¹, 32E¹¹, 64C¹⁴, 32P¹³, 16D⁷, 48Q¹⁸, 112C¹¹, 80O¹⁵, 112A²⁴, 96I¹¹, 40W¹⁷, 16D², 176B¹⁹, 80U¹⁹, 40B⁹, 96BA²¹, 80AD¹⁷, 48U⁹, 48AF¹⁹, 24J²¹, 8H⁰, 48AK⁷, 48CM¹⁷, 48AB⁷, 104D²³, 80AQ¹⁷, 32B²², 96G²⁰, 32F²³, 96C⁸, 112F¹², 32B¹⁰, 48D⁸, 176C²², 48T¹⁷, 96O²⁰, 32H⁶, 16J⁵, 24L⁴, 64A¹⁹, 48D¹⁸, 88C¹⁰, 48AU¹⁹, 24P¹⁹, 144B²², 32M²¹, 48BS¹⁹, 80AM¹⁷, 72E²¹, 72C¹⁹, 96AD²¹, 48L²¹, 48BL²¹, 48D²², 24O³, 32C¹³, 144B²⁰, 48E¹⁵, 48Z¹¹, 56D¹¹, 48A²⁰, 48BX¹⁷, 56I¹³, 16Q³, 32F¹³, 32E⁹, 48CA²¹, 64B¹³, 80O¹⁹, 16B¹¹, 24AG¹⁷, 48AT¹⁷, 16H⁵, 88A¹⁸, 32D⁶, 24AM¹⁷, 48CJ¹⁷, 96J¹⁹, 64A²², 208H²³, 8A⁵, 16J⁹, 32F²¹, 48AF¹⁷, 144A²², 64A¹⁸, 96AW²¹, 96V¹⁷, 56C²⁴, 72D¹⁰, 24R¹⁵, 24Q¹⁹, 80C¹⁸, 80Z¹⁷, 56Q²³, 80C⁹, 96T¹⁷, 8O⁰, 112B²¹, 72M¹⁶, 96B²¹, 80O²¹, 96BD¹⁹, 72A¹⁶, 32B²¹, 144E¹⁵, 40AM¹⁷, 64B²¹, 80A¹⁶, 32D¹⁷, 136F¹⁵, 32T¹³, 64A¹⁴, 32E¹⁹, 96E¹⁰, 64D²¹, 48G¹³, 16D¹¹, 64B¹⁴, 120D¹³, 56C¹¹, 144D¹⁵, 24D⁸, 48X¹⁹, 112O²³, 8K¹, 48K¹³, 80Q¹⁹, 16G⁵, 32D²⁴, 32K³, 48T²¹, 48Z⁷, 24S¹⁷, 16K², 32E¹⁷, 64A¹³, 96F⁸, 160K¹⁷, 48AJ¹⁹, 48D¹⁹, 48AR²¹, 32L³, 80AP¹⁷, 160I¹⁹, 24D¹⁹, 48E¹⁷, 24AE⁹, 80N¹⁵, 16E²¹, 24I²¹, 96L²⁰, 24AC⁷, 56J²³, 48D⁶, 96N²⁰, 88B²¹, 24R¹³, 224F²⁴, 16E², 40P⁷, 32Y²¹, 48L¹⁸, 48AX¹⁹, 48E⁴, 80W¹⁹, 48S⁹, 16O⁵, 56D²², 72E¹⁴, 72R¹³, 80M¹⁹, 48Q¹⁷, 48E¹⁸, 32B¹⁷, 96H²⁰, 72D²⁰, 24N¹⁵, 24K¹³, 48CI²¹, 48AV¹⁹, 32K²¹, 96E¹⁷, 48M¹⁹, 16K³, 8C¹, 32G²³, 48F¹⁹, 24C¹⁶, 48F¹⁸, 32B¹², 80K¹⁵, 72M¹², 40A¹⁷, 160U²¹, 64K⁷, 96AZ¹⁹, 32P³, 160D¹⁷, 48C¹¹, 184B²², 64G⁹, 112P²³, 96U¹⁷, 40AB¹⁷, 16B⁶, 48Y¹⁹, 48Z⁸, 40B¹⁶, 32R⁹, 24A²¹, 96F¹⁷, 32D¹¹, 40I²¹, 80X¹⁹, 16J³, 8F¹, 32G⁵, 48AJ¹⁷, 48S¹⁸, 48U²¹, 64B²³, 88F²¹, 48BZ²¹, 48AP¹⁷, 24L¹⁹, 112G¹², 96AZ²¹, 112J²³, 32A²³, 24D¹⁶, 48CL¹⁷, 32W²¹, 48C²², 48AB¹¹, 40AT¹⁷, 48H¹⁷, 208G²³, 24K⁵, 48J¹⁵, 24H¹⁷, 32A⁶, 96O¹⁷, 16H³, 48W¹⁹, 32L²¹, 48A⁹, 48I¹⁶, 24AF¹⁷, 32C¹, 16B⁹, 72R¹⁷, 120D¹⁸, 16C¹¹, 48N¹⁹, 80A¹⁷, 24B⁵, 80AN¹⁷, 96AC²¹, 48AD⁹, 96AC¹⁹, 104I²³, 48G³, 40I⁷, 48AC⁷, 96C¹⁶, 40AL¹⁷, 32D¹, 24J⁷, 32F¹¹, 32M⁵, 16E⁰, 24Q¹⁵, 40C¹⁸, 64A²³, 40I¹⁵, 32Q¹³, 24P¹⁵, 40B²⁰, 96A²³, 64D¹³, 40H³, 96E²⁰, 16D²¹, 128D²¹, 144B¹⁴, 96AK²³, 80R¹⁹, 128A¹⁹, 144C¹⁵, 24D⁴, 48AG¹⁹, 80C¹⁹, 48I¹⁵, 48F¹³, 72I¹², 80G¹⁹, 48V¹⁹, 16A¹⁵, 48BA²¹, 112I²⁴, 48J⁴, 48C¹⁹, 40H²³, 48G¹⁶, 48AN¹⁷, 24G²¹, 40AO¹⁷, 56C⁵, 32A²², 48AK¹⁹, 16I¹, 32X²¹, 80AL¹⁷, 48AO¹⁷, 32A¹⁷, 16L⁹, 48C²³, 40S⁷, 48H¹³, 64C¹³, 160T²¹, 24Z⁵, 48J¹⁹, 32C¹², 48BP¹⁷, 32B⁵, 80W¹⁷, 128F²¹, 16F¹, 112K²⁴, 24E¹⁷, 48AC¹⁹, 32L⁷, 32J²¹, 16N⁵, 48T¹⁹, 24H¹¹, 48AA¹¹, 80J⁹, 48H¹⁵, 48D²³, 48AD¹³, 96E⁸, 72C⁶, 104F¹¹, 80B¹⁸, 48F¹⁶, 48BV¹⁷, 32I¹³, 72K²³, 32C¹⁹, 48BN¹⁹, 40D¹⁵, 48J⁶, 144A²⁰, 56R²³, 96M²⁰, 32G¹¹, 48CN¹⁷, 64B²², 48BM²¹, 16E⁵</t>
        </is>
      </c>
    </row>
    <row r="48">
      <c r="A48">
        <f>HYPERLINK("https://mathstats.uncg.edu/sites/pauli/congruence/csg0.html#group8E0", "8E⁰")</f>
        <v/>
      </c>
      <c r="B48" t="n">
        <v>0</v>
      </c>
      <c r="C48" t="inlineStr"/>
      <c r="D48" t="inlineStr">
        <is>
          <t>16</t>
        </is>
      </c>
      <c r="E48" t="inlineStr">
        <is>
          <t>1</t>
        </is>
      </c>
      <c r="F48" t="inlineStr">
        <is>
          <t>4</t>
        </is>
      </c>
      <c r="G48" t="inlineStr">
        <is>
          <t>0</t>
        </is>
      </c>
      <c r="H48" t="inlineStr">
        <is>
          <t>4</t>
        </is>
      </c>
      <c r="I48" t="inlineStr">
        <is>
          <t>8²</t>
        </is>
      </c>
      <c r="J48" t="n">
        <v>2</v>
      </c>
      <c r="K48" t="inlineStr">
        <is>
          <t>2²</t>
        </is>
      </c>
      <c r="L48" t="inlineStr">
        <is>
          <t>4D⁰, 8A⁰</t>
        </is>
      </c>
      <c r="M48" t="inlineStr">
        <is>
          <t>16F⁰, 8J¹, 8A², 24E², 24G³, 24A⁴, 40D⁴, 40B⁷, 56G⁷, 56B⁸, 40B¹¹, 88A¹², 88B¹⁵, 104B¹⁵, 136B²³, 152B²³</t>
        </is>
      </c>
      <c r="N48" t="inlineStr">
        <is>
          <t>8A⁰, 2A⁰, 1A⁰, 4A⁰, 4D⁰</t>
        </is>
      </c>
      <c r="O48" t="inlineStr">
        <is>
          <t>16A¹¹, 88B¹⁵, 72J¹¹, 24B⁷, 40C²¹, 112A¹⁶, 8J¹, 176A²⁴, 120B²³, 48A²², 48A¹⁵, 56T²³, 72B¹⁵, 16B¹³, 24B¹¹, 80A¹⁵, 72C²³, 24I¹⁹, 144B²⁴, 48I⁴, 16K⁵, 112B¹⁶, 24I¹³, 40B¹¹, 56N¹³, 16C⁹, 120A²⁰, 48K⁷, 144V²³, 24E², 112L¹⁵, 112K¹⁵, 16D²¹, 72Y²¹, 16A¹³, 48B²², 24D¹¹, 136B²³, 48B⁸, 8A⁵, 80B¹⁵, 48U¹³, 24H²¹, 80A²³, 24C¹¹, 16F⁰, 72A¹², 72D¹⁵, 72B¹³, 24C²¹, 24J¹¹, 24G²¹, 40A¹⁸, 24A¹⁰, 16D⁹, 48A⁸, 40D⁴, 8B³, 72Z²¹, 104B¹⁵, 24B²¹, 16B⁷, 32A²¹, 72L¹¹, 24D¹³, 32B²¹, 144A²⁴, 16A¹⁷, 72H²³, 48L⁷, 48B¹⁵, 40B¹⁸, 16B²¹, 72D¹³, 40B²¹, 120D²³, 120L²³, 24B¹³, 72N²¹, 80E⁸, 24A⁴, 24G³, 72B²³, 16A⁶, 120E¹⁸, 120A¹⁶, 56A¹⁵, 56G⁷, 8A², 152B²³, 80B²³, 144C²⁴, 40B⁷, 56B⁸, 88A¹², 24C¹⁹, 120D¹⁶, 144U²³, 40C¹³, 32S¹³, 32A¹⁹, 24Q⁵, 32D²¹, 40A¹⁴, 40B¹⁹, 24D¹⁹, 16E²¹</t>
        </is>
      </c>
    </row>
    <row r="49">
      <c r="A49">
        <f>HYPERLINK("https://mathstats.uncg.edu/sites/pauli/congruence/csg0.html#group8F0", "8F⁰")</f>
        <v/>
      </c>
      <c r="B49" t="n">
        <v>0</v>
      </c>
      <c r="C49" t="inlineStr"/>
      <c r="D49" t="inlineStr">
        <is>
          <t>16</t>
        </is>
      </c>
      <c r="E49" t="inlineStr">
        <is>
          <t>1</t>
        </is>
      </c>
      <c r="F49" t="inlineStr">
        <is>
          <t>16</t>
        </is>
      </c>
      <c r="G49" t="inlineStr">
        <is>
          <t>4</t>
        </is>
      </c>
      <c r="H49" t="inlineStr">
        <is>
          <t>1</t>
        </is>
      </c>
      <c r="I49" t="inlineStr">
        <is>
          <t>8²</t>
        </is>
      </c>
      <c r="J49" t="n">
        <v>2</v>
      </c>
      <c r="K49" t="inlineStr">
        <is>
          <t>4⁴</t>
        </is>
      </c>
      <c r="L49" t="inlineStr">
        <is>
          <t>4A⁰</t>
        </is>
      </c>
      <c r="M49" t="inlineStr">
        <is>
          <t>8M⁰, 8E¹, 8I¹, 24F¹, 16G², 24C⁴, 40D⁵, 40I⁵, 56H⁶, 56A⁹, 40A¹⁰, 88D¹¹, 88C¹⁵, 104C¹⁵, 136A²¹</t>
        </is>
      </c>
      <c r="N49" t="inlineStr">
        <is>
          <t>1A⁰, 4A⁰</t>
        </is>
      </c>
      <c r="O49" t="inlineStr">
        <is>
          <t>24L¹¹, 16F⁵, 16B¹⁹, 48A¹⁸, 64Q²¹, 24A⁶, 56D¹⁴, 24E¹³, 16K⁹, 40C²¹, 88A²⁴, 24L²¹, 72E⁷, 48B¹², 16H², 48AP⁹, 16L⁵, 16K⁵, 104C¹⁵, 72B²⁴, 24F¹³, 32P²¹, 16E¹¹, 80A²², 32C¹¹, 16A⁷, 56H⁶, 24M¹¹, 56A⁹, 40A¹⁰, 32G⁹, 40L²¹, 40B¹⁰, 120C¹⁷, 32K²¹, 48F¹⁸, 40I¹¹, 8I¹, 16H⁹, 56C¹⁷, 48CR²¹, 40AP¹⁷, 24AO⁹, 24S⁴, 40E²¹, 32B¹⁸, 24H¹³, 168C¹⁹, 24A²¹, 72A¹⁴, 32D¹¹, 56M¹³, 72B¹⁸, 16A¹⁷, 40K²¹, 48U²¹, 64B²³, 24D¹⁶, 16D⁷, 24AH¹⁷, 16B²¹, 24C¹³, 48AD¹⁹, 40I⁵, 24AM⁹, 16A¹⁹, 8A³, 40O¹⁷, 16C¹⁰, 40B²³, 24A²⁴, 24J²¹, 40V⁹, 32L²¹, 16L³, 16B⁹, 56C¹⁴, 120E¹⁶, 88B²⁴, 24AB³, 56I²¹, 64P²¹, 64H²¹, 72Q¹⁹, 32C²³, 32M²¹, 80D²³, 40A²³, 40K¹⁵, 40D²¹, 8E¹, 56D¹⁵, 8J¹, 32F¹¹, 56F¹⁴, 56A¹⁷, 32G⁶, 48M¹⁸, 40I¹⁹, 32A¹⁴, 16B¹³, 24L⁷, 24G¹³, 8M⁰, 16C⁶, 32N⁹, 40E¹³, 48E²³, 40H¹¹, 24A¹⁹, 48A¹², 120M¹⁷, 16A¹³, 24K²¹, 24AN⁹, 64I¹⁴, 40C¹¹, 40D⁵, 8A⁵, 48I¹⁵, 24F¹, 32F²¹, 16F²¹, 32E²³, 72A¹⁸, 16A⁹, 16A¹⁵, 32E²¹, 24C¹¹, 72E²³, 136A²¹, 72P¹⁹, 16C⁴, 24R¹⁵, 16G², 24I¹¹, 72V¹⁷, 32D¹⁹, 32M⁹, 16A²¹, 24A¹⁶, 8C², 24D¹³, 48AO¹⁷, 32J¹³, 72Z¹⁵, 16L⁹, 56N²³, 56E¹⁴, 24C⁷, 72D¹⁸, 32C¹², 72E¹⁵, 72R¹⁹, 32E¹⁹, 32A¹⁸, 72W²¹, 48F²³, 24T⁴, 24C⁴, 24AL⁹, 72E¹³, 40J²¹, 88C¹⁵, 72C¹⁸, 24O⁵, 40D¹³, 88D¹¹, 40M²¹, 24E⁷, 16C²¹, 48A¹⁷, 24M²¹, 24F⁷, 56D¹⁷, 32S¹³, 32D²³, 24I¹³</t>
        </is>
      </c>
    </row>
    <row r="50">
      <c r="A50">
        <f>HYPERLINK("https://mathstats.uncg.edu/sites/pauli/congruence/csg0.html#group8G0", "8G⁰")</f>
        <v/>
      </c>
      <c r="B50" t="n">
        <v>0</v>
      </c>
      <c r="C50" t="inlineStr">
        <is>
          <t>Γ₀(8)∩Γ(2)</t>
        </is>
      </c>
      <c r="D50" t="inlineStr">
        <is>
          <t>24</t>
        </is>
      </c>
      <c r="E50" t="inlineStr">
        <is>
          <t>1</t>
        </is>
      </c>
      <c r="F50" t="inlineStr">
        <is>
          <t>3</t>
        </is>
      </c>
      <c r="G50" t="inlineStr">
        <is>
          <t>0</t>
        </is>
      </c>
      <c r="H50" t="inlineStr">
        <is>
          <t>0</t>
        </is>
      </c>
      <c r="I50" t="inlineStr">
        <is>
          <t>2⁴, 8²</t>
        </is>
      </c>
      <c r="J50" t="n">
        <v>6</v>
      </c>
      <c r="K50" t="inlineStr">
        <is>
          <t>1³</t>
        </is>
      </c>
      <c r="L50" t="inlineStr">
        <is>
          <t>4E⁰, 8C⁰, 8D⁰</t>
        </is>
      </c>
      <c r="M50" t="inlineStr">
        <is>
          <t>8O⁰, 16G⁰, 8F¹, 16E¹, 16C², 24V³, 24D⁴, 40M⁷, 40A⁸, 56M¹¹, 56B¹², 40C¹⁵, 88C¹⁹, 88A²⁰, 104C²³</t>
        </is>
      </c>
      <c r="N50" t="inlineStr">
        <is>
          <t>2A⁰, 8D⁰, 4C⁰, 8C⁰, 4E⁰, 2B⁰, 4B⁰, 1A⁰, 2C⁰</t>
        </is>
      </c>
      <c r="O50" t="inlineStr">
        <is>
          <t>24AE⁹, 32C⁹, 16A¹¹, 96A¹⁸, 40X¹⁷, 40A⁸, 96BC¹⁹, 48CK¹⁷, 48CG²¹, 16B¹⁷, 80A¹⁸, 48AX¹⁹, 16O⁵, 48CF²¹, 96A²², 72R¹³, 80M¹⁹, 32A¹¹, 32U¹³, 24AO¹⁷, 32B¹⁷, 48F¹⁵, 88C¹⁹, 32G²¹, 96BF²¹, 96E²¹, 32C²¹, 48I¹⁹, 24J¹⁷, 40W¹⁵, 24K¹³, 16I³, 48CI²¹, 32J³, 48CD²¹, 48O¹⁹, 48M¹⁹, 56L²¹, 48CH²¹, 48W¹¹, 48F¹⁹, 40M⁷, 24I⁹, 48E¹⁹, 96E¹⁹, 48C⁸, 40A¹⁷, 112B²⁴, 32B⁹, 64K⁷, 24G¹⁹, 24C⁹, 32A¹³, 48Q²¹, 48CJ²¹, 64D¹⁷, 16E⁹, 32B¹³, 16D⁹, 112P²³, 48AG¹³, 56D²⁴, 64F²¹, 64C²¹, 32A²¹, 32D⁹, 24A²¹, 40B¹⁶, 16B⁷, 48CB²¹, 16J³, 8F¹, 24F¹⁷, 16A¹⁷, 48A¹⁹, 48P¹⁹, 48AW¹⁹, 48BZ²¹, 96AZ²¹, 24D¹⁵, 24AR¹⁷, 48CL¹⁷, 16B²¹, 80O¹⁵, 112A²⁴, 40W¹⁷, 48H¹⁷, 48G¹⁹, 96C¹⁸, 16C², 88A²⁰, 8A³, 96BA²¹, 64A²¹, 24H¹⁷, 64E²¹, 32A⁶, 40C¹⁵, 24AN¹⁷, 96BD²¹, 16H³, 48AK⁷, 48CM¹⁷, 48A⁹, 16B⁵, 16B⁹, 48B¹⁹, 64A¹⁷, 48D⁸, 48X¹¹, 16C¹³, 24E¹⁵, 24AC¹³, 64A¹¹, 48N¹⁹, 80A¹⁷, 48H¹⁹, 24AI⁷, 64A¹⁹, 24AF⁹, 16G⁰, 64C⁹, 48A¹⁰, 96H¹⁹, 96H²¹, 48D¹⁸, 96A²¹, 48BS¹⁹, 32N⁵, 16M⁵, 40K¹³, 72C¹⁹, 24J⁷, 48L²¹, 32M⁵, 32C¹³, 24D²¹, 24D¹⁹, 48E¹⁷, 48AL⁷, 48AH⁹, 24AP¹⁷, 48J¹⁷, 16B¹³, 48E¹⁵, 24P¹⁷, 48CK²¹, 48AK⁹, 96A¹⁹, 48F²¹, 32F¹³, 32E⁹, 48CA²¹, 64B¹³, 48CE²¹, 64D¹³, 16C⁹, 24A¹⁹, 64V¹³, 48E⁹, 48K¹⁷, 16E¹, 16D²¹, 32A⁹, 48CJ¹⁷, 128D²¹, 48BT¹⁹, 48I¹⁸, 32H²¹, 64B⁹, 128A¹⁹, 8A⁵, 24D⁴, 32F²¹, 32B², 16A⁹, 32E²¹, 56C²⁴, 48C¹⁹, 80Z¹⁷, 96B¹⁹, 56Q²³, 48I¹⁷, 24G²¹, 8O⁰, 8B³, 24V³, 24F²¹, 16A²¹, 96B²¹, 48CC²¹, 40A²², 48D¹⁷, 96BD¹⁹, 24AH⁷, 72A¹⁶, 32B¹¹, 32A¹⁷, 32B²¹, 24F¹⁹, 56M¹¹, 64B²¹, 80A¹⁶, 64C¹³, 32D¹⁷, 24Z⁵, 32T¹³, 48BP¹⁷, 32B⁵, 40X¹⁵, 80W¹⁷, 128F²¹, 32A⁵, 16M¹, 64D²¹, 32L⁷, 16N⁵, 24B¹⁷, 24D⁸, 112O²³, 8K¹, 24B⁸, 56B¹², 48L¹⁹, 16C⁷, 32K³, 72D¹⁹, 48B¹⁰, 24S¹⁷, 56A²³, 16K², 16C²¹, 104C²³, 32E¹⁷, 64A¹³, 96C²², 80L¹⁹, 32C¹⁹, 16A⁵, 48E²¹, 48D¹⁹, 56R²³, 48CN¹⁷, 32A¹⁹, 32D²¹, 80N¹⁵, 16E²¹</t>
        </is>
      </c>
    </row>
    <row r="51">
      <c r="A51">
        <f>HYPERLINK("https://mathstats.uncg.edu/sites/pauli/congruence/csg0.html#group8H0", "8H⁰")</f>
        <v/>
      </c>
      <c r="B51" t="n">
        <v>0</v>
      </c>
      <c r="C51" t="inlineStr"/>
      <c r="D51" t="inlineStr">
        <is>
          <t>24</t>
        </is>
      </c>
      <c r="E51" t="inlineStr">
        <is>
          <t>1</t>
        </is>
      </c>
      <c r="F51" t="inlineStr">
        <is>
          <t>6</t>
        </is>
      </c>
      <c r="G51" t="inlineStr">
        <is>
          <t>4</t>
        </is>
      </c>
      <c r="H51" t="inlineStr">
        <is>
          <t>0</t>
        </is>
      </c>
      <c r="I51" t="inlineStr">
        <is>
          <t>4², 8²</t>
        </is>
      </c>
      <c r="J51" t="n">
        <v>4</v>
      </c>
      <c r="K51" t="inlineStr">
        <is>
          <t>1², 2²</t>
        </is>
      </c>
      <c r="L51" t="inlineStr">
        <is>
          <t>4F⁰, 8B⁰, 8D⁰</t>
        </is>
      </c>
      <c r="M51" t="inlineStr">
        <is>
          <t>8P⁰, 8F¹, 8H¹, 8I¹, 16F¹, 16H¹, 16I¹, 16E², 24L², 16C³, 24J⁵, 40S⁷, 40B⁸, 56C¹⁰, 56I¹³, 40I¹⁵, 88A¹⁸, 88E²¹, 104I²³</t>
        </is>
      </c>
      <c r="N51" t="inlineStr">
        <is>
          <t>8D⁰, 4A⁰, 4C⁰, 8B⁰, 2B⁰, 4F⁰, 1A⁰</t>
        </is>
      </c>
      <c r="O51" t="inlineStr">
        <is>
          <t>16F⁵, 16A¹¹, 16B¹⁹, 80M²¹, 32D²³, 80G¹⁷, 64Q²¹, 40X¹⁷, 16P³, 48AK¹⁷, 64U¹³, 16B⁴, 48AE²¹, 80F¹⁷, 64K¹³, 24AJ⁹, 24R⁷, 48CF²¹, 8P⁰, 32A¹¹, 24AD¹⁷, 24AO¹⁷, 48O¹⁸, 80AE¹⁷, 96L¹⁹, 48E⁵, 48AD²¹, 32K¹¹, 48AM¹⁷, 48BW¹⁷, 64B¹⁸, 32C²¹, 48AL¹⁹, 48P¹⁷, 16I³, 96M¹⁹, 112E²³, 48AZ¹⁹, 48B²³, 48CD²¹, 32K⁹, 48S¹⁷, 112H²³, 32C⁶, 64G²¹, 88E²¹, 8I¹, 48AQ¹⁷, 48H¹⁶, 48AY¹⁹, 32B²⁴, 24G¹⁹, 48Q²¹, 96AL²³, 16E⁹, 48U⁷, 32B¹³, 16D⁹, 40AP¹⁷, 24D⁶, 24E¹⁶, 48AU¹⁷, 48U¹⁵, 32B¹⁸, 64F²¹, 32B²³, 16B⁷, 64F⁹, 24V¹³, 48A¹⁶, 24F¹⁷, 32I²¹, 48A¹⁹, 16A¹⁰, 48T¹⁸, 48AF²¹, 32E¹¹, 16B¹⁰, 48BR¹⁷, 64C¹⁴, 80V¹⁹, 24D¹⁷, 16D⁷, 24X¹³, 48Q¹⁸, 48X¹⁵, 32L⁹, 96I¹¹, 48BO¹⁷, 32F⁵, 48AD¹⁹, 40C¹⁶, 16A¹⁹, 80U¹⁹, 40O¹⁷, 80AD¹⁷, 16C¹⁰, 24J²¹, 48AB⁷, 96AD¹⁹, 80AQ¹⁷, 32B²², 48BZ¹⁷, 96G²⁰, 72F¹², 32B¹⁰, 48T¹⁷, 24J⁵, 96O²⁰, 32H⁶, 64P²¹, 64H²¹, 64A¹⁹, 24AF⁹, 16J⁵, 48AU¹⁹, 32C²³, 32F⁹, 32M²¹, 48R⁸, 72E²¹, 48L²¹, 48S¹⁹, 24W⁵, 32C¹³, 48M¹⁸, 32R¹³, 96X¹⁷, 24AP¹⁷, 48Z¹¹, 32A¹⁰, 48AE¹⁷, 24L⁷, 48BX¹⁷, 56I¹³, 16Q³, 16C⁶, 32F¹³, 16B¹¹, 96N¹⁷, 32H²³, 24AG¹⁷, 16C⁹, 48AT¹⁷, 88A¹⁸, 32D⁶, 96J¹⁹, 64A²², 8A⁵, 16J⁹, 32F²¹, 48T¹⁵, 32E²³, 48AF¹⁷, 64A¹⁸, 32E²¹, 16C⁴, 48N¹⁸, 24R¹⁵, 80C¹⁸, 48AS¹⁷, 48O⁷, 40B⁸, 112B²¹, 32D¹⁹, 80O²¹, 72Q¹⁷, 32J¹³, 32B²¹, 96D¹⁷, 40AM¹⁷, 32T¹³, 96C¹⁷, 64A¹⁴, 32E¹⁹, 32A¹⁸, 64D²¹, 48G¹³, 64B¹⁴, 16C³, 8K¹, 112L²⁴, 48AS²¹, 16M³, 48K¹³, 16G⁵, 48AL¹⁷, 56I²³, 80B¹⁷, 24L², 32D²⁴, 48T²¹, 16C²¹, 32E¹⁷, 96Y¹⁷, 48AJ¹⁹, 16A⁵, 48D¹⁹, 48AB¹³, 48AR²¹, 32L³, 48AM¹⁹, 24D¹⁹, 16E²¹, 80AR¹⁷, 96AI²³, 24AC⁷, 56J²³, 96N²⁰, 24R¹³, 16K⁹, 16E², 32Y²¹, 24F¹¹, 48V¹⁵, 16B¹⁷, 48L¹⁸, 16O⁵, 96O¹⁵, 64D¹⁴, 48CO²¹, 56D²², 48Q¹⁷, 48V²¹, 32P²¹, 16I⁹, 48E¹⁸, 56J²¹, 96H²⁰, 32C¹¹, 32H⁹, 96R¹⁷, 48K⁹, 32H⁵, 24N¹⁵, 24J¹⁷, 48Y¹⁵, 32G⁹, 16L², 48AV¹⁹, 24O¹⁵, 32K²¹, 96E¹⁷, 16K³, 32A²⁴, 32G²³, 24C¹⁶, 48F¹⁸, 48AX²¹, 32B¹², 16H⁹, 40A¹⁷, 32B⁹, 24C⁹, 32A¹³, 32P³, 48C¹¹, 48W¹⁵, 64G⁹, 32K¹³, 32A⁷, 32E⁵, 96B¹⁷, 24B¹⁶, 32A²¹, 32R⁹, 24A²¹, 32D¹¹, 96F¹⁷, 16E⁷, 48CB²¹, 32G⁵, 8F¹, 32Q³, 16A¹⁷, 48S¹⁸, 48U²¹, 64B²³, 48AP¹⁷, 32A²³, 112J²³, 24D¹⁶, 32W²¹, 16B²¹, 24AH¹⁷, 16H¹, 48G¹⁹, 40AE¹⁵, 8A³, 32C²⁴, 48J¹⁵, 96O¹⁷, 24AN¹⁷, 16H³, 24G⁶, 32L²¹, 16B⁵, 24AF¹⁷, 48I¹⁶, 16L³, 16B⁹, 48B¹⁹, 16I⁵, 48AE¹⁹, 16C¹³, 16C¹¹, 40M¹³, 72F²¹, 96AC¹⁹, 104I²³, 48AC⁷, 16M⁵, 48P⁷, 40AL¹⁷, 56D²³, 32F¹¹, 8H¹, 24D²¹, 24Q¹⁵, 40I¹⁵, 16B¹³, 32Q¹³, 24P¹⁵, 32Q⁹, 40AF¹⁵, 32N⁹, 48F²¹, 96A²³, 48CE²¹, 24K⁷, 48BN¹⁷, 24A¹⁹, 16D²¹, 32A⁹, 112I²³, 80C¹⁹, 48I¹⁵, 32C¹⁰, 16F²¹, 56E²², 16A⁹, 48BA¹⁹, 16A¹⁵, 48G¹⁶, 48AN¹⁷, 24G²¹, 40AO¹⁷, 8B³, 32A²², 24F²¹, 64I²¹, 48AK¹⁹, 16I¹, 48F⁸, 32M⁹, 16A²¹, 24I¹¹, 112K²³, 8C², 24A¹⁶, 32X²¹, 80AL¹⁷, 48AO¹⁷, 32A¹⁷, 24F¹⁹, 16L⁹, 48C²³, 40S⁷, 48H¹³, 40B²², 56C¹⁰, 56N²³, 32C¹², 24AB⁷, 16F¹, 64H⁹, 112K²⁴, 32I⁵, 32L⁷, 48AC¹⁹, 32J²¹, 48P¹⁸, 48T¹⁹, 24B¹⁷, 48AA¹¹, 40AA¹⁷, 48H¹⁵, 32A¹², 48S¹⁵, 48F¹⁶, 32I¹³, 56M²³, 48E²¹, 32G¹¹, 48AB¹⁹, 40N¹⁷, 32A¹⁹, 64B²², 32D²¹, 16E⁵, 80AK¹⁷, 24M¹⁵</t>
        </is>
      </c>
    </row>
    <row r="52">
      <c r="A52">
        <f>HYPERLINK("https://mathstats.uncg.edu/sites/pauli/congruence/csg0.html#group8I0", "8I⁰")</f>
        <v/>
      </c>
      <c r="B52" t="n">
        <v>0</v>
      </c>
      <c r="C52" t="inlineStr">
        <is>
          <t>Γ₁(8)</t>
        </is>
      </c>
      <c r="D52" t="inlineStr">
        <is>
          <t>24</t>
        </is>
      </c>
      <c r="E52" t="inlineStr">
        <is>
          <t>1</t>
        </is>
      </c>
      <c r="F52" t="inlineStr">
        <is>
          <t>12</t>
        </is>
      </c>
      <c r="G52" t="inlineStr">
        <is>
          <t>0</t>
        </is>
      </c>
      <c r="H52" t="inlineStr">
        <is>
          <t>0</t>
        </is>
      </c>
      <c r="I52" t="inlineStr">
        <is>
          <t>1², 2¹, 4¹, 8²</t>
        </is>
      </c>
      <c r="J52" t="n">
        <v>6</v>
      </c>
      <c r="K52" t="inlineStr">
        <is>
          <t>1⁴, 2², 4¹</t>
        </is>
      </c>
      <c r="L52" t="inlineStr">
        <is>
          <t>8C⁰</t>
        </is>
      </c>
      <c r="M52" t="inlineStr">
        <is>
          <t>8O⁰, 16H⁰, 16G¹, 24Y³, 24F⁴, 40V⁷, 40C⁸, 56P¹¹, 56G¹², 40M¹⁵, 88F¹⁹, 88B²⁰, 104L²³</t>
        </is>
      </c>
      <c r="N52" t="inlineStr">
        <is>
          <t>4B⁰, 1A⁰, 8C⁰, 2B⁰</t>
        </is>
      </c>
      <c r="O52" t="inlineStr">
        <is>
          <t>32C⁹, 56M²¹, 56U²³, 48C¹⁸, 72E¹⁶, 64H¹³, 48Q¹⁹, 16B¹⁷, 48H¹⁸, 56E²⁴, 16O⁵, 88B²⁰, 32D⁵, 128B¹⁷, 56P¹¹, 64K²¹, 32U¹³, 24AO¹⁷, 128B²¹, 56E²³, 32B¹⁷, 96BL²¹, 32G²¹, 96C²¹, 48AH¹³, 32C²¹, 48BR¹⁹, 48CM²¹, 64G¹³, 48AO⁷, 96AL¹⁷, 32O⁵, 96Q²¹, 48CI²¹, 48M¹⁹, 48O⁹, 48AN⁹, 128A²¹, 32C¹⁷, 64D¹⁷, 16E⁹, 64O²¹, 48AD¹⁷, 64D⁹, 56D²⁴, 48AP¹⁹, 24AA⁵, 32M³, 40B¹⁶, 64C²¹, 32D⁹, 40P¹³, 64C⁵, 64B¹⁹, 16J³, 48AA¹⁷, 16A¹⁷, 80C¹⁷, 112S²³, 96P¹⁹, 24AR¹⁷, 48CL¹⁷, 16B²¹, 32E¹, 88F¹⁹, 48H¹⁷, 24F⁴, 32C², 96K¹⁹, 64A²¹, 64B¹¹, 64E²¹, 96AK¹⁷, 32O²¹, 48CM¹⁷, 64A¹⁷, 64W¹³, 24F⁸, 48CL²¹, 16C¹³, 24E¹⁵, 24AJ⁷, 24AC¹³, 32I⁹, 32B¹⁹, 24AI⁷, 48D¹⁸, 96D²¹, 48I⁸, 48B⁹, 48Q¹⁵, 48BS¹⁹, 16M⁵, 32N⁵, 128A¹⁷, 72U¹³, 72J¹⁹, 32M⁷, 64D⁵, 48BT¹⁷, 64I¹³, 32M⁵, 16J², 48AC¹⁷, 96BE¹⁹, 32O³, 16B¹³, 128C²¹, 48CK²¹, 40C⁸, 32E⁹, 96C¹⁹, 64J¹³, 64V¹³, 48CO¹⁷, 24N¹³, 96BI²¹, 40AA¹⁵, 48I¹⁸, 48BT¹⁹, 32H²¹, 96BF¹⁹, 64J²¹, 8A⁵, 16N³, 48BQ¹⁹, 48AB¹⁷, 48CQ¹⁷, 32J⁹, 112F²⁴, 64N²¹, 48C¹⁹, 32N²¹, 24Y³, 72I¹⁹, 48P¹⁵, 64B¹⁷, 64A⁹, 8O⁰, 64C¹⁷, 80S¹⁵, 80T¹⁵, 48D¹⁷, 24H¹⁵, 96R²¹, 32A¹⁷, 32B¹¹, 80B¹⁶, 64B²¹, 16H⁰, 96A¹⁷, 32D¹⁷, 96Z¹⁹, 40D²², 32T¹³, 80AJ¹⁷, 64E¹³, 96B¹⁸, 48E⁸, 40X¹⁵, 64F¹³, 112E²⁴, 128E¹³, 16M¹, 48AO⁹, 24U⁷, 16N⁵, 40M¹⁵, 24B¹⁷, 96BK²¹, 8K¹, 80AI¹⁷, 24B⁸, 96K¹⁷, 56G¹², 16C⁷, 96D¹⁸, 48CP¹⁷, 96BM²¹, 24S¹⁷, 104L²³, 40V⁷, 16K², 128E²¹, 112T²³, 32E¹⁷, 32C⁵, 64E⁹, 16G¹, 32C¹⁹, 56R²³, 48AP⁷</t>
        </is>
      </c>
    </row>
    <row r="53">
      <c r="A53">
        <f>HYPERLINK("https://mathstats.uncg.edu/sites/pauli/congruence/csg0.html#group8J0", "8J⁰")</f>
        <v/>
      </c>
      <c r="B53" t="n">
        <v>0</v>
      </c>
      <c r="C53" t="inlineStr"/>
      <c r="D53" t="inlineStr">
        <is>
          <t>24</t>
        </is>
      </c>
      <c r="E53" t="inlineStr">
        <is>
          <t>1</t>
        </is>
      </c>
      <c r="F53" t="inlineStr">
        <is>
          <t>12</t>
        </is>
      </c>
      <c r="G53" t="inlineStr">
        <is>
          <t>0</t>
        </is>
      </c>
      <c r="H53" t="inlineStr">
        <is>
          <t>0</t>
        </is>
      </c>
      <c r="I53" t="inlineStr">
        <is>
          <t>2², 4³, 8¹</t>
        </is>
      </c>
      <c r="J53" t="n">
        <v>6</v>
      </c>
      <c r="K53" t="inlineStr">
        <is>
          <t>1⁸, 2²</t>
        </is>
      </c>
      <c r="L53" t="inlineStr">
        <is>
          <t>4E⁰</t>
        </is>
      </c>
      <c r="M53" t="inlineStr">
        <is>
          <t>8N⁰, 8O⁰, 8G¹, 24AA³, 24G⁴, 40X⁷, 40D⁸, 56R¹¹, 56I¹², 40O¹⁵, 88H¹⁹, 88C²⁰, 104N²³</t>
        </is>
      </c>
      <c r="N53" t="inlineStr">
        <is>
          <t>2A⁰, 2B⁰, 4E⁰, 4B⁰, 1A⁰, 2C⁰, 4C⁰</t>
        </is>
      </c>
      <c r="O53" t="inlineStr">
        <is>
          <t>32C⁹, 16A¹¹, 40R¹³, 48I²¹, 56G²⁴, 16B¹⁷, 48AH²¹, 16F⁹, 56N²¹, 24H⁸, 16O⁵, 24J⁸, 48J²¹, 32U¹³, 24AO¹⁷, 24W¹⁷, 8N⁰, 32B¹⁷, 24A⁸, 48BO¹⁹, 32G²¹, 32C²¹, 48B¹⁸, 24AG⁷, 48CI²¹, 32G¹³, 16G⁹, 48M¹⁹, 24I¹⁵, 40A¹⁶, 48G¹⁸, 16E⁹, 64D¹⁷, 16D⁹, 56I¹², 56D²⁴, 56F²³, 40B¹⁶, 24E²¹, 16B⁷, 56P²³, 32A²¹, 24AQ¹⁷, 48R¹⁹, 64C²¹, 32D⁹, 16J³, 16A¹⁷, 56B²⁴, 24AR¹⁷, 32R²¹, 48CL¹⁷, 16B²¹, 104N²³, 40G¹⁷, 56F²⁴, 48H¹⁷, 40AH¹⁷, 24U¹⁷, 88H¹⁹, 64A²¹, 40AB¹⁵, 64E²¹, 56W²³, 24AS¹⁷, 24W⁷, 48CM¹⁷, 24AL⁷, 24U⁹, 64A¹⁷, 32A¹⁹, 16C¹³, 24E¹⁵, 24AC¹³, 24AI⁷, 48D¹⁸, 24G⁴, 88C²⁰, 24AK⁷, 72G¹⁶, 16D⁵, 24AA³, 48BS¹⁹, 16M⁵, 32N⁵, 24AH⁹, 40V¹⁵, 32L¹³, 24AJ¹⁷, 32M⁵, 24Z¹⁷, 32E¹³, 16B¹³, 48BP¹⁹, 48CK²¹, 32E⁹, 48AR¹⁹, 16C⁹, 64V¹³, 40AD¹⁵, 16D²¹, 16O³, 40D⁸, 72M¹⁹, 48BT¹⁹, 24H¹⁹, 48I¹⁸, 32H²¹, 8A⁵, 48AL²¹, 24D⁹, 24J¹⁵, 32H¹³, 32M¹³, 32D¹³, 48C¹⁹, 56V²³, 24G²¹, 32Q²¹, 8O⁰, 8B³, 24AT¹⁷, 16C⁵, 48D¹⁷, 40X⁷, 48CP²¹, 24AB¹³, 32A¹⁷, 40AE¹⁷, 32B²¹, 32B¹¹, 64B²¹, 72W¹³, 32D¹⁷, 72N¹⁹, 32T¹³, 8G¹, 24B¹⁵, 40X¹⁵, 56R¹¹, 16M¹, 40E²², 16N⁵, 24V¹⁷, 24B¹⁷, 8K¹, 16I², 24B⁸, 24AB⁵, 16C⁷, 24S¹⁷, 16K², 32E¹⁷, 40O¹⁵, 32C¹⁹, 56R²³, 48CQ²¹, 24P¹³, 32D²¹, 24AK⁹, 24D¹⁹, 16E²¹</t>
        </is>
      </c>
    </row>
    <row r="54">
      <c r="A54">
        <f>HYPERLINK("https://mathstats.uncg.edu/sites/pauli/congruence/csg0.html#group8K0", "8K⁰")</f>
        <v/>
      </c>
      <c r="B54" t="n">
        <v>0</v>
      </c>
      <c r="C54" t="inlineStr"/>
      <c r="D54" t="inlineStr">
        <is>
          <t>24</t>
        </is>
      </c>
      <c r="E54" t="inlineStr">
        <is>
          <t>1</t>
        </is>
      </c>
      <c r="F54" t="inlineStr">
        <is>
          <t>12</t>
        </is>
      </c>
      <c r="G54" t="inlineStr">
        <is>
          <t>2</t>
        </is>
      </c>
      <c r="H54" t="inlineStr">
        <is>
          <t>0</t>
        </is>
      </c>
      <c r="I54" t="inlineStr">
        <is>
          <t>4⁴, 8¹</t>
        </is>
      </c>
      <c r="J54" t="n">
        <v>5</v>
      </c>
      <c r="K54" t="inlineStr">
        <is>
          <t>2², 4²</t>
        </is>
      </c>
      <c r="L54" t="inlineStr">
        <is>
          <t>4F⁰</t>
        </is>
      </c>
      <c r="M54" t="inlineStr">
        <is>
          <t>8N⁰, 8H¹, 16K¹, 16L¹, 8B², 24J³, 24R⁴, 40Z⁷, 40E⁸, 56G¹¹, 56L¹², 40Q¹⁵, 88A¹⁹, 88E²⁰, 104P²³</t>
        </is>
      </c>
      <c r="N54" t="inlineStr">
        <is>
          <t>2B⁰, 4F⁰, 1A⁰, 4A⁰, 4C⁰</t>
        </is>
      </c>
      <c r="O54" t="inlineStr">
        <is>
          <t>24C¹⁰, 16A¹¹, 16B¹⁹, 56J²³, 48C¹⁶, 16P³, 72F¹⁴, 24F¹¹, 16B¹⁷, 40E⁸, 112W²⁴, 48L¹⁸, 16B⁴, 48D¹⁶, 48AT¹⁹, 16O⁵, 56I²⁴, 16I⁹, 32P²¹, 24AO¹⁷, 48E¹⁸, 24W¹⁷, 8N⁰, 80L¹⁷, 48AM¹⁷, 24A⁸, 48BO¹⁹, 32C²¹, 48B¹⁸, 48BL¹⁷, 24AG⁷, 32H¹¹, 24U¹³, 48H⁸, 48V⁸, 80BB¹⁷, 48AV¹⁹, 72B²⁰, 72Y¹⁵, 48B²³, 32K⁹, 16K³, 40Q¹⁵, 48S¹⁷, 32A²⁴, 88A¹⁹, 40A¹⁶, 24C¹⁶, 64G²¹, 32B¹², 32G²³, 24R⁴, 48BJ¹⁷, 16H⁹, 32B²⁴, 48BI¹⁷, 48G¹⁸, 104P²³, 16E⁹, 88E²⁰, 16D⁹, 56G¹¹, 48K¹⁸, 16A⁴, 16B⁶, 40F¹⁹, 72A²⁰, 40AK¹⁷, 32B¹⁸, 32B²³, 24E²¹, 16B⁷, 32A²¹, 56P²³, 32R⁹, 32I²¹, 16A¹⁷, 16A¹⁰, 32E¹¹, 112Z²⁴, 16B¹⁰, 56B²⁴, 24G¹¹, 32A²³, 16D⁷, 48C²², 32P¹³, 32W²¹, 16B²¹, 24O¹⁹, 32L⁹, 40Z⁷, 48BO¹⁷, 16K¹, 40T¹³, 40F²², 16A¹⁹, 32C²⁴, 40G¹⁹, 16C¹⁰, 24J²¹, 80AY¹⁷, 24AF¹⁷, 32B²², 32F²³, 16I⁵, 32B¹⁰, 48T¹⁷, 16C¹³, 16C¹¹, 16J⁵, 48AU¹⁹, 24P¹⁹, 32F⁹, 32M²¹, 112X²⁴, 16M⁵, 24F⁶, 40V¹⁵, 80K¹⁷, 48B²⁰, 48BL²¹, 48S¹⁹, 24C¹⁵, 8H¹, 48D²², 32R¹³, 40C¹⁸, 48I¹⁰, 64A²³, 16B¹³, 48BP¹⁹, 48H¹⁰, 24P¹⁵, 32Q⁹, 48A²³, 48AS¹⁹, 48A²⁰, 16Q³, 16C⁶, 24AC¹⁷, 16B¹¹, 24K⁷, 16C⁹, 112Y²⁴, 48BN¹⁷, 16H⁵, 48E¹⁶, 16D²¹, 8B², 64A²², 24H¹⁹, 24W⁹, 16J⁹, 8A⁵, 24J³, 16F²¹, 32C¹⁰, 32E²³, 16A¹⁵, 24K⁸, 48J¹⁸, 24Q¹⁹, 48R¹⁸, 24G²¹, 80BA¹⁷, 8B³, 24AT¹⁷, 32A²², 32D¹⁹, 48AQ²¹, 56L¹², 8C², 24A¹⁶, 32X²¹, 48B¹⁶, 24AB¹³, 32A¹⁷, 80AZ¹⁷, 32B²¹, 24Y⁷, 48C²³, 56G²³, 40AM¹⁷, 32T¹³, 24B¹⁵, 40AC¹⁵, 32E¹⁹, 32A¹⁸, 32J²¹, 16D¹¹, 48BL¹⁹, 48T¹⁹, 24B¹⁷, 56C²², 8K¹, 16I², 48H¹⁵, 48D²³, 32A¹², 48U⁸, 32D²⁴, 48T²¹, 16L¹, 32E¹⁷, 32I¹³, 48BK¹⁷, 24AL¹⁷, 48AB¹⁹, 40N¹⁷, 48G⁸, 32A¹⁹, 64B²², 32D²¹, 16E⁵, 24D¹⁹, 16E²¹, 24I²¹</t>
        </is>
      </c>
    </row>
    <row r="55">
      <c r="A55">
        <f>HYPERLINK("https://mathstats.uncg.edu/sites/pauli/congruence/csg0.html#group8L0", "8L⁰")</f>
        <v/>
      </c>
      <c r="B55" t="n">
        <v>0</v>
      </c>
      <c r="C55" t="inlineStr"/>
      <c r="D55" t="inlineStr">
        <is>
          <t>24</t>
        </is>
      </c>
      <c r="E55" t="inlineStr">
        <is>
          <t>1</t>
        </is>
      </c>
      <c r="F55" t="inlineStr">
        <is>
          <t>12</t>
        </is>
      </c>
      <c r="G55" t="inlineStr">
        <is>
          <t>4</t>
        </is>
      </c>
      <c r="H55" t="inlineStr">
        <is>
          <t>0</t>
        </is>
      </c>
      <c r="I55" t="inlineStr">
        <is>
          <t>4², 8²</t>
        </is>
      </c>
      <c r="J55" t="n">
        <v>4</v>
      </c>
      <c r="K55" t="inlineStr">
        <is>
          <t>1⁴, 2², 4¹</t>
        </is>
      </c>
      <c r="L55" t="inlineStr">
        <is>
          <t>8B⁰</t>
        </is>
      </c>
      <c r="M55" t="inlineStr">
        <is>
          <t>8P⁰, 8G¹, 16J¹, 16F², 24M², 16F³, 24N⁵, 40AB⁷, 40F⁸, 56E¹⁰, 56L¹³, 40S¹⁵, 88B¹⁸, 88H²¹, 104R²³</t>
        </is>
      </c>
      <c r="N55" t="inlineStr">
        <is>
          <t>8B⁰, 1A⁰, 2B⁰, 4C⁰</t>
        </is>
      </c>
      <c r="O55" t="inlineStr">
        <is>
          <t>80AX¹⁷, 48P¹³, 16B¹⁹, 48BE¹⁹, 48I²¹, 32J⁵, 32S²¹, 112V²⁴, 48BK¹⁹, 32Y²¹, 16B¹⁷, 48AH²¹, 16F⁹, 48CA¹⁷, 48M¹⁵, 24AJ⁹, 48BF²¹, 16O⁵, 48CO²¹, 48J²¹, 24K⁶, 16R³, 8P⁰, 48V²¹, 32P²¹, 48CH¹⁷, 24AO¹⁷, 64H¹⁵, 32H⁹, 32K¹¹, 32N¹³, 48CD¹⁷, 64B¹⁸, 48K¹¹, 32C²¹, 32U²¹, 48L¹⁵, 16L², 96Z¹⁷, 32G¹³, 88B¹⁸, 16G⁹, 80AW¹⁷, 32E⁶, 112U²⁴, 16H⁹, 48BG¹⁷, 96S¹⁵, 56K²¹, 48CB¹⁷, 16E⁹, 48BH¹⁷, 88H²¹, 24Z¹³, 32K¹³, 64M¹³, 24D⁶, 80AE¹⁹, 32B¹⁸, 24B¹⁶, 24AQ¹⁷, 56G²², 48BG¹⁹, 48R¹⁹, 48A¹⁶, 48T¹³, 16E⁷, 24AA¹³, 16A¹⁷, 32J¹¹, 40V¹³, 72U¹⁷, 32I⁷, 56L¹³, 16D⁷, 24X¹³, 32R²¹, 64S¹³, 16B²¹, 40G¹⁷, 56F²², 48BU²¹, 24U¹⁷, 40C¹⁶, 16A¹⁹, 112S²⁴, 64I⁹, 64F¹⁴, 48J¹⁵, 24AS¹⁷, 16C¹⁰, 16J¹, 72K²¹, 48AE¹⁵, 24J²¹, 40F⁸, 64I¹⁵, 40AI¹⁵, 40S¹⁵, 24M², 64O¹³, 48AF¹³, 72L²¹, 16C¹³, 48AZ¹⁷, 96AE¹⁷, 48BF¹⁹, 80J¹⁷, 48AF¹⁵, 48AF⁷, 32T²¹, 32H⁶, 96AB¹⁷, 64N¹³, 16D⁵, 24AA⁷, 24N⁵, 32K⁵, 32M²¹, 16M⁵, 48BJ¹⁹, 96AA¹⁷, 24AH⁹, 64G¹⁴, 32L¹³, 80AB²¹, 24L¹⁷, 96H²³, 32N³, 64T¹³, 32E¹³, 80E¹⁸, 32Q¹³, 16B¹³, 32A¹⁰, 48X⁹, 96V²³, 64R¹³, 96J¹¹, 64L¹³, 48O¹³, 16C⁶, 40AF¹⁵, 80X²¹, 48AR¹⁹, 32H²³, 32I¹¹, 48AT¹⁷, 24Y¹³, 96I²⁰, 96Q²⁰, 56E¹⁰, 48CG¹⁷, 112D²¹, 16O³, 112T²⁴, 24Y⁵, 32O⁹, 40G²², 8A⁵, 48BD²¹, 48AL²¹, 48AD¹⁵, 24D⁹, 56H²³, 32H¹³, 16F²¹, 32E²³, 56E²², 48BG²¹, 16F², 16A¹⁵, 32M¹³, 16F³, 64A¹⁸, 32D¹³, 96W¹⁹, 64J¹⁵, 104R²³, 96J²⁰, 32Q²¹, 48AA⁸, 32L⁵, 64I²¹, 32F⁶, 16C⁵, 48X⁸, 32D¹⁹, 80AD¹⁹, 64E¹⁴, 24A¹⁶, 96H¹⁷, 48CP²¹, 32J⁷, 16S³, 8C², 40AE¹⁷, 32A¹⁷, 64P¹³, 96N²³, 32T¹³, 112N²³, 8G¹, 64H¹⁴, 32E¹⁹, 64M²¹, 80H¹⁹, 32H⁷, 64L²¹, 32A¹⁸, 24U¹⁵, 48AY¹⁷, 64G¹⁵, 48F⁵, 24V¹⁷, 24B¹⁷, 72J¹², 8K¹, 16M³, 96M²³, 16G⁵, 32O¹³, 96P²⁰, 96G¹⁷, 32P⁹, 48F¹⁶, 32E¹⁷, 48AJ¹⁹, 40AG¹⁷, 48CQ²¹, 32G¹¹, 96U²³, 32V²¹, 40AB⁷, 64Q¹³, 24M¹⁵</t>
        </is>
      </c>
    </row>
    <row r="56">
      <c r="A56">
        <f>HYPERLINK("https://mathstats.uncg.edu/sites/pauli/congruence/csg0.html#group8M0", "8M⁰")</f>
        <v/>
      </c>
      <c r="B56" t="n">
        <v>0</v>
      </c>
      <c r="C56" t="inlineStr"/>
      <c r="D56" t="inlineStr">
        <is>
          <t>32</t>
        </is>
      </c>
      <c r="E56" t="inlineStr">
        <is>
          <t>2</t>
        </is>
      </c>
      <c r="F56" t="inlineStr">
        <is>
          <t>16</t>
        </is>
      </c>
      <c r="G56" t="inlineStr">
        <is>
          <t>4</t>
        </is>
      </c>
      <c r="H56" t="inlineStr">
        <is>
          <t>2</t>
        </is>
      </c>
      <c r="I56" t="inlineStr">
        <is>
          <t>8⁴</t>
        </is>
      </c>
      <c r="J56" t="n">
        <v>4</v>
      </c>
      <c r="K56" t="inlineStr">
        <is>
          <t>4⁸</t>
        </is>
      </c>
      <c r="L56" t="inlineStr">
        <is>
          <t>8A⁰, 8F⁰</t>
        </is>
      </c>
      <c r="M56" t="inlineStr">
        <is>
          <t>8J¹, 8C², 16H², 24S⁴, 16L⁵, 24F⁷, 40B¹⁰, 40I¹¹, 56E¹⁴, 56F¹⁴, 56D¹⁷, 40E²¹, 88A²⁴, 88B²⁴</t>
        </is>
      </c>
      <c r="N56" t="inlineStr">
        <is>
          <t>8A⁰, 8F⁰, 1A⁰, 4A⁰</t>
        </is>
      </c>
      <c r="O56" t="inlineStr">
        <is>
          <t>24AO⁹, 24S⁴, 16B¹⁹, 40E²¹, 32D¹⁹, 32M²¹, 32B¹⁸, 8C², 24A¹⁶, 24D¹³, 40C²¹, 8J¹, 88A²⁴, 32G⁶, 56F¹⁴, 16A¹⁷, 48B¹², 56E¹⁴, 16H², 16B¹³, 16L⁵, 32E¹⁹, 16D⁷, 16B²¹, 32A¹⁸, 16C⁶, 16K⁵, 32P²¹, 80A²², 16E¹¹, 48E²³, 16A¹⁹, 48A¹², 16A¹³, 64I¹⁴, 16C¹⁰, 24M¹¹, 40B¹⁰, 40M²¹, 8A⁵, 24J²¹, 16F²¹, 32E²³, 72A¹⁸, 48A¹⁷, 40I¹¹, 24M²¹, 16A¹⁵, 24F⁷, 24C¹¹, 16H⁹, 88B²⁴, 56D¹⁷, 32S¹³, 24I¹³</t>
        </is>
      </c>
    </row>
    <row r="57">
      <c r="A57">
        <f>HYPERLINK("https://mathstats.uncg.edu/sites/pauli/congruence/csg0.html#group8N0", "8N⁰")</f>
        <v/>
      </c>
      <c r="B57" t="n">
        <v>0</v>
      </c>
      <c r="C57" t="inlineStr"/>
      <c r="D57" t="inlineStr">
        <is>
          <t>48</t>
        </is>
      </c>
      <c r="E57" t="inlineStr">
        <is>
          <t>1</t>
        </is>
      </c>
      <c r="F57" t="inlineStr">
        <is>
          <t>3</t>
        </is>
      </c>
      <c r="G57" t="inlineStr">
        <is>
          <t>0</t>
        </is>
      </c>
      <c r="H57" t="inlineStr">
        <is>
          <t>0</t>
        </is>
      </c>
      <c r="I57" t="inlineStr">
        <is>
          <t>4⁸, 8²</t>
        </is>
      </c>
      <c r="J57" t="n">
        <v>10</v>
      </c>
      <c r="K57" t="inlineStr">
        <is>
          <t>1³</t>
        </is>
      </c>
      <c r="L57" t="inlineStr">
        <is>
          <t>4G⁰, 8J⁰, 8K⁰</t>
        </is>
      </c>
      <c r="M57" t="inlineStr">
        <is>
          <t>8K¹, 16I², 8B³, 24AG⁷, 24A⁸, 40V¹⁵, 40A¹⁶, 56P²³, 56B²⁴</t>
        </is>
      </c>
      <c r="N57" t="inlineStr">
        <is>
          <t>2A⁰, 8K⁰, 4A⁰, 4D⁰, 4C⁰, 4G⁰, 2B⁰, 4E⁰, 1A⁰, 4F⁰, 4B⁰, 8J⁰, 2C⁰</t>
        </is>
      </c>
      <c r="O57" t="inlineStr">
        <is>
          <t>16D⁹, 8B³, 24AT¹⁷, 16A¹¹, 16M⁵, 24E²¹, 16B⁷, 40V¹⁵, 56P²³, 32A²¹, 24AB¹³, 32A¹⁷, 32B²¹, 16A¹⁷, 16B¹⁷, 24D¹⁹, 32T¹³, 16B¹³, 24B¹⁵, 56B²⁴, 16O⁵, 48BP¹⁹, 16B²¹, 16E⁹, 24AO¹⁷, 24W¹⁷, 16C⁹, 24B¹⁷, 24A⁸, 8K¹, 16D²¹, 16I², 48BO¹⁹, 32C²¹, 48B¹⁸, 24AG⁷, 24H¹⁹, 8A⁵, 32E¹⁷, 40A¹⁶, 16C¹³, 32A¹⁹, 48G¹⁸, 32D²¹, 24G²¹, 16E²¹</t>
        </is>
      </c>
    </row>
    <row r="58">
      <c r="A58">
        <f>HYPERLINK("https://mathstats.uncg.edu/sites/pauli/congruence/csg0.html#group8O0", "8O⁰")</f>
        <v/>
      </c>
      <c r="B58" t="n">
        <v>0</v>
      </c>
      <c r="C58" t="inlineStr">
        <is>
          <t>Γ₁(8)∩Γ(2)</t>
        </is>
      </c>
      <c r="D58" t="inlineStr">
        <is>
          <t>48</t>
        </is>
      </c>
      <c r="E58" t="inlineStr">
        <is>
          <t>1</t>
        </is>
      </c>
      <c r="F58" t="inlineStr">
        <is>
          <t>6</t>
        </is>
      </c>
      <c r="G58" t="inlineStr">
        <is>
          <t>0</t>
        </is>
      </c>
      <c r="H58" t="inlineStr">
        <is>
          <t>0</t>
        </is>
      </c>
      <c r="I58" t="inlineStr">
        <is>
          <t>2⁴, 4², 8⁴</t>
        </is>
      </c>
      <c r="J58" t="n">
        <v>10</v>
      </c>
      <c r="K58" t="inlineStr">
        <is>
          <t>1⁴, 2¹</t>
        </is>
      </c>
      <c r="L58" t="inlineStr">
        <is>
          <t>8G⁰, 8I⁰, 8J⁰</t>
        </is>
      </c>
      <c r="M58" t="inlineStr">
        <is>
          <t>8K¹, 16M¹, 16K², 16J³, 24AI⁷, 24B⁸, 40X¹⁵, 40B¹⁶, 56R²³, 56D²⁴</t>
        </is>
      </c>
      <c r="N58" t="inlineStr">
        <is>
          <t>2A⁰, 8G⁰, 8D⁰, 4C⁰, 1A⁰, 2B⁰, 4E⁰, 8I⁰, 8C⁰, 4B⁰, 8J⁰, 2C⁰</t>
        </is>
      </c>
      <c r="O58" t="inlineStr">
        <is>
          <t>32C⁹, 24AI⁷, 48BS¹⁹, 56D²⁴, 16M⁵, 32N⁵, 40B¹⁶, 48D¹⁷, 64C²¹, 32D⁹, 64D¹⁷, 32A¹⁷, 32B¹¹, 16J³, 32M⁵, 16A¹⁷, 16B¹⁷, 64B²¹, 32D¹⁷, 32T¹³, 16B¹³, 40X¹⁵, 16O⁵, 24AR¹⁷, 48CK²¹, 16B²¹, 16M¹, 16E⁹, 48CL¹⁷, 32E⁹, 32U¹³, 24AO¹⁷, 48H¹⁷, 32B¹⁷, 16N⁵, 64V¹³, 24B¹⁷, 8K¹, 32G²¹, 24B⁸, 32C²¹, 64A²¹, 48I¹⁸, 64E²¹, 32H²¹, 16C⁷, 48BT¹⁹, 16K², 8A⁵, 24S¹⁷, 48CI²¹, 48M¹⁹, 32E¹⁷, 48CM¹⁷, 32C¹⁹, 64A¹⁷, 56R²³, 48C¹⁹, 16C¹³, 24E¹⁵, 24AC¹³, 48D¹⁸</t>
        </is>
      </c>
    </row>
    <row r="59">
      <c r="A59">
        <f>HYPERLINK("https://mathstats.uncg.edu/sites/pauli/congruence/csg0.html#group8P0", "8P⁰")</f>
        <v/>
      </c>
      <c r="B59" t="n">
        <v>0</v>
      </c>
      <c r="C59" t="inlineStr"/>
      <c r="D59" t="inlineStr">
        <is>
          <t>48</t>
        </is>
      </c>
      <c r="E59" t="inlineStr">
        <is>
          <t>1</t>
        </is>
      </c>
      <c r="F59" t="inlineStr">
        <is>
          <t>12</t>
        </is>
      </c>
      <c r="G59" t="inlineStr">
        <is>
          <t>4</t>
        </is>
      </c>
      <c r="H59" t="inlineStr">
        <is>
          <t>0</t>
        </is>
      </c>
      <c r="I59" t="inlineStr">
        <is>
          <t>4⁴, 8⁴</t>
        </is>
      </c>
      <c r="J59" t="n">
        <v>8</v>
      </c>
      <c r="K59" t="inlineStr">
        <is>
          <t>2⁶</t>
        </is>
      </c>
      <c r="L59" t="inlineStr">
        <is>
          <t>8H⁰, 8L⁰</t>
        </is>
      </c>
      <c r="M59" t="inlineStr">
        <is>
          <t>8K¹, 8C², 16L², 16M³, 16G⁵, 24D⁶, 24AJ⁹, 40AF¹⁵, 40C¹⁶, 56E²²</t>
        </is>
      </c>
      <c r="N59" t="inlineStr">
        <is>
          <t>8H⁰, 8D⁰, 4A⁰, 4C⁰, 8B⁰, 8L⁰, 2B⁰, 4F⁰, 1A⁰</t>
        </is>
      </c>
      <c r="O59" t="inlineStr">
        <is>
          <t>32K¹³, 64I²¹, 24D⁶, 16B¹⁹, 32D¹⁹, 32M²¹, 16M⁵, 32B¹⁸, 24B¹⁶, 8C², 24A¹⁶, 48A¹⁶, 32A¹⁷, 16E⁷, 32Y²¹, 16A¹⁷, 16B¹⁷, 32T¹³, 24AJ⁹, 16B¹³, 32Q¹³, 16O⁵, 32E¹⁹, 32A¹⁰, 24X¹³, 48CO²¹, 16D⁷, 16B²¹, 32A¹⁸, 40AF¹⁵, 16C⁶, 48V²¹, 32P²¹, 24AO¹⁷, 32H²³, 40C¹⁶, 48AT¹⁷, 32H⁹, 24B¹⁷, 32K¹¹, 16A¹⁹, 8K¹, 64B¹⁸, 16M³, 48J¹⁵, 32C²¹, 16G⁵, 16C¹⁰, 16L², 8A⁵, 24J²¹, 48F¹⁶, 32E¹⁷, 16F²¹, 32E²³, 56E²², 64A¹⁸, 16A¹⁵, 48AJ¹⁹, 16H⁹, 32G¹¹, 16C¹³, 32H⁶, 16E⁹, 24M¹⁵</t>
        </is>
      </c>
    </row>
    <row r="60">
      <c r="A60">
        <f>HYPERLINK("https://mathstats.uncg.edu/sites/pauli/congruence/csg0.html#group9A0", "9A⁰")</f>
        <v/>
      </c>
      <c r="B60" t="n">
        <v>0</v>
      </c>
      <c r="C60" t="inlineStr"/>
      <c r="D60" t="inlineStr">
        <is>
          <t>9</t>
        </is>
      </c>
      <c r="E60" t="inlineStr">
        <is>
          <t>1</t>
        </is>
      </c>
      <c r="F60" t="inlineStr">
        <is>
          <t>9</t>
        </is>
      </c>
      <c r="G60" t="inlineStr">
        <is>
          <t>5</t>
        </is>
      </c>
      <c r="H60" t="inlineStr">
        <is>
          <t>0</t>
        </is>
      </c>
      <c r="I60" t="inlineStr">
        <is>
          <t>9¹</t>
        </is>
      </c>
      <c r="J60" t="n">
        <v>1</v>
      </c>
      <c r="K60" t="inlineStr">
        <is>
          <t>1¹, 2¹, 6¹</t>
        </is>
      </c>
      <c r="L60" t="inlineStr">
        <is>
          <t>3A⁰</t>
        </is>
      </c>
      <c r="M60" t="inlineStr">
        <is>
          <t>9D⁰, 9G⁰, 18A⁰, 9B¹, 18A¹, 18E¹, 36A¹, 18A², 45A², 63A², 45A³, 45E⁵, 99A⁵, 63A⁶, 117A⁸, 99A⁹, 153A¹¹, 171A¹⁵, 207A¹⁸, 261A²⁰, 279A²⁴</t>
        </is>
      </c>
      <c r="N60" t="inlineStr">
        <is>
          <t>3A⁰, 1A⁰</t>
        </is>
      </c>
      <c r="O60" t="inlineStr">
        <is>
          <t>225B²⁰, 45A²⁰, 36L⁸, 90D²⁰, 144B¹⁰, 72F¹⁴, 63A⁸, 36P¹⁰, 36I⁶, 72L¹⁴, 45D⁸, 36R¹⁹, 36C¹³, 288A²³, 54H²², 126A²², 90F¹⁰, 45F¹⁹, 126C¹⁷, 72P¹⁵, 72L¹⁷, 36E⁶, 126D¹², 36K⁵, 36C¹⁵, 72L¹⁶, 45B²¹, 36H¹⁶, 72R¹⁵, 45D¹⁷, 27A¹⁶, 72P²¹, 45A¹⁵, 90D¹², 90D²², 18A²², 90D¹⁴, 126E²¹, 18C¹⁰, 72V¹⁵, 144H²⁰, 18S⁴, 90M¹⁵, 72I¹⁶, 54A¹⁹, 90A⁹, 36K⁹, 27A⁸, 72F¹⁶, 54I²², 45E¹⁶, 18B¹⁰, 9B¹, 72I¹⁰, 126A²³, 36A²², 306A²³, 36A²³, 72H¹⁶, 63H²⁴, 234A²⁰, 36L⁴, 36F¹², 36D³, 72G¹¹, 126A¹⁶, 18B⁶, 90B¹⁶, 126A¹⁹, 72N¹⁴, 90A¹⁵, 252A²⁴, 18A², 36H⁵, 63C¹⁸, 180A²², 144I²², 36C²², 18D⁶, 36C⁵, 72X²¹, 72F¹², 72C⁸, 54J²², 72G¹⁷, 45B¹⁵, 36B²⁰, 90C²³, 45B⁹, 72A²⁴, 45F⁵, 27B²², 126E¹⁸, 90K²¹, 45A⁸, 90D¹⁸, 225D²⁰, 18K², 72K¹², 144D¹⁶, 36T¹⁰, 36D²¹, 72H¹¹, 180G²⁰, 72A⁴, 72K¹⁵, 90N²¹, 126A⁶, 72O¹⁶, 90C²², 144F²², 72C¹⁴, 225C²⁰, 90F¹⁹, 117A¹⁶, 72N¹¹, 126A¹⁸, 144B¹², 252G²⁴, 126B²³, 72A²³, 90C²⁴, 144Y²³, 36C²⁰, 180C¹³, 72M¹⁴, 72J¹⁶, 72AA²¹, 36D¹⁶, 18D¹⁶, 72A¹⁸, 72O¹², 36G¹¹, 36M⁵, 36G¹², 72E²³, 72P¹⁹, 36K¹⁹, 144E¹⁶, 54A¹¹, 54B¹⁹, 117A¹⁷, 45A², 63B¹⁸, 144C¹³, 72W¹⁹, 36E³, 27B³, 72C⁴, 18C⁷, 72F²³, 36N¹⁹, 144Q²³, 126H²¹, 144R²³, 90C²⁰, 144A²⁴, 90B⁸, 90E²², 72D¹⁸, 180E¹³, 144C¹⁴, 36Q¹³, 144D¹³, 315A²³, 45B¹⁶, 45N¹³, 18K⁷, 72F⁹, 144D¹⁴, 126D¹⁷, 18A¹⁶, 144T²³, 36A⁸, 234A¹⁹, 72C¹⁶, 63A¹¹, 45C⁴, 108B²⁰, 45E⁹, 180M²³, 18F⁷, 18A¹, 36O¹³, 72J¹², 45C¹⁴, 36J⁵, 72F¹⁰, 36C⁸, 36N¹⁰, 18E⁷, 144B¹³, 99A⁵, 90E¹⁰, 72P¹³, 234A¹⁶, 18R⁴, 180D¹³, 72H¹⁴, 72H¹³, 36A⁶, 36H⁶, 63I²⁴, 117A¹⁹, 144W²³, 288A²¹, 18A¹³, 126C²¹, 63A²⁰, 9F¹, 27A¹⁰, 63B¹⁰, 126F²¹, 18M⁷, 36O⁹, 63B¹⁶, 90L²¹, 198A²⁴, 36D⁷, 36F⁷, 90A²⁰, 36A¹¹, 144H¹⁶, 45A¹¹, 90D¹⁹, 9C⁴, 90C⁷, 63G²⁴, 54B²¹, 72E¹⁸, 144E¹⁰, 36D⁴, 36F⁸, 63A²³, 72W¹⁷, 54A²⁴, 36E⁸, 90N¹⁵, 36C¹¹, 18C¹⁶, 126C¹⁸, 18A⁵, 126B¹⁸, 45A¹⁴, 36R⁴, 45B²², 180A²⁴, 72K¹⁷, 198D¹⁸, 27A¹², 72D⁴, 153A²¹, 72D¹⁷, 9A², 90B¹³, 72J¹⁷, 45B⁷, 72B¹², 198B¹⁸, 72N¹³, 72J²², 72J⁸, 90B²², 90A⁶, 126A¹², 90B¹⁷, 90A²¹, 72E⁴, 99A¹⁹, 45B¹⁹, 36L¹³, 18E¹⁹, 90A⁵, 180J²¹, 306B²³, 126B²⁰, 144D¹⁸, 36B¹⁶, 36Q¹⁹, 72F¹⁷, 36I²², 72M¹⁵, 99A¹⁷, 36M¹⁹, 18A¹⁹, 99A¹⁵, 36N¹³, 153A¹¹, 45D⁶, 72F¹³, 126D²⁴, 90L¹⁵, 18A³, 36M¹⁵, 90A⁸, 18A¹⁸, 36G⁸, 180H²⁰, 18L², 45D¹⁰, 36P¹⁹, 144M²¹, 72I¹³, 72G²³, 126G²³, 54V¹⁶, 90F¹⁷, 144A⁸, 36D¹¹, 36J¹⁵, 72E⁸, 126G²¹, 36H³, 252B²⁴, 72B⁶, 45D¹⁶, 18A⁸, 72S¹⁷, 18L¹⁰, 72N¹⁵, 72K²², 72D⁶, 36A¹⁶, 90I¹¹, 72B⁷, 180I²¹, 9A⁴, 144G²⁰, 36C²¹, 36C², 126J¹³, 72B¹⁴, 36E¹³, 36H¹², 72B⁸, 90I²¹, 72U¹⁵, 36D¹⁵, 72B¹⁷, 72M¹¹, 45F¹², 198A¹⁸, 72H²³, 72Q²¹, 27C²², 72W¹⁵, 18T⁴, 18C¹⁹, 18E¹, 72S¹⁵, 144G¹⁶, 225A¹⁸, 54B¹¹, 45C¹⁸, 72Q¹⁵, 90A⁴, 72O¹¹, 27A¹¹, 72L¹², 72H⁸, 36I¹³, 72B⁴, 36J¹¹, 54A²¹, 63B⁹, 72M¹³, 126B²⁴, 126F¹⁴, 54A¹⁵, 45C¹⁹, 90A⁷, 54B²⁴, 126K¹³, 144C¹⁸, 18G², 45C¹⁷, 90J²¹, 225A²⁰, 90B²¹, 72E¹⁶, 72T¹⁵, 18B¹⁶, 36E¹⁶, 36B¹⁵, 36E⁷, 144B¹⁵, 72O¹⁴, 63B²⁴, 27H⁷, 36G⁷, 63D⁷, 36N¹⁵, 45A¹⁹, 18H¹, 18H¹⁶, 90F²⁰, 144D¹⁰, 36P⁴, 144A¹³, 90A²³, 36D⁸, 126A⁸, 90P¹⁷, 36A¹, 126C⁸, 180B²², 72G¹⁴, 27A¹³, 27F⁷, 36F¹⁵, 63E¹⁹, 144S²³, 198B¹¹, 36I¹⁶, 126E¹⁴, 126A⁷, 126D²¹, 36S¹³, 72B¹⁶, 63A¹⁷, 9B², 126A⁵, 45A²¹, 36G¹³, 63D²¹, 18L⁷, 72B¹⁸, 45D⁷, 144D²⁰, 36F⁶, 63B²², 27A²², 72K¹⁴, 63A¹⁶, 144E²⁰, 36F³, 126J¹², 144C¹⁷, 144A¹⁴, 180A¹³, 252C²⁴, 72N¹⁶, 36M⁸, 180N²³, 72I⁸, 72J¹⁵, 99A¹², 36O¹⁹, 90F¹⁵, 36M¹³, 72H²², 63D¹⁹, 36E¹², 18I², 90H¹⁷, 180C²², 36R¹³, 180B²⁴, 72R¹⁶, 90K¹⁷, 18I⁷, 99A⁹, 144F¹⁶, 18A⁰, 90D²³, 45C¹⁵, 144J²², 72K⁸, 72C¹⁷, 18D³, 279A²⁴, 36S¹⁹, 36A²¹, 36E⁵, 18B⁸, 54Q¹⁶, 63E²⁴, 63D²⁴, 198E²¹, 144B²⁴, 144B¹⁸, 45A¹⁸, 72Q¹⁶, 63F⁶, 72X¹⁵, 45E⁵, 9G⁰, 72R¹¹, 36B⁸, 90E¹⁷, 126A¹⁷, 36B¹⁸, 144X²³, 36C⁶, 72A¹², 36T¹⁹, 144E¹³, 72D⁸, 72G¹⁵, 72M¹⁶, 72V¹⁷, 72I¹⁷, 252D²⁴, 36P¹⁵, 45A⁶, 72G²², 63G⁶, 72A¹⁶, 72E¹⁰, 90E²⁰, 72H⁹, 180F¹³, 36A¹⁴, 126B⁵, 18D¹⁹, 36L¹⁵, 126C¹⁹, 63A²², 144B¹⁷, 72W²¹, 18J⁷, 153A²³, 144A¹⁸, 144D¹⁵, 36F¹¹, 18B⁴, 126B¹⁷, 99B¹⁵, 90K¹¹, 18M², 144C²⁰, 72A¹⁷, 180B¹³, 36O¹⁵, 72L¹³, 144A¹⁰, 126R²¹, 126Q²¹, 18D⁰, 234A²¹, 144C²², 126B¹⁹, 45D²³, 126B⁸, 72A⁹, 36B², 180F²⁰, 72E⁷, 18F¹⁶, 180A²¹, 72L¹⁵, 126F¹⁵, 72J¹⁴, 72E¹⁴, 90F²³, 18O⁴, 72C¹², 18E⁶, 54A¹³, 99B¹⁷, 36F²², 72D²⁰, 9E¹, 126B¹⁶, 90H²², 36P¹³, 18G¹⁶, 36B¹⁴, 144C¹⁶, 36C⁷, 36G¹⁶, 90G⁹, 18A⁶, 144N²¹, 126D¹⁸, 72M¹², 36C¹⁶, 18B¹³, 36D²², 72D¹⁶, 18A⁷, 315A²⁴, 90K¹⁵, 72E¹¹, 261A²⁰, 198A¹¹, 36A¹⁵, 63E⁶, 90A¹², 90A¹⁷, 252A¹⁴, 36E⁴, 72D¹⁴, 207A¹⁸, 45G¹⁹, 45E¹⁹, 63B¹⁴, 72E⁶, 126H²³, 72K¹⁶, 18A⁴, 9G¹, 180B²¹, 126A¹¹, 90G²², 72F²⁰, 90J¹⁹, 90G²⁰, 117A²², 45A⁷, 72A⁵, 18B⁷, 117A¹⁸, 72B²³, 117A⁸, 36A²⁰, 9A¹⁰, 72O¹⁵, 90I¹⁷, 63D⁹, 198A¹⁴, 18C³, 36H²², 63A²¹, 90J¹⁷, 90A²⁴, 144J¹⁹, 72G¹³, 90G¹⁴, 117A²⁰, 72G¹², 126H¹², 45A³, 153B²³, 36K¹⁵, 72G¹⁶, 72P¹⁶, 36I¹⁵, 54D⁸, 198A¹⁷, 63A², 90I¹⁹, 45J¹³, 144A¹⁷, 90H¹⁹, 126A²¹, 36D², 36F¹³, 126E²⁴, 63A⁶, 18L⁴, 18C¹³, 18G⁷, 72S¹⁶, 180D²², 18B¹⁹, 54A⁷, 144B¹⁴, 144C¹⁵, 18H¹³, 90M²¹, 72E²⁰, 36L⁷, 90C¹⁸, 144B¹⁶, 9D⁰, 63A¹⁵, 18J³, 54K²², 63F²⁴, 144F¹³, 90E¹⁵, 90B²³, 63B²³, 72H¹⁷, 171A¹⁵, 90B⁶, 27G⁷, 27E¹⁹, 144F²⁰, 90D¹⁰, 36H¹³, 72F¹⁵, 36A¹⁸, 90B²⁴, 72N¹², 72Z¹⁵, 72O¹³, 234A¹⁷, 90E¹³, 36E¹⁵, 36E²², 90H¹¹, 90D¹⁷, 72F¹¹, 63A⁹, 234A¹⁸, 90A²², 144C¹⁰, 72C¹⁸, 72S²¹, 18E³, 72E¹⁷, 72C⁶, 126B¹², 36J²², 9B⁴, 18F¹³, 126C²⁴, 144C²⁴, 126A²⁰, 63C¹¹, 90G¹¹, 72G⁹, 27B¹⁶</t>
        </is>
      </c>
    </row>
    <row r="61">
      <c r="A61">
        <f>HYPERLINK("https://mathstats.uncg.edu/sites/pauli/congruence/csg0.html#group9B0", "9B⁰")</f>
        <v/>
      </c>
      <c r="B61" t="n">
        <v>0</v>
      </c>
      <c r="C61" t="inlineStr">
        <is>
          <t>Γ₀(9)</t>
        </is>
      </c>
      <c r="D61" t="inlineStr">
        <is>
          <t>12</t>
        </is>
      </c>
      <c r="E61" t="inlineStr">
        <is>
          <t>1</t>
        </is>
      </c>
      <c r="F61" t="inlineStr">
        <is>
          <t>4</t>
        </is>
      </c>
      <c r="G61" t="inlineStr">
        <is>
          <t>0</t>
        </is>
      </c>
      <c r="H61" t="inlineStr">
        <is>
          <t>0</t>
        </is>
      </c>
      <c r="I61" t="inlineStr">
        <is>
          <t>1³, 9¹</t>
        </is>
      </c>
      <c r="J61" t="n">
        <v>4</v>
      </c>
      <c r="K61" t="inlineStr">
        <is>
          <t>1², 2¹</t>
        </is>
      </c>
      <c r="L61" t="inlineStr">
        <is>
          <t>3B⁰</t>
        </is>
      </c>
      <c r="M61" t="inlineStr">
        <is>
          <t>9I⁰, 18E⁰, 27A⁰, 9C¹, 18C¹, 27A¹, 27A², 36B³, 45D³, 45A⁴, 63A⁵, 63B⁶, 45C⁷, 99C⁹, 99A¹⁰, 117A¹¹, 153A¹⁵, 171A¹⁷, 207A²¹</t>
        </is>
      </c>
      <c r="N61" t="inlineStr">
        <is>
          <t>3B⁰, 1A⁰</t>
        </is>
      </c>
      <c r="O61" t="inlineStr">
        <is>
          <t>27B¹⁰, 27A¹⁹, 63E⁹, 135C¹³, 36H¹⁰, 18B¹⁶, 189A¹⁹, 108C⁹, 36I⁷, 126B¹³, 36L²², 72A⁷, 135B¹⁵, 27A¹, 18C¹, 189A²⁰, 45C¹³, 81A⁷, 45A⁴, 36B³, 198C²¹, 45O¹³, 18I³, 54D¹⁰, 54E⁴, 90B⁹, 90O²¹, 216C²², 144H¹³, 27C⁴, 135B¹⁴, 189B²¹, 18E¹⁰, 108A¹⁹, 18J¹, 126E¹³, 63G¹⁷, 144I¹³, 126A¹³, 18E⁰, 81A¹⁹, 54B³, 153A¹⁵, 36Q⁹, 9C¹, 54A¹⁰, 54B⁷, 108C¹¹, 162A¹³, 27A⁷, 54E¹⁰, 180A¹⁹, 72C²², 180D²¹, 90J¹¹, 72U¹⁷, 216A²², 36K²², 135E¹³, 81A¹⁰, 72N¹⁷, 27A²², 108C¹⁹, 9I⁰, 162A¹⁶, 72C⁹, 243A¹⁶, 108D¹⁷, 63C²¹, 72S¹³, 108D¹⁰, 45H¹³, 27C¹⁶, 36G¹⁷, 63D¹⁸, 63A⁵, 189B¹⁷, 144J²¹, 216B²¹, 162B¹⁶, 162D¹⁶, 36T¹³, 81B²², 180G²¹, 144D²¹, 108G¹⁷, 117A²¹, 63B⁶, 18G¹³, 45B¹², 144C²¹, 72B⁹, 45C¹², 135A²³, 81D²², 72C⁷, 54H¹³, 90D⁹, 36D¹⁷, 108F²², 180H²¹, 36M⁹, 54Q¹³, 108E¹⁷, 90L¹⁷, 54B⁶, 54T¹⁶, 45D³, 54A¹⁶, 36D¹³, 54K¹³, 72Y¹⁷, 108C²¹, 90E²³, 162E¹⁶, 81A¹⁶, 144A²¹, 54C¹³, 45B¹⁰, 162A²², 72Q¹⁷, 108E²¹, 144E¹⁵, 45G⁹, 18G⁴, 54B¹⁰, 81B¹⁶, 72W¹³, 135B¹¹, 144G¹³, 171A¹⁷, 36C¹⁰, 36Q¹⁰, 45D¹², 126D¹³, 108F¹⁷, 27A⁴, 225A¹⁹, 189E¹⁹, 144L²¹, 36E¹⁹, 36K¹¹, 63N¹⁹, 126F¹⁸, 54E²², 72A¹³, 144E¹⁷, 18F¹⁰, 54R¹⁶, 126J¹⁷, 27A², 27C¹, 18M¹⁰, 63E¹⁷, 207A²¹, 108A⁹, 9H¹, 54K¹⁶, 162C¹⁶, 45K¹³, 108A⁷, 144J¹³, 36B⁹, 18E⁴, 72R¹³, 36F⁵, 63C¹⁶, 54I¹³, 216A²¹, 72M¹⁷, 72Y¹⁵, 45H¹⁹, 108A²¹, 216A²³, 108A¹⁰, 18O⁷, 72R²¹, 144D¹⁷, 108F¹⁰, 54B¹³, 72O¹⁹, 36K³, 99C⁹, 54A⁴, 162B¹³, 189D²¹, 72Q¹³, 54B⁵, 72AC²¹, 54A²², 54B², 144I²¹, 108E¹¹, 135A¹³, 72T¹³, 72A³, 36U¹³, 108A¹¹, 189A¹⁷, 72B⁵, 54M¹³, 72D⁷, 180C²¹, 36G³, 108B¹³, 36L⁵, 90Q¹⁷, 90E⁹, 72V¹³, 108B⁹, 9A¹⁰, 27D¹⁶, 54D¹³, 36J¹⁷, 81B⁷, 27B¹⁹, 72R¹⁷, 81A¹³, 54C⁴, 36C¹, 18M⁴, 162B²², 36J³, 189C¹⁹, 108A¹⁵, 99C¹⁷, 63E¹³, 36F⁹, 63C¹⁹, 135A¹², 27B¹³, 72U¹³, 45C⁷, 36H⁷, 36A³, 18I¹⁰, 243A²², 144A¹⁵, 99A¹⁰, 27A⁰, 45G¹¹, 90C¹², 72I⁹, 63D¹¹, 198B²¹, 63I¹⁹, 54S¹⁶, 18C¹³, 18D¹⁰, 36G¹⁹, 144I¹⁹, 81B¹⁹, 27C¹³, 18G³, 81A²², 54A³, 72L²², 54F¹³, 72B¹³, 135A¹⁴, 27B⁴, 117A¹¹, 54G¹³, 27E¹⁹, 45B²³, 36L¹⁷, 45F²¹, 81A⁴, 36F²¹, 198A²¹, 90R¹⁷, 54J¹³, 90M¹⁷, 81E¹⁹, 81C¹⁹, 54H¹⁰, 108B¹⁰, 216A¹⁷, 189A¹⁸, 18Q², 54H¹⁶, 54L¹³, 135B¹², 27D⁷, 144K²¹, 54I¹⁰, 72T¹⁷, 36O⁷, 36H⁹, 72E¹³, 135A²¹, 36E¹⁰, 54G¹⁶, 54R¹³, 54A⁵, 108A¹³, 180B¹⁹, 243A¹⁹, 63F¹⁷, 9B⁴, 108E²², 45H⁵, 144B²¹, 108B¹¹, 27B¹⁶, 54E¹³</t>
        </is>
      </c>
    </row>
    <row r="62">
      <c r="A62">
        <f>HYPERLINK("https://mathstats.uncg.edu/sites/pauli/congruence/csg0.html#group9C0", "9C⁰")</f>
        <v/>
      </c>
      <c r="B62" t="n">
        <v>0</v>
      </c>
      <c r="C62" t="inlineStr"/>
      <c r="D62" t="inlineStr">
        <is>
          <t>12</t>
        </is>
      </c>
      <c r="E62" t="inlineStr">
        <is>
          <t>1</t>
        </is>
      </c>
      <c r="F62" t="inlineStr">
        <is>
          <t>4</t>
        </is>
      </c>
      <c r="G62" t="inlineStr">
        <is>
          <t>0</t>
        </is>
      </c>
      <c r="H62" t="inlineStr">
        <is>
          <t>3</t>
        </is>
      </c>
      <c r="I62" t="inlineStr">
        <is>
          <t>3¹, 9¹</t>
        </is>
      </c>
      <c r="J62" t="n">
        <v>2</v>
      </c>
      <c r="K62" t="inlineStr">
        <is>
          <t>1², 2¹</t>
        </is>
      </c>
      <c r="L62" t="inlineStr">
        <is>
          <t>3B⁰</t>
        </is>
      </c>
      <c r="M62" t="inlineStr">
        <is>
          <t>9J⁰, 18B⁰, 9C¹, 27B¹, 18D², 27B², 27A³, 36C³, 45B³, 45C⁵, 63B⁵, 63C⁶, 45B⁸, 99B⁹, 99B¹¹, 117B¹¹, 153A¹⁷, 171B¹⁷, 207A²³</t>
        </is>
      </c>
      <c r="N62" t="inlineStr">
        <is>
          <t>3B⁰, 1A⁰</t>
        </is>
      </c>
      <c r="O62" t="inlineStr">
        <is>
          <t>27B¹⁰, 27A¹⁹, 90K²², 54B²², 36J¹⁰, 36H¹⁰, 189B²⁰, 9A³, 18D², 54P¹³, 18B¹⁶, 108B¹², 36L²², 63C⁶, 63A¹⁹, 18N², 36F¹⁶, 54D²², 45C¹³, 90E²¹, 72A⁶, 108C¹⁶, 27C⁴, 144V²³, 18B⁰, 18E¹⁰, 135D¹³, 54C¹⁰, 36J¹³, 27A¹⁸, 9C¹, 63G¹⁹, 108C¹⁰, 27A⁷, 90G¹⁵, 126J²³, 72A²⁰, 180A¹⁸, 117B²¹, 36A⁵, 63F¹⁶, 72C²², 126S²¹, 189A²¹, 36K²², 27A²², 36A¹⁹, 171B¹⁷, 108B¹⁶, 90J²², 72C²⁰, 18G¹⁰, 270B²⁴, 72A²¹, 252F²⁴, 252A²³, 135C¹⁷, 36H⁸, 72C¹⁰, 90C⁶, 36R¹⁰, 126B¹¹, 18P⁷, 54A⁸, 18C⁴, 252B²³, 45B¹¹, 72J¹¹, 153A¹⁷, 72E²¹, 27B¹, 63B⁵, 72C¹⁹, 108C²², 180K²³, 18G¹³, 54D¹⁶, 90I²⁴, 108A¹⁶, 27B², 36M²², 72M²², 234B²³, 45C⁹, 144A²³, 72C¹¹, 90C²¹, 54T¹⁶, 72M¹⁹, 54A¹⁶, 36D¹³, 189B¹⁹, 72I¹¹, 189C²⁰, 36C³, 18P⁴, 27C¹⁹, 90A¹⁴, 144A²², 54B¹⁶, 108B⁸, 72I¹⁹, 81A¹⁶, 135C¹², 45E¹⁷, 90H²⁴, 144E²³, 72I²¹, 108E¹⁰, 90A¹¹, 90N¹⁷, 135A¹⁷, 18B¹¹, 63E¹¹, 180C²³, 234A²³, 135A¹⁵, 117B¹¹, 189A²³, 216B²², 63K¹⁷, 126F¹², 36I⁹, 36A⁰, 36C¹⁰, 108B²², 36Q¹⁰, 135A¹¹, 198C²³, 18K¹, 99B⁹, 189C²¹, 54I¹⁶, 36F⁴, 108A⁴, 108D¹¹, 54J¹⁶, 36F¹⁷, 99A²¹, 144G²¹, 90G²⁴, 18E¹⁶, 36E¹⁹, 180I²³, 108B¹⁹, 180A¹², 54E²², 18A¹¹, 18F¹⁰, 27B⁷, 63E¹⁸, 18M¹⁰, 54G¹⁰, 54A⁶, 9H¹, 144E¹⁹, 54K¹⁶, 45K¹³, 270A²⁴, 144O²³, 27E¹⁶, 72E¹⁹, 45D¹¹, 54B⁸, 18E⁴, 72C²¹, 27B¹⁸, 72G¹⁹, 36A¹⁷, 72K¹⁹, 144A¹⁹, 9J⁰, 72A¹⁹, 72G²¹, 72A¹⁰, 126J²¹, 54I¹³, 72Y²¹, 27A⁶, 99B¹¹, 189E²¹, 54N¹³, 144I²³, 108A²², 144M²³, 36P²², 54F¹⁰, 207A²³, 36A¹⁰, 54F²², 63A²⁴, 72D⁹, 54A²², 252E²⁴, 27C⁷, 72A¹⁴, 54A², 270A²², 45C⁵, 27D¹⁹, 90I²², 144K²³, 54C⁸, 36K⁶, 108C¹⁷, 72O¹⁷, 54B⁴, 90F²⁴, 72A²², 90D²⁴, 54O¹³, 72K²¹, 36J⁶, 36C⁹, 9A¹⁰, 36S⁴, 144E²¹, 45C¹¹, 216A²⁰, 72A¹¹, 27B¹⁹, 135C¹⁴, 36N⁹, 45C¹⁰, 18M⁴, 126C¹¹, 27A³, 108D²², 63C¹⁹, 81D¹⁹, 36H¹⁷, 45B⁸, 135B¹⁷, 180A²³, 54B¹⁴, 18O², 108B¹⁷, 108A¹⁷, 36G⁵, 45A¹³, 54U¹⁶, 27D⁴, 54S¹³, 36N²², 63I¹⁹, 90O¹⁷, 18C¹³, 54D¹¹, 90C¹¹, 18D¹⁰, 216A²⁴, 135B¹³, 54C¹⁶, 45D¹⁵, 108A⁸, 36C¹⁹, 45L¹³, 27C¹³, 54C²², 27C³, 144C¹⁹, 81A²², 90E²⁴, 144C²³, 108D²¹, 72L²², 126E¹², 54C¹¹, 63F⁹, 108A⁶, 54E¹⁶, 81C²², 27E¹⁹, 63I¹⁷, 54D⁴, 54P¹⁶, 81C¹⁹, 54T¹³, 63J¹⁷, 54H¹⁶, 54F¹⁶, 189A²², 27D⁷, 54L¹⁶, 54C⁵, 108B²¹, 54M¹⁶, 36J⁸, 108A²³, 45A²⁴, 54G¹⁶, 54A¹⁴, 54C³, 45B³, 189D¹⁹, 9B⁴, 108A²⁰, 144G¹⁹, 144A¹², 126C²⁰, 144U²³, 144A²⁰, 198E¹⁸, 144G²³, 108A¹², 198A²³, 72F⁸, 27B¹⁶, 54E¹³</t>
        </is>
      </c>
    </row>
    <row r="63">
      <c r="A63">
        <f>HYPERLINK("https://mathstats.uncg.edu/sites/pauli/congruence/csg0.html#group9D0", "9D⁰")</f>
        <v/>
      </c>
      <c r="B63" t="n">
        <v>0</v>
      </c>
      <c r="C63" t="inlineStr"/>
      <c r="D63" t="inlineStr">
        <is>
          <t>18</t>
        </is>
      </c>
      <c r="E63" t="inlineStr">
        <is>
          <t>1</t>
        </is>
      </c>
      <c r="F63" t="inlineStr">
        <is>
          <t>3</t>
        </is>
      </c>
      <c r="G63" t="inlineStr">
        <is>
          <t>6</t>
        </is>
      </c>
      <c r="H63" t="inlineStr">
        <is>
          <t>0</t>
        </is>
      </c>
      <c r="I63" t="inlineStr">
        <is>
          <t>9²</t>
        </is>
      </c>
      <c r="J63" t="n">
        <v>2</v>
      </c>
      <c r="K63" t="inlineStr">
        <is>
          <t>1¹, 2¹</t>
        </is>
      </c>
      <c r="L63" t="inlineStr">
        <is>
          <t>3C⁰, 9A⁰</t>
        </is>
      </c>
      <c r="M63" t="inlineStr">
        <is>
          <t>18D⁰, 9E¹, 9F¹, 9A², 18I², 18A³, 36H³, 45F⁵, 45A⁶, 63E⁶, 45A¹¹, 63A¹¹, 99A¹², 99A¹⁷, 117A¹⁷, 153A²³</t>
        </is>
      </c>
      <c r="N63" t="inlineStr">
        <is>
          <t>3C⁰, 3A⁰, 1A⁰, 9A⁰</t>
        </is>
      </c>
      <c r="O63" t="inlineStr">
        <is>
          <t>18R⁴, 72H¹³, 18B¹⁶, 18F¹⁶, 36B¹⁵, 144W²³, 36R¹⁹, 36C¹³, 126F¹⁵, 18A¹³, 18O⁴, 27H⁷, 45F¹⁹, 63A²⁰, 9F¹, 27A¹⁰, 45A¹⁹, 18H¹⁶, 36C¹⁵, 36P⁴, 18M⁷, 9E¹, 36O⁹, 45B²¹, 198A²⁴, 90A²⁰, 36A¹¹, 45A¹¹, 18G¹⁶, 36C⁷, 36G¹⁶, 9C⁴, 144N²¹, 18A⁶, 27A¹⁶, 27F⁷, 45A¹⁵, 18B¹³, 36I¹⁶, 18A²², 72W¹⁷, 18S⁴, 36C¹¹, 18C¹⁶, 18A⁷, 54A¹⁹, 18A⁵, 45A¹⁴, 63E⁶, 36A¹⁵, 90A¹², 90A¹⁷, 63A¹⁷, 36G¹³, 54I²², 45G¹⁹, 126A²³, 63B¹⁴, 36A²², 9A², 27A²², 36A²³, 36F³, 126J¹², 90B¹⁷, 36L¹³, 18E¹⁹, 90A¹⁵, 18B⁷, 36H⁵, 72B²³, 9A¹⁰, 99A¹², 36Q¹⁹, 36M¹³, 54J²², 36H²², 63A²¹, 45B¹⁵, 72G¹³, 99A¹⁷, 90C²³, 18A¹⁹, 36M¹⁹, 36N¹³, 18I², 36R¹³, 45F⁵, 72F¹³, 27B²², 18A³, 18I⁷, 90D²³, 144M²¹, 90N²¹, 54V¹⁶, 36A²¹, 36D¹¹, 54Q¹⁶, 72N¹¹, 126A¹⁸, 126A²¹, 36F¹³, 18L⁴, 18C¹³, 126B²³, 72A²³, 36H³, 18B¹⁹, 18H¹³, 72S¹⁷, 72AA²¹, 18D¹⁶, 144X²³, 54K²², 90I¹¹, 36M⁵, 9A⁴, 54B¹⁹, 117A¹⁷, 72G¹⁵, 27G⁷, 36E¹³, 72V¹⁷, 45A⁶, 36P¹⁵, 27E¹⁹, 36H¹³, 90I²¹, 72F¹⁵, 36D¹⁵, 72B¹⁷, 72M¹¹, 72F²³, 36N¹⁹, 27C²², 90H¹¹, 36Q¹³, 18T⁴, 63A²², 153A²³, 45B¹⁶, 72O¹¹, 36I¹³, 72F⁹, 36J¹¹, 18A¹⁶, 72A¹⁷, 36A⁸, 18D⁰, 9B⁴, 45C¹⁹, 18F¹³, 63A¹¹, 45E⁹, 45D²³, 18F⁷, 72G⁹, 36O¹³, 27B¹⁶</t>
        </is>
      </c>
    </row>
    <row r="64">
      <c r="A64">
        <f>HYPERLINK("https://mathstats.uncg.edu/sites/pauli/congruence/csg0.html#group9E0", "9E⁰")</f>
        <v/>
      </c>
      <c r="B64" t="n">
        <v>0</v>
      </c>
      <c r="C64" t="inlineStr"/>
      <c r="D64" t="inlineStr">
        <is>
          <t>18</t>
        </is>
      </c>
      <c r="E64" t="inlineStr">
        <is>
          <t>1</t>
        </is>
      </c>
      <c r="F64" t="inlineStr">
        <is>
          <t>18</t>
        </is>
      </c>
      <c r="G64" t="inlineStr">
        <is>
          <t>2</t>
        </is>
      </c>
      <c r="H64" t="inlineStr">
        <is>
          <t>0</t>
        </is>
      </c>
      <c r="I64" t="inlineStr">
        <is>
          <t>3³, 9¹</t>
        </is>
      </c>
      <c r="J64" t="n">
        <v>4</v>
      </c>
      <c r="K64" t="inlineStr">
        <is>
          <t>1¹, 2¹, 3¹, 6²</t>
        </is>
      </c>
      <c r="L64" t="inlineStr">
        <is>
          <t>3C⁰</t>
        </is>
      </c>
      <c r="M64" t="inlineStr">
        <is>
          <t>9H⁰, 9E¹, 18F¹, 18I¹, 9B², 18F², 36M⁴, 45G⁵, 45C⁶, 63B⁸, 63C⁹, 45E¹¹, 99A¹⁴, 99C¹⁵, 117C¹⁷, 153C²³</t>
        </is>
      </c>
      <c r="N64" t="inlineStr">
        <is>
          <t>3A⁰, 3C⁰, 1A⁰</t>
        </is>
      </c>
      <c r="O64" t="inlineStr">
        <is>
          <t>36I⁵, 27B¹⁰, 45C⁶, 90J¹⁵, 45A²⁰, 72K¹³, 18M¹⁰, 27A¹⁹, 72AB²¹, 36D¹², 9H¹, 63C⁹, 36G¹⁵, 18B¹⁶, 45E¹¹, 63D¹⁶, 18F¹⁶, 18N⁴, 45H¹¹, 18A¹³, 54H²², 18E¹³, 18K³, 36U¹⁹, 18O⁴, 45F¹⁹, 45A¹⁹, 72T¹⁹, 45G⁵, 99C¹⁵, 36I¹⁷, 9E¹, 63C²⁴, 72J¹³, 36P⁹, 90G¹³, 36G¹⁶, 9C⁴, 27F⁷, 36F¹⁵, 27A¹⁶, 54B²¹, 90K¹⁹, 18P², 18F¹, 18A²², 126E²⁰, 54A²⁴, 45C²³, 18C¹⁶, 54A¹⁹, 45F¹¹, 27A⁸, 9B², 144K²², 54I²², 45A²¹, 126L²¹, 36A²², 18F³, 18K¹⁰, 36N⁸, 27A²², 126D¹⁹, 36C¹², 117C¹⁷, 72H¹², 90A¹³, 18F², 36E²¹, 36L¹¹, 45E²¹, 45F⁹, 36H¹⁵, 36N⁷, 18I¹, 90C¹⁴, 72X¹⁷, 18B⁶, 72D¹², 18B⁷, 36K¹⁷, 36C²², 45C²¹, 18C⁶, 36B¹², 9A¹⁰, 63A¹⁸, 36O¹⁹, 72I¹⁵, 144L²², 27B¹⁹, 9H⁰, 36M¹⁹, 18A¹⁹, 36N¹³, 18D¹³, 72Q¹⁹, 36A⁹, 72O²¹, 72Q¹¹, 27B²², 18I⁷, 72S¹⁹, 18A¹⁸, 36I¹¹, 36B²³, 72L⁸, 90G¹⁹, 72J¹⁰, 72J²³, 72M²¹, 72P¹¹, 54Q¹⁶, 45A¹², 36C¹⁷, 153C²³, 36F¹³, 36I⁴, 18C¹³, 72M⁸, 18B¹⁹, 18D¹⁰, 72H¹⁵, 18A⁸, 72I¹², 27C¹³, 36D²³, 36A¹², 18D⁷, 18D¹⁶, 36Q⁴, 9A⁴, 126M²¹, 36R¹⁵, 54B¹⁹, 36C²¹, 27G⁷, 45A²³, 36E¹³, 27E¹⁹, 90F¹³, 45I¹⁹, 36A¹⁸, 18C⁷, 36N¹⁹, 72E¹², 90I¹⁵, 27C²², 36M¹¹, 36E¹⁵, 36O⁸, 63C¹⁷, 36M⁴, 18D¹⁹, 36N¹¹, 18C¹⁹, 36I³, 36J⁹, 63B⁸, 36G⁹, 18N⁷, 36J⁷, 99A¹⁴, 45D¹⁹, 27A¹¹, 126G¹⁸, 72N²¹, 18A¹⁶, 36H⁴, 54A²¹, 36D⁶, 45C¹⁶, 126E¹⁷, 72K¹⁰, 72K²³, 9B⁴, 72I²³, 54B²⁴, 63D¹⁷, 36Q¹⁵, 36C²³, 27B¹⁶</t>
        </is>
      </c>
    </row>
    <row r="65">
      <c r="A65">
        <f>HYPERLINK("https://mathstats.uncg.edu/sites/pauli/congruence/csg0.html#group9F0", "9F⁰")</f>
        <v/>
      </c>
      <c r="B65" t="n">
        <v>0</v>
      </c>
      <c r="C65" t="inlineStr"/>
      <c r="D65" t="inlineStr">
        <is>
          <t>27</t>
        </is>
      </c>
      <c r="E65" t="inlineStr">
        <is>
          <t>1</t>
        </is>
      </c>
      <c r="F65" t="inlineStr">
        <is>
          <t>27</t>
        </is>
      </c>
      <c r="G65" t="inlineStr">
        <is>
          <t>3</t>
        </is>
      </c>
      <c r="H65" t="inlineStr">
        <is>
          <t>3</t>
        </is>
      </c>
      <c r="I65" t="inlineStr">
        <is>
          <t>9³</t>
        </is>
      </c>
      <c r="J65" t="n">
        <v>3</v>
      </c>
      <c r="K65" t="inlineStr">
        <is>
          <t>3¹, 6⁴</t>
        </is>
      </c>
      <c r="L65" t="inlineStr">
        <is>
          <t>1A⁰</t>
        </is>
      </c>
      <c r="M65" t="inlineStr">
        <is>
          <t>9G¹, 18J², 9A³, 18K⁴, 36G⁶, 45C⁸, 45A¹⁰, 63B¹², 63A¹⁴, 45B¹⁸, 99A²⁰</t>
        </is>
      </c>
      <c r="N65" t="inlineStr">
        <is>
          <t>1A⁰</t>
        </is>
      </c>
      <c r="O65" t="inlineStr">
        <is>
          <t>18C¹⁶, 72I²², 9A³, 18J², 45C⁸, 18B¹⁰, 36M¹⁰, 36P¹⁹, 27E¹⁶, 27D¹⁹, 36G⁶, 27C²², 36B²², 36G²², 90B¹⁸, 45A¹⁰, 36O¹⁰, 72F²², 45A²², 9G¹, 18J⁷, 36C¹⁴, 63B¹², 18H⁷, 18A¹⁰, 45B¹⁸, 18B¹⁹, 63A¹⁴, 18K⁴, 90F²², 9A¹⁰, 18L¹⁰, 27C¹⁹, 9C⁴, 27A¹³, 18E¹⁶, 72I¹⁴, 18A²², 72E²², 18A¹¹, 99A²⁰</t>
        </is>
      </c>
    </row>
    <row r="66">
      <c r="A66">
        <f>HYPERLINK("https://mathstats.uncg.edu/sites/pauli/congruence/csg0.html#group9G0", "9G⁰")</f>
        <v/>
      </c>
      <c r="B66" t="n">
        <v>0</v>
      </c>
      <c r="C66" t="inlineStr"/>
      <c r="D66" t="inlineStr">
        <is>
          <t>27</t>
        </is>
      </c>
      <c r="E66" t="inlineStr">
        <is>
          <t>1</t>
        </is>
      </c>
      <c r="F66" t="inlineStr">
        <is>
          <t>27</t>
        </is>
      </c>
      <c r="G66" t="inlineStr">
        <is>
          <t>7</t>
        </is>
      </c>
      <c r="H66" t="inlineStr">
        <is>
          <t>0</t>
        </is>
      </c>
      <c r="I66" t="inlineStr">
        <is>
          <t>9³</t>
        </is>
      </c>
      <c r="J66" t="n">
        <v>3</v>
      </c>
      <c r="K66" t="inlineStr">
        <is>
          <t>3¹, 6⁴</t>
        </is>
      </c>
      <c r="L66" t="inlineStr">
        <is>
          <t>9A⁰</t>
        </is>
      </c>
      <c r="M66" t="inlineStr">
        <is>
          <t>9F¹, 9G¹, 18H¹, 9B², 18K², 18J³, 27B³, 18B⁴, 36J⁵, 45D⁸, 45B⁹, 63B¹⁰, 63B¹⁶, 45D¹⁷, 99A¹⁹</t>
        </is>
      </c>
      <c r="N66" t="inlineStr">
        <is>
          <t>3A⁰, 1A⁰, 9A⁰</t>
        </is>
      </c>
      <c r="O66" t="inlineStr">
        <is>
          <t>36J⁵, 90J²¹, 45A²⁰, 36N¹⁰, 36L⁸, 27B²², 18K², 54D⁸, 90D¹⁸, 36T¹⁰, 36D²¹, 18A¹⁸, 36P¹⁹, 36P¹⁰, 36S¹⁹, 72L¹⁴, 54V¹⁶, 45D⁸, 36R¹⁹, 18A¹³, 72O¹⁴, 54H²², 126A²², 90F¹⁹, 63E²⁴, 63D²⁴, 18B⁸, 27H⁷, 9F¹, 27A¹⁰, 63B¹⁰, 54A¹³, 18H¹, 18H¹⁶, 36F²², 72D²⁰, 18M⁷, 18B¹⁹, 54A⁷, 63B¹⁶, 36C²⁰, 72M¹⁴, 90H²², 36H¹⁶, 36B¹⁸, 72E²⁰, 36L⁷, 18A⁸, 36D¹⁶, 45D¹⁷, 18G¹⁶, 18L¹⁰, 9C⁴, 27A¹³, 72K²², 36F¹⁵, 18J³, 54K²², 72E¹⁸, 36G¹¹, 54B²¹, 36G¹², 36T¹⁹, 27A¹⁶, 90D²², 36D²², 63A²³, 36I¹⁶, 18A²², 9A⁴, 54A¹¹, 18C¹⁰, 36C²¹, 54A²⁴, 18S⁴, 18C¹⁶, 72W¹⁹, 27B³, 72G²², 36A¹⁸, 45B²², 90B²⁴, 9B², 27A⁸, 18C⁷, 18B¹⁰, 45A²¹, 18L⁷, 45E¹⁶, 45G¹⁹, 90C²⁰, 27A¹², 27C²², 36E¹⁵, 36E²², 18D¹⁹, 9G¹, 18C¹⁹, 72A²⁴, 72F²⁰, 18J⁷, 54B¹¹, 45C¹⁸, 72J²², 90J¹⁹, 18B⁴, 18K⁷, 27A¹¹, 18B⁶, 99A¹⁹, 72N¹⁴, 18E¹⁹, 18A¹⁶, 54A²¹, 36C²², 36M⁸, 36A²⁰, 9A¹⁰, 36J²², 54A¹⁵, 36O¹⁹, 36Q¹⁹, 72X²¹, 54B²⁴, 126C²⁴, 45C¹⁹, 54J²², 36I²², 36H²², 108B²⁰, 72H²², 18F⁷, 36B²⁰, 45B⁹, 36O¹³, 36R¹³</t>
        </is>
      </c>
    </row>
    <row r="67">
      <c r="A67">
        <f>HYPERLINK("https://mathstats.uncg.edu/sites/pauli/congruence/csg0.html#group9H0", "9H⁰")</f>
        <v/>
      </c>
      <c r="B67" t="n">
        <v>0</v>
      </c>
      <c r="C67" t="inlineStr"/>
      <c r="D67" t="inlineStr">
        <is>
          <t>36</t>
        </is>
      </c>
      <c r="E67" t="inlineStr">
        <is>
          <t>1</t>
        </is>
      </c>
      <c r="F67" t="inlineStr">
        <is>
          <t>6</t>
        </is>
      </c>
      <c r="G67" t="inlineStr">
        <is>
          <t>0</t>
        </is>
      </c>
      <c r="H67" t="inlineStr">
        <is>
          <t>0</t>
        </is>
      </c>
      <c r="I67" t="inlineStr">
        <is>
          <t>3⁶, 9²</t>
        </is>
      </c>
      <c r="J67" t="n">
        <v>8</v>
      </c>
      <c r="K67" t="inlineStr">
        <is>
          <t>1², 2²</t>
        </is>
      </c>
      <c r="L67" t="inlineStr">
        <is>
          <t>3D⁰, 9E⁰</t>
        </is>
      </c>
      <c r="M67" t="inlineStr">
        <is>
          <t>9H¹, 18P², 18F³, 9A⁴, 9B⁴, 36G⁹, 45F¹¹, 45A¹², 63D¹⁷, 63A¹⁸, 45A²³</t>
        </is>
      </c>
      <c r="N67" t="inlineStr">
        <is>
          <t>3B⁰, 3C⁰, 1A⁰, 9E⁰, 3A⁰, 3D⁰</t>
        </is>
      </c>
      <c r="O67" t="inlineStr">
        <is>
          <t>27B¹⁰, 27A¹⁹, 36A⁹, 45A²³, 72O²¹, 18M¹⁰, 72AB²¹, 27E¹⁹, 45F¹¹, 27B²², 9H¹, 18B¹⁶, 36I¹¹, 18F³, 18K¹⁰, 27A²², 18A¹³, 18E¹³, 45A¹², 36C¹⁷, 36G⁹, 18N⁷, 36E²¹, 45E²¹, 18C¹³, 36N⁷, 72X¹⁷, 36I¹⁷, 18D¹⁰, 18A¹⁶, 36K¹⁷, 27C¹³, 9A¹⁰, 63A¹⁸, 9B⁴, 63D¹⁷, 27A¹⁶, 27B¹⁹, 18P², 9A⁴, 18D¹³, 27B¹⁶</t>
        </is>
      </c>
    </row>
    <row r="68">
      <c r="A68">
        <f>HYPERLINK("https://mathstats.uncg.edu/sites/pauli/congruence/csg0.html#group9I0", "9I⁰")</f>
        <v/>
      </c>
      <c r="B68" t="n">
        <v>0</v>
      </c>
      <c r="C68" t="inlineStr">
        <is>
          <t>Γ₁(9)</t>
        </is>
      </c>
      <c r="D68" t="inlineStr">
        <is>
          <t>36</t>
        </is>
      </c>
      <c r="E68" t="inlineStr">
        <is>
          <t>1</t>
        </is>
      </c>
      <c r="F68" t="inlineStr">
        <is>
          <t>12</t>
        </is>
      </c>
      <c r="G68" t="inlineStr">
        <is>
          <t>0</t>
        </is>
      </c>
      <c r="H68" t="inlineStr">
        <is>
          <t>0</t>
        </is>
      </c>
      <c r="I68" t="inlineStr">
        <is>
          <t>1³, 3², 9³</t>
        </is>
      </c>
      <c r="J68" t="n">
        <v>8</v>
      </c>
      <c r="K68" t="inlineStr">
        <is>
          <t>1², 2², 6¹</t>
        </is>
      </c>
      <c r="L68" t="inlineStr">
        <is>
          <t>9B⁰</t>
        </is>
      </c>
      <c r="M68" t="inlineStr">
        <is>
          <t>9H¹, 27C¹, 18Q², 18G³, 27A⁴, 27B⁴, 36H⁹, 45G¹¹, 45B¹², 63G¹⁷, 63D¹⁸, 45B²³</t>
        </is>
      </c>
      <c r="N68" t="inlineStr">
        <is>
          <t>3B⁰, 9B⁰, 1A⁰</t>
        </is>
      </c>
      <c r="O68" t="inlineStr">
        <is>
          <t>27B⁴, 27B¹⁰, 72AC²¹, 27A¹⁹, 27C¹, 18M¹⁰, 54C¹³, 54G¹³, 45B²³, 36L¹⁷, 27B¹³, 45F²¹, 9H¹, 36F²¹, 45B¹², 81E¹⁹, 54B¹⁰, 81B¹⁶, 18I¹⁰, 18Q², 81D²², 81A¹⁰, 45G¹¹, 36D¹⁷, 36B⁹, 54I¹⁰, 54D¹⁰, 36O⁷, 36H⁹, 54S¹⁶, 27C¹⁶, 18D¹⁰, 63D¹⁸, 63G¹⁷, 27A⁴, 81B¹⁹, 27C¹³, 9A¹⁰, 27D¹⁶, 54D¹³, 72Y¹⁷, 18O⁷, 72R²¹, 18G³, 81A¹⁹, 36J¹⁷, 27B¹⁹, 36K¹¹, 81B²², 81A¹³, 54F¹³, 54R¹⁶</t>
        </is>
      </c>
    </row>
    <row r="69">
      <c r="A69">
        <f>HYPERLINK("https://mathstats.uncg.edu/sites/pauli/congruence/csg0.html#group9J0", "9J⁰")</f>
        <v/>
      </c>
      <c r="B69" t="n">
        <v>0</v>
      </c>
      <c r="C69" t="inlineStr"/>
      <c r="D69" t="inlineStr">
        <is>
          <t>36</t>
        </is>
      </c>
      <c r="E69" t="inlineStr">
        <is>
          <t>1</t>
        </is>
      </c>
      <c r="F69" t="inlineStr">
        <is>
          <t>12</t>
        </is>
      </c>
      <c r="G69" t="inlineStr">
        <is>
          <t>0</t>
        </is>
      </c>
      <c r="H69" t="inlineStr">
        <is>
          <t>3</t>
        </is>
      </c>
      <c r="I69" t="inlineStr">
        <is>
          <t>3³, 9³</t>
        </is>
      </c>
      <c r="J69" t="n">
        <v>6</v>
      </c>
      <c r="K69" t="inlineStr">
        <is>
          <t>1², 2², 6¹</t>
        </is>
      </c>
      <c r="L69" t="inlineStr">
        <is>
          <t>9C⁰</t>
        </is>
      </c>
      <c r="M69" t="inlineStr">
        <is>
          <t>9H¹, 18N², 9A³, 27C³, 18P⁴, 27D⁴, 27A⁶, 27B⁷, 27C⁷, 36I⁹, 45B¹¹, 45L¹³, 63K¹⁷, 63E¹⁸, 45A²⁴</t>
        </is>
      </c>
      <c r="N69" t="inlineStr">
        <is>
          <t>3B⁰, 1A⁰, 9C⁰</t>
        </is>
      </c>
      <c r="O69" t="inlineStr">
        <is>
          <t>54C¹¹, 27B¹⁰, 27B⁷, 63E¹⁸, 27A¹⁹, 54B²², 18M¹⁰, 81C²², 81D¹⁹, 45B¹¹, 9H¹, 9A³, 27C⁷, 54B¹⁴, 18B¹¹, 27E¹⁶, 27D¹⁹, 54U¹⁶, 27D⁴, 18N², 63K¹⁷, 36M²², 36I⁹, 54D²², 72M²², 27B¹⁸, 36N²², 108B²², 72C²⁰, 27A⁶, 18G¹⁰, 54D¹¹, 54I¹⁶, 27C¹³, 45A²⁴, 18D¹⁰, 54N¹³, 90D²⁴, 54C¹⁶, 54A¹⁴, 54C¹⁰, 54O¹³, 36F¹⁷, 45L¹³, 36J⁶, 36J¹³, 18P⁴, 27C³, 54C²², 36P²², 27C¹⁹, 9A¹⁰, 27A¹⁸, 18E¹⁶, 54B¹⁶, 54F²², 36R¹⁰, 27B¹⁹, 18P⁷, 18A¹¹</t>
        </is>
      </c>
    </row>
    <row r="70">
      <c r="A70">
        <f>HYPERLINK("https://mathstats.uncg.edu/sites/pauli/congruence/csg0.html#group10A0", "10A⁰")</f>
        <v/>
      </c>
      <c r="B70" t="n">
        <v>0</v>
      </c>
      <c r="C70" t="inlineStr"/>
      <c r="D70" t="inlineStr">
        <is>
          <t>10</t>
        </is>
      </c>
      <c r="E70" t="inlineStr">
        <is>
          <t>1</t>
        </is>
      </c>
      <c r="F70" t="inlineStr">
        <is>
          <t>5</t>
        </is>
      </c>
      <c r="G70" t="inlineStr">
        <is>
          <t>0</t>
        </is>
      </c>
      <c r="H70" t="inlineStr">
        <is>
          <t>4</t>
        </is>
      </c>
      <c r="I70" t="inlineStr">
        <is>
          <t>10¹</t>
        </is>
      </c>
      <c r="J70" t="n">
        <v>1</v>
      </c>
      <c r="K70" t="inlineStr">
        <is>
          <t>1¹, 4¹</t>
        </is>
      </c>
      <c r="L70" t="inlineStr">
        <is>
          <t>2A⁰, 5A⁰</t>
        </is>
      </c>
      <c r="M70" t="inlineStr">
        <is>
          <t>10E⁰, 10H¹, 30A¹, 30B¹, 10A², 10B², 20D², 30B², 30D², 30A³, 70B⁴, 70A⁵, 110A⁷, 130A⁹, 110A¹⁰, 190A¹⁴, 170B¹⁵, 90B¹⁸, 230A²⁰, 310A²⁴</t>
        </is>
      </c>
      <c r="N70" t="inlineStr">
        <is>
          <t>2A⁰, 1A⁰, 5A⁰</t>
        </is>
      </c>
      <c r="O70" t="inlineStr">
        <is>
          <t>90K²², 30K¹⁷, 60A¹⁴, 50C¹⁹, 20B¹¹, 140C²³, 30F¹³, 60B⁴, 90D⁸, 40A⁸, 60A¹⁶, 40C²¹, 270A²⁴, 50B²³, 190A¹⁴, 30E¹⁷, 210J²³, 40A⁹, 80A¹⁸, 90B¹⁸, 70A¹⁷, 90L²², 60B¹⁷, 50F⁹, 130B¹⁷, 70G¹⁴, 30O¹³, 50D¹⁹, 90B⁹, 180B²⁰, 120A²⁰, 210E¹⁶, 330C²⁴, 60B¹⁸, 120C¹⁶, 10D³, 60Q¹⁵, 30C¹⁵, 60S²¹, 40D¹⁸, 210C¹⁶, 40A¹⁶, 30B¹, 90C⁹, 40L²², 180A¹⁶, 100R¹⁹, 40A¹⁷, 30G⁴, 90D²², 80B¹⁹, 90F⁸, 30A³, 20F¹⁵, 30D²², 60L¹⁷, 60R²¹, 30K⁷, 40B¹⁶, 30B⁷, 30D¹³, 180A¹⁹, 270A²², 140A⁸, 210D¹⁸, 90F⁷, 30C¹³, 60D¹⁹, 20A¹³, 60A¹⁰, 60T¹⁵, 20D², 30H⁷, 90I²², 210A¹⁸, 70A⁵, 70C¹⁸, 20C⁶, 110A²³, 120K²³, 30A⁹, 90J²², 50A¹⁹, 40G¹⁷, 90B²², 70D¹⁴, 10A⁴, 120L²³, 70B¹⁵, 180A²⁰, 30A¹⁹, 30B⁹, 90C¹⁴, 20C¹⁹, 140A²², 210B¹⁸, 80E⁸, 90F²⁴, 270B²⁴, 20N³, 60B¹⁹, 90A¹⁵, 70C¹⁷, 70B⁹, 90D²⁴, 180B¹⁸, 120E¹⁸, 40A²¹, 120A¹⁶, 30C⁸, 180C¹⁶, 70A²¹, 210G¹⁶, 90F¹⁵, 330B²⁴, 90C⁶, 60Y¹⁵, 20A⁴, 120D¹⁶, 30M⁷, 40A¹⁴, 70E²¹, 80A¹⁷, 30A²², 10H¹, 60A¹⁷, 10A², 10A⁵, 20C²², 90E⁸, 90B¹⁵, 90A⁸, 30O⁷, 50A¹⁰, 10B⁵, 60E⁸, 90I²⁴, 70E¹⁶, 30A¹, 30B²², 30A⁸, 60T²¹, 20A⁹, 220A²⁰, 60A¹⁸, 30E¹³, 230A²⁰, 210F¹⁶, 90C²², 20A¹¹, 60C¹⁸, 90C⁸, 60G¹⁹, 30N⁹, 20A⁶, 30B¹³, 20A¹⁷, 40C²², 210B²², 210A²⁰, 40D⁸, 210A¹⁷, 70G²¹, 40C¹¹, 70B¹⁸, 80F¹⁹, 10B², 60B⁸, 180A¹⁵, 70F¹⁴, 210B¹⁷, 20A²², 90C¹⁰, 50E²¹, 30G¹³, 90C¹⁵, 10B³, 90E²⁴, 40B¹⁴, 60F¹⁴, 60D⁹, 60G¹⁴, 70B¹⁷, 40A¹⁸, 130A⁹, 10A¹³, 30G⁷, 60E¹⁴, 40D⁴, 30E⁶, 90H²⁴, 210A¹⁶, 30F²², 40A²², 180B¹⁶, 210D¹⁷, 30B⁵, 30C⁷, 90D¹⁵, 80A¹⁶, 30B², 20A¹⁰, 20D¹⁹, 70B⁴, 20A¹⁵, 40B¹⁸, 60P¹⁵, 20D¹⁰, 90B¹⁰, 180A¹⁷, 40E²², 40B²¹, 20B²², 30E⁸, 110A¹⁰, 120B²⁰, 30A⁷, 90A²², 10A⁷, 180D²⁰, 80A¹⁹, 30D², 210C¹⁸, 70A¹⁸, 70D¹⁶, 110A⁷, 310A²⁴, 210B¹⁶, 20B⁸, 330A²⁴, 210C¹⁷, 90E⁷, 30B⁸, 180B¹⁵, 90A¹⁰, 30E⁷, 60F⁸, 10E⁰, 90G²⁴, 60A¹⁹, 30D⁷, 70E¹⁴, 20A⁸, 20C¹⁵, 180A¹², 60J¹¹, 210E¹⁸, 170B¹⁵</t>
        </is>
      </c>
    </row>
    <row r="71">
      <c r="A71">
        <f>HYPERLINK("https://mathstats.uncg.edu/sites/pauli/congruence/csg0.html#group10B0", "10B⁰")</f>
        <v/>
      </c>
      <c r="B71" t="n">
        <v>0</v>
      </c>
      <c r="C71" t="inlineStr"/>
      <c r="D71" t="inlineStr">
        <is>
          <t>12</t>
        </is>
      </c>
      <c r="E71" t="inlineStr">
        <is>
          <t>1</t>
        </is>
      </c>
      <c r="F71" t="inlineStr">
        <is>
          <t>6</t>
        </is>
      </c>
      <c r="G71" t="inlineStr">
        <is>
          <t>4</t>
        </is>
      </c>
      <c r="H71" t="inlineStr">
        <is>
          <t>0</t>
        </is>
      </c>
      <c r="I71" t="inlineStr">
        <is>
          <t>2¹, 10¹</t>
        </is>
      </c>
      <c r="J71" t="n">
        <v>2</v>
      </c>
      <c r="K71" t="inlineStr">
        <is>
          <t>1², 4¹</t>
        </is>
      </c>
      <c r="L71" t="inlineStr">
        <is>
          <t>5B⁰</t>
        </is>
      </c>
      <c r="M71" t="inlineStr">
        <is>
          <t>10G⁰, 30A⁰, 10D¹, 20C¹, 20G¹, 10C², 50A², 30F³, 50C⁴, 50B⁴, 50D⁴, 50A⁴, 70C⁴, 70B⁷, 110A⁸, 110B¹¹, 130A¹¹, 170D¹⁵, 190A¹⁹, 90F²², 230A²³</t>
        </is>
      </c>
      <c r="N71" t="inlineStr">
        <is>
          <t>5B⁰, 1A⁰</t>
        </is>
      </c>
      <c r="O71" t="inlineStr">
        <is>
          <t>20C¹, 40R¹³, 60B¹¹, 60AE¹⁵, 120O²¹, 20E⁷, 100C¹⁷, 70C⁴, 50A², 60J¹³, 80I¹³, 150D¹⁹, 60AG¹³, 40S¹³, 10A⁶, 50B¹⁴, 90E²¹, 100D¹⁷, 50B⁴, 20M³, 40K¹¹, 90F²⁰, 30P¹³, 70D¹¹, 20A²¹, 60L¹³, 100I¹³, 60G⁷, 90B¹¹, 180L²³, 20G¹, 60I¹³, 20Q³, 20D⁵, 90H²¹, 60AF¹⁵, 60C¹¹, 100B¹⁹, 30B¹⁰, 50A¹⁴, 120K¹⁷, 20A³, 40V¹³, 40K²¹, 40T¹⁷, 50C¹⁶, 60C³, 60W¹⁷, 10C², 100E¹⁷, 190A¹⁹, 40Q¹³, 30H¹³, 40T¹³, 80BC¹⁷, 120Q¹⁷, 100A¹⁵, 60R²³, 100B⁷, 40F⁹, 40J¹³, 80BE¹⁷, 40H⁵, 60P²³, 30H¹⁷, 80T¹⁹, 150C²³, 50D⁴, 220B¹⁹, 150A¹², 10A⁵, 60A¹¹, 30J³, 80AM¹⁷, 90D¹⁸, 180K²³, 10D¹, 140A¹¹, 20T³, 20B¹³, 130A¹¹, 90N²¹, 50E⁶, 250B¹⁸, 90D⁹, 60Q²¹, 40L⁵, 180H²¹, 60X²¹, 50E¹², 40U¹³, 250B²², 40AA¹⁵, 80AT¹⁷, 210A¹², 180C¹³, 50C⁴, 130C²¹, 90F²¹, 30R⁵, 50G¹², 50A²⁰, 250A²⁰, 150B¹⁹, 30H⁴, 10K¹, 140D¹¹, 40AH¹⁵, 40AI¹⁷, 150A¹⁹, 10A¹³, 50B¹⁶, 60L⁹, 20E¹³, 30R⁹, 40AS¹⁷, 90A¹¹, 140B¹¹, 40Y¹⁷, 60O²³, 180F¹³, 210A²³, 180E¹³, 60AG¹⁵, 210F²³, 20A¹⁵, 60N¹⁷, 60F²¹, 60P¹¹, 50A¹⁶, 60AB¹³, 40AQ¹⁷, 70F¹³, 100B¹⁷, 30H²¹, 110A⁸, 30J¹⁷, 100H⁹, 30N⁵, 80A¹³, 30G⁹, 60D²¹, 230A²³, 40M²¹, 220D²³, 30F³, 20I¹, 50H¹², 70C¹³, 40F¹¹, 60C²¹, 80AA¹⁷, 40G⁵, 120J¹⁷, 20I⁵, 20E¹¹, 60P²¹, 180D¹³, 60D³, 30S⁷, 60T¹¹, 80X¹⁷, 100D¹⁵, 50B⁹, 20K⁵, 60K⁹, 20N⁷, 40J⁵, 50C⁹, 60S²³, 110B¹¹, 150C¹², 60C⁵, 40Z¹⁷, 60N⁷, 40L²¹, 60S⁷, 40AC¹⁷, 120L¹⁷, 80U²¹, 90G⁹, 40W¹³, 30B¹⁵, 80E²¹, 80Y²¹, 30D⁵, 40AN¹⁷, 150B¹², 30J¹¹, 60O¹⁹, 40G¹¹, 150A¹⁰, 90K¹⁵, 40T⁷, 140D²¹, 70E¹⁹, 150I¹⁵, 20J¹, 20E⁹, 120P¹⁷, 80H¹³, 30K⁹, 70I¹⁹, 80B¹³, 40AG¹⁵, 50B²², 100D¹⁹, 50F⁵, 50D¹⁶, 330D²⁴, 40O⁵, 30B²¹, 70H¹⁶, 60AK¹³, 30Q¹³, 60M⁷, 140C¹¹, 40L⁹, 50B¹⁸, 40V⁹, 150C¹⁹, 100E⁹, 60V¹¹, 90G²¹, 100A¹⁹, 100G⁹, 30C²³, 20F⁹, 40C¹³, 90S¹⁷, 40B¹³, 20B¹⁷, 40M¹³, 80AN¹⁷, 100O¹⁹, 10G⁰, 20J⁵, 40K¹³, 100A¹⁷, 20H³, 20F¹³, 30D¹, 170D¹⁵, 40Z¹⁵, 20R³, 60M⁹, 50E¹³, 70H¹⁴, 100C¹⁹, 70E⁹, 90F²², 80Y¹⁷, 70H²¹, 50A¹⁸, 220A¹⁹, 90I¹¹, 20J⁷, 120I¹⁷, 80AF¹⁷, 40N⁵, 50A⁴, 30P⁹, 30A⁰, 30C⁵, 150A²¹, 140E²³, 110A²¹, 90F¹³, 250A²², 50D⁹, 90R¹⁷, 250A¹⁸, 60N²³, 60H²¹, 50A⁹, 90E¹³, 60B¹⁵, 60R¹⁷, 70B⁷, 140F²³, 80AS¹⁷, 90D¹⁷, 40N¹³, 80C¹³, 110C²¹, 90A⁴, 40J²¹, 40O⁷, 140D¹⁵, 90H¹³, 20I¹⁵, 150D¹², 100F⁹, 20B¹⁹, 50F¹², 100C²¹, 60P¹⁷, 80V¹⁵, 60X¹⁷, 60V¹³</t>
        </is>
      </c>
    </row>
    <row r="72">
      <c r="A72">
        <f>HYPERLINK("https://mathstats.uncg.edu/sites/pauli/congruence/csg0.html#group10C0", "10C⁰")</f>
        <v/>
      </c>
      <c r="B72" t="n">
        <v>0</v>
      </c>
      <c r="C72" t="inlineStr">
        <is>
          <t>Γ₀(10)</t>
        </is>
      </c>
      <c r="D72" t="inlineStr">
        <is>
          <t>18</t>
        </is>
      </c>
      <c r="E72" t="inlineStr">
        <is>
          <t>1</t>
        </is>
      </c>
      <c r="F72" t="inlineStr">
        <is>
          <t>18</t>
        </is>
      </c>
      <c r="G72" t="inlineStr">
        <is>
          <t>2</t>
        </is>
      </c>
      <c r="H72" t="inlineStr">
        <is>
          <t>0</t>
        </is>
      </c>
      <c r="I72" t="inlineStr">
        <is>
          <t>1¹, 2¹, 5¹, 10¹</t>
        </is>
      </c>
      <c r="J72" t="n">
        <v>4</v>
      </c>
      <c r="K72" t="inlineStr">
        <is>
          <t>1⁶, 4³</t>
        </is>
      </c>
      <c r="L72" t="inlineStr">
        <is>
          <t>2B⁰, 5B⁰</t>
        </is>
      </c>
      <c r="M72" t="inlineStr">
        <is>
          <t>10F⁰, 10G⁰, 20A⁰, 10G¹, 20D¹, 20E¹, 10F², 20C², 30E², 50B², 30K³, 50C⁶, 50B⁶, 50D⁶, 50A⁶, 70B⁸, 70D⁹, 110B¹⁴, 110A¹⁵, 130A¹⁷, 170A²³</t>
        </is>
      </c>
      <c r="N72" t="inlineStr">
        <is>
          <t>5B⁰, 1A⁰, 2B⁰</t>
        </is>
      </c>
      <c r="O72" t="inlineStr">
        <is>
          <t>80G¹³, 40R¹³, 80M²¹, 140C¹⁶, 40X¹⁷, 110B¹⁴, 120O²¹, 50A⁶, 120G¹⁵, 120K¹³, 60A⁵, 40G²¹, 80C²¹, 60AG¹³, 20J³, 70F¹⁸, 60AE¹³, 90O²¹, 20B²¹, 60U¹¹, 30P¹³, 160N¹⁹, 50E²², 40AJ¹⁵, 40U¹⁵, 40M⁷, 40O¹³, 80P¹⁹, 30F⁷, 130A¹⁷, 90K¹⁹, 30K³, 20I³, 60H⁹, 40F¹⁹, 40AP¹⁷, 60AF¹⁵, 40N⁹, 90G¹⁵, 120R²³, 40A¹⁹, 40P⁹, 160G²¹, 60I⁷, 80V¹⁹, 10B⁴, 80AG¹⁷, 40Q¹³, 160L²¹, 30H¹³, 40T¹³, 100N¹⁹, 250B²⁴, 40E¹⁹, 120A¹¹, 80P²¹, 60R²³, 160O²¹, 120E²¹, 40U⁷, 60R¹¹, 40F⁹, 40G¹⁹, 40AB¹⁵, 160M¹⁷, 80K²¹, 10F⁰, 40J¹³, 40M¹⁹, 80BE¹⁷, 40AI¹⁵, 60P²³, 160C²¹, 160F¹⁷, 60B⁵, 160I¹⁷, 120I¹⁵, 30Q⁷, 80D¹¹, 60W²¹, 80AA²¹, 90K²¹, 40V¹⁵, 150C²⁰, 120B¹¹, 70B¹⁹, 140A²⁰, 30H¹¹, 160C²³, 20T³, 60W¹³, 60G¹⁵, 100A¹², 50E⁶, 40M⁵, 120F¹³, 160A¹⁵, 50E¹², 50B²⁴, 80AG²¹, 90C²⁴, 80AT¹⁷, 60N¹³, 120M¹⁹, 20S³, 30B¹⁹, 160B¹⁵, 120Q²³, 50G¹², 120K¹⁵, 80T²¹, 30H⁴, 100Q¹⁹, 160M¹⁹, 10K¹, 140B¹⁹, 40R⁹, 40AH¹⁵, 80U¹⁷, 80G⁹, 40AI¹⁷, 20C²¹, 80S¹⁹, 60N¹¹, 20E¹³, 40AS¹⁷, 80T¹⁵, 40X⁷, 60O⁷, 30K¹³, 40AJ¹⁷, 80W²¹, 20K⁷, 90E²², 100A²¹, 60P¹¹, 60T¹³, 30I¹¹, 60AB¹³, 40AQ¹⁷, 20M⁷, 30H²¹, 10A⁷, 40U¹⁷, 20D¹, 40B⁵, 50C¹², 60Z¹³, 80F¹³, 60Y¹³, 20I¹, 50H¹², 120E¹⁹, 60N¹⁹, 70G¹⁸, 60P⁷, 180M²³, 80S²¹, 80AR¹⁷, 80AA¹⁷, 60T¹⁷, 80AX¹⁷, 90E¹⁰, 60AC¹⁵, 30S⁷, 160I²¹, 30P⁵, 60T¹¹, 90H¹⁵, 60A¹⁵, 140D¹⁷, 20K⁵, 160N²¹, 30D⁶, 30K¹¹, 80Q¹⁵, 120H¹³, 140C²¹, 100G¹³, 80P⁹, 40K⁹, 20G³, 40Z¹⁷, 80H⁷, 80AE²¹, 40W¹⁵, 60H¹⁵, 80BB¹⁷, 40M⁹, 120E¹³, 40I³, 80H⁹, 80E²¹, 60E¹⁵, 60AF¹³, 120N¹⁷, 70G¹⁹, 60O¹⁹, 30S⁹, 40AK¹⁷, 40A¹, 120C¹¹, 40T⁷, 140B²¹, 180A²⁴, 80AO¹⁷, 160L¹⁷, 70A²⁴, 160E²¹, 60AA¹⁵, 80H¹³, 140C¹⁹, 60S¹³, 80I⁷, 60S¹¹, 100I⁹, 80O⁹, 60O¹³, 80AB¹⁹, 50D¹², 160F²¹, 140I¹⁹, 120L¹⁹, 80N²¹, 40AE¹⁵, 60AD¹³, 40O⁵, 160E¹⁷, 70H¹⁶, 180J²¹, 40L⁹, 20G¹³, 80U¹⁵, 20F⁹, 40M¹³, 100O¹⁹, 30C¹⁶, 200A¹⁵, 80AA¹⁹, 40K¹³, 80AF²¹, 100D¹⁴, 120D¹¹, 100C¹³, 180H²⁰, 120B²¹, 40Z¹⁵, 10F², 160M²¹, 80I²¹, 20R³, 60M⁹, 60K¹⁵, 80AU¹⁷, 40AF¹⁵, 160P²¹, 80L²¹, 160A²¹, 80X²¹, 200B²¹, 80M⁹, 40Q⁹, 180I²¹, 40N⁵, 20L³, 150B²⁰, 80C¹¹, 80S¹⁵, 40D¹⁹, 60M¹⁹, 90I²¹, 80J⁷, 60N¹⁵, 160K¹⁹, 60N²³, 120F¹⁹, 60R¹³, 60K¹⁹, 60B¹⁵, 20D¹⁹, 200B²³, 40X¹⁵, 40AC¹⁵, 120D²¹, 60S¹⁷, 40N¹³, 80C¹³, 60X¹³, 40AA¹⁷, 40O⁷, 80AI¹⁷, 40V¹⁷, 20I¹⁵, 100D¹², 50B⁶, 80H²¹, 80AH¹⁷, 20B¹⁹, 150A¹⁶, 50F¹², 30E², 80L¹⁹, 80D¹³, 60D¹⁵, 160J¹⁷, 40Y⁷, 60P¹⁷, 60V¹³, 40D³, 80AK¹⁷, 60O¹⁵, 80I⁹, 80AC¹⁹, 50B¹³, 60H⁷, 70J¹⁷, 120S²³, 30C⁶, 100A¹³, 100B²¹, 100A¹⁴, 80L⁹, 250A²⁴, 160J¹⁹, 60I¹⁵, 80I¹³, 80Q²¹, 40S¹³, 60AJ¹³, 10A⁶, 80AE¹⁷, 60AB¹⁵, 20M³, 40K¹¹, 90F²⁰, 120L¹³, 120C²¹, 160L¹⁹, 90A²³, 20A²¹, 60L¹⁵, 80E⁹, 120I¹³, 50D⁶, 60AA¹³, 60M¹⁵, 40K⁷, 20E¹, 80AV¹⁷, 160C¹⁵, 50A²⁴, 80AE¹⁹, 80Z²¹, 70B⁸, 40P¹³, 60C⁴, 40I⁹, 80N⁹, 50B², 90J¹¹, 40V¹³, 40N⁷, 40T¹⁷, 100C¹⁴, 160S²¹, 40F³, 40C¹⁹, 160H²¹, 100E¹⁷, 80O¹⁵, 80BC¹⁷, 40W¹⁷, 150D²⁰, 120G¹³, 80B²¹, 60E⁶, 40O⁹, 80U¹⁹, 80AD¹⁷, 60F¹⁵, 100P¹⁹, 40J⁹, 100A¹⁰, 40H²¹, 60P¹³, 40J³, 30I¹³, 180N²³, 30R¹³, 40AD¹⁷, 80AQ¹⁷, 140H¹⁹, 160H¹⁷, 30Q⁹, 80T¹⁹, 70F¹⁶, 200C²¹, 160D²¹, 40G⁹, 180C²², 20L⁷, 100A⁶, 40Q⁷, 180B²⁴, 80F²¹, 80AM¹⁷, 40AC⁷, 50C⁷, 60C¹⁵, 20H¹, 80AB²¹, 30O⁵, 100F¹³, 80AD²¹, 160J²¹, 80AB¹⁷, 80A²¹, 120A¹⁷, 60Q¹³, 60Q¹¹, 200J¹⁹, 40L⁵, 80O¹⁹, 60X²¹, 40U¹³, 40W⁹, 40AA¹⁵, 140B¹⁸, 120F¹⁵, 100B¹⁴, 80Z¹⁷, 50C¹³, 40D²³, 80BA¹⁷, 10A¹³, 60F⁶, 80AD¹⁹, 80O²¹, 140C¹⁷, 30R⁹, 80C⁷, 200I¹⁹, 40Y¹⁷, 80AZ¹⁷, 20K³, 40AM¹⁷, 70D⁹, 60O²³, 200A²³, 80AJ¹⁷, 100C¹², 120O¹⁷, 80E⁷, 30S⁵, 20C², 30G¹¹, 80R²¹, 120K¹⁹, 60G⁹, 80Q¹⁹, 80V²¹, 80Y¹⁹, 80G⁷, 40V⁷, 100B¹³, 160K¹⁷, 120F²¹, 40C²³, 40B¹⁹, 160B²³, 10G¹, 80N¹⁵, 80AP¹⁷, 20A¹⁹, 120A²¹, 40AB⁷, 80F⁷, 160R²¹, 20I⁵, 40C⁵, 20E¹¹, 60Q²³, 120B¹⁷, 40P⁷, 80X¹⁷, 100D¹⁵, 140C¹⁸, 80W¹⁹, 20N⁷, 50B¹², 80AC²¹, 60S²³, 80A¹¹, 20P⁷, 80M¹⁹, 80G²¹, 160G¹⁷, 40W⁷, 160K²¹, 30C¹⁹, 240A²³, 160B²¹, 150I¹⁹, 40AC¹⁷, 20A⁰, 80AW¹⁷, 80U²¹, 40W¹³, 80D⁷, 120L¹⁵, 70G¹⁷, 80Y²¹, 160U²¹, 80E¹³, 160D²³, 40AN¹⁷, 30J¹¹, 40AB¹⁷, 80BF¹⁷, 80J²¹, 200A²¹, 80X¹⁹, 40I²¹, 50D²², 100H¹³, 20J¹, 100D¹³, 40L¹³, 60AI¹³, 100B¹², 70I¹⁹, 40Z⁷, 80K⁷, 90G²², 240B²³, 40AG¹⁵, 40AT¹⁷, 50D¹³, 40AH¹⁷, 170A²³, 90G²⁰, 20C¹⁹, 80Z¹⁹, 110A¹⁵, 100C⁷, 80AY¹⁷, 60AC¹³, 40L¹⁹, 60V¹¹, 100E¹³, 30I⁴, 40R⁷, 90A²⁴, 60A⁸, 80AN¹⁷, 20B¹⁷, 30L²³, 10G⁰, 20J⁵, 20E¹⁰, 60O¹¹, 40AL¹⁷, 120H¹⁵, 20H³, 20F¹³, 40C³, 80B¹¹, 80BD¹⁷, 40E³, 50E¹³, 40AR¹⁷, 30J¹³, 50F⁴, 40H³, 100J¹³, 40AD¹⁵, 40H⁹, 80K⁹, 60O¹⁷, 20B⁹, 180D²², 80R¹⁹, 150A²⁰, 80Y¹⁷, 80P¹⁵, 80N¹⁹, 50C⁶, 20J⁷, 60Q¹⁷, 80AF¹⁷, 90B²³, 60U¹³, 40AO¹⁷, 40Y¹⁵, 40L⁷, 60L¹⁹, 120J¹⁵, 80AL¹⁷, 40AE¹⁷, 60N⁹, 30L¹³, 160Q²¹, 40S⁷, 160T²¹, 70E¹⁷, 20D⁶, 60J¹⁵, 60AD¹⁵, 120M¹⁵, 80V¹⁷, 80W¹⁷, 60R¹⁷, 30G²¹, 80AS¹⁷, 120E¹⁵, 80J⁹, 80F⁹, 40AF¹⁷, 120J¹³, 50A¹³, 40H¹⁹, 160A²³, 40AA⁷, 50A¹², 80AC¹⁷, 100C²¹, 80D²¹, 40AG¹⁷, 80V¹⁵, 80R¹⁵, 40G³</t>
        </is>
      </c>
    </row>
    <row r="73">
      <c r="A73">
        <f>HYPERLINK("https://mathstats.uncg.edu/sites/pauli/congruence/csg0.html#group10D0", "10D⁰")</f>
        <v/>
      </c>
      <c r="B73" t="n">
        <v>0</v>
      </c>
      <c r="C73" t="inlineStr"/>
      <c r="D73" t="inlineStr">
        <is>
          <t>20</t>
        </is>
      </c>
      <c r="E73" t="inlineStr">
        <is>
          <t>1</t>
        </is>
      </c>
      <c r="F73" t="inlineStr">
        <is>
          <t>10</t>
        </is>
      </c>
      <c r="G73" t="inlineStr">
        <is>
          <t>4</t>
        </is>
      </c>
      <c r="H73" t="inlineStr">
        <is>
          <t>2</t>
        </is>
      </c>
      <c r="I73" t="inlineStr">
        <is>
          <t>10²</t>
        </is>
      </c>
      <c r="J73" t="n">
        <v>2</v>
      </c>
      <c r="K73" t="inlineStr">
        <is>
          <t>2¹, 4²</t>
        </is>
      </c>
      <c r="L73" t="inlineStr">
        <is>
          <t>5C⁰</t>
        </is>
      </c>
      <c r="M73" t="inlineStr">
        <is>
          <t>10H¹, 10J¹, 20F¹, 10C², 10E², 30F², 20O³, 50E⁴, 30I⁵, 70C⁸, 70B¹¹, 110C¹⁴, 110A¹⁹, 130A¹⁹</t>
        </is>
      </c>
      <c r="N73" t="inlineStr">
        <is>
          <t>5C⁰, 1A⁰</t>
        </is>
      </c>
      <c r="O73" t="inlineStr">
        <is>
          <t>20B¹⁷, 10H¹, 60A¹⁷, 30K¹⁷, 30A¹⁷, 10A⁵, 130A¹⁹, 20B¹¹, 40E¹⁵, 60S¹⁵, 30I⁵, 70D¹⁹, 40I¹⁹, 30E¹⁷, 10B⁵, 90D²³, 10J¹, 30B²², 30E²¹, 20B¹³, 20A⁹, 20E⁷, 20F⁵, 60J¹⁷, 70I¹⁷, 20A¹¹, 20D¹¹, 50F⁹, 30G¹⁰, 90F¹⁰, 40T⁹, 10A⁶, 30N⁹, 20A¹⁷, 110C¹⁴, 90L¹⁷, 60AH¹³, 10D³, 60Q¹⁵, 60A²³, 30I²³, 70G²¹, 140D²³, 40H¹³, 20A²¹, 30D²¹, 60Z¹⁵, 30F², 70C⁸, 60L⁷, 90M²¹, 140F¹⁹, 60S²¹, 40K¹⁹, 50A¹⁸, 80AH²¹, 140E¹⁹, 50A²⁰, 20D¹³, 30B¹⁵, 110A¹⁹, 100R¹⁹, 30A¹⁴, 60F²³, 10A¹³, 30G⁷, 20H¹⁵, 40S⁹, 150A²², 30B¹⁰, 60R²¹, 20A¹², 40I¹⁷, 40U⁹, 50A¹⁴, 90N¹⁷, 90A¹⁹, 60K¹⁷, 30C¹⁰, 30J⁷, 60D¹⁹, 20A¹³, 40J¹⁹, 30H⁷, 20G⁵, 20A¹⁵, 70B¹¹, 60P¹⁵, 10C², 60K⁷, 60M²³, 40I¹³, 60K²³, 50B²², 40B²¹, 20H⁵, 20C¹³, 80AI²¹, 20O³, 60R¹⁵, 30B⁹, 30B²¹, 20I¹⁵, 20N³, 60B¹⁹, 20I⁷, 40B¹⁷, 50A¹⁷, 50C²², 50B¹⁸, 40A²¹, 140G¹⁹, 20F¹, 30H²³, 30C⁸, 20B¹⁹, 30Q⁵, 30M¹³, 10E², 100J⁹, 140D¹⁹, 60K¹¹, 20A⁷, 50E⁴, 20O⁷, 20C¹⁵, 30C²³, 40J¹⁵, 70E²¹, 40F¹³, 30E¹⁵, 60U²¹</t>
        </is>
      </c>
    </row>
    <row r="74">
      <c r="A74">
        <f>HYPERLINK("https://mathstats.uncg.edu/sites/pauli/congruence/csg0.html#group10E0", "10E⁰")</f>
        <v/>
      </c>
      <c r="B74" t="n">
        <v>0</v>
      </c>
      <c r="C74" t="inlineStr"/>
      <c r="D74" t="inlineStr">
        <is>
          <t>30</t>
        </is>
      </c>
      <c r="E74" t="inlineStr">
        <is>
          <t>1</t>
        </is>
      </c>
      <c r="F74" t="inlineStr">
        <is>
          <t>10</t>
        </is>
      </c>
      <c r="G74" t="inlineStr">
        <is>
          <t>0</t>
        </is>
      </c>
      <c r="H74" t="inlineStr">
        <is>
          <t>6</t>
        </is>
      </c>
      <c r="I74" t="inlineStr">
        <is>
          <t>10³</t>
        </is>
      </c>
      <c r="J74" t="n">
        <v>3</v>
      </c>
      <c r="K74" t="inlineStr">
        <is>
          <t>2¹, 4²</t>
        </is>
      </c>
      <c r="L74" t="inlineStr">
        <is>
          <t>10A⁰</t>
        </is>
      </c>
      <c r="M74" t="inlineStr">
        <is>
          <t>10D³, 10A⁴, 30G⁴, 20A⁶, 20C⁶, 30E⁶, 30D⁷, 70F¹⁴, 70B¹⁵, 110A²³</t>
        </is>
      </c>
      <c r="N74" t="inlineStr">
        <is>
          <t>2A⁰, 1A⁰, 5A⁰, 10A⁰</t>
        </is>
      </c>
      <c r="O74" t="inlineStr">
        <is>
          <t>30A²², 10A¹³, 30D²², 30E⁶, 20C²², 30F²², 40A²², 30F¹³, 20A¹⁰, 30B²², 20D¹⁹, 90L²², 90C²², 20D¹⁰, 20C⁶, 20A¹¹, 110A²³, 40E²², 90J²², 20A⁶, 20B²², 40C²², 10A⁴, 70B¹⁵, 10D³, 10A⁷, 30A¹⁹, 20C¹⁹, 70F¹⁴, 20A²², 40L²², 30D⁷, 40B¹⁴, 30G⁴, 60G¹⁴, 40A¹⁴</t>
        </is>
      </c>
    </row>
    <row r="75">
      <c r="A75">
        <f>HYPERLINK("https://mathstats.uncg.edu/sites/pauli/congruence/csg0.html#group10F0", "10F⁰")</f>
        <v/>
      </c>
      <c r="B75" t="n">
        <v>0</v>
      </c>
      <c r="C75" t="inlineStr">
        <is>
          <t>Γ₁(10)</t>
        </is>
      </c>
      <c r="D75" t="inlineStr">
        <is>
          <t>36</t>
        </is>
      </c>
      <c r="E75" t="inlineStr">
        <is>
          <t>1</t>
        </is>
      </c>
      <c r="F75" t="inlineStr">
        <is>
          <t>18</t>
        </is>
      </c>
      <c r="G75" t="inlineStr">
        <is>
          <t>0</t>
        </is>
      </c>
      <c r="H75" t="inlineStr">
        <is>
          <t>0</t>
        </is>
      </c>
      <c r="I75" t="inlineStr">
        <is>
          <t>1², 2², 5², 10²</t>
        </is>
      </c>
      <c r="J75" t="n">
        <v>8</v>
      </c>
      <c r="K75" t="inlineStr">
        <is>
          <t>1⁶, 4³</t>
        </is>
      </c>
      <c r="L75" t="inlineStr">
        <is>
          <t>5D⁰, 10C⁰</t>
        </is>
      </c>
      <c r="M75" t="inlineStr">
        <is>
          <t>10K¹, 20H¹, 20G³, 10B⁴, 50F⁴, 30S⁵, 30C⁶, 50A¹², 50B¹², 50C¹², 50D¹², 70J¹⁷, 70F¹⁸</t>
        </is>
      </c>
      <c r="N75" t="inlineStr">
        <is>
          <t>5B⁰, 10C⁰, 5D⁰, 2B⁰, 1A⁰</t>
        </is>
      </c>
      <c r="O75" t="inlineStr">
        <is>
          <t>80G¹³, 20A¹⁹, 40R¹³, 80F²¹, 70J¹⁷, 20I⁵, 40K¹³, 30C⁶, 80AA²¹, 20H¹, 30H¹¹, 20F¹³, 60A¹⁵, 80A²¹, 40M⁵, 20R³, 50B¹², 50E¹³, 70F¹⁸, 60AJ¹³, 80O¹⁹, 90O²¹, 50F⁴, 100J¹³, 40H⁹, 40W⁹, 20G³, 30P¹³, 60O¹⁷, 60N¹³, 20S³, 40O¹³, 40K⁷, 20J⁷, 60Q¹⁷, 80E¹³, 10K¹, 80U¹⁷, 30S⁹, 10A¹³, 40AB¹⁷, 80J²¹, 20E¹³, 80Z²¹, 40P¹³, 40Y¹⁷, 30L¹³, 40L¹³, 40N⁷, 60AI¹³, 40T¹⁷, 60J¹⁵, 60S¹³, 80V¹⁷, 40AC¹⁵, 30S⁵, 10B⁴, 30G²¹, 50D¹², 40Q¹³, 30H¹³, 100N¹⁹, 80N²¹, 20M⁷, 80B²¹, 40AA¹⁷, 40AF¹⁷, 50C¹², 40J³, 40H¹⁹, 80H²¹, 40J¹³, 30R¹³, 20G¹³, 50A¹², 80F¹³, 80D¹³, 40AG¹⁷, 80U¹⁵, 20F⁹, 90A²⁴, 40G⁹</t>
        </is>
      </c>
    </row>
    <row r="76">
      <c r="A76">
        <f>HYPERLINK("https://mathstats.uncg.edu/sites/pauli/congruence/csg0.html#group10G0", "10G⁰")</f>
        <v/>
      </c>
      <c r="B76" t="n">
        <v>0</v>
      </c>
      <c r="C76" t="inlineStr"/>
      <c r="D76" t="inlineStr">
        <is>
          <t>36</t>
        </is>
      </c>
      <c r="E76" t="inlineStr">
        <is>
          <t>1</t>
        </is>
      </c>
      <c r="F76" t="inlineStr">
        <is>
          <t>18</t>
        </is>
      </c>
      <c r="G76" t="inlineStr">
        <is>
          <t>4</t>
        </is>
      </c>
      <c r="H76" t="inlineStr">
        <is>
          <t>0</t>
        </is>
      </c>
      <c r="I76" t="inlineStr">
        <is>
          <t>2³, 10³</t>
        </is>
      </c>
      <c r="J76" t="n">
        <v>6</v>
      </c>
      <c r="K76" t="inlineStr">
        <is>
          <t>1⁶, 4³</t>
        </is>
      </c>
      <c r="L76" t="inlineStr">
        <is>
          <t>10B⁰, 10C⁰</t>
        </is>
      </c>
      <c r="M76" t="inlineStr">
        <is>
          <t>10K¹, 20I¹, 20J¹, 20H³, 20M³, 30H⁴, 10A⁶, 50E⁶, 30S⁷, 50G¹², 50F¹², 50H¹², 50E¹², 70H¹⁶, 70I¹⁹</t>
        </is>
      </c>
      <c r="N76" t="inlineStr">
        <is>
          <t>5B⁰, 10C⁰, 2B⁰, 1A⁰, 10B⁰</t>
        </is>
      </c>
      <c r="O76" t="inlineStr">
        <is>
          <t>20B¹⁷, 40M¹³, 80AN¹⁷, 80AA¹⁷, 100O¹⁹, 40R¹³, 20J⁵, 20I⁵, 80AM¹⁷, 40K¹³, 20E¹¹, 30S⁷, 20H³, 120O²¹, 20F¹³, 20T³, 100D¹⁵, 60T¹¹, 80X¹⁷, 40Z¹⁵, 20K⁵, 20N⁷, 50E⁶, 20R³, 60M⁹, 80I¹³, 50E¹³, 60AG¹³, 60S²³, 40L⁵, 40S¹³, 10A⁶, 60X²¹, 20M³, 50E¹², 40U¹³, 40K¹¹, 90F²⁰, 40Z¹⁷, 30P¹³, 40AA¹⁵, 80AT¹⁷, 20A²¹, 80Y¹⁷, 40AC¹⁷, 80U²¹, 40W¹³, 50G¹², 80E²¹, 20J⁷, 80Y²¹, 80AF¹⁷, 30H⁴, 10K¹, 40N⁵, 40AH¹⁵, 40AN¹⁷, 40AI¹⁷, 60O¹⁹, 30J¹¹, 10A¹³, 60AF¹⁵, 40T⁷, 20E¹³, 40AS¹⁷, 30R⁹, 40Y¹⁷, 20J¹, 60N²³, 40V¹³, 40T¹⁷, 60O²³, 60B¹⁵, 80H¹³, 60P¹¹, 100E¹⁷, 70I¹⁹, 60R¹⁷, 40Q¹³, 30H¹³, 40T¹³, 40AG¹⁵, 80BC¹⁷, 40N¹³, 80C¹³, 60AB¹³, 40AQ¹⁷, 80AS¹⁷, 60R²³, 30H²¹, 40O⁷, 40O⁵, 40F⁹, 70H¹⁶, 20I¹⁵, 40L⁹, 40J¹³, 20B¹⁹, 80BE¹⁷, 50F¹², 20I¹, 60P²³, 50H¹², 60V¹¹, 80T¹⁹, 100C²¹, 60P¹⁷, 20F⁹, 80V¹⁵, 60V¹³</t>
        </is>
      </c>
    </row>
    <row r="77">
      <c r="A77">
        <f>HYPERLINK("https://mathstats.uncg.edu/sites/pauli/congruence/csg0.html#group11A0", "11A⁰")</f>
        <v/>
      </c>
      <c r="B77" t="n">
        <v>0</v>
      </c>
      <c r="C77" t="inlineStr"/>
      <c r="D77" t="inlineStr">
        <is>
          <t>11</t>
        </is>
      </c>
      <c r="E77" t="inlineStr">
        <is>
          <t>2</t>
        </is>
      </c>
      <c r="F77" t="inlineStr">
        <is>
          <t>11</t>
        </is>
      </c>
      <c r="G77" t="inlineStr">
        <is>
          <t>3</t>
        </is>
      </c>
      <c r="H77" t="inlineStr">
        <is>
          <t>2</t>
        </is>
      </c>
      <c r="I77" t="inlineStr">
        <is>
          <t>11¹</t>
        </is>
      </c>
      <c r="J77" t="n">
        <v>1</v>
      </c>
      <c r="K77" t="inlineStr">
        <is>
          <t>2¹, 10²</t>
        </is>
      </c>
      <c r="L77" t="inlineStr">
        <is>
          <t>1A⁰</t>
        </is>
      </c>
      <c r="M77" t="inlineStr">
        <is>
          <t>11B¹, 22A¹, 33A¹, 11A², 22B², 44A², 11A³, 33B³, 55A³, 55A⁴, 77A⁴, 77B⁴, 77A⁶, 55A⁷, 143A¹⁰, 187A¹⁵, 209A¹⁷, 99A²⁰, 253A²²</t>
        </is>
      </c>
      <c r="N77" t="inlineStr">
        <is>
          <t>1A⁰</t>
        </is>
      </c>
      <c r="O77" t="inlineStr">
        <is>
          <t>33C¹⁰, 132A²⁰, 66A²⁰, 198B²², 44A², 264A¹⁸, 154A²¹, 308B²¹, 176B¹⁶, 88B²¹, 99A⁵, 88A²¹, 176A¹¹, 187A¹⁵, 77B⁴, 88A²⁴, 176A²⁴, 110B¹⁴, 11A², 88A⁹, 165A²³, 44A⁶, 44A¹⁷, 88B²⁰, 66B²⁴, 154B¹², 66A²³, 176A²¹, 330C²⁴, 264C²⁴, 176C²⁰, 33A¹, 253A²², 33B⁸, 44B²¹, 66A²⁴, 198A²⁴, 143A¹⁰, 132A¹⁴, 55A⁴, 88B¹⁸, 44C¹⁷, 88A¹⁹, 154B¹⁷, 44A²⁰, 22A¹⁷, 132A²¹, 77A¹⁵, 165B¹², 198B¹¹, 66A⁶, 231B¹³, 55A⁷, 66A²², 132D¹⁶, 132A¹⁶, 33B³, 66B⁸, 198A¹¹, 66E⁶, 132F¹², 22B²², 66C²², 33A⁴, 132B¹⁹, 11A³, 154A²³, 66A¹¹, 11A⁵, 231B²⁰, 110A²³, 88B⁵, 55A²², 33A⁸, 176C¹⁹, 66E²², 176B¹⁹, 88A²⁰, 44C²², 44C⁴, 264D¹⁸, 330D²⁴, 99A¹⁹, 55A¹⁶, 88A¹⁰, 33B¹⁰, 44A¹⁴, 209A¹⁷, 66B²², 198A²⁰, 286A²³, 176A²⁰, 99A¹², 330B²⁴, 231A¹³, 132D¹⁵, 88A¹², 198A¹⁴, 88B²⁴, 132A²², 22B⁶, 99A¹⁵, 220B¹⁹, 77A⁶, 264C¹⁸, 88C²⁰, 55A³, 176B²⁰, 33A¹⁹, 22B⁵, 110A¹¹, 77A⁴, 55A¹⁸, 154A⁹, 198A¹⁷, 44B¹⁷, 165A¹⁰, 77A²¹, 88B⁸, 33B²², 132A⁷, 11A⁶, 66B¹³, 66A³, 22A⁵, 44A²², 99A¹⁰, 165A²¹, 33A¹⁰, 231A²⁰, 88A⁵, 22C²¹, 66A²¹, 220A¹⁶, 198E²¹, 275A²⁴, 110A¹³, 55A¹¹, 55B²⁴, 110C¹⁴, 66A¹⁹, 154B²³, 88A¹⁸, 176B²², 231A²², 176A¹⁹, 99A¹¹, 176A²², 165A¹², 33C²², 154A¹⁷, 143A²², 88A¹¹, 220A¹⁹, 110A¹⁷, 66A¹⁴, 22B¹³, 220C¹⁹, 132B²⁰, 22B²¹, 22D¹⁷, 44A¹⁰, 22B¹⁷, 154A¹², 22A¹, 77A¹⁰, 165B¹⁰, 77B¹⁰, 110A²¹, 11A⁸, 198A²¹, 154B⁹, 22B², 55A¹⁰, 66A⁴, 66A¹⁰, 154C¹², 88D²⁰, 132A¹³, 11A¹², 11B¹, 198A²², 44A⁹, 33A¹³, 22B¹⁸, 286A²⁰, 22A¹⁰, 66A¹⁶, 264B¹⁸, 99A¹⁴, 198B¹⁴, 110A⁸, 176B¹¹, 22B¹⁰, 308A²⁴, 99B⁹, 77A²⁰, 88D¹¹, 99B¹⁵, 110A⁷, 198A¹⁹, 55A²⁴, 44A⁵, 330A²⁴, 22B⁹, 132C²⁰, 22A²², 110A²⁴, 132E¹², 22A⁹, 132A¹⁹, 33A¹⁷, 165B¹⁷, 198E¹⁸, 66F⁶, 308A²¹, 99A²⁰</t>
        </is>
      </c>
    </row>
    <row r="78">
      <c r="A78">
        <f>HYPERLINK("https://mathstats.uncg.edu/sites/pauli/congruence/csg0.html#group12A0", "12A⁰")</f>
        <v/>
      </c>
      <c r="B78" t="n">
        <v>0</v>
      </c>
      <c r="C78" t="inlineStr"/>
      <c r="D78" t="inlineStr">
        <is>
          <t>12</t>
        </is>
      </c>
      <c r="E78" t="inlineStr">
        <is>
          <t>1</t>
        </is>
      </c>
      <c r="F78" t="inlineStr">
        <is>
          <t>4</t>
        </is>
      </c>
      <c r="G78" t="inlineStr">
        <is>
          <t>6</t>
        </is>
      </c>
      <c r="H78" t="inlineStr">
        <is>
          <t>0</t>
        </is>
      </c>
      <c r="I78" t="inlineStr">
        <is>
          <t>12¹</t>
        </is>
      </c>
      <c r="J78" t="n">
        <v>1</v>
      </c>
      <c r="K78" t="inlineStr">
        <is>
          <t>2²</t>
        </is>
      </c>
      <c r="L78" t="inlineStr">
        <is>
          <t>3A⁰, 4A⁰</t>
        </is>
      </c>
      <c r="M78" t="inlineStr">
        <is>
          <t>12F⁰, 12G¹, 12J¹, 24A¹, 24B¹, 24F¹, 36A¹, 12A², 60B³, 84A³, 60A⁴, 60J⁷, 132A⁷, 84C⁸, 156A¹¹, 132D¹², 204A¹⁵, 228C²⁰, 276D²⁴</t>
        </is>
      </c>
      <c r="N78" t="inlineStr">
        <is>
          <t>3A⁰, 1A⁰, 4A⁰</t>
        </is>
      </c>
      <c r="O78" t="inlineStr">
        <is>
          <t>24C¹⁰, 24L¹¹, 36H¹⁰, 144B¹⁰, 24M¹⁹, 72F¹⁴, 60AE¹⁵, 264A²⁴, 84A¹⁴, 24L¹⁵, 168M²³, 48A¹⁵, 96B²⁰, 48D¹⁶, 24R⁷, 48AE²¹, 48Z¹⁹, 48AT¹⁹, 72L¹⁴, 156A²¹, 12M³, 84E²³, 24AD¹⁷, 48B³, 48O¹⁸, 120A²⁰, 48E⁵, 48AD²¹, 48BW¹⁷, 48AM¹⁷, 48E⁶, 72L¹⁶, 48BW²¹, 96M¹⁹, 48AZ¹⁹, 120E²³, 48J⁷, 48AQ¹⁷, 72P²¹, 36T¹⁵, 48AY¹⁹, 48H¹⁶, 132G²³, 120F¹⁸, 24G¹⁹, 120B¹⁸, 168G²⁴, 24A¹⁰, 144H²⁰, 48CR²¹, 132D¹⁶, 48U¹⁵, 24AA¹⁷, 24V¹³, 36K⁹, 240A²¹, 72I¹⁰, 24B¹⁹, 48AF²¹, 12A¹³, 48BR¹⁷, 120N¹⁹, 24D¹⁷, 24X¹³, 48BV²¹, 36F¹², 48X¹⁵, 48BO¹⁷, 120G²¹, 24AM⁹, 48AD¹⁹, 72G¹¹, 264D¹⁸, 120J²³, 72N¹⁴, 24B¹, 24A¹³, 24AK¹⁷, 84C²³, 144I²², 48BZ¹⁷, 96AD¹⁹, 72F¹², 60A⁴, 132A²², 36B²⁰, 24L¹⁹, 96AD²³, 72Q¹⁹, 72O²¹, 48R⁸, 48G²⁰, 144E²², 36T¹⁰, 72S¹⁹, 48S¹⁹, 24W⁵, 60I⁹, 72H¹¹, 72A⁴, 48F⁶, 48M¹⁸, 132A⁷, 96X¹⁷, 72M²¹, 48AE¹⁷, 120H²¹, 144F²², 24L⁷, 168D¹⁰, 96N¹⁷, 36C¹⁷, 168K²², 48J¹¹, 60AH¹³, 72A²³, 24K²¹, 24AN⁹, 48E²⁰, 120B⁹, 24H¹⁹, 72M¹⁴, 132D¹², 24R⁹, 24J³, 36D¹⁶, 336C²⁴, 36D²³, 84N²¹, 168M²², 48T¹⁵, 24C⁸, 72A¹⁸, 84C⁸, 24R¹⁷, 120C¹⁹, 72E²³, 36M⁵, 36G¹², 72P¹⁹, 12J¹, 48N¹⁸, 48AS¹⁷, 36K¹⁹, 48O⁷, 24H², 24O⁴, 60E¹⁹, 120E¹⁷, 336A²⁴, 48AQ²¹, 72C⁴, 24D¹³, 96D¹⁷, 72F²³, 144A²⁴, 144Q²³, 144R²³, 12A¹¹, 24Q⁹, 72D¹⁸, 96C¹⁷, 48BN²¹, 60F²¹, 120N²¹, 168R²², 120K²¹, 48F²³, 36G⁹, 48BL¹⁹, 36J⁷, 60E¹⁷, 48AS²¹, 72F⁹, 24B¹³, 72N²¹, 240B¹⁹, 120E⁹, 12D⁵, 48AL¹⁷, 48U⁸, 24L², 144T²³, 24M²¹, 96Y¹⁷, 60U¹⁷, 48AB¹³, 108B²⁰, 48AM¹⁹, 36J⁵, 36B²¹, 72F¹⁰, 120J¹⁷, 48C¹⁶, 36A⁶, 24M⁸, 24L²¹, 48V¹⁵, 12A⁴, 144G²², 96O¹⁵, 36K⁷, 240A¹⁹, 60V¹⁷, 120G¹⁹, 36E¹¹, 48V²¹, 60D¹¹, 96R¹⁷, 264B²⁴, 48K⁹, 144H²², 84I²², 48BL¹⁷, 120Q¹⁹, 24J¹⁷, 48H⁸, 48Y¹⁵, 168D²⁴, 120D⁹, 72T²¹, 84B¹⁶, 48V⁸, 24O¹⁵, 84A³, 120L¹⁷, 48AX²¹, 24C⁹, 48G¹⁸, 120J²¹, 132C²³, 72W¹⁷, 48W¹⁵, 144N²², 36C¹¹, 24S⁴, 96B¹⁷, 24B¹⁶, 24X⁷, 168C²⁴, 120G¹⁷, 120C¹⁸, 72D⁴, 48F²⁰, 12A², 24AH¹⁷, 72B¹², 84E⁹, 24C¹³, 72J⁸, 48G¹⁹, 12B³, 24A⁴, 60AK¹³, 24N¹⁷, 168L²³, 24G⁶, 168E¹⁰, 48B¹⁹, 60C¹⁹, 144L²², 72F¹⁷, 72M¹⁵, 48AE¹⁹, 12C⁷, 36N¹³, 60E¹¹, 48BM¹⁷, 48P⁷, 24F⁶, 48B²⁰, 72J¹⁰, 36P¹⁹, 144M²¹, 168F²⁴, 72G²³, 48AZ²¹, 24AE⁷, 24Y⁹, 36D¹¹, 24R³, 48F²¹, 24L⁵, 24K⁷, 48E²³, 48BN¹⁷, 24A¹⁹, 24D³, 96A²⁰, 120M¹⁷, 36H³, 84D¹¹, 48G⁶, 12J³, 72S¹⁷, 96AC²³, 24H⁴, 24K², 48BA¹⁹, 36A¹⁶, 24K⁸, 48J¹⁸, 72D²³, 120I¹⁷, 48D²⁰, 168Q²², 72V¹⁹, 144G²⁰, 48F⁸, 48O¹¹, 36H¹², 24A¹⁶, 168B¹⁰, 48B¹⁶, 24F¹⁹, 12A⁹, 72H²³, 72Q²¹, 36E¹⁷, 24B¹⁵, 12B⁷, 84O²¹, 24AB⁷, 120R¹⁹, 48U¹⁹, 24T⁴, 96D²², 48P¹⁸, 156E²³, 24H⁹, 24B¹⁷, 36I¹³, 72B⁴, 72H⁸, 24A⁷, 48S¹⁵, 72M¹³, 168H¹⁰, 84F¹⁰, 48BK¹⁷, 48E²¹, 24AE¹⁷, 48AB¹⁹, 84L¹⁹, 48G⁸, 36Q¹⁵, 48C¹⁰, 24M¹⁵, 24B⁷, 120A⁹, 264A¹⁸, 168H²⁴, 60N²¹, 48AY²¹, 240C²¹, 24E¹³, 36D¹², 48D¹⁰, 48AK¹⁷, 12A⁵, 84M²¹, 24AB¹⁷, 168L²², 72C²³, 48AP⁹, 12Q¹, 24AA⁹, 72O¹⁴, 96B²², 24F¹³, 36N¹⁵, 24E¹⁰, 96L¹⁹, 168E²⁴, 24A⁸, 72T¹⁹, 84I⁸, 144D¹⁰, 48H²⁰, 48AL¹⁹, 48B¹⁸, 24U¹³, 48P¹⁷, 24M¹¹, 48AT²¹, 48G¹⁰, 120C¹⁷, 36A¹, 48R¹³, 24E³, 48S¹⁷, 72V²¹, 72G¹⁴, 36F¹⁵, 24L⁸, 48BJ¹⁷, 24K⁴, 48BI¹⁷, 144S²³, 120J¹⁹, 48Q²¹, 36L¹⁹, 336G²⁴, 48U⁷, 24D⁶, 24AO⁹, 24E¹⁶, 48AU¹⁷, 60R⁷, 48BO²¹, 168C¹⁹, 48A¹⁶, 48F¹⁰, 144K²², 72U¹⁹, 120K¹⁷, 24F¹⁷, 72C²², 72B¹⁸, 48A¹⁹, 84G²², 144D²⁰, 48T¹⁸, 36F⁶, 48BP²¹, 60W¹⁷, 48A³, 48BM¹⁹, 240B²¹, 48C¹⁵, 60H¹⁷, 144E²⁰, 24O¹⁹, 24B⁴, 48Q¹⁸, 96I¹¹, 120L²¹, 168A¹⁶, 120Q¹⁷, 120I¹⁹, 180A¹³, 48H⁶, 60P¹³, 252C²⁴, 60J²³, 72I⁸, 72J¹⁵, 48AB⁷, 168J²², 96G²⁰, 156F²³, 24C¹⁹, 48T¹⁷, 72L¹⁰, 24AB³, 96O²⁰, 48B⁸, 36R¹³, 48AU¹⁹, 24P¹⁹, 168N²², 60J⁹, 60Y¹⁷, 60L²¹, 48L²¹, 48BL²¹, 48D²², 24C¹⁵, 144J²², 72K⁸, 60F¹⁹, 36A²¹, 120F²³, 36E⁵, 48AS¹⁹, 48A²⁰, 60B³, 48BX¹⁷, 144B²⁴, 24AC¹⁷, 60G¹⁹, 24A¹⁵, 36L⁹, 12G¹, 24AG¹⁷, 84J¹³, 48AT¹⁷, 276D²⁴, 72X¹⁵, 24E⁶, 48E¹⁶, 24G¹⁷, 12C³, 96J¹⁹, 84D²³, 48AH¹⁹, 48CI¹⁷, 168G¹⁰, 60A²⁴, 48AF¹⁷, 24V⁹, 72A¹², 24Q¹⁹, 24R¹⁵, 48I²⁰, 48BX²¹, 72V¹⁷, 36P¹⁵, 72E¹⁰, 48B¹⁵, 60AG¹⁵, 144M²², 72W²¹, 36J⁹, 24P⁵, 24AL⁹, 264B¹⁸, 240D²¹, 36F¹¹, 120H¹⁹, 24O⁵, 168I²², 168O²², 24N¹⁹, 48T²¹, 168P²³, 144C²⁰, 180B¹³, 144D²², 144A¹⁰, 120M²¹, 36H¹⁹, 120H¹⁷, 144C²², 36E¹⁹, 48AJ¹⁹, 24X⁹, 48D¹⁹, 60Q⁷, 48AR²¹, 24Y⁷, 24Q⁷, 24D¹⁹, 60J⁷, 24AC⁷, 96N²⁰, 24R¹³, 24D⁷, 84G¹¹, 48L¹⁸, 120B²³, 72E⁷, 48B¹², 72L¹⁵, 168I²⁴, 336F²⁴, 120S¹⁹, 120I²³, 72J¹⁴, 204A¹⁵, 48Q¹⁷, 72C¹², 168H²², 120I²¹, 24P⁹, 48E¹⁸, 24W¹⁷, 96H²⁰, 60C⁵, 60D⁸, 12F⁰, 24N¹⁵, 48B²², 168J²⁴, 48C²⁰, 48AV¹⁹, 168F¹⁰, 36B¹⁴, 36N⁴, 96E¹⁷, 48F¹⁸, 144N²¹, 24C¹⁶, 72U²¹, 48C¹¹, 60B¹³, 12I², 48A⁸, 48K¹⁸, 168O²³, 72E¹¹, 48Y¹⁹, 96F¹⁷, 48J¹⁶, 252A¹⁴, 72D¹⁴, 336H²⁴, 120O¹⁹, 48S¹⁸, 48U²¹, 60A¹⁰, 120P¹⁷, 48AP¹⁷, 132B¹⁹, 168I²³, 24N⁸, 48C²², 120D¹⁹, 24D¹⁶, 24B¹⁰, 60C²², 60C⁹, 24G², 36S¹⁵, 48J¹⁵, 132F²³, 48Q¹³, 24S¹⁹, 168N²³, 96O¹⁷, 24J¹⁹, 72B²³, 168J²³, 48I¹⁶, 60X¹⁵, 24AF¹⁷, 60B¹⁰, 84E¹⁵, 168A¹⁰, 60O²¹, 24B⁵, 264C¹⁸, 48I⁷, 96AC¹⁹, 48AC⁷, 48AI¹⁹, 72G¹⁰, 48A²², 24Q¹⁵, 24A¹, 24P¹⁵, 24I¹⁹, 168G²², 60M²¹, 96A²³, 84F¹⁵, 24T¹³, 36D², 72H¹⁰, 48A¹², 60K²¹, 120A²³, 24W⁹, 336D²⁴, 48I¹⁵, 24F¹, 48V¹⁹, 48BA²¹, 60E²¹, 168B¹⁶, 48G¹⁶, 48AN¹⁷, 48R¹⁸, 36R¹⁵, 48AK¹⁹, 60W¹⁵, 48D¹⁵, 336E²⁴, 144F²⁰, 60B²², 48AO¹⁷, 24P³, 72Z¹⁵, 60I¹⁷, 228C²⁰, 84C¹⁵, 24C⁷, 84P²¹, 168C¹⁰, 84H⁸, 72R¹⁹, 24E¹⁹, 36M⁴, 24E¹⁷, 48AC¹⁹, 72F¹¹, 48T¹⁹, 120B²⁰, 168P²², 144C¹⁰, 72C¹⁸, 336B²⁴, 48H¹⁵, 120F¹⁷, 72S²¹, 24P⁸, 120C⁹, 156A¹¹, 24K¹¹, 48F¹⁶, 72K¹⁰, 120F⁹, 144C²⁴, 24AL¹⁷, 48BY²¹, 120P¹⁹, 48BM²¹, 72G⁹, 36L⁴, 168K²³</t>
        </is>
      </c>
    </row>
    <row r="79">
      <c r="A79">
        <f>HYPERLINK("https://mathstats.uncg.edu/sites/pauli/congruence/csg0.html#group12B0", "12B⁰")</f>
        <v/>
      </c>
      <c r="B79" t="n">
        <v>0</v>
      </c>
      <c r="C79" t="inlineStr"/>
      <c r="D79" t="inlineStr">
        <is>
          <t>16</t>
        </is>
      </c>
      <c r="E79" t="inlineStr">
        <is>
          <t>1</t>
        </is>
      </c>
      <c r="F79" t="inlineStr">
        <is>
          <t>4</t>
        </is>
      </c>
      <c r="G79" t="inlineStr">
        <is>
          <t>0</t>
        </is>
      </c>
      <c r="H79" t="inlineStr">
        <is>
          <t>4</t>
        </is>
      </c>
      <c r="I79" t="inlineStr">
        <is>
          <t>4¹, 12¹</t>
        </is>
      </c>
      <c r="J79" t="n">
        <v>2</v>
      </c>
      <c r="K79" t="inlineStr">
        <is>
          <t>1², 2¹</t>
        </is>
      </c>
      <c r="L79" t="inlineStr">
        <is>
          <t>6C⁰</t>
        </is>
      </c>
      <c r="M79" t="inlineStr">
        <is>
          <t>36A⁰, 12O¹, 12R¹, 36B¹, 12F², 36A², 12A³, 36A³, 36A⁴, 36B⁴, 60B⁴, 60E⁷, 84D⁷, 84E⁸, 60I¹¹, 132E¹², 132A¹⁵, 156B¹⁵, 204B²³, 228A²³</t>
        </is>
      </c>
      <c r="N79" t="inlineStr">
        <is>
          <t>3B⁰, 2A⁰, 1A⁰, 6C⁰</t>
        </is>
      </c>
      <c r="O79" t="inlineStr">
        <is>
          <t>108D²², 252B²³, 24AE⁹, 36F⁹, 36A⁹, 108A⁹, 60B⁴, 36H⁷, 24AD⁹, 108C²², 132A¹⁵, 12E⁵, 36A³, 60T²¹, 24AP¹⁷, 60A¹⁸, 12L³, 36M²², 60J¹³, 36B⁹, 12R¹, 84G¹⁵, 204B²³, 12O¹, 24G¹³, 36M⁹, 48CA²¹, 180B²⁰, 60B¹⁸, 36H¹¹, 12A³, 72Y²¹, 36E⁹, 108A⁸, 180A¹⁵, 36C¹⁹, 60S²¹, 180G²³, 108A¹⁰, 12A⁷, 48U¹³, 36A¹¹, 24H²¹, 180A¹², 36A¹⁰, 36F¹⁰, 60I¹¹, 36A⁴, 180A¹⁶, 108B⁸, 36D¹⁹, 36B⁴, 60G¹⁴, 36A², 48CJ²¹, 108C¹⁰, 72Z²¹, 36I¹⁰, 180F²¹, 108A⁶, 60L¹⁷, 60L¹⁹, 12F⁷, 180B¹⁶, 48CC²¹, 24B²¹, 84E⁸, 84K¹³, 24AB¹³, 36B¹³, 180A¹⁹, 36G¹⁰, 84D⁷, 180D²¹, 12A⁹, 12F², 36B¹⁰, 108B¹⁰, 180C²³, 60T¹⁵, 36U¹³, 60E⁷, 108A¹¹, 36B¹, 24AR¹⁷, 36K⁶, 180A¹⁷, 156B¹⁵, 36A⁰, 36C¹⁰, 108B²², 60B²¹, 36A¹³, 180A²⁰, 84G²³, 180D²⁰, 36E¹⁰, 180D²³, 108A⁴, 12B¹³, 24AS¹⁷, 180H²³, 180B¹⁸, 252F²⁴, 60J²¹, 36J⁶, 108B⁹, 180C¹⁶, 36S⁴, 132E¹², 36D¹⁰, 180B¹⁵, 24AL⁷, 60Y¹⁵, 60A¹⁹, 228A²³, 36M⁷, 36N⁹, 24Q⁵, 108A¹², 108B¹¹, 36B¹¹</t>
        </is>
      </c>
    </row>
    <row r="80">
      <c r="A80">
        <f>HYPERLINK("https://mathstats.uncg.edu/sites/pauli/congruence/csg0.html#group12C0", "12C⁰")</f>
        <v/>
      </c>
      <c r="B80" t="n">
        <v>0</v>
      </c>
      <c r="C80" t="inlineStr"/>
      <c r="D80" t="inlineStr">
        <is>
          <t>18</t>
        </is>
      </c>
      <c r="E80" t="inlineStr">
        <is>
          <t>1</t>
        </is>
      </c>
      <c r="F80" t="inlineStr">
        <is>
          <t>3</t>
        </is>
      </c>
      <c r="G80" t="inlineStr">
        <is>
          <t>6</t>
        </is>
      </c>
      <c r="H80" t="inlineStr">
        <is>
          <t>0</t>
        </is>
      </c>
      <c r="I80" t="inlineStr">
        <is>
          <t>6¹, 12¹</t>
        </is>
      </c>
      <c r="J80" t="n">
        <v>2</v>
      </c>
      <c r="K80" t="inlineStr">
        <is>
          <t>1³</t>
        </is>
      </c>
      <c r="L80" t="inlineStr">
        <is>
          <t>4C⁰, 6D⁰</t>
        </is>
      </c>
      <c r="M80" t="inlineStr">
        <is>
          <t>12H⁰, 24A⁰, 12J¹, 12L¹, 12M¹, 24C¹, 24D¹, 24E¹, 12B², 24C², 36B², 24A³, 60A⁵, 60B⁶, 84B⁶, 60L¹¹, 84A¹¹, 132F¹², 132A¹⁷, 156B¹⁷, 204F²³</t>
        </is>
      </c>
      <c r="N80" t="inlineStr">
        <is>
          <t>2B⁰, 3A⁰, 1A⁰, 6D⁰, 4C⁰</t>
        </is>
      </c>
      <c r="O80" t="inlineStr">
        <is>
          <t>24C¹⁰, 24E¹, 84F¹⁶, 168E¹⁶, 48O¹⁷, 36L⁸, 48M⁹, 48T¹¹, 48O⁸, 96A¹⁸, 24M¹⁹, 72F¹⁴, 24L¹⁵, 48BK¹⁹, 12G³, 120O²¹, 24O⁹, 96AU²¹, 48CE¹⁷, 96D²⁰, 96B²⁰, 48AE²¹, 24R⁷, 36I⁶, 48Z¹⁹, 60A⁵, 48AT¹⁹, 48D¹⁶, 120G¹⁵, 24K¹⁵, 48AG¹⁷, 36R¹⁹, 288A²³, 36U¹⁹, 96W¹⁵, 24AD¹⁷, 48CH¹⁷, 48BS²¹, 48AH⁷, 48O¹⁸, 48I¹¹, 48AD²¹, 72L¹⁷, 72P¹⁵, 36E⁶, 264C²⁴, 48E⁵, 48M¹⁷, 48BW¹⁷, 48AM¹⁷, 96E²¹, 48K¹¹, 60B⁶, 48AH¹⁷, 96W¹⁷, 48I¹⁹, 48A⁰, 48AJ⁷, 72L¹⁶, 96Y¹⁹, 48L¹⁵, 48BW²¹, 36H¹⁶, 96M¹⁹, 48AZ¹⁹, 168A¹⁷, 24I¹⁵, 48A¹¹, 96AS¹⁹, 48AC¹³, 48AQ¹⁷, 48BH²¹, 48H¹⁶, 48AY¹⁹, 24G¹⁹, 48BH¹⁷, 72V¹⁵, 24A¹⁰, 72I¹⁶, 48U¹⁵, 48BE²¹, 24AA¹⁷, 24V¹³, 48BG¹⁹, 24B¹⁹, 96AE²¹, 48P¹⁹, 12H², 48AF²¹, 48P¹¹, 48AW¹⁹, 84J²², 48BR¹⁷, 12A¹³, 96I⁹, 24N⁴, 96AY²¹, 36A²³, 72H¹⁶, 24D¹⁵, 24X¹³, 24D¹⁷, 84D²¹, 48BV²¹, 36F¹², 48X¹⁵, 48BR²¹, 48BO¹⁷, 48CC¹⁷, 168B¹⁵, 48AD¹⁹, 132A¹⁷, 120A¹¹, 48BU²¹, 24U¹⁷, 36E²¹, 96C¹⁸, 48T⁹, 60R²³, 24O⁷, 168A²³, 36H⁵, 24AK¹⁷, 96Q¹⁷, 96Y²³, 96E¹⁸, 48N²¹, 48L⁹, 72X²¹, 48Y⁹, 48BZ¹⁷, 96A¹⁶, 96AD¹⁹, 72F¹², 96AL¹⁹, 72G¹⁷, 48AF¹³, 96AA¹⁹, 60L¹¹, 192F²¹, 84N²², 36B²⁰, 24E¹⁵, 96AH²³, 48AZ¹⁷, 24L¹⁹, 96AD²³, 72A²⁴, 48H¹⁹, 96AF²⁰, 24X⁵, 60U²¹, 48M¹¹, 24P⁴, 48R⁸, 48AF⁹, 72K¹², 96AI²¹, 12B², 48G²⁰, 96AA¹⁷, 120B¹¹, 48S¹⁹, 24W⁵, 96AC²⁰, 96AO²¹, 48M¹⁸, 72K¹⁵, 24Z¹⁷, 96X¹⁷, 96R²⁰, 48Y²¹, 72O¹⁶, 48AE¹⁷, 96AA²⁰, 96A⁷, 24P¹⁷, 24K¹⁹, 120F¹³, 72C¹⁴, 24L⁷, 96A¹⁹, 48AC⁸, 96J¹¹, 168B²², 72N¹¹, 96N¹⁷, 48K¹⁵, 48AC²¹, 24Y¹³, 96I²⁰, 48J¹¹, 144B¹², 252G²⁴, 96H¹³, 96K²⁰, 36C²⁰, 144Y²³, 48E²⁰, 24H¹⁹, 48H⁵, 36D¹³, 72H¹⁵, 12L¹, 24R⁹, 48C⁴, 72AA²¹, 24J¹⁵, 36D²³, 24J³, 48T¹⁵, 24C⁸, 48AJ²¹, 48E³, 24R¹⁷, 72O¹², 24Y¹⁷, 48N¹⁸, 12J¹, 48AS¹⁷, 96B¹⁹, 48O⁷, 24E⁹, 48AA⁸, 24O⁴, 24Q³, 96I²³, 84D¹⁴, 144C¹³, 72W¹⁹, 96F⁹, 48AQ²¹, 48D¹⁷, 96AT²¹, 96D¹⁷, 96AJ²¹, 36N¹⁹, 12A¹¹, 24Q⁹, 96AX²¹, 96N²³, 96P¹⁷, 24R¹⁹, 96C¹⁷, 48BN²¹, 144C¹⁴, 24T³, 48AB¹⁵, 36N¹¹, 144D¹³, 96AF¹⁷, 48BL¹⁹, 96G¹⁸, 24V¹⁷, 24N², 48I⁶, 84A²¹, 48AS²¹, 24Z⁷, 12D⁵, 144D¹⁴, 48U⁸, 48AL¹⁷, 24L², 60Z¹³, 96F²³, 96G¹⁷, 60Y¹³, 96C²², 84C²⁰, 96D¹⁶, 96Y¹⁷, 48AB¹³, 60G²³, 48AE⁷, 48AA⁷, 24H⁷, 48AM¹⁹, 48BI¹⁹, 36C²³, 72J¹², 36I⁵, 96O²³, 96AJ¹⁹, 96A⁵, 144B¹³, 96AG²³, 72P¹³, 48C¹⁶, 96AG²¹, 48H²¹, 72H¹⁴, 72H¹³, 24M⁸, 48S⁸, 48V¹⁵, 12A⁴, 96T¹⁵, 60A¹⁵, 48O²¹, 48A²¹, 144W²³, 288A²¹, 24S³, 96S²³, 48AN²¹, 96O¹⁵, 96AB¹⁷, 96A²², 24K⁶, 48J²¹, 24O¹³, 120H¹³, 24K¹⁷, 168E¹⁸, 48V²¹, 96C¹⁰, 48AG⁷, 48AA²¹, 96R¹⁷, 48F¹⁵, 48R¹⁷, 48AK²¹, 48K⁹, 96E²³, 48BL¹⁷, 84I²², 84C¹⁴, 36O⁹, 24J¹⁷, 48H⁸, 48Y¹⁵, 96Z²⁰, 48V⁸, 84B¹⁶, 24O¹⁵, 48AD⁷, 120E¹³, 48O¹⁹, 48BC¹⁷, 48BD¹⁹, 48AX²¹, 72E¹⁸, 144E¹⁰, 48BH¹⁹, 48C⁸, 48BG¹⁷, 96V²⁰, 24C⁹, 48G¹⁸, 48CB¹⁷, 48W¹⁵, 96U¹⁵, 48BF¹⁷, 96B¹⁷, 24B¹⁶, 24X⁷, 36R⁴, 24N¹¹, 24M⁹, 132F¹², 48S²¹, 72K¹⁷, 48AE⁸, 96Q¹⁵, 96AB¹⁹, 192J²¹, 72D¹⁷, 60S¹¹, 24N³, 72J¹⁷, 48F²⁰, 96AP²¹, 96D²³, 48BT²¹, 60O¹³, 24AH¹⁷, 96G²³, 48D³, 48W⁹, 96C²³, 48AV¹⁷, 24S¹⁵, 72N¹³, 96F¹⁸, 72J²², 84H¹⁷, 24P⁷, 96J²³, 48BD¹⁷, 48G¹⁹, 168G¹⁶, 72E⁴, 48J⁹, 48I⁹, 48Q⁸, 24N¹⁷, 24O¹⁷, 96W²⁰, 96Y²⁰, 144D¹⁸, 48AE¹⁵, 24G⁶, 36B¹⁶, 24U⁹, 48B¹⁹, 48BE¹⁷, 72F¹⁷, 96D⁹, 72M¹⁵, 96H⁹, 48AE¹⁹, 12C⁷, 48BU¹⁷, 12C⁴, 48AP²¹, 48AF¹⁵, 60C¹², 24C¹⁷, 96H¹⁹, 96H²¹, 120B¹², 24T¹⁵, 24O², 12T¹, 48A¹⁰, 48BM¹⁷, 96A²¹, 48BJ¹⁹, 48P⁷, 24F⁶, 36M¹⁵, 48B²⁰, 48AN¹⁹, 24F⁵, 24AI¹⁷, 24L¹⁷, 48S⁷, 72I¹³, 96BA¹⁹, 48AZ²¹, 48J¹⁷, 24AE⁷, 96AB²⁰, 48X⁹, 24Y⁹, 60M⁹, 144A⁸, 24R³, 48N⁸, 48F²¹, 96A³, 24K⁷, 24I⁶, 96E¹⁶, 24A¹⁹, 96A²⁰, 48Z²¹, 48E⁹, 48BN¹⁷, 96Q²⁰, 48K¹⁷, 48W⁸, 24B⁹, 48I¹⁸, 204F²³, 24Y⁵, 72B⁶, 48BD²¹, 12J³, 96AC²³, 48V⁷, 96X¹⁹, 24H⁴, 72N¹⁵, 48BA¹⁹, 72D⁶, 24T¹⁷, 24K⁸, 48J¹⁸, 48AC¹⁵, 36A¹⁶, 72B⁷, 24C¹, 48D²¹, 96K⁹, 96W¹⁹, 180I²¹, 96B²³, 48A⁶, 48D²⁰, 48I¹⁷, 96AO¹⁹, 36C²¹, 96AR¹⁹, 48G¹¹, 168C¹⁶, 72B¹⁴, 48F⁸, 48O¹¹, 96AI¹⁹, 96B⁹, 24A¹⁶, 24I³, 96D⁸, 72U¹⁵, 72B¹⁷, 36D¹⁵, 48B¹⁶, 120A¹³, 24F¹⁹, 72M¹¹, 96AM²¹, 60N²³, 120M²³, 48C²¹, 96U²⁰, 24H³, 24M¹⁷, 24B¹⁵, 24U⁵, 72W¹⁵, 48AI²¹, 12B⁷, 24S⁵, 24J⁹, 24AB⁷, 48U¹⁹, 24U¹⁵, 48AY¹⁷, 84B⁶, 48R⁹, 96D²², 72Q¹⁵, 48P¹⁸, 120N²³, 48F⁵, 48G¹⁵, 24H⁹, 192K²¹, 24B¹⁷, 60X¹³, 36I¹³, 72L¹², 48BC¹⁹, 12B⁹, 48H⁴, 48AA¹⁵, 24B⁸, 48BB¹⁹, 48L¹⁹, 48P⁸, 48S¹⁵, 72M¹³, 96A¹², 48B¹⁰, 96AN¹⁹, 96AV¹⁹, 84I¹⁵, 48BB²¹, 48N⁷, 60D¹⁵, 48BK¹⁷, 144C¹⁸, 48E²¹, 24AE¹⁷, 48X¹³, 24E⁴, 96AE²⁰, 48Q¹¹, 48AB¹⁹, 96C⁹, 48C¹⁰, 48F³, 48G⁸, 24M¹⁵, 168D²³, 96R¹⁵, 96Y²¹, 336I²⁴, 96AH¹⁹, 96B¹⁶, 72K¹³, 48BE¹⁹, 48I²¹, 48AY²¹, 48R¹¹, 48AI¹⁷, 48D¹⁰, 36D¹², 48AK¹⁷, 96B¹², 24AB¹⁷, 36E¹⁶, 48AH²¹, 48U¹⁷, 48M¹⁵, 36E⁷, 144B¹⁵, 24AA⁹, 96F²⁰, 24Q¹³, 96S²⁰, 96AK¹⁹, 96C²⁰, 96B²², 48N¹¹, 24AD⁷, 48V⁹, 36N¹⁵, 24E¹⁰, 96L¹⁹, 24A⁸, 24V⁷, 48CD¹⁷, 48H²⁰, 48AL¹⁹, 24S⁹, 48B¹⁸, 48BK²¹, 24U¹³, 144A¹³, 48P¹⁷, 48AT²¹, 48AB²¹, 48BC²¹, 72J¹³, 48G¹⁰, 96AA²³, 48B²¹, 24G⁸, 48S¹⁷, 72G¹⁴, 96AY¹⁹, 120I¹³, 48E¹⁹, 24I⁹, 24L⁸, 96E¹⁹, 24K⁴, 24Z⁹, 60AA¹³, 48BJ¹⁷, 48BI¹⁷, 48AE⁹, 48Q²¹, 48BQ²¹, 96S¹⁵, 60F¹³, 48U⁷, 96D¹⁰, 24A³, 24D⁶, 24E¹⁶, 96Z²³, 48AU¹⁷, 48CF¹⁷, 48AV²¹, 12C⁵, 48BO²¹, 72B¹⁶, 48A¹⁶, 48F¹⁰, 48K⁶, 48E¹¹, 24F¹⁷, 48A¹⁹, 48BB¹⁷, 96AV²¹, 48T¹⁸, 36F⁶, 48BP²¹, 48BM¹⁹, 48B¹¹, 48C⁶, 96T²³, 24O¹⁹, 48G²¹, 72H¹², 48Q¹⁸, 96I¹¹, 120B¹³, 120C¹³, 48M²¹, 120G¹³, 144A¹⁴, 24D¹, 168B²³, 48U⁹, 96AM¹⁹, 48AF¹⁹, 24J⁶, 60P¹³, 72N¹⁶, 48AD⁸, 48AX¹⁷, 168D²², 48C³, 72J¹⁵, 96AQ¹⁹, 48BA¹⁷, 48AB⁷, 48L¹¹, 96D¹², 72I¹⁵, 48K²¹, 24C¹⁹, 48D⁸, 36E¹², 96G²⁰, 24M², 24T⁵, 48T¹⁷, 96C⁸, 96AE¹⁷, 96O²⁰, 24N⁹, 24L⁴, 48D¹⁸, 48AR¹⁷, 48AU¹⁹, 24P¹⁹, 96AU¹⁹, 48AA¹³, 96AD²¹, 96AG²⁰, 12M¹, 96Z²¹, 48R²¹, 24AJ¹⁷, 48L²¹, 48BL²¹, 144F¹⁶, 24O³, 48D²², 24C¹⁵, 96AN²¹, 96J⁹, 48T⁷, 36B²³, 36I¹¹, 72C¹⁷, 24A⁹, 48E¹⁵, 48AS¹⁹, 120A¹⁷, 48A²⁰, 60Q¹¹, 48BX¹⁷, 96AB²³, 84A¹¹, 192G²¹, 24AC¹⁷, 24A¹⁵, 144B¹⁸, 24AG¹⁷, 96V¹⁵, 48AT¹⁷, 60X²¹, 72Q¹⁶, 48CG¹⁷, 48K¹⁹, 72X¹⁵, 24E⁶, 48E¹⁶, 72R¹¹, 24AM¹⁷, 24G¹⁷, 24Q¹⁷, 48BY¹⁷, 96J¹⁹, 36B⁸, 192E²¹, 48AH¹⁹, 36B¹⁸, 240B²⁴, 48AL²¹, 48CI¹⁷, 24D⁹, 48AD¹⁵, 96X²⁰, 48BG²¹, 48AF¹⁷, 144X²³, 96AF²³, 96AW²¹, 96V¹⁷, 36C⁶, 24V⁹, 24O⁸, 96R²³, 144E¹³, 72D⁸, 24Q¹⁹, 24R¹⁵, 96T¹⁷, 48I²⁰, 48BX²¹, 72M¹⁶, 72I¹⁷, 12B⁵, 48X⁸, 96B²¹, 72A¹⁶, 24G⁹, 24C², 48H¹¹, 72H⁹, 24V⁵, 96W²³, 48M⁷, 48P²¹, 96AG¹⁷, 36A¹⁴, 24H⁶, 24I⁷, 48F¹¹, 144A¹⁸, 144D¹⁵, 24D⁸, 48X¹⁹, 48AO¹⁹, 96AT¹⁹, 24N¹⁹, 48T²¹, 48Z⁷, 96P²⁰, 24S¹⁷, 72A¹⁷, 48W²¹, 24D⁵, 96F⁸, 48M³, 72I²³, 48AJ¹⁹, 24X⁹, 48D¹⁹, 48AR²¹, 96U²³, 96L²³, 24Q⁷, 48BJ²¹, 48E¹⁷, 24D¹⁹, 24Y⁷, 96AA²¹, 84C²¹, 96L²⁰, 60A¹⁴, 24AC⁷, 72A⁹, 96AE¹⁹, 36B², 24R¹³, 24A⁵, 96N²⁰, 192H²¹, 24I¹⁷, 120B¹⁷, 180F²⁰, 48L¹⁸, 96G¹³, 48AX¹⁹, 72L¹⁵, 48CA¹⁷, 168C²³, 48B⁶, 48E⁴, 192I²¹, 24H⁸, 48S⁹, 48BF²¹, 24J⁸, 72J¹⁴, 72E¹⁴, 84A¹⁶, 48Q¹⁷, 24H¹, 168F¹⁸, 24P⁹, 48E¹⁸, 24W¹⁷, 48AI⁷, 96H²⁰, 36F²², 72D²⁰, 48X²¹, 24N¹⁵, 48B²², 96AF²¹, 24K¹³, 84J¹⁶, 240A²³, 48C²⁰, 96AE²³, 36P¹³, 48AV¹⁹, 96Z¹⁷, 36P⁹, 48M¹⁹, 36B¹⁴, 96E¹⁷, 96P²³, 96BB¹⁹, 48F¹⁸, 48F¹⁹, 24C¹⁶, 48V¹¹, 72M¹², 48AM²¹, 48A², 96AZ¹⁹, 24Z¹³, 96C¹², 48C¹¹, 96U¹⁷, 48K¹⁸, 12I², 24S¹³, 48AW²¹, 60B¹³, 48AF⁸, 48Y¹⁹, 48Z⁸, 48R¹⁹, 36A¹⁵, 96AD²⁰, 96F¹⁷, 48J¹⁶, 72D¹⁴, 24AA¹³, 48AJ¹⁷, 48S¹⁸, 24F¹⁵, 48U²¹, 96X²³, 48AU²¹, 72E⁶, 24A⁰, 48D¹¹, 48AP¹⁷, 24N⁸, 48C²², 24D¹⁶, 36C¹², 24B¹⁰, 96V¹⁹, 72F²⁰, 240B²³, 96T²⁰, 24S⁷, 48H¹⁷, 48AW¹⁷, 48J¹⁵, 84I¹⁶, 24H¹⁷, 72A⁵, 24S¹⁹, 96O¹⁷, 24W⁷, 24J¹⁹, 48W¹⁹, 36A²⁰, 72O¹⁵, 48A⁹, 24AF¹⁷, 12D⁷, 48I¹⁶, 96K¹¹, 96AF¹⁹, 72G¹³, 96AD¹⁷, 144J¹⁹, 48BF¹⁹, 48AG²¹, 72G¹², 48N¹⁹, 48U¹¹, 48AF⁷, 24B⁵, 24G⁴, 24F⁹, 48AB⁸, 48AO²¹, 72G¹⁶, 36K¹⁵, 48AD⁹, 96AC²¹, 24AA⁷, 96AC¹⁹, 48G³, 48AC⁷, 96C¹⁶, 48AI¹⁹, 24P², 24J⁷, 120H¹⁵, 96K²³, 48AQ¹⁹, 24I⁸, 48H³, 96H²³, 48A²², 24Q¹⁵, 168F¹⁶, 72J²³, 48BI²¹, 48Z¹⁵, 24P¹⁵, 24J¹³, 24I¹⁹, 96V²³, 96A²³, 48AR¹⁹, 24T¹³, 96AH²¹, 96E²⁰, 96Q²³, 48T⁸, 144B¹⁴, 24W⁹, 144C¹⁵, 48AG¹⁹, 96E⁹, 72E²⁰, 24D⁴, 72I¹², 48I¹⁵, 120B¹⁴, 96AL²¹, 48AE¹³, 96U¹⁹, 96AG¹⁹, 12D³, 48V¹⁹, 12I³, 168D¹⁶, 24C⁵, 48BA²¹, 48H⁹, 120A¹⁵, 144F¹³, 48C¹⁹, 48L¹⁷, 48G¹⁶, 12P³, 48AN¹⁷, 48R¹⁸, 96J²⁰, 72H¹⁷, 48AK¹⁹, 48N¹⁷, 48Z⁹, 60D¹³, 36H¹³, 168A¹², 96H¹⁷, 24Q², 24P³, 72N¹², 48AO¹⁷, 24E⁵, 72O¹³, 48J¹⁹, 48BP¹⁷, 48AB⁹, 24E¹⁹, 96AK²¹, 60I²³, 84D¹⁷, 24E¹⁷, 24A¹⁷, 48AC¹⁹, 24G⁵, 168A¹⁵, 48T¹⁹, 156B¹⁷, 60D¹⁶, 168A²¹, 48H¹⁵, 96M²³, 12B¹³, 120J¹³, 192L²¹, 48AD¹³, 24P⁸, 48G⁵, 96AP¹⁹, 96E⁸, 72E¹⁷, 72C⁶, 48F¹⁶, 48BQ¹⁷, 48BV¹⁷, 72K²³, 48BN¹⁹, 96T¹⁹, 48J⁶, 24AL¹⁷, 24W¹³, 24T⁹, 96M²⁰, 48BY²¹, 24P¹³, 12H⁰, 48BM²¹, 48S¹¹</t>
        </is>
      </c>
    </row>
    <row r="81">
      <c r="A81">
        <f>HYPERLINK("https://mathstats.uncg.edu/sites/pauli/congruence/csg0.html#group12D0", "12D⁰")</f>
        <v/>
      </c>
      <c r="B81" t="n">
        <v>0</v>
      </c>
      <c r="C81" t="inlineStr"/>
      <c r="D81" t="inlineStr">
        <is>
          <t>18</t>
        </is>
      </c>
      <c r="E81" t="inlineStr">
        <is>
          <t>1</t>
        </is>
      </c>
      <c r="F81" t="inlineStr">
        <is>
          <t>9</t>
        </is>
      </c>
      <c r="G81" t="inlineStr">
        <is>
          <t>4</t>
        </is>
      </c>
      <c r="H81" t="inlineStr">
        <is>
          <t>0</t>
        </is>
      </c>
      <c r="I81" t="inlineStr">
        <is>
          <t>3², 12¹</t>
        </is>
      </c>
      <c r="J81" t="n">
        <v>3</v>
      </c>
      <c r="K81" t="inlineStr">
        <is>
          <t>1³, 2³</t>
        </is>
      </c>
      <c r="L81" t="inlineStr">
        <is>
          <t>6D⁰</t>
        </is>
      </c>
      <c r="M81" t="inlineStr">
        <is>
          <t>12G⁰, 12H⁰, 12K¹, 12N¹, 12E², 36C², 36D³, 60B⁵, 60C⁶, 84C⁷, 84C¹⁰, 60M¹¹, 132A¹³, 132C¹⁶, 156C¹⁷, 204H²³</t>
        </is>
      </c>
      <c r="N81" t="inlineStr">
        <is>
          <t>3A⁰, 1A⁰, 2B⁰, 6D⁰</t>
        </is>
      </c>
      <c r="O81" t="inlineStr">
        <is>
          <t>24Q⁴, 96AH¹⁹, 96B¹⁶, 120S²³, 48AY²¹, 48O⁸, 48N⁹, 48R¹¹, 24L¹⁵, 12G³, 72T¹⁵, 48W¹³, 84D¹⁶, 36E¹⁶, 36L²², 48U¹⁷, 36B¹⁵, 48D¹⁶, 48AE²¹, 24K¹⁵, 48AG¹⁷, 36C¹³, 60I¹⁵, 96AK¹⁹, 24G⁷, 36U¹⁹, 24Q¹³, 24K³, 96F²⁰, 36G⁷, 60AE¹³, 48N¹¹, 24AD⁷, 48AH⁷, 60U¹¹, 72P¹⁵, 48CD¹⁷, 48M¹⁷, 24V⁷, 84C¹⁰, 36K⁵, 36P⁴, 24U¹³, 48AH¹⁷, 36C¹⁵, 48I¹⁹, 48BK²¹, 48AT²¹, 96M²¹, 36H¹⁶, 36D⁸, 96AA²³, 72R¹⁵, 24I¹⁵, 96AS¹⁹, 48Y¹³, 48AC¹³, 48E¹⁹, 24I⁹, 48AQ¹⁷, 24Z⁹, 36I¹⁶, 48BQ²¹, 48BH¹⁷, 84H²⁰, 48AV²¹, 48BE²¹, 48U¹⁵, 24AA¹⁷, 12E⁷, 96N²¹, 120R²³, 24M³, 24V¹³, 48K⁶, 48AA¹⁷, 24B¹⁹, 48P¹⁹, 12H², 48AW¹⁹, 48BM¹⁹, 12C⁵, 12A¹³, 72K¹⁴, 48BR¹⁷, 36A²³, 24D¹⁵, 24X¹³, 36F¹², 36D³, 84D¹⁹, 48X⁷, 48CC¹⁷, 48M²¹, 36E²¹, 36L¹¹, 24U¹⁷, 36N⁷, 24N⁷, 96AM¹⁹, 84H¹⁵, 24J⁶, 24AK¹⁷, 96M¹⁵, 36M⁸, 48N²¹, 36O¹⁹, 84F²¹, 48N¹⁵, 24T⁵, 84H²¹, 48K²¹, 96N¹⁵, 24C¹⁹, 96A¹⁶, 96AL¹⁹, 36E¹², 48AF¹³, 24E¹⁵, 24L¹⁹, 48H¹⁹, 60B⁵, 48AR¹⁷, 24X⁵, 24P¹⁹, 96AU¹⁹, 48AA¹³, 84K¹⁷, 72Q¹¹, 24T⁷, 72R¹⁶, 48AF⁹, 60W²¹, 48G²⁰, 84G¹⁷, 48Y¹⁷, 48R²¹, 24AJ¹⁷, 36D²¹, 24W⁵, 48AA¹⁹, 36B²³, 180G²⁰, 72L⁸, 48T⁷, 24Z¹⁷, 36S¹⁹, 48Y²¹, 48E¹⁵, 24P¹⁷, 24K¹⁹, 48V¹³, 72C¹⁴, 60B¹², 96AB²³, 24A¹⁵, 12O³, 48K¹⁵, 60X²¹, 96V¹⁵, 24Y¹³, 24E⁶, 24N¹³, 48K¹⁹, 48E¹⁶, 48BY¹⁷, 96K²⁰, 24G¹⁷, 24AM¹⁷, 24Q¹⁷, 48E²⁰, 72R¹¹, 144Y²³, 96F²¹, 36B¹⁸, 84C¹⁶, 72AA²¹, 24J¹⁵, 36D²³, 48CI¹⁷, 48AB¹⁷, 48T¹⁵, 120Q²³, 36C⁶, 24O⁸, 24M¹³, 24Y¹⁷, 36T¹⁹, 96R²³, 24R¹⁵, 48P¹⁵, 24L³, 48AS¹⁷, 60F²³, 24E⁹, 72G¹⁵, 48I²⁰, 84D¹⁴, 60E¹⁴, 84F¹⁸, 12K¹, 12B⁵, 60M¹¹, 60N¹¹, 24G⁹, 12A¹¹, 24Q⁹, 72H⁹, 24V⁵, 96W²³, 36M¹¹, 48P²¹, 24R¹⁹, 36A¹⁴, 60P¹¹, 24I⁷, 48AB¹⁵, 36N¹¹, 60T¹³, 96F¹⁹, 24U⁷, 36Q¹⁰, 24V¹⁷, 24N², 48I⁶, 96AB²¹, 12D⁵, 60D²³, 96AT¹⁹, 48F¹⁷, 24S¹⁷, 72L¹³, 48Q⁷, 24D⁵, 48C¹⁷, 72I²³, 48M³, 96D¹⁶, 48AB¹³, 180M²³, 60E¹⁶, 48AE⁷, 36C²³, 48BJ²¹, 96P²¹, 48E¹⁷, 24M⁷, 84C²¹, 96L²⁰, 72AB²¹, 96AE¹⁹, 12F³, 24R¹³, 48C¹⁶, 12E², 84M¹⁷, 24I¹⁷, 48G¹⁷, 24M⁸, 36H⁶, 48V¹⁵, 180A²¹, 48CA¹⁷, 48O²¹, 24S³, 48BF²¹, 24J⁸, 48AN²¹, 24R⁵, 24L⁹, 24O¹³, 24H¹, 24AP⁹, 96I¹⁷, 48AA²¹, 48R¹⁷, 48F¹⁵, 36O⁹, 24J¹⁷, 24AC³, 24K¹³, 36D⁷, 96N¹⁹, 36F⁷, 36P⁹, 36P¹³, 24O¹⁵, 48AD⁷, 84L¹⁷, 36B¹⁴, 36C⁷, 36G¹⁶, 48F¹⁹, 84E¹⁶, 84F²³, 48BC¹⁷, 72M¹², 36C¹⁶, 48BG¹⁷, 60AF¹³, 132C¹⁶, 24Z¹³, 12I², 48BF¹⁷, 156C¹⁷, 24S¹³, 48AW²¹, 48Y¹⁹, 24X¹⁷, 36R⁴, 24N¹¹, 12S¹, 12B⁴, 24M⁹, 48J¹⁶, 12N¹, 48S²¹, 96I²¹, 24AA¹³, 24F¹⁵, 96P¹⁵, 96X²³, 48AU²¹, 48R⁷, 60S¹³, 72D¹⁷, 60S¹¹, 60C¹³, 24N⁸, 48F²⁰, 48Z¹³, 48AV¹⁷, 24S¹⁵, 24S⁷, 24I¹, 48BD¹⁷, 72X¹⁷, 84G¹⁶, 24H¹⁷, 72D¹², 96D¹⁹, 180J²¹, 48D⁹, 24N¹⁷, 24O¹⁷, 36K¹⁷, 24W⁷, 48B¹⁷, 12D⁷, 36B¹⁶, 96K¹¹, 36Q¹⁹, 48BE¹⁷, 48R¹⁵, 96AF¹⁹, 144J¹⁹, 36M¹⁹, 60C¹², 12C⁴, 48AP²¹, 48AG²¹, 48BU¹⁷, 24C¹⁷, 12T¹, 48AO²¹, 60H¹³, 36K¹⁵, 24F⁹, 24O², 24T¹⁵, 72F¹³, 48Q¹⁵, 36I¹⁵, 96C¹⁶, 24F⁶, 96S²¹, 24J⁷, 84N¹⁷, 36G⁸, 48AQ¹⁹, 24I⁸, 48S⁷, 72J²³, 24G¹⁵, 96G²¹, 24Q¹⁵, 72I¹³, 24AE⁷, 24P¹⁵, 24J¹³, 72P¹¹, 48N⁸, 36J¹⁵, 24T¹³, 48W⁷, 48Z²¹, 96E¹⁶, 60C⁶, 72S¹⁶, 48K¹⁷, 72M⁸, 96E²⁰, 48W⁸, 96Q²³, 84K¹⁹, 24Y⁵, 84J¹⁹, 36L⁷, 48AE¹³, 12G⁰, 96J²¹, 96U¹⁹, 48C⁹, 96AG¹⁹, 24T¹⁷, 12P³, 48AC¹⁵, 36Q⁴, 12E³, 48L¹⁷, 48O¹⁵, 72L²², 36C², 72H¹⁷, 48V¹⁷, 48G¹¹, 204H²³, 72B¹⁴, 24D¹⁰, 48Z¹⁷, 72F¹⁵, 36A¹⁸, 24H¹⁵, 36D¹⁵, 60N¹⁵, 60N⁹, 48B¹⁶, 96S¹⁷, 72E¹², 48Y⁷, 60L²³, 24M¹⁷, 84C⁷, 24B¹⁵, 60I²³, 24U⁵, 132A¹³, 24S⁵, 12B⁷, 36E²², 24J⁹, 36I³, 48U¹⁹, 24A¹⁷, 72S¹⁵, 96J¹⁷, 72Q¹⁵, 72O¹¹, 72L¹², 12B⁹, 24P¹³, 12B¹³, 48L¹⁹, 48AD¹³, 48S¹⁵, 96AN¹⁹, 96AV¹⁹, 24L¹³, 48BQ¹⁷, 36J²², 72K²³, 48BV¹⁷, 48BN¹⁹, 48J⁶, 24W¹³, 24AL¹⁷, 48X¹³, 24AE¹⁷, 24K⁹, 60V²¹, 12H⁰</t>
        </is>
      </c>
    </row>
    <row r="82">
      <c r="A82">
        <f>HYPERLINK("https://mathstats.uncg.edu/sites/pauli/congruence/csg0.html#group12E0", "12E⁰")</f>
        <v/>
      </c>
      <c r="B82" t="n">
        <v>0</v>
      </c>
      <c r="C82" t="inlineStr">
        <is>
          <t>Γ₀(12)</t>
        </is>
      </c>
      <c r="D82" t="inlineStr">
        <is>
          <t>24</t>
        </is>
      </c>
      <c r="E82" t="inlineStr">
        <is>
          <t>1</t>
        </is>
      </c>
      <c r="F82" t="inlineStr">
        <is>
          <t>12</t>
        </is>
      </c>
      <c r="G82" t="inlineStr">
        <is>
          <t>0</t>
        </is>
      </c>
      <c r="H82" t="inlineStr">
        <is>
          <t>0</t>
        </is>
      </c>
      <c r="I82" t="inlineStr">
        <is>
          <t>1², 3², 4¹, 12¹</t>
        </is>
      </c>
      <c r="J82" t="n">
        <v>6</v>
      </c>
      <c r="K82" t="inlineStr">
        <is>
          <t>1⁶, 2³</t>
        </is>
      </c>
      <c r="L82" t="inlineStr">
        <is>
          <t>4B⁰, 6F⁰</t>
        </is>
      </c>
      <c r="M82" t="inlineStr">
        <is>
          <t>12J⁰, 24B⁰, 12P¹, 12S¹, 24G¹, 36C¹, 24F², 36F⁴, 36G⁴, 60P⁷, 60C⁸, 84I¹¹, 84B¹², 60V¹⁵, 132D¹⁹, 132B²⁰, 156D²³</t>
        </is>
      </c>
      <c r="N82" t="inlineStr">
        <is>
          <t>3B⁰, 1A⁰, 2B⁰, 4B⁰, 6F⁰</t>
        </is>
      </c>
      <c r="O82" t="inlineStr">
        <is>
          <t>72H¹⁹, 48AJ⁹, 96G¹¹, 48CK¹⁷, 48W¹³, 96H¹¹, 48CG²¹, 36L²², 96E¹³, 12L³, 36C¹³, 48CF²¹, 24G⁷, 24AC⁹, 60AJ¹³, 24AO¹⁷, 216C²², 144H¹³, 24AF⁷, 108C¹⁶, 60B¹⁶, 96BJ²¹, 48BR¹⁹, 48CM²¹, 24AG⁷, 72B²¹, 144I¹³, 48CD²¹, 24X³, 48W¹¹, 48Y¹³, 36Q⁹, 96A¹³, 36D¹⁹, 12K³, 84D²⁴, 96D¹³, 36D⁹, 72P¹⁷, 144H¹⁹, 36Q²², 36S¹⁰, 72B¹⁰, 84C²⁴, 24J¹, 12A¹³, 72N¹⁷, 36A¹⁹, 108B¹⁶, 60A²², 72S¹³, 36E²¹, 96BC²¹, 36N⁷, 96BA²¹, 48D¹³, 96AK¹⁷, 72A²¹, 96BD²¹, 48AK⁷, 48CM¹⁷, 216B²¹, 24AL⁷, 144F¹⁹, 36R¹⁰, 48CL²¹, 36T¹³, 48A¹³, 144B¹⁹, 24F², 24AC¹³, 24AJ⁷, 24AF⁹, 108G¹⁷, 96M⁹, 96BH²¹, 48BS¹⁹, 12J⁰, 72C¹⁹, 24AH⁹, 36B¹⁷, 12E⁵, 144D¹⁹, 96BE¹⁹, 108A¹⁶, 48AH⁹, 24AP¹⁷, 72C⁷, 48V¹³, 48CK²¹, 48AK⁹, 72M²², 108F²², 48CA²¹, 48L³, 144F²¹, 12O³, 48CO¹⁷, 24N¹³, 48CJ¹⁷, 72M¹⁹, 48BT¹⁹, 12P¹, 84L²³, 168Q²³, 72Y¹⁷, 24B⁰, 120K¹⁵, 192O²¹, 24M¹³, 72I¹⁹, 24Y³, 96C⁷, 24AT¹⁷, 12B⁵, 24G¹, 48CC²¹, 24B²¹, 24AH⁷, 96BD¹⁹, 192E¹⁹, 108E²¹, 36B¹⁹, 72W¹³, 120O¹⁷, 120B¹⁶, 144G¹³, 96B¹³, 36Q¹⁰, 96I¹³, 24Z³, 96BK²¹, 48B¹³, 36F⁴, 48CP¹⁷, 72D¹⁹, 96B⁷, 24I⁵, 144G²¹, 168R²³, 48C¹⁷, 120E¹⁹, 48CQ²¹, 84K²³, 60P⁷, 48J⁵, 48AP⁷, 144E¹⁷, 60T¹⁷, 24AE⁹, 60V¹⁵, 96AI¹⁷, 72AB²¹, 60AC¹⁵, 144E¹⁹, 96BC¹⁹, 48AN⁷, 36K⁸, 108A⁷, 60B¹⁷, 144J¹³, 72E¹⁹, 24B¹¹, 48AM⁷, 24R⁵, 72R¹³, 24O¹³, 192F¹⁹, 72C²¹, 72G¹⁹, 120A¹⁸, 36A¹⁷, 72K¹⁹, 24AP⁹, 48C⁵, 144A¹⁹, 72A¹⁹, 72A¹⁰, 96BL²¹, 48BO¹⁹, 48K³, 48AH¹³, 96BF²¹, 72M¹⁷, 48AO⁷, 24AC³, 96AL¹⁷, 24K¹³, 48CI²¹, 36P²², 48CH²¹, 144D¹⁷, 108F¹⁰, 120L¹⁵, 48AN⁹, 36K³, 72Q¹³, 48CJ²¹, 72D⁹, 120N¹⁷, 72AC²¹, 96C¹³, 84B¹², 96AJ¹⁷, 48AG¹³, 24AA⁵, 96L⁹, 48J¹³, 72D²¹, 24E²¹, 24AQ¹⁷, 12S¹, 24A²¹, 48AG⁹, 48CB²¹, 48AM⁹, 72T¹³, 72A³, 36U¹³, 48BZ²¹, 168B²⁴, 60C⁸, 72B⁵, 96AZ²¹, 48Z¹³, 24AR¹⁷, 48CL¹⁷, 24AB⁹, 108B¹³, 36L⁵, 84Q²¹, 192N²¹, 72O¹⁷, 12V¹, 72X¹⁷, 24AS¹⁷, 36K¹⁷, 72V¹³, 24AN¹⁷, 36C⁹, 48B¹⁷, 144E²¹, 168A²⁴, 48AI⁹, 24W³, 72N²², 48X¹¹, 36C¹, 48D⁵, 84B²³, 24C¹⁷, 24AI⁷, 72E⁹, 24AK⁷, 192P²¹, 24AA³, 72U¹³, 72J¹⁹, 24AD⁹, 24D²¹, 24U³, 48AL⁷, 48BP¹⁹, 72F¹⁹, 132D¹⁹, 24J¹³, 24H⁵, 48I³, 72I⁹, 120D¹⁷, 48CE²¹, 96BI²¹, 96BF¹⁹, 24A¹¹, 84I¹¹, 36C¹⁹, 48I¹³, 48BQ¹⁹, 48CQ¹⁷, 144C¹⁹, 72L¹⁹, 72L²², 24C²¹, 132B²⁰, 24G²¹, 24F²¹, 24V³, 48AL⁹, 24AG⁹, 36L¹⁷, 24AK⁹, 72B¹⁹, 36F²¹, 48CP²¹, 24AB¹³, 96AH¹⁷, 120F¹⁹, 24Z⁵, 72N¹⁹, 216A¹⁷, 60AD¹⁵, 48AQ⁷, 48J³, 192M²¹, 60R¹⁷, 96F¹³, 48AO⁹, 24A¹⁷, 96BG²¹, 72G⁸, 36J⁸, 36O⁷, 156D²³, 48I⁵, 12B⁹, 36G⁴, 12B¹³, 24AB⁵, 96BM²¹, 24L¹³, 144H²¹, 144G¹⁹, 96BE²¹, 48C¹³, 96BB²¹, 48CN¹⁷, 24P¹³, 72F⁸</t>
        </is>
      </c>
    </row>
    <row r="83">
      <c r="A83">
        <f>HYPERLINK("https://mathstats.uncg.edu/sites/pauli/congruence/csg0.html#group12F0", "12F⁰")</f>
        <v/>
      </c>
      <c r="B83" t="n">
        <v>0</v>
      </c>
      <c r="C83" t="inlineStr"/>
      <c r="D83" t="inlineStr">
        <is>
          <t>24</t>
        </is>
      </c>
      <c r="E83" t="inlineStr">
        <is>
          <t>1</t>
        </is>
      </c>
      <c r="F83" t="inlineStr">
        <is>
          <t>12</t>
        </is>
      </c>
      <c r="G83" t="inlineStr">
        <is>
          <t>8</t>
        </is>
      </c>
      <c r="H83" t="inlineStr">
        <is>
          <t>0</t>
        </is>
      </c>
      <c r="I83" t="inlineStr">
        <is>
          <t>12²</t>
        </is>
      </c>
      <c r="J83" t="n">
        <v>2</v>
      </c>
      <c r="K83" t="inlineStr">
        <is>
          <t>2², 4²</t>
        </is>
      </c>
      <c r="L83" t="inlineStr">
        <is>
          <t>6B⁰, 12A⁰</t>
        </is>
      </c>
      <c r="M83" t="inlineStr">
        <is>
          <t>12Q¹, 12I², 24G², 24H², 24K², 36D², 12C³, 24AB³, 36L⁴, 36N⁴, 60R⁷, 60D⁸, 84I⁸, 60X¹⁵, 84E¹⁵, 132D¹⁶, 132F²³, 156F²³</t>
        </is>
      </c>
      <c r="N83" t="inlineStr">
        <is>
          <t>12A⁰, 6B⁰, 3A⁰, 1A⁰, 4A⁰</t>
        </is>
      </c>
      <c r="O83" t="inlineStr">
        <is>
          <t>36B²¹, 72F¹⁰, 48AY²¹, 60N²¹, 24R¹³, 48C¹⁶, 24B⁷, 24L¹⁵, 12A⁵, 24M⁸, 24L²¹, 48V¹⁵, 48A¹⁵, 144G²², 48D¹⁶, 48AE²¹, 168L²², 72C²³, 84E²³, 12M³, 12Q¹, 36K⁷, 60V¹⁷, 120G¹⁹, 36E¹¹, 24F¹³, 60D⁸, 72T¹⁹, 84I⁸, 144H²², 24U¹³, 120Q¹⁹, 24J¹⁷, 48E⁶, 48AT²¹, 72T²¹, 24O¹⁵, 72V²¹, 48R¹³, 36B¹⁴, 36N⁴, 48AQ¹⁷, 72P²¹, 36T¹⁵, 120F¹⁸, 120B¹⁸, 120J¹⁹, 36L¹⁹, 72W¹⁷, 72U²¹, 144H²⁰, 12I², 48CR²¹, 144N²², 132D¹⁶, 24AO⁹, 48U¹⁵, 48Y¹⁹, 60R⁷, 24AA¹⁷, 24V¹³, 36K⁹, 72U¹⁹, 48J¹⁶, 120C¹⁸, 72I¹⁰, 24B¹⁹, 144D²⁰, 48BM¹⁹, 12A¹³, 48BR¹⁷, 48C¹⁵, 144E²⁰, 24N⁸, 48F²⁰, 24X¹³, 36F¹², 24G², 120I¹⁹, 24AM⁹, 72J⁸, 36S¹⁵, 48H⁶, 132F²³, 60AK¹³, 48Q¹³, 24A¹³, 24AK¹⁷, 24N¹⁷, 144I²², 72B²³, 72I⁸, 60X¹⁵, 156F²³, 84E¹⁵, 24C¹⁹, 72L¹⁰, 24AB³, 24L¹⁹, 60O²¹, 24P¹⁹, 168N²², 48G²⁰, 24F⁶, 144E²², 60Y¹⁷, 36T¹⁰, 72S¹⁹, 24W⁵, 72G¹⁰, 144J²², 72K⁸, 48F⁶, 24Q¹⁵, 72G²³, 72M²¹, 24AE⁷, 36A²¹, 24P¹⁵, 144F²², 36D¹¹, 36L⁹, 24A¹⁵, 60G¹⁹, 24L⁵, 36C¹⁷, 24T¹³, 36D², 72H¹⁰, 168K²², 24E⁶, 48E¹⁶, 72A²³, 24K²¹, 24G¹⁷, 24AN⁹, 12C³, 48E²⁰, 48G⁶, 72S¹⁷, 48CI¹⁷, 168M²², 36D²³, 84N²¹, 48T¹⁵, 24K², 36M⁵, 36G¹², 72D²³, 72P¹⁹, 24R¹⁵, 48AS¹⁷, 36K¹⁹, 168Q²², 72V¹⁹, 24H², 144G²⁰, 36R¹⁵, 48I²⁰, 36P¹⁵, 144F²⁰, 36H¹², 60B²², 48B¹⁶, 72E¹⁰, 72Z¹⁵, 12A¹¹, 12A⁹, 24Q⁹, 72H²³, 72Q²¹, 84P²¹, 36E¹⁷, 72R¹⁹, 48B¹⁵, 24B¹⁵, 12B⁷, 84O²¹, 144M²², 48U¹⁹, 168R²², 36J⁹, 24P⁵, 24AL⁹, 36J⁷, 36F¹¹, 60E¹⁷, 168P²², 72H⁸, 24B¹³, 120H¹⁹, 72N²¹, 12D⁵, 168O²², 72S²¹, 24A⁷, 48S¹⁵, 144C²⁰, 144D²², 24K¹¹, 36H¹⁹, 24M²¹, 36E¹⁹, 24AL¹⁷, 144C²², 24AE¹⁷, 48AB¹³, 84L¹⁹, 36Q¹⁵, 120P¹⁹, 36L⁴</t>
        </is>
      </c>
    </row>
    <row r="84">
      <c r="A84">
        <f>HYPERLINK("https://mathstats.uncg.edu/sites/pauli/congruence/csg0.html#group12G0", "12G⁰")</f>
        <v/>
      </c>
      <c r="B84" t="n">
        <v>0</v>
      </c>
      <c r="C84" t="inlineStr"/>
      <c r="D84" t="inlineStr">
        <is>
          <t>36</t>
        </is>
      </c>
      <c r="E84" t="inlineStr">
        <is>
          <t>1</t>
        </is>
      </c>
      <c r="F84" t="inlineStr">
        <is>
          <t>9</t>
        </is>
      </c>
      <c r="G84" t="inlineStr">
        <is>
          <t>4</t>
        </is>
      </c>
      <c r="H84" t="inlineStr">
        <is>
          <t>0</t>
        </is>
      </c>
      <c r="I84" t="inlineStr">
        <is>
          <t>3⁴, 12²</t>
        </is>
      </c>
      <c r="J84" t="n">
        <v>6</v>
      </c>
      <c r="K84" t="inlineStr">
        <is>
          <t>1³, 2³</t>
        </is>
      </c>
      <c r="L84" t="inlineStr">
        <is>
          <t>6G⁰, 12D⁰</t>
        </is>
      </c>
      <c r="M84" t="inlineStr">
        <is>
          <t>12S¹, 12T¹, 24I¹, 12F³, 24M³, 36I³, 36P⁴, 36H⁶, 60N¹¹, 60B¹², 84C¹⁶, 84J¹⁹, 60D²³</t>
        </is>
      </c>
      <c r="N84" t="inlineStr">
        <is>
          <t>6G⁰, 3C⁰, 2B⁰, 12D⁰, 3A⁰, 1A⁰, 6D⁰</t>
        </is>
      </c>
      <c r="O84" t="inlineStr">
        <is>
          <t>12T¹, 24M⁷, 72F¹³, 72AB²¹, 12F³, 24R¹³, 60W²¹, 24I¹⁷, 24L¹⁵, 72T¹⁵, 48W¹³, 36B²³, 36H⁶, 72L⁸, 36L²², 72J²³, 24K¹⁵, 48AG¹⁷, 24J¹³, 24K¹⁹, 36C¹³, 48V¹³, 24R⁵, 24G⁷, 60B¹², 36U¹⁹, 24O¹³, 24Q¹³, 36J¹⁵, 24AP⁹, 12O³, 24T¹³, 24Y¹³, 48R¹⁷, 24N¹³, 48M¹⁷, 72M⁸, 36P⁴, 24U¹³, 48AH¹⁷, 36O⁹, 36C¹⁵, 24AC³, 24K¹³, 84J¹⁹, 36P⁹, 84C¹⁶, 36P¹³, 72AA²¹, 24J¹⁵, 36D²³, 36G¹⁶, 48Y¹³, 48AC¹³, 12P³, 24M¹³, 24Y¹⁷, 48L¹⁷, 72L²², 36I¹⁶, 24E⁹, 24S¹³, 12B⁵, 48AV²¹, 60N¹¹, 48BE²¹, 24AA¹⁷, 24N¹¹, 12S¹, 24M³, 36A¹⁸, 12A¹¹, 24F¹⁵, 72E¹², 36M¹¹, 12C⁵, 12A¹³, 24M¹⁷, 36A²³, 24U⁵, 48Z¹³, 24S⁵, 36I³, 24A¹⁷, 48AV¹⁷, 24S⁷, 48M²¹, 36E²¹, 36Q¹⁰, 24I¹, 72O¹¹, 36N⁷, 72X¹⁷, 12B⁹, 12D⁵, 60D²³, 24H¹⁷, 12B¹³, 72D¹², 48AD¹³, 24N¹⁷, 24O¹⁷, 36K¹⁷, 72L¹³, 24L¹³, 48B¹⁷, 12D⁷, 72K²³, 48C¹⁷, 72I²³, 24T⁵, 24W¹³, 48X¹³, 24AE¹⁷, 24K⁹, 24P¹³, 36C²³, 24C¹⁷, 48AR¹⁷</t>
        </is>
      </c>
    </row>
    <row r="85">
      <c r="A85">
        <f>HYPERLINK("https://mathstats.uncg.edu/sites/pauli/congruence/csg0.html#group12H0", "12H⁰")</f>
        <v/>
      </c>
      <c r="B85" t="n">
        <v>0</v>
      </c>
      <c r="C85" t="inlineStr"/>
      <c r="D85" t="inlineStr">
        <is>
          <t>36</t>
        </is>
      </c>
      <c r="E85" t="inlineStr">
        <is>
          <t>1</t>
        </is>
      </c>
      <c r="F85" t="inlineStr">
        <is>
          <t>9</t>
        </is>
      </c>
      <c r="G85" t="inlineStr">
        <is>
          <t>8</t>
        </is>
      </c>
      <c r="H85" t="inlineStr">
        <is>
          <t>0</t>
        </is>
      </c>
      <c r="I85" t="inlineStr">
        <is>
          <t>6², 12²</t>
        </is>
      </c>
      <c r="J85" t="n">
        <v>4</v>
      </c>
      <c r="K85" t="inlineStr">
        <is>
          <t>1³, 2³</t>
        </is>
      </c>
      <c r="L85" t="inlineStr">
        <is>
          <t>6H⁰, 12C⁰, 12D⁰</t>
        </is>
      </c>
      <c r="M85" t="inlineStr">
        <is>
          <t>12T¹, 24H¹, 12H², 12I², 24N², 24O², 12G³, 24S³, 36R⁴, 24D⁵, 36C⁶, 60S¹¹, 60C¹², 84D¹⁴, 84C²¹, 60I²³</t>
        </is>
      </c>
      <c r="N85" t="inlineStr">
        <is>
          <t>6B⁰, 12C⁰, 4C⁰, 2B⁰, 12D⁰, 6H⁰, 3A⁰, 1A⁰, 6D⁰</t>
        </is>
      </c>
      <c r="O85" t="inlineStr">
        <is>
          <t>84C²¹, 96AH¹⁹, 96B¹⁶, 96L²⁰, 48AY²¹, 96AE¹⁹, 48O⁸, 24R¹³, 48C¹⁶, 48R¹¹, 24I¹⁷, 24L¹⁵, 12G³, 24M⁸, 48V¹⁵, 48U¹⁷, 48CA¹⁷, 48D¹⁶, 48AE²¹, 48AE⁷, 48O²¹, 24S³, 48BF²¹, 24K¹⁵, 48AG¹⁷, 96AK¹⁹, 96F²⁰, 36U¹⁹, 24O¹³, 24Q¹³, 24H¹, 48N¹¹, 24AD⁷, 48AH⁷, 48AA²¹, 72P¹⁵, 48R¹⁷, 48F¹⁵, 48CD¹⁷, 48M¹⁷, 24V⁷, 24U¹³, 48AH¹⁷, 48BK²¹, 36O⁹, 24J¹⁷, 24K¹³, 48AT²¹, 36H¹⁶, 36P⁹, 36P¹³, 24O¹⁵, 96AA²³, 48AD⁷, 36B¹⁴, 24I¹⁵, 96AS¹⁹, 48F¹⁹, 48BC¹⁷, 48AC¹³, 48AQ¹⁷, 48E¹⁹, 72M¹², 48BG¹⁷, 48BH¹⁷, 24Z¹³, 12I², 48BF¹⁷, 48AW²¹, 24S¹³, 48AV²¹, 48BE²¹, 48U¹⁵, 48Y¹⁹, 24AA¹⁷, 36R⁴, 24N¹¹, 24V¹³, 24M⁹, 48J¹⁶, 48S²¹, 48K⁶, 24B¹⁹, 24AA¹³, 24F¹⁵, 12H², 96X²³, 48BM¹⁹, 72D¹⁷, 48AU²¹, 12C⁵, 12A¹³, 60S¹¹, 48BR¹⁷, 36A²³, 24N⁸, 48F²⁰, 24X¹³, 24D¹⁵, 36F¹², 96V¹⁵, 48AV¹⁷, 48CC¹⁷, 24S¹⁵, 24S⁷, 48M²¹, 36E²¹, 48BD¹⁷, 24H¹⁷, 96AM¹⁹, 24J⁶, 24AK¹⁷, 24N¹⁷, 24O¹⁷, 24W⁷, 12D⁷, 96K¹¹, 96A¹⁶, 96AL¹⁹, 24T⁵, 48BE¹⁷, 48K²¹, 24C¹⁹, 36E¹², 48AF¹³, 96AF¹⁹, 144J¹⁹, 60C¹², 24E¹⁵, 48BU¹⁷, 24L¹⁹, 48AP²¹, 24C¹⁷, 48AR¹⁷, 12T¹, 24O², 24T¹⁵, 24P¹⁹, 48AO²¹, 48AA¹³, 36K¹⁵, 24X⁵, 96AU¹⁹, 48AF⁹, 96C¹⁶, 48G²⁰, 24F⁶, 24J⁷, 48AQ¹⁹, 24W⁵, 36B²³, 48S⁷, 48T⁷, 24Z¹⁷, 72J²³, 24Q¹⁵, 72I¹³, 48Y²¹, 24AE⁷, 48E¹⁵, 24P¹⁵, 24J¹³, 24K¹⁹, 72C¹⁴, 48N⁸, 96AB²³, 24A¹⁵, 48K¹⁵, 24T¹³, 96E¹⁶, 24Y¹³, 60X²¹, 48Z²¹, 24E⁶, 48E¹⁶, 48K¹⁹, 48K¹⁷, 96E²⁰, 96K²⁰, 24G¹⁷, 24AM¹⁷, 96Q²³, 48E²⁰, 48W⁸, 72R¹¹, 144Y²³, 24Y⁵, 36B¹⁸, 72AA²¹, 48CI¹⁷, 36D²³, 24J¹⁵, 48T¹⁵, 48AE¹³, 96U¹⁹, 96AG¹⁹, 24T¹⁷, 12P³, 36C⁶, 24O⁸, 48AC¹⁵, 96R²³, 24Y¹⁷, 48L¹⁷, 24R¹⁵, 48AS¹⁷, 24E⁹, 72H¹⁷, 48I²⁰, 48G¹¹, 84D¹⁴, 72B¹⁴, 12B⁵, 48B¹⁶, 24G⁹, 36D¹⁵, 48BY¹⁷, 12A¹¹, 24Q⁹, 72H⁹, 24V⁵, 96W²³, 48P²¹, 24R¹⁹, 36A¹⁴, 24M¹⁷, 24B¹⁵, 60I²³, 24U⁵, 12B⁷, 24S⁵, 48AB¹⁵, 24I⁷, 24J⁹, 36N¹¹, 48U¹⁹, 24A¹⁷, 72Q¹⁵, 24V¹⁷, 24N², 48I⁶, 72L¹², 12B⁹, 12D⁵, 96AT¹⁹, 12B¹³, 48AD¹³, 48S¹⁵, 96AN¹⁹, 96AV¹⁹, 24D⁵, 48BQ¹⁷, 48BV¹⁷, 72K²³, 48M³, 72I²³, 48BN¹⁹, 48J⁶, 24W¹³, 24AL¹⁷, 48X¹³, 24AE¹⁷, 48AB¹³, 96D¹⁶, 24P¹³, 36C²³, 48BJ²¹, 48E¹⁷</t>
        </is>
      </c>
    </row>
    <row r="86">
      <c r="A86">
        <f>HYPERLINK("https://mathstats.uncg.edu/sites/pauli/congruence/csg0.html#group12I0", "12I⁰")</f>
        <v/>
      </c>
      <c r="B86" t="n">
        <v>0</v>
      </c>
      <c r="C86" t="inlineStr"/>
      <c r="D86" t="inlineStr">
        <is>
          <t>48</t>
        </is>
      </c>
      <c r="E86" t="inlineStr">
        <is>
          <t>1</t>
        </is>
      </c>
      <c r="F86" t="inlineStr">
        <is>
          <t>12</t>
        </is>
      </c>
      <c r="G86" t="inlineStr">
        <is>
          <t>0</t>
        </is>
      </c>
      <c r="H86" t="inlineStr">
        <is>
          <t>0</t>
        </is>
      </c>
      <c r="I86" t="inlineStr">
        <is>
          <t>2⁴, 4¹, 6⁴, 12¹</t>
        </is>
      </c>
      <c r="J86" t="n">
        <v>10</v>
      </c>
      <c r="K86" t="inlineStr">
        <is>
          <t>1⁶, 2³</t>
        </is>
      </c>
      <c r="L86" t="inlineStr">
        <is>
          <t>6I⁰</t>
        </is>
      </c>
      <c r="M86" t="inlineStr">
        <is>
          <t>12V¹, 12L³, 12N³, 36J³, 36I⁸, 36H⁸, 60AB¹⁵, 60A¹⁶, 84I²³, 84B²⁴</t>
        </is>
      </c>
      <c r="N86" t="inlineStr">
        <is>
          <t>3B⁰, 2A⁰, 6I⁰, 6C⁰, 1A⁰, 2B⁰, 6F⁰, 2C⁰</t>
        </is>
      </c>
      <c r="O86" t="inlineStr">
        <is>
          <t>24AE⁹, 48AG¹³, 48CC²¹, 84B²⁴, 24B²¹, 24AQ¹⁷, 36I⁸, 60A¹⁶, 12N³, 36B¹⁷, 24AB¹³, 24AD⁹, 12E⁵, 24Z⁵, 36U¹³, 36K²², 24AP¹⁷, 48BZ²¹, 12L³, 24AR¹⁷, 24AB⁹, 36N²², 36A¹⁷, 48CA²¹, 36O²², 60AB¹⁵, 12V¹, 12B⁹, 36I¹⁷, 12B¹³, 24AB⁵, 24AS¹⁷, 108F¹⁷, 36C¹⁹, 84I²³, 24AL⁷, 36H⁸, 36Q⁹, 36J¹⁷, 108E²², 36D¹⁹, 48CN¹⁷, 36J³, 24AC¹³, 48CJ²¹</t>
        </is>
      </c>
    </row>
    <row r="87">
      <c r="A87">
        <f>HYPERLINK("https://mathstats.uncg.edu/sites/pauli/congruence/csg0.html#group12J0", "12J⁰")</f>
        <v/>
      </c>
      <c r="B87" t="n">
        <v>0</v>
      </c>
      <c r="C87" t="inlineStr">
        <is>
          <t>Γ₁(12)</t>
        </is>
      </c>
      <c r="D87" t="inlineStr">
        <is>
          <t>48</t>
        </is>
      </c>
      <c r="E87" t="inlineStr">
        <is>
          <t>1</t>
        </is>
      </c>
      <c r="F87" t="inlineStr">
        <is>
          <t>24</t>
        </is>
      </c>
      <c r="G87" t="inlineStr">
        <is>
          <t>0</t>
        </is>
      </c>
      <c r="H87" t="inlineStr">
        <is>
          <t>0</t>
        </is>
      </c>
      <c r="I87" t="inlineStr">
        <is>
          <t>1², 2¹, 3², 4², 6¹, 12²</t>
        </is>
      </c>
      <c r="J87" t="n">
        <v>10</v>
      </c>
      <c r="K87" t="inlineStr">
        <is>
          <t>1⁸, 2⁶, 4¹</t>
        </is>
      </c>
      <c r="L87" t="inlineStr">
        <is>
          <t>12E⁰</t>
        </is>
      </c>
      <c r="M87" t="inlineStr">
        <is>
          <t>12V¹, 24J¹, 12O³, 24W³, 36K³, 36J⁸, 36K⁸, 60AD¹⁵, 60B¹⁶, 84K²³, 84D²⁴</t>
        </is>
      </c>
      <c r="N87" t="inlineStr">
        <is>
          <t>6F⁰, 3B⁰, 2B⁰, 4B⁰, 1A⁰, 12E⁰</t>
        </is>
      </c>
      <c r="O87" t="inlineStr">
        <is>
          <t>24AJ⁷, 72P¹⁷, 108G¹⁷, 48AG¹³, 24AA⁵, 48AJ⁹, 36L¹⁷, 36Q²², 24B²¹, 24AQ¹⁷, 36B¹⁷, 48AG⁹, 96AH¹⁷, 24AB¹³, 12E⁵, 24J¹, 24Z⁵, 36L²², 36K⁸, 60AD¹⁵, 24AP¹⁷, 48BZ²¹, 48AQ⁷, 72E¹⁹, 72F¹⁹, 108F²², 24AB⁹, 72I⁹, 36A¹⁷, 36J⁸, 24AP⁹, 12O³, 72S¹³, 96I¹³, 48CO¹⁷, 12V¹, 60B¹⁶, 48I⁵, 72O¹⁷, 12B⁹, 48AH¹³, 96BC²¹, 96BJ²¹, 24AB⁵, 48CP¹⁷, 36K¹⁷, 36P²², 24L¹³, 48CQ¹⁷, 36Q⁹, 48AI⁹, 96BE²¹, 24W³, 36K³, 84K²³, 96BB²¹, 48J⁵, 48CN¹⁷, 24AC¹³, 84D²⁴</t>
        </is>
      </c>
    </row>
    <row r="88">
      <c r="A88">
        <f>HYPERLINK("https://mathstats.uncg.edu/sites/pauli/congruence/csg0.html#group13A0", "13A⁰")</f>
        <v/>
      </c>
      <c r="B88" t="n">
        <v>0</v>
      </c>
      <c r="C88" t="inlineStr">
        <is>
          <t>Γ₀(13)</t>
        </is>
      </c>
      <c r="D88" t="inlineStr">
        <is>
          <t>14</t>
        </is>
      </c>
      <c r="E88" t="inlineStr">
        <is>
          <t>1</t>
        </is>
      </c>
      <c r="F88" t="inlineStr">
        <is>
          <t>14</t>
        </is>
      </c>
      <c r="G88" t="inlineStr">
        <is>
          <t>2</t>
        </is>
      </c>
      <c r="H88" t="inlineStr">
        <is>
          <t>2</t>
        </is>
      </c>
      <c r="I88" t="inlineStr">
        <is>
          <t>1¹, 13¹</t>
        </is>
      </c>
      <c r="J88" t="n">
        <v>2</v>
      </c>
      <c r="K88" t="inlineStr">
        <is>
          <t>1², 12¹</t>
        </is>
      </c>
      <c r="L88" t="inlineStr">
        <is>
          <t>1A⁰</t>
        </is>
      </c>
      <c r="M88" t="inlineStr">
        <is>
          <t>13B⁰, 13C⁰, 26A⁰, 26A¹, 39A¹, 26A², 39A², 39A³, 52A³, 65A⁴, 65A⁵, 91A⁶, 91A⁷, 13B⁸, 169A⁸, 65A⁹, 143A¹⁰, 143A¹³, 221A¹⁹, 247A²¹</t>
        </is>
      </c>
      <c r="N88" t="inlineStr">
        <is>
          <t>1A⁰</t>
        </is>
      </c>
      <c r="O88" t="inlineStr">
        <is>
          <t>91A¹², 156A¹⁵, 104M²³, 65A⁸, 39A¹⁷, 39B⁹, 156B¹⁸, 91B²³, 52A¹¹, 78F²³, 104F²³, 78D¹⁶, 65A¹¹, 156A²¹, 234E²³, 104B¹³, 52A¹³, 78A⁹, 104C¹⁵, 195B¹⁵, 104T²³, 26A⁵, 182A²², 104B¹¹, 104E²³, 65A⁹, 52E⁹, 104G²³, 78B¹⁹, 143A¹⁰, 52F¹¹, 52A³, 130A¹⁷, 312C²³, 39A¹, 104S²³, 156C¹¹, 104P²³, 78B⁶, 234D²³, 78B¹⁶, 91A¹³, 39A³, 78A⁴, 26C⁵, 182A¹⁵, 104D¹¹, 78B⁵, 195A¹⁴, 117B²¹, 130B²³, 130B¹³, 78A⁸, 78D¹¹, 78A¹¹, 52C²³, 156B²⁰, 169A¹⁶, 78B²³, 52A⁹, 130A¹³, 234A²⁰, 13B⁰, 117B¹⁹, 78E¹⁶, 195A¹⁶, 78A², 234B¹⁹, 78C²³, 208D²³, 286A²³, 104D²³, 156D¹⁷, 156F²³, 104D¹⁵, 52G²³, 117B¹³, 312D²³, 234A²⁴, 52A⁴, 221A¹⁹, 156B¹⁶, 78E¹⁹, 78D¹³, 117A²¹, 104O²³, 78B¹⁷, 182A¹⁴, 273A²⁰, 130A¹¹, 65A¹⁴, 39A¹⁰, 182A¹³, 78B¹⁸, 26B⁴, 117A¹⁶, 13C⁰, 78C¹⁸, 65A⁵, 208B²³, 156A⁷, 78C¹¹, 78G¹³, 234B²³, 52H¹¹, 78B²¹, 52A²³, 169A²⁴, 104A²¹, 104J²³, 104E¹¹, 13A¹⁶, 104B⁷, 78A¹⁶, 156H²³, 208H²³, 78E¹³, 169A⁸, 130C²¹, 195A²¹, 91A²⁰, 78A⁷, 39B¹³, 52G¹¹, 52C²¹, 91B¹³, 78A¹⁷, 104R²³, 117A¹⁷, 26A²³, 156E¹⁹, 65B¹⁴, 26A⁹, 156B¹¹, 104B²¹, 130B²¹, 52C¹⁹, 52D⁹, 39A⁶, 26A³, 52B⁷, 104E¹³, 52D²³, 26A⁴, 234A²³, 52D²¹, 39B¹⁹, 195B¹⁷, 117B¹¹, 78D²³, 39A⁵, 78A¹⁰, 39A¹⁶, 52D¹¹, 117A¹³, 52C⁵, 156B¹⁵, 52E²¹, 104G¹¹, 156A¹⁹, 260A¹⁷, 65A²¹, 104B²³, 104D¹³, 208A¹⁵, 26B², 156A¹⁰, 52F²¹, 104L²³, 78A²⁴, 104C²³, 52B⁹, 130A¹⁶, 78C¹⁹, 78A¹⁹, 52E²³, 234A¹⁹, 234A²¹, 78B¹¹, 78H¹³, 156A²³, 52A¹⁵, 156G²³, 78A⁶, 65A¹², 52B¹¹, 130A¹⁹, 91B²¹, 91A¹⁸, 78C⁷, 234A¹⁶, 234C²³, 52B¹³, 130B¹¹, 117A¹⁹, 117B¹⁷, 156B²³, 104A⁹, 52C¹³, 130A⁸, 65B⁹, 78G²³, 26A²², 65C¹⁹, 130B¹⁷, 65D¹⁹, 39B⁵, 52A⁵, 104U²³, 156B⁷, 104D²¹, 156A¹⁷, 78B⁹, 182A¹², 65A¹⁹, 195A¹⁵, 208E²³, 117A¹⁰, 156C¹⁷, 208C²³, 39B²¹, 156C²³, 65B¹¹, 156A²⁰, 78B⁷, 52A¹⁹, 208B¹⁵, 91A²¹, 78C²¹, 26A², 39A¹⁹, 26B⁵, 78C¹⁶, 52A⁶, 26D¹⁰, 65B¹², 117C¹⁷, 104N²³, 156F¹⁹, 52H²³, 52C¹¹, 26E¹⁰, 208G²³, 78A¹³, 117A²², 338A²³, 104A¹⁹, 130B¹⁹, 26C⁴, 195A¹⁷, 78E²³, 117A¹⁸, 78B⁸, 104C¹¹, 117A⁸, 104C²¹, 208I²³, 39B¹¹, 117A²⁰, 39A⁴, 91A²³, 65A⁴, 247A²¹, 78B¹³, 104I²³, 78A¹⁸, 39A⁹, 195B¹⁴, 182C¹⁵, 52C⁹, 78C⁹, 65A¹⁷, 26B¹, 13B⁸, 65A¹³, 104C¹³, 39C⁴, 52B³, 39A², 260A²¹, 52A¹⁰, 26B¹³, 130A²¹, 26A⁰, 39A¹¹, 312B²³, 78C⁵, 208A²³, 78A²², 39B⁴, 130A²³, 104H²³, 143A²², 26B⁹, 52B⁵, 104A²³, 104K²³, 78A⁵, 52B¹⁹, 39B¹⁰, 52A⁷, 130A⁹, 117A¹¹, 156C¹⁹, 52E¹¹, 338A²², 91A¹⁴, 52A¹⁶, 273A¹⁹, 104B¹⁵, 78D¹⁹, 78H²³, 234A¹⁷, 78A²³, 52B²³, 13A², 117A²³, 312A²³, 91A⁷, 156D¹⁹, 52A¹, 39C⁹, 286A²⁰, 273B¹⁹, 13A²⁴, 156B¹⁹, 156D²³, 156E²³, 26A¹, 234A¹⁸, 52A¹⁷, 156B¹⁷, 78F¹³, 104A¹¹, 78C¹³, 156C¹⁵, 182B¹⁵, 78E¹¹, 65B¹⁹, 104A⁷, 208F²³, 117A¹², 104Q²³, 104A¹⁵, 156A¹¹, 104F¹¹, 143A¹³, 156A¹⁶, 78A²¹, 156A¹⁸, 52F²³, 91A⁶, 104A¹³</t>
        </is>
      </c>
    </row>
    <row r="89">
      <c r="A89">
        <f>HYPERLINK("https://mathstats.uncg.edu/sites/pauli/congruence/csg0.html#group13B0", "13B⁰")</f>
        <v/>
      </c>
      <c r="B89" t="n">
        <v>0</v>
      </c>
      <c r="C89" t="inlineStr"/>
      <c r="D89" t="inlineStr">
        <is>
          <t>28</t>
        </is>
      </c>
      <c r="E89" t="inlineStr">
        <is>
          <t>1</t>
        </is>
      </c>
      <c r="F89" t="inlineStr">
        <is>
          <t>14</t>
        </is>
      </c>
      <c r="G89" t="inlineStr">
        <is>
          <t>0</t>
        </is>
      </c>
      <c r="H89" t="inlineStr">
        <is>
          <t>4</t>
        </is>
      </c>
      <c r="I89" t="inlineStr">
        <is>
          <t>1², 13²</t>
        </is>
      </c>
      <c r="J89" t="n">
        <v>4</v>
      </c>
      <c r="K89" t="inlineStr">
        <is>
          <t>1², 12¹</t>
        </is>
      </c>
      <c r="L89" t="inlineStr">
        <is>
          <t>13A⁰</t>
        </is>
      </c>
      <c r="M89" t="inlineStr">
        <is>
          <t>26B¹, 13A², 26A⁴, 39B⁴, 39B⁵, 39A⁶, 52A⁷, 65A⁸, 65B¹¹, 91B¹³, 91A¹⁴, 13A¹⁶, 169A¹⁶, 65A¹⁹, 143A²²</t>
        </is>
      </c>
      <c r="N89" t="inlineStr">
        <is>
          <t>13A⁰, 1A⁰</t>
        </is>
      </c>
      <c r="O89" t="inlineStr">
        <is>
          <t>52A⁷, 65B¹¹, 39B²¹, 26C⁵, 91A¹⁴, 156E¹⁹, 78A¹⁸, 65A⁸, 39A¹⁷, 78D¹³, 117A²¹, 26A⁹, 117B²¹, 52A¹⁹, 104B²¹, 39A⁶, 78C²¹, 52A¹¹, 26A⁴, 78C⁹, 78D¹¹, 26B¹, 39B¹⁹, 52B²³, 169A¹⁶, 26D¹⁰, 13A², 117A²³, 52A⁹, 52A¹³, 78C¹⁸, 130B¹⁷, 39A¹⁶, 156D¹⁹, 117B¹⁹, 39C⁹, 39B⁵, 78A⁹, 78G¹³, 52B³, 78A¹³, 52A²³, 13A¹⁶, 78F¹³, 65A²¹, 104A¹⁹, 39B⁴, 104D²³, 143A²², 52E²³, 26B⁹, 104D¹⁵, 52G²³, 52C²¹, 65A¹⁹, 104A²³, 52A¹⁵, 39B¹¹, 156G²³, 91B¹³, 117A²⁰, 52B¹⁹</t>
        </is>
      </c>
    </row>
    <row r="90">
      <c r="A90">
        <f>HYPERLINK("https://mathstats.uncg.edu/sites/pauli/congruence/csg0.html#group13C0", "13C⁰")</f>
        <v/>
      </c>
      <c r="B90" t="n">
        <v>0</v>
      </c>
      <c r="C90" t="inlineStr"/>
      <c r="D90" t="inlineStr">
        <is>
          <t>42</t>
        </is>
      </c>
      <c r="E90" t="inlineStr">
        <is>
          <t>1</t>
        </is>
      </c>
      <c r="F90" t="inlineStr">
        <is>
          <t>14</t>
        </is>
      </c>
      <c r="G90" t="inlineStr">
        <is>
          <t>6</t>
        </is>
      </c>
      <c r="H90" t="inlineStr">
        <is>
          <t>0</t>
        </is>
      </c>
      <c r="I90" t="inlineStr">
        <is>
          <t>1³, 13³</t>
        </is>
      </c>
      <c r="J90" t="n">
        <v>6</v>
      </c>
      <c r="K90" t="inlineStr">
        <is>
          <t>1², 12¹</t>
        </is>
      </c>
      <c r="L90" t="inlineStr">
        <is>
          <t>13A⁰</t>
        </is>
      </c>
      <c r="M90" t="inlineStr">
        <is>
          <t>13A², 26B², 26C⁴, 39C⁴, 26A⁵, 39B⁹, 52C⁹, 65A¹³, 65B¹⁴, 91A¹⁸, 91B²³, 13A²⁴, 169A²⁴</t>
        </is>
      </c>
      <c r="N90" t="inlineStr">
        <is>
          <t>13A⁰, 1A⁰</t>
        </is>
      </c>
      <c r="O90" t="inlineStr">
        <is>
          <t>39B¹⁰, 52A¹⁶, 91A¹⁸, 39A¹⁷, 39B⁹, 65B¹⁴, 91B²³, 26A⁹, 52D⁹, 52C⁹, 52B¹³, 78A²³, 26D¹⁰, 65A¹³, 52C¹³, 13A², 78B²³, 39C⁴, 78A¹⁰, 39A¹⁶, 13A²⁴, 26E¹⁰, 104T²³, 26A⁵, 52A²³, 169A²⁴, 52A¹⁰, 26B¹³, 117A²², 52A¹⁷, 78A¹⁶, 26C⁴, 104U²³, 26B², 78A²², 78C¹⁹, 78A¹⁹, 52E²³, 39B¹³, 78H¹³, 52F²³</t>
        </is>
      </c>
    </row>
    <row r="91">
      <c r="A91">
        <f>HYPERLINK("https://mathstats.uncg.edu/sites/pauli/congruence/csg0.html#group14A0", "14A⁰")</f>
        <v/>
      </c>
      <c r="B91" t="n">
        <v>0</v>
      </c>
      <c r="C91" t="inlineStr"/>
      <c r="D91" t="inlineStr">
        <is>
          <t>14</t>
        </is>
      </c>
      <c r="E91" t="inlineStr">
        <is>
          <t>2</t>
        </is>
      </c>
      <c r="F91" t="inlineStr">
        <is>
          <t>7</t>
        </is>
      </c>
      <c r="G91" t="inlineStr">
        <is>
          <t>4</t>
        </is>
      </c>
      <c r="H91" t="inlineStr">
        <is>
          <t>2</t>
        </is>
      </c>
      <c r="I91" t="inlineStr">
        <is>
          <t>14¹</t>
        </is>
      </c>
      <c r="J91" t="n">
        <v>1</v>
      </c>
      <c r="K91" t="inlineStr">
        <is>
          <t>2¹, 6²</t>
        </is>
      </c>
      <c r="L91" t="inlineStr">
        <is>
          <t>7A⁰</t>
        </is>
      </c>
      <c r="M91" t="inlineStr">
        <is>
          <t>14D¹, 14F¹, 14G¹, 42A¹, 14B², 14C², 28E², 42D⁴, 70A⁴, 70B⁵, 70C⁹, 182A¹³, 238B¹⁹, 266A²²</t>
        </is>
      </c>
      <c r="N91" t="inlineStr">
        <is>
          <t>1A⁰, 7A⁰</t>
        </is>
      </c>
      <c r="O91" t="inlineStr">
        <is>
          <t>70A⁴, 28C⁴, 42F⁷, 14C⁵, 14D¹, 42H¹⁵, 84K²¹, 70C¹⁹, 70C¹⁴, 210A²², 28L²¹, 56E²⁴, 126F¹⁵, 42F¹⁹, 84G¹⁵, 168H²², 126C²¹, 56L²⁴, 42H¹⁷, 266A²², 56J²¹, 28E⁹, 14B², 14B⁷, 84A²⁰, 112F¹⁴, 28A¹⁹, 112A¹⁹, 84C¹⁴, 84C¹⁸, 14B⁶, 70B¹⁶, 56G⁶, 42E¹⁷, 28A¹⁰, 210B¹³, 84J²¹, 112L²³, 126A¹³, 42E¹⁵, 70G¹⁷, 42A⁷, 28B¹⁹, 28A⁷, 140B²⁰, 42D⁵, 56K²¹, 28A¹³, 84L²¹, 28E¹⁶, 126J²³, 112A²², 56I²², 28G⁵, 42G¹⁵, 42A¹⁵, 42B²⁴, 140H²³, 56J²⁴, 56F²³, 56M¹³, 70B⁵, 28B¹⁷, 56A¹⁰, 42A²³, 42C⁵, 98A²³, 98B²², 28C¹⁹, 56N²⁴, 42B⁶, 56C¹², 238B¹⁹, 56L²², 126L²³, 42E²³, 28B¹⁰, 42C²³, 14A¹⁷, 14D⁵, 84G¹⁶, 56J²², 14B¹³, 28D¹⁶, 28C¹⁴, 70B⁹, 28H²¹, 42B¹⁶, 42I²³, 56A¹⁵, 42H¹⁹, 42I¹⁹, 28C¹⁷, 168J²², 14A⁵, 42C⁹, 56A¹³, 70D²¹, 112E¹⁴, 70H¹⁷, 28G²¹, 42J¹⁹, 28K²¹, 56M²⁴, 70D¹³, 126A²⁴, 112H²⁴, 70I²¹, 42F¹⁷, 14C², 42J²³, 126G¹⁷, 56B⁹, 42I⁷, 28B²¹, 14A¹¹, 42H²³, 42B²³, 84I²¹, 70A¹⁴, 126A⁶, 70I¹⁷, 182A¹³, 14F³, 168G²², 28C²³, 126A¹⁴, 42F³, 14B¹⁷, 42D¹¹, 84D²³, 28C¹¹, 14G¹, 70E⁹, 42D²¹, 42G¹², 70C²¹, 56K²⁴, 126I¹⁷, 14E³, 70C⁹, 28A⁶, 70C¹⁶, 42K¹⁷, 42N⁷, 126K²³, 112G²⁴, 42G²³, 126E¹², 28F⁵, 28E², 126J¹³, 42J⁷, 28D⁹, 42B¹³, 42H⁷, 42D¹⁷, 210A¹⁵, 140E²³, 126F¹⁷, 14D⁷, 14A⁹, 28B¹⁴, 210C¹⁵, 14A⁶, 42J¹³, 14A²³, 14F¹, 84H⁸, 42E⁵, 112C²³, 42D⁴, 126C¹⁹, 42F¹², 42A¹⁹, 84A¹⁷, 140F²³, 42G¹⁹, 56F⁶, 210A¹³, 70B¹³, 42A¹, 56C²², 126G¹⁸, 42F²³, 42A²⁴, 168I²², 126B¹⁷, 70F¹⁷, 14C¹³, 56K²², 28H¹¹, 42B²¹, 28D²³, 42E¹³, 56A²³, 14E⁵, 84A²³, 42I¹⁵, 126K¹³, 126C²⁴, 28A²¹, 126B¹⁹, 84L¹⁹, 14A¹⁵, 28A²³, 28D¹⁷</t>
        </is>
      </c>
    </row>
    <row r="92">
      <c r="A92">
        <f>HYPERLINK("https://mathstats.uncg.edu/sites/pauli/congruence/csg0.html#group14B0", "14B⁰")</f>
        <v/>
      </c>
      <c r="B92" t="n">
        <v>0</v>
      </c>
      <c r="C92" t="inlineStr"/>
      <c r="D92" t="inlineStr">
        <is>
          <t>16</t>
        </is>
      </c>
      <c r="E92" t="inlineStr">
        <is>
          <t>1</t>
        </is>
      </c>
      <c r="F92" t="inlineStr">
        <is>
          <t>8</t>
        </is>
      </c>
      <c r="G92" t="inlineStr">
        <is>
          <t>0</t>
        </is>
      </c>
      <c r="H92" t="inlineStr">
        <is>
          <t>4</t>
        </is>
      </c>
      <c r="I92" t="inlineStr">
        <is>
          <t>2¹, 14¹</t>
        </is>
      </c>
      <c r="J92" t="n">
        <v>2</v>
      </c>
      <c r="K92" t="inlineStr">
        <is>
          <t>1², 6¹</t>
        </is>
      </c>
      <c r="L92" t="inlineStr">
        <is>
          <t>2A⁰, 7B⁰</t>
        </is>
      </c>
      <c r="M92" t="inlineStr">
        <is>
          <t>14C⁰, 28A⁰, 14D², 14E², 42B², 42C², 28E³, 42B³, 42E³, 42B⁴, 70B⁴, 14E⁵, 98A⁵, 70C⁷, 70C¹¹, 182C¹⁵, 238B²³, 266B²³</t>
        </is>
      </c>
      <c r="N92" t="inlineStr">
        <is>
          <t>2A⁰, 1A⁰, 7B⁰</t>
        </is>
      </c>
      <c r="O92" t="inlineStr">
        <is>
          <t>84B¹⁴, 14D², 140C²³, 84K²², 126D¹⁴, 210J²³, 84A⁸, 126F¹³, 56T²³, 56N²¹, 42E³, 84B¹⁵, 126M²³, 84B⁸, 70G¹⁴, 28G¹¹, 42E⁷, 126F²³, 210E¹⁶, 84A²², 84J²³, 28F¹¹, 42J²¹, 126H¹³, 42E¹⁰, 28E⁶, 112K¹⁵, 126E¹³, 56L²¹, 126D¹¹, 196A¹³, 42D¹⁰, 42H¹², 84E¹³, 28A¹³, 70G¹⁹, 56H¹³, 56C¹⁷, 210B²³, 112P²³, 42H¹¹, 210C²³, 42O¹⁹, 14B⁴, 42I²¹, 84K¹³, 28I⁵, 56P²³, 42A²³, 140A⁸, 210D¹⁸, 126S²¹, 84K²⁰, 28D⁴, 28G⁹, 126D²³, 84H²³, 126H²³, 84A¹⁵, 70C¹⁸, 84F²², 42I⁵, 70D¹⁴, 28A⁰, 14A¹⁷, 84G²³, 210B¹⁸, 84I¹³, 42K¹¹, 56W²³, 84A⁶, 252A²⁴, 84E⁷, 252A²³, 84B⁴, 56G⁷, 84I²³, 28E¹¹, 210G¹⁶, 84F²¹, 84M²⁰, 294A²⁴, 84Q¹⁷, 42F¹⁰, 14C⁰, 126C¹¹, 70H¹⁹, 42B³, 252B²³, 42Q¹⁹, 42G¹⁰, 98A⁵, 84K¹⁶, 140B¹⁵, 294B²³, 238B²³, 126I¹³, 42P¹⁹, 28E³, 182C¹⁵, 84I²⁰, 28M²¹, 56Q¹¹, 28G¹⁶, 84E²², 70E¹⁶, 70F¹⁹, 42B²³, 42D⁹, 210F¹⁶, 56S²³, 140A¹⁵, 28C¹⁰, 126E¹⁵, 56N¹³, 14B¹⁷, 112L¹⁵, 70C¹¹, 126B²³, 98A¹⁷, 42G¹³, 140A²³, 28D⁶, 210A²⁰, 126T²¹, 70G²¹, 126B¹⁵, 210G²³, 252B²⁴, 70B¹⁸, 84D²², 70F¹⁴, 42B², 28E¹⁷, 28F⁹, 140B²³, 84B²², 42G²¹, 56G¹³, 84H¹³, 28F¹³, 56V²³, 126I¹², 56Q²³, 126M²¹, 42L¹⁷, 252D²⁴, 42M⁷, 126U²¹, 98A¹⁵, 42F¹¹, 210D¹⁷, 56O²³, 14E², 84D⁷, 56M¹¹, 84C¹⁵, 28E⁵, 70B⁴, 266B²³, 126C¹⁵, 56R¹¹, 28F², 42G¹¹, 42H²¹, 126F¹¹, 70F¹³, 42J¹⁰, 28N²¹, 56F⁷, 112O²³, 84A²¹, 42A²⁴, 294A²³, 126E²³, 210C¹⁸, 98B¹⁷, 56L¹¹, 84A⁴, 70A¹⁸, 70D¹⁶, 210C¹⁷, 14E⁵, 126B¹², 42B⁴, 42M²³, 84H²², 70E¹⁴, 42C², 84G²¹, 70C⁷, 56R²³, 14A¹⁵, 84C²², 210H²³, 210E¹⁸</t>
        </is>
      </c>
    </row>
    <row r="93">
      <c r="A93">
        <f>HYPERLINK("https://mathstats.uncg.edu/sites/pauli/congruence/csg0.html#group14C0", "14C⁰")</f>
        <v/>
      </c>
      <c r="B93" t="n">
        <v>0</v>
      </c>
      <c r="C93" t="inlineStr"/>
      <c r="D93" t="inlineStr">
        <is>
          <t>48</t>
        </is>
      </c>
      <c r="E93" t="inlineStr">
        <is>
          <t>1</t>
        </is>
      </c>
      <c r="F93" t="inlineStr">
        <is>
          <t>16</t>
        </is>
      </c>
      <c r="G93" t="inlineStr">
        <is>
          <t>0</t>
        </is>
      </c>
      <c r="H93" t="inlineStr">
        <is>
          <t>6</t>
        </is>
      </c>
      <c r="I93" t="inlineStr">
        <is>
          <t>2³, 14³</t>
        </is>
      </c>
      <c r="J93" t="n">
        <v>6</v>
      </c>
      <c r="K93" t="inlineStr">
        <is>
          <t>1⁴, 6²</t>
        </is>
      </c>
      <c r="L93" t="inlineStr">
        <is>
          <t>14B⁰</t>
        </is>
      </c>
      <c r="M93" t="inlineStr">
        <is>
          <t>28F², 14B⁴, 42M⁷, 28G⁹, 42D⁹, 42G¹⁰, 70G¹⁴, 14A¹⁵, 98A¹⁵, 70H¹⁹</t>
        </is>
      </c>
      <c r="N93" t="inlineStr">
        <is>
          <t>2A⁰, 1A⁰, 7B⁰, 14B⁰</t>
        </is>
      </c>
      <c r="O93" t="inlineStr">
        <is>
          <t>42Q¹⁹, 42G¹⁰, 42L¹⁷, 84G²³, 84K¹⁶, 42M⁷, 70G¹⁴, 98A¹⁵, 14B⁴, 84D²², 28G⁹, 28G¹⁶, 28E¹⁷, 42D⁹, 56T²³, 84H²³, 56S²³, 84H²², 28F¹³, 14A¹⁵, 70H¹⁹, 28F², 28C¹⁰</t>
        </is>
      </c>
    </row>
    <row r="94">
      <c r="A94">
        <f>HYPERLINK("https://mathstats.uncg.edu/sites/pauli/congruence/csg0.html#group15A0", "15A⁰")</f>
        <v/>
      </c>
      <c r="B94" t="n">
        <v>0</v>
      </c>
      <c r="C94" t="inlineStr"/>
      <c r="D94" t="inlineStr">
        <is>
          <t>15</t>
        </is>
      </c>
      <c r="E94" t="inlineStr">
        <is>
          <t>2</t>
        </is>
      </c>
      <c r="F94" t="inlineStr">
        <is>
          <t>5</t>
        </is>
      </c>
      <c r="G94" t="inlineStr">
        <is>
          <t>3</t>
        </is>
      </c>
      <c r="H94" t="inlineStr">
        <is>
          <t>3</t>
        </is>
      </c>
      <c r="I94" t="inlineStr">
        <is>
          <t>15¹</t>
        </is>
      </c>
      <c r="J94" t="n">
        <v>1</v>
      </c>
      <c r="K94" t="inlineStr">
        <is>
          <t>2¹, 8¹</t>
        </is>
      </c>
      <c r="L94" t="inlineStr">
        <is>
          <t>5A⁰</t>
        </is>
      </c>
      <c r="M94" t="inlineStr">
        <is>
          <t>15F¹, 30B¹, 15E², 15B³, 15D³, 30E³, 60A³, 105A⁶, 105B⁶, 105A⁸, 165A¹⁰, 165B¹⁰, 195A¹⁴, 165B¹⁵, 255B²¹, 285A²³</t>
        </is>
      </c>
      <c r="N94" t="inlineStr">
        <is>
          <t>1A⁰, 5A⁰</t>
        </is>
      </c>
      <c r="O94" t="inlineStr">
        <is>
          <t>90K²², 30I¹⁰, 15A¹⁹, 60J¹⁹, 30D¹⁰, 285A²³, 15A⁹, 30P⁷, 15A¹⁰, 30L⁵, 30D¹², 120D¹⁴, 60G¹³, 75B¹¹, 30B¹¹, 30O¹³, 30D¹⁶, 15A⁸, 15D⁴, 60Q¹⁵, 210B¹³, 90P¹⁷, 30F¹¹, 90D¹⁹, 105C¹⁹, 30B¹, 240A¹⁵, 30G⁴, 75A¹⁹, 105A¹⁴, 30A¹¹, 30D²², 60D⁶, 30B¹⁰, 30F¹⁷, 195A¹⁴, 30E²³, 30D¹³, 30O⁹, 60J¹⁸, 45D⁷, 30F⁴, 30H⁷, 30H¹², 60H¹⁹, 75B²⁴, 60C²², 15H³, 15E⁴, 30F¹², 30A¹⁹, 45H¹³, 30B²¹, 30E¹⁰, 90B¹⁶, 45B¹⁹, 15A²³, 60J²³, 120C¹², 30F²¹, 60B¹⁰, 330B²⁴, 120B⁷, 60Y¹⁵, 120E¹⁶, 120D¹⁶, 30M⁷, 45C¹⁰, 30C¹², 30C²³, 15B⁸, 105C²², 30F¹⁵, 60B²⁴, 105A⁶, 30C¹⁶, 165A¹⁰, 30O⁷, 60A³, 30B²², 90I¹⁹, 30E⁴, 15A¹⁷, 210F¹⁶, 30B¹⁶, 30B²³, 210C²⁴, 30E²², 30B¹³, 45A¹⁸, 120A⁷, 30A²⁴, 15D³, 60C¹⁶, 105A⁸, 15B¹⁰, 45D¹⁶, 90C¹⁸, 105B¹⁴, 60A²⁴, 30G¹³, 30E³, 15B¹⁹, 60F¹⁴, 30J²³, 240C²⁴, 15C⁷, 15E², 45C¹⁷, 165B¹⁰, 210A¹⁶, 30F²², 60I¹⁹, 15F¹, 120B¹⁵, 60B²², 60F¹⁸, 30D²³, 60I¹⁸, 15A¹², 15B³, 30A²¹, 60C⁷, 30F⁶, 30G²², 120D¹³, 210A¹³, 60M¹⁷, 105B⁶, 45B¹⁶, 30A¹⁰, 30A⁷, 90A²², 60D¹⁶, 15A¹⁶, 60F¹⁶, 30E¹¹, 210B²⁴, 210B¹⁶, 330A²⁴, 45C¹⁶, 45G¹³, 15C⁴, 240B¹⁵, 255B²¹, 30E⁷, 60F⁸, 60E¹⁶, 165B¹⁵, 30E¹⁶, 90E¹⁹</t>
        </is>
      </c>
    </row>
    <row r="95">
      <c r="A95">
        <f>HYPERLINK("https://mathstats.uncg.edu/sites/pauli/congruence/csg0.html#group15B0", "15B⁰")</f>
        <v/>
      </c>
      <c r="B95" t="n">
        <v>0</v>
      </c>
      <c r="C95" t="inlineStr"/>
      <c r="D95" t="inlineStr">
        <is>
          <t>18</t>
        </is>
      </c>
      <c r="E95" t="inlineStr">
        <is>
          <t>1</t>
        </is>
      </c>
      <c r="F95" t="inlineStr">
        <is>
          <t>6</t>
        </is>
      </c>
      <c r="G95" t="inlineStr">
        <is>
          <t>6</t>
        </is>
      </c>
      <c r="H95" t="inlineStr">
        <is>
          <t>0</t>
        </is>
      </c>
      <c r="I95" t="inlineStr">
        <is>
          <t>3¹, 15¹</t>
        </is>
      </c>
      <c r="J95" t="n">
        <v>2</v>
      </c>
      <c r="K95" t="inlineStr">
        <is>
          <t>1², 4¹</t>
        </is>
      </c>
      <c r="L95" t="inlineStr">
        <is>
          <t>3A⁰, 5B⁰</t>
        </is>
      </c>
      <c r="M95" t="inlineStr">
        <is>
          <t>15C⁰, 30A⁰, 15E¹, 30C¹, 15B², 30C², 30E², 45A², 30B³, 60B³, 15D⁴, 75A⁴, 75C⁶, 75B⁶, 75D⁶, 75A⁶, 105C⁶, 105B¹¹, 165B¹², 165A¹⁷, 195A¹⁷, 255A²³</t>
        </is>
      </c>
      <c r="N95" t="inlineStr">
        <is>
          <t>3A⁰, 5B⁰, 1A⁰</t>
        </is>
      </c>
      <c r="O95" t="inlineStr">
        <is>
          <t>225B²⁰, 90J²¹, 75A¹², 225A²⁰, 60H⁷, 60N²¹, 15A¹⁹, 120S²³, 105E¹⁴, 90P¹⁵, 30C⁶, 240C²¹, 150A¹³, 60AE¹⁵, 120O²¹, 15A⁹, 15A¹⁰, 120K¹³, 120G¹⁵, 30D¹², 75C²⁴, 60A⁵, 45D⁸, 60I¹⁵, 60AG¹³, 45F¹⁹, 60AE¹³, 60U¹¹, 15D⁴, 45G⁵, 90F²⁰, 120L¹³, 90A²³, 75B⁶, 60L¹⁵, 15I³, 120E²³, 120I¹³, 30F⁷, 75D¹², 45A¹⁵, 60M¹⁵, 60AA¹³, 90K¹⁹, 75C¹⁴, 165B¹², 120J¹⁹, 210B²³, 60C¹¹, 90M¹⁵, 75B¹⁴, 30B¹⁰, 60R⁷, 45F¹¹, 90A⁹, 120R²³, 240A²¹, 60C⁴, 120K¹⁷, 45A²¹, 45E¹⁶, 30B³, 60C³, 60W¹⁷, 150A¹⁵, 165A¹⁷, 240B²¹, 120N¹⁹, 60I⁷, 30H⁹, 30H¹³, 120L²¹, 150E¹³, 120G²¹, 120Q¹⁷, 120I¹⁹, 150D²⁰, 150A¹¹, 120A¹¹, 60B²¹, 60R²³, 45E²¹, 105D¹⁵, 45F⁹, 60E⁶, 60R¹¹, 120J²³, 75E¹⁷, 60F¹⁵, 60P¹³, 30I¹³, 210E¹⁷, 180N²³, 60P²³, 30Q⁹, 75C⁶, 30H¹⁷, 150C²³, 120G¹³, 45B¹⁵, 75E⁹, 75A⁶, 15B⁸, 150C¹³, 180C²², 90H¹⁷, 120I¹⁵, 60B⁵, 75A¹³, 150A¹², 45F⁵, 60A¹¹, 180B²⁴, 60J⁹, 30J³, 90K¹⁷, 90K²¹, 45A⁸, 90D¹⁸, 225D²⁰, 60C¹⁵, 60A²¹, 30G⁵, 60L²¹, 60Y¹⁷, 30H¹¹, 150C²⁰, 120B¹¹, 30O⁵, 60I⁹, 45C¹⁵, 60E⁹, 105D¹⁴, 60W¹³, 60G¹⁵, 90N²¹, 15A¹⁷, 105D²¹, 120F²³, 120H²¹, 150B²³, 120F¹³, 120A¹⁷, 30I⁹, 60Q¹¹, 60Q¹³, 60B³, 225C²⁰, 60Q²¹, 30B²³, 45A¹⁸, 60X²¹, 150A¹⁴, 90C²⁴, 60N¹³, 210A¹², 180C¹³, 90E¹⁷, 210D²³, 30R⁷, 120F¹⁵, 30H⁵, 30R⁵, 120Q²³, 15E³, 15B¹⁹, 30H⁴, 45A², 60F⁶, 60L⁹, 60N¹¹, 30R⁹, 255A²³, 45I¹⁹, 30K¹³, 210C¹⁵, 75A⁸, 30F⁵, 60O²³, 90I¹⁵, 90B⁸, 90E²², 180F¹³, 210A²³, 180E¹³, 60AG¹⁵, 60N¹⁷, 15B², 60F²¹, 60P¹¹, 120N²¹, 210A²¹, 60T¹³, 30I¹¹, 120K²¹, 60AB¹³, 30G¹¹, 45N¹³, 30H²¹, 210F¹⁸, 240D²¹, 120H¹⁹, 75A¹⁰, 75C¹², 30I³, 60F⁹, 120E⁹, 75A¹⁴, 150C¹⁴, 90K¹¹, 75A⁴, 30G⁹, 75C¹⁹, 60D²¹, 60Z¹³, 180B¹³, 60G²¹, 120M²¹, 60Y¹³, 90I¹³, 60U¹⁷, 45C⁴, 45E⁹, 45D²³, 150D¹⁵, 180M²³, 60Q⁷, 60C²¹, 90J¹⁵, 120J¹⁷, 90E¹⁰, 75B¹³, 180D¹³, 60D³, 60Q²³, 45K¹³, 30P⁵, 60T¹¹, 150E¹², 120B¹⁷, 120B²³, 75B¹², 90D⁷, 60A¹⁵, 30D⁶, 60K⁹, 30J⁹, 45H¹¹, 120S¹⁹, 120I²³, 30K¹¹, 60S²³, 120H¹³, 60V¹⁷, 120G¹⁹, 30B¹¹, 150C¹², 105C¹⁶, 120I²¹, 60D¹¹, 60C⁵, 30C¹⁹, 60W²¹, 120Q¹⁹, 60N⁷, 90L²¹, 60H¹⁵, 90H²², 120D⁹, 240A²³, 60S⁷, 75D¹⁹, 120E¹³, 90G¹³, 120L¹⁷, 90G⁹, 90C⁷, 105B²¹, 30E⁵, 150B¹⁴, 150D²³, 60E¹⁵, 150C¹⁵, 60AF¹³, 120J²¹, 30C¹, 15E¹, 150B¹², 30J¹¹, 90N¹⁵, 315A²⁴, 90G¹⁷, 150A¹⁰, 90K¹⁵, 120C¹¹, 45B²², 30D¹³, 90A¹⁷, 180A²⁴, 105C¹⁷, 90C¹⁷, 45G¹⁹, 120O¹⁹, 120P¹⁷, 60S¹³, 105C⁶, 60S¹¹, 75B²⁴, 30K⁹, 45B⁷, 60O¹³, 75D⁶, 105B¹¹, 90G²², 240B²³, 105A¹⁷, 90J¹⁹, 90B¹⁷, 330D²⁴, 90G²⁰, 60AD¹³, 75D¹⁴, 30B²¹, 60AK¹³, 195A¹⁷, 90A⁵, 30Q¹³, 180J²¹, 60M⁷, 90I¹⁷, 60AC¹³, 60V¹¹, 150F¹³, 30I⁴, 30C²³, 90J¹⁷, 90A²⁴, 75D¹³, 60O²¹, 60A⁸, 30C², 60E¹¹, 30C¹⁶, 30L²³, 210D¹⁵, 45D⁶, 90L¹⁵, 60O¹¹, 120H¹⁵, 120D¹¹, 15H¹, 180H²⁰, 30D¹, 90F¹⁷, 60M⁹, 60K¹⁵, 150B¹⁵, 60M²¹, 60X¹⁷, 30I¹⁷, 30J¹³, 105C²¹, 30L³, 90O¹⁵, 120M¹⁷, 60K²¹, 120A²³, 180D²², 210E²³, 150A²⁰, 90I¹¹, 75C¹³, 60E²¹, 120I¹⁷, 30G¹⁷, 180I²¹, 90B²³, 30J²³, 60U¹³, 150B²⁰, 30A⁰, 30C⁵, 90B⁶, 210H¹⁶, 150A²¹, 90F¹³, 90I²¹, 60N¹⁵, 90B²⁴, 60N⁹, 120J¹⁵, 30L¹³, 60N²³, 60R¹³, 90E¹³, 60J¹⁵, 60B¹⁵, 105D²², 90H¹¹, 30G²¹, 120R¹⁹, 225A¹⁸, 15C⁰, 90D¹⁷, 45C¹⁸, 15C⁹, 120E¹⁵, 90A⁴, 60X¹³, 150D¹⁴, 150D¹³, 90H¹³, 15F³, 120J¹³, 150D¹², 120C⁹, 105A²⁰, 150A¹⁶, 30E², 15C⁵, 120F⁹, 60D¹⁵, 210G¹⁸, 120P¹⁹, 60V¹³, 60O¹⁵</t>
        </is>
      </c>
    </row>
    <row r="96">
      <c r="A96">
        <f>HYPERLINK("https://mathstats.uncg.edu/sites/pauli/congruence/csg0.html#group15C0", "15C⁰")</f>
        <v/>
      </c>
      <c r="B96" t="n">
        <v>0</v>
      </c>
      <c r="C96" t="inlineStr"/>
      <c r="D96" t="inlineStr">
        <is>
          <t>36</t>
        </is>
      </c>
      <c r="E96" t="inlineStr">
        <is>
          <t>1</t>
        </is>
      </c>
      <c r="F96" t="inlineStr">
        <is>
          <t>18</t>
        </is>
      </c>
      <c r="G96" t="inlineStr">
        <is>
          <t>8</t>
        </is>
      </c>
      <c r="H96" t="inlineStr">
        <is>
          <t>0</t>
        </is>
      </c>
      <c r="I96" t="inlineStr">
        <is>
          <t>3², 15²</t>
        </is>
      </c>
      <c r="J96" t="n">
        <v>4</v>
      </c>
      <c r="K96" t="inlineStr">
        <is>
          <t>1², 2², 4¹, 8¹</t>
        </is>
      </c>
      <c r="L96" t="inlineStr">
        <is>
          <t>15B⁰</t>
        </is>
      </c>
      <c r="M96" t="inlineStr">
        <is>
          <t>15H¹, 30D¹, 15F³, 30L³, 30I⁴, 45C⁴, 30F⁵, 45D⁶, 60Q⁷, 15B⁸, 75A⁸, 75C¹², 75B¹², 75D¹², 75A¹², 105E¹⁴, 105C²¹</t>
        </is>
      </c>
      <c r="N96" t="inlineStr">
        <is>
          <t>3A⁰, 5B⁰, 1A⁰, 15B⁰</t>
        </is>
      </c>
      <c r="O96" t="inlineStr">
        <is>
          <t>30L²³, 75A¹², 45D⁶, 120S²³, 15A¹⁹, 105E¹⁴, 90L¹⁵, 60W²¹, 60Y¹⁷, 60L²¹, 60Q²³, 30H¹¹, 15H¹, 45C¹⁵, 30D¹, 75B¹², 90N²¹, 15A¹⁷, 30J⁹, 120S¹⁹, 45H¹¹, 30I⁹, 30K¹¹, 60Q¹¹, 60S²³, 60M²¹, 60X¹⁷, 30I¹⁷, 105C²¹, 60U¹¹, 30L³, 60X²¹, 90O¹⁵, 30C¹⁹, 90E¹⁷, 60N⁷, 15I³, 30R⁷, 60S⁷, 30R⁵, 90G⁹, 120Q²³, 75D¹², 150D²³, 30G¹⁷, 30J²³, 90M¹⁵, 150A²¹, 30R⁹, 45I¹⁹, 120R²³, 60N⁹, 45E¹⁶, 75A⁸, 30F⁵, 120O¹⁹, 60R¹³, 90E¹³, 60O²³, 90E²², 120N¹⁹, 60N¹⁷, 30K⁹, 30G²¹, 120R¹⁹, 15C⁹, 45C¹⁸, 45E²¹, 75C¹², 30H²¹, 45N¹³, 90G²⁰, 45F⁹, 75E¹⁷, 30B²¹, 60F¹⁵, 60AK¹³, 90H¹³, 15F³, 30Q¹³, 90K¹¹, 75C¹⁹, 60M⁷, 60D²¹, 30I¹³, 60G²¹, 60AC¹³, 15C⁵, 60P²³, 30Q⁹, 30H¹⁷, 30I⁴, 60U¹⁷, 45C⁴, 60Q⁷, 45B¹⁵, 45E⁹, 45D²³, 15B⁸, 60C²¹, 90H¹⁷</t>
        </is>
      </c>
    </row>
    <row r="97">
      <c r="A97">
        <f>HYPERLINK("https://mathstats.uncg.edu/sites/pauli/congruence/csg0.html#group16A0", "16A⁰")</f>
        <v/>
      </c>
      <c r="B97" t="n">
        <v>0</v>
      </c>
      <c r="C97" t="inlineStr"/>
      <c r="D97" t="inlineStr">
        <is>
          <t>16</t>
        </is>
      </c>
      <c r="E97" t="inlineStr">
        <is>
          <t>2</t>
        </is>
      </c>
      <c r="F97" t="inlineStr">
        <is>
          <t>8</t>
        </is>
      </c>
      <c r="G97" t="inlineStr">
        <is>
          <t>2</t>
        </is>
      </c>
      <c r="H97" t="inlineStr">
        <is>
          <t>4</t>
        </is>
      </c>
      <c r="I97" t="inlineStr">
        <is>
          <t>16¹</t>
        </is>
      </c>
      <c r="J97" t="n">
        <v>1</v>
      </c>
      <c r="K97" t="inlineStr">
        <is>
          <t>8²</t>
        </is>
      </c>
      <c r="L97" t="inlineStr">
        <is>
          <t>8A⁰</t>
        </is>
      </c>
      <c r="M97" t="inlineStr">
        <is>
          <t>16F⁰, 16H², 16G³, 48A³, 48A⁴, 80A⁴, 80B⁷, 112C⁷, 112D⁷, 112A⁸, 80F¹¹, 176A¹¹, 176B¹¹, 208B¹⁵, 176A¹⁶, 272B²³, 304A²⁴</t>
        </is>
      </c>
      <c r="N97" t="inlineStr">
        <is>
          <t>8A⁰, 1A⁰, 4A⁰</t>
        </is>
      </c>
      <c r="O97" t="inlineStr">
        <is>
          <t>112C⁷, 16A¹¹, 80B⁷, 176A¹¹, 272B²³, 80K¹⁹, 48A¹⁴, 80E²³, 32G⁶, 176A²⁴, 144J²², 48A²², 80D¹⁸, 16H², 144A¹⁵, 240A¹⁹, 48I⁴, 16K⁵, 112B¹⁶, 16I⁹, 16B¹¹, 80A²², 16E¹¹, 112A⁸, 48A¹², 144V²³, 112L¹⁵, 16D²¹, 112F¹⁴, 48H²⁰, 80AG²¹, 64I¹⁴, 16G³, 336D²⁴, 80B¹⁵, 240A²⁴, 336C²⁴, 48R¹³, 48U¹³, 16F²¹, 32G²³, 144N²¹, 48J⁷, 240A¹⁵, 16F⁰, 144S²³, 48A⁴, 80D¹⁵, 80F¹¹, 176A¹⁶, 112J¹⁵, 48I²⁰, 48A⁸, 48BX²¹, 80A⁴, 144N²², 16B⁶, 48D¹⁵, 144F²⁰, 32X²¹, 208B¹⁵, 48F¹⁰, 32I²¹, 144A²⁴, 48L⁷, 48A³, 16B¹⁰, 240B²¹, 48B¹⁵, 144E²⁰, 48C²², 32A²³, 16B²¹, 80B¹³, 304A²⁴, 112I¹⁵, 16D¹¹, 48T¹⁹, 16A¹⁹, 80AI²¹, 32C²⁴, 176B¹¹, 48H⁶, 80E⁸, 144A¹⁶, 16C¹⁰, 32D²⁴, 16A⁶, 144T²³, 240B¹⁵, 144A¹⁰, 80B²³, 48A¹⁷, 144A¹², 144L²², 32F²³, 112E¹⁴, 112D⁷, 48BY²¹, 32S¹³, 16J⁵, 16E²¹</t>
        </is>
      </c>
    </row>
    <row r="98">
      <c r="A98">
        <f>HYPERLINK("https://mathstats.uncg.edu/sites/pauli/congruence/csg0.html#group16B0", "16B⁰")</f>
        <v/>
      </c>
      <c r="B98" t="n">
        <v>0</v>
      </c>
      <c r="C98" t="inlineStr"/>
      <c r="D98" t="inlineStr">
        <is>
          <t>24</t>
        </is>
      </c>
      <c r="E98" t="inlineStr">
        <is>
          <t>1</t>
        </is>
      </c>
      <c r="F98" t="inlineStr">
        <is>
          <t>3</t>
        </is>
      </c>
      <c r="G98" t="inlineStr">
        <is>
          <t>8</t>
        </is>
      </c>
      <c r="H98" t="inlineStr">
        <is>
          <t>0</t>
        </is>
      </c>
      <c r="I98" t="inlineStr">
        <is>
          <t>8¹, 16¹</t>
        </is>
      </c>
      <c r="J98" t="n">
        <v>2</v>
      </c>
      <c r="K98" t="inlineStr">
        <is>
          <t>1³</t>
        </is>
      </c>
      <c r="L98" t="inlineStr">
        <is>
          <t>8B⁰</t>
        </is>
      </c>
      <c r="M98" t="inlineStr">
        <is>
          <t>48A⁰, 16F¹, 16J¹, 32B¹, 16B³, 32D³, 48C⁷, 80D⁷, 80A⁸, 112B⁸, 80F¹⁵, 112C¹⁵, 176B¹⁶, 176C²³, 208B²³</t>
        </is>
      </c>
      <c r="N98" t="inlineStr">
        <is>
          <t>8B⁰, 1A⁰, 2B⁰, 4C⁰</t>
        </is>
      </c>
      <c r="O98" t="inlineStr">
        <is>
          <t>96Y²¹, 96R¹⁵, 336I²⁴, 80AX¹⁷, 16B¹⁹, 32J⁵, 176B¹⁶, 96A⁵, 64Q²¹, 32S²¹, 16K⁹, 32Y²¹, 16B¹⁷, 224A²³, 96G¹³, 96T¹⁵, 48M¹⁵, 64K¹³, 288A²¹, 96O¹⁵, 288A²³, 48J²¹, 112B⁸, 48Q¹⁷, 16R³, 96W¹⁵, 16I⁹, 80AE¹⁷, 48E⁵, 160G¹⁷, 96R¹⁷, 32H⁹, 48AK²¹, 32N¹³, 32K¹¹, 16B³, 112A¹⁹, 32U²¹, 48A⁰, 48L¹⁵, 96Y¹⁹, 48Y¹⁵, 32G⁹, 96Z¹⁷, 32G¹³, 16G⁹, 32K²¹, 32K⁹, 16K³, 96P²³, 96AY¹⁹, 80D⁷, 64G²¹, 32A¹³, 80B¹⁹, 96S¹⁵, 16E⁹, 48W¹⁵, 32B¹³, 32G⁷, 80AV¹⁷, 96U¹⁵, 32K¹³, 32A⁷, 64M¹³, 32E⁵, 96B¹⁷, 32B²³, 32A²¹, 64F⁹, 176C²³, 48S²¹, 32G⁵, 16E⁷, 32I²¹, 96Q¹⁵, 32J¹¹, 16A¹⁷, 224A²¹, 160G²¹, 48B¹¹, 32E¹¹, 160H²¹, 32A²³, 16D⁷, 64S¹³, 32R²¹, 32W²¹, 96G²³, 48X¹⁵, 96I¹¹, 96V¹⁹, 32L⁹, 240B²³, 80A⁸, 32F⁵, 48AW¹⁷, 16A¹⁹, 64I⁹, 48D¹³, 48J¹⁵, 112A²¹, 16J¹, 96O¹⁷, 48AE¹⁵, 96Q¹⁷, 144F²³, 32L²¹, 16B⁵, 48N²¹, 16L³, 16B⁹, 96K¹¹, 160H¹⁷, 160B¹⁷, 224A¹⁹, 64O¹³, 48AF¹³, 96AD¹⁷, 144J¹⁹, 48AZ¹⁷, 96AE¹⁷, 80J¹⁷, 48AF¹⁵, 32T²¹, 64H²¹, 112C¹⁵, 96AB¹⁷, 64P²¹, 64N¹³, 32C²³, 48AA¹³, 16D⁵, 32F⁹, 32M²¹, 32K⁵, 96AA¹⁷, 96Z²¹, 144C²¹, 32F¹¹, 64T¹³, 96H²³, 32N³, 48Z¹⁵, 80I²¹, 96A⁷, 32D³, 32B¹, 144A⁸, 64R¹³, 208B²³, 96J¹¹, 96A²³, 48F²¹, 96A³, 32N⁹, 64L¹³, 48O¹³, 96N¹⁷, 32H²³, 160D¹⁹, 32I¹¹, 16C⁹, 96V¹⁵, 80B²², 96H¹³, 112D²¹, 96J¹⁹, 48H⁵, 32O⁹, 16J⁹, 240B²⁴, 48AD¹⁵, 48I¹⁵, 48AE¹³, 112C²¹, 96X¹⁹, 32H¹³, 96U¹⁹, 96AA²¹, 144X²³, 32E²³, 32M¹³, 32E²¹, 16A¹⁵, 96W¹⁹, 240C²⁴, 32L⁵, 64I²¹, 112B²¹, 144E²³, 96B⁹, 32D¹⁹, 16A²¹, 80F¹⁵, 48N¹⁷, 32M⁹, 96H¹⁷, 32X²¹, 16S³, 32J¹³, 32B²¹, 96D¹⁷, 96AT²¹, 96C¹⁵, 16L⁹, 64P¹³, 48C²¹, 96AG¹⁷, 96P¹⁷, 96C¹⁷, 96D¹⁵, 32E¹⁹, 64M²¹, 32H⁷, 64L²¹, 16F¹, 48G¹³, 48C⁷, 112A²³, 96AF¹⁷, 32J²¹, 80C¹³, 48F⁵, 48AA¹⁵, 48H¹⁵, 16M³, 32O¹³, 80B¹⁷, 48G⁵, 96G¹⁷, 80H²¹, 16C²¹, 32P⁹, 32I¹³, 48M³, 80AC¹⁷, 48N⁷, 96T¹⁹, 48X¹³, 48AB¹³, 32G¹¹, 32V²¹, 32L³, 32D²³, 64Q¹³, 16E²¹</t>
        </is>
      </c>
    </row>
    <row r="99">
      <c r="A99">
        <f>HYPERLINK("https://mathstats.uncg.edu/sites/pauli/congruence/csg0.html#group16C0", "16C⁰")</f>
        <v/>
      </c>
      <c r="B99" t="n">
        <v>0</v>
      </c>
      <c r="C99" t="inlineStr">
        <is>
          <t>Γ₀(16)</t>
        </is>
      </c>
      <c r="D99" t="inlineStr">
        <is>
          <t>24</t>
        </is>
      </c>
      <c r="E99" t="inlineStr">
        <is>
          <t>1</t>
        </is>
      </c>
      <c r="F99" t="inlineStr">
        <is>
          <t>6</t>
        </is>
      </c>
      <c r="G99" t="inlineStr">
        <is>
          <t>0</t>
        </is>
      </c>
      <c r="H99" t="inlineStr">
        <is>
          <t>0</t>
        </is>
      </c>
      <c r="I99" t="inlineStr">
        <is>
          <t>1⁴, 4¹, 16¹</t>
        </is>
      </c>
      <c r="J99" t="n">
        <v>6</v>
      </c>
      <c r="K99" t="inlineStr">
        <is>
          <t>1⁴, 2¹</t>
        </is>
      </c>
      <c r="L99" t="inlineStr">
        <is>
          <t>8C⁰</t>
        </is>
      </c>
      <c r="M99" t="inlineStr">
        <is>
          <t>16H⁰, 32A⁰, 16E¹, 32A¹, 32A², 48J³, 48B⁴, 80F⁷, 80B⁸, 112H¹¹, 112C¹², 80H¹⁵, 176E¹⁹, 176A²⁰, 208D²³</t>
        </is>
      </c>
      <c r="N99" t="inlineStr">
        <is>
          <t>4B⁰, 1A⁰, 8C⁰, 2B⁰</t>
        </is>
      </c>
      <c r="O99" t="inlineStr">
        <is>
          <t>256B²¹, 32C⁹, 80F⁷, 96AI¹⁷, 48AJ⁹, 48C¹⁸, 128C¹³, 48G¹⁷, 128B⁹, 96G¹¹, 48W¹³, 96H¹¹, 192B¹⁸, 48AN⁷, 48H¹⁸, 96L¹⁷, 160J¹⁹, 112D²⁴, 128B¹⁷, 128A⁹, 48J⁸, 192A²¹, 96S¹⁹, 64K²¹, 192F¹⁹, 32U¹³, 128B²¹, 144H¹³, 32B¹⁷, 96I¹⁷, 96BJ²¹, 32G²¹, 96BF²¹, 48AH¹³, 96E²¹, 32C²¹, 48BR¹⁹, 112E²¹, 32O⁵, 96AL¹⁷, 96AW¹⁹, 32J³, 48CH²¹, 256A¹⁹, 96E¹⁹, 80E¹³, 128A²¹, 32B⁹, 64K⁷, 32C¹⁷, 48CJ²¹, 64D¹⁷, 96AJ¹⁷, 64D⁹, 96L⁹, 64F²¹, 32M³, 64C²¹, 64C⁵, 32A²¹, 32D⁹, 64B¹⁹, 16J³, 224C²³, 96I¹⁹, 96G⁹, 48A¹⁹, 16A¹⁷, 48P¹⁹, 48R⁷, 32A¹, 256A²¹, 160A¹⁸, 96AZ²¹, 96P¹⁹, 112C¹², 32E¹, 192N²¹, 96BC²¹, 80H¹⁵, 96A⁹, 96BA²¹, 160E¹⁷, 32C², 64A²¹, 128B¹³, 128A⁷, 64B¹¹, 64E²¹, 96AK¹⁷, 192B²¹, 96D¹⁹, 208D²³, 96M¹⁵, 96BD²¹, 48B⁴, 16H³, 48A⁹, 48CM¹⁷, 176A²⁰, 64A¹⁷, 64W¹³, 96N¹⁵, 192B²², 160F¹⁷, 112B²³, 16C¹³, 160A¹⁷, 32B¹⁹, 192B¹⁹, 48N¹⁹, 80A¹⁷, 64A¹¹, 96H¹⁹, 160A¹⁶, 64C⁹, 64A⁵, 96H²¹, 48W¹⁷, 192P²¹, 96M⁹, 96Q¹⁹, 128A¹⁷, 96BH²¹, 96A²¹, 32N⁵, 16M⁵, 96G¹⁹, 192D²¹, 48Q¹⁵, 112R²³, 32M⁷, 64D⁵, 128A¹¹, 16J², 32M⁵, 144D¹⁹, 96BE¹⁹, 48AC¹⁷, 16E²¹, 48J¹⁷, 80B⁸, 192A¹⁸, 176E¹⁹, 128C²¹, 96M¹⁷, 48CK²¹, 48AK⁹, 96A¹⁹, 96A⁸, 48F⁹, 32E⁹, 64B¹³, 128A¹³, 48CE²¹, 80C²², 96C¹⁹, 64D¹³, 16C⁹, 224B²⁴, 64V¹³, 160A¹⁵, 96BI²¹, 16E¹, 48K¹⁷, 32A⁹, 96AX¹⁹, 48CJ¹⁷, 128D²¹, 64J²¹, 96BF¹⁹, 32H²¹, 128A¹⁹, 80Y¹⁷, 96R¹⁹, 32F²¹, 48BQ¹⁹, 144C¹⁹, 160B¹⁵, 144B¹⁶, 192D¹⁹, 16A⁹, 192O²¹, 112F²⁴, 48C¹⁹, 32A², 64A⁹, 64B¹⁷, 48O¹⁵, 80Z¹⁷, 96B¹⁹, 112H¹¹, 128D¹³, 96C⁷, 64C¹⁷, 96B²¹, 192A²², 80T¹⁵, 48D¹⁷, 64B³, 192E¹⁹, 96A¹⁰, 32B¹¹, 96AH¹⁷, 32A¹⁷, 160K¹⁹, 80B¹⁶, 32B²¹, 64B²¹, 16H⁰, 96A¹⁷, 256B¹⁹, 64C¹³, 32D¹⁷, 32T¹³, 96B¹⁸, 32B⁵, 48J³, 48E⁸, 32A⁰, 128E¹³, 192M²¹, 128F²¹, 32A⁵, 16M¹, 64D²¹, 64A², 96J¹⁷, 96BG²¹, 96F¹⁹, 192A¹⁹, 16N⁵, 96I¹³, 96BK²¹, 48I⁵, 192C¹⁹, 96K¹⁷, 16C⁷, 192C²¹, 48CP¹⁷, 96B⁷, 32K³, 64A⁶, 96D¹⁸, 64B⁵, 128E²¹, 16C²¹, 112T²³, 64A¹³, 96O¹⁹, 64E⁹, 32C¹⁹, 224B²³, 96B⁸, 96BE²¹, 96AC¹⁷, 96BB²¹, 80R¹⁵, 48CN¹⁷, 224A²⁴, 64A³, 96B¹⁰, 48AP⁷, 64B⁹</t>
        </is>
      </c>
    </row>
    <row r="100">
      <c r="A100">
        <f>HYPERLINK("https://mathstats.uncg.edu/sites/pauli/congruence/csg0.html#group16D0", "16D⁰")</f>
        <v/>
      </c>
      <c r="B100" t="n">
        <v>0</v>
      </c>
      <c r="C100" t="inlineStr"/>
      <c r="D100" t="inlineStr">
        <is>
          <t>24</t>
        </is>
      </c>
      <c r="E100" t="inlineStr">
        <is>
          <t>1</t>
        </is>
      </c>
      <c r="F100" t="inlineStr">
        <is>
          <t>12</t>
        </is>
      </c>
      <c r="G100" t="inlineStr">
        <is>
          <t>0</t>
        </is>
      </c>
      <c r="H100" t="inlineStr">
        <is>
          <t>0</t>
        </is>
      </c>
      <c r="I100" t="inlineStr">
        <is>
          <t>1², 2³, 16¹</t>
        </is>
      </c>
      <c r="J100" t="n">
        <v>6</v>
      </c>
      <c r="K100" t="inlineStr">
        <is>
          <t>1⁴, 2², 4¹</t>
        </is>
      </c>
      <c r="L100" t="inlineStr">
        <is>
          <t>8C⁰</t>
        </is>
      </c>
      <c r="M100" t="inlineStr">
        <is>
          <t>16G⁰, 16H⁰, 16G¹, 48L³, 48D⁴, 80H⁷, 80C⁸, 112J¹¹, 112E¹², 80J¹⁵, 176G¹⁹, 176B²⁰, 208F²³</t>
        </is>
      </c>
      <c r="N100" t="inlineStr">
        <is>
          <t>4B⁰, 1A⁰, 8C⁰, 2B⁰</t>
        </is>
      </c>
      <c r="O100" t="inlineStr">
        <is>
          <t>80G¹³, 96A¹⁸, 48C¹⁸, 96BC¹⁹, 48CK¹⁷, 64H¹³, 48Q¹⁹, 48H¹⁸, 144J¹³, 112F²¹, 48AM⁷, 48CF²¹, 128B¹⁷, 32D⁵, 80Q¹⁵, 64K²¹, 32A¹¹, 32U¹³, 128B²¹, 112F²³, 32B¹⁷, 48F¹⁵, 96BL²¹, 48AH¹³, 96C²¹, 80H⁷, 32C²¹, 48BR¹⁹, 48CM²¹, 64G¹³, 32O⁵, 96AL¹⁷, 96Q²¹, 16I³, 112E¹², 48C⁸, 112B²⁴, 128A²¹, 32C¹⁷, 64D¹⁷, 64O²¹, 80C⁸, 16D⁹, 112P²³, 48AD¹⁷, 64D⁹, 48AG¹³, 144H¹⁹, 48AP¹⁹, 32M³, 64C²¹, 64C⁵, 64B¹⁹, 48AM⁹, 16A¹⁷, 80C¹⁷, 112U²³, 96P¹⁹, 48Z¹³, 80O¹⁵, 32E¹, 96C¹⁸, 32C², 80J¹⁵, 96K¹⁹, 64B¹¹, 96AK¹⁷, 32O²¹, 48CM¹⁷, 48P⁹, 16B⁹, 48B¹⁹, 48N¹⁵, 64A¹⁷, 64W¹³, 48R¹⁵, 48CL²¹, 16C¹³, 32B¹⁹, 112C²⁴, 32I⁹, 48H¹⁹, 64A¹⁹, 16G⁰, 176B²⁰, 96D²¹, 48Q¹⁵, 128A¹⁷, 48B⁹, 32N⁵, 16M⁵, 144D¹⁶, 32M⁷, 64D⁵, 16J², 32M⁵, 64I¹³, 48AC¹⁷, 96BE¹⁹, 48AL⁷, 32O³, 112Q²³, 128C²¹, 48M⁸, 32E⁹, 48D⁴, 48L³, 96C¹⁹, 64J¹³, 112J¹¹, 64V¹³, 48CO¹⁷, 96BI²¹, 16D²¹, 48K⁸, 96BF¹⁹, 64J²¹, 16N³, 48BQ¹⁹, 48AB¹⁷, 48CQ¹⁷, 32B², 80D²², 32E²¹, 32J⁹, 112F²⁴, 64N²¹, 32N²¹, 64B¹⁷, 64A⁹, 112G²⁴, 48I¹⁷, 64C¹⁷, 48Z¹⁷, 16A²¹, 48CC²¹, 80T¹⁵, 48D¹⁷, 96BD¹⁹, 96R²¹, 32A¹⁷, 80B¹⁶, 16H⁰, 80A¹⁶, 32D¹⁷, 96A¹⁷, 96Z¹⁹, 48Y⁷, 32T¹³, 80AJ¹⁷, 64E¹³, 96B¹⁸, 48AQ⁷, 48E⁸, 128E¹³, 64F¹³, 16M¹, 48AO⁹, 32L⁷, 16N⁵, 176G¹⁹, 96BK²¹, 96K¹⁷, 96D¹⁸, 48CP¹⁷, 96BM²¹, 208F²³, 128E²¹, 16C²¹, 112T²³, 80AH¹⁷, 32C⁵, 48BS¹⁷, 64E⁹, 16G¹, 144G¹⁹, 80V¹⁵, 48J⁵, 32D²¹, 48AP⁷</t>
        </is>
      </c>
    </row>
    <row r="101">
      <c r="A101">
        <f>HYPERLINK("https://mathstats.uncg.edu/sites/pauli/congruence/csg0.html#group16E0", "16E⁰")</f>
        <v/>
      </c>
      <c r="B101" t="n">
        <v>0</v>
      </c>
      <c r="C101" t="inlineStr"/>
      <c r="D101" t="inlineStr">
        <is>
          <t>24</t>
        </is>
      </c>
      <c r="E101" t="inlineStr">
        <is>
          <t>1</t>
        </is>
      </c>
      <c r="F101" t="inlineStr">
        <is>
          <t>12</t>
        </is>
      </c>
      <c r="G101" t="inlineStr">
        <is>
          <t>2</t>
        </is>
      </c>
      <c r="H101" t="inlineStr">
        <is>
          <t>0</t>
        </is>
      </c>
      <c r="I101" t="inlineStr">
        <is>
          <t>2⁴, 16¹</t>
        </is>
      </c>
      <c r="J101" t="n">
        <v>5</v>
      </c>
      <c r="K101" t="inlineStr">
        <is>
          <t>1², 2¹, 4²</t>
        </is>
      </c>
      <c r="L101" t="inlineStr">
        <is>
          <t>8D⁰</t>
        </is>
      </c>
      <c r="M101" t="inlineStr">
        <is>
          <t>16G⁰, 16I¹, 32C¹, 32D¹, 16D², 48D³, 48J⁴, 80J⁷, 80D⁸, 112D¹¹, 112H¹², 80L¹⁵, 176B¹⁹, 176D²⁰, 208H²³</t>
        </is>
      </c>
      <c r="N101" t="inlineStr">
        <is>
          <t>8D⁰, 1A⁰, 2B⁰, 4C⁰</t>
        </is>
      </c>
      <c r="O101" t="inlineStr">
        <is>
          <t>224C²⁴, 96AI²³, 16F⁵, 96B¹⁶, 16B¹⁹, 112D¹¹, 80G¹⁷, 64Q²¹, 96A¹⁸, 16K⁹, 96BC¹⁹, 224F²⁴, 48CK¹⁷, 48V¹⁵, 64U¹³, 96B²⁰, 16B⁴, 48Z¹⁹, 48AA⁷, 48CF²¹, 48CO²¹, 80I¹³, 96AJ²³, 32A¹¹, 32P²¹, 96B²², 32U¹³, 48E¹⁸, 160C¹⁷, 96L¹⁹, 32B¹⁷, 32C¹¹, 48F¹⁵, 64B¹⁸, 32C²¹, 32H⁵, 32H¹¹, 96W¹⁷, 32G⁹, 16L², 16I³, 96M¹⁹, 32K²¹, 96E¹⁷, 32A²⁴, 32B¹², 48H¹⁶, 16H⁹, 48C⁸, 32B²⁴, 112B²⁴, 96AZ¹⁹, 32P³, 160D¹⁷, 64D¹⁷, 96AL²³, 112H¹², 16D⁹, 112P²³, 64G⁹, 112A²², 96U¹⁷, 176D²⁰, 48AG¹³, 48Y¹⁹, 64C²¹, 96F¹⁷, 32D¹¹, 48A¹⁶, 32Q³, 96AB¹⁹, 16A¹⁷, 16A¹⁰, 160L¹⁷, 48AJ¹⁷, 48U²¹, 64B²³, 16B¹⁰, 48AP¹⁷, 32P¹³, 16D⁷, 80O¹⁵, 48D³, 48AB¹¹, 96F¹⁸, 16D², 48T⁹, 96C¹⁸, 176B¹⁹, 32C⁴, 224E²⁴, 16A¹⁹, 32C²⁴, 96E¹⁸, 80L¹⁵, 48CM¹⁷, 32L²¹, 32C¹, 16B⁹, 48B¹⁹, 96AD¹⁹, 64A¹⁷, 32F²³, 96C⁸, 16L³, 32B²², 32B¹⁰, 96A¹⁶, 96AA¹⁹, 48AE¹⁹, 80U¹⁵, 16C¹³, 32H⁶, 64P²¹, 64H²¹, 48H¹⁹, 64A¹⁹, 160I¹⁷, 16G⁰, 32C²³, 96AC¹⁹, 32M²¹, 16M⁵, 32N⁵, 96C¹⁶, 48P⁷, 32D¹, 32F¹¹, 32M⁵, 144B²⁰, 96X¹⁷, 48AL⁷, 64A²³, 32A¹⁰, 32N⁹, 32E⁹, 32D²¹, 96A²⁰, 64V¹³, 16H⁵, 16D²¹, 144B¹⁴, 64A²², 96AK²³, 80R¹⁹, 208H²³, 48I¹⁵, 32B², 32C¹⁰, 16F²¹, 64A¹⁸, 32E²³, 16A¹⁵, 32E²¹, 48J⁴, 96V¹⁷, 48N¹⁸, 224D²⁴, 48CN²¹, 48I¹⁷, 96T¹⁷, 32A²², 16I¹, 32D¹⁹, 32M⁹, 80S¹⁹, 48AQ²¹, 16A²¹, 48CC²¹, 112K²³, 48D¹⁷, 80J⁷, 96BD¹⁹, 96D⁸, 32A¹⁷, 32J¹³, 144E¹⁵, 16L⁹, 96F¹⁰, 80A¹⁶, 32D¹⁷, 32T¹³, 32E¹⁹, 80D⁸, 16M¹, 96E¹⁰, 64H⁹, 32I⁵, 32L⁷, 96D²², 16D¹¹, 80E²², 96G¹⁸, 48G¹⁵, 16N⁵, 48X¹⁹, 48AA¹¹, 112J²⁴, 32A¹², 48AL¹⁷, 32D²⁴, 48P⁸, 96E⁸, 48AD¹³, 112G²³, 16C²¹, 80B¹⁸, 96F⁸, 48BV¹⁷, 160K¹⁷, 96Y¹⁷, 96D¹⁶, 144A²⁰, 160J¹⁷, 48J⁶, 32B⁶, 48C¹⁰, 64B²², 48BM²¹, 32D²³, 80AP¹⁷, 80AR¹⁷</t>
        </is>
      </c>
    </row>
    <row r="102">
      <c r="A102">
        <f>HYPERLINK("https://mathstats.uncg.edu/sites/pauli/congruence/csg0.html#group16F0", "16F⁰")</f>
        <v/>
      </c>
      <c r="B102" t="n">
        <v>0</v>
      </c>
      <c r="C102" t="inlineStr"/>
      <c r="D102" t="inlineStr">
        <is>
          <t>32</t>
        </is>
      </c>
      <c r="E102" t="inlineStr">
        <is>
          <t>1</t>
        </is>
      </c>
      <c r="F102" t="inlineStr">
        <is>
          <t>4</t>
        </is>
      </c>
      <c r="G102" t="inlineStr">
        <is>
          <t>0</t>
        </is>
      </c>
      <c r="H102" t="inlineStr">
        <is>
          <t>8</t>
        </is>
      </c>
      <c r="I102" t="inlineStr">
        <is>
          <t>16²</t>
        </is>
      </c>
      <c r="J102" t="n">
        <v>2</v>
      </c>
      <c r="K102" t="inlineStr">
        <is>
          <t>2²</t>
        </is>
      </c>
      <c r="L102" t="inlineStr">
        <is>
          <t>8E⁰, 16A⁰</t>
        </is>
      </c>
      <c r="M102" t="inlineStr">
        <is>
          <t>48I⁴, 16K⁵, 16A⁶, 48L⁷, 48A⁸, 80E⁸, 80B¹⁵, 112L¹⁵, 112B¹⁶, 80B²³, 176A²⁴</t>
        </is>
      </c>
      <c r="N102" t="inlineStr">
        <is>
          <t>8A⁰, 2A⁰, 8E⁰, 16A⁰, 1A⁰, 4A⁰, 4D⁰</t>
        </is>
      </c>
      <c r="O102" t="inlineStr">
        <is>
          <t>48A⁸, 16A¹¹, 144V²³, 112L¹⁵, 16D²¹, 80E⁸, 80B¹⁵, 176A²⁴, 16A⁶, 144A²⁴, 48A²², 48L⁷, 80B²³, 48U¹³, 48B¹⁵, 16B²¹, 32S¹³, 48I⁴, 16K⁵, 112B¹⁶, 16E²¹</t>
        </is>
      </c>
    </row>
    <row r="103">
      <c r="A103">
        <f>HYPERLINK("https://mathstats.uncg.edu/sites/pauli/congruence/csg0.html#group16G0", "16G⁰")</f>
        <v/>
      </c>
      <c r="B103" t="n">
        <v>0</v>
      </c>
      <c r="C103" t="inlineStr"/>
      <c r="D103" t="inlineStr">
        <is>
          <t>48</t>
        </is>
      </c>
      <c r="E103" t="inlineStr">
        <is>
          <t>1</t>
        </is>
      </c>
      <c r="F103" t="inlineStr">
        <is>
          <t>3</t>
        </is>
      </c>
      <c r="G103" t="inlineStr">
        <is>
          <t>0</t>
        </is>
      </c>
      <c r="H103" t="inlineStr">
        <is>
          <t>0</t>
        </is>
      </c>
      <c r="I103" t="inlineStr">
        <is>
          <t>2⁸, 16²</t>
        </is>
      </c>
      <c r="J103" t="n">
        <v>10</v>
      </c>
      <c r="K103" t="inlineStr">
        <is>
          <t>1³</t>
        </is>
      </c>
      <c r="L103" t="inlineStr">
        <is>
          <t>8G⁰, 16D⁰, 16E⁰</t>
        </is>
      </c>
      <c r="M103" t="inlineStr">
        <is>
          <t>16M¹, 32B², 16I³, 48AL⁷, 48C⁸, 80O¹⁵, 80A¹⁶, 112P²³, 112B²⁴</t>
        </is>
      </c>
      <c r="N103" t="inlineStr">
        <is>
          <t>2A⁰, 16E⁰, 8G⁰, 8D⁰, 16D⁰, 4C⁰, 8C⁰, 4E⁰, 2B⁰, 4B⁰, 1A⁰, 2C⁰</t>
        </is>
      </c>
      <c r="O103" t="inlineStr">
        <is>
          <t>16D⁹, 112P²³, 48AG¹³, 16A²¹, 32N⁵, 16M⁵, 48CC²¹, 96A¹⁸, 48D¹⁷, 64C²¹, 96BD¹⁹, 64D¹⁷, 96BC¹⁹, 32A¹⁷, 48CK¹⁷, 32M⁵, 16A¹⁷, 80A¹⁶, 32D¹⁷, 48AL⁷, 32T¹³, 48CF²¹, 16M¹, 80O¹⁵, 32A¹¹, 32L⁷, 32E⁹, 32U¹³, 32B¹⁷, 16N⁵, 96C¹⁸, 48F¹⁵, 64V¹³, 16D²¹, 32C²¹, 64A¹⁹, 16I³, 16C²¹, 48CM¹⁷, 32B², 16B⁹, 48B¹⁹, 64A¹⁷, 32E²¹, 48C⁸, 112B²⁴, 16C¹³, 32D²¹, 48I¹⁷, 48H¹⁹</t>
        </is>
      </c>
    </row>
    <row r="104">
      <c r="A104">
        <f>HYPERLINK("https://mathstats.uncg.edu/sites/pauli/congruence/csg0.html#group16H0", "16H⁰")</f>
        <v/>
      </c>
      <c r="B104" t="n">
        <v>0</v>
      </c>
      <c r="C104" t="inlineStr">
        <is>
          <t>Γ₀(16)∩Γ₁(8)</t>
        </is>
      </c>
      <c r="D104" t="inlineStr">
        <is>
          <t>48</t>
        </is>
      </c>
      <c r="E104" t="inlineStr">
        <is>
          <t>1</t>
        </is>
      </c>
      <c r="F104" t="inlineStr">
        <is>
          <t>12</t>
        </is>
      </c>
      <c r="G104" t="inlineStr">
        <is>
          <t>0</t>
        </is>
      </c>
      <c r="H104" t="inlineStr">
        <is>
          <t>0</t>
        </is>
      </c>
      <c r="I104" t="inlineStr">
        <is>
          <t>1⁴, 2², 4², 16²</t>
        </is>
      </c>
      <c r="J104" t="n">
        <v>10</v>
      </c>
      <c r="K104" t="inlineStr">
        <is>
          <t>1⁴, 2², 4¹</t>
        </is>
      </c>
      <c r="L104" t="inlineStr">
        <is>
          <t>8I⁰, 16C⁰, 16D⁰</t>
        </is>
      </c>
      <c r="M104" t="inlineStr">
        <is>
          <t>16M¹, 32E¹, 16J², 32C², 32M³, 48AP⁷, 48E⁸, 80T¹⁵, 80B¹⁶, 112T²³, 112F²⁴</t>
        </is>
      </c>
      <c r="N104" t="inlineStr">
        <is>
          <t>8C⁰, 2B⁰, 8I⁰, 4B⁰, 1A⁰, 16C⁰, 16D⁰</t>
        </is>
      </c>
      <c r="O104" t="inlineStr">
        <is>
          <t>48Q¹⁵, 128A¹⁷, 32N⁵, 16M⁵, 48C¹⁸, 32M⁷, 64D⁵, 16J², 32M⁵, 48AC¹⁷, 96BE¹⁹, 48H¹⁸, 128C²¹, 128B¹⁷, 64K²¹, 32E⁹, 32U¹³, 128B²¹, 96C¹⁹, 32B¹⁷, 64V¹³, 96BI²¹, 48AH¹³, 32C²¹, 48BR¹⁹, 32O⁵, 96BF¹⁹, 64J²¹, 96AL¹⁷, 48BQ¹⁹, 112F²⁴, 128A²¹, 64B¹⁷, 64A⁹, 32C¹⁷, 64D¹⁷, 64C¹⁷, 64D⁹, 32M³, 80T¹⁵, 48D¹⁷, 64C²¹, 64C⁵, 64B¹⁹, 80B¹⁶, 32A¹⁷, 16A¹⁷, 96A¹⁷, 32D¹⁷, 32T¹³, 96B¹⁸, 48E⁸, 96P¹⁹, 128E¹³, 16M¹, 32E¹, 16N⁵, 32C², 96BK²¹, 96K¹⁷, 64B¹¹, 96AK¹⁷, 96D¹⁸, 48CP¹⁷, 128E²¹, 112T²³, 48CM¹⁷, 64E⁹, 64W¹³, 64A¹⁷, 16C¹³, 32B¹⁹, 48AP⁷</t>
        </is>
      </c>
    </row>
    <row r="105">
      <c r="A105">
        <f>HYPERLINK("https://mathstats.uncg.edu/sites/pauli/congruence/csg0.html#group18A0", "18A⁰")</f>
        <v/>
      </c>
      <c r="B105" t="n">
        <v>0</v>
      </c>
      <c r="C105" t="inlineStr"/>
      <c r="D105" t="inlineStr">
        <is>
          <t>18</t>
        </is>
      </c>
      <c r="E105" t="inlineStr">
        <is>
          <t>2</t>
        </is>
      </c>
      <c r="F105" t="inlineStr">
        <is>
          <t>9</t>
        </is>
      </c>
      <c r="G105" t="inlineStr">
        <is>
          <t>8</t>
        </is>
      </c>
      <c r="H105" t="inlineStr">
        <is>
          <t>0</t>
        </is>
      </c>
      <c r="I105" t="inlineStr">
        <is>
          <t>18¹</t>
        </is>
      </c>
      <c r="J105" t="n">
        <v>1</v>
      </c>
      <c r="K105" t="inlineStr">
        <is>
          <t>2³, 6²</t>
        </is>
      </c>
      <c r="L105" t="inlineStr">
        <is>
          <t>6B⁰, 9A⁰</t>
        </is>
      </c>
      <c r="M105" t="inlineStr">
        <is>
          <t>18D⁰, 18H¹, 18G², 18K², 18L², 18M², 36D², 18C³, 90A⁵, 126A⁵, 126B⁵, 90A⁶, 90G¹¹, 198A¹¹, 198B¹¹, 126D¹², 234A¹⁷, 198D¹⁸, 306B²³</t>
        </is>
      </c>
      <c r="N105" t="inlineStr">
        <is>
          <t>6B⁰, 3A⁰, 1A⁰, 9A⁰</t>
        </is>
      </c>
      <c r="O105" t="inlineStr">
        <is>
          <t>90J²¹, 18E⁷, 90D²⁰, 18R⁴, 18F¹⁶, 36B¹⁵, 18A¹³, 126A²², 54H²², 90F²³, 18O⁴, 126C¹⁷, 72P¹⁵, 18E⁶, 126D¹², 18H¹, 18H¹⁶, 36K⁵, 36O⁹, 126B¹⁶, 90L²¹, 198A²⁴, 36H¹⁶, 36F⁷, 36P¹³, 36A¹¹, 18G¹⁶, 90G⁹, 54B²¹, 72P²¹, 126D¹⁸, 72M¹², 36F⁸, 18B¹³, 36D²², 198B¹¹, 72W¹⁷, 90D¹⁴, 54A²⁴, 144H²⁰, 18S⁴, 126E¹⁴, 18C¹⁶, 90N¹⁵, 90M¹⁵, 36S¹³, 54A¹⁹, 18A⁵, 198A¹¹, 36R⁴, 36K⁹, 90A¹², 126A⁵, 198D¹⁸, 36G¹³, 18L⁷, 126A²³, 144D²⁰, 72K¹⁴, 72K¹⁶, 144E²⁰, 36A²³, 126H²³, 36F³, 36F¹², 126J¹², 72J⁸, 90A⁶, 90J¹⁹, 126A¹⁶, 18B⁶, 90B¹⁶, 36L¹³, 18E¹⁹, 90A⁵, 306B²³, 18D⁶, 72I⁸, 36C⁵, 90F¹⁵, 36M¹³, 54J²², 36I²², 18C³, 36E¹², 90J¹⁷, 144J¹⁹, 90C²³, 36K¹⁵, 72R¹⁶, 90K¹⁷, 36I¹⁵, 18K², 54D⁸, 90K²¹, 126E¹⁸, 36T¹⁰, 18A¹⁸, 36D²¹, 18L², 72K⁸, 36S¹⁹, 72G²³, 126G²³, 90N²¹, 54V¹⁶, 36A²¹, 18B⁸, 90F¹⁹, 54Q¹⁶, 36J¹⁵, 36D², 36F¹³, 126G²¹, 18L⁴, 18G⁷, 18C¹³, 72R¹¹, 18B¹⁹, 144Y²³, 54A⁷, 72J¹⁶, 18H¹³, 36B¹⁸, 90M²¹, 72S¹⁷, 72AA²¹, 18D¹⁶, 54K²², 36M⁵, 36G¹², 36T¹⁹, 36K¹⁹, 54A¹¹, 144G²⁰, 72H¹⁷, 54B¹⁹, 126J¹³, 36E¹³, 36P¹⁵, 144F²⁰, 36H¹², 72Z¹⁵, 18C⁷, 234A¹⁷, 90C²⁰, 126H²¹, 72H⁹, 72H²³, 72Q²¹, 90E²⁰, 36E¹⁵, 90H¹¹, 126B⁵, 18D¹⁹, 36L¹⁵, 36Q¹³, 18C¹⁹, 18T⁴, 18J⁷, 54B¹¹, 36F¹¹, 18K⁷, 72L¹², 72H⁸, 126D¹⁷, 36J¹¹, 72S²¹, 54A²¹, 18M², 90K¹¹, 144C²⁰, 36O¹⁵, 126R²¹, 126F¹⁴, 18D⁰, 54B²⁴, 18F¹³, 126K¹³, 18F⁷, 18G², 90G¹¹, 36O¹³</t>
        </is>
      </c>
    </row>
    <row r="106">
      <c r="A106">
        <f>HYPERLINK("https://mathstats.uncg.edu/sites/pauli/congruence/csg0.html#group18B0", "18B⁰")</f>
        <v/>
      </c>
      <c r="B106" t="n">
        <v>0</v>
      </c>
      <c r="C106" t="inlineStr"/>
      <c r="D106" t="inlineStr">
        <is>
          <t>24</t>
        </is>
      </c>
      <c r="E106" t="inlineStr">
        <is>
          <t>1</t>
        </is>
      </c>
      <c r="F106" t="inlineStr">
        <is>
          <t>4</t>
        </is>
      </c>
      <c r="G106" t="inlineStr">
        <is>
          <t>0</t>
        </is>
      </c>
      <c r="H106" t="inlineStr">
        <is>
          <t>6</t>
        </is>
      </c>
      <c r="I106" t="inlineStr">
        <is>
          <t>6¹, 18¹</t>
        </is>
      </c>
      <c r="J106" t="n">
        <v>2</v>
      </c>
      <c r="K106" t="inlineStr">
        <is>
          <t>1², 2¹</t>
        </is>
      </c>
      <c r="L106" t="inlineStr">
        <is>
          <t>6C⁰, 9C⁰</t>
        </is>
      </c>
      <c r="M106" t="inlineStr">
        <is>
          <t>36A⁰, 18K¹, 18N², 18O², 54A², 54C³, 18C⁴, 18E⁴, 54B⁴, 54D⁴, 36G⁵, 54C⁵, 54A⁶, 90C⁶, 90C¹¹, 126C¹¹, 126F¹², 90O¹⁷, 198E¹⁸, 198C²³, 234B²³</t>
        </is>
      </c>
      <c r="N106" t="inlineStr">
        <is>
          <t>3B⁰, 2A⁰, 9C⁰, 1A⁰, 6C⁰</t>
        </is>
      </c>
      <c r="O106" t="inlineStr">
        <is>
          <t>108D²², 252B²³, 18C⁴, 90K²², 54G¹⁰, 54A⁶, 36H¹⁷, 72J¹¹, 72C¹⁹, 18G¹³, 54K¹⁶, 18O², 108C²², 54B¹⁴, 54P¹³, 180A²³, 36G⁵, 54D¹⁶, 270A²⁴, 90I²⁴, 18N², 36M²², 54S¹³, 36F¹⁶, 18E⁴, 72C²¹, 36N²², 36A¹⁷, 72K¹⁹, 90E²¹, 234B²³, 72A¹⁹, 54I¹³, 90O¹⁷, 72Y²¹, 144V²³, 18C¹³, 18E¹⁰, 54D¹¹, 90C¹¹, 72M¹⁹, 18D¹⁰, 54A¹⁶, 54N¹³, 54C¹⁶, 72I¹¹, 54C¹⁰, 108A²², 108A⁸, 36C¹⁹, 54F¹⁰, 180A¹², 36A¹⁰, 54B¹⁶, 90E²⁴, 108B⁸, 108D²¹, 108C¹⁰, 54C¹¹, 126J²³, 90H²⁴, 108A⁶, 54E¹⁶, 252E²⁴, 54D⁴, 54A², 270A²², 18B¹¹, 54E¹³, 126S²¹, 54P¹⁶, 180C²³, 36K²², 54T¹³, 90I²², 126F¹², 54F¹⁶, 36K⁶, 36A¹⁹, 54L¹⁶, 54H¹⁶, 54C⁵, 54M¹⁶, 108B²¹, 90J²², 36A⁰, 36C¹⁰, 108B²², 198C²³, 18K¹, 18G¹⁰, 54B⁴, 90F²⁴, 54I¹⁶, 270B²⁴, 108A²³, 54G¹⁶, 108A⁴, 72A²¹, 90D²⁴, 54J¹⁶, 54A¹⁴, 54O¹³, 54C³, 252F²⁴, 36F¹⁷, 36J⁶, 252A²³, 36C⁹, 36S⁴, 90G²⁴, 36H⁸, 108A²⁰, 90C⁶, 36E¹⁹, 144U²³, 198E¹⁸, 36N⁹, 18P⁷, 108A¹², 108B¹⁹, 126C¹¹, 18A¹¹, 18F¹⁰</t>
        </is>
      </c>
    </row>
    <row r="107">
      <c r="A107">
        <f>HYPERLINK("https://mathstats.uncg.edu/sites/pauli/congruence/csg0.html#group18C0", "18C⁰")</f>
        <v/>
      </c>
      <c r="B107" t="n">
        <v>0</v>
      </c>
      <c r="C107" t="inlineStr"/>
      <c r="D107" t="inlineStr">
        <is>
          <t>24</t>
        </is>
      </c>
      <c r="E107" t="inlineStr">
        <is>
          <t>1</t>
        </is>
      </c>
      <c r="F107" t="inlineStr">
        <is>
          <t>8</t>
        </is>
      </c>
      <c r="G107" t="inlineStr">
        <is>
          <t>0</t>
        </is>
      </c>
      <c r="H107" t="inlineStr">
        <is>
          <t>3</t>
        </is>
      </c>
      <c r="I107" t="inlineStr">
        <is>
          <t>2³, 18¹</t>
        </is>
      </c>
      <c r="J107" t="n">
        <v>4</v>
      </c>
      <c r="K107" t="inlineStr">
        <is>
          <t>2⁴</t>
        </is>
      </c>
      <c r="L107" t="inlineStr">
        <is>
          <t>6C⁰</t>
        </is>
      </c>
      <c r="M107" t="inlineStr">
        <is>
          <t>18J¹, 18K¹, 36B¹, 18F⁴, 18H⁴, 36O⁴, 90E⁷, 90F⁹, 126D¹¹, 126G¹², 90A¹⁶, 198A¹⁹, 198D²¹, 234C²³</t>
        </is>
      </c>
      <c r="N107" t="inlineStr">
        <is>
          <t>3B⁰, 2A⁰, 1A⁰, 6C⁰</t>
        </is>
      </c>
      <c r="O107" t="inlineStr">
        <is>
          <t>72Z²¹, 180F²¹, 234C²³, 18F⁴, 36F²¹, 72L¹¹, 108C²², 36H⁷, 54P¹³, 36O⁴, 108E²¹, 72K¹¹, 18G¹³, 90A¹⁶, 18J¹⁰, 72W¹³, 36U¹³, 36K²², 18K¹⁰, 90I²², 90L²², 72N¹⁷, 36M²², 36B¹, 36F¹⁶, 36F¹⁹, 72R¹³, 126L²³, 72B²⁴, 126G¹², 36L⁵, 90F⁹, 18K¹, 198D²¹, 126T²¹, 18E¹⁰, 72M¹⁷, 198A¹⁹, 18J¹, 54J¹⁶, 72V¹³, 180A¹⁵, 18H⁴, 108F¹⁷, 90E⁷, 126D¹¹, 36S⁴, 54F¹⁰, 36D¹⁰, 18O⁷, 36H¹⁹, 36F¹⁰, 54B¹³, 36Q⁹, 36J¹⁷, 18D¹³, 36M⁷, 108E²², 36T¹³, 18F¹³, 18P⁷, 54A¹⁰, 54B⁷, 90S¹⁷, 36J³, 72Q¹³, 180E²¹</t>
        </is>
      </c>
    </row>
    <row r="108">
      <c r="A108">
        <f>HYPERLINK("https://mathstats.uncg.edu/sites/pauli/congruence/csg0.html#group18D0", "18D⁰")</f>
        <v/>
      </c>
      <c r="B108" t="n">
        <v>0</v>
      </c>
      <c r="C108" t="inlineStr"/>
      <c r="D108" t="inlineStr">
        <is>
          <t>36</t>
        </is>
      </c>
      <c r="E108" t="inlineStr">
        <is>
          <t>1</t>
        </is>
      </c>
      <c r="F108" t="inlineStr">
        <is>
          <t>3</t>
        </is>
      </c>
      <c r="G108" t="inlineStr">
        <is>
          <t>12</t>
        </is>
      </c>
      <c r="H108" t="inlineStr">
        <is>
          <t>0</t>
        </is>
      </c>
      <c r="I108" t="inlineStr">
        <is>
          <t>18²</t>
        </is>
      </c>
      <c r="J108" t="n">
        <v>2</v>
      </c>
      <c r="K108" t="inlineStr">
        <is>
          <t>1¹, 2¹</t>
        </is>
      </c>
      <c r="L108" t="inlineStr">
        <is>
          <t>6E⁰, 9D⁰, 18A⁰</t>
        </is>
      </c>
      <c r="M108" t="inlineStr">
        <is>
          <t>36F³, 18L⁴, 18O⁴, 18R⁴, 18S⁴, 18T⁴, 18A⁵, 36M⁵, 90H¹¹, 90A¹², 126J¹², 90C²³, 126A²³, 198A²⁴</t>
        </is>
      </c>
      <c r="N108" t="inlineStr">
        <is>
          <t>6B⁰, 9D⁰, 6E⁰, 9A⁰, 3C⁰, 3A⁰, 1A⁰, 18A⁰</t>
        </is>
      </c>
      <c r="O108" t="inlineStr">
        <is>
          <t>18S⁴, 18C¹⁶, 36E¹³, 36P¹⁵, 54A¹⁹, 18A⁵, 18R⁴, 90A¹², 36G¹³, 126A²³, 18F¹⁶, 36B¹⁵, 90N²¹, 54V¹⁶, 36A²¹, 36A²³, 90H¹¹, 36F³, 18T⁴, 18A¹³, 36Q¹³, 54Q¹⁶, 18O⁴, 126J¹², 36F¹³, 72W¹⁷, 18L⁴, 18C¹³, 18H¹⁶, 36L¹³, 36O⁹, 36J¹¹, 198A²⁴, 18H¹³, 36A¹¹, 72S¹⁷, 72AA²¹, 18G¹⁶, 18D¹⁶, 18F¹³, 36M¹³, 54K²², 54J²², 36M⁵, 18B¹³, 90C²³, 36O¹³, 54B¹⁹</t>
        </is>
      </c>
    </row>
    <row r="109">
      <c r="A109">
        <f>HYPERLINK("https://mathstats.uncg.edu/sites/pauli/congruence/csg0.html#group18E0", "18E⁰")</f>
        <v/>
      </c>
      <c r="B109" t="n">
        <v>0</v>
      </c>
      <c r="C109" t="inlineStr">
        <is>
          <t>Γ₀(18)</t>
        </is>
      </c>
      <c r="D109" t="inlineStr">
        <is>
          <t>36</t>
        </is>
      </c>
      <c r="E109" t="inlineStr">
        <is>
          <t>1</t>
        </is>
      </c>
      <c r="F109" t="inlineStr">
        <is>
          <t>12</t>
        </is>
      </c>
      <c r="G109" t="inlineStr">
        <is>
          <t>0</t>
        </is>
      </c>
      <c r="H109" t="inlineStr">
        <is>
          <t>0</t>
        </is>
      </c>
      <c r="I109" t="inlineStr">
        <is>
          <t>1³, 2³, 9¹, 18¹</t>
        </is>
      </c>
      <c r="J109" t="n">
        <v>8</v>
      </c>
      <c r="K109" t="inlineStr">
        <is>
          <t>1⁶, 2³</t>
        </is>
      </c>
      <c r="L109" t="inlineStr">
        <is>
          <t>6F⁰, 9B⁰</t>
        </is>
      </c>
      <c r="M109" t="inlineStr">
        <is>
          <t>18J¹, 36C¹, 18Q², 54B², 36G³, 18M⁴, 54E⁴, 54B⁶, 90J¹¹, 90C¹², 126J¹⁷, 126F¹⁸, 90E²³</t>
        </is>
      </c>
      <c r="N109" t="inlineStr">
        <is>
          <t>3B⁰, 9B⁰, 1A⁰, 2B⁰, 6F⁰</t>
        </is>
      </c>
      <c r="O109" t="inlineStr">
        <is>
          <t>108G¹⁷, 126J¹⁷, 18M¹⁰, 72U¹³, 36H⁷, 144C²¹, 72B⁹, 18B¹⁶, 36L²², 36I⁷, 108A⁷, 144J¹³, 72C⁷, 72R¹³, 162B²², 90C¹², 108F²², 72I⁹, 54E⁴, 90O²¹, 216C²², 144H¹³, 54S¹⁶, 54B⁶, 18E¹⁰, 54T¹⁶, 72M¹⁷, 144I¹⁹, 36D¹³, 18J¹, 72Y¹⁵, 144I¹³, 72Y¹⁷, 18O⁷, 90E²³, 144D¹⁷, 108F¹⁰, 54B¹³, 162E¹⁶, 36Q⁹, 72O¹⁹, 36K³, 54A¹⁰, 54B⁷, 72L²², 72Q¹³, 144A²¹, 72AC²¹, 54A²², 54B², 36L¹⁷, 162A²², 36F²¹, 72Q¹⁷, 144I²¹, 108E²¹, 108E¹¹, 144E¹⁵, 90J¹¹, 72T¹³, 72A³, 72W¹³, 72U¹⁷, 216A¹⁷, 36U¹³, 36K²², 18Q², 72N¹⁷, 72B⁵, 144G¹³, 72C⁹, 72D⁷, 144K²¹, 54I¹⁰, 72T¹⁷, 36G³, 36O⁷, 108B¹³, 72S¹³, 36Q¹⁰, 36L⁵, 72V¹³, 108F¹⁷, 108A¹³, 144L²¹, 144J²¹, 144D²¹, 216B²¹, 36J¹⁷, 108E²², 72R¹⁷, 36K¹¹, 36T¹³, 144B²¹, 126F¹⁸, 36C¹, 18M⁴, 36J³, 54E²², 108A¹⁵, 144E¹⁷, 54R¹⁶</t>
        </is>
      </c>
    </row>
    <row r="110">
      <c r="A110">
        <f>HYPERLINK("https://mathstats.uncg.edu/sites/pauli/congruence/csg0.html#group20A0", "20A⁰")</f>
        <v/>
      </c>
      <c r="B110" t="n">
        <v>0</v>
      </c>
      <c r="C110" t="inlineStr"/>
      <c r="D110" t="inlineStr">
        <is>
          <t>36</t>
        </is>
      </c>
      <c r="E110" t="inlineStr">
        <is>
          <t>1</t>
        </is>
      </c>
      <c r="F110" t="inlineStr">
        <is>
          <t>18</t>
        </is>
      </c>
      <c r="G110" t="inlineStr">
        <is>
          <t>4</t>
        </is>
      </c>
      <c r="H110" t="inlineStr">
        <is>
          <t>0</t>
        </is>
      </c>
      <c r="I110" t="inlineStr">
        <is>
          <t>1², 4¹, 5², 20¹</t>
        </is>
      </c>
      <c r="J110" t="n">
        <v>6</v>
      </c>
      <c r="K110" t="inlineStr">
        <is>
          <t>1⁶, 4³</t>
        </is>
      </c>
      <c r="L110" t="inlineStr">
        <is>
          <t>10C⁰</t>
        </is>
      </c>
      <c r="M110" t="inlineStr">
        <is>
          <t>20H¹, 20I¹, 40A¹, 20I³, 40I³, 60C⁴, 20D⁶, 100A⁶, 60O⁷, 100A¹², 100D¹², 100B¹², 100C¹², 140C¹⁶, 140H¹⁹</t>
        </is>
      </c>
      <c r="N110" t="inlineStr">
        <is>
          <t>5B⁰, 10C⁰, 1A⁰, 2B⁰</t>
        </is>
      </c>
      <c r="O110" t="inlineStr">
        <is>
          <t>20B¹⁷, 40M¹³, 80AN¹⁷, 80AA¹⁷, 200A¹⁵, 100A⁶, 140C¹⁶, 40R¹³, 80G¹³, 20J⁵, 20I⁵, 120S²³, 20L⁷, 80AM¹⁷, 40AC⁷, 40K¹³, 20E¹¹, 60W²¹, 60O¹¹, 60C¹⁵, 20H¹, 120D¹¹, 120O²¹, 180H²⁰, 20F¹³, 20T³, 60W¹³, 100A¹², 120K¹³, 20K⁵, 40M⁵, 40G²¹, 60M⁹, 80I¹³, 40AR¹⁷, 40L⁵, 40S¹³, 60AJ¹³, 60X²¹, 40K⁹, 100J¹³, 40U¹³, 40AD¹⁵, 40K¹¹, 40W⁹, 40Z¹⁷, 120L¹³, 80AT¹⁷, 60N¹³, 120M¹⁹, 40AJ¹⁵, 20S³, 40AC¹⁷, 80U²¹, 40I³, 40W¹³, 120Q²³, 40O¹³, 40K⁷, 80E²¹, 80Y²¹, 80AF¹⁷, 80E¹³, 40N⁵, 20I³, 40AH¹⁵, 80U¹⁷, 40AN¹⁷, 40AI¹⁷, 40Y¹⁵, 40A¹, 120C¹¹, 40T⁷, 20E¹³, 40P¹³, 60C⁴, 120R²³, 60O⁷, 40Y¹⁷, 60N⁹, 60N²³, 40L¹³, 40V¹³, 20D⁶, 100B¹², 40T¹⁷, 80H¹³, 100C¹², 120M¹⁵, 80V¹⁷, 40C¹⁹, 100E¹⁷, 40Q¹³, 60S¹⁷, 40T¹³, 40AG¹⁵, 80BC¹⁷, 40N¹³, 80C¹³, 80AS¹⁷, 40AQ¹⁷, 40W¹⁷, 60R²³, 20C¹⁹, 40O⁵, 60R¹¹, 40F⁹, 40V¹⁷, 100P¹⁹, 100D¹², 40J³, 40J¹³, 20G¹³, 80F¹³, 20I¹, 140H¹⁹, 80D¹³, 60P¹⁷, 20F⁹, 200C²¹</t>
        </is>
      </c>
    </row>
    <row r="111">
      <c r="A111">
        <f>HYPERLINK("https://mathstats.uncg.edu/sites/pauli/congruence/csg0.html#group21A0", "21A⁰")</f>
        <v/>
      </c>
      <c r="B111" t="n">
        <v>0</v>
      </c>
      <c r="C111" t="inlineStr"/>
      <c r="D111" t="inlineStr">
        <is>
          <t>21</t>
        </is>
      </c>
      <c r="E111" t="inlineStr">
        <is>
          <t>2</t>
        </is>
      </c>
      <c r="F111" t="inlineStr">
        <is>
          <t>7</t>
        </is>
      </c>
      <c r="G111" t="inlineStr">
        <is>
          <t>9</t>
        </is>
      </c>
      <c r="H111" t="inlineStr">
        <is>
          <t>0</t>
        </is>
      </c>
      <c r="I111" t="inlineStr">
        <is>
          <t>21¹</t>
        </is>
      </c>
      <c r="J111" t="n">
        <v>1</v>
      </c>
      <c r="K111" t="inlineStr">
        <is>
          <t>2¹, 6²</t>
        </is>
      </c>
      <c r="L111" t="inlineStr">
        <is>
          <t>3A⁰, 7A⁰</t>
        </is>
      </c>
      <c r="M111" t="inlineStr">
        <is>
          <t>21D¹, 21E¹, 42A¹, 42B¹, 21C², 21D², 42A², 63A², 21C³, 42C³, 84A³, 42A⁴, 105C⁶, 105A⁷, 105C¹³, 231A¹³, 231B¹³, 273A²⁰, 231A²¹</t>
        </is>
      </c>
      <c r="N111" t="inlineStr">
        <is>
          <t>3A⁰, 1A⁰, 7A⁰</t>
        </is>
      </c>
      <c r="O111" t="inlineStr">
        <is>
          <t>336I²⁴, 126D¹⁶, 168H²⁴, 84F¹⁶, 21B¹⁷, 168E¹⁶, 21B¹⁵, 105B¹⁶, 126C¹⁶, 105E¹⁴, 42D²⁴, 84A¹⁴, 21C⁷, 84M²¹, 84H¹⁹, 42F¹⁴, 42H¹⁵, 84D¹⁶, 168M²³, 63A⁸, 126E¹⁹, 168L²², 42A¹⁰, 84E²³, 126A²², 42A¹³, 42F¹⁹, 105C¹³, 63B²⁴, 63D⁷, 126D⁸, 63G¹⁸, 126C¹⁷, 42D¹³, 42C¹³, 168E²⁴, 105B²², 84I⁸, 126A⁸, 126C⁸, 168A¹⁷, 42E²¹, 84D²⁰, 63E¹⁹, 42F¹⁶, 42A⁷, 21A⁷, 168G²⁴, 126E²⁰, 126E²¹, 231B¹³, 126K¹⁸, 336G²⁴, 84L²¹, 21D², 126E¹⁴, 126D²¹, 126A⁷, 84H²⁰, 21C², 168C¹⁹, 168D²⁰, 63A¹⁷, 126A⁵, 63D²¹, 21C³, 126D¹⁹, 42K²³, 63B²², 42B¹⁹, 42I¹³, 210A¹⁸, 63H²⁴, 21A¹⁵, 84D¹⁹, 168B¹⁵, 126J¹², 84H¹⁸, 63F¹⁸, 21B¹¹, 105D¹⁵, 126A¹⁶, 126A¹⁹, 84E¹⁸, 84H¹⁵, 63C¹⁸, 84C²³, 42C¹⁴, 210E¹⁷, 63A¹⁸, 21B¹², 168J²², 231A¹³, 63D¹⁹, 42A²¹, 84N²², 168N²², 84K¹⁷, 126E¹⁸, 84G¹⁷, 21B¹³, 105D¹⁴, 273A²⁰, 84G¹⁸, 126A⁶, 42I¹⁶, 21A¹¹, 168D¹⁰, 63E²⁴, 63D²⁴, 126A¹⁸, 84J¹³, 84A¹⁹, 168K²², 63F⁶, 252G²⁴, 21B⁵, 21D¹¹, 42D⁶, 210A¹², 84D²³, 231A²¹, 84C¹⁶, 42C¹⁷, 42G¹⁷, 168M²², 168G¹⁰, 84N²¹, 126I¹⁷, 336C²⁴, 42G⁴, 126I²¹, 84H¹⁶, 21B⁹, 42N⁷, 63B¹⁸, 84F¹⁸, 21D⁴, 84D¹⁴, 336A²⁴, 42D¹⁷, 42H⁷, 210A¹⁵, 84E¹⁹, 63G⁶, 126F¹⁷, 42B⁷, 42A⁸, 210D¹⁶, 63B¹⁷, 210C¹⁵, 84F⁸, 84C⁹, 42C¹⁰, 126H²¹, 42E⁵, 42C¹⁶, 126B⁵, 126C¹⁹, 84B⁹, 63A²², 210A²¹, 168R²², 42G¹⁹, 42K¹⁹, 42B¹⁴, 105C¹⁵, 63B⁸, 315A²³, 210F¹⁸, 42A¹, 42D⁸, 84D¹⁸, 168I²², 126B¹⁷, 126D¹⁷, 168O²², 168P²³, 42E¹³, 126R²¹, 21C¹², 126Q²¹, 84F¹¹, 126I¹⁸, 84B⁷, 84C²⁰, 42I¹⁵, 126B¹⁹, 42C⁷, 126B⁸, 84G²⁰, 84M²², 168B²⁰, 42F⁵, 105A¹⁶, 21D¹, 84M¹⁷, 84G¹¹, 21A¹², 84K²¹, 63E⁷, 63D¹⁶, 63I²⁴, 42H¹⁶, 168I²⁴, 336F²⁴, 126F¹⁵, 42H⁵, 84A¹⁶, 42B¹, 168E¹⁸, 126C²¹, 168H²², 63A²⁰, 105C¹⁶, 42H¹⁷, 168F¹⁸, 84J¹⁷, 63B¹⁰, 84A²⁰, 126F²¹, 84A¹⁰, 42C¹⁵, 84C¹⁴, 42A¹⁷, 126B¹⁶, 84F¹⁹, 168J²⁴, 168D²⁴, 63C²⁴, 84C¹⁸, 84B¹⁶, 84J¹⁶, 42E¹⁷, 42D¹⁴, 42A¹¹, 42B¹¹, 84J²¹, 84L¹⁷, 168F¹⁰, 84A³, 105C¹⁹, 21C⁶, 42A¹⁴, 84F¹⁷, 84E¹⁶, 42E¹⁵, 126H¹⁷, 63G²⁴, 21A¹⁶, 126H¹⁸, 126D¹⁸, 84F²³, 42L²³, 63A²³, 168O²³, 42G¹⁶, 42F⁴, 126C¹⁸, 315A²⁴, 42M¹⁹, 42G¹⁵, 126B¹⁸, 42G⁷, 63E⁶, 42C²⁴, 168C²⁴, 252A¹⁴, 105C¹⁷, 336H²⁴, 210A²⁴, 63B¹⁴, 42A², 105C⁶, 21E¹, 42A⁶, 168I²³, 84E⁹, 126A¹¹, 84H¹⁷, 21A¹³, 105A¹⁷, 42E¹⁶, 168G¹⁶, 84G⁸, 84G¹⁶, 84I¹⁶, 63E¹⁶, 126B²⁰, 42D¹⁶, 21A⁶, 168J²³, 168L²³, 21A¹⁴, 63D⁹, 42K¹³, 168E¹⁰, 42C⁹, 42B¹⁷, 42L⁷, 168A¹⁰, 42C⁸, 84A¹⁸, 42C³, 42J¹⁹, 126H¹², 210D¹⁵, 63C¹⁹, 84C¹⁹, 126D²⁴, 42F¹⁷, 42K¹⁰, 42E¹⁴, 126G¹⁷, 84I¹⁹, 84N¹⁷, 63A², 84F²⁰, 84I¹⁷, 168F²⁴, 42I⁷, 168F¹⁶, 84I²¹, 168C²⁰, 42E¹⁹, 42L¹¹, 126J¹⁸, 168G²², 42F³, 42B²², 126A²¹, 126E²⁴, 21A²¹, 126G²¹, 84B²⁰, 126B²¹, 42K⁷, 84D¹¹, 336D²⁴, 105A⁷, 21D⁵, 42A²², 63A¹⁵, 168D¹⁶, 42B¹⁸, 63F²⁴, 42A¹⁸, 84G¹⁹, 42K¹⁷, 168Q²², 21E⁴, 63B²³, 168C¹⁶, 126J¹³, 42I⁴, 42J⁷, 21B²¹, 210H¹⁶, 42B¹³, 42H⁴, 336E²⁴, 210B¹⁵, 168A¹², 168A²⁰, 168B¹⁰, 42A⁴, 42D¹⁵, 42J¹³, 84B¹⁸, 84P²¹, 168C¹⁰, 84H⁸, 84E²⁴, 105D²², 84C⁷, 63C¹⁷, 84O²¹, 42A¹⁹, 84D¹⁷, 84E²⁰, 84B⁶, 21B⁴, 168A¹⁵, 63A⁹, 42C²², 126G¹⁸, 42D¹⁹, 168P²², 336B²⁴, 168A²¹, 42B⁹, 42F¹⁵, 63B⁹, 42B²¹, 42L¹⁹, 126E¹⁷, 42C¹⁸, 84I¹⁵, 126B²⁴, 105A²⁰, 126F¹⁴, 168H¹⁰, 84F¹⁰, 84A²³, 126K¹³, 126C²⁴, 210G¹⁸, 126A²⁰, 84L¹⁹, 168N²³, 84E¹¹, 168K²³</t>
        </is>
      </c>
    </row>
    <row r="112">
      <c r="A112">
        <f>HYPERLINK("https://mathstats.uncg.edu/sites/pauli/congruence/csg0.html#group24A0", "24A⁰")</f>
        <v/>
      </c>
      <c r="B112" t="n">
        <v>0</v>
      </c>
      <c r="C112" t="inlineStr"/>
      <c r="D112" t="inlineStr">
        <is>
          <t>36</t>
        </is>
      </c>
      <c r="E112" t="inlineStr">
        <is>
          <t>1</t>
        </is>
      </c>
      <c r="F112" t="inlineStr">
        <is>
          <t>3</t>
        </is>
      </c>
      <c r="G112" t="inlineStr">
        <is>
          <t>12</t>
        </is>
      </c>
      <c r="H112" t="inlineStr">
        <is>
          <t>0</t>
        </is>
      </c>
      <c r="I112" t="inlineStr">
        <is>
          <t>12¹, 24¹</t>
        </is>
      </c>
      <c r="J112" t="n">
        <v>2</v>
      </c>
      <c r="K112" t="inlineStr">
        <is>
          <t>1³</t>
        </is>
      </c>
      <c r="L112" t="inlineStr">
        <is>
          <t>8B⁰, 12C⁰</t>
        </is>
      </c>
      <c r="M112" t="inlineStr">
        <is>
          <t>48A⁰, 24H¹, 24L², 24M², 24P², 24Q², 48A², 24I³, 48C³, 48E³, 48F³, 48H³, 48C⁴, 72E⁴, 24A⁵, 48A⁶, 120B¹¹, 120B¹², 168A¹², 120N²³, 168A²³, 264C²⁴</t>
        </is>
      </c>
      <c r="N112" t="inlineStr">
        <is>
          <t>12C⁰, 4C⁰, 8B⁰, 2B⁰, 3A⁰, 1A⁰, 6D⁰</t>
        </is>
      </c>
      <c r="O112" t="inlineStr">
        <is>
          <t>96Y²¹, 96R¹⁵, 336I²⁴, 96AH¹⁹, 72K¹³, 48BE¹⁹, 48I²¹, 48O¹⁷, 48M⁹, 48AK¹⁷, 48BK¹⁹, 120O²¹, 48CE¹⁷, 48AH²¹, 48AE²¹, 24R⁷, 48M¹⁵, 288A²³, 96AK¹⁹, 24Q¹³, 96S²⁰, 96W¹⁵, 24AD¹⁷, 48BS²¹, 48CH¹⁷, 48AH⁷, 48O¹⁸, 96L¹⁹, 48I¹¹, 48AD²¹, 48E⁵, 48BW¹⁷, 48AM¹⁷, 264C²⁴, 48CD¹⁷, 48M¹⁷, 48K¹¹, 24S⁹, 48AL¹⁹, 48A⁰, 48AJ⁷, 48P¹⁷, 96Y¹⁹, 144A¹³, 48L¹⁵, 48AB²¹, 48BC²¹, 96M¹⁹, 48AZ¹⁹, 48S¹⁷, 48A¹¹, 96AS¹⁹, 96AY¹⁹, 48AQ¹⁷, 48BH²¹, 48H¹⁶, 48AY¹⁹, 48AE⁹, 24G¹⁹, 48Q²¹, 48BQ²¹, 96S¹⁵, 48BH¹⁷, 48U⁷, 24D⁶, 24E¹⁶, 48AU¹⁷, 48CF¹⁷, 48U¹⁵, 24V¹³, 48BG¹⁹, 48A¹⁶, 48E¹¹, 24F¹⁷, 48A¹⁹, 96AE²¹, 48BB¹⁷, 48T¹⁸, 48AF²¹, 48B¹¹, 96I⁹, 96AY²¹, 48BR¹⁷, 24D¹⁷, 24X¹³, 48Q¹⁸, 48X¹⁵, 96I¹¹, 48BR²¹, 48BO¹⁷, 48CC¹⁷, 48AD¹⁹, 48M²¹, 48BU²¹, 24U¹⁷, 24O⁷, 144A¹⁴, 168A²³, 96AM¹⁹, 48AD⁸, 96Q¹⁷, 48AX¹⁷, 48C³, 48Y⁹, 48N²¹, 48L⁹, 48BA¹⁷, 96AQ¹⁹, 48BZ¹⁷, 96AL¹⁹, 48L¹¹, 72F¹², 48AB⁷, 24M², 48K²¹, 96AD¹⁹, 48AF¹³, 96G²⁰, 192F²¹, 48T¹⁷, 48AZ¹⁷, 96AE¹⁷, 96O²⁰, 48AR¹⁷, 96AF²⁰, 24X⁵, 48AU¹⁹, 48M¹¹, 96AU¹⁹, 48AA¹³, 48R⁸, 72K¹², 96AI²¹, 96AA¹⁷, 96AG²⁰, 96Z²¹, 120B¹¹, 48R²¹, 48L²¹, 96AN²¹, 144F¹⁶, 48S¹⁹, 24W⁵, 96AO²¹, 96AC²⁰, 96J⁹, 48M¹⁸, 48T⁷, 96X¹⁷, 72C¹⁷, 96R²⁰, 24A⁹, 48AE¹⁷, 96AA²⁰, 96A⁷, 24L⁷, 48BX¹⁷, 192G²¹, 48AC⁸, 96J¹¹, 72N¹¹, 24AG¹⁷, 96N¹⁷, 96V¹⁵, 48AC²¹, 24Y¹³, 48AT¹⁷, 48CG¹⁷, 96H¹³, 48BY¹⁷, 144B¹², 96I²⁰, 24Q¹⁷, 144Y²³, 96J¹⁹, 48H⁵, 192E²¹, 240B²⁴, 48C⁴, 48AL²¹, 24D⁹, 72AA²¹, 96X²⁰, 48T¹⁵, 48BG²¹, 48AD¹⁵, 48AF¹⁷, 144X²³, 48E³, 48AJ²¹, 72O¹², 48N¹⁸, 144E¹³, 24R¹⁵, 48AS¹⁷, 48O⁷, 48AA⁸, 96I²³, 144C¹³, 48X⁸, 96F⁹, 96AT²¹, 96D¹⁷, 48H¹¹, 96AJ²¹, 96AX²¹, 72H⁹, 24V⁵, 96N²³, 48M⁷, 48P²¹, 96P¹⁷, 96AG¹⁷, 96C¹⁷, 24H⁶, 48AB¹⁵, 144D¹³, 96AF¹⁷, 48F¹¹, 144A¹⁸, 24V¹⁷, 48AS²¹, 24Z⁷, 48AO¹⁹, 96AT¹⁹, 48AL¹⁷, 48T²¹, 24L², 96F²³, 96G¹⁷, 96P²⁰, 48W²¹, 48M³, 48AJ¹⁹, 96Y¹⁷, 48D¹⁹, 48AB¹³, 48AR²¹, 96U²³, 48AE⁷, 48BI¹⁹, 48AM¹⁹, 96L²³, 24D¹⁹, 96AA²¹, 72J¹², 24AC⁷, 96O²³, 96AJ¹⁹, 96AE¹⁹, 96A⁵, 144B¹³, 24A⁵, 24R¹³, 96N²⁰, 96AG²¹, 48H²¹, 24I¹⁷, 192H²¹, 48S⁸, 48L¹⁸, 48V¹⁵, 96G¹³, 96T¹⁵, 48CA¹⁷, 48O²¹, 144W²³, 48BF²¹, 288A²¹, 96O¹⁵, 192I²¹, 48AN²¹, 48J²¹, 24K⁶, 48Q¹⁷, 24H¹, 48V²¹, 48E¹⁸, 48AG⁷, 48AI⁷, 48AA²¹, 96R¹⁷, 96H²⁰, 48R¹⁷, 48AK²¹, 48K⁹, 96E²³, 24N¹⁵, 96AF²¹, 24J¹⁷, 48Y¹⁵, 96Z²⁰, 240A²³, 48AV¹⁹, 96Z¹⁷, 24O¹⁵, 48AD⁷, 96E¹⁷, 96BB¹⁹, 96P²³, 48F¹⁸, 48BD¹⁹, 48BC¹⁷, 48AX²¹, 24C¹⁶, 72E¹⁸, 144E¹⁰, 48AM²¹, 48BH¹⁹, 48A², 48BG¹⁷, 96V²⁰, 24C⁹, 48CB¹⁷, 24Z¹³, 48W¹⁵, 96U¹⁵, 48C¹¹, 48BF¹⁷, 48AW²¹, 24S¹³, 48AF⁸, 96B¹⁷, 24B¹⁶, 48R¹⁹, 96AD²⁰, 96F¹⁷, 48S²¹, 48AE⁸, 96Q¹⁵, 24AA¹³, 48S¹⁸, 48U²¹, 192J²¹, 48D¹¹, 48AP¹⁷, 96AP²¹, 24D¹⁶, 96D²³, 24AH¹⁷, 96G²³, 48W⁹, 96V¹⁹, 96C²³, 48AV¹⁷, 240B²³, 96T²⁰, 24S¹⁵, 96J²³, 48G¹⁹, 48AW¹⁷, 48BD¹⁷, 72E⁴, 48J⁹, 48J¹⁵, 96W²⁰, 96Y²⁰, 48AE¹⁵, 96O¹⁷, 72O¹⁵, 24G⁶, 24AF¹⁷, 48I¹⁶, 96K¹¹, 48B¹⁹, 48BE¹⁷, 96D⁹, 96H⁹, 96AF¹⁹, 96AD¹⁷, 144J¹⁹, 48AE¹⁹, 48BF¹⁹, 48AG²¹, 48AP²¹, 72G¹², 24C¹⁷, 48AF¹⁵, 48AF⁷, 120B¹², 24F⁹, 48AO²¹, 48AB⁸, 24T¹⁵, 96AB¹⁷, 96AC¹⁹, 24AA⁷, 48AC⁷, 48BJ¹⁹, 48P⁷, 24P², 96K²³, 48H³, 24L¹⁷, 48AN¹⁹, 48S⁷, 96H²³, 24Q¹⁵, 96BA¹⁹, 72I¹³, 48BI²¹, 48Z¹⁵, 96AB²⁰, 24P¹⁵, 48X⁹, 144A⁸, 96V²³, 96A²³, 48F²¹, 96A³, 48AR¹⁹, 24K⁷, 24I⁶, 48BN¹⁷, 24A¹⁹, 96Q²⁰, 96AH²¹, 48T⁸, 24Y⁵, 48BD²¹, 96E⁹, 48I¹⁵, 96AL²¹, 48AE¹³, 48V⁷, 96X¹⁹, 96U¹⁹, 96AG¹⁹, 48BA¹⁹, 24T¹⁷, 96K⁹, 48D²¹, 48AC¹⁵, 144F¹³, 96W¹⁹, 48L¹⁷, 96B²³, 48A⁶, 48G¹⁶, 48AN¹⁷, 96AO¹⁹, 96J²⁰, 96AR¹⁹, 48G¹¹, 48AK¹⁹, 48F⁸, 96B⁹, 96AI¹⁹, 48Z⁹, 48N¹⁷, 24A¹⁶, 168A¹², 24I³, 24Q², 96H¹⁷, 72N¹², 48AO¹⁷, 24F¹⁹, 96AM²¹, 48C²¹, 96U²⁰, 48AB⁹, 96AK²¹, 48AI²¹, 24S⁵, 24J⁹, 24AB⁷, 24U¹⁵, 48AY¹⁷, 48AC¹⁹, 48P¹⁸, 120N²³, 48F⁵, 192K²¹, 48T¹⁹, 24B¹⁷, 48BC¹⁹, 48AA¹⁵, 48H¹⁵, 96M²³, 48BB¹⁹, 192L²¹, 96AP¹⁹, 48G⁵, 48S¹⁵, 96AN¹⁹, 96AV¹⁹, 48F¹⁶, 48BQ¹⁷, 48BB²¹, 48N⁷, 96T¹⁹, 24W¹³, 48E²¹, 48X¹³, 96AE²⁰, 48Q¹¹, 48AB¹⁹, 96C⁹, 48F³, 24M¹⁵</t>
        </is>
      </c>
    </row>
    <row r="113">
      <c r="A113">
        <f>HYPERLINK("https://mathstats.uncg.edu/sites/pauli/congruence/csg0.html#group24B0", "24B⁰")</f>
        <v/>
      </c>
      <c r="B113" t="n">
        <v>0</v>
      </c>
      <c r="C113" t="inlineStr"/>
      <c r="D113" t="inlineStr">
        <is>
          <t>48</t>
        </is>
      </c>
      <c r="E113" t="inlineStr">
        <is>
          <t>1</t>
        </is>
      </c>
      <c r="F113" t="inlineStr">
        <is>
          <t>12</t>
        </is>
      </c>
      <c r="G113" t="inlineStr">
        <is>
          <t>0</t>
        </is>
      </c>
      <c r="H113" t="inlineStr">
        <is>
          <t>0</t>
        </is>
      </c>
      <c r="I113" t="inlineStr">
        <is>
          <t>1⁴, 3⁴, 8¹, 24¹</t>
        </is>
      </c>
      <c r="J113" t="n">
        <v>10</v>
      </c>
      <c r="K113" t="inlineStr">
        <is>
          <t>1⁶, 2³</t>
        </is>
      </c>
      <c r="L113" t="inlineStr">
        <is>
          <t>12E⁰</t>
        </is>
      </c>
      <c r="M113" t="inlineStr">
        <is>
          <t>24J¹, 24U³, 24AC³, 72A³, 72F⁸, 72G⁸, 120L¹⁵, 120B¹⁶, 168Q²³, 168B²⁴</t>
        </is>
      </c>
      <c r="N113" t="inlineStr">
        <is>
          <t>6F⁰, 3B⁰, 2B⁰, 4B⁰, 1A⁰, 12E⁰</t>
        </is>
      </c>
      <c r="O113" t="inlineStr">
        <is>
          <t>72P¹⁷, 48J⁵, 24AK⁷, 24AT¹⁷, 24F²¹, 48AG¹³, 24AA⁵, 24E²¹, 72B¹⁹, 48AG⁹, 96AH¹⁷, 24AD⁹, 72A³, 24J¹, 24Z⁵, 216A¹⁷, 24U³, 24AP¹⁷, 48BZ²¹, 168B²⁴, 120B¹⁶, 24J¹³, 72M²², 72G⁸, 24AC⁹, 72I⁹, 24AP⁹, 216C²², 72A¹⁹, 96I¹³, 48CO¹⁷, 48I⁵, 72O¹⁷, 72X¹⁷, 48AH¹³, 24AC³, 24AS¹⁷, 168Q²³, 72Y¹⁷, 24C²¹, 120L¹⁵, 72N²², 96BB²¹, 48CN¹⁷, 72L²², 24AC¹³, 72Q¹³, 72F⁸</t>
        </is>
      </c>
    </row>
    <row r="114">
      <c r="A114">
        <f>HYPERLINK("https://mathstats.uncg.edu/sites/pauli/congruence/csg0.html#group25A0", "25A⁰")</f>
        <v/>
      </c>
      <c r="B114" t="n">
        <v>0</v>
      </c>
      <c r="C114" t="inlineStr">
        <is>
          <t>Γ₀(25)</t>
        </is>
      </c>
      <c r="D114" t="inlineStr">
        <is>
          <t>30</t>
        </is>
      </c>
      <c r="E114" t="inlineStr">
        <is>
          <t>1</t>
        </is>
      </c>
      <c r="F114" t="inlineStr">
        <is>
          <t>30</t>
        </is>
      </c>
      <c r="G114" t="inlineStr">
        <is>
          <t>2</t>
        </is>
      </c>
      <c r="H114" t="inlineStr">
        <is>
          <t>0</t>
        </is>
      </c>
      <c r="I114" t="inlineStr">
        <is>
          <t>1⁵, 25¹</t>
        </is>
      </c>
      <c r="J114" t="n">
        <v>6</v>
      </c>
      <c r="K114" t="inlineStr">
        <is>
          <t>1², 4², 20¹</t>
        </is>
      </c>
      <c r="L114" t="inlineStr">
        <is>
          <t>5B⁰</t>
        </is>
      </c>
      <c r="M114" t="inlineStr">
        <is>
          <t>25B⁰, 50A², 50B², 50A³, 25G⁴, 75A⁴, 75A⁵, 125A⁶, 125B⁶, 100A⁷, 25A⁸, 125A⁸, 125A¹⁰, 125B¹⁰, 175A¹⁴, 175A¹⁵, 275A²⁴</t>
        </is>
      </c>
      <c r="N114" t="inlineStr">
        <is>
          <t>5B⁰, 1A⁰</t>
        </is>
      </c>
      <c r="O114" t="inlineStr">
        <is>
          <t>175A¹⁵, 100O¹⁹, 200A¹⁵, 100A⁶, 25B¹², 125A⁶, 50C⁷, 250A²³, 150A¹³, 150E¹², 25A¹⁶, 100D¹⁵, 100B²¹, 75A⁵, 25A⁸, 75C²⁴, 50E⁶, 250A²⁴, 250B¹⁸, 50A², 150B²³, 50E¹³, 125B¹⁰, 200J¹⁹, 200A¹⁷, 125A¹², 275A²⁴, 50B¹⁴, 75F⁹, 250B²², 50F⁴, 250A²¹, 100J¹³, 50A³, 200B²¹, 50E²², 125B⁶, 100I¹³, 125A¹⁶, 175A¹⁴, 150I¹⁹, 75D¹⁹, 125A⁸, 50E²¹, 100C¹⁵, 200B¹⁷, 50A²⁰, 250A²⁰, 150D²³, 100Q¹⁹, 150A¹⁰, 250A²², 75F¹⁷, 150A²¹, 200A²¹, 200I¹⁹, 250A¹⁸, 150I¹⁵, 50B², 75A⁸, 125B¹², 200A²³, 200B²³, 100I⁹, 100A²¹, 100E¹⁷, 150J¹⁵, 100N¹⁹, 225A¹⁸, 50F⁵, 100A¹⁵, 150A¹¹, 250B²⁴, 100B⁷, 75A¹⁰, 75E¹⁷, 100P¹⁹, 100A¹⁰, 75A⁴, 75C¹⁹, 125A¹⁰, 250B¹⁹, 250A¹⁹, 250B²³, 100C⁷, 225A¹⁹, 100B¹⁵, 100A⁷, 150A¹⁶, 125A²⁰, 125B²⁰, 50B¹⁹, 100C²¹, 150C²³, 75E⁹, 200C²¹, 25B⁰, 150B¹³, 25G⁴</t>
        </is>
      </c>
    </row>
    <row r="115">
      <c r="A115">
        <f>HYPERLINK("https://mathstats.uncg.edu/sites/pauli/congruence/csg0.html#group25B0", "25B⁰")</f>
        <v/>
      </c>
      <c r="B115" t="n">
        <v>0</v>
      </c>
      <c r="C115" t="inlineStr">
        <is>
          <t>Γ₀(25)∩Γ₁(5)</t>
        </is>
      </c>
      <c r="D115" t="inlineStr">
        <is>
          <t>60</t>
        </is>
      </c>
      <c r="E115" t="inlineStr">
        <is>
          <t>1</t>
        </is>
      </c>
      <c r="F115" t="inlineStr">
        <is>
          <t>6</t>
        </is>
      </c>
      <c r="G115" t="inlineStr">
        <is>
          <t>0</t>
        </is>
      </c>
      <c r="H115" t="inlineStr">
        <is>
          <t>0</t>
        </is>
      </c>
      <c r="I115" t="inlineStr">
        <is>
          <t>1¹⁰, 25²</t>
        </is>
      </c>
      <c r="J115" t="n">
        <v>12</v>
      </c>
      <c r="K115" t="inlineStr">
        <is>
          <t>1², 4¹</t>
        </is>
      </c>
      <c r="L115" t="inlineStr">
        <is>
          <t>5D⁰, 25A⁰</t>
        </is>
      </c>
      <c r="M115" t="inlineStr">
        <is>
          <t>50F⁴, 50F⁵, 75F⁹, 75A¹⁰, 25B¹², 125A¹², 125B¹², 100B¹⁵, 25A¹⁶, 125A¹⁶, 125A²⁰, 125B²⁰</t>
        </is>
      </c>
      <c r="N115" t="inlineStr">
        <is>
          <t>25A⁰, 5B⁰, 5D⁰, 1A⁰</t>
        </is>
      </c>
      <c r="O115" t="inlineStr">
        <is>
          <t>25B¹², 50F⁴, 75F⁹, 100J¹³, 75A¹⁰, 75F¹⁷, 75C¹⁹, 125A¹⁶, 25A¹⁶, 100B¹⁵, 125B¹², 100A¹⁵, 125A²⁰, 125B²⁰, 50E¹³, 125A¹², 100N¹⁹, 50F⁵</t>
        </is>
      </c>
    </row>
    <row r="116">
      <c r="A116">
        <f>HYPERLINK("https://mathstats.uncg.edu/sites/pauli/congruence/csg0.html#group26A0", "26A⁰")</f>
        <v/>
      </c>
      <c r="B116" t="n">
        <v>0</v>
      </c>
      <c r="C116" t="inlineStr"/>
      <c r="D116" t="inlineStr">
        <is>
          <t>28</t>
        </is>
      </c>
      <c r="E116" t="inlineStr">
        <is>
          <t>1</t>
        </is>
      </c>
      <c r="F116" t="inlineStr">
        <is>
          <t>14</t>
        </is>
      </c>
      <c r="G116" t="inlineStr">
        <is>
          <t>4</t>
        </is>
      </c>
      <c r="H116" t="inlineStr">
        <is>
          <t>4</t>
        </is>
      </c>
      <c r="I116" t="inlineStr">
        <is>
          <t>2¹, 26¹</t>
        </is>
      </c>
      <c r="J116" t="n">
        <v>2</v>
      </c>
      <c r="K116" t="inlineStr">
        <is>
          <t>1², 12¹</t>
        </is>
      </c>
      <c r="L116" t="inlineStr">
        <is>
          <t>13A⁰</t>
        </is>
      </c>
      <c r="M116" t="inlineStr">
        <is>
          <t>26B¹, 52A¹, 26B², 78A², 26B⁴, 78A⁴, 52C⁵, 78B⁷, 130A⁸, 130B¹¹, 182A¹², 182B¹⁵, 130B¹⁹, 286A²⁰, 26A²², 338A²²</t>
        </is>
      </c>
      <c r="N116" t="inlineStr">
        <is>
          <t>13A⁰, 1A⁰</t>
        </is>
      </c>
      <c r="O116" t="inlineStr">
        <is>
          <t>52B¹¹, 234A¹⁶, 78F²³, 130B¹¹, 78C⁹, 26B¹, 156A²¹, 156B²³, 130A⁸, 104C¹³, 26A²², 26B⁴, 52A¹³, 78G²³, 130B¹⁷, 156A⁷, 78A⁹, 78G¹³, 52B³, 52H¹¹, 52A²³, 104A²¹, 104J²³, 104E²³, 156B⁷, 52E⁹, 156H²³, 130C²¹, 104D²¹, 26B⁹, 78B⁹, 52G¹¹, 182A¹², 52C²¹, 156C¹¹, 234D²³, 78B¹⁶, 338A²², 78A⁴, 26C⁵, 156E¹⁹, 78B⁷, 26A⁹, 52A¹⁹, 156B¹¹, 52C¹⁹, 52D⁹, 104E¹³, 78D¹¹, 234A²³, 52D²¹, 78A²³, 52B²³, 78A¹⁰, 156D¹⁹, 52A¹, 156F¹⁹, 286A²⁰, 52C⁵, 52H²³, 26E¹⁰, 78E¹⁶, 260A¹⁷, 78A¹³, 52A¹⁷, 104D¹³, 78A², 156C¹⁵, 182B¹⁵, 130B¹⁹, 26B², 52F²¹, 52B⁹, 104C²¹, 78A²¹, 78B¹¹, 156A²³, 52A¹⁵, 156G²³</t>
        </is>
      </c>
    </row>
    <row r="117">
      <c r="A117">
        <f>HYPERLINK("https://mathstats.uncg.edu/sites/pauli/congruence/csg0.html#group27A0", "27A⁰")</f>
        <v/>
      </c>
      <c r="B117" t="n">
        <v>0</v>
      </c>
      <c r="C117" t="inlineStr"/>
      <c r="D117" t="inlineStr">
        <is>
          <t>36</t>
        </is>
      </c>
      <c r="E117" t="inlineStr">
        <is>
          <t>1</t>
        </is>
      </c>
      <c r="F117" t="inlineStr">
        <is>
          <t>12</t>
        </is>
      </c>
      <c r="G117" t="inlineStr">
        <is>
          <t>0</t>
        </is>
      </c>
      <c r="H117" t="inlineStr">
        <is>
          <t>0</t>
        </is>
      </c>
      <c r="I117" t="inlineStr">
        <is>
          <t>1⁶, 3¹, 27¹</t>
        </is>
      </c>
      <c r="J117" t="n">
        <v>8</v>
      </c>
      <c r="K117" t="inlineStr">
        <is>
          <t>1², 2², 6¹</t>
        </is>
      </c>
      <c r="L117" t="inlineStr">
        <is>
          <t>9B⁰</t>
        </is>
      </c>
      <c r="M117" t="inlineStr">
        <is>
          <t>27C¹, 54B², 54A³, 27A⁴, 27C⁴, 108C⁹, 135B¹¹, 135A¹², 189A¹⁷, 189A¹⁸, 135A²³</t>
        </is>
      </c>
      <c r="N117" t="inlineStr">
        <is>
          <t>3B⁰, 9B⁰, 1A⁰</t>
        </is>
      </c>
      <c r="O117" t="inlineStr">
        <is>
          <t>108G¹⁷, 27B¹⁰, 54B², 27C¹, 54C¹³, 135A¹², 27E¹⁹, 27B¹³, 108A⁹, 108E²¹, 108E¹¹, 108C⁹, 54B¹⁰, 81B¹⁶, 135B¹¹, 135A²³, 81C¹⁹, 54H¹⁰, 216A¹⁷, 189A¹⁸, 108A⁷, 81D²², 189A¹⁷, 81A¹⁰, 54H¹³, 54L¹³, 54I¹⁰, 108D¹⁷, 27C⁴, 216A²¹, 54R¹⁶, 135A²¹, 54T¹⁶, 27C¹⁶, 108F¹⁷, 81B¹⁹, 27A⁴, 216B²¹, 81A¹⁹, 81A²², 54A³, 81A¹³, 54B⁷, 81A¹⁶, 54E¹³</t>
        </is>
      </c>
    </row>
    <row r="118">
      <c r="A118">
        <f>HYPERLINK("https://mathstats.uncg.edu/sites/pauli/congruence/csg0.html#group28A0", "28A⁰")</f>
        <v/>
      </c>
      <c r="B118" t="n">
        <v>0</v>
      </c>
      <c r="C118" t="inlineStr"/>
      <c r="D118" t="inlineStr">
        <is>
          <t>32</t>
        </is>
      </c>
      <c r="E118" t="inlineStr">
        <is>
          <t>1</t>
        </is>
      </c>
      <c r="F118" t="inlineStr">
        <is>
          <t>8</t>
        </is>
      </c>
      <c r="G118" t="inlineStr">
        <is>
          <t>0</t>
        </is>
      </c>
      <c r="H118" t="inlineStr">
        <is>
          <t>8</t>
        </is>
      </c>
      <c r="I118" t="inlineStr">
        <is>
          <t>4¹, 28¹</t>
        </is>
      </c>
      <c r="J118" t="n">
        <v>2</v>
      </c>
      <c r="K118" t="inlineStr">
        <is>
          <t>1², 6¹</t>
        </is>
      </c>
      <c r="L118" t="inlineStr">
        <is>
          <t>14B⁰</t>
        </is>
      </c>
      <c r="M118" t="inlineStr">
        <is>
          <t>28F², 84A⁴, 84B⁴, 28I⁵, 28E⁶, 28D⁶, 84A⁶, 84E⁷, 84A⁸, 140A⁸, 28A¹³, 196A¹³, 140B¹⁵, 140B²³</t>
        </is>
      </c>
      <c r="N118" t="inlineStr">
        <is>
          <t>2A⁰, 1A⁰, 7B⁰, 14B⁰</t>
        </is>
      </c>
      <c r="O118" t="inlineStr">
        <is>
          <t>56N¹³, 28N²¹, 84A²², 84K¹⁶, 56W²³, 140B¹⁵, 28F¹¹, 28D⁶, 84K¹³, 84A⁴, 28E⁶, 28I⁵, 84E⁷, 84A⁶, 84D²², 252A²⁴, 140A⁸, 252A²³, 84B⁴, 84K²², 28M²¹, 28G¹⁶, 28E¹⁷, 84A⁸, 196A¹³, 84H²³, 140B²³, 84B²², 84B¹⁵, 84C²², 28F², 28A¹³</t>
        </is>
      </c>
    </row>
    <row r="119">
      <c r="A119">
        <f>HYPERLINK("https://mathstats.uncg.edu/sites/pauli/congruence/csg0.html#group30A0", "30A⁰")</f>
        <v/>
      </c>
      <c r="B119" t="n">
        <v>0</v>
      </c>
      <c r="C119" t="inlineStr"/>
      <c r="D119" t="inlineStr">
        <is>
          <t>36</t>
        </is>
      </c>
      <c r="E119" t="inlineStr">
        <is>
          <t>1</t>
        </is>
      </c>
      <c r="F119" t="inlineStr">
        <is>
          <t>6</t>
        </is>
      </c>
      <c r="G119" t="inlineStr">
        <is>
          <t>12</t>
        </is>
      </c>
      <c r="H119" t="inlineStr">
        <is>
          <t>0</t>
        </is>
      </c>
      <c r="I119" t="inlineStr">
        <is>
          <t>6¹, 30¹</t>
        </is>
      </c>
      <c r="J119" t="n">
        <v>2</v>
      </c>
      <c r="K119" t="inlineStr">
        <is>
          <t>1², 4¹</t>
        </is>
      </c>
      <c r="L119" t="inlineStr">
        <is>
          <t>10B⁰, 15B⁰</t>
        </is>
      </c>
      <c r="M119" t="inlineStr">
        <is>
          <t>30D¹, 30J³, 60C³, 60D³, 30H⁴, 90A⁴, 30C⁵, 60C⁵, 30B¹⁰, 150A¹⁰, 150C¹², 150B¹², 150D¹², 150A¹², 210A¹², 210A²³, 330D²⁴</t>
        </is>
      </c>
      <c r="N119" t="inlineStr">
        <is>
          <t>5B⁰, 15B⁰, 3A⁰, 1A⁰, 10B⁰</t>
        </is>
      </c>
      <c r="O119" t="inlineStr">
        <is>
          <t>150A¹², 60A¹¹, 120J¹⁷, 30J³, 90D¹⁸, 60AE¹⁵, 60D³, 180D¹³, 60T¹¹, 120O²¹, 30D¹, 90N²¹, 60K⁹, 60M⁹, 60AG¹³, 60Q²¹, 60S²³, 150C¹², 60X²¹, 60C⁵, 90F²⁰, 210A¹², 180C¹³, 60N⁷, 60S⁷, 30R⁵, 120L¹⁷, 90G⁹, 90I¹¹, 120I¹⁷, 30H⁴, 150B¹², 30J¹¹, 30C⁵, 60C¹¹, 60L⁹, 150A¹⁰, 90K¹⁵, 150A²¹, 30B¹⁰, 30R⁹, 90F¹³, 120K¹⁷, 60N²³, 90E¹³, 60O²³, 60B¹⁵, 60C³, 60W¹⁷, 180F¹³, 210A²³, 180E¹³, 120P¹⁷, 60AG¹⁵, 30K⁹, 60F²¹, 60N¹⁷, 60P¹¹, 30H¹³, 90D¹⁷, 120Q¹⁷, 60AB¹³, 90A⁴, 60R²³, 30H²¹, 330D²⁴, 30B²¹, 60AK¹³, 90H¹³, 30Q¹³, 30G⁹, 60M⁷, 150D¹², 60D²¹, 60P²³, 60V¹¹, 30H¹⁷, 150C²³, 30C²³, 60X¹⁷, 60V¹³, 60C²¹</t>
        </is>
      </c>
    </row>
    <row r="120">
      <c r="A120">
        <f>HYPERLINK("https://mathstats.uncg.edu/sites/pauli/congruence/csg0.html#group32A0", "32A⁰")</f>
        <v/>
      </c>
      <c r="B120" t="n">
        <v>0</v>
      </c>
      <c r="C120" t="inlineStr"/>
      <c r="D120" t="inlineStr">
        <is>
          <t>48</t>
        </is>
      </c>
      <c r="E120" t="inlineStr">
        <is>
          <t>1</t>
        </is>
      </c>
      <c r="F120" t="inlineStr">
        <is>
          <t>6</t>
        </is>
      </c>
      <c r="G120" t="inlineStr">
        <is>
          <t>0</t>
        </is>
      </c>
      <c r="H120" t="inlineStr">
        <is>
          <t>0</t>
        </is>
      </c>
      <c r="I120" t="inlineStr">
        <is>
          <t>1⁸, 8¹, 32¹</t>
        </is>
      </c>
      <c r="J120" t="n">
        <v>10</v>
      </c>
      <c r="K120" t="inlineStr">
        <is>
          <t>1⁴, 2¹</t>
        </is>
      </c>
      <c r="L120" t="inlineStr">
        <is>
          <t>16C⁰</t>
        </is>
      </c>
      <c r="M120" t="inlineStr">
        <is>
          <t>32E¹, 64A², 32K³, 96C⁷, 96A⁸, 160B¹⁵, 160A¹⁶, 224C²³, 224B²⁴</t>
        </is>
      </c>
      <c r="N120" t="inlineStr">
        <is>
          <t>8C⁰, 2B⁰, 4B⁰, 1A⁰, 16C⁰</t>
        </is>
      </c>
      <c r="O120" t="inlineStr">
        <is>
          <t>96C⁷, 64C¹⁷, 96AJ¹⁷, 128A¹⁷, 96G¹⁹, 64C²¹, 64C⁵, 192E¹⁹, 32D⁹, 64D⁵, 32A¹⁷, 32B²¹, 224C²³, 32M⁵, 96A¹⁷, 192B¹⁸, 192A¹⁸, 32C¹⁷, 96L¹⁷, 128E¹³, 128B¹⁷, 64D²¹, 96A⁸, 64A², 192F¹⁹, 32E¹, 32U¹³, 224B²⁴, 96I¹³, 64V¹³, 96BF²¹, 64E²¹, 32O⁵, 96AL¹⁷, 32H²¹, 32K³, 128A¹⁹, 32F²¹, 160B¹⁵, 64W¹³, 64A¹⁷, 96N¹⁵, 96BE²¹, 64K⁷, 32B⁹, 64B¹⁷, 64A⁹, 128A²¹, 96B¹⁹, 64A¹¹, 160A¹⁶</t>
        </is>
      </c>
    </row>
    <row r="121">
      <c r="A121">
        <f>HYPERLINK("https://mathstats.uncg.edu/sites/pauli/congruence/csg0.html#group36A0", "36A⁰")</f>
        <v/>
      </c>
      <c r="B121" t="n">
        <v>0</v>
      </c>
      <c r="C121" t="inlineStr"/>
      <c r="D121" t="inlineStr">
        <is>
          <t>48</t>
        </is>
      </c>
      <c r="E121" t="inlineStr">
        <is>
          <t>1</t>
        </is>
      </c>
      <c r="F121" t="inlineStr">
        <is>
          <t>4</t>
        </is>
      </c>
      <c r="G121" t="inlineStr">
        <is>
          <t>0</t>
        </is>
      </c>
      <c r="H121" t="inlineStr">
        <is>
          <t>12</t>
        </is>
      </c>
      <c r="I121" t="inlineStr">
        <is>
          <t>12¹, 36¹</t>
        </is>
      </c>
      <c r="J121" t="n">
        <v>2</v>
      </c>
      <c r="K121" t="inlineStr">
        <is>
          <t>1², 2¹</t>
        </is>
      </c>
      <c r="L121" t="inlineStr">
        <is>
          <t>12B⁰, 18B⁰</t>
        </is>
      </c>
      <c r="M121" t="inlineStr">
        <is>
          <t>36S⁴, 108A⁴, 36J⁶, 36K⁶, 108A⁶, 108A⁸, 108B⁸, 36N⁹, 36A¹⁰, 36C¹⁰, 108C¹⁰, 108A¹², 180A¹², 180C²³, 252B²³, 252F²⁴</t>
        </is>
      </c>
      <c r="N121" t="inlineStr">
        <is>
          <t>3B⁰, 2A⁰, 9C⁰, 1A⁰, 18B⁰, 6C⁰, 12B⁰</t>
        </is>
      </c>
      <c r="O121" t="inlineStr">
        <is>
          <t>108D²², 252B²³, 108B²², 108A⁶, 72Y²¹, 108A⁴, 108C²², 252F²⁴, 108A⁸, 36C¹⁹, 36J⁶, 180C²³, 36S⁴, 36A¹⁰, 36M²², 36K⁶, 108B⁸, 36N⁹, 108A¹², 180A¹², 108C¹⁰, 36C¹⁰</t>
        </is>
      </c>
    </row>
    <row r="122">
      <c r="A122">
        <f>HYPERLINK("https://mathstats.uncg.edu/sites/pauli/congruence/csg0.html#group48A0", "48A⁰")</f>
        <v/>
      </c>
      <c r="B122" t="n">
        <v>0</v>
      </c>
      <c r="C122" t="inlineStr"/>
      <c r="D122" t="inlineStr">
        <is>
          <t>72</t>
        </is>
      </c>
      <c r="E122" t="inlineStr">
        <is>
          <t>1</t>
        </is>
      </c>
      <c r="F122" t="inlineStr">
        <is>
          <t>3</t>
        </is>
      </c>
      <c r="G122" t="inlineStr">
        <is>
          <t>24</t>
        </is>
      </c>
      <c r="H122" t="inlineStr">
        <is>
          <t>0</t>
        </is>
      </c>
      <c r="I122" t="inlineStr">
        <is>
          <t>24¹, 48¹</t>
        </is>
      </c>
      <c r="J122" t="n">
        <v>2</v>
      </c>
      <c r="K122" t="inlineStr">
        <is>
          <t>1³</t>
        </is>
      </c>
      <c r="L122" t="inlineStr">
        <is>
          <t>16B⁰, 24A⁰</t>
        </is>
      </c>
      <c r="M122" t="inlineStr">
        <is>
          <t>48M³, 96A³, 48E⁵, 48F⁵, 48G⁵, 48H⁵, 96A⁵, 48N⁷, 96A⁷, 144A⁸, 96B⁹, 48B¹¹, 240B²³, 240B²⁴, 336I²⁴</t>
        </is>
      </c>
      <c r="N122" t="inlineStr">
        <is>
          <t>16B⁰, 12C⁰, 24A⁰, 4C⁰, 8B⁰, 2B⁰, 3A⁰, 1A⁰, 6D⁰</t>
        </is>
      </c>
      <c r="O122" t="inlineStr">
        <is>
          <t>96Y²¹, 96R¹⁵, 336I²⁴, 48AA¹³, 96A⁵, 96AA¹⁷, 96Z²¹, 96H²³, 96G¹³, 96T¹⁵, 48M¹⁵, 48Z¹⁵, 288A²¹, 96A⁷, 96O¹⁵, 96AB¹⁷, 288A²³, 144A⁸, 48J²¹, 96J¹¹, 48Q¹⁷, 96A³, 96A²³, 48F²¹, 96W¹⁵, 96N¹⁷, 96V¹⁵, 48E⁵, 96R¹⁷, 48AK²¹, 96H¹³, 96J¹⁹, 48H⁵, 48L¹⁵, 96Y¹⁹, 48Y¹⁵, 240B²⁴, 96Z¹⁷, 48AD¹⁵, 48I¹⁵, 48AE¹³, 96X¹⁹, 96P²³, 96U¹⁹, 96AY¹⁹, 144X²³, 96W¹⁹, 96S¹⁵, 48W¹⁵, 96U¹⁵, 96B⁹, 96B¹⁷, 48N¹⁷, 96H¹⁷, 48S²¹, 96D¹⁷, 96AT²¹, 96Q¹⁵, 48B¹¹, 48C²¹, 96P¹⁷, 96AG¹⁷, 96C¹⁷, 96G²³, 48X¹⁵, 96I¹¹, 96V¹⁹, 240B²³, 96AF¹⁷, 48F⁵, 48AW¹⁷, 48J¹⁵, 48H¹⁵, 48AA¹⁵, 48G⁵, 96G¹⁷, 48AE¹⁵, 96O¹⁷, 96Q¹⁷, 48N²¹, 96K¹¹, 48M³, 48N⁷, 96T¹⁹, 48X¹³, 48AF¹³, 48AB¹³, 96AD¹⁷, 144J¹⁹, 48AZ¹⁷, 96AE¹⁷, 48AF¹⁵, 96AA²¹</t>
        </is>
      </c>
    </row>
    <row r="123">
      <c r="A123">
        <f>HYPERLINK("https://mathstats.uncg.edu/sites/pauli/congruence/csg1.html#group6A1", "6A¹")</f>
        <v/>
      </c>
      <c r="B123" t="n">
        <v>1</v>
      </c>
      <c r="C123" t="inlineStr">
        <is>
          <t>Γ'</t>
        </is>
      </c>
      <c r="D123" t="inlineStr">
        <is>
          <t>6</t>
        </is>
      </c>
      <c r="E123" t="inlineStr">
        <is>
          <t>1</t>
        </is>
      </c>
      <c r="F123" t="inlineStr">
        <is>
          <t>1</t>
        </is>
      </c>
      <c r="G123" t="inlineStr">
        <is>
          <t>0</t>
        </is>
      </c>
      <c r="H123" t="inlineStr">
        <is>
          <t>0</t>
        </is>
      </c>
      <c r="I123" t="inlineStr">
        <is>
          <t>6¹</t>
        </is>
      </c>
      <c r="J123" t="n">
        <v>1</v>
      </c>
      <c r="K123" t="inlineStr">
        <is>
          <t>1¹</t>
        </is>
      </c>
      <c r="L123" t="inlineStr">
        <is>
          <t>2A⁰, 3A⁰</t>
        </is>
      </c>
      <c r="M123" t="inlineStr">
        <is>
          <t>6B¹, 6C¹, 12A², 18A², 30A³, 30B³, 42A⁴, 42B⁴, 30A⁵, 66A⁶, 66B⁶, 78A⁷, 102B⁹, 114A¹⁰, 138A¹², 174A¹⁵, 186A¹⁶, 222A¹⁹, 246B²¹, 258A²², 282A²⁴</t>
        </is>
      </c>
      <c r="N123" t="inlineStr">
        <is>
          <t>3A⁰, 2A⁰, 1A⁰</t>
        </is>
      </c>
      <c r="O123" t="inlineStr">
        <is>
          <t>282A²⁴, 48I²¹, 96A¹⁸, 102B⁹, 24E¹³, 150A¹³, 84A¹⁴, 12A⁵, 12G³, 30E¹⁷, 36E¹⁶, 48AH²¹, 48A¹⁵, 48U¹⁷, 84A⁸, 18N⁴, 42A¹⁰, 72C²³, 18B³, 84B¹⁵, 102G¹⁷, 66B⁶, 42A¹³, 42F¹⁹, 54H²², 18E¹³, 48BS²¹, 24F¹³, 120A²⁰, 42D¹³, 48I¹¹, 42C¹³, 126F²³, 24A⁸, 24V⁷, 18E¹⁰, 12A³, 96E²¹, 24S⁹, 36C¹⁵, 36I¹⁷, 48B¹⁸, 48I¹⁹, 60L¹⁵, 36D⁸, 120E²³, 78B¹⁹, 24G⁸, 24I¹⁵, 48A¹¹, 132B²³, 30F⁷, 48E¹⁹, 24I⁹, 42A⁷, 96E¹⁹, 24Z⁹, 132A¹², 42D¹⁰, 90D²², 24G¹⁹, 48Q²¹, 48BQ²¹, 126E²⁰, 126E²¹, 18C¹⁰, 24A¹⁰, 30A³, 210B²³, 60C¹¹, 126D²¹, 72I¹⁶, 84H²⁰, 42O¹⁹, 18B⁴, 30B¹⁷, 90A⁹, 72B¹⁶, 102D¹⁷, 54I²², 24F¹⁷, 18B¹⁰, 24B¹⁹, 30B³, 60D¹⁹, 48A¹⁹, 48P¹⁹, 48B¹¹, 36K²², 48AW¹⁹, 12A¹³, 42B¹⁹, 210A¹⁸, 24N⁴, 150A¹⁵, 18K¹⁰, 72H¹⁶, 24D¹⁵, 48C¹⁵, 24B⁴, 30H⁹, 30A⁹, 48BR²¹, 30H¹³, 18F², 36E²¹, 24U¹⁷, 60B²¹, 96C¹⁸, 90C¹⁴, 90A¹⁵, 60B¹⁹, 18A², 24A¹³, 252A²⁴, 132C¹², 30I¹³, 276C²⁴, 48N²¹, 258A²², 6D¹, 84F²¹, 90F¹⁵, 48K²¹, 24C¹⁹, 48D⁸, 30H¹⁷, 132A²², 24E¹⁵, 18D¹³, 48H¹⁹, 48D¹⁸, 90H¹⁷, 48B⁸, 48M¹¹, 42G¹⁰, 60A¹¹, 90K¹⁷, 6C¹, 12B², 60C¹⁵, 60A²¹, 18G¹³, 48L²¹, 24AJ¹⁷, 48R²¹, 24Z¹⁷, 72C¹⁷, 276A²⁴, 72M²¹, 48Y²¹, 36A²¹, 48E¹⁵, 120F²³, 90C²², 24P¹⁷, 24K¹⁹, 30I⁹, 96A¹⁹, 144B²⁴, 60G¹⁹, 24A¹⁵, 30B¹³, 48K¹⁵, 36C¹⁷, 72Q¹⁶, 48K¹⁹, 126B²³, 72A²³, 24G¹⁷, 24Q¹⁷, 12C³, 36B⁸, 24H¹⁹, 90E¹⁷, 54A¹⁶, 84D²², 78E¹³, 48AL²¹, 30H⁵, 24J¹⁵, 12A⁷, 24D⁹, 78A⁷, 36D¹⁶, 24C⁸, 48AJ²¹, 24R¹⁷, 72A¹², 126I²¹, 72E²³, 24Y¹⁷, 66C¹¹, 96B¹⁹, 126M²¹, 60E¹⁹, 96I²³, 60E¹⁴, 12B⁵, 252D²⁴, 96B²¹, 48D¹⁷, 72A¹⁶, 24D¹³, 24G⁹, 42B⁷, 18C⁷, 30F⁵, 30B⁵, 42C¹⁰, 90D¹⁵, 126H²¹, 144A²⁴, 36M¹¹, 48P²¹, 48B¹⁵, 60F²¹, 24I⁷, 18D¹⁹, 36N¹¹, 210A²¹, 42G¹⁹, 42K¹⁹, 36J⁹, 36C¹⁰, 48F¹¹, 18N⁷, 66A¹⁶, 24V¹⁷, 30A⁷, 30A¹³, 24D⁸, 84A²¹, 36F¹¹, 6F¹, 24B¹³, 72N²¹, 96F²³, 60D²¹, 24S¹⁷, 42E¹³, 42J¹⁹, 36H¹⁹, 96C²², 84C²⁰, 234A²¹, 78A¹⁹, 36E¹⁹, 60A¹⁹, 30D⁷, 84H²², 48D¹⁹, 150D¹⁵, 18F⁷, 42C⁷, 96L²³, 36B¹¹, 60C²¹, 48E¹⁷, 24D¹⁹, 18F¹⁰, 24M⁷, 186A¹⁶, 60A¹⁴, 90J¹⁵, 36B²¹, 96O²³, 18E⁷, 12F³, 24A⁵, 30F¹³, 12E², 24I¹⁷, 54K¹⁶, 36A⁶, 120B²³, 12A⁴, 48AX¹⁹, 48O²¹, 228B²⁰, 24H⁸, 24J⁸, 48AN²¹, 18A¹³, 96A²², 48J²¹, 24O¹³, 18E⁴, 84B⁸, 72C¹², 36E¹¹, 126C²¹, 42E⁷, 24W¹⁷, 54I¹³, 48F¹⁵, 54A¹³, 48AK²¹, 84A²², 126F²¹, 36F²², 96E²³, 42E¹⁰, 24J¹⁷, 48B²², 24K¹³, 18H⁴, 36A¹¹, 48O¹⁹, 48M¹⁹, 96P²³, 48F¹⁹, 48AM²¹, 48C⁸, 36C¹⁶, 18B⁵, 18B¹³, 24C⁹, 48G¹⁸, 150C¹⁵, 132C²³, 66A⁶, 48A⁸, 18A⁷, 222A¹⁹, 42M¹⁹, 18A⁵, 48R¹⁹, 30B⁷, 30D¹³, 12B⁴, 48S²¹, 72K¹⁷, 90C¹⁷, 114B¹⁹, 138B²³, 30C¹³, 84K²⁰, 24F¹⁵, 126D²³, 228A²⁰, 60A¹⁰, 48AU²¹, 18F³, 114A¹⁰, 48D¹¹, 126H²³, 18A⁴, 30K⁹, 12A², 96D²³, 66A¹¹, 84A¹⁵, 24B¹⁰, 96G²³, 126A¹¹, 72B¹², 96C²³, 198B¹⁸, 84F²², 48H¹⁷, 138A¹², 90B²², 96J²³, 48G¹⁹, 90B¹⁷, 78A¹³, 30A¹⁹, 30B⁹, 24H¹⁷, 18E¹⁹, 18B⁷, 24A⁴, 24S¹⁹, 24W⁷, 72B²³, 48A⁹, 60O²¹, 12D⁷, 36B¹⁶, 24U⁹, 48B¹⁹, 18C³, 12C⁴, 18A¹⁹, 48AP²¹, 48AG²¹, 48N¹⁹, 24C¹⁷, 96H¹⁹, 24G⁴, 96H²¹, 48AO²¹, 24F⁹, 72G¹⁶, 36K¹⁵, 48A¹⁰, 60E¹¹, 42Q¹⁹, 36A⁹, 96A²¹, 90B¹⁵, 18A³, 42P¹⁹, 90A⁸, 24J⁷, 12N³, 96K²³, 36G⁸, 84I²⁰, 24I⁸, 198A¹⁷, 24F⁵, 84F²⁰, 48A²², 84E²², 72G²³, 174A¹⁵, 48J¹⁷, 18H³, 42E¹⁹, 24J¹³, 24I¹⁹, 36D¹¹, 150B¹⁵, 60M²¹, 30J¹³, 48F²¹, 36J¹⁵, 30I¹⁷, 66A²¹, 48AR¹⁹, 6E¹, 126A²¹, 48Z²¹, 48E⁹, 24A¹⁹, 126G²¹, 18C¹³, 48K¹⁷, 42G¹³, 84B²⁰, 210A²⁰, 120A²³, 18G⁷, 126B²¹, 18B¹⁹, 48I¹⁸, 18D¹⁰, 252B²⁴, 36E⁹, 18H¹³, 66C²¹, 24D⁴, 18D⁷, 30G¹³, 90C¹⁵, 36F¹⁰, 24T¹⁷, 36A¹⁶, 84B²², 102B¹⁷, 246B²¹, 72D²³, 48C¹⁹, 30D⁹, 90E¹⁵, 96B²³, 30C¹⁷, 66B¹⁶, 48I¹⁷, 30C⁵, 24D¹⁰, 60N¹⁵, 42A⁴, 30A⁵, 36D¹⁵, 24F¹⁹, 78D¹⁹, 12A⁹, 72H²³, 84C¹⁵, 24C⁷, 36E¹⁷, 48BP¹⁷, 6B¹, 24B¹⁵, 36E²², 24E¹⁹, 54H¹⁶, 12B⁷, 48AI²¹, 18C¹⁹, 24J⁹, 24A¹⁷, 90D¹⁷, 132A²³, 30E⁹, 24H⁹, 120B²⁰, 24B¹⁷, 90A²², 42D¹⁹, 12B⁹, 24B⁸, 78C¹³, 126E²³, 12B¹³, 48L¹⁹, 54G¹⁶, 24A⁷, 42L¹⁹, 48B¹⁰, 72E¹⁷, 126B¹², 36J²², 42B⁴, 18F¹³, 60D¹⁵, 144C²⁴, 48E²¹, 24T⁹, 24K⁹, 24E⁴, 24P¹³, 24B⁷, 54E¹³</t>
        </is>
      </c>
    </row>
    <row r="124">
      <c r="A124">
        <f>HYPERLINK("https://mathstats.uncg.edu/sites/pauli/congruence/csg1.html#group6B1", "6B¹")</f>
        <v/>
      </c>
      <c r="B124" t="n">
        <v>1</v>
      </c>
      <c r="C124" t="inlineStr"/>
      <c r="D124" t="inlineStr">
        <is>
          <t>12</t>
        </is>
      </c>
      <c r="E124" t="inlineStr">
        <is>
          <t>1</t>
        </is>
      </c>
      <c r="F124" t="inlineStr">
        <is>
          <t>3</t>
        </is>
      </c>
      <c r="G124" t="inlineStr">
        <is>
          <t>0</t>
        </is>
      </c>
      <c r="H124" t="inlineStr">
        <is>
          <t>0</t>
        </is>
      </c>
      <c r="I124" t="inlineStr">
        <is>
          <t>6²</t>
        </is>
      </c>
      <c r="J124" t="n">
        <v>2</v>
      </c>
      <c r="K124" t="inlineStr">
        <is>
          <t>1¹, 2¹</t>
        </is>
      </c>
      <c r="L124" t="inlineStr">
        <is>
          <t>3C⁰, 6B⁰, 6A¹</t>
        </is>
      </c>
      <c r="M124" t="inlineStr">
        <is>
          <t>6D¹, 6E¹, 18F², 12C³, 18A³, 18B³, 18C³, 30B⁵, 30H⁵, 42C⁷, 42E⁷, 30E⁹, 66A¹¹, 66C¹¹, 78E¹³, 102G¹⁷, 114B¹⁹, 138B²³</t>
        </is>
      </c>
      <c r="N124" t="inlineStr">
        <is>
          <t>2A⁰, 3C⁰, 6A¹, 6B⁰, 3A⁰, 1A⁰</t>
        </is>
      </c>
      <c r="O124" t="inlineStr">
        <is>
          <t>24M⁷, 90J¹⁵, 36B²¹, 18E⁷, 12F³, 30F¹³, 24I¹⁷, 54K¹⁶, 12A⁵, 12G³, 30E¹⁷, 48A¹⁵, 48U¹⁷, 18N⁴, 48O²¹, 72C²³, 18B³, 84B¹⁵, 102G¹⁷, 18A¹³, 54H²², 18E¹³, 24O¹³, 18E⁴, 36E¹¹, 24F¹³, 42E⁷, 126F²³, 42D¹³, 42C¹³, 54I¹³, 48F¹⁵, 12A³, 24V⁷, 18E¹⁰, 18F¹⁰, 36C¹⁵, 36I¹⁷, 24J¹⁷, 24K¹³, 18H⁴, 36A¹¹, 24I¹⁵, 48F¹⁹, 132B²³, 48E¹⁹, 18B⁵, 18B¹³, 126E²⁰, 18A⁷, 42O¹⁹, 18A⁵, 30B¹⁷, 114B¹⁹, 48S²¹, 54I²², 138B²³, 90C¹⁷, 24B¹⁹, 30C¹³, 24F¹⁵, 126D²³, 48AU²¹, 36K²², 18F³, 12A¹³, 18K¹⁰, 126H²³, 48C¹⁵, 84A¹⁵, 66A¹¹, 24D¹⁵, 30K⁹, 30H⁹, 30A⁹, 18F², 36E²¹, 60B²¹, 90B¹⁷, 90C¹⁴, 24H¹⁷, 18E¹⁹, 18B⁷, 90A¹⁵, 24A¹³, 24W⁷, 72B²³, 12D⁷, 6D¹, 90F¹⁵, 48K²¹, 24C¹⁹, 30H¹⁷, 18C³, 24E¹⁵, 18A¹⁹, 48AP²¹, 18D¹³, 24C¹⁷, 60O²¹, 48AO²¹, 36K¹⁵, 42Q¹⁹, 36A⁹, 90K¹⁷, 90B¹⁵, 18A³, 42P¹⁹, 24J⁷, 60A²¹, 18G¹³, 12N³, 24Z¹⁷, 72G²³, 72M²¹, 48Y²¹, 36A²¹, 48E¹⁵, 18H³, 42E¹⁹, 24J¹³, 24K¹⁹, 30I⁹, 36D¹¹, 30J¹³, 66A²¹, 36J¹⁵, 24A¹⁵, 60G¹⁹, 30I¹⁷, 6E¹, 48K¹⁵, 36C¹⁷, 126A²¹, 48Z²¹, 30B¹³, 126G²¹, 48K¹⁹, 18C¹³, 48K¹⁷, 42G¹³, 126B²³, 24G¹⁷, 18G⁷, 12C³, 18B¹⁹, 126B²¹, 72A²³, 18D¹⁰, 54A¹⁶, 36E⁹, 18H¹³, 78E¹³, 66C²¹, 30H⁵, 24J¹⁵, 12A⁷, 18D⁷, 90C¹⁵, 36F¹⁰, 24T¹⁷, 72D²³, 24Y¹⁷, 66C¹¹, 30C¹⁷, 126M²¹, 12B⁵, 36D¹⁵, 24G⁹, 18C⁷, 30B⁵, 12A⁹, 126H²¹, 72H²³, 90D¹⁵, 36M¹¹, 48P²¹, 36E¹⁷, 48B¹⁵, 24B¹⁵, 54H¹⁶, 12B⁷, 24I⁷, 18D¹⁹, 36N¹¹, 18C¹⁹, 24J⁹, 24A¹⁷, 36J⁹, 36C¹⁰, 132A²³, 30E⁹, 18N⁷, 24V¹⁷, 36F¹¹, 12B⁹, 6F¹, 72N²¹, 24B¹³, 126E²³, 12B¹³, 54G¹⁶, 24A⁷, 42L¹⁹, 42E¹³, 60D²¹, 36H¹⁹, 18F¹³, 36E¹⁹, 60A¹⁹, 24K⁹, 18F⁷, 24P¹³, 42C⁷, 36B¹¹, 60C²¹, 48E¹⁷, 24B⁷, 54E¹³</t>
        </is>
      </c>
    </row>
    <row r="125">
      <c r="A125">
        <f>HYPERLINK("https://mathstats.uncg.edu/sites/pauli/congruence/csg1.html#group6C1", "6C¹")</f>
        <v/>
      </c>
      <c r="B125" t="n">
        <v>1</v>
      </c>
      <c r="C125" t="inlineStr"/>
      <c r="D125" t="inlineStr">
        <is>
          <t>18</t>
        </is>
      </c>
      <c r="E125" t="inlineStr">
        <is>
          <t>1</t>
        </is>
      </c>
      <c r="F125" t="inlineStr">
        <is>
          <t>1</t>
        </is>
      </c>
      <c r="G125" t="inlineStr">
        <is>
          <t>0</t>
        </is>
      </c>
      <c r="H125" t="inlineStr">
        <is>
          <t>0</t>
        </is>
      </c>
      <c r="I125" t="inlineStr">
        <is>
          <t>6³</t>
        </is>
      </c>
      <c r="J125" t="n">
        <v>3</v>
      </c>
      <c r="K125" t="inlineStr">
        <is>
          <t>1¹</t>
        </is>
      </c>
      <c r="L125" t="inlineStr">
        <is>
          <t>2C⁰, 6A⁰, 6D⁰, 6A¹</t>
        </is>
      </c>
      <c r="M125" t="inlineStr">
        <is>
          <t>6E¹, 12B², 12E², 18A⁴, 30B⁷, 30F⁷, 42C¹⁰, 42E¹⁰, 30A¹³, 66A¹⁶, 66B¹⁶, 78B¹⁹</t>
        </is>
      </c>
      <c r="N125" t="inlineStr">
        <is>
          <t>2A⁰, 6A⁰, 6A¹, 2B⁰, 3A⁰, 1A⁰, 2C⁰, 6D⁰</t>
        </is>
      </c>
      <c r="O125" t="inlineStr">
        <is>
          <t>48I²¹, 96A¹⁸, 12G³, 36E¹⁶, 48AH²¹, 48U¹⁷, 18N⁴, 48BS²¹, 48I¹¹, 24A⁸, 24V⁷, 18E¹⁰, 96E²¹, 24S⁹, 36C¹⁵, 36I¹⁷, 48B¹⁸, 48I¹⁹, 60L¹⁵, 36D⁸, 78B¹⁹, 24G⁸, 24I¹⁵, 48A¹¹, 30F⁷, 48E¹⁹, 24I⁹, 96E¹⁹, 24Z⁹, 24G¹⁹, 48Q²¹, 48BQ²¹, 18C¹⁰, 24A¹⁰, 72I¹⁶, 84H²⁰, 72B¹⁶, 24F¹⁷, 24B¹⁹, 48A¹⁹, 48P¹⁹, 48B¹¹, 36K²², 48AW¹⁹, 12A¹³, 24N⁴, 72H¹⁶, 24D¹⁵, 48BR²¹, 30H¹³, 36E²¹, 24U¹⁷, 96C¹⁸, 30I¹³, 48N²¹, 84F²¹, 48K²¹, 24C¹⁹, 48D⁸, 24E¹⁵, 48H¹⁹, 48D¹⁸, 48M¹¹, 12B², 60C¹⁵, 48L²¹, 24AJ¹⁷, 48R²¹, 24Z¹⁷, 72C¹⁷, 48Y²¹, 48E¹⁵, 24P¹⁷, 24K¹⁹, 96A¹⁹, 24A¹⁵, 48K¹⁵, 72Q¹⁶, 48K¹⁹, 24G¹⁷, 24Q¹⁷, 36B⁸, 24H¹⁹, 48AL²¹, 24J¹⁵, 12A⁷, 24D⁹, 24C⁸, 48AJ²¹, 24R¹⁷, 24Y¹⁷, 96B¹⁹, 96I²³, 60E¹⁴, 12B⁵, 96B²¹, 48D¹⁷, 72A¹⁶, 24G⁹, 42C¹⁰, 36M¹¹, 48P²¹, 24I⁷, 36N¹¹, 42G¹⁹, 42K¹⁹, 48F¹¹, 18N⁷, 66A¹⁶, 24V¹⁷, 30A¹³, 24D⁸, 84A²¹, 6F¹, 96F²³, 24S¹⁷, 96C²², 84C²⁰, 48D¹⁹, 96L²³, 48E¹⁷, 24D¹⁹, 24M⁷, 60A¹⁴, 96O²³, 18E⁷, 12F³, 24A⁵, 12E², 24I¹⁷, 12A⁴, 48AX¹⁹, 48O²¹, 24H⁸, 24J⁸, 48AN²¹, 96A²², 48J²¹, 24O¹³, 24W¹⁷, 48F¹⁵, 48AK²¹, 84A²², 36F²², 96E²³, 42E¹⁰, 24J¹⁷, 48B²², 24K¹³, 48O¹⁹, 48M¹⁹, 96P²³, 48F¹⁹, 48AM²¹, 48C⁸, 36C¹⁶, 18B¹³, 24C⁹, 48G¹⁸, 18A⁷, 48R¹⁹, 30B⁷, 12B⁴, 48S²¹, 72K¹⁷, 30C¹³, 84K²⁰, 24F¹⁵, 48AU²¹, 48D¹¹, 18A⁴, 96D²³, 24B¹⁰, 96G²³, 96C²³, 84F²², 48H¹⁷, 90B²², 96J²³, 48G¹⁹, 30A¹⁹, 24H¹⁷, 18E¹⁹, 24S¹⁹, 24W⁷, 48A⁹, 12D⁷, 36B¹⁶, 24U⁹, 48B¹⁹, 12C⁴, 18A¹⁹, 48AP²¹, 48AG²¹, 48N¹⁹, 24C¹⁷, 96H¹⁹, 24G⁴, 96H²¹, 48AO²¹, 24F⁹, 72G¹⁶, 36K¹⁵, 48A¹⁰, 96A²¹, 42P¹⁹, 24J⁷, 12N³, 96K²³, 36G⁸, 84I²⁰, 24I⁸, 24F⁵, 84F²⁰, 48A²², 48J¹⁷, 24J¹³, 24I¹⁹, 30J¹³, 48F²¹, 36J¹⁵, 48AR¹⁹, 6E¹, 48Z²¹, 48E⁹, 24A¹⁹, 48K¹⁷, 84B²⁰, 48I¹⁸, 24D⁴, 24T¹⁷, 36A¹⁶, 48C¹⁹, 96B²³, 66B¹⁶, 48I¹⁷, 24D¹⁰, 60N¹⁵, 36D¹⁵, 24F¹⁹, 48BP¹⁷, 24B¹⁵, 36E²², 24E¹⁹, 12B⁷, 48AI²¹, 18C¹⁹, 24J⁹, 24A¹⁷, 24H⁹, 24B¹⁷, 12B⁹, 24B⁸, 12B¹³, 48L¹⁹, 42L¹⁹, 48B¹⁰, 72E¹⁷, 36J²², 60D¹⁵, 48E²¹, 24T⁹, 24K⁹, 24E⁴, 24P¹³</t>
        </is>
      </c>
    </row>
    <row r="126">
      <c r="A126">
        <f>HYPERLINK("https://mathstats.uncg.edu/sites/pauli/congruence/csg1.html#group6D1", "6D¹")</f>
        <v/>
      </c>
      <c r="B126" t="n">
        <v>1</v>
      </c>
      <c r="C126" t="inlineStr"/>
      <c r="D126" t="inlineStr">
        <is>
          <t>24</t>
        </is>
      </c>
      <c r="E126" t="inlineStr">
        <is>
          <t>1</t>
        </is>
      </c>
      <c r="F126" t="inlineStr">
        <is>
          <t>1</t>
        </is>
      </c>
      <c r="G126" t="inlineStr">
        <is>
          <t>0</t>
        </is>
      </c>
      <c r="H126" t="inlineStr">
        <is>
          <t>0</t>
        </is>
      </c>
      <c r="I126" t="inlineStr">
        <is>
          <t>6⁴</t>
        </is>
      </c>
      <c r="J126" t="n">
        <v>4</v>
      </c>
      <c r="K126" t="inlineStr">
        <is>
          <t>1¹</t>
        </is>
      </c>
      <c r="L126" t="inlineStr">
        <is>
          <t>3D⁰, 6C⁰, 6E⁰, 6B¹</t>
        </is>
      </c>
      <c r="M126" t="inlineStr">
        <is>
          <t>6F¹, 12A³, 18F³, 18H³, 18E⁴, 18H⁴, 12A⁵, 18A⁵, 18B⁵, 30A⁹, 30H⁹, 42C¹³, 42G¹³, 30B¹⁷, 66A²¹, 66C²¹</t>
        </is>
      </c>
      <c r="N126" t="inlineStr">
        <is>
          <t>3B⁰, 2A⁰, 6B⁰, 6E⁰, 6B¹, 6C⁰, 3C⁰, 1A⁰, 6A¹, 3A⁰, 3D⁰</t>
        </is>
      </c>
      <c r="O126" t="inlineStr">
        <is>
          <t>36A⁹, 36B²¹, 12B⁵, 18A⁵, 30B¹⁷, 60A²¹, 18G¹³, 12N³, 54K¹⁶, 12A⁵, 54E¹³, 12A⁹, 18F³, 18K¹⁰, 36E¹⁷, 36K²², 12A¹³, 36A²¹, 18H³, 24J¹³, 54H¹⁶, 18A¹³, 18E¹³, 30H⁹, 18E⁴, 24O¹³, 30A⁹, 66A²¹, 24A¹⁷, 36C¹⁰, 36C¹⁷, 18N⁷, 42C¹³, 36E²¹, 60B²¹, 54I¹³, 12A³, 18C¹³, 42G¹³, 6F¹, 18E¹⁰, 12B⁹, 36I¹⁷, 24B¹³, 18D¹⁰, 12B¹³, 24K¹³, 54A¹⁶, 36E⁹, 18H¹³, 54G¹⁶, 66C²¹, 18H⁴, 24A¹³, 36A¹¹, 12A⁷, 36H¹⁹, 36F¹⁰, 18F¹³, 36E¹⁹, 60A¹⁹, 30H¹⁷, 18B⁵, 18B¹³, 24P¹³, 18D¹³, 36B¹¹, 24C¹⁷, 18F¹⁰</t>
        </is>
      </c>
    </row>
    <row r="127">
      <c r="A127">
        <f>HYPERLINK("https://mathstats.uncg.edu/sites/pauli/congruence/csg1.html#group6E1", "6E¹")</f>
        <v/>
      </c>
      <c r="B127" t="n">
        <v>1</v>
      </c>
      <c r="C127" t="inlineStr"/>
      <c r="D127" t="inlineStr">
        <is>
          <t>36</t>
        </is>
      </c>
      <c r="E127" t="inlineStr">
        <is>
          <t>1</t>
        </is>
      </c>
      <c r="F127" t="inlineStr">
        <is>
          <t>3</t>
        </is>
      </c>
      <c r="G127" t="inlineStr">
        <is>
          <t>0</t>
        </is>
      </c>
      <c r="H127" t="inlineStr">
        <is>
          <t>0</t>
        </is>
      </c>
      <c r="I127" t="inlineStr">
        <is>
          <t>6⁶</t>
        </is>
      </c>
      <c r="J127" t="n">
        <v>6</v>
      </c>
      <c r="K127" t="inlineStr">
        <is>
          <t>1¹, 2¹</t>
        </is>
      </c>
      <c r="L127" t="inlineStr">
        <is>
          <t>6G⁰, 6H⁰, 6B¹, 6C¹</t>
        </is>
      </c>
      <c r="M127" t="inlineStr">
        <is>
          <t>6F¹, 12F³, 12G³, 18N⁴, 18A⁷, 18E⁷, 30C¹³, 30J¹³, 42L¹⁹, 42P¹⁹</t>
        </is>
      </c>
      <c r="N127" t="inlineStr">
        <is>
          <t>2A⁰, 6B⁰, 6A⁰, 6B¹, 6C¹, 6G⁰, 3C⁰, 2B⁰, 6A¹, 6H⁰, 3A⁰, 1A⁰, 2C⁰, 6D⁰</t>
        </is>
      </c>
      <c r="O127" t="inlineStr">
        <is>
          <t>48AO²¹, 24M⁷, 36K¹⁵, 18E⁷, 12F³, 42P¹⁹, 24J⁷, 24I¹⁷, 12N³, 12G³, 24Z¹⁷, 48U¹⁷, 18N⁴, 48O²¹, 48Y²¹, 48E¹⁵, 24J¹³, 24K¹⁹, 24O¹³, 30J¹³, 36J¹⁵, 24A¹⁵, 48K¹⁵, 48Z²¹, 48F¹⁵, 48K¹⁹, 24V⁷, 18E¹⁰, 48K¹⁷, 24G¹⁷, 36C¹⁵, 36I¹⁷, 24J¹⁷, 24K¹³, 24E¹⁵, 24J¹⁵, 12A⁷, 24I¹⁵, 48F¹⁹, 24T¹⁷, 48E¹⁹, 24Y¹⁷, 18B¹³, 18A⁷, 12B⁵, 36D¹⁵, 24G⁹, 48S²¹, 24B¹⁹, 30C¹³, 24F¹⁵, 48AU²¹, 36K²², 36M¹¹, 12A¹³, 48P²¹, 24B¹⁵, 24D¹⁵, 12B⁷, 24I⁷, 36N¹¹, 18C¹⁹, 24J⁹, 24A¹⁷, 18N⁷, 36E²¹, 24V¹⁷, 12B⁹, 6F¹, 24H¹⁷, 18E¹⁹, 12B¹³, 42L¹⁹, 24W⁷, 12D⁷, 48K²¹, 24C¹⁹, 24K⁹, 24P¹³, 18A¹⁹, 48AP²¹, 24C¹⁷, 48E¹⁷</t>
        </is>
      </c>
    </row>
    <row r="128">
      <c r="A128">
        <f>HYPERLINK("https://mathstats.uncg.edu/sites/pauli/congruence/csg1.html#group6F1", "6F¹")</f>
        <v/>
      </c>
      <c r="B128" t="n">
        <v>1</v>
      </c>
      <c r="C128" t="inlineStr">
        <is>
          <t>Γ(6)</t>
        </is>
      </c>
      <c r="D128" t="inlineStr">
        <is>
          <t>72</t>
        </is>
      </c>
      <c r="E128" t="inlineStr">
        <is>
          <t>1</t>
        </is>
      </c>
      <c r="F128" t="inlineStr">
        <is>
          <t>1</t>
        </is>
      </c>
      <c r="G128" t="inlineStr">
        <is>
          <t>0</t>
        </is>
      </c>
      <c r="H128" t="inlineStr">
        <is>
          <t>0</t>
        </is>
      </c>
      <c r="I128" t="inlineStr">
        <is>
          <t>6¹²</t>
        </is>
      </c>
      <c r="J128" t="n">
        <v>12</v>
      </c>
      <c r="K128" t="inlineStr">
        <is>
          <t>1¹</t>
        </is>
      </c>
      <c r="L128" t="inlineStr">
        <is>
          <t>6I⁰, 6J⁰, 6K⁰, 6L⁰, 6D¹, 6E¹</t>
        </is>
      </c>
      <c r="M128" t="inlineStr">
        <is>
          <t>12N³, 12B⁵, 12A⁷, 18N⁷, 18E¹⁰, 18B¹³</t>
        </is>
      </c>
      <c r="N128" t="inlineStr">
        <is>
          <t>6E¹, 2A⁰, 3B⁰, 6B⁰, 6I⁰, 6C¹, 6C⁰, 6G⁰, 2B⁰, 1A⁰, 6D¹, 6A⁰, 6B¹, 6L⁰, 6E⁰, 6J⁰, 6F⁰, 3C⁰, 6K⁰, 6A¹, 6H⁰, 3A⁰, 3D⁰, 2C⁰, 6D⁰</t>
        </is>
      </c>
      <c r="O128" t="inlineStr">
        <is>
          <t>18N⁷, 36E²¹, 12B⁵, 18E¹⁰, 12B⁹, 36I¹⁷, 12B¹³, 12N³, 24K¹³, 12A⁷, 36K²², 12A¹³, 24J¹³, 18B¹³, 24O¹³, 24P¹³, 24A¹⁷, 24C¹⁷</t>
        </is>
      </c>
    </row>
    <row r="129">
      <c r="A129">
        <f>HYPERLINK("https://mathstats.uncg.edu/sites/pauli/congruence/csg1.html#group7A1", "7A¹")</f>
        <v/>
      </c>
      <c r="B129" t="n">
        <v>1</v>
      </c>
      <c r="C129" t="inlineStr"/>
      <c r="D129" t="inlineStr">
        <is>
          <t>42</t>
        </is>
      </c>
      <c r="E129" t="inlineStr">
        <is>
          <t>1</t>
        </is>
      </c>
      <c r="F129" t="inlineStr">
        <is>
          <t>21</t>
        </is>
      </c>
      <c r="G129" t="inlineStr">
        <is>
          <t>2</t>
        </is>
      </c>
      <c r="H129" t="inlineStr">
        <is>
          <t>0</t>
        </is>
      </c>
      <c r="I129" t="inlineStr">
        <is>
          <t>7⁶</t>
        </is>
      </c>
      <c r="J129" t="n">
        <v>6</v>
      </c>
      <c r="K129" t="inlineStr">
        <is>
          <t>3¹, 6³</t>
        </is>
      </c>
      <c r="L129" t="inlineStr">
        <is>
          <t>7D⁰</t>
        </is>
      </c>
      <c r="M129" t="inlineStr">
        <is>
          <t>7C¹, 14A⁵, 14B⁵, 14F⁵, 21A⁷, 21A⁹, 28B¹¹, 35A¹⁵, 35D¹⁵, 49A¹⁹</t>
        </is>
      </c>
      <c r="N129" t="inlineStr">
        <is>
          <t>7D⁰, 1A⁰, 7A⁰</t>
        </is>
      </c>
      <c r="O129" t="inlineStr">
        <is>
          <t>49A¹⁹, 42C¹⁹, 21B¹⁵, 14B⁵, 14A⁹, 28E²³, 28D¹⁵, 14A²³, 42B¹⁹, 28C¹³, 42A¹⁹, 28C¹⁵, 21A¹⁵, 21A¹³, 42C²³, 35D¹⁵, 14A¹⁷, 21A⁹, 21A¹⁷, 35A¹⁵, 28B²³, 14B⁷, 14C⁹, 28F²¹, 28B¹³, 42A¹⁷, 14B¹³, 7C¹, 14F⁵, 14A¹³, 7A³, 14A⁵, 14A¹⁹, 42B¹⁷, 42D²³, 28A²¹, 21A⁷, 28A²³, 28B¹¹</t>
        </is>
      </c>
    </row>
    <row r="130">
      <c r="A130">
        <f>HYPERLINK("https://mathstats.uncg.edu/sites/pauli/congruence/csg1.html#group7B1", "7B¹")</f>
        <v/>
      </c>
      <c r="B130" t="n">
        <v>1</v>
      </c>
      <c r="C130" t="inlineStr"/>
      <c r="D130" t="inlineStr">
        <is>
          <t>56</t>
        </is>
      </c>
      <c r="E130" t="inlineStr">
        <is>
          <t>1</t>
        </is>
      </c>
      <c r="F130" t="inlineStr">
        <is>
          <t>28</t>
        </is>
      </c>
      <c r="G130" t="inlineStr">
        <is>
          <t>0</t>
        </is>
      </c>
      <c r="H130" t="inlineStr">
        <is>
          <t>2</t>
        </is>
      </c>
      <c r="I130" t="inlineStr">
        <is>
          <t>7⁸</t>
        </is>
      </c>
      <c r="J130" t="n">
        <v>8</v>
      </c>
      <c r="K130" t="inlineStr">
        <is>
          <t>1¹, 3¹, 6⁴</t>
        </is>
      </c>
      <c r="L130" t="inlineStr">
        <is>
          <t>7B⁰, 7C⁰, 7F⁰</t>
        </is>
      </c>
      <c r="M130" t="inlineStr">
        <is>
          <t>7A³, 14E⁵, 14C⁷, 21A¹⁰, 21A¹¹, 21C¹¹, 28B¹⁵, 35A¹⁹, 49B¹⁹, 35B²¹</t>
        </is>
      </c>
      <c r="N130" t="inlineStr">
        <is>
          <t>7F⁰, 1A⁰, 7B⁰, 7C⁰, 7A⁰</t>
        </is>
      </c>
      <c r="O130" t="inlineStr">
        <is>
          <t>28E²¹, 21C²¹, 14B¹⁷, 21B²¹, 14A¹⁷, 21A¹⁰, 14C⁷, 42A²⁴, 42A²³, 35A¹⁹, 7A³, 14E⁵, 28B¹⁵, 42B²³, 21C¹¹, 14A¹⁹, 21A¹¹, 49B¹⁹, 28A¹⁷, 35B²¹, 14A¹⁵, 28A¹³</t>
        </is>
      </c>
    </row>
    <row r="131">
      <c r="A131">
        <f>HYPERLINK("https://mathstats.uncg.edu/sites/pauli/congruence/csg1.html#group7C1", "7C¹")</f>
        <v/>
      </c>
      <c r="B131" t="n">
        <v>1</v>
      </c>
      <c r="C131" t="inlineStr"/>
      <c r="D131" t="inlineStr">
        <is>
          <t>84</t>
        </is>
      </c>
      <c r="E131" t="inlineStr">
        <is>
          <t>1</t>
        </is>
      </c>
      <c r="F131" t="inlineStr">
        <is>
          <t>21</t>
        </is>
      </c>
      <c r="G131" t="inlineStr">
        <is>
          <t>4</t>
        </is>
      </c>
      <c r="H131" t="inlineStr">
        <is>
          <t>0</t>
        </is>
      </c>
      <c r="I131" t="inlineStr">
        <is>
          <t>7¹²</t>
        </is>
      </c>
      <c r="J131" t="n">
        <v>12</v>
      </c>
      <c r="K131" t="inlineStr">
        <is>
          <t>3¹, 6³</t>
        </is>
      </c>
      <c r="L131" t="inlineStr">
        <is>
          <t>7F⁰, 7G⁰, 7A¹</t>
        </is>
      </c>
      <c r="M131" t="inlineStr">
        <is>
          <t>7A³, 14B⁷, 14A⁹, 14C⁹, 21A¹³, 21A¹⁷, 28F²¹</t>
        </is>
      </c>
      <c r="N131" t="inlineStr">
        <is>
          <t>7F⁰, 7G⁰, 7D⁰, 1A⁰, 7C⁰, 7A⁰, 7A¹</t>
        </is>
      </c>
      <c r="O131" t="inlineStr">
        <is>
          <t>21A¹³, 14A²³, 14B⁷, 21A¹⁷, 14A¹⁷, 14C⁹, 14A¹⁹, 28F²¹, 28A²¹, 14A⁹, 28E²³, 7A³</t>
        </is>
      </c>
    </row>
    <row r="132">
      <c r="A132">
        <f>HYPERLINK("https://mathstats.uncg.edu/sites/pauli/congruence/csg1.html#group8A1", "8A¹")</f>
        <v/>
      </c>
      <c r="B132" t="n">
        <v>1</v>
      </c>
      <c r="C132" t="inlineStr"/>
      <c r="D132" t="inlineStr">
        <is>
          <t>12</t>
        </is>
      </c>
      <c r="E132" t="inlineStr">
        <is>
          <t>1</t>
        </is>
      </c>
      <c r="F132" t="inlineStr">
        <is>
          <t>3</t>
        </is>
      </c>
      <c r="G132" t="inlineStr">
        <is>
          <t>0</t>
        </is>
      </c>
      <c r="H132" t="inlineStr">
        <is>
          <t>0</t>
        </is>
      </c>
      <c r="I132" t="inlineStr">
        <is>
          <t>4¹, 8¹</t>
        </is>
      </c>
      <c r="J132" t="n">
        <v>2</v>
      </c>
      <c r="K132" t="inlineStr">
        <is>
          <t>1³</t>
        </is>
      </c>
      <c r="L132" t="inlineStr">
        <is>
          <t>4C⁰</t>
        </is>
      </c>
      <c r="M132" t="inlineStr">
        <is>
          <t>8B¹, 8C¹, 16B², 24A³, 24C³, 40A⁵, 40C⁵, 56A⁷, 56C⁷, 40D⁹, 88A¹¹, 88C¹¹, 104B¹³, 136B¹⁷, 152B¹⁹, 184B²³</t>
        </is>
      </c>
      <c r="N132" t="inlineStr">
        <is>
          <t>1A⁰, 2B⁰, 4C⁰</t>
        </is>
      </c>
      <c r="O132" t="inlineStr">
        <is>
          <t>24C¹⁰, 16A¹¹, 48I²¹, 48AY²¹, 48A⁷, 48T¹¹, 48R¹¹, 40X¹⁷, 48D¹⁰, 24M¹⁹, 64A¹⁵, 40J¹⁷, 32B⁴, 96B¹², 48AH²¹, 96B²⁰, 160A²⁰, 40A⁹, 48Z¹⁹, 48CF²¹, 80C²¹, 104B¹³, 56C⁷, 48S¹³, 96AJ²³, 48L¹³, 80Q²¹, 40M¹⁷, 56J¹³, 48BS²¹, 96B²², 24AO¹⁷, 48N¹¹, 32A¹¹, 24E¹⁰, 48I¹¹, 72L¹⁷, 96F¹⁵, 24S⁹, 32C²¹, 32H¹¹, 48BK²¹, 32C⁷, 48AT²¹, 16I³, 32G¹³, 48B²¹, 48CD²¹, 96AA²³, 48A¹¹, 24AI⁹, 32D⁷, 24G¹⁹, 48Q²¹, 48BQ²¹, 136B¹⁷, 16E⁹, 56H¹³, 32B¹³, 16D⁹, 24A³, 32G⁷, 96Z²³, 48AV²¹, 48BE²¹, 32K⁷, 64F²¹, 80Z²¹, 16B⁷, 24F¹⁷, 48A¹⁹, 40P⁹, 160B²⁰, 48P¹¹, 48B¹¹, 56E¹³, 72N¹⁷, 48C⁶, 96T²³, 48G²¹, 32P¹³, 72C⁹, 32R²¹, 48BV²¹, 56K¹³, 48BR²¹, 16E³, 16D², 40E¹⁹, 72J²¹, 24U¹⁷, 80B²¹, 80P²¹, 40B⁹, 48D¹³, 40G¹⁹, 168B²³, 40F⁹, 96K¹⁵, 40J⁹, 8B¹, 96Y²³, 176A²³, 24C³, 40AD¹⁷, 48N²¹, 72D¹¹, 96D¹², 72I¹⁵, 48K²¹, 32F²³, 56A¹³, 48A¹³, 72G¹⁷, 32A¹⁹, 96AH²³, 96AD²³, 24N⁹, 24L¹⁹, 64A¹⁹, 24AF⁹, 48B⁷, 40G⁹, 40D¹⁷, 24P¹⁹, 48M¹¹, 48H⁷, 80D¹¹, 24AH⁹, 32L¹³, 48R²¹, 48L²¹, 48BL²¹, 32A⁴, 48D²², 160C²³, 40A¹³, 32C¹³, 72C¹⁷, 24AP¹⁷, 32E¹³, 80A²¹, 48A²³, 48A²⁰, 96AB²³, 32F¹³, 80I¹⁹, 32D²¹, 144B¹⁸, 64L¹⁵, 16C⁹, 144A²³, 48J¹¹, 16H⁵, 72C¹¹, 168F²³, 8B², 24Q¹⁷, 40D⁹, 8A⁵, 24R⁹, 48AL²¹, 24D⁹, 32F²¹, 64B¹⁵, 32H¹³, 96AF²³, 48AJ²¹, 88A¹¹, 32E²¹, 96R²³, 80T²¹, 24Q¹⁹, 24E⁹, 32Q²¹, 144A²¹, 96I²³, 72I²¹, 48AQ²¹, 80S¹⁹, 40Y¹⁷, 32B²¹, 176B²³, 24Q⁹, 96W²³, 32T¹³, 48P²¹, 24R¹⁹, 8G¹, 48BN²¹, 112C¹⁴, 64D²¹, 40A⁵, 144J²³, 16D¹¹, 48N¹³, 48F¹¹, 40AQ¹⁷, 80J¹⁹, 24V¹⁷, 48B¹³, 56B¹³, 64E¹⁵, 8K¹, 80A¹⁹, 80Q¹⁹, 112E¹⁵, 96F²³, 16C²¹, 24I⁵, 144L²¹, 24D⁵, 32E¹⁷, 16A⁵, 48D¹⁹, 48CQ²¹, 96L²³, 48BJ²¹, 80S²¹, 24D¹⁹, 160B²³, 24I²¹, 16E²¹, 56A⁷, 72A⁹, 96O²³, 24A⁵, 40C⁵, 96AG²³, 88B²¹, 88A²¹, 24I¹⁷, 88G²¹, 72H²¹, 96E¹⁵, 120B¹⁷, 144O²³, 16B¹⁷, 16F⁹, 48B⁶, 48O²¹, 48A²¹, 16O⁵, 96S²³, 48AN²¹, 48J²¹, 72C²¹, 184B²³, 24K¹⁷, 144D²³, 80G²¹, 72G²¹, 48AK²¹, 40Z¹⁷, 96E²³, 48X²¹, 16B³, 24J¹⁷, 80AE²¹, 144I²³, 96AE²³, 40M⁹, 112A¹⁵, 40AC¹⁷, 16G⁹, 48E⁷, 144B²³, 96P²³, 8C¹, 80U²¹, 48V¹¹, 48AM²¹, 80Y²¹, 40A¹⁷, 32B⁹, 64C¹⁵, 24C⁹, 32A¹³, 80B¹⁹, 160D²³, 96C¹², 56D¹³, 16A⁴, 16B⁶, 40AB¹⁷, 80J²¹, 48J¹³, 48Y¹⁹, 72D²¹, 32E⁷, 16A³, 24AQ¹⁷, 48R¹⁹, 144I²¹, 24A²¹, 24M⁹, 32A²¹, 48CB²¹, 48S²¹, 8F¹, 16A¹⁷, 48M¹³, 88F²¹, 96X²³, 72D¹⁷, 48D¹¹, 24G¹¹, 72J¹⁷, 48C²², 56F¹³, 96D²³, 88C¹¹, 48BT²¹, 16B²¹, 96G²³, 48AB¹¹, 96C²³, 24AB⁹, 176H²³, 40G¹⁷, 96J²³, 48G¹⁹, 24K⁵, 32C⁴, 8A³, 120B¹⁹, 24AS¹⁷, 24N¹⁷, 24O¹⁷, 24AN¹⁷, 144D¹⁸, 16H³, 16B⁵, 16B⁹, 96L¹⁵, 48B¹⁹, 72F¹⁷, 72R¹⁷, 16C¹³, 176E²³, 112B¹⁵, 144P²³, 48AP²¹, 48AG²¹, 24C¹⁷, 48U¹¹, 24B⁵, 24F⁹, 48AO²¹, 32F⁷, 16D⁵, 16M⁵, 24AD⁹, 96K²³, 48B²⁰, 48AQ¹⁹, 24D²¹, 56A¹⁹, 56C¹⁹, 16B², 48AZ²¹, 64A²³, 40C¹⁸, 16B¹³, 80I²¹, 48F²¹, 48AR¹⁹, 48CE²¹, 24A¹⁹, 96A²⁰, 176B²², 16D²¹, 16O³, 32A⁹, 96Q²³, 24B⁹, 48Y¹¹, 80F¹⁹, 96AK²³, 48F¹³, 96AC²³, 48I¹³, 80G¹⁹, 24M⁵, 48V¹⁹, 16A⁹, 24T¹⁷, 48BA²¹, 32M¹³, 80B¹⁰, 120A¹⁵, 32D¹³, 144C²³, 96B²³, 48CN²¹, 48E¹³, 24G²¹, 72H¹⁷, 8B³, 24F²¹, 80C¹¹, 16C⁵, 48O¹¹, 24AG⁹, 112H¹⁵, 16A²¹, 112B¹⁴, 120B¹⁵, 48CP²¹, 72B¹⁷, 32A¹⁷, 40AE¹⁷, 64F¹⁵, 24E⁵, 24F¹⁹, 40F¹⁷, 24M¹⁷, 48AI²¹, 24J⁹, 120D²¹, 48U¹⁹, 24E¹⁷, 72T¹⁷, 32L⁷, 96D²², 24G⁵, 24H¹¹, 16D³, 24B¹⁷, 40AF¹⁷, 168A²¹, 152B¹⁹, 40V¹⁷, 48D²³, 40B¹⁷, 64D¹⁵, 96A¹², 160A²³, 80B¹⁸, 88D²¹, 144C¹⁸, 48E²¹, 80D²¹, 48C¹³, 144B²¹, 32B⁷, 32B⁶, 48C¹⁰, 48BM²¹, 48S¹¹, 64K¹⁵</t>
        </is>
      </c>
    </row>
    <row r="133">
      <c r="A133">
        <f>HYPERLINK("https://mathstats.uncg.edu/sites/pauli/congruence/csg1.html#group8B1", "8B¹")</f>
        <v/>
      </c>
      <c r="B133" t="n">
        <v>1</v>
      </c>
      <c r="C133" t="inlineStr"/>
      <c r="D133" t="inlineStr">
        <is>
          <t>24</t>
        </is>
      </c>
      <c r="E133" t="inlineStr">
        <is>
          <t>1</t>
        </is>
      </c>
      <c r="F133" t="inlineStr">
        <is>
          <t>3</t>
        </is>
      </c>
      <c r="G133" t="inlineStr">
        <is>
          <t>0</t>
        </is>
      </c>
      <c r="H133" t="inlineStr">
        <is>
          <t>0</t>
        </is>
      </c>
      <c r="I133" t="inlineStr">
        <is>
          <t>4², 8²</t>
        </is>
      </c>
      <c r="J133" t="n">
        <v>4</v>
      </c>
      <c r="K133" t="inlineStr">
        <is>
          <t>1³</t>
        </is>
      </c>
      <c r="L133" t="inlineStr">
        <is>
          <t>4E⁰, 8B⁰, 8A¹</t>
        </is>
      </c>
      <c r="M133" t="inlineStr">
        <is>
          <t>8F¹, 8G¹, 16A³, 16B³, 16D³, 24A⁵, 24I⁵, 40A⁹, 40J⁹, 56D¹³, 56H¹³, 40D¹⁷, 88A²¹, 88D²¹</t>
        </is>
      </c>
      <c r="N133" t="inlineStr">
        <is>
          <t>2A⁰, 8A¹, 4C⁰, 8B⁰, 2B⁰, 4E⁰, 4B⁰, 1A⁰, 2C⁰</t>
        </is>
      </c>
      <c r="O133" t="inlineStr">
        <is>
          <t>16A¹¹, 96O²³, 48I²¹, 24A⁵, 40X¹⁷, 88A²¹, 64A¹⁵, 24I¹⁷, 16B¹⁷, 48AH²¹, 16F⁹, 40A⁹, 48O²¹, 16O⁵, 48CF²¹, 48AN²¹, 80C²¹, 48J²¹, 72C²¹, 80Q²¹, 32A¹¹, 48BS²¹, 24AO¹⁷, 80G²¹, 48I¹¹, 48AK²¹, 96E²³, 16B³, 32C²¹, 24S⁹, 32C⁷, 24J¹⁷, 16I³, 32G¹³, 48CD²¹, 16G⁹, 48A¹¹, 96P²³, 32D⁷, 48AM²¹, 40A¹⁷, 32B⁹, 64C¹⁵, 48Q²¹, 80B¹⁹, 24C⁹, 48BQ²¹, 24G¹⁹, 32A¹³, 56H¹³, 16E⁹, 56D¹³, 16D⁹, 32B¹³, 32G⁷, 48J¹³, 64F²¹, 72D²¹, 32E⁷, 16A³, 24AQ¹⁷, 48R¹⁹, 24A²¹, 32A²¹, 16B⁷, 48CB²¹, 48S²¹, 8F¹, 24F¹⁷, 16A¹⁷, 48A¹⁹, 48B¹¹, 72N¹⁷, 48D¹¹, 96D²³, 32R²¹, 16B²¹, 96G²³, 96C²³, 48BR²¹, 24AB⁹, 40G¹⁷, 96J²³, 24U¹⁷, 48G¹⁹, 80P²¹, 8A³, 48D¹³, 40J⁹, 24AS¹⁷, 24AN¹⁷, 16H³, 40AD¹⁷, 48N²¹, 16B⁵, 16B⁹, 48B¹⁹, 48K²¹, 48A¹³, 16C¹³, 48AP²¹, 48AG²¹, 24C¹⁷, 64A¹⁹, 24AF⁹, 40D¹⁷, 24F⁹, 48AO²¹, 48M¹¹, 32F⁷, 16D⁵, 16M⁵, 24AH⁹, 32L¹³, 24AD⁹, 96K²³, 48R²¹, 48L²¹, 32C¹³, 24D²¹, 72C¹⁷, 24AP¹⁷, 32E¹³, 16B¹³, 80I²¹, 48F²¹, 32F¹³, 48AR¹⁹, 48CE²¹, 16C⁹, 24A¹⁹, 16D²¹, 16O³, 32A⁹, 24Q¹⁷, 80F¹⁹, 8A⁵, 48AL²¹, 48I¹³, 32F²¹, 64B¹⁵, 24D⁹, 32H¹³, 48AJ²¹, 16A⁹, 32M¹³, 24T¹⁷, 32E²¹, 32D¹³, 96B²³, 24G²¹, 32Q²¹, 96I²³, 8B³, 24F²¹, 16C⁵, 24AG⁹, 16A²¹, 48CP²¹, 40AE¹⁷, 32A¹⁷, 40Y¹⁷, 64F¹⁵, 24F¹⁹, 32B²¹, 32T¹³, 48P²¹, 8G¹, 48AI²¹, 24J⁹, 64D²¹, 32L⁷, 48F¹¹, 16D³, 24V¹⁷, 48B¹³, 24B¹⁷, 64E¹⁵, 80A¹⁹, 8K¹, 40V¹⁷, 64D¹⁵, 96F²³, 16C²¹, 24I⁵, 32E¹⁷, 88D²¹, 16A⁵, 48E²¹, 48D¹⁹, 48C¹³, 48CQ²¹, 80D²¹, 32B⁷, 32A¹⁹, 32D²¹, 96L²³, 24D¹⁹, 16E²¹</t>
        </is>
      </c>
    </row>
    <row r="134">
      <c r="A134">
        <f>HYPERLINK("https://mathstats.uncg.edu/sites/pauli/congruence/csg1.html#group8C1", "8C¹")</f>
        <v/>
      </c>
      <c r="B134" t="n">
        <v>1</v>
      </c>
      <c r="C134" t="inlineStr"/>
      <c r="D134" t="inlineStr">
        <is>
          <t>24</t>
        </is>
      </c>
      <c r="E134" t="inlineStr">
        <is>
          <t>1</t>
        </is>
      </c>
      <c r="F134" t="inlineStr">
        <is>
          <t>6</t>
        </is>
      </c>
      <c r="G134" t="inlineStr">
        <is>
          <t>0</t>
        </is>
      </c>
      <c r="H134" t="inlineStr">
        <is>
          <t>0</t>
        </is>
      </c>
      <c r="I134" t="inlineStr">
        <is>
          <t>4², 8²</t>
        </is>
      </c>
      <c r="J134" t="n">
        <v>4</v>
      </c>
      <c r="K134" t="inlineStr">
        <is>
          <t>1², 2²</t>
        </is>
      </c>
      <c r="L134" t="inlineStr">
        <is>
          <t>4F⁰, 8D⁰, 8A¹</t>
        </is>
      </c>
      <c r="M134" t="inlineStr">
        <is>
          <t>8F¹, 8B², 16D², 16E³, 24B⁵, 24K⁵, 40B⁹, 40P⁹, 56F¹³, 56J¹³, 40M¹⁷, 88B²¹, 88F²¹</t>
        </is>
      </c>
      <c r="N134" t="inlineStr">
        <is>
          <t>8A¹, 8D⁰, 4A⁰, 4C⁰, 2B⁰, 4F⁰, 1A⁰</t>
        </is>
      </c>
      <c r="O134" t="inlineStr">
        <is>
          <t>24C¹⁰, 16A¹¹, 48AY²¹, 88B²¹, 40X¹⁷, 48D¹⁰, 24M¹⁹, 72H²¹, 16B¹⁷, 96B²⁰, 48Z¹⁹, 16O⁵, 48CF²¹, 96AJ²³, 40M¹⁷, 56J¹³, 32A¹¹, 48L¹³, 96B²², 24AO¹⁷, 72G²¹, 24E¹⁰, 40Z¹⁷, 32C²¹, 32H¹¹, 24J¹⁷, 48AT²¹, 16I³, 48CD²¹, 24AI⁹, 40A¹⁷, 32B⁹, 24G¹⁹, 48Q²¹, 24C⁹, 32A¹³, 16E⁹, 32B¹³, 16D⁹, 16A⁴, 16B⁶, 40AB¹⁷, 48Y¹⁹, 64F²¹, 32K⁷, 16B⁷, 32A²¹, 24A²¹, 48CB²¹, 8F¹, 24F¹⁷, 40P⁹, 16A¹⁷, 48A¹⁹, 88F²¹, 24G¹¹, 56F¹³, 32P¹³, 48C²², 16B²¹, 48BV²¹, 48AB¹¹, 16E³, 16D², 40E¹⁹, 48G¹⁹, 24K⁵, 32C⁴, 8A³, 40B⁹, 40G¹⁹, 24N¹⁷, 24AN¹⁷, 16H³, 16B⁵, 16B⁹, 48B¹⁹, 32F²³, 72F¹⁷, 72R¹⁷, 16C¹³, 24L¹⁹, 96AD²³, 64A¹⁹, 24AF⁹, 24B⁵, 24P¹⁹, 16M⁵, 48L²¹, 48B²⁰, 48BL²¹, 48D²², 32C¹³, 24D²¹, 40C¹⁸, 64A²³, 24AP¹⁷, 48AZ²¹, 16B¹³, 48A²³, 48A²⁰, 48F²¹, 32F¹³, 32D²¹, 64L¹⁵, 48CE²¹, 16C⁹, 96A²⁰, 24A¹⁹, 48J¹¹, 16H⁵, 16D²¹, 32A⁹, 8B², 48Y¹¹, 96AK²³, 8A⁵, 24R⁹, 48F¹³, 96AC²³, 32F²¹, 80G¹⁹, 48V¹⁹, 16A⁹, 32E²¹, 48BA²¹, 80T²¹, 24Q¹⁹, 48CN²¹, 48E¹³, 24G²¹, 8B³, 24F²¹, 48O¹¹, 80S¹⁹, 48AQ²¹, 16A²¹, 32A¹⁷, 32B²¹, 24F¹⁹, 24Q⁹, 32T¹³, 48BN²¹, 48C¹⁰, 64D²¹, 48U¹⁹, 24E¹⁷, 32L⁷, 96D²², 16D¹¹, 24H¹¹, 24B¹⁷, 8K¹, 48D²³, 80Q¹⁹, 16C²¹, 80B¹⁸, 32E¹⁷, 16A⁵, 48E²¹, 48D¹⁹, 32B⁶, 32A¹⁹, 48BM²¹, 80S²¹, 64K¹⁵, 24D¹⁹, 16E²¹, 24I²¹</t>
        </is>
      </c>
    </row>
    <row r="135">
      <c r="A135">
        <f>HYPERLINK("https://mathstats.uncg.edu/sites/pauli/congruence/csg1.html#group8D1", "8D¹")</f>
        <v/>
      </c>
      <c r="B135" t="n">
        <v>1</v>
      </c>
      <c r="C135" t="inlineStr"/>
      <c r="D135" t="inlineStr">
        <is>
          <t>24</t>
        </is>
      </c>
      <c r="E135" t="inlineStr">
        <is>
          <t>1</t>
        </is>
      </c>
      <c r="F135" t="inlineStr">
        <is>
          <t>12</t>
        </is>
      </c>
      <c r="G135" t="inlineStr">
        <is>
          <t>2</t>
        </is>
      </c>
      <c r="H135" t="inlineStr">
        <is>
          <t>0</t>
        </is>
      </c>
      <c r="I135" t="inlineStr">
        <is>
          <t>8³</t>
        </is>
      </c>
      <c r="J135" t="n">
        <v>3</v>
      </c>
      <c r="K135" t="inlineStr">
        <is>
          <t>2², 4²</t>
        </is>
      </c>
      <c r="L135" t="inlineStr">
        <is>
          <t>4F⁰, 8A⁰</t>
        </is>
      </c>
      <c r="M135" t="inlineStr">
        <is>
          <t>8H¹, 8A², 8B², 16G³, 24H⁴, 24B⁶, 40E⁹, 40R⁹, 56K¹², 56A¹⁴, 40Q¹⁷, 88D²⁰, 88A²²</t>
        </is>
      </c>
      <c r="N135" t="inlineStr">
        <is>
          <t>4A⁰, 4C⁰, 8A⁰, 2B⁰, 4F⁰, 1A⁰</t>
        </is>
      </c>
      <c r="O135" t="inlineStr">
        <is>
          <t>24C¹⁰, 16A¹¹, 16B¹⁹, 56J²³, 16P³, 48L¹⁸, 24AB¹⁷, 24F¹¹, 72L¹⁵, 16B⁴, 56H²⁴, 24B¹¹, 24B⁶, 40E⁹, 16I⁹, 32P²¹, 48E¹⁸, 48AM¹⁷, 48H²⁰, 32H¹¹, 16G³, 48B²², 48BW²¹, 88A²², 56A¹⁴, 48C²⁰, 48AV¹⁹, 48G¹⁰, 48B²³, 32K⁹, 48S¹⁷, 16K³, 32A²⁴, 32G²³, 24C¹⁶, 64G²¹, 32B¹², 24L⁸, 16H⁹, 32B²⁴, 72O¹⁹, 40AN¹⁷, 24A¹⁰, 16D⁹, 16A⁴, 16B⁶, 32B¹⁸, 32B²³, 56J²⁴, 48BO²¹, 16B⁷, 32A²¹, 32R⁹, 48F¹⁰, 32I²¹, 16A¹⁷, 16A¹⁰, 48BP²¹, 32E¹¹, 16B¹⁰, 24N⁸, 24G¹¹, 48C²², 32P¹³, 32A²³, 16D⁷, 32W²¹, 16B²¹, 32L⁹, 48BO¹⁷, 16A¹⁹, 32C²⁴, 40G¹⁹, 72A²², 16C¹⁰, 24AK¹⁷, 72B²², 24J¹⁹, 16A⁶, 24J²¹, 8A², 24AF¹⁷, 32B²², 32F²³, 16I⁵, 24C¹⁹, 32B¹⁰, 48T¹⁷, 16C¹¹, 16J⁵, 48AU¹⁹, 24P¹⁹, 32F⁹, 32M²¹, 48G²⁰, 80AF²¹, 48A¹⁴, 80K¹⁹, 48B²⁰, 48BL²¹, 48S¹⁹, 48D²², 8H¹, 32R¹³, 48A²², 40C¹⁸, 64A²³, 16B¹³, 24P¹⁵, 48A²³, 24I¹⁹, 24Y⁹, 48A²⁰, 32Q⁹, 16Q³, 16C⁶, 16B¹¹, 24K⁷, 16C⁹, 48BN¹⁷, 16H⁵, 16D²¹, 8B², 80AG²¹, 64A²², 8A⁵, 16J⁹, 24H⁴, 16F²¹, 32C¹⁰, 32E²³, 16A¹⁵, 24Q¹⁹, 48D²⁰, 40R⁹, 24C²¹, 56K¹², 24G²¹, 40A¹⁸, 48I²⁰, 48BX²¹, 8B³, 32A²², 32D¹⁹, 40D¹⁹, 48AQ²¹, 24A¹⁶, 24B²¹, 8C², 32X²¹, 32B²¹, 40AJ¹⁷, 40AM¹⁷, 40Q¹⁷, 48C²³, 88D²⁰, 32E¹⁹, 32A¹⁸, 32J²¹, 16D¹¹, 48T¹⁹, 48H¹⁵, 48D²³, 32A¹², 24N¹⁹, 48T²¹, 32D²⁴, 40H¹⁹, 32I¹³, 24X⁹, 24AE¹⁷, 48AB¹⁹, 48BY²¹, 40N¹⁷, 32A¹⁹, 64B²², 32D²¹, 16E⁵, 40B¹⁹, 24D¹⁹, 16E²¹, 24I²¹</t>
        </is>
      </c>
    </row>
    <row r="136">
      <c r="A136">
        <f>HYPERLINK("https://mathstats.uncg.edu/sites/pauli/congruence/csg1.html#group8E1", "8E¹")</f>
        <v/>
      </c>
      <c r="B136" t="n">
        <v>1</v>
      </c>
      <c r="C136" t="inlineStr"/>
      <c r="D136" t="inlineStr">
        <is>
          <t>32</t>
        </is>
      </c>
      <c r="E136" t="inlineStr">
        <is>
          <t>1</t>
        </is>
      </c>
      <c r="F136" t="inlineStr">
        <is>
          <t>16</t>
        </is>
      </c>
      <c r="G136" t="inlineStr">
        <is>
          <t>0</t>
        </is>
      </c>
      <c r="H136" t="inlineStr">
        <is>
          <t>2</t>
        </is>
      </c>
      <c r="I136" t="inlineStr">
        <is>
          <t>8⁴</t>
        </is>
      </c>
      <c r="J136" t="n">
        <v>4</v>
      </c>
      <c r="K136" t="inlineStr">
        <is>
          <t>4⁴</t>
        </is>
      </c>
      <c r="L136" t="inlineStr">
        <is>
          <t>4D⁰, 8F⁰</t>
        </is>
      </c>
      <c r="M136" t="inlineStr">
        <is>
          <t>8J¹, 8A³, 24A⁶, 16A⁷, 24C⁷, 24E⁷, 40C¹¹, 40E¹³, 56A¹⁷, 56C¹⁷, 40A²³</t>
        </is>
      </c>
      <c r="N136" t="inlineStr">
        <is>
          <t>2A⁰, 8F⁰, 1A⁰, 4A⁰, 4D⁰</t>
        </is>
      </c>
      <c r="O136" t="inlineStr">
        <is>
          <t>16A²¹, 24A⁶, 24H¹³, 40A²³, 24E¹³, 24A²¹, 24D¹³, 40C²¹, 8J¹, 56A¹⁷, 16A¹⁷, 24C⁷, 16B¹³, 16B²¹, 24G¹³, 16K⁵, 40E¹³, 72B²⁴, 24F¹³, 24I¹³, 24A¹⁹, 8A³, 16A⁷, 16A¹³, 40C¹¹, 8A⁵, 24A²⁴, 24E⁷, 16C²¹, 32F²¹, 16B⁹, 16A⁹, 24C¹¹, 32E²¹, 72E²³, 32S¹³, 56C¹⁷</t>
        </is>
      </c>
    </row>
    <row r="137">
      <c r="A137">
        <f>HYPERLINK("https://mathstats.uncg.edu/sites/pauli/congruence/csg1.html#group8F1", "8F¹")</f>
        <v/>
      </c>
      <c r="B137" t="n">
        <v>1</v>
      </c>
      <c r="C137" t="inlineStr"/>
      <c r="D137" t="inlineStr">
        <is>
          <t>48</t>
        </is>
      </c>
      <c r="E137" t="inlineStr">
        <is>
          <t>1</t>
        </is>
      </c>
      <c r="F137" t="inlineStr">
        <is>
          <t>3</t>
        </is>
      </c>
      <c r="G137" t="inlineStr">
        <is>
          <t>0</t>
        </is>
      </c>
      <c r="H137" t="inlineStr">
        <is>
          <t>0</t>
        </is>
      </c>
      <c r="I137" t="inlineStr">
        <is>
          <t>4⁴, 8⁴</t>
        </is>
      </c>
      <c r="J137" t="n">
        <v>8</v>
      </c>
      <c r="K137" t="inlineStr">
        <is>
          <t>1³</t>
        </is>
      </c>
      <c r="L137" t="inlineStr">
        <is>
          <t>4G⁰, 8G⁰, 8H⁰, 8B¹, 8C¹</t>
        </is>
      </c>
      <c r="M137" t="inlineStr">
        <is>
          <t>8K¹, 8A³, 8B³, 16H³, 16I³, 16A⁵, 16B⁵, 24C⁹, 24AF⁹, 40A¹⁷, 40X¹⁷</t>
        </is>
      </c>
      <c r="N137" t="inlineStr">
        <is>
          <t>2A⁰, 8A¹, 8D⁰, 4C⁰, 8B⁰, 4G⁰, 2B⁰, 8B¹, 8C⁰, 4E⁰, 4B⁰, 1A⁰, 8H⁰, 8C¹, 8G⁰, 4A⁰, 4D⁰, 4F⁰, 2C⁰</t>
        </is>
      </c>
      <c r="O137" t="inlineStr">
        <is>
          <t>16A¹¹, 16M⁵, 40X¹⁷, 48L²¹, 32C¹³, 16B¹⁷, 24D²¹, 16E²¹, 24AP¹⁷, 16B¹³, 16O⁵, 48CF²¹, 48F²¹, 32F¹³, 32A¹¹, 24AO¹⁷, 48CE²¹, 16C⁹, 24A¹⁹, 16D²¹, 32A⁹, 32C²¹, 24J¹⁷, 16I³, 8A⁵, 32F²¹, 48CD²¹, 16A⁹, 32E²¹, 40A¹⁷, 32B⁹, 24G¹⁹, 48Q²¹, 32A¹³, 24C⁹, 16E⁹, 24G²¹, 32B¹³, 16D⁹, 8B³, 24F²¹, 16A²¹, 64F²¹, 16B⁷, 32A²¹, 24A²¹, 32A¹⁷, 48CB²¹, 32B²¹, 24F¹⁹, 24F¹⁷, 16A¹⁷, 48A¹⁹, 32T¹³, 16B²¹, 64D²¹, 32L⁷, 48G¹⁹, 24B¹⁷, 8A³, 8K¹, 64A¹⁹, 24AN¹⁷, 16H³, 16C²¹, 16B⁵, 32E¹⁷, 16B⁹, 48B¹⁹, 16A⁵, 48E²¹, 48D¹⁹, 16C¹³, 32A¹⁹, 32D²¹, 24D¹⁹, 24AF⁹</t>
        </is>
      </c>
    </row>
    <row r="138">
      <c r="A138">
        <f>HYPERLINK("https://mathstats.uncg.edu/sites/pauli/congruence/csg1.html#group8G1", "8G¹")</f>
        <v/>
      </c>
      <c r="B138" t="n">
        <v>1</v>
      </c>
      <c r="C138" t="inlineStr"/>
      <c r="D138" t="inlineStr">
        <is>
          <t>48</t>
        </is>
      </c>
      <c r="E138" t="inlineStr">
        <is>
          <t>1</t>
        </is>
      </c>
      <c r="F138" t="inlineStr">
        <is>
          <t>6</t>
        </is>
      </c>
      <c r="G138" t="inlineStr">
        <is>
          <t>0</t>
        </is>
      </c>
      <c r="H138" t="inlineStr">
        <is>
          <t>0</t>
        </is>
      </c>
      <c r="I138" t="inlineStr">
        <is>
          <t>4⁴, 8⁴</t>
        </is>
      </c>
      <c r="J138" t="n">
        <v>8</v>
      </c>
      <c r="K138" t="inlineStr">
        <is>
          <t>1⁴, 2¹</t>
        </is>
      </c>
      <c r="L138" t="inlineStr">
        <is>
          <t>8J⁰, 8L⁰, 8B¹</t>
        </is>
      </c>
      <c r="M138" t="inlineStr">
        <is>
          <t>8K¹, 16O³, 16C⁵, 16D⁵, 24D⁹, 24AH⁹, 40G¹⁷, 40AE¹⁷</t>
        </is>
      </c>
      <c r="N138" t="inlineStr">
        <is>
          <t>2A⁰, 8A¹, 4C⁰, 8B⁰, 8L⁰, 2B⁰, 8B¹, 4E⁰, 1A⁰, 4B⁰, 8J⁰, 2C⁰</t>
        </is>
      </c>
      <c r="O138" t="inlineStr">
        <is>
          <t>16D⁵, 16C⁵, 48I²¹, 16M⁵, 24AH⁹, 48R¹⁹, 24AQ¹⁷, 48CP²¹, 40AE¹⁷, 32L¹³, 32A¹⁷, 16A¹⁷, 16B¹⁷, 48AH²¹, 16F⁹, 32T¹³, 32E¹³, 16B¹³, 16O⁵, 32R²¹, 48J²¹, 16B²¹, 40G¹⁷, 48AR¹⁹, 24AO¹⁷, 24U¹⁷, 24V¹⁷, 24B¹⁷, 8K¹, 16O³, 32C²¹, 24AS¹⁷, 8A⁵, 48AL²¹, 32G¹³, 24D⁹, 16G⁹, 32E¹⁷, 32H¹³, 32M¹³, 32D¹³, 48CQ²¹, 16C¹³, 16E⁹, 32Q²¹</t>
        </is>
      </c>
    </row>
    <row r="139">
      <c r="A139">
        <f>HYPERLINK("https://mathstats.uncg.edu/sites/pauli/congruence/csg1.html#group8H1", "8H¹")</f>
        <v/>
      </c>
      <c r="B139" t="n">
        <v>1</v>
      </c>
      <c r="C139" t="inlineStr"/>
      <c r="D139" t="inlineStr">
        <is>
          <t>48</t>
        </is>
      </c>
      <c r="E139" t="inlineStr">
        <is>
          <t>1</t>
        </is>
      </c>
      <c r="F139" t="inlineStr">
        <is>
          <t>12</t>
        </is>
      </c>
      <c r="G139" t="inlineStr">
        <is>
          <t>4</t>
        </is>
      </c>
      <c r="H139" t="inlineStr">
        <is>
          <t>0</t>
        </is>
      </c>
      <c r="I139" t="inlineStr">
        <is>
          <t>8⁶</t>
        </is>
      </c>
      <c r="J139" t="n">
        <v>6</v>
      </c>
      <c r="K139" t="inlineStr">
        <is>
          <t>2², 4²</t>
        </is>
      </c>
      <c r="L139" t="inlineStr">
        <is>
          <t>8H⁰, 8K⁰, 8D¹</t>
        </is>
      </c>
      <c r="M139" t="inlineStr">
        <is>
          <t>8C², 8B³, 16K³, 16P³, 16Q³, 16B⁴, 16E⁵, 16I⁵, 16J⁵, 24K⁷, 24F¹¹, 40N¹⁷, 40AM¹⁷, 56J²³</t>
        </is>
      </c>
      <c r="N139" t="inlineStr">
        <is>
          <t>8H⁰, 8D⁰, 4A⁰, 4C⁰, 8B⁰, 8A⁰, 1A⁰, 2B⁰, 4F⁰, 8K⁰, 8D¹</t>
        </is>
      </c>
      <c r="O139" t="inlineStr">
        <is>
          <t>48AU¹⁹, 16A¹¹, 16B¹⁹, 32F⁹, 56J²³, 32M²¹, 16P³, 48S¹⁹, 24F¹¹, 48L¹⁸, 32R¹³, 16B⁴, 16B¹³, 24P¹⁵, 32Q⁹, 16Q³, 16C⁶, 16I⁹, 32P²¹, 16B¹¹, 24K⁷, 48E¹⁸, 16C⁹, 48BN¹⁷, 48AM¹⁷, 16D²¹, 64A²², 16J⁹, 48AV¹⁹, 8A⁵, 48B²³, 32K⁹, 16K³, 48S¹⁷, 32C¹⁰, 32E²³, 24C¹⁶, 64G²¹, 16F²¹, 16A¹⁵, 32A²⁴, 32B¹², 32G²³, 16H⁹, 32B²⁴, 24G²¹, 16D⁹, 8B³, 32A²², 32D¹⁹, 32B¹⁸, 32B²³, 8C², 24A¹⁶, 32A²¹, 32X²¹, 16B⁷, 16J⁵, 32R⁹, 32B²¹, 40AM¹⁷, 32I²¹, 48C²³, 16A¹⁷, 16A¹⁰, 32E¹¹, 16B¹⁰, 32E¹⁹, 32A²³, 16D⁷, 32W²¹, 16B²¹, 32A¹⁸, 32L⁹, 48BO¹⁷, 32J²¹, 48T¹⁹, 16A¹⁹, 32C²⁴, 48H¹⁵, 32A¹², 48T²¹, 32D²⁴, 16C¹⁰, 24J²¹, 24AF¹⁷, 32I¹³, 32B²², 16I⁵, 32B¹⁰, 48T¹⁷, 40N¹⁷, 48AB¹⁹, 32A¹⁹, 64B²², 32D²¹, 16C¹¹, 16E⁵, 24D¹⁹, 16E²¹</t>
        </is>
      </c>
    </row>
    <row r="140">
      <c r="A140">
        <f>HYPERLINK("https://mathstats.uncg.edu/sites/pauli/congruence/csg1.html#group8I1", "8I¹")</f>
        <v/>
      </c>
      <c r="B140" t="n">
        <v>1</v>
      </c>
      <c r="C140" t="inlineStr"/>
      <c r="D140" t="inlineStr">
        <is>
          <t>48</t>
        </is>
      </c>
      <c r="E140" t="inlineStr">
        <is>
          <t>1</t>
        </is>
      </c>
      <c r="F140" t="inlineStr">
        <is>
          <t>12</t>
        </is>
      </c>
      <c r="G140" t="inlineStr">
        <is>
          <t>4</t>
        </is>
      </c>
      <c r="H140" t="inlineStr">
        <is>
          <t>0</t>
        </is>
      </c>
      <c r="I140" t="inlineStr">
        <is>
          <t>8⁶</t>
        </is>
      </c>
      <c r="J140" t="n">
        <v>6</v>
      </c>
      <c r="K140" t="inlineStr">
        <is>
          <t>1², 2¹, 4²</t>
        </is>
      </c>
      <c r="L140" t="inlineStr">
        <is>
          <t>8F⁰, 8H⁰</t>
        </is>
      </c>
      <c r="M140" t="inlineStr">
        <is>
          <t>8C², 8A³, 16L³, 16C⁴, 16F⁵, 24L⁷, 24I¹¹, 40O¹⁷, 40AP¹⁷, 56N²³</t>
        </is>
      </c>
      <c r="N140" t="inlineStr">
        <is>
          <t>8H⁰, 8F⁰, 8D⁰, 4A⁰, 4C⁰, 8B⁰, 2B⁰, 4F⁰, 1A⁰</t>
        </is>
      </c>
      <c r="O140" t="inlineStr">
        <is>
          <t>32C²³, 24I¹¹, 40AP¹⁷, 16F⁵, 16B¹⁹, 32D²³, 32D¹⁹, 32M⁹, 16A²¹, 32M²¹, 64Q²¹, 32B¹⁸, 8C², 24A¹⁶, 24A²¹, 32D¹¹, 16K⁹, 32J¹³, 48AO¹⁷, 32F¹¹, 16L⁹, 16A¹⁷, 48M¹⁸, 56N²³, 48U²¹, 64B²³, 32C¹², 16B¹³, 32E¹⁹, 16D⁷, 24D¹⁶, 24L⁷, 16B²¹, 32A¹⁸, 24AH¹⁷, 16C⁶, 32N⁹, 32P²¹, 48AD¹⁹, 32C¹¹, 24A¹⁹, 16A¹⁹, 8A³, 40O¹⁷, 16C¹⁰, 32G⁹, 8A⁵, 24J²¹, 48I¹⁵, 16C²¹, 32K²¹, 32F²¹, 32L²¹, 16F²¹, 16L³, 16B⁹, 32E²³, 16A⁹, 16A¹⁵, 32E²¹, 48F¹⁸, 16C⁴, 16H⁹, 24R¹⁵, 64P²¹, 64H²¹</t>
        </is>
      </c>
    </row>
    <row r="141">
      <c r="A141">
        <f>HYPERLINK("https://mathstats.uncg.edu/sites/pauli/congruence/csg1.html#group8J1", "8J¹")</f>
        <v/>
      </c>
      <c r="B141" t="n">
        <v>1</v>
      </c>
      <c r="C141" t="inlineStr"/>
      <c r="D141" t="inlineStr">
        <is>
          <t>64</t>
        </is>
      </c>
      <c r="E141" t="inlineStr">
        <is>
          <t>1</t>
        </is>
      </c>
      <c r="F141" t="inlineStr">
        <is>
          <t>16</t>
        </is>
      </c>
      <c r="G141" t="inlineStr">
        <is>
          <t>0</t>
        </is>
      </c>
      <c r="H141" t="inlineStr">
        <is>
          <t>4</t>
        </is>
      </c>
      <c r="I141" t="inlineStr">
        <is>
          <t>8⁸</t>
        </is>
      </c>
      <c r="J141" t="n">
        <v>8</v>
      </c>
      <c r="K141" t="inlineStr">
        <is>
          <t>4⁴</t>
        </is>
      </c>
      <c r="L141" t="inlineStr">
        <is>
          <t>8E⁰, 8M⁰, 8E¹</t>
        </is>
      </c>
      <c r="M141" t="inlineStr">
        <is>
          <t>8A⁵, 16K⁵, 24C¹¹, 16A¹³, 24D¹³, 24I¹³, 40C²¹</t>
        </is>
      </c>
      <c r="N141" t="inlineStr">
        <is>
          <t>2A⁰, 8F⁰, 4A⁰, 4D⁰, 8A⁰, 8E⁰, 8E¹, 8M⁰, 1A⁰</t>
        </is>
      </c>
      <c r="O141" t="inlineStr">
        <is>
          <t>24C¹¹, 16A¹³, 16B¹³, 24D¹³, 16B²¹, 32S¹³, 40C²¹, 16K⁵, 8A⁵, 24I¹³, 16A¹⁷</t>
        </is>
      </c>
    </row>
    <row r="142">
      <c r="A142">
        <f>HYPERLINK("https://mathstats.uncg.edu/sites/pauli/congruence/csg1.html#group8K1", "8K¹")</f>
        <v/>
      </c>
      <c r="B142" t="n">
        <v>1</v>
      </c>
      <c r="C142" t="inlineStr"/>
      <c r="D142" t="inlineStr">
        <is>
          <t>96</t>
        </is>
      </c>
      <c r="E142" t="inlineStr">
        <is>
          <t>1</t>
        </is>
      </c>
      <c r="F142" t="inlineStr">
        <is>
          <t>3</t>
        </is>
      </c>
      <c r="G142" t="inlineStr">
        <is>
          <t>0</t>
        </is>
      </c>
      <c r="H142" t="inlineStr">
        <is>
          <t>0</t>
        </is>
      </c>
      <c r="I142" t="inlineStr">
        <is>
          <t>4⁸, 8⁸</t>
        </is>
      </c>
      <c r="J142" t="n">
        <v>16</v>
      </c>
      <c r="K142" t="inlineStr">
        <is>
          <t>1³</t>
        </is>
      </c>
      <c r="L142" t="inlineStr">
        <is>
          <t>8N⁰, 8O⁰, 8P⁰, 8F¹, 8G¹</t>
        </is>
      </c>
      <c r="M142" t="inlineStr">
        <is>
          <t>8A⁵, 16M⁵, 16O⁵, 16E⁹, 24B¹⁷, 24AO¹⁷</t>
        </is>
      </c>
      <c r="N142" t="inlineStr">
        <is>
          <t>2A⁰, 8N⁰, 8A¹, 8D⁰, 4C⁰, 8B⁰, 4G⁰, 2B⁰, 4E⁰, 8L⁰, 8B¹, 4B⁰, 8F¹, 8K⁰, 1A⁰, 8C⁰, 8I⁰, 8H⁰, 8C¹, 8G⁰, 4A⁰, 8G¹, 4D⁰, 4F⁰, 8P⁰, 8J⁰, 2C⁰, 8O⁰</t>
        </is>
      </c>
      <c r="O142" t="inlineStr">
        <is>
          <t>32E¹⁷, 32T¹³, 24B¹⁷, 16B¹³, 16M⁵, 16O⁵, 16B¹⁷, 32C²¹, 16B²¹, 16C¹³, 32A¹⁷, 8A⁵, 16E⁹, 16A¹⁷, 24AO¹⁷</t>
        </is>
      </c>
    </row>
    <row r="143">
      <c r="A143">
        <f>HYPERLINK("https://mathstats.uncg.edu/sites/pauli/congruence/csg1.html#group9A1", "9A¹")</f>
        <v/>
      </c>
      <c r="B143" t="n">
        <v>1</v>
      </c>
      <c r="C143" t="inlineStr"/>
      <c r="D143" t="inlineStr">
        <is>
          <t>12</t>
        </is>
      </c>
      <c r="E143" t="inlineStr">
        <is>
          <t>1</t>
        </is>
      </c>
      <c r="F143" t="inlineStr">
        <is>
          <t>4</t>
        </is>
      </c>
      <c r="G143" t="inlineStr">
        <is>
          <t>0</t>
        </is>
      </c>
      <c r="H143" t="inlineStr">
        <is>
          <t>0</t>
        </is>
      </c>
      <c r="I143" t="inlineStr">
        <is>
          <t>3¹, 9¹</t>
        </is>
      </c>
      <c r="J143" t="n">
        <v>2</v>
      </c>
      <c r="K143" t="inlineStr">
        <is>
          <t>1², 2¹</t>
        </is>
      </c>
      <c r="L143" t="inlineStr">
        <is>
          <t>3B⁰</t>
        </is>
      </c>
      <c r="M143" t="inlineStr">
        <is>
          <t>9C¹, 9D¹, 18B², 18E², 36C⁴, 45A⁵, 45D⁵, 63A⁷, 63B⁷, 45A⁹, 99A¹¹, 99C¹¹, 117A¹³, 153B¹⁷, 171A¹⁹, 207B²³</t>
        </is>
      </c>
      <c r="N143" t="inlineStr">
        <is>
          <t>3B⁰, 1A⁰</t>
        </is>
      </c>
      <c r="O143" t="inlineStr">
        <is>
          <t>72H¹⁹, 27B¹⁰, 27A¹⁹, 18M¹⁰, 36H¹⁰, 9H¹, 63B⁷, 54K¹⁶, 45K¹³, 72H²¹, 18B¹⁶, 72D²², 126D²⁰, 36L²², 90H¹⁵, 36K⁸, 63F¹⁹, 63M¹⁹, 45C¹³, 18E⁴, 144D²³, 36J¹⁹, 54O¹⁶, 144N²³, 54I¹³, 72A¹⁵, 27C⁴, 126A¹⁵, 45A⁵, 18E¹⁰, 36K¹⁰, 36K¹³, 72B²¹, 72B²⁰, 90B¹¹, 144B²³, 18J⁴, 180L²³, 18Q⁴, 9C¹, 36C⁴, 36D¹⁹, 45A¹⁷, 36D⁹, 72P¹⁷, 27A⁷, 144H²³, 54A²², 36I¹⁰, 45F¹⁷, 54N¹⁶, 144H¹⁹, 72D²¹, 18E², 36Q²², 36L¹⁰, 63C¹³, 18F⁴, 90A¹⁹, 36S¹⁰, 72B¹⁰, 72C²², 63A⁷, 36A⁷, 63J¹⁹, 180C²⁰, 27E⁷, 36K²², 99B²¹, 27A²², 63K¹⁹, 99C¹¹, 54G²², 18I⁴, 207B²³, 45M¹³, 36O²², 72J²¹, 180A²⁰, 63L¹⁹, 45D¹³, 144A¹⁶, 72B²², 144F²³, 9A¹⁰, 18B², 72D¹¹, 180B²³, 144F¹⁹, 27B¹⁹, 72L²¹, 144B¹⁹, 18D⁴, 72N²², 18M⁴, 144P²³, 45B¹³, 153B¹⁷, 72B¹¹, 72E⁹, 72F²¹, 63C¹⁹, 144B²², 90D¹¹, 72J¹⁹, 36B¹⁷, 18G¹³, 90D²¹, 144D¹⁹, 18J¹⁰, 144B²⁰, 45A⁹, 72B¹⁵, 45D⁹, 72F¹⁹, 18H¹⁰, 36F¹⁹, 126K²¹, 126A¹⁴, 144F²¹, 63I¹⁹, 198B²³, 45E¹³, 27F¹⁹, 18C¹³, 126B¹⁵, 54T¹⁶, 18D¹⁰, 54A¹⁶, 36B⁵, 36D¹³, 99A¹¹, 90F²¹, 27C¹³, 72L¹⁹, 63B¹⁹, 81A²², 36I¹⁹, 72D¹⁰, 36A⁴, 72L²², 81A¹⁶, 63A¹³, 27E¹⁹, 72B¹⁹, 72A⁸, 36I⁸, 36G¹⁰, 36B¹⁹, 54E¹³, 198D²³, 36B¹⁰, 81C¹⁹, 72N¹⁹, 144L²³, 72E¹⁵, 90B¹⁴, 90B¹⁹, 54H¹⁶, 171A¹⁹, 45F¹³, 27D⁷, 9D¹, 198A²², 117A¹³, 144J²³, 72G⁸, 36C¹⁰, 36Q¹⁰, 36A¹³, 180D²³, 126B¹⁴, 36G⁴, 54G¹⁶, 72D¹⁹, 63H¹⁹, 45D⁵, 180J²³, 45G¹³, 36D¹⁰, 90A¹⁰, 144H²¹, 9B⁴, 36E¹⁹, 54E²², 27B¹⁶, 18F¹⁰</t>
        </is>
      </c>
    </row>
    <row r="144">
      <c r="A144">
        <f>HYPERLINK("https://mathstats.uncg.edu/sites/pauli/congruence/csg1.html#group9B1", "9B¹")</f>
        <v/>
      </c>
      <c r="B144" t="n">
        <v>1</v>
      </c>
      <c r="C144" t="inlineStr"/>
      <c r="D144" t="inlineStr">
        <is>
          <t>18</t>
        </is>
      </c>
      <c r="E144" t="inlineStr">
        <is>
          <t>2</t>
        </is>
      </c>
      <c r="F144" t="inlineStr">
        <is>
          <t>9</t>
        </is>
      </c>
      <c r="G144" t="inlineStr">
        <is>
          <t>2</t>
        </is>
      </c>
      <c r="H144" t="inlineStr">
        <is>
          <t>0</t>
        </is>
      </c>
      <c r="I144" t="inlineStr">
        <is>
          <t>9²</t>
        </is>
      </c>
      <c r="J144" t="n">
        <v>2</v>
      </c>
      <c r="K144" t="inlineStr">
        <is>
          <t>2³, 6²</t>
        </is>
      </c>
      <c r="L144" t="inlineStr">
        <is>
          <t>3C⁰, 9A⁰</t>
        </is>
      </c>
      <c r="M144" t="inlineStr">
        <is>
          <t>9F¹, 9A², 9B², 18G², 18C³, 18E³, 36E⁵, 45A⁷, 45B⁷, 63B⁹, 63A⁹, 63C¹¹, 45J¹³, 99A¹⁵, 99B¹⁵, 99B¹⁷, 117A¹⁹</t>
        </is>
      </c>
      <c r="N144" t="inlineStr">
        <is>
          <t>3C⁰, 3A⁰, 1A⁰, 9A⁰</t>
        </is>
      </c>
      <c r="O144" t="inlineStr">
        <is>
          <t>45A²⁰, 18E⁷, 90B²¹, 72T¹⁵, 18B¹⁶, 36H⁶, 117A¹⁹, 36R¹⁹, 36C¹³, 36E⁷, 18A¹³, 54H²², 27H⁷, 63A²⁰, 9F¹, 27A¹⁰, 36N¹⁵, 18E⁶, 99B¹⁷, 18H¹⁶, 18M⁷, 36D⁷, 36P¹³, 36A¹¹, 72R¹⁵, 18G¹⁶, 9C⁴, 18A⁶, 27A¹⁶, 36F¹⁵, 63E¹⁹, 45A¹⁵, 126D¹⁸, 72P²¹, 54B²¹, 18B¹³, 144S²³, 36I¹⁶, 18A²², 90D¹⁴, 54A²⁴, 36E⁸, 72V¹⁵, 18S⁴, 36C¹¹, 90N¹⁵, 18C¹⁶, 90K¹⁵, 72E¹¹, 36S¹³, 18A⁵, 45A¹⁴, 36A¹⁵, 36K⁹, 27A⁸, 9B², 45A²¹, 45G¹⁹, 45E¹⁹, 9A², 27A²², 126H²³, 72J¹⁷, 45B⁷, 72G¹¹, 45A⁷, 18B⁶, 45B¹⁹, 18E¹⁹, 126B²⁰, 63C¹⁸, 36C²², 18D⁶, 9A¹⁰, 36C⁵, 90I¹⁷, 72O¹⁵, 36O¹⁹, 90F¹⁵, 36Q¹⁹, 54J²², 63D¹⁹, 18C³, 36H²², 63A²¹, 99A¹⁵, 36R¹³, 36K¹⁵, 27B²², 90K¹⁷, 126E¹⁸, 36I¹⁵, 36M¹⁵, 18A¹⁸, 72H¹¹, 45C¹⁵, 72G²³, 126G²³, 36A²¹, 54V¹⁶, 36E⁵, 45J¹³, 36J¹⁵, 126G²¹, 18C¹³, 18G⁷, 18B¹⁹, 18H¹³, 18A⁸, 72N¹⁵, 54K²², 90B²³, 9A⁴, 36K¹⁹, 36C²¹, 63B¹⁸, 72I¹⁷, 27E¹⁹, 36A¹⁸, 72U¹⁵, 18C⁷, 72F²³, 144Q²³, 126H²¹, 144R²³, 72H²³, 72Q²¹, 27C²², 36E¹⁵, 18D¹⁹, 36L¹⁵, 126C¹⁹, 18C¹⁹, 72W²¹, 72S¹⁵, 72F¹¹, 63A⁹, 45N¹³, 36F¹¹, 27A¹¹, 72S²¹, 99B¹⁵, 18A¹⁶, 54A²¹, 63B⁹, 18E³, 144T²³, 36O¹⁵, 72L¹³, 9B⁴, 45C¹⁹, 18F¹³, 54B²⁴, 126B¹⁹, 126A²⁰, 18F⁷, 18G², 63C¹¹, 36O¹³, 27B¹⁶</t>
        </is>
      </c>
    </row>
    <row r="145">
      <c r="A145">
        <f>HYPERLINK("https://mathstats.uncg.edu/sites/pauli/congruence/csg1.html#group9C1", "9C¹")</f>
        <v/>
      </c>
      <c r="B145" t="n">
        <v>1</v>
      </c>
      <c r="C145" t="inlineStr"/>
      <c r="D145" t="inlineStr">
        <is>
          <t>36</t>
        </is>
      </c>
      <c r="E145" t="inlineStr">
        <is>
          <t>1</t>
        </is>
      </c>
      <c r="F145" t="inlineStr">
        <is>
          <t>4</t>
        </is>
      </c>
      <c r="G145" t="inlineStr">
        <is>
          <t>0</t>
        </is>
      </c>
      <c r="H145" t="inlineStr">
        <is>
          <t>0</t>
        </is>
      </c>
      <c r="I145" t="inlineStr">
        <is>
          <t>3³, 9³</t>
        </is>
      </c>
      <c r="J145" t="n">
        <v>6</v>
      </c>
      <c r="K145" t="inlineStr">
        <is>
          <t>1², 2¹</t>
        </is>
      </c>
      <c r="L145" t="inlineStr">
        <is>
          <t>3D⁰, 9B⁰, 9C⁰, 9A¹</t>
        </is>
      </c>
      <c r="M145" t="inlineStr">
        <is>
          <t>9H¹, 9B⁴, 18E⁴, 18M⁴, 27C⁴, 27A⁷, 27D⁷, 36H¹⁰, 45C¹³, 45K¹³, 63C¹⁹, 63I¹⁹</t>
        </is>
      </c>
      <c r="N145" t="inlineStr">
        <is>
          <t>3B⁰, 9A¹, 9B⁰, 3C⁰, 9C⁰, 3A⁰, 1A⁰, 3D⁰</t>
        </is>
      </c>
      <c r="O145" t="inlineStr">
        <is>
          <t>27A⁷, 27B¹⁰, 27A¹⁹, 63C¹⁹, 54A²², 18M¹⁰, 36H¹⁰, 27E¹⁹, 72L²², 9H¹, 18G¹³, 54K¹⁶, 45K¹³, 18B¹⁶, 72C²², 81C¹⁹, 36L²², 36K²², 27A²², 54H¹⁶, 27D⁷, 45C¹³, 18E⁴, 36C¹⁰, 81A¹⁶, 36Q¹⁰, 63I¹⁹, 54I¹³, 27C⁴, 18C¹³, 18F¹⁰, 18E¹⁰, 54T¹⁶, 54A¹⁶, 18D¹⁰, 54G¹⁶, 36D¹³, 27C¹³, 9A¹⁰, 9B⁴, 36E¹⁹, 81A²², 27B¹⁹, 18M⁴, 54E²², 27B¹⁶, 54E¹³</t>
        </is>
      </c>
    </row>
    <row r="146">
      <c r="A146">
        <f>HYPERLINK("https://mathstats.uncg.edu/sites/pauli/congruence/csg1.html#group9D1", "9D¹")</f>
        <v/>
      </c>
      <c r="B146" t="n">
        <v>1</v>
      </c>
      <c r="C146" t="inlineStr"/>
      <c r="D146" t="inlineStr">
        <is>
          <t>36</t>
        </is>
      </c>
      <c r="E146" t="inlineStr">
        <is>
          <t>1</t>
        </is>
      </c>
      <c r="F146" t="inlineStr">
        <is>
          <t>12</t>
        </is>
      </c>
      <c r="G146" t="inlineStr">
        <is>
          <t>0</t>
        </is>
      </c>
      <c r="H146" t="inlineStr">
        <is>
          <t>0</t>
        </is>
      </c>
      <c r="I146" t="inlineStr">
        <is>
          <t>3³, 9³</t>
        </is>
      </c>
      <c r="J146" t="n">
        <v>6</v>
      </c>
      <c r="K146" t="inlineStr">
        <is>
          <t>1², 2², 6¹</t>
        </is>
      </c>
      <c r="L146" t="inlineStr">
        <is>
          <t>9A¹</t>
        </is>
      </c>
      <c r="M146" t="inlineStr">
        <is>
          <t>9H¹, 18I⁴, 18Q⁴, 27E⁷, 36L¹⁰, 45D¹³, 45M¹³, 63F¹⁹, 63L¹⁹</t>
        </is>
      </c>
      <c r="N146" t="inlineStr">
        <is>
          <t>3B⁰, 1A⁰, 9A¹</t>
        </is>
      </c>
      <c r="O146" t="inlineStr">
        <is>
          <t>27B¹⁰, 27A¹⁹, 18M¹⁰, 54N¹⁶, 63L¹⁹, 27F¹⁹, 45D¹³, 36L¹⁰, 9H¹, 36Q²², 54O¹⁶, 18D¹⁰, 36S¹⁰, 36G¹⁰, 72D²², 36K¹³, 27C¹³, 18J¹⁰, 9A¹⁰, 27E⁷, 63F¹⁹, 36I¹⁹, 18H¹⁰, 27B¹⁹, 18Q⁴, 54G²², 72N²², 18I⁴, 45M¹³, 36O²²</t>
        </is>
      </c>
    </row>
    <row r="147">
      <c r="A147">
        <f>HYPERLINK("https://mathstats.uncg.edu/sites/pauli/congruence/csg1.html#group9E1", "9E¹")</f>
        <v/>
      </c>
      <c r="B147" t="n">
        <v>1</v>
      </c>
      <c r="C147" t="inlineStr"/>
      <c r="D147" t="inlineStr">
        <is>
          <t>54</t>
        </is>
      </c>
      <c r="E147" t="inlineStr">
        <is>
          <t>1</t>
        </is>
      </c>
      <c r="F147" t="inlineStr">
        <is>
          <t>18</t>
        </is>
      </c>
      <c r="G147" t="inlineStr">
        <is>
          <t>6</t>
        </is>
      </c>
      <c r="H147" t="inlineStr">
        <is>
          <t>0</t>
        </is>
      </c>
      <c r="I147" t="inlineStr">
        <is>
          <t>9⁶</t>
        </is>
      </c>
      <c r="J147" t="n">
        <v>6</v>
      </c>
      <c r="K147" t="inlineStr">
        <is>
          <t>1¹, 2¹, 3¹, 6²</t>
        </is>
      </c>
      <c r="L147" t="inlineStr">
        <is>
          <t>9D⁰, 9E⁰</t>
        </is>
      </c>
      <c r="M147" t="inlineStr">
        <is>
          <t>9B⁴, 9C⁴, 18O⁴, 18B⁷, 18I⁷, 27F⁷, 27G⁷, 36N¹³, 45A¹⁹, 45F¹⁹</t>
        </is>
      </c>
      <c r="N147" t="inlineStr">
        <is>
          <t>3C⁰, 9D⁰, 9E⁰, 3A⁰, 1A⁰, 9A⁰</t>
        </is>
      </c>
      <c r="O147" t="inlineStr">
        <is>
          <t>27G⁷, 18C¹⁶, 36E¹³, 54A¹⁹, 27E¹⁹, 18I⁷, 54I²², 18B¹⁶, 36N¹⁹, 18F¹⁶, 27C²², 36A²², 27A²², 18A¹⁹, 54Q¹⁶, 18O⁴, 45F¹⁹, 54B¹⁹, 36F¹³, 45A¹⁹, 18C¹³, 18B¹⁹, 18B⁷, 9A¹⁰, 36G¹⁶, 9C⁴, 9B⁴, 18D¹⁶, 27F⁷, 36M¹⁹, 18A²², 36N¹³, 27B¹⁶</t>
        </is>
      </c>
    </row>
    <row r="148">
      <c r="A148">
        <f>HYPERLINK("https://mathstats.uncg.edu/sites/pauli/congruence/csg1.html#group9F1", "9F¹")</f>
        <v/>
      </c>
      <c r="B148" t="n">
        <v>1</v>
      </c>
      <c r="C148" t="inlineStr"/>
      <c r="D148" t="inlineStr">
        <is>
          <t>54</t>
        </is>
      </c>
      <c r="E148" t="inlineStr">
        <is>
          <t>2</t>
        </is>
      </c>
      <c r="F148" t="inlineStr">
        <is>
          <t>9</t>
        </is>
      </c>
      <c r="G148" t="inlineStr">
        <is>
          <t>6</t>
        </is>
      </c>
      <c r="H148" t="inlineStr">
        <is>
          <t>0</t>
        </is>
      </c>
      <c r="I148" t="inlineStr">
        <is>
          <t>9⁶</t>
        </is>
      </c>
      <c r="J148" t="n">
        <v>6</v>
      </c>
      <c r="K148" t="inlineStr">
        <is>
          <t>2³, 6²</t>
        </is>
      </c>
      <c r="L148" t="inlineStr">
        <is>
          <t>9D⁰, 9G⁰, 9B¹</t>
        </is>
      </c>
      <c r="M148" t="inlineStr">
        <is>
          <t>9A⁴, 9C⁴, 18S⁴, 18F⁷, 18M⁷, 27H⁷, 27A¹⁰, 36R¹³, 45C¹⁹, 45G¹⁹</t>
        </is>
      </c>
      <c r="N148" t="inlineStr">
        <is>
          <t>9D⁰, 9A⁰, 9G⁰, 3C⁰, 3A⁰, 1A⁰, 9B¹</t>
        </is>
      </c>
      <c r="O148" t="inlineStr">
        <is>
          <t>27A¹⁰, 18S⁴, 18C¹⁶, 36I¹⁶, 27B²², 18H¹⁶, 18M⁷, 18B¹⁹, 18E¹⁹, 18A¹⁶, 45G¹⁹, 9A¹⁰, 18G¹⁶, 27C²², 9C⁴, 45C¹⁹, 36Q¹⁹, 54V¹⁶, 27A¹⁶, 54K²², 54J²², 36R¹⁹, 36H²², 18A¹³, 18F⁷, 9A⁴, 18A²², 27H⁷, 36O¹³, 36R¹³</t>
        </is>
      </c>
    </row>
    <row r="149">
      <c r="A149">
        <f>HYPERLINK("https://mathstats.uncg.edu/sites/pauli/congruence/csg1.html#group9G1", "9G¹")</f>
        <v/>
      </c>
      <c r="B149" t="n">
        <v>1</v>
      </c>
      <c r="C149" t="inlineStr"/>
      <c r="D149" t="inlineStr">
        <is>
          <t>81</t>
        </is>
      </c>
      <c r="E149" t="inlineStr">
        <is>
          <t>1</t>
        </is>
      </c>
      <c r="F149" t="inlineStr">
        <is>
          <t>27</t>
        </is>
      </c>
      <c r="G149" t="inlineStr">
        <is>
          <t>9</t>
        </is>
      </c>
      <c r="H149" t="inlineStr">
        <is>
          <t>0</t>
        </is>
      </c>
      <c r="I149" t="inlineStr">
        <is>
          <t>9⁹</t>
        </is>
      </c>
      <c r="J149" t="n">
        <v>9</v>
      </c>
      <c r="K149" t="inlineStr">
        <is>
          <t>3¹, 6⁴</t>
        </is>
      </c>
      <c r="L149" t="inlineStr">
        <is>
          <t>9F⁰, 9G⁰</t>
        </is>
      </c>
      <c r="M149" t="inlineStr">
        <is>
          <t>9C⁴, 18J⁷, 18B¹⁰, 18L¹⁰, 27A¹³, 36P¹⁹</t>
        </is>
      </c>
      <c r="N149" t="inlineStr">
        <is>
          <t>9A⁰, 3A⁰, 9F⁰, 1A⁰, 9G⁰</t>
        </is>
      </c>
      <c r="O149" t="inlineStr">
        <is>
          <t>18L¹⁰, 9A¹⁰, 27C²², 18C¹⁶, 9C⁴, 27A¹³, 18B¹⁹, 18A²², 18B¹⁰, 18J⁷, 36P¹⁹</t>
        </is>
      </c>
    </row>
    <row r="150">
      <c r="A150">
        <f>HYPERLINK("https://mathstats.uncg.edu/sites/pauli/congruence/csg1.html#group9H1", "9H¹")</f>
        <v/>
      </c>
      <c r="B150" t="n">
        <v>1</v>
      </c>
      <c r="C150" t="inlineStr"/>
      <c r="D150" t="inlineStr">
        <is>
          <t>108</t>
        </is>
      </c>
      <c r="E150" t="inlineStr">
        <is>
          <t>1</t>
        </is>
      </c>
      <c r="F150" t="inlineStr">
        <is>
          <t>4</t>
        </is>
      </c>
      <c r="G150" t="inlineStr">
        <is>
          <t>0</t>
        </is>
      </c>
      <c r="H150" t="inlineStr">
        <is>
          <t>0</t>
        </is>
      </c>
      <c r="I150" t="inlineStr">
        <is>
          <t>3⁹, 9⁹</t>
        </is>
      </c>
      <c r="J150" t="n">
        <v>18</v>
      </c>
      <c r="K150" t="inlineStr">
        <is>
          <t>1², 2¹</t>
        </is>
      </c>
      <c r="L150" t="inlineStr">
        <is>
          <t>9H⁰, 9I⁰, 9J⁰, 9C¹, 9D¹</t>
        </is>
      </c>
      <c r="M150" t="inlineStr">
        <is>
          <t>9A¹⁰, 18D¹⁰, 18M¹⁰, 27B¹⁰, 27C¹³, 27A¹⁹, 27B¹⁹</t>
        </is>
      </c>
      <c r="N150" t="inlineStr">
        <is>
          <t>3B⁰, 9J⁰, 9E⁰, 9A¹, 9I⁰, 9B⁰, 9C¹, 3C⁰, 9H⁰, 9C⁰, 3A⁰, 9D¹, 1A⁰, 3D⁰</t>
        </is>
      </c>
      <c r="O150" t="inlineStr">
        <is>
          <t>27B¹⁹, 27B¹⁰, 9A¹⁰, 27A¹⁹, 18D¹⁰, 18M¹⁰, 27C¹³</t>
        </is>
      </c>
    </row>
    <row r="151">
      <c r="A151">
        <f>HYPERLINK("https://mathstats.uncg.edu/sites/pauli/congruence/csg1.html#group10A1", "10A¹")</f>
        <v/>
      </c>
      <c r="B151" t="n">
        <v>1</v>
      </c>
      <c r="C151" t="inlineStr"/>
      <c r="D151" t="inlineStr">
        <is>
          <t>12</t>
        </is>
      </c>
      <c r="E151" t="inlineStr">
        <is>
          <t>1</t>
        </is>
      </c>
      <c r="F151" t="inlineStr">
        <is>
          <t>6</t>
        </is>
      </c>
      <c r="G151" t="inlineStr">
        <is>
          <t>0</t>
        </is>
      </c>
      <c r="H151" t="inlineStr">
        <is>
          <t>0</t>
        </is>
      </c>
      <c r="I151" t="inlineStr">
        <is>
          <t>2¹, 10¹</t>
        </is>
      </c>
      <c r="J151" t="n">
        <v>2</v>
      </c>
      <c r="K151" t="inlineStr">
        <is>
          <t>1², 4¹</t>
        </is>
      </c>
      <c r="L151" t="inlineStr">
        <is>
          <t>2A⁰, 5B⁰</t>
        </is>
      </c>
      <c r="M151" t="inlineStr">
        <is>
          <t>10D¹, 10G¹, 10B³, 20C³, 30B³, 30C³, 30G³, 50A³, 50C⁵, 50B⁵, 50D⁵, 50A⁵, 70A⁷, 70C⁷, 110A¹¹, 110C¹¹, 130B¹³, 170B¹⁷, 190B¹⁹, 230B²³</t>
        </is>
      </c>
      <c r="N151" t="inlineStr">
        <is>
          <t>5B⁰, 2A⁰, 1A⁰</t>
        </is>
      </c>
      <c r="O151" t="inlineStr">
        <is>
          <t>60T¹⁷, 90J¹⁵, 50C¹⁹, 40R¹³, 50B¹³, 20I⁵, 60B¹¹, 40X¹⁷, 150A¹³, 60P²¹, 60M¹³, 50B²³, 120C²³, 150F¹⁵, 120B²³, 50B⁹, 80A¹⁵, 60J¹³, 80C²¹, 50C⁵, 80AC²¹, 50C⁹, 80M¹⁹, 80Q²¹, 20J³, 100K¹⁹, 50D¹⁹, 90E²¹, 80G²¹, 60AB¹⁵, 170B¹⁷, 40K⁹, 40W⁷, 30P¹³, 50A³, 40W¹⁵, 50C²¹, 30C¹⁵, 150E¹⁵, 60L¹⁵, 190B¹⁹, 60D⁷, 50A²¹, 180G²³, 120E²³, 40U¹⁵, 40B¹⁹, 120G²³, 100C¹⁵, 30F⁷, 40M⁷, 100J¹⁹, 60I¹³, 150G¹⁵, 60I²¹, 150C¹⁵, 20I³, 90H²¹, 20D⁵, 30D⁵, 180F²³, 220B²³, 70G¹⁹, 210B²³, 20F¹⁵, 60C¹¹, 100B¹⁹, 210C²³, 30C³, 90F¹¹, 90A⁹, 30D¹³, 60G¹¹, 40I⁹, 40A¹⁹, 90C¹⁷, 130B¹³, 30B³, 180D²¹, 20A³, 220A²³, 210B²¹, 40T¹⁷, 60AA¹⁵, 20E⁹, 80N¹⁵, 50B⁵, 150A¹⁵, 100L¹⁹, 40C¹⁹, 30K⁹, 30H⁹, 50B²¹, 180C²¹, 40Q¹³, 80O¹⁵, 30H¹³, 50A¹⁹, 40W¹⁷, 100D¹⁹, 50F⁵, 120D²³, 100A¹⁵, 50D¹³, 60B²¹, 40AH¹⁷, 90E¹¹, 90B¹⁷, 120H²³, 80P²¹, 20C¹⁹, 20C³, 100P¹⁹, 50D⁵, 40AB¹⁵, 90E⁹, 60F¹¹, 40J⁹, 30I¹³, 150F¹⁹, 250B¹⁹, 180E²³, 40J¹³, 40AD¹⁷, 180B²³, 30H¹⁷, 90G²¹, 100A¹⁹, 40B⁷, 110C¹¹, 50B¹⁹, 20F⁹, 40C¹³, 90S¹⁷, 70H¹⁹, 40B¹³, 180E²¹, 60O²¹, 90H¹⁷, 30Q⁷, 60E¹¹, 150H¹⁹, 70D¹³, 20L⁷, 90D¹¹, 10A⁵, 60A¹¹, 90K¹⁷, 140B¹⁵, 110A¹¹, 40K¹³, 50C⁷, 60C¹⁵, 60A²¹, 40V¹⁵, 250A²³, 180A²³, 70B¹⁹, 30G³, 40AC⁷, 10D¹, 20F¹³, 80AD²¹, 70F¹⁹, 30E¹³, 120F²³, 20R³, 80I²¹, 140A¹⁵, 80BD¹⁷, 30I⁹, 70A⁷, 50E¹³, 150B¹⁵, 60M²¹, 40AR¹⁷, 30J¹³, 30I¹⁷, 40E¹³, 150H¹⁵, 210G²³, 250A²¹, 40AD¹⁵, 120A²³, 230B²³, 90C¹¹, 90E¹⁷, 100C¹⁹, 80B¹⁵, 90F²¹, 30H⁵, 40A⁷, 80P¹⁵, 50E²¹, 80N¹⁹, 210H²³, 10B³, 20J⁷, 10K¹, 100Q¹⁹, 80Z¹⁷, 50C¹³, 30P⁹, 30C⁵, 10A¹³, 80C¹⁵, 40Y¹⁵, 40L⁷, 50A⁵, 180F²¹, 60L¹⁹, 20E¹³, 110A²¹, 40X⁷, 60N¹⁵, 90R¹⁷, 50D⁹, 40Y¹⁷, 40AE¹⁷, 150E¹⁹, 60H²¹, 30F⁵, 60K¹⁹, 50A⁹, 180C²³, 50D²¹, 100I¹⁹, 20K⁷, 60E⁷, 20D¹⁹, 20A¹⁵, 70A¹⁹, 40X¹⁵, 80W¹⁷, 60F²¹, 150J¹⁵, 210A²¹, 60S¹⁷, 90D¹⁷, 110C²¹, 70F¹³, 90F⁹, 80R²¹, 10A⁷, 30J¹⁷, 30N⁵, 180D²³, 40V¹⁷, 40U¹⁷, 180H²³, 50A¹³, 60D²¹, 250B²³, 250A¹⁹, 60J²¹, 80L¹⁹, 60D¹⁵, 30L⁹, 150G¹⁹, 70C⁷, 70C¹³, 150D¹⁵, 80D²¹, 70A¹³, 60C²¹, 150B¹³, 10G¹</t>
        </is>
      </c>
    </row>
    <row r="152">
      <c r="A152">
        <f>HYPERLINK("https://mathstats.uncg.edu/sites/pauli/congruence/csg1.html#group10B1", "10B¹")</f>
        <v/>
      </c>
      <c r="B152" t="n">
        <v>1</v>
      </c>
      <c r="C152" t="inlineStr"/>
      <c r="D152" t="inlineStr">
        <is>
          <t>15</t>
        </is>
      </c>
      <c r="E152" t="inlineStr">
        <is>
          <t>1</t>
        </is>
      </c>
      <c r="F152" t="inlineStr">
        <is>
          <t>15</t>
        </is>
      </c>
      <c r="G152" t="inlineStr">
        <is>
          <t>1</t>
        </is>
      </c>
      <c r="H152" t="inlineStr">
        <is>
          <t>0</t>
        </is>
      </c>
      <c r="I152" t="inlineStr">
        <is>
          <t>5¹, 10¹</t>
        </is>
      </c>
      <c r="J152" t="n">
        <v>2</v>
      </c>
      <c r="K152" t="inlineStr">
        <is>
          <t>1³, 4³</t>
        </is>
      </c>
      <c r="L152" t="inlineStr">
        <is>
          <t>2B⁰, 5A⁰</t>
        </is>
      </c>
      <c r="M152" t="inlineStr">
        <is>
          <t>10I¹, 10B², 10D², 20A², 20B², 30D³, 30E³, 30D⁴, 70A⁸, 70A⁹, 110A¹³, 110A¹⁴, 130A¹⁶, 170A²¹, 190A²⁴</t>
        </is>
      </c>
      <c r="N152" t="inlineStr">
        <is>
          <t>1A⁰, 5A⁰, 2B⁰</t>
        </is>
      </c>
      <c r="O152" t="inlineStr">
        <is>
          <t>90B²¹, 80G¹⁷, 90D²⁰, 40F²⁴, 40A⁸, 20A²⁰, 40H²², 140B¹⁶, 30P⁷, 20F¹⁰, 40E⁸, 40A⁹, 40E¹⁰, 10I¹, 80F¹⁷, 160A²⁰, 120D¹⁴, 40G²¹, 60G¹³, 40E⁹, 10A⁶, 30D¹⁶, 20B²¹, 40A²⁰, 60B¹⁸, 60B⁹, 80L¹⁷, 60B¹⁶, 60B⁶, 70A²³, 20A²¹, 20B²⁰, 40J¹¹, 40AJ¹⁵, 180B²², 60G¹⁸, 60F¹³, 50A²⁴, 60D⁶, 40E¹⁷, 30F¹⁷, 30E¹², 40D²⁴, 80C¹⁷, 40E¹¹, 160B²⁰, 40K²², 80A⁹, 160A¹⁸, 70C¹⁸, 10B⁴, 120B¹³, 120C¹³, 60A²², 80A⁸, 40F²², 40I²², 40C¹⁶, 10A⁴, 20E⁵, 30F¹², 40B⁹, 40M²², 40O¹⁷, 70C¹⁷, 180A²², 30F²³, 40H²¹, 40E²³, 40M¹⁹, 60D¹⁴, 160A¹⁶, 30A²², 60B²⁴, 30F¹⁰, 80K¹⁷, 80K¹⁹, 190A²⁴, 40A¹³, 180G²⁰, 10B⁵, 90G¹⁹, 40A¹², 80B⁸, 20C¹⁰, 80E¹⁸, 60B¹², 160E¹⁹, 120A¹⁹, 30A²⁴, 140A¹⁸, 50B²⁴, 40G²², 240B²⁴, 40F²³, 30B¹⁹, 30D³, 90A¹⁴, 30E³, 40C¹⁰, 40J²³, 40C²⁴, 160A¹⁹, 70C¹⁶, 80C¹⁸, 40D²³, 80C⁹, 40B⁸, 10A¹³, 60D²², 60E¹⁴, 20C²¹, 70A¹⁶, 80B¹⁶, 30B⁶, 40D²², 80A¹⁶, 160H¹⁹, 120B¹⁶, 90B¹⁴, 20C⁵, 20D¹⁰, 160C¹⁹, 80D⁸, 80H¹⁹, 160F¹⁹, 160B¹⁹, 40A⁵, 60C⁷, 80E²², 120D¹³, 40A²⁴, 10A⁷, 80A¹⁹, 60F¹⁶, 90F¹⁴, 80B¹⁷, 10D², 130A¹⁶, 40G¹³, 30N¹³, 20C¹⁵, 60E¹⁶, 40C²³, 30E¹⁶, 160I¹⁹, 20D⁴, 20A¹⁹, 60A¹⁴, 20B¹¹, 80D⁹, 60J¹⁹, 60A¹⁶, 180F²⁰, 80H²², 180A²¹, 80A¹⁸, 60B¹⁷, 80G²², 20P⁷, 120A¹⁸, 160C¹⁷, 20C⁴, 30B¹², 20C⁸, 90A²⁰, 40F²¹, 70A²², 10C³, 30F¹¹, 40A¹⁶, 120A¹⁴, 40L²², 70A⁸, 40A¹⁷, 90E¹², 80B¹⁹, 40F¹⁰, 160D¹⁷, 60B¹³, 80C⁸, 140A¹⁹, 40A⁴, 40B¹⁶, 80A²⁴, 30B⁷, 80F²², 40I²¹, 50D²², 60J¹⁸, 30C¹³, 20A¹³, 210A²⁴, 40C⁴, 30H¹², 60H¹⁹, 60C⁸, 60C¹³, 40N²², 140B¹⁷, 30A⁶, 180B²¹, 20B¹⁰, 40G¹⁷, 40G¹⁰, 20A², 20D⁹, 90B²², 90A²¹, 30A¹⁹, 20C¹⁹, 50A²², 120B¹⁹, 60B⁷, 40F⁸, 120C¹², 20G¹³, 40L¹⁹, 30D⁴, 120C¹⁴, 160B¹⁷, 20A⁴, 170A²¹, 40A¹⁵, 160A¹⁷, 90B²⁰, 60C¹², 120D¹⁸, 80A¹⁷, 30F¹⁵, 120B¹², 140A¹⁷, 60H¹³, 30C¹⁶, 20B¹⁷, 40I²³, 20D⁷, 30C²², 20E¹⁰, 20C²², 140A¹⁶, 30A¹², 40C¹⁸, 10F², 40J²², 40B²⁰, 30B¹⁶, 90C¹², 40C⁸, 210C²⁴, 110A¹³, 120D¹⁷, 80C²², 60C¹⁴, 40C²², 40G²³, 160D¹⁹, 40E²⁴, 60C⁶, 80B²², 20C¹¹, 20B², 40D⁸, 20B⁹, 80F¹⁹, 10B², 20G¹⁵, 20C⁹, 80C¹⁹, 60A⁷, 20A²², 120B¹⁴, 80G¹⁹, 80D²², 80B¹⁰, 120A¹⁵, 60F¹⁴, 40H²³, 240C²⁴, 40A¹⁸, 20E⁴, 90D¹⁰, 60D¹³, 40A²², 60I¹⁹, 120B¹⁵, 40F¹⁷, 120A¹³, 80A¹⁰, 50B¹¹, 40B²², 20A¹⁰, 20D⁶, 20D¹⁹, 20P³, 40E²², 20B²², 30G²², 60M¹⁷, 40B²⁴, 70A⁹, 60D¹⁶, 90E¹⁴, 110A¹⁴, 20I¹⁵, 210B²⁴, 40B⁴, 160G¹⁹, 20B¹⁹, 80B¹⁸, 30B⁸, 30E⁷, 40D¹⁵, 20A⁸, 40N¹⁷, 80B⁹, 40D¹⁰, 80J¹⁷</t>
        </is>
      </c>
    </row>
    <row r="153">
      <c r="A153">
        <f>HYPERLINK("https://mathstats.uncg.edu/sites/pauli/congruence/csg1.html#group10C1", "10C¹")</f>
        <v/>
      </c>
      <c r="B153" t="n">
        <v>1</v>
      </c>
      <c r="C153" t="inlineStr"/>
      <c r="D153" t="inlineStr">
        <is>
          <t>20</t>
        </is>
      </c>
      <c r="E153" t="inlineStr">
        <is>
          <t>1</t>
        </is>
      </c>
      <c r="F153" t="inlineStr">
        <is>
          <t>10</t>
        </is>
      </c>
      <c r="G153" t="inlineStr">
        <is>
          <t>0</t>
        </is>
      </c>
      <c r="H153" t="inlineStr">
        <is>
          <t>2</t>
        </is>
      </c>
      <c r="I153" t="inlineStr">
        <is>
          <t>10²</t>
        </is>
      </c>
      <c r="J153" t="n">
        <v>2</v>
      </c>
      <c r="K153" t="inlineStr">
        <is>
          <t>2¹, 4²</t>
        </is>
      </c>
      <c r="L153" t="inlineStr">
        <is>
          <t>2A⁰, 5C⁰</t>
        </is>
      </c>
      <c r="M153" t="inlineStr">
        <is>
          <t>10H¹, 10A³, 10B³, 30B⁴, 20A⁵, 30A⁵, 30J⁵, 50E⁵, 70A¹¹, 70C¹¹, 110A¹⁷, 110B¹⁹, 130B²¹</t>
        </is>
      </c>
      <c r="N153" t="inlineStr">
        <is>
          <t>2A⁰, 5C⁰, 1A⁰</t>
        </is>
      </c>
      <c r="O153" t="inlineStr">
        <is>
          <t>10H¹, 30A¹⁵, 60A¹⁷, 30K¹⁷, 50C¹⁹, 10A⁵, 20B¹¹, 60E¹⁸, 30A¹⁶, 40A²³, 90C¹⁹, 50B²³, 30E¹⁷, 10B⁵, 60B²³, 30B²², 20A⁹, 30E¹³, 50A²³, 20A¹¹, 50F⁹, 70A¹¹, 30N⁹, 50D¹⁹, 30J⁵, 20A¹⁷, 40B¹¹, 150E²⁰, 70C¹¹, 90O¹⁷, 10D³, 60Q¹⁵, 140A²³, 40H¹⁷, 40C¹⁷, 20D¹⁵, 70G²¹, 60H¹⁸, 30C¹⁵, 60S²¹, 70C²¹, 50E²¹, 80A²³, 50E⁵, 140B²³, 10B³, 110A¹⁷, 60I¹¹, 100R¹⁹, 20C⁷, 30D⁹, 90E¹⁵, 40T¹⁵, 30C¹⁷, 10A¹³, 30G⁷, 30B⁴, 20F¹⁵, 60E¹⁹, 110B¹⁹, 30B¹⁷, 60R²¹, 130B²¹, 10A³, 90A¹⁸, 30D¹³, 30A⁵, 90M¹⁷, 90A¹⁶, 60D¹⁹, 20A¹³, 30H⁷, 20D¹⁹, 20A¹⁵, 90B¹⁹, 60P¹⁵, 50A¹⁹, 40B²¹, 30E⁹, 40N¹⁵, 20B⁷, 30A¹³, 10A⁷, 30B⁹, 20C¹⁹, 70B²¹, 20N³, 60B¹⁹, 20E¹⁵, 80C²³, 60H¹¹, 20A⁵, 40B¹⁵, 40C¹⁵, 40A²¹, 30C⁸, 80B²³, 40O¹⁵, 20C¹⁵, 40A¹¹, 70E²¹, 40D¹⁷</t>
        </is>
      </c>
    </row>
    <row r="154">
      <c r="A154">
        <f>HYPERLINK("https://mathstats.uncg.edu/sites/pauli/congruence/csg1.html#group10D1", "10D¹")</f>
        <v/>
      </c>
      <c r="B154" t="n">
        <v>1</v>
      </c>
      <c r="C154" t="inlineStr"/>
      <c r="D154" t="inlineStr">
        <is>
          <t>24</t>
        </is>
      </c>
      <c r="E154" t="inlineStr">
        <is>
          <t>1</t>
        </is>
      </c>
      <c r="F154" t="inlineStr">
        <is>
          <t>6</t>
        </is>
      </c>
      <c r="G154" t="inlineStr">
        <is>
          <t>0</t>
        </is>
      </c>
      <c r="H154" t="inlineStr">
        <is>
          <t>0</t>
        </is>
      </c>
      <c r="I154" t="inlineStr">
        <is>
          <t>2², 10²</t>
        </is>
      </c>
      <c r="J154" t="n">
        <v>4</v>
      </c>
      <c r="K154" t="inlineStr">
        <is>
          <t>1², 4¹</t>
        </is>
      </c>
      <c r="L154" t="inlineStr">
        <is>
          <t>5D⁰, 10B⁰, 10A¹</t>
        </is>
      </c>
      <c r="M154" t="inlineStr">
        <is>
          <t>10K¹, 20A³, 10A⁵, 20D⁵, 30C⁵, 30D⁵, 30N⁵, 50F⁵, 50A⁹, 50B⁹, 50C⁹, 50D⁹, 70C¹³, 70F¹³, 110A²¹, 110C²¹</t>
        </is>
      </c>
      <c r="N154" t="inlineStr">
        <is>
          <t>5B⁰, 2A⁰, 5D⁰, 10A¹, 1A⁰, 10B⁰</t>
        </is>
      </c>
      <c r="O154" t="inlineStr">
        <is>
          <t>30C⁵, 10A¹³, 60C¹¹, 40R¹³, 10A⁵, 60A¹¹, 100B¹⁹, 20I⁵, 20E¹³, 110A²¹, 40K¹³, 60B¹¹, 60P²¹, 50D⁹, 90R¹⁷, 40Y¹⁷, 60H²¹, 20A³, 20F¹³, 50A⁹, 40T¹⁷, 50B⁹, 20E⁹, 20A¹⁵, 20R³, 30K⁹, 60F²¹, 60J¹³, 50C⁹, 50E¹³, 40Q¹³, 30H¹³, 90D¹⁷, 50F⁵, 110C²¹, 90E²¹, 70F¹³, 100D¹⁹, 40B¹³, 100A¹⁵, 30J¹⁷, 30P¹³, 30N⁵, 30P⁹, 100C¹⁹, 60D²¹, 90F²¹, 40J¹³, 90H²¹, 90G²¹, 30H¹⁷, 100A¹⁹, 20J⁷, 70C¹³, 20F⁹, 10K¹, 60I¹³, 90S¹⁷, 40C¹³, 20D⁵, 60C²¹, 30D⁵</t>
        </is>
      </c>
    </row>
    <row r="155">
      <c r="A155">
        <f>HYPERLINK("https://mathstats.uncg.edu/sites/pauli/congruence/csg1.html#group10E1", "10E¹")</f>
        <v/>
      </c>
      <c r="B155" t="n">
        <v>1</v>
      </c>
      <c r="C155" t="inlineStr"/>
      <c r="D155" t="inlineStr">
        <is>
          <t>30</t>
        </is>
      </c>
      <c r="E155" t="inlineStr">
        <is>
          <t>1</t>
        </is>
      </c>
      <c r="F155" t="inlineStr">
        <is>
          <t>15</t>
        </is>
      </c>
      <c r="G155" t="inlineStr">
        <is>
          <t>4</t>
        </is>
      </c>
      <c r="H155" t="inlineStr">
        <is>
          <t>0</t>
        </is>
      </c>
      <c r="I155" t="inlineStr">
        <is>
          <t>10³</t>
        </is>
      </c>
      <c r="J155" t="n">
        <v>3</v>
      </c>
      <c r="K155" t="inlineStr">
        <is>
          <t>1¹, 2¹, 4³</t>
        </is>
      </c>
      <c r="L155" t="inlineStr">
        <is>
          <t>5E⁰</t>
        </is>
      </c>
      <c r="M155" t="inlineStr">
        <is>
          <t>10C², 10B³, 10C³, 30F⁴, 20B⁶, 50A⁷, 50B⁷, 30D⁸, 50E⁹, 70B¹⁴, 70D¹⁸, 110A²⁴</t>
        </is>
      </c>
      <c r="N155" t="inlineStr">
        <is>
          <t>5E⁰, 1A⁰, 5A⁰</t>
        </is>
      </c>
      <c r="O155" t="inlineStr">
        <is>
          <t>20B¹⁷, 50C¹⁹, 10A⁵, 30C²², 20B⁶, 40F²⁴, 20A²⁰, 50B²³, 40H²², 30D¹⁰, 20B¹³, 20E⁷, 30E¹³, 20C¹⁰, 40B²⁰, 10A⁶, 50D¹⁹, 40A²⁰, 40E²⁴, 20A²¹, 20B²⁰, 30C¹⁵, 20C⁸, 20C⁹, 40F²³, 40F²¹, 90P¹⁷, 10C³, 50B⁷, 50E²¹, 50A¹⁸, 50A²⁰, 30B¹⁵, 10B³, 40E¹⁶, 30A¹¹, 10A¹³, 20F¹⁵, 30D⁸, 40D¹⁶, 30B¹⁰, 30E²³, 50A¹⁴, 30D¹³, 30O⁹, 30D²³, 30F⁴, 20D¹⁹, 20A¹⁵, 70B¹⁴, 10C², 50E⁹, 30A²¹, 60C²², 50A⁷, 50A¹⁹, 50B²², 20D⁹, 40I²², 10A⁷, 20C¹⁹, 30B²¹, 30E¹⁰, 20I¹⁵, 70D¹⁸, 40E²³, 50B¹⁸, 30F²¹, 110A²⁴, 20B¹⁹, 30C²³, 30E¹⁶</t>
        </is>
      </c>
    </row>
    <row r="156">
      <c r="A156">
        <f>HYPERLINK("https://mathstats.uncg.edu/sites/pauli/congruence/csg1.html#group10F1", "10F¹")</f>
        <v/>
      </c>
      <c r="B156" t="n">
        <v>1</v>
      </c>
      <c r="C156" t="inlineStr"/>
      <c r="D156" t="inlineStr">
        <is>
          <t>30</t>
        </is>
      </c>
      <c r="E156" t="inlineStr">
        <is>
          <t>1</t>
        </is>
      </c>
      <c r="F156" t="inlineStr">
        <is>
          <t>30</t>
        </is>
      </c>
      <c r="G156" t="inlineStr">
        <is>
          <t>2</t>
        </is>
      </c>
      <c r="H156" t="inlineStr">
        <is>
          <t>0</t>
        </is>
      </c>
      <c r="I156" t="inlineStr">
        <is>
          <t>5², 10²</t>
        </is>
      </c>
      <c r="J156" t="n">
        <v>4</v>
      </c>
      <c r="K156" t="inlineStr">
        <is>
          <t>2³, 4⁶</t>
        </is>
      </c>
      <c r="L156" t="inlineStr">
        <is>
          <t>2B⁰, 5C⁰</t>
        </is>
      </c>
      <c r="M156" t="inlineStr">
        <is>
          <t>10D², 10E², 10F², 20F², 10A³, 20E³, 20F³, 20B⁴, 30K⁵, 30L⁷, 50A¹¹, 70D¹⁵, 70D¹⁷</t>
        </is>
      </c>
      <c r="N156" t="inlineStr">
        <is>
          <t>5C⁰, 1A⁰, 2B⁰</t>
        </is>
      </c>
      <c r="O156" t="inlineStr">
        <is>
          <t>100A²³, 20A¹⁹, 40G⁷, 60A¹³, 60V¹⁵, 20B¹¹, 20E³, 40J¹⁷, 30L⁷, 40H¹⁵, 80H¹⁷, 40P¹⁵, 40G²¹, 20D¹¹, 20P⁷, 40M¹⁷, 10A⁶, 80R¹⁷, 20B²¹, 80T¹⁷, 70D¹⁷, 30B¹², 30D²¹, 20A²¹, 40AJ¹⁵, 40J¹¹, 40R¹⁵, 40Q¹⁵, 80G¹⁵, 20D¹³, 60E¹², 80P¹⁷, 80K¹⁵, 20B⁴, 80N¹⁷, 40T¹⁵, 60C¹⁰, 60B¹⁴, 60E²³, 70D¹⁵, 50A²⁴, 40E¹⁷, 40I¹⁷, 40I²¹, 50D²², 30C¹⁰, 40F⁷, 20A¹³, 40L¹⁷, 20H⁷, 30K²³, 20G⁵, 60U¹⁵, 40H⁷, 10B⁴, 120P²³, 40D⁷, 20E⁵, 20B⁷, 30F¹², 50A²², 20C¹⁹, 80H¹⁵, 80J¹⁵, 30F²³, 20E¹⁵, 40H²¹, 40B¹⁵, 50C²², 40C¹⁵, 20F³, 60D¹², 30H²³, 40M¹⁹, 20G¹³, 80L¹⁵, 10E², 40L¹⁹, 40S¹⁵, 60L¹¹, 40A¹⁵, 40K⁵, 40F¹³, 80E¹⁹, 40D¹⁷, 20B¹⁷, 20D⁷, 30C¹⁶, 30A¹⁵, 60U²¹, 40I⁷, 20E¹⁰, 40E¹⁵, 50A¹¹, 60E¹³, 100A²⁴, 30G²³, 80E¹⁵, 10B⁵, 80S¹⁷, 40I¹⁵, 10F², 20F⁵, 120O²³, 50A²³, 20G⁷, 40P¹⁷, 60V²¹, 60F¹⁷, 80I¹⁹, 90H¹⁹, 40H¹⁷, 30H¹⁰, 20C¹¹, 50B²⁴, 40C¹⁷, 20D¹⁵, 100A²², 20B⁹, 80M¹⁵, 40D⁹, 40H¹³, 20F², 40L¹⁵, 20G¹⁵, 60H²³, 80O¹⁷, 30B¹⁹, 30C¹¹, 90E²³, 20C⁷, 30G¹², 30C²¹, 60F²³, 40D²³, 20H¹⁵, 10A¹³, 20C²¹, 60M¹¹, 80I¹⁵, 100B²³, 80F¹⁵, 10A³, 40J⁷, 40F¹⁷, 80E¹⁷, 40Q¹⁷, 120M²³, 40G¹⁵, 20D⁶, 20D¹⁹, 60L²³, 80M¹⁷, 60I²³, 80Q¹⁷, 30A²³, 60M²³, 40C⁹, 40I¹³, 60K²³, 120N²³, 40N¹⁵, 30D¹¹, 20C¹³, 60G¹⁷, 40M¹⁵, 30A¹³, 80J¹⁹, 10A⁷, 40F¹⁵, 60D²³, 20I¹⁵, 20I⁷, 40B¹⁷, 80D¹⁷, 10D², 30K⁵, 20B¹⁹, 80I¹⁷, 40O¹⁵, 40E⁷, 40D¹⁵, 80D¹⁹, 20A⁷, 40G¹³, 60G²³, 30N¹³, 20C¹⁵, 40K¹⁷, 40C²³, 40J¹⁵, 30E¹⁵</t>
        </is>
      </c>
    </row>
    <row r="157">
      <c r="A157">
        <f>HYPERLINK("https://mathstats.uncg.edu/sites/pauli/congruence/csg1.html#group10G1", "10G¹")</f>
        <v/>
      </c>
      <c r="B157" t="n">
        <v>1</v>
      </c>
      <c r="C157" t="inlineStr"/>
      <c r="D157" t="inlineStr">
        <is>
          <t>36</t>
        </is>
      </c>
      <c r="E157" t="inlineStr">
        <is>
          <t>1</t>
        </is>
      </c>
      <c r="F157" t="inlineStr">
        <is>
          <t>6</t>
        </is>
      </c>
      <c r="G157" t="inlineStr">
        <is>
          <t>0</t>
        </is>
      </c>
      <c r="H157" t="inlineStr">
        <is>
          <t>0</t>
        </is>
      </c>
      <c r="I157" t="inlineStr">
        <is>
          <t>2³, 10³</t>
        </is>
      </c>
      <c r="J157" t="n">
        <v>6</v>
      </c>
      <c r="K157" t="inlineStr">
        <is>
          <t>1², 4¹</t>
        </is>
      </c>
      <c r="L157" t="inlineStr">
        <is>
          <t>2C⁰, 10C⁰, 10A¹</t>
        </is>
      </c>
      <c r="M157" t="inlineStr">
        <is>
          <t>10K¹, 20I³, 20J³, 10A⁷, 30F⁷, 30Q⁷, 50C⁷, 50D¹³, 50B¹³, 50A¹³, 50C¹³, 70B¹⁹, 70G¹⁹</t>
        </is>
      </c>
      <c r="N157" t="inlineStr">
        <is>
          <t>2A⁰, 5B⁰, 10C⁰, 10A¹, 2B⁰, 1A⁰, 2C⁰</t>
        </is>
      </c>
      <c r="O157" t="inlineStr">
        <is>
          <t>30Q⁷, 60T¹⁷, 20L⁷, 50B¹³, 40R¹³, 20I⁵, 40K¹³, 50C⁷, 60C¹⁵, 40AC⁷, 40X¹⁷, 40V¹⁵, 70B¹⁹, 20F¹³, 80AD²¹, 20R³, 80BD¹⁷, 80I²¹, 80C²¹, 80AC²¹, 50E¹³, 40AR¹⁷, 80M¹⁹, 30J¹³, 20J³, 80Q²¹, 80G²¹, 60AB¹⁵, 40K⁹, 40W⁷, 40AD¹⁵, 30P¹³, 40W¹⁵, 60L¹⁵, 80P¹⁵, 40U¹⁵, 80N¹⁹, 30F⁷, 40M⁷, 20J⁷, 10K¹, 100Q¹⁹, 20I³, 80Z¹⁷, 50C¹³, 70G¹⁹, 10A¹³, 40Y¹⁵, 40L⁷, 60L¹⁹, 20E¹³, 40X⁷, 60N¹⁵, 40Y¹⁷, 40I⁹, 40AE¹⁷, 40A¹⁹, 60K¹⁹, 40T¹⁷, 60AA¹⁵, 20K⁷, 20D¹⁹, 40C¹⁹, 40X¹⁵, 80W¹⁷, 80O¹⁵, 40Q¹³, 30H¹³, 60S¹⁷, 40W¹⁷, 50D¹³, 40AH¹⁷, 80P²¹, 80R²¹, 10A⁷, 20C¹⁹, 40V¹⁷, 100P¹⁹, 40AB¹⁵, 40U¹⁷, 40J⁹, 50A¹³, 30I¹³, 40J¹³, 40AD¹⁷, 80L¹⁹, 60D¹⁵, 80D²¹, 20F⁹, 40B¹⁹, 80N¹⁵</t>
        </is>
      </c>
    </row>
    <row r="158">
      <c r="A158">
        <f>HYPERLINK("https://mathstats.uncg.edu/sites/pauli/congruence/csg1.html#group10H1", "10H¹")</f>
        <v/>
      </c>
      <c r="B158" t="n">
        <v>1</v>
      </c>
      <c r="C158" t="inlineStr"/>
      <c r="D158" t="inlineStr">
        <is>
          <t>40</t>
        </is>
      </c>
      <c r="E158" t="inlineStr">
        <is>
          <t>1</t>
        </is>
      </c>
      <c r="F158" t="inlineStr">
        <is>
          <t>10</t>
        </is>
      </c>
      <c r="G158" t="inlineStr">
        <is>
          <t>0</t>
        </is>
      </c>
      <c r="H158" t="inlineStr">
        <is>
          <t>4</t>
        </is>
      </c>
      <c r="I158" t="inlineStr">
        <is>
          <t>10⁴</t>
        </is>
      </c>
      <c r="J158" t="n">
        <v>4</v>
      </c>
      <c r="K158" t="inlineStr">
        <is>
          <t>2¹, 4²</t>
        </is>
      </c>
      <c r="L158" t="inlineStr">
        <is>
          <t>5F⁰, 10A⁰, 10D⁰, 10C¹</t>
        </is>
      </c>
      <c r="M158" t="inlineStr">
        <is>
          <t>10D³, 20N³, 10A⁵, 10B⁵, 30G⁷, 30H⁷, 30C⁸, 20A⁹, 30B⁹, 30N⁹, 50F⁹, 70E²¹, 70G²¹</t>
        </is>
      </c>
      <c r="N158" t="inlineStr">
        <is>
          <t>2A⁰, 5A⁰, 10A⁰, 10D⁰, 5C⁰, 5F⁰, 10C¹, 1A⁰</t>
        </is>
      </c>
      <c r="O158" t="inlineStr">
        <is>
          <t>40B²¹, 60A¹⁷, 10A¹³, 30G⁷, 20A¹⁷, 30K¹⁷, 10A⁵, 20B¹¹, 10D³, 30B⁹, 60Q¹⁵, 60R²¹, 70G²¹, 20N³, 60B¹⁹, 40A²¹, 30E¹⁷, 10B⁵, 60D¹⁹, 60S²¹, 30C⁸, 30B²², 20A¹³, 30H⁷, 20A⁹, 20A¹⁵, 60P¹⁵, 20A¹¹, 100R¹⁹, 50F⁹, 20C¹⁵, 70E²¹, 30N⁹</t>
        </is>
      </c>
    </row>
    <row r="159">
      <c r="A159">
        <f>HYPERLINK("https://mathstats.uncg.edu/sites/pauli/congruence/csg1.html#group10I1", "10I¹")</f>
        <v/>
      </c>
      <c r="B159" t="n">
        <v>1</v>
      </c>
      <c r="C159" t="inlineStr"/>
      <c r="D159" t="inlineStr">
        <is>
          <t>45</t>
        </is>
      </c>
      <c r="E159" t="inlineStr">
        <is>
          <t>1</t>
        </is>
      </c>
      <c r="F159" t="inlineStr">
        <is>
          <t>15</t>
        </is>
      </c>
      <c r="G159" t="inlineStr">
        <is>
          <t>3</t>
        </is>
      </c>
      <c r="H159" t="inlineStr">
        <is>
          <t>0</t>
        </is>
      </c>
      <c r="I159" t="inlineStr">
        <is>
          <t>5³, 10³</t>
        </is>
      </c>
      <c r="J159" t="n">
        <v>6</v>
      </c>
      <c r="K159" t="inlineStr">
        <is>
          <t>1³, 4³</t>
        </is>
      </c>
      <c r="L159" t="inlineStr">
        <is>
          <t>5E⁰, 10B¹</t>
        </is>
      </c>
      <c r="M159" t="inlineStr">
        <is>
          <t>10F², 10C³, 20P³, 10A⁴, 20D⁴, 20E⁴, 20C⁵, 30P⁷, 30F¹⁰, 50B¹¹, 70A²²</t>
        </is>
      </c>
      <c r="N159" t="inlineStr">
        <is>
          <t>5E⁰, 5A⁰, 2B⁰, 1A⁰, 10B¹</t>
        </is>
      </c>
      <c r="O159" t="inlineStr">
        <is>
          <t>20B¹⁷, 20D⁴, 30C¹⁶, 30A²², 20A¹⁹, 40I²³, 30C²², 30F¹⁰, 20C²², 20E¹⁰, 40F²⁴, 60J¹⁹, 20A²⁰, 40A¹³, 40H²², 80H²², 30P⁷, 20F¹⁰, 40E¹⁰, 40A¹², 10F², 20C¹⁰, 40J²², 40G²¹, 80G²², 40B²⁰, 30B¹⁶, 20P⁷, 10A⁶, 80C²², 30D¹⁶, 40C²², 40A²⁰, 20B²¹, 40E²⁴, 80B²², 40G²³, 50B²⁴, 20B⁹, 20A²¹, 20B²⁰, 40G²², 40AJ¹⁵, 20C⁸, 20C⁹, 40F²³, 40F²¹, 30B¹⁹, 70A²², 10C³, 20A²², 80D²², 40L²², 40C¹⁰, 40J²³, 40C²⁴, 40H²³, 40F¹⁰, 40D²³, 10A¹³, 60D²², 50A²⁴, 20E⁴, 20C²¹, 30F¹⁷, 40A²², 60I¹⁹, 80A²⁴, 80F²², 40I²¹, 50D²², 50B¹¹, 60J¹⁸, 40D²², 40D²⁴, 40E¹¹, 40B²², 20A¹⁰, 20D⁶, 20D¹⁹, 40K²², 60H¹⁹, 40N²², 20C⁵, 20D¹⁰, 20P³, 10B⁴, 40E²², 20B¹⁰, 40G¹⁰, 60A²², 80E²², 20D⁹, 20B²², 40F²², 40I²², 60M¹⁷, 10A⁴, 40B²⁴, 40A²⁴, 10A⁷, 20C¹⁹, 30A¹⁹, 60D¹⁶, 40M²², 60F¹⁶, 20I¹⁵, 40H²¹, 40E²³, 40M¹⁹, 20B¹⁹, 20G¹³, 40L¹⁹, 60E¹⁶, 40C²³, 30E¹⁶, 40D¹⁰, 30F¹⁵</t>
        </is>
      </c>
    </row>
    <row r="160">
      <c r="A160">
        <f>HYPERLINK("https://mathstats.uncg.edu/sites/pauli/congruence/csg1.html#group10J1", "10J¹")</f>
        <v/>
      </c>
      <c r="B160" t="n">
        <v>1</v>
      </c>
      <c r="C160" t="inlineStr"/>
      <c r="D160" t="inlineStr">
        <is>
          <t>60</t>
        </is>
      </c>
      <c r="E160" t="inlineStr">
        <is>
          <t>1</t>
        </is>
      </c>
      <c r="F160" t="inlineStr">
        <is>
          <t>60</t>
        </is>
      </c>
      <c r="G160" t="inlineStr">
        <is>
          <t>4</t>
        </is>
      </c>
      <c r="H160" t="inlineStr">
        <is>
          <t>3</t>
        </is>
      </c>
      <c r="I160" t="inlineStr">
        <is>
          <t>10⁶</t>
        </is>
      </c>
      <c r="J160" t="n">
        <v>6</v>
      </c>
      <c r="K160" t="inlineStr">
        <is>
          <t>4¹⁵</t>
        </is>
      </c>
      <c r="L160" t="inlineStr">
        <is>
          <t>10D⁰</t>
        </is>
      </c>
      <c r="M160" t="inlineStr">
        <is>
          <t>10D³, 20H⁵, 10A⁶, 30G¹⁰, 20A¹², 30A¹⁴, 50A¹⁷</t>
        </is>
      </c>
      <c r="N160" t="inlineStr">
        <is>
          <t>5C⁰, 1A⁰, 10D⁰</t>
        </is>
      </c>
      <c r="O160" t="inlineStr">
        <is>
          <t>20B¹⁷, 10A¹³, 20H⁵, 30B²², 30E²¹, 20B¹⁹, 10D³, 20A¹², 20A¹¹, 30I²³, 20I¹⁵, 30G¹⁰, 30A¹⁴, 20A²¹, 50A¹⁷, 10A⁶</t>
        </is>
      </c>
    </row>
    <row r="161">
      <c r="A161">
        <f>HYPERLINK("https://mathstats.uncg.edu/sites/pauli/congruence/csg1.html#group10K1", "10K¹")</f>
        <v/>
      </c>
      <c r="B161" t="n">
        <v>1</v>
      </c>
      <c r="C161" t="inlineStr"/>
      <c r="D161" t="inlineStr">
        <is>
          <t>72</t>
        </is>
      </c>
      <c r="E161" t="inlineStr">
        <is>
          <t>1</t>
        </is>
      </c>
      <c r="F161" t="inlineStr">
        <is>
          <t>6</t>
        </is>
      </c>
      <c r="G161" t="inlineStr">
        <is>
          <t>0</t>
        </is>
      </c>
      <c r="H161" t="inlineStr">
        <is>
          <t>0</t>
        </is>
      </c>
      <c r="I161" t="inlineStr">
        <is>
          <t>2⁶, 10⁶</t>
        </is>
      </c>
      <c r="J161" t="n">
        <v>12</v>
      </c>
      <c r="K161" t="inlineStr">
        <is>
          <t>1², 4¹</t>
        </is>
      </c>
      <c r="L161" t="inlineStr">
        <is>
          <t>10F⁰, 10G⁰, 10D¹, 10G¹</t>
        </is>
      </c>
      <c r="M161" t="inlineStr">
        <is>
          <t>20R³, 20I⁵, 20J⁷, 10A¹³, 30H¹³, 30P¹³, 50E¹³</t>
        </is>
      </c>
      <c r="N161" t="inlineStr">
        <is>
          <t>2A⁰, 10G⁰, 5B⁰, 10C⁰, 10A¹, 5D⁰, 2B⁰, 10D¹, 1A⁰, 2C⁰, 10F⁰, 10G¹, 10B⁰</t>
        </is>
      </c>
      <c r="O161" t="inlineStr">
        <is>
          <t>10A¹³, 40R¹³, 20I⁵, 20E¹³, 30P¹³, 40K¹³, 40Y¹⁷, 20F¹³, 40J¹³, 40T¹⁷, 20R³, 20J⁷, 50E¹³, 20F⁹, 40Q¹³, 30H¹³</t>
        </is>
      </c>
    </row>
    <row r="162">
      <c r="A162">
        <f>HYPERLINK("https://mathstats.uncg.edu/sites/pauli/congruence/csg1.html#group11A1", "11A¹")</f>
        <v/>
      </c>
      <c r="B162" t="n">
        <v>1</v>
      </c>
      <c r="C162" t="inlineStr">
        <is>
          <t>Γ₀(11)</t>
        </is>
      </c>
      <c r="D162" t="inlineStr">
        <is>
          <t>12</t>
        </is>
      </c>
      <c r="E162" t="inlineStr">
        <is>
          <t>1</t>
        </is>
      </c>
      <c r="F162" t="inlineStr">
        <is>
          <t>12</t>
        </is>
      </c>
      <c r="G162" t="inlineStr">
        <is>
          <t>0</t>
        </is>
      </c>
      <c r="H162" t="inlineStr">
        <is>
          <t>0</t>
        </is>
      </c>
      <c r="I162" t="inlineStr">
        <is>
          <t>1¹, 11¹</t>
        </is>
      </c>
      <c r="J162" t="n">
        <v>2</v>
      </c>
      <c r="K162" t="inlineStr">
        <is>
          <t>1², 10¹</t>
        </is>
      </c>
      <c r="L162" t="inlineStr">
        <is>
          <t>1A⁰</t>
        </is>
      </c>
      <c r="M162" t="inlineStr">
        <is>
          <t>11D¹, 22A², 22C², 33A³, 33C³, 44B⁴, 55A⁵, 55B⁵, 11A⁶, 121A⁶, 77A⁷, 77B⁷, 55A⁹, 143A¹³, 187A¹⁷, 209A¹⁹, 253A²³</t>
        </is>
      </c>
      <c r="N162" t="inlineStr">
        <is>
          <t>1A⁰</t>
        </is>
      </c>
      <c r="O162" t="inlineStr">
        <is>
          <t>88G¹⁹, 66A¹⁷, 132B¹⁵, 154B¹⁵, 66B²¹, 264A²⁴, 176G²³, 110B²¹, 88C²¹, 198C¹⁸, 132A¹⁵, 77A¹³, 88G²¹, 55A¹⁷, 33B¹⁷, 176D¹⁹, 66B⁶, 22A⁶, 132E²³, 33A⁹, 66C¹⁶, 198C²¹, 176F¹⁹, 110B¹¹, 176B²¹, 33C²¹, 99B¹⁷, 88C¹⁹, 264B²⁴, 99C¹⁵, 99B¹¹, 22C⁶, 44B⁵, 55A⁵, 22C², 88A²², 154A¹⁴, 132B²³, 198F²³, 88E²¹, 88A¹⁷, 22A², 22A¹⁷, 132C¹⁹, 132C²¹, 132A¹², 132G²³, 99C⁹, 242A²², 132C²³, 132D²³, 220B²³, 66B¹⁹, 132C¹⁶, 33C³, 88E²⁰, 88B¹⁹, 88H²¹, 110B¹⁹, 176D²⁰, 165A¹⁵, 176C²³, 132B¹², 198D¹⁸, 154A²⁰, 44D⁴, 154A¹⁵, 11D¹, 220A²³, 44A¹³, 44A⁸, 88F²¹, 44A⁴, 44B¹⁹, 55A¹³, 165A¹⁹, 176C²¹, 165A¹⁷, 99B²¹, 99C¹¹, 88C¹¹, 88A⁸, 176H²³, 198B¹⁸, 55A²¹, 88F¹⁹, 33B⁵, 132A¹⁷, 44C¹⁰, 132B²¹, 88H¹⁹, 132F²³, 88B⁹, 132C¹², 22A⁴, 110A¹⁵, 44D¹⁷, 176A²³, 66C¹⁹, 66D²¹, 88C⁸, 55B⁵, 77B¹⁹, 176C²², 110C¹¹, 88E¹⁹, 99A¹⁷, 176E²³, 242A¹⁷, 99C¹⁷, 66A¹³, 66B⁷, 88C¹⁰, 66A⁸, 88B¹⁵, 132B¹⁷, 55B¹⁷, 198E²³, 99A⁹, 209A¹⁹, 220B²⁰, 44C¹⁶, 11A⁶, 220A²⁰, 88D¹⁹, 176E¹⁹, 132D¹⁹, 77A⁷, 198B²¹, 88B¹⁰, 33A¹¹, 198B²³, 253A²³, 198D²¹, 66A¹⁵, 77B¹³, 77B⁷, 231A²¹, 154B¹⁴, 132D¹², 66C²¹, 44B¹⁰, 22A¹⁶, 110A¹⁹, 165B²¹, 66C¹¹, 66B¹⁶, 176A¹⁶, 44B¹⁶, 176D²³, 66D⁶, 66B¹¹, 44B⁴, 88B¹¹, 44C²¹, 44B⁹, 44B⁸, 198D²³, 132C¹⁵, 176B²³, 198A¹⁸, 44A¹⁹, 231A²³, 66A⁹, 176F²³, 33A⁵, 44A¹⁶, 132B¹⁶, 132H²³, 132A²³, 110C²¹, 55A⁹, 154B²¹, 110A¹⁰, 198C²³, 77A¹⁹, 88A¹⁵, 176G¹⁹, 88C¹⁵, 33B²¹, 110A¹⁴, 198A²³, 33A³, 187A¹⁷, 66A⁷, 22A²², 220D²³, 231B²³, 99A²¹, 88D²¹, 220C²³, 121A⁶, 143A¹³, 55B²¹, 33B¹¹, 66C⁶, 55B⁹, 44A⁷, 165B¹⁵</t>
        </is>
      </c>
    </row>
    <row r="163">
      <c r="A163">
        <f>HYPERLINK("https://mathstats.uncg.edu/sites/pauli/congruence/csg1.html#group11B1", "11B¹")</f>
        <v/>
      </c>
      <c r="B163" t="n">
        <v>1</v>
      </c>
      <c r="C163" t="inlineStr"/>
      <c r="D163" t="inlineStr">
        <is>
          <t>55</t>
        </is>
      </c>
      <c r="E163" t="inlineStr">
        <is>
          <t>1</t>
        </is>
      </c>
      <c r="F163" t="inlineStr">
        <is>
          <t>55</t>
        </is>
      </c>
      <c r="G163" t="inlineStr">
        <is>
          <t>3</t>
        </is>
      </c>
      <c r="H163" t="inlineStr">
        <is>
          <t>4</t>
        </is>
      </c>
      <c r="I163" t="inlineStr">
        <is>
          <t>11⁵</t>
        </is>
      </c>
      <c r="J163" t="n">
        <v>5</v>
      </c>
      <c r="K163" t="inlineStr">
        <is>
          <t>5¹, 10⁵</t>
        </is>
      </c>
      <c r="L163" t="inlineStr">
        <is>
          <t>11A⁰</t>
        </is>
      </c>
      <c r="M163" t="inlineStr">
        <is>
          <t>11A⁵, 22B⁵, 11A⁸, 33A⁸, 33B⁸, 22B⁹, 33B¹⁰, 33A¹³, 44A¹⁴, 55A¹⁸, 55A²²</t>
        </is>
      </c>
      <c r="N163" t="inlineStr">
        <is>
          <t>11A⁰, 1A⁰</t>
        </is>
      </c>
      <c r="O163" t="inlineStr">
        <is>
          <t>22B¹⁷, 66A²², 22B⁵, 66A²³, 33B⁸, 11A⁸, 44B²¹, 55A¹⁸, 33B¹⁰, 66A²⁴, 44A¹⁴, 66B²², 66C²², 22B⁹, 33B²², 22C²¹, 11A⁵, 44A²², 11A¹², 55A²², 33A⁸, 33A¹³, 22B¹⁸, 22B²¹, 66B²⁴</t>
        </is>
      </c>
    </row>
    <row r="164">
      <c r="A164">
        <f>HYPERLINK("https://mathstats.uncg.edu/sites/pauli/congruence/csg1.html#group11C1", "11C¹")</f>
        <v/>
      </c>
      <c r="B164" t="n">
        <v>1</v>
      </c>
      <c r="C164" t="inlineStr"/>
      <c r="D164" t="inlineStr">
        <is>
          <t>55</t>
        </is>
      </c>
      <c r="E164" t="inlineStr">
        <is>
          <t>1</t>
        </is>
      </c>
      <c r="F164" t="inlineStr">
        <is>
          <t>55</t>
        </is>
      </c>
      <c r="G164" t="inlineStr">
        <is>
          <t>7</t>
        </is>
      </c>
      <c r="H164" t="inlineStr">
        <is>
          <t>1</t>
        </is>
      </c>
      <c r="I164" t="inlineStr">
        <is>
          <t>11⁵</t>
        </is>
      </c>
      <c r="J164" t="n">
        <v>5</v>
      </c>
      <c r="K164" t="inlineStr">
        <is>
          <t>5¹, 10⁵</t>
        </is>
      </c>
      <c r="L164" t="inlineStr">
        <is>
          <t>1A⁰</t>
        </is>
      </c>
      <c r="M164" t="inlineStr">
        <is>
          <t>11A³, 11A⁴, 22B⁴, 11A⁵, 22C⁵, 22A⁷, 33A⁷, 22A⁸, 44B¹³, 33A¹⁴, 55A¹⁹, 55A²⁰</t>
        </is>
      </c>
      <c r="N164" t="inlineStr">
        <is>
          <t>1A⁰</t>
        </is>
      </c>
      <c r="O164" t="inlineStr">
        <is>
          <t>33A¹⁹, 22A⁷, 33A⁷, 22A¹³, 22B⁴, 33A¹⁴, 33A²¹, 11A⁸, 66B¹⁷, 44B²², 66D¹⁹, 44A²³, 11A³, 11A⁵, 11A¹², 33A¹⁸, 22B¹⁸, 22C¹⁸, 44A¹⁸, 22C⁵, 22B¹⁰, 22A¹⁸, 22C¹⁷, 44B¹³, 66E²¹, 44C¹⁹, 22A¹², 22A¹⁹, 66B²⁰, 44A²¹, 33C¹⁷, 11A⁴, 55A²⁰, 66D²², 22A²¹, 33A²², 55A¹⁹, 44B²⁰, 22B¹³, 33A²⁰, 22A⁸, 22D¹⁷, 22B²¹</t>
        </is>
      </c>
    </row>
    <row r="165">
      <c r="A165">
        <f>HYPERLINK("https://mathstats.uncg.edu/sites/pauli/congruence/csg1.html#group11D1", "11D¹")</f>
        <v/>
      </c>
      <c r="B165" t="n">
        <v>1</v>
      </c>
      <c r="C165" t="inlineStr">
        <is>
          <t>Γ₁(11)</t>
        </is>
      </c>
      <c r="D165" t="inlineStr">
        <is>
          <t>60</t>
        </is>
      </c>
      <c r="E165" t="inlineStr">
        <is>
          <t>1</t>
        </is>
      </c>
      <c r="F165" t="inlineStr">
        <is>
          <t>12</t>
        </is>
      </c>
      <c r="G165" t="inlineStr">
        <is>
          <t>0</t>
        </is>
      </c>
      <c r="H165" t="inlineStr">
        <is>
          <t>0</t>
        </is>
      </c>
      <c r="I165" t="inlineStr">
        <is>
          <t>1⁵, 11⁵</t>
        </is>
      </c>
      <c r="J165" t="n">
        <v>10</v>
      </c>
      <c r="K165" t="inlineStr">
        <is>
          <t>1², 10¹</t>
        </is>
      </c>
      <c r="L165" t="inlineStr">
        <is>
          <t>11A¹</t>
        </is>
      </c>
      <c r="M165" t="inlineStr">
        <is>
          <t>22A⁶, 22C⁶, 33A¹¹, 33B¹¹, 44B¹⁶, 55A²¹, 55B²¹</t>
        </is>
      </c>
      <c r="N165" t="inlineStr">
        <is>
          <t>1A⁰, 11A¹</t>
        </is>
      </c>
      <c r="O165" t="inlineStr">
        <is>
          <t>22A¹⁶, 44C¹⁶, 44B¹⁶, 33A¹¹, 55B²¹, 33B²¹, 33B¹¹, 22C⁶, 44C²¹, 44A¹⁶, 22A⁶, 55A²¹, 33C²¹</t>
        </is>
      </c>
    </row>
    <row r="166">
      <c r="A166">
        <f>HYPERLINK("https://mathstats.uncg.edu/sites/pauli/congruence/csg1.html#group12A1", "12A¹")</f>
        <v/>
      </c>
      <c r="B166" t="n">
        <v>1</v>
      </c>
      <c r="C166" t="inlineStr"/>
      <c r="D166" t="inlineStr">
        <is>
          <t>16</t>
        </is>
      </c>
      <c r="E166" t="inlineStr">
        <is>
          <t>1</t>
        </is>
      </c>
      <c r="F166" t="inlineStr">
        <is>
          <t>16</t>
        </is>
      </c>
      <c r="G166" t="inlineStr">
        <is>
          <t>0</t>
        </is>
      </c>
      <c r="H166" t="inlineStr">
        <is>
          <t>1</t>
        </is>
      </c>
      <c r="I166" t="inlineStr">
        <is>
          <t>4¹, 12¹</t>
        </is>
      </c>
      <c r="J166" t="n">
        <v>2</v>
      </c>
      <c r="K166" t="inlineStr">
        <is>
          <t>2⁴, 4²</t>
        </is>
      </c>
      <c r="L166" t="inlineStr">
        <is>
          <t>3B⁰, 4A⁰</t>
        </is>
      </c>
      <c r="M166" t="inlineStr">
        <is>
          <t>12I¹, 12G², 24A², 12B³, 36B³, 36C³, 24C⁴, 36C⁴, 60A⁶, 60F⁷, 84A⁹, 84D⁹, 60A¹², 132A¹⁴, 132C¹⁵, 156A¹⁷, 204C²³</t>
        </is>
      </c>
      <c r="N166" t="inlineStr">
        <is>
          <t>3B⁰, 1A⁰, 4A⁰</t>
        </is>
      </c>
      <c r="O166" t="inlineStr">
        <is>
          <t>96AI²³, 36B²¹, 36J¹⁰, 24A², 36H¹⁰, 48A¹⁸, 60K¹³, 24D⁷, 12A⁵, 60D¹⁸, 60M¹³, 72K¹¹, 72D²², 72H²¹, 24F¹¹, 108C⁹, 108B¹², 36I⁷, 60B²³, 72A⁷, 84A⁹, 84B¹⁷, 24AJ⁹, 24B¹¹, 48CF²¹, 36F¹⁶, 48CO²¹, 24B⁶, 96AJ²³, 36B³, 36F⁵, 24AC⁹, 36J¹⁹, 72B²⁴, 48L¹³, 24AO¹⁷, 204C²³, 72A⁶, 24AF⁷, 72A¹⁵, 36H¹¹, 72G²¹, 48BO¹⁹, 72Y²¹, 144V²³, 216A²¹, 24AG⁷, 108A¹⁹, 24D¹¹, 60L¹³, 36K¹⁰, 108A²², 72B²⁰, 72Y¹⁵, 24F³, 132A¹⁴, 48CD²¹, 108A²¹, 48U¹³, 120A¹², 48B²³, 216A²³, 72R²¹, 72D¹⁵, 156A¹⁷, 60G¹⁸, 48I¹⁰, 24R⁴, 24AI⁹, 36C⁴, 12G², 12K³, 72O¹⁹, 108C¹¹, 96AL²³, 36C¹¹, 72A²⁰, 36B⁷, 180A¹⁸, 24H¹³, 36L¹⁰, 24E²¹, 72L¹¹, 24A²¹, 72A¹⁴, 48CB²¹, 180C¹⁹, 72C²², 36A⁷, 180C²⁰, 12D⁴, 216A²², 12A¹³, 24G¹¹, 108C¹⁹, 36A¹⁹, 24D¹⁷, 120K²³, 108D¹⁷, 48AB¹¹, 24C¹³, 72C²⁰, 24K⁵, 120L²³, 108D¹⁰, 12B³, 72A²², 36G¹⁷, 144A¹⁶, 60A¹², 24A¹³, 24G³, 120D¹⁵, 72B²², 24J¹⁹, 24AN¹⁷, 24A²⁴, 24J²¹, 180C¹⁸, 216A²⁰, 60C¹⁹, 60F⁷, 180E²⁰, 36T¹³, 36N⁹, 72R¹⁷, 12C⁷, 84Q¹⁷, 24Q⁵, 24J⁵, 180G²¹, 24AF⁹, 72F²¹, 72O²¹, 168C¹⁸, 36H¹⁷, 72J¹¹, 72E²¹, 48A¹⁴, 60A⁶, 36O⁴, 12E⁵, 36G⁵, 24C¹⁵, 24D²¹, 60T²¹, 72B¹⁵, 24AP¹⁷, 168A¹⁹, 36A²¹, 48BP¹⁹, 144A¹⁵, 168B¹⁸, 120C¹⁵, 36F¹⁹, 48A²³, 48H¹⁰, 48Z¹¹, 36D¹⁷, 24G¹³, 12R¹, 36M⁹, 48CE²¹, 36C¹⁷, 108E¹⁷, 48K⁷, 168D¹⁸, 60C²³, 60A²³, 48Y¹¹, 36G¹⁹, 216A²⁴, 24A¹¹, 96AK²³, 72I¹¹, 240A²⁴, 48F¹³, 36C³, 24H²¹, 108C²¹, 36I¹⁹, 60E²¹, 108D²¹, 48A⁴, 48CN²¹, 48E¹³, 72B¹³, 24C²¹, 24G²¹, 72A¹³, 24I¹¹, 24AT¹⁷, 24F²¹, 72Z²¹, 84D⁹, 168A¹⁸, 48D¹⁵, 12F⁷, 84C¹⁷, 24B²¹, 108E¹⁰, 72A⁸, 72Q¹⁷, 24AB¹³, 36B¹³, 36B¹⁹, 72F²³, 48C²³, 48H¹³, 132C¹⁵, 12A⁹, 48L⁷, 36E¹⁷, 72E¹⁵, 72C¹³, 216B²², 60I¹⁸, 36I⁹, 84A¹⁷, 108B²¹, 24E¹⁷, 48G¹³, 72D¹³, 84P¹⁷, 36H⁹, 24C⁴, 36G⁹, 72E¹³, 24H¹¹, 12I¹, 36A¹³, 36B⁶, 48AA¹¹, 24B¹³, 48K¹³, 48D²³, 108A²³, 84O¹⁷, 108D¹¹, 72C¹⁵, 24E¹¹, 36F¹⁷, 24E⁷, 180B¹⁹, 180J²³, 36H¹⁹, 48A¹⁷, 108A²⁰, 144A¹², 36E¹⁹, 24F⁷, 144U²³, 36M⁷, 168B¹⁹, 60N¹⁹, 180I²³, 108B¹⁹, 60J¹¹, 24I¹³, 24I²¹</t>
        </is>
      </c>
    </row>
    <row r="167">
      <c r="A167">
        <f>HYPERLINK("https://mathstats.uncg.edu/sites/pauli/congruence/csg1.html#group12B1", "12B¹")</f>
        <v/>
      </c>
      <c r="B167" t="n">
        <v>1</v>
      </c>
      <c r="C167" t="inlineStr"/>
      <c r="D167" t="inlineStr">
        <is>
          <t>18</t>
        </is>
      </c>
      <c r="E167" t="inlineStr">
        <is>
          <t>1</t>
        </is>
      </c>
      <c r="F167" t="inlineStr">
        <is>
          <t>3</t>
        </is>
      </c>
      <c r="G167" t="inlineStr">
        <is>
          <t>0</t>
        </is>
      </c>
      <c r="H167" t="inlineStr">
        <is>
          <t>0</t>
        </is>
      </c>
      <c r="I167" t="inlineStr">
        <is>
          <t>3², 12¹</t>
        </is>
      </c>
      <c r="J167" t="n">
        <v>3</v>
      </c>
      <c r="K167" t="inlineStr">
        <is>
          <t>1³</t>
        </is>
      </c>
      <c r="L167" t="inlineStr">
        <is>
          <t>4B⁰, 6D⁰</t>
        </is>
      </c>
      <c r="M167" t="inlineStr">
        <is>
          <t>12K¹, 12B², 12D², 24B², 24D², 36D⁴, 60A⁷, 60H⁷, 84A¹⁰, 84B¹⁰, 60A¹³, 132A¹⁶, 132B¹⁶, 156A¹⁹</t>
        </is>
      </c>
      <c r="N167" t="inlineStr">
        <is>
          <t>2B⁰, 3A⁰, 4B⁰, 1A⁰, 6D⁰</t>
        </is>
      </c>
      <c r="O167" t="inlineStr">
        <is>
          <t>60A¹³, 192E²³, 60H⁷, 48I²¹, 96A¹⁸, 48N⁹, 72E¹⁶, 12G³, 48W¹³, 48AC⁹, 36E¹⁶, 36L²², 48AH²¹, 48U¹⁷, 36B¹⁵, 96W²¹, 96L²¹, 36C¹³, 24G⁷, 48J⁸, 24K³, 96S¹⁹, 48BS²¹, 48I¹¹, 24A⁸, 24V⁷, 96C²¹, 96E²¹, 24S⁹, 48B¹⁸, 48I¹⁹, 168A²², 168F²⁰, 96Q²¹, 96AW¹⁹, 96M²¹, 192H²³, 72R¹⁵, 24G⁸, 24I¹⁵, 48A¹¹, 48Y¹³, 48E¹⁹, 24I⁹, 96E¹⁹, 60M¹⁵, 24Z⁹, 24G¹⁹, 48Q²¹, 48BQ²¹, 168C²¹, 24A¹⁰, 48AD¹⁷, 132A¹⁶, 72I¹⁶, 96N²¹, 12E⁷, 168D²⁰, 72B¹⁶, 192J²³, 72F¹⁶, 48AA¹⁷, 24F¹⁷, 24B¹⁹, 48A¹⁹, 48P¹⁹, 48AW¹⁹, 48B¹¹, 12A¹³, 24N⁴, 24M⁴, 24D¹⁵, 72H¹⁶, 48BR²¹, 84D¹⁹, 48X⁷, 144C¹⁷, 24F⁴, 36L¹¹, 36E²¹, 96C¹⁸, 24U¹⁷, 96A⁹, 36N⁷, 96K¹⁹, 24N⁷, 48Y⁸, 180A²², 192B²¹, 96M¹⁵, 168C²², 48B⁴, 96AR²¹, 48N²¹, 48AA⁹, 48P⁹, 96F¹¹, 36O¹⁹, 48N¹⁵, 72C⁸, 24F⁸, 48D⁸, 96N¹⁵, 48K²¹, 24C¹⁹, 72H²², 60D¹⁴, 24E¹⁵, 192B¹⁹, 48D¹⁸, 48H¹⁹, 120I¹⁵, 96D²¹, 48W¹⁷, 48M¹¹, 24T⁷, 72Q¹¹, 192D²¹, 12B², 48F⁴, 144D¹⁶, 48Y¹⁷, 48L²¹, 24AJ¹⁷, 48R²¹, 48AA¹⁹, 84J²⁰, 24Z¹⁷, 48AC¹⁷, 72C¹⁷, 48Y²¹, 48E¹⁵, 24P¹⁷, 48V¹³, 24K¹⁹, 96A¹⁹, 48E¹⁰, 24A¹⁵, 48D⁴, 12O³, 96C¹⁹, 48K¹⁵, 84A¹⁹, 72Q¹⁶, 24N¹³, 48K¹⁹, 24G¹⁷, 24J⁴, 24Q¹⁷, 60N¹³, 36B⁸, 24H¹⁹, 72J¹⁶, 96F²¹, 120F¹⁵, 168B²¹, 48AL²¹, 24J¹⁵, 24D⁹, 48AB¹⁷, 192D¹⁹, 24C⁸, 48AJ²¹, 24R¹⁷, 24M¹³, 24Y¹⁷, 48P¹⁵, 24L³, 96B¹⁹, 144E¹⁶, 192C²³, 72G¹⁵, 96I²³, 12K¹, 12B⁵, 96B²¹, 12D², 192A²², 48D¹⁷, 72G²², 72A¹⁶, 96A¹⁰, 24G⁹, 96Z¹⁹, 48P²¹, 96B¹⁸, 48E⁸, 96B¹¹, 132B¹⁶, 24I⁷, 36N¹¹, 144B¹⁷, 60T¹³, 96F¹⁹, 48F¹¹, 24U⁷, 156A¹⁹, 192A¹⁹, 36Q¹⁰, 24V¹⁷, 24D⁸, 84A²¹, 192C¹⁹, 96AB²¹, 192F²³, 96D¹⁸, 192C²¹, 96F²³, 48F¹⁷, 24S¹⁷, 48Q⁷, 48X¹⁷, 96O¹⁹, 96C²², 48C¹⁷, 84C²⁰, 84E²¹, 72C¹⁶, 48D¹⁹, 96AC¹⁷, 96B¹⁰, 96L²³, 48E¹⁷, 24D¹⁹, 96P²¹, 168B²⁰, 84G²⁰, 60A¹⁴, 36C⁸, 96O²³, 36N¹⁰, 72AB²¹, 24A⁵, 48C¹⁸, 96U²¹, 24I¹⁷, 48G¹⁷, 48Q¹⁹, 12A⁴, 192B¹⁸, 48AX¹⁹, 48H¹⁸, 96L¹⁷, 48O²¹, 24H⁸, 24J⁸, 48AN²¹, 24R⁵, 96A²², 24L⁹, 48J²¹, 24O¹³, 192A²¹, 24AP⁹, 24W¹⁷, 96C¹¹, 96I¹⁷, 192K²³, 48F¹⁵, 84A¹⁰, 84A²⁰, 48AK²¹, 36F²², 96E²³, 48B²², 24J¹⁷, 24AC³, 24K¹³, 96N¹⁹, 36D⁷, 144H¹⁶, 48M¹⁹, 48O¹⁹, 144C¹⁶, 36C⁷, 96P²³, 48F¹⁹, 120A¹⁴, 36D⁴, 48C⁸, 48O⁹, 48AM²¹, 36F⁸, 36D²², 24C⁹, 72D¹⁶, 48G¹⁸, 96D¹¹, 96K²¹, 96X²¹, 48AP¹⁹, 24X¹⁷, 48R¹⁹, 12S¹, 48S²¹, 96I¹⁹, 72K¹⁷, 96I²¹, 96G⁹, 24F¹⁵, 96P¹⁵, 48AU²¹, 48R⁷, 48L⁸, 84B¹⁰, 60H¹⁹, 48D¹¹, 72K¹⁶, 60C¹³, 48Z¹³, 96P¹⁹, 96D²³, 24B¹⁰, 96G²³, 192A²³, 96C²³, 48H¹⁷, 96J²³, 48G¹⁹, 96A¹¹, 72X¹⁷, 24H¹⁷, 96D¹⁹, 48D⁹, 24S¹⁹, 36K¹⁷, 24W⁷, 96V²¹, 48A⁹, 48B¹⁷, 12D⁷, 36B¹⁶, 120C¹⁴, 48B¹⁹, 36Q¹⁹, 24U⁹, 192B²², 48R¹⁵, 36I²², 36M¹⁹, 12C⁴, 48AP²¹, 48N¹⁹, 48AG²¹, 24C¹⁷, 96H¹⁹, 96H²¹, 24G⁴, 48AO²¹, 24F⁹, 72G¹⁶, 48I⁸, 48A¹⁰, 36K¹⁵, 96Q¹⁹, 48B⁹, 48Q¹⁵, 96A²¹, 72P¹⁶, 96G¹⁹, 36I¹⁵, 84C¹⁹, 96S²¹, 24J⁷, 96K²³, 48BT¹⁷, 24I⁸, 24F⁵, 48A²², 24B², 96G²¹, 24G¹⁵, 192A¹⁸, 48J¹⁷, 96AQ²¹, 168C²⁰, 24J¹³, 24I¹⁹, 48M⁸, 96M¹⁷, 192I²³, 24E⁸, 48G⁹, 48F⁹, 96A⁸, 72P¹¹, 60K¹⁵, 48F²¹, 48B⁵, 144A¹⁷, 48AR¹⁹, 48A⁵, 48W⁷, 48E⁹, 24A¹⁹, 48Z²¹, 72E⁸, 48K¹⁷, 48K⁸, 96AX¹⁹, 84K¹⁹, 48I¹⁸, 24D⁴, 96R¹⁹, 60A⁷, 192D²³, 96J²¹, 144B¹⁶, 48C⁹, 72K²², 24T¹⁷, 36A¹⁶, 36Q⁴, 12E³, 48C¹⁹, 48O¹⁵, 192B²³, 72L²², 96B²³, 48I¹⁷, 24I⁴, 48V¹⁷, 48Z¹⁷, 48Q⁹, 72B⁸, 72F¹⁵, 168A²⁰, 96E¹¹, 120J¹⁵, 24H¹⁵, 96R²¹, 36D¹⁵, 168E²⁰, 24F¹⁹, 96S¹⁷, 96A¹⁷, 60R¹³, 48Y⁷, 96T²¹, 192G²³, 96O²¹, 60B¹⁵, 48BP¹⁷, 24B¹⁵, 24E¹⁹, 24D², 12B⁷, 48AI²¹, 24J⁹, 96J¹⁷, 72S¹⁵, 144G¹⁶, 24A¹⁷, 84E²⁰, 120E¹⁵, 24H⁹, 24B¹⁷, 12B⁹, 24B⁸, 96K¹⁷, 48L¹⁹, 12B¹³, 84L²⁰, 48B¹⁰, 48G⁴, 72E¹⁷, 24L¹³, 48BS¹⁷, 96B⁸, 192L²³, 60D¹⁵, 48E²¹, 24T⁹, 24E⁴, 24P¹³, 96AS²¹</t>
        </is>
      </c>
    </row>
    <row r="168">
      <c r="A168">
        <f>HYPERLINK("https://mathstats.uncg.edu/sites/pauli/congruence/csg1.html#group12C1", "12C¹")</f>
        <v/>
      </c>
      <c r="B168" t="n">
        <v>1</v>
      </c>
      <c r="C168" t="inlineStr"/>
      <c r="D168" t="inlineStr">
        <is>
          <t>18</t>
        </is>
      </c>
      <c r="E168" t="inlineStr">
        <is>
          <t>1</t>
        </is>
      </c>
      <c r="F168" t="inlineStr">
        <is>
          <t>9</t>
        </is>
      </c>
      <c r="G168" t="inlineStr">
        <is>
          <t>2</t>
        </is>
      </c>
      <c r="H168" t="inlineStr">
        <is>
          <t>0</t>
        </is>
      </c>
      <c r="I168" t="inlineStr">
        <is>
          <t>6¹, 12¹</t>
        </is>
      </c>
      <c r="J168" t="n">
        <v>2</v>
      </c>
      <c r="K168" t="inlineStr">
        <is>
          <t>1³, 2³</t>
        </is>
      </c>
      <c r="L168" t="inlineStr">
        <is>
          <t>6D⁰</t>
        </is>
      </c>
      <c r="M168" t="inlineStr">
        <is>
          <t>12L¹, 12N¹, 12C², 12D², 12E², 36E³, 36E⁴, 60B⁷, 60I⁷, 84C⁹, 84B¹¹, 60E¹³, 132D¹⁵, 132B¹⁷, 156B¹⁹</t>
        </is>
      </c>
      <c r="N168" t="inlineStr">
        <is>
          <t>3A⁰, 1A⁰, 2B⁰, 6D⁰</t>
        </is>
      </c>
      <c r="O168" t="inlineStr">
        <is>
          <t>24Q⁴, 96Y²¹, 72K¹³, 48BE¹⁹, 48O¹⁷, 48M⁹, 36D¹², 48AI¹⁷, 24M¹⁹, 48AK¹⁷, 24L¹⁵, 12G³, 84H¹⁹, 24O⁹, 96AU²¹, 24AB¹⁷, 36E¹⁶, 48U¹⁷, 36P¹⁰, 36B¹⁵, 24R⁷, 48Z¹⁹, 96L²¹, 36R¹⁹, 24K¹⁵, 48AG¹⁷, 36E⁷, 36U¹⁹, 24Q¹³, 96S¹⁹, 36G⁷, 24AD¹⁷, 48V⁹, 36N¹⁵, 48AD²¹, 24V⁷, 36K⁵, 48M¹⁷, 48AL¹⁹, 24U¹³, 48AH¹⁷, 96W¹⁷, 36C¹⁵, 48I¹⁹, 48P¹⁷, 96AW¹⁹, 48AB²¹, 48BC²¹, 36D⁸, 72J¹³, 48BW²¹, 48B²¹, 180B²², 24I¹⁵, 84D²⁰, 48AC¹³, 48E¹⁹, 24I⁹, 48BJ¹⁷, 60M¹⁵, 24Z⁹, 48BI¹⁷, 48BQ²¹, 72V¹⁵, 48AD¹⁷, 96Z²³, 84H²⁰, 48AV²¹, 48BE²¹, 24AA¹⁷, 12E⁷, 48BG¹⁹, 48E¹¹, 24B¹⁹, 96AE²¹, 96AV²¹, 48P¹⁹, 48AF²¹, 48P¹¹, 48AW¹⁹, 36A²², 12A¹³, 60I⁷, 72K¹⁴, 12C⁵, 84D²¹, 36A²³, 96T²³, 24D¹⁵, 24O¹⁹, 24D¹⁷, 48G²¹, 72H¹², 84H¹⁸, 48M²¹, 36L¹¹, 36E²¹, 24U¹⁷, 24O⁷, 84E¹⁸, 24N⁷, 60F¹⁵, 48AF¹⁹, 36H⁵, 36C²², 96Q¹⁷, 96Y²³, 180N²³, 48AX¹⁷, 48N²¹, 48AA⁹, 84F²¹, 132D¹⁵, 24T⁵, 24F⁸, 48K²¹, 24C¹⁹, 72I¹⁵, 84H²¹, 48AZ¹⁷, 24E¹⁵, 60D¹⁴, 24N⁹, 48H¹⁹, 48AR¹⁷, 48W¹⁷, 72R¹⁶, 132B¹⁷, 84B²¹, 96AN²¹, 60E¹³, 48R²¹, 24AJ¹⁷, 36D²¹, 24O³, 48AA¹⁹, 24C¹⁵, 60W¹³, 36B²³, 36I¹¹, 96AO²¹, 24Z¹⁷, 48AC¹⁷, 84G¹⁸, 36S¹⁹, 24A⁹, 48Y²¹, 48E¹⁵, 48AE¹⁷, 24P¹⁷, 24K¹⁹, 48E¹⁰, 24AC¹⁷, 84B¹¹, 24A¹⁵, 72N¹¹, 24AG¹⁷, 48K¹⁵, 48AC²¹, 24Y¹³, 48K¹⁹, 24G¹⁷, 24J⁴, 24Q¹⁷, 36D¹³, 72J¹⁶, 72H¹⁵, 12L¹, 48AH¹⁹, 24R⁹, 72AA²¹, 24J¹⁵, 36D²³, 48BG²¹, 48AF¹⁷, 144X²³, 96V¹⁷, 24V⁹, 36G¹¹, 36T¹⁹, 24Y¹⁷, 24Q¹⁹, 24E⁹, 96T¹⁷, 60E¹⁴, 36E³, 12B⁵, 72I¹⁷, 12D², 84E¹⁹, 24G⁹, 84C⁹, 48H¹¹, 36N¹⁹, 12A¹¹, 48M⁷, 48P²¹, 96P¹⁷, 36M¹¹, 24I⁷, 36N¹¹, 24V¹⁷, 48X¹⁹, 24Z⁷, 12D⁵, 48AL¹⁷, 24N¹⁹, 48Z⁷, 48F¹⁷, 72A¹⁷, 24S¹⁷, 48W²¹, 36A⁸, 60Y¹³, 48X¹⁷, 96O¹⁹, 72C¹⁶, 84E²¹, 72I²³, 48AA⁷, 36C²³, 24H⁷, 24Y⁷, 48AM¹⁹, 84G²⁰, 48E¹⁷, 96AA²¹, 36I⁵, 24Q⁷, 24M⁷, 36C⁸, 96AJ¹⁹, 12F³, 24R¹³, 12E², 96AG²¹, 84M¹⁷, 48H²¹, 24I¹⁷, 48G¹⁷, 72H¹³, 48O²¹, 144W²³, 48A²¹, 48S⁹, 96S²³, 24J⁸, 48AN²¹, 24L⁹, 24O¹³, 24K¹⁷, 48Q¹⁷, 24P⁹, 48F¹⁵, 48R¹⁷, 48X²¹, 48BL¹⁷, 24N¹⁵, 36O⁹, 24J¹⁷, 96AF²¹, 24K¹³, 84F¹⁹, 84C¹⁸, 36F⁷, 36P⁹, 36P¹³, 48F¹⁹, 48BD¹⁹, 36C¹⁶, 60E¹⁵, 36F⁸, 36D²², 60AF¹³, 72D¹⁶, 36E⁸, 96U¹⁷, 96K²¹, 24S¹³, 24X¹⁷, 24X⁷, 36E⁴, 36A¹⁵, 24N¹¹, 12B⁴, 12N¹, 48S²¹, 96I¹⁹, 48AJ¹⁷, 24F¹⁵, 48AU²¹, 48L⁸, 72K¹⁶, 24N³, 72J¹⁷, 96AP²¹, 36C¹², 48BT²¹, 24AH¹⁷, 180B²¹, 48W⁹, 48AV¹⁷, 84H¹⁷, 24S⁷, 24P⁷, 48AW¹⁷, 48J⁹, 60B⁷, 24H¹⁷, 48I⁹, 24N¹⁷, 24W⁷, 24O¹⁷, 24J¹⁹, 48W¹⁹, 72O¹⁵, 24AF¹⁷, 60AC¹³, 36B¹⁶, 12D⁷, 36I²², 48R¹⁵, 36H²², 72G¹³, 12C⁷, 12C⁴, 48AP²¹, 12C², 48AG²¹, 24C¹⁷, 48AO²¹, 12T¹, 60H¹³, 36K¹⁵, 24F⁹, 24AA⁷, 48BM¹⁷, 96G¹⁹, 36I¹⁵, 48AI¹⁹, 36M¹⁵, 24J⁷, 84I¹⁹, 84N¹⁷, 48BT¹⁷, 36G⁸, 24I⁸, 24L¹⁷, 24AI¹⁷, 72J²³, 24G¹⁵, 48AZ²¹, 96AQ²¹, 24J¹³, 24Y⁹, 48M⁸, 24E⁸, 48G⁹, 48F⁹, 36J¹⁵, 60C¹⁴, 24T¹³, 48Z²¹, 96AH²¹, 72S¹⁶, 48K¹⁷, 24B⁹, 48AG¹⁹, 48BD²¹, 12J³, 72I¹², 12D³, 72N¹⁵, 12I³, 48H⁹, 24T¹⁷, 24C⁵, 12P³, 48D²¹, 48V¹⁹, 48BA²¹, 12E³, 48L¹⁷, 36C²¹, 24I⁴, 48V¹⁷, 24D¹⁰, 96AI¹⁹, 48N¹⁷, 48Z⁹, 60D¹³, 36H¹³, 24I³, 60I¹⁹, 60N¹⁵, 24H¹⁵, 36D¹⁵, 72B¹⁷, 72U¹⁵, 24E⁵, 72M¹¹, 96AM²¹, 96T²¹, 60J¹⁵, 96O²¹, 48J¹⁹, 48C²¹, 24H³, 24M¹⁷, 24B¹⁵, 36E²², 24U⁵, 12B⁷, 24S⁵, 24J⁹, 24A¹⁷, 24E¹⁷, 24U¹⁵, 48AY¹⁷, 48R⁹, 156B¹⁹, 48G¹⁵, 36I¹³, 48BC¹⁹, 12B⁹, 12B¹³, 48BB¹⁹, 48L¹⁹, 48AD¹³, 36D⁶, 36J²², 48BS¹⁷, 72K²³, 48BB²¹, 48N⁷, 24W¹³, 48BK¹⁷, 48X¹³, 24AE¹⁷, 24K⁹, 48BY²¹, 24P¹³, 60V¹³, 48S¹¹, 60O¹⁵, 24M¹⁵</t>
        </is>
      </c>
    </row>
    <row r="169">
      <c r="A169">
        <f>HYPERLINK("https://mathstats.uncg.edu/sites/pauli/congruence/csg1.html#group12D1", "12D¹")</f>
        <v/>
      </c>
      <c r="B169" t="n">
        <v>1</v>
      </c>
      <c r="C169" t="inlineStr"/>
      <c r="D169" t="inlineStr">
        <is>
          <t>24</t>
        </is>
      </c>
      <c r="E169" t="inlineStr">
        <is>
          <t>1</t>
        </is>
      </c>
      <c r="F169" t="inlineStr">
        <is>
          <t>6</t>
        </is>
      </c>
      <c r="G169" t="inlineStr">
        <is>
          <t>4</t>
        </is>
      </c>
      <c r="H169" t="inlineStr">
        <is>
          <t>0</t>
        </is>
      </c>
      <c r="I169" t="inlineStr">
        <is>
          <t>12²</t>
        </is>
      </c>
      <c r="J169" t="n">
        <v>2</v>
      </c>
      <c r="K169" t="inlineStr">
        <is>
          <t>2¹, 4¹</t>
        </is>
      </c>
      <c r="L169" t="inlineStr">
        <is>
          <t>6E⁰</t>
        </is>
      </c>
      <c r="M169" t="inlineStr">
        <is>
          <t>12A³, 12H³, 12M³, 36F³, 36H⁴, 36I⁴, 36J⁴, 36K⁴, 36C⁵, 36D⁵, 60A⁹, 60F⁹, 84F¹¹, 84D¹⁵, 60D¹⁷, 132A¹⁹, 132D²³</t>
        </is>
      </c>
      <c r="N169" t="inlineStr">
        <is>
          <t>3C⁰, 6B⁰, 3A⁰, 6E⁰, 1A⁰</t>
        </is>
      </c>
      <c r="O169" t="inlineStr">
        <is>
          <t>36K⁴, 36A⁹, 36E¹³, 36P¹⁵, 24X¹⁷, 12E⁷, 36G¹³, 36G¹⁵, 36B²³, 12A¹¹, 12A⁹, 36E¹⁵, 12C⁵, 24M¹⁷, 132D²³, 24K¹⁵, 60N¹⁷, 12M³, 36F³, 36L¹⁵, 36Q¹³, 24Q¹³, 12H³, 36C¹⁰, 36J⁴, 84D¹⁵, 36F¹³, 36I⁴, 36H¹⁵, 60B²¹, 36S¹⁵, 12A³, 36L¹⁹, 24K²¹, 60F⁹, 36L¹³, 60A⁹, 12B¹³, 36H⁴, 36E⁹, 60D¹⁷, 36A¹¹, 36O¹⁵, 60G²¹, 36C⁵, 36B¹², 36A¹², 12A⁷, 84F¹¹, 24K¹¹, 132A¹⁹, 84A²³, 36D⁵, 36F¹⁰, 36M¹³, 60A¹⁹, 36T¹⁵, 36Q¹⁵, 36C²³, 36K¹⁹, 36B¹¹, 36R¹⁵, 36O¹³</t>
        </is>
      </c>
    </row>
    <row r="170">
      <c r="A170">
        <f>HYPERLINK("https://mathstats.uncg.edu/sites/pauli/congruence/csg1.html#group12E1", "12E¹")</f>
        <v/>
      </c>
      <c r="B170" t="n">
        <v>1</v>
      </c>
      <c r="C170" t="inlineStr"/>
      <c r="D170" t="inlineStr">
        <is>
          <t>24</t>
        </is>
      </c>
      <c r="E170" t="inlineStr">
        <is>
          <t>1</t>
        </is>
      </c>
      <c r="F170" t="inlineStr">
        <is>
          <t>8</t>
        </is>
      </c>
      <c r="G170" t="inlineStr">
        <is>
          <t>0</t>
        </is>
      </c>
      <c r="H170" t="inlineStr">
        <is>
          <t>3</t>
        </is>
      </c>
      <c r="I170" t="inlineStr">
        <is>
          <t>12²</t>
        </is>
      </c>
      <c r="J170" t="n">
        <v>2</v>
      </c>
      <c r="K170" t="inlineStr">
        <is>
          <t>4²</t>
        </is>
      </c>
      <c r="L170" t="inlineStr">
        <is>
          <t>4D⁰, 6A⁰</t>
        </is>
      </c>
      <c r="M170" t="inlineStr">
        <is>
          <t>24E², 12A⁴, 12D⁴, 24A⁶, 24C⁶, 60B⁸, 60F¹¹, 84A¹³, 84E¹³, 60E¹⁸, 132A²⁰, 132E²³</t>
        </is>
      </c>
      <c r="N170" t="inlineStr">
        <is>
          <t>2A⁰, 6A⁰, 1A⁰, 4A⁰, 4D⁰</t>
        </is>
      </c>
      <c r="O170" t="inlineStr">
        <is>
          <t>24A¹⁰, 132A²⁰, 12F⁷, 60E¹⁸, 24A⁶, 48L²¹, 24F¹⁹, 24F¹⁷, 24B¹⁹, 48A¹⁹, 120C²³, 12A⁴, 48A²², 60H²¹, 12D⁴, 12A¹³, 84A¹³, 24B¹⁵, 24E¹⁹, 36F¹⁹, 12B⁷, 24I¹⁹, 36F¹⁶, 132E²³, 24B¹⁰, 48I⁴, 48F²¹, 24A¹⁵, 24W¹⁷, 120D²³, 24H⁹, 48G¹⁹, 24A¹⁹, 24B¹⁷, 24A⁸, 24E², 24J¹¹, 24G¹⁷, 48B¹⁸, 48B²², 24J¹⁷, 60F¹¹, 24C⁶, 60B⁸, 24H¹⁹, 24S¹⁹, 36G¹⁹, 24D¹¹, 24E¹¹, 24A²⁴, 120A¹⁶, 24H²¹, 24C⁸, 48B¹⁹, 24R¹⁷, 36A¹⁶, 24C¹¹, 24C¹⁹, 48E²¹, 48D¹⁹, 24G¹⁹, 48Q²¹, 24C⁹, 48G¹⁸, 84E¹³, 24D¹⁹</t>
        </is>
      </c>
    </row>
    <row r="171">
      <c r="A171">
        <f>HYPERLINK("https://mathstats.uncg.edu/sites/pauli/congruence/csg1.html#group12F1", "12F¹")</f>
        <v/>
      </c>
      <c r="B171" t="n">
        <v>1</v>
      </c>
      <c r="C171" t="inlineStr"/>
      <c r="D171" t="inlineStr">
        <is>
          <t>24</t>
        </is>
      </c>
      <c r="E171" t="inlineStr">
        <is>
          <t>1</t>
        </is>
      </c>
      <c r="F171" t="inlineStr">
        <is>
          <t>12</t>
        </is>
      </c>
      <c r="G171" t="inlineStr">
        <is>
          <t>0</t>
        </is>
      </c>
      <c r="H171" t="inlineStr">
        <is>
          <t>0</t>
        </is>
      </c>
      <c r="I171" t="inlineStr">
        <is>
          <t>2¹, 4¹, 6¹, 12¹</t>
        </is>
      </c>
      <c r="J171" t="n">
        <v>4</v>
      </c>
      <c r="K171" t="inlineStr">
        <is>
          <t>1⁶, 2³</t>
        </is>
      </c>
      <c r="L171" t="inlineStr">
        <is>
          <t>4C⁰, 6F⁰</t>
        </is>
      </c>
      <c r="M171" t="inlineStr">
        <is>
          <t>12P¹, 12G², 24I², 12D³, 24B³, 24C³, 36G³, 36A⁵, 36B⁵, 60B⁹, 60H⁹, 84C¹³, 84G¹³, 60G¹⁷, 132A²¹, 132C²¹</t>
        </is>
      </c>
      <c r="N171" t="inlineStr">
        <is>
          <t>3B⁰, 1A⁰, 2B⁰, 6F⁰, 4C⁰</t>
        </is>
      </c>
      <c r="O171" t="inlineStr">
        <is>
          <t>48P¹³, 36J¹⁰, 48A⁷, 48CK¹⁷, 96A¹⁵, 48CG²¹, 36I⁷, 24AJ⁹, 12L³, 48CF²¹, 48S¹³, 96AJ²³, 48L¹³, 24AC⁹, 24AO¹⁷, 144N²³, 24AF⁷, 60B⁹, 96F¹⁵, 120C²¹, 24AG⁷, 72B²⁰, 72B²¹, 48B²¹, 48CD²¹, 48B²³, 36J¹³, 24I², 48W¹¹, 36Q⁹, 60G¹⁸, 24AI⁹, 12G², 12K³, 36D¹⁹, 60H⁹, 96AL²³, 36D⁹, 144H²³, 72A²⁰, 36A⁵, 72U¹⁷, 12A¹³, 72N¹⁷, 48G²¹, 24D¹⁷, 36A¹⁹, 72C⁹, 48F⁷, 72J²¹, 36E²¹, 48D¹³, 96BA²¹, 96K¹⁵, 72A²¹, 96BD²¹, 24J²¹, 144F²³, 24C³, 48AK⁷, 48CM¹⁷, 144J²¹, 24AL⁷, 72D¹¹, 72C¹⁰, 48A¹³, 72L²¹, 36T¹³, 24J⁵, 24AC¹³, 84G¹³, 24AF⁹, 48B⁷, 144D²¹, 144B²², 48H⁷, 48BS¹⁹, 24AH⁹, 72E²¹, 72C¹⁹, 36B¹⁷, 144C²¹, 72B⁹, 24C¹⁵, 12E⁵, 36I¹¹, 144B²⁰, 24A⁹, 24AP¹⁷, 48AH⁹, 48I¹⁰, 48Z¹¹, 48G⁷, 48H¹⁰, 48A²³, 48CK²¹, 48AK⁹, 48O¹³, 120A¹⁹, 48CA²¹, 144A²³, 24B³, 72C¹¹, 48CJ¹⁷, 72M¹⁹, 48BT¹⁹, 36B⁵, 36D¹³, 12P¹, 144A²², 96B¹⁵, 72D¹⁰, 144A²¹, 24AT¹⁷, 12B⁵, 144E²³, 72I²¹, 48CC²¹, 24B²¹, 24AH⁷, 96BD¹⁹, 72Q¹⁷, 108E²¹, 96C¹⁵, 144E¹⁵, 36B¹⁹, 96F¹⁰, 72W¹³, 144L²³, 96E¹⁰, 48G¹³, 144J²³, 48C⁷, 48N¹³, 60G¹⁷, 48B¹³, 24Z³, 120K¹⁹, 48K¹³, 72D¹⁹, 48W²¹, 24I⁵, 144L²¹, 60N¹⁹, 36K¹¹, 48CQ²¹, 24H⁷, 120A²¹, 24I²¹, 60T¹⁷, 24AE⁹, 96AI²³, 48D⁶, 48H²¹, 96BC¹⁹, 72H²¹, 96E¹⁵, 144O²³, 24F¹¹, 60B¹⁷, 48A²¹, 24B¹¹, 48CO²¹, 72R¹³, 24O¹³, 72C²¹, 24K¹⁷, 144D²³, 24B⁶, 36A¹⁷, 72K¹⁹, 72G²¹, 72A¹⁹, 48BO¹⁹, 96BF²¹, 48X²¹, 72M¹⁷, 24K¹³, 144I²³, 36K¹⁰, 48CI²¹, 72Y¹⁵, 144M²³, 36K¹³, 48E⁷, 144B²³, 48CH²¹, 132A²¹, 132C²¹, 24R⁴, 72O¹⁹, 72Q¹³, 48CJ²¹, 48AG¹³, 48J¹³, 72D²¹, 24E²¹, 24AQ¹⁷, 36A¹⁵, 144I²¹, 24A²¹, 48T¹³, 48CB²¹, 108E¹¹, 48M¹³, 36U¹³, 48BZ²¹, 24G¹¹, 144K²³, 96AZ²¹, 24AR¹⁷, 72D⁷, 48CL¹⁷, 96G¹⁵, 48AB¹¹, 36G³, 24AB⁹, 120L¹⁹, 108C¹⁷, 36L⁵, 24K⁵, 12V¹, 120B¹⁹, 72A²², 24AS¹⁷, 96A¹⁴, 72B²², 24J¹⁹, 72K²¹, 24AN¹⁷, 72V¹³, 36C⁹, 96L¹⁵, 72A¹¹, 72R¹⁷, 48X¹¹, 12C⁷, 120D¹⁸, 144P²³, 24C¹⁷, 24AI⁷, 108A¹⁵, 72B¹¹, 72F²¹, 24AK⁷, 24N⁵, 24AA³, 48A¹⁴, 24AD⁹, 108B¹⁷, 108A¹⁷, 24L¹⁷, 24D²¹, 120B²¹, 48AL⁷, 24U³, 48BP¹⁹, 24J¹³, 24H⁵, 48CE²¹, 96I¹⁵, 24B⁹, 48Y¹¹, 144I¹⁹, 24A¹¹, 96AK²³, 48F¹³, 36C¹⁹, 48D⁷, 48I¹³, 72L¹⁹, 12D³, 24M⁵, 48J⁴, 48D²¹, 60Q¹⁷, 144C²³, 48CN²¹, 48E¹³, 24C²¹, 24G²¹, 24I¹¹, 84C¹³, 24F²¹, 24V³, 24AG⁹, 60M¹⁹, 48CP²¹, 72B¹⁹, 36F²¹, 24AB¹³, 48C²³, 48H¹³, 24Z⁵, 48J¹⁹, 96J¹⁵, 72N¹⁹, 48C²¹, 96D¹⁵, 144K²¹, 120D²¹, 24E¹⁷, 24A¹⁷, 72T¹⁷, 48G¹⁵, 24H¹¹, 48AA¹¹, 12B⁹, 48D²³, 12B¹³, 24AB⁵, 108A¹³, 96H¹⁵, 144A²⁰, 48C¹³, 144B²¹, 144G²³, 48CN¹⁷, 60P¹⁷, 24P¹³, 24AK⁹</t>
        </is>
      </c>
    </row>
    <row r="172">
      <c r="A172">
        <f>HYPERLINK("https://mathstats.uncg.edu/sites/pauli/congruence/csg1.html#group12G1", "12G¹")</f>
        <v/>
      </c>
      <c r="B172" t="n">
        <v>1</v>
      </c>
      <c r="C172" t="inlineStr"/>
      <c r="D172" t="inlineStr">
        <is>
          <t>24</t>
        </is>
      </c>
      <c r="E172" t="inlineStr">
        <is>
          <t>1</t>
        </is>
      </c>
      <c r="F172" t="inlineStr">
        <is>
          <t>12</t>
        </is>
      </c>
      <c r="G172" t="inlineStr">
        <is>
          <t>4</t>
        </is>
      </c>
      <c r="H172" t="inlineStr">
        <is>
          <t>0</t>
        </is>
      </c>
      <c r="I172" t="inlineStr">
        <is>
          <t>12²</t>
        </is>
      </c>
      <c r="J172" t="n">
        <v>2</v>
      </c>
      <c r="K172" t="inlineStr">
        <is>
          <t>2², 4²</t>
        </is>
      </c>
      <c r="L172" t="inlineStr">
        <is>
          <t>3C⁰, 12A⁰</t>
        </is>
      </c>
      <c r="M172" t="inlineStr">
        <is>
          <t>12Q¹, 12B³, 12C³, 12J³, 24D³, 24E³, 36H³, 36M⁴, 24O⁵, 36E⁵, 60C⁹, 60J⁹, 84G¹¹, 84F¹⁵, 60I¹⁷, 132B¹⁹, 132G²³</t>
        </is>
      </c>
      <c r="N172" t="inlineStr">
        <is>
          <t>3C⁰, 12A⁰, 3A⁰, 1A⁰, 4A⁰</t>
        </is>
      </c>
      <c r="O172" t="inlineStr">
        <is>
          <t>24L¹¹, 36B²¹, 36H¹⁰, 24R¹³, 36D¹², 24M¹⁹, 84G¹¹, 24D⁷, 48AK¹⁷, 24L¹⁵, 12A⁵, 24L²¹, 24AB¹⁷, 48A¹⁵, 24R⁷, 48Z¹⁹, 72C²³, 12M³, 12Q¹, 36K⁷, 60V¹⁷, 48Q¹⁷, 36E¹¹, 24AD¹⁷, 24F¹³, 24P⁹, 36N¹⁵, 48AD²¹, 72T¹⁹, 48AL¹⁹, 24U¹³, 48BL¹⁷, 24N¹⁵, 24J¹⁷, 48P¹⁷, 24M¹⁵, 24M¹¹, 48BW²¹, 72T²¹, 72V²¹, 48R¹³, 24E³, 144N²¹, 48J⁷, 36F¹⁵, 72P²¹, 36T¹⁵, 48BJ¹⁷, 132G²³, 48BI¹⁷, 144S²³, 36L¹⁹, 72U²¹, 72W¹⁷, 36C¹¹, 72E¹¹, 24AA¹⁷, 24X⁷, 36K⁹, 72U¹⁹, 144K²², 72C²², 24B¹⁹, 48AF²¹, 60W¹⁷, 12A¹³, 48C¹⁵, 132B¹⁹, 24O¹⁹, 24D¹⁷, 120D¹⁹, 24AH¹⁷, 120L²¹, 60C⁹, 24C¹³, 120G²¹, 12B³, 72G¹¹, 36S¹⁵, 48Q¹³, 24A¹³, 84C²³, 24N¹⁷, 24J¹⁹, 72B²³, 24AF¹⁷, 60C¹⁹, 144L²², 24C¹⁹, 12C⁷, 36N¹³, 60O²¹, 72Q¹⁹, 36R¹³, 48I⁷, 72O²¹, 48BM¹⁷, 60J⁹, 48AI¹⁹, 60L²¹, 72S¹⁹, 24C¹⁵, 72J¹⁰, 72H¹¹, 144M²¹, 72G²³, 72M²¹, 48AZ²¹, 36A²¹, 48AE¹⁷, 36E⁵, 120H²¹, 24Y⁹, 36D¹¹, 24AC¹⁷, 60G¹⁹, 24A¹⁵, 36L⁹, 24L⁵, 84F¹⁵, 36C¹⁷, 24AG¹⁷, 24T¹³, 24D³, 72A²³, 24K²¹, 60K²¹, 36H³, 12C³, 24G¹⁷, 84D²³, 48AH¹⁹, 12J³, 24R⁹, 72S¹⁷, 36D²³, 84N²¹, 48AF¹⁷, 48V¹⁹, 120C¹⁹, 24V⁹, 48BA²¹, 72D²³, 36M⁵, 60E²¹, 24Q¹⁹, 36K¹⁹, 72V¹⁹, 36R¹⁵, 72V¹⁷, 48D¹⁵, 36P¹⁵, 24Y⁷, 72F²³, 60I¹⁷, 144Q²³, 144R²³, 12A⁹, 72H²³, 12A¹¹, 72Q²¹, 36E¹⁷, 48B¹⁵, 24B¹⁵, 12B⁷, 36M⁴, 24E¹⁷, 72W²¹, 36J⁹, 120K²¹, 24P⁵, 72F¹¹, 36G⁹, 24AL⁹, 36J⁷, 36F¹¹, 36I¹³, 60E¹⁷, 72F⁹, 24B¹³, 24O⁵, 72N²¹, 12D⁵, 72S²¹, 24N¹⁹, 48AL¹⁷, 24A⁷, 24Q⁷, 144T²³, 24K¹¹, 36H¹⁹, 72K¹⁰, 24M²¹, 36E¹⁹, 48BK¹⁷, 60U¹⁷, 24AE¹⁷, 48BY²¹, 36Q¹⁵, 48AM¹⁹, 72G⁹, 24B⁷</t>
        </is>
      </c>
    </row>
    <row r="173">
      <c r="A173">
        <f>HYPERLINK("https://mathstats.uncg.edu/sites/pauli/congruence/csg1.html#group12H1", "12H¹")</f>
        <v/>
      </c>
      <c r="B173" t="n">
        <v>1</v>
      </c>
      <c r="C173" t="inlineStr"/>
      <c r="D173" t="inlineStr">
        <is>
          <t>24</t>
        </is>
      </c>
      <c r="E173" t="inlineStr">
        <is>
          <t>1</t>
        </is>
      </c>
      <c r="F173" t="inlineStr">
        <is>
          <t>24</t>
        </is>
      </c>
      <c r="G173" t="inlineStr">
        <is>
          <t>0</t>
        </is>
      </c>
      <c r="H173" t="inlineStr">
        <is>
          <t>3</t>
        </is>
      </c>
      <c r="I173" t="inlineStr">
        <is>
          <t>12²</t>
        </is>
      </c>
      <c r="J173" t="n">
        <v>2</v>
      </c>
      <c r="K173" t="inlineStr">
        <is>
          <t>4⁶</t>
        </is>
      </c>
      <c r="L173" t="inlineStr">
        <is>
          <t>6A⁰</t>
        </is>
      </c>
      <c r="M173" t="inlineStr">
        <is>
          <t>24J², 12B⁴, 12D⁴, 60E⁸, 60G¹¹, 84D¹³, 84H¹³, 60H¹⁸, 132C²⁰, 132H²³</t>
        </is>
      </c>
      <c r="N173" t="inlineStr">
        <is>
          <t>2A⁰, 1A⁰, 6A⁰</t>
        </is>
      </c>
      <c r="O173" t="inlineStr">
        <is>
          <t>120C¹⁶, 120H²³, 24D¹⁰, 12F⁷, 24H¹⁷, 12B⁴, 60G¹¹, 36G¹⁹, 60H¹⁸, 24D¹¹, 24I¹⁷, 60P²¹, 24E¹¹, 24A²⁴, 132C²⁰, 60E⁸, 84D¹³, 24F¹⁵, 24J¹⁵, 24H²¹, 12D⁴, 12D⁷, 12A¹³, 120G²³, 84H¹³, 36F¹⁹, 24K¹⁹, 36F¹⁶, 36C¹⁶, 24Y¹⁷, 132H²³, 24J²</t>
        </is>
      </c>
    </row>
    <row r="174">
      <c r="A174">
        <f>HYPERLINK("https://mathstats.uncg.edu/sites/pauli/congruence/csg1.html#group12I1", "12I¹")</f>
        <v/>
      </c>
      <c r="B174" t="n">
        <v>1</v>
      </c>
      <c r="C174" t="inlineStr"/>
      <c r="D174" t="inlineStr">
        <is>
          <t>32</t>
        </is>
      </c>
      <c r="E174" t="inlineStr">
        <is>
          <t>1</t>
        </is>
      </c>
      <c r="F174" t="inlineStr">
        <is>
          <t>16</t>
        </is>
      </c>
      <c r="G174" t="inlineStr">
        <is>
          <t>0</t>
        </is>
      </c>
      <c r="H174" t="inlineStr">
        <is>
          <t>2</t>
        </is>
      </c>
      <c r="I174" t="inlineStr">
        <is>
          <t>4², 12²</t>
        </is>
      </c>
      <c r="J174" t="n">
        <v>4</v>
      </c>
      <c r="K174" t="inlineStr">
        <is>
          <t>2⁴, 4²</t>
        </is>
      </c>
      <c r="L174" t="inlineStr">
        <is>
          <t>4D⁰, 6C⁰, 12A¹</t>
        </is>
      </c>
      <c r="M174" t="inlineStr">
        <is>
          <t>12R¹, 12K³, 24F³, 24G³, 12D⁴, 36O⁴, 12A⁵, 36F⁵, 36G⁵, 36B⁶, 24E⁷, 36A⁷, 36B⁷, 60J¹¹, 60M¹³, 84C¹⁷, 84Q¹⁷, 60B²³</t>
        </is>
      </c>
      <c r="N174" t="inlineStr">
        <is>
          <t>2A⁰, 3B⁰, 4A⁰, 4D⁰, 12A¹, 6C⁰, 1A⁰</t>
        </is>
      </c>
      <c r="O174" t="inlineStr">
        <is>
          <t>36B²¹, 36H¹⁷, 72J¹¹, 12A⁵, 36O⁴, 60M¹³, 12E⁵, 36G⁵, 72K¹¹, 24D²¹, 60B²³, 60T²¹, 72B¹⁵, 24AP¹⁷, 36A²¹, 48BP¹⁹, 24B¹¹, 36F¹⁹, 48CF²¹, 36F¹⁶, 36D¹⁷, 24G¹³, 12R¹, 36F⁵, 24AC⁹, 36J¹⁹, 72B²⁴, 36M⁹, 24AO¹⁷, 48CE²¹, 36C¹⁷, 108E¹⁷, 24AF⁷, 72A¹⁵, 36H¹¹, 48K⁷, 48BO¹⁹, 72Y²¹, 144V²³, 24AG⁷, 108A¹⁹, 36G¹⁹, 24D¹¹, 24A¹¹, 72I¹¹, 108A²², 24F³, 48CD²¹, 108A²¹, 48U¹³, 24H²¹, 108C²¹, 72D¹⁵, 36I¹⁹, 12K³, 108D²¹, 72B¹³, 24C²¹, 24G²¹, 72A¹³, 24AT¹⁷, 24F²¹, 72Z²¹, 12F⁷, 84C¹⁷, 36B⁷, 24H¹³, 24B²¹, 24E²¹, 72L¹¹, 24A²¹, 24AB¹³, 36B¹³, 48CB²¹, 36B¹⁹, 36A⁷, 12A⁹, 48L⁷, 12D⁴, 36E¹⁷, 12A¹³, 72C¹³, 108C¹⁹, 36A¹⁹, 120K²³, 108D¹⁷, 108B²¹, 72D¹³, 120L²³, 36A¹³, 36B⁶, 24B¹³, 36G¹⁷, 108A²³, 24A¹³, 24G³, 72C¹⁵, 24E¹¹, 24AN¹⁷, 24A²⁴, 36F¹⁷, 24E⁷, 36H¹⁹, 108A²⁰, 36E¹⁹, 144U²³, 36M⁷, 36T¹³, 36N⁹, 84Q¹⁷, 24Q⁵, 108B¹⁹, 60J¹¹, 24I¹³, 24AF⁹</t>
        </is>
      </c>
    </row>
    <row r="175">
      <c r="A175">
        <f>HYPERLINK("https://mathstats.uncg.edu/sites/pauli/congruence/csg1.html#group12J1", "12J¹")</f>
        <v/>
      </c>
      <c r="B175" t="n">
        <v>1</v>
      </c>
      <c r="C175" t="inlineStr"/>
      <c r="D175" t="inlineStr">
        <is>
          <t>36</t>
        </is>
      </c>
      <c r="E175" t="inlineStr">
        <is>
          <t>1</t>
        </is>
      </c>
      <c r="F175" t="inlineStr">
        <is>
          <t>6</t>
        </is>
      </c>
      <c r="G175" t="inlineStr">
        <is>
          <t>6</t>
        </is>
      </c>
      <c r="H175" t="inlineStr">
        <is>
          <t>0</t>
        </is>
      </c>
      <c r="I175" t="inlineStr">
        <is>
          <t>12³</t>
        </is>
      </c>
      <c r="J175" t="n">
        <v>3</v>
      </c>
      <c r="K175" t="inlineStr">
        <is>
          <t>1², 2²</t>
        </is>
      </c>
      <c r="L175" t="inlineStr">
        <is>
          <t>4F⁰, 12A⁰, 12C⁰</t>
        </is>
      </c>
      <c r="M175" t="inlineStr">
        <is>
          <t>12I², 24L², 12J³, 24J³, 24P³, 24R³, 12A⁴, 24H⁴, 24K⁴, 24O⁴, 24B⁵, 36F⁶, 60B¹³, 60P¹³, 84B¹⁶, 84I²²</t>
        </is>
      </c>
      <c r="N175" t="inlineStr">
        <is>
          <t>12A⁰, 12C⁰, 4A⁰, 4C⁰, 2B⁰, 4F⁰, 3A⁰, 1A⁰, 6D⁰</t>
        </is>
      </c>
      <c r="O175" t="inlineStr">
        <is>
          <t>24C¹⁰, 48AY²¹, 36D¹², 48D¹⁰, 24M¹⁹, 72F¹⁴, 48AK¹⁷, 24L¹⁵, 24AB¹⁷, 96B²⁰, 48D¹⁶, 48AE²¹, 24R⁷, 48AT¹⁹, 48Z¹⁹, 24AA⁹, 24AD¹⁷, 96B²², 48O¹⁸, 36N¹⁵, 24E¹⁰, 48E⁵, 48AD²¹, 48BW¹⁷, 48AM¹⁷, 96L¹⁹, 24A⁸, 48H²⁰, 48AL¹⁹, 48B¹⁸, 24U¹³, 48P¹⁷, 72L¹⁶, 48AT²¹, 48BW²¹, 96M¹⁹, 48AZ¹⁹, 48G¹⁰, 48S¹⁷, 72G¹⁴, 48AQ¹⁷, 48AY¹⁹, 24L⁸, 48BJ¹⁷, 24K⁴, 48H¹⁶, 48BI¹⁷, 24G¹⁹, 48Q²¹, 48U⁷, 24A¹⁰, 24D⁶, 24E¹⁶, 48AU¹⁷, 48U¹⁵, 24AA¹⁷, 48BO²¹, 24V¹³, 48A¹⁶, 48F¹⁰, 24F¹⁷, 24B¹⁹, 48A¹⁹, 48T¹⁸, 36F⁶, 48BP²¹, 48BM¹⁹, 48AF²¹, 12A¹³, 48BR¹⁷, 24O¹⁹, 24D¹⁷, 24X¹³, 48Q¹⁸, 48BV²¹, 36F¹², 48X¹⁵, 48BO¹⁷, 96I¹¹, 48AD¹⁹, 24AK¹⁷, 60P¹³, 72J¹⁵, 48AB⁷, 48BZ¹⁷, 96AD¹⁹, 96G²⁰, 72F¹², 24C¹⁹, 48T¹⁷, 36B²⁰, 96O²⁰, 24L¹⁹, 96AD²³, 48AU¹⁹, 24P¹⁹, 48R⁸, 48G²⁰, 48L²¹, 48BL²¹, 48S¹⁹, 24W⁵, 48D²², 24C¹⁵, 48M¹⁸, 96X¹⁷, 48AE¹⁷, 48AS¹⁹, 48A²⁰, 24L⁷, 48BX¹⁷, 24AC¹⁷, 24A¹⁵, 96N¹⁷, 24AG¹⁷, 48AT¹⁷, 72X¹⁵, 24E⁶, 48E¹⁶, 48J¹¹, 24G¹⁷, 48E²⁰, 96J¹⁹, 24H¹⁹, 48AH¹⁹, 24R⁹, 24J³, 48CI¹⁷, 36D²³, 48T¹⁵, 48AF¹⁷, 24C⁸, 24R¹⁷, 24V⁹, 48N¹⁸, 24R¹⁵, 24Q¹⁹, 48AS¹⁷, 48O⁷, 24O⁴, 48I²⁰, 48BX²¹, 48AQ²¹, 96D¹⁷, 12A¹¹, 24Q⁹, 96C¹⁷, 48BN²¹, 48BL¹⁹, 48AS²¹, 12D⁵, 48U⁸, 48AL¹⁷, 24N¹⁹, 48T²¹, 24L², 48AJ¹⁹, 96Y¹⁷, 24X⁹, 48D¹⁹, 48AB¹³, 48AR²¹, 48AM¹⁹, 24Q⁷, 24Y⁷, 24D¹⁹, 24AC⁷, 96N²⁰, 24R¹³, 48C¹⁶, 24M⁸, 48L¹⁸, 48V¹⁵, 12A⁴, 72L¹⁵, 96O¹⁵, 72J¹⁴, 48Q¹⁷, 48V²¹, 24P⁹, 48E¹⁸, 24W¹⁷, 96H²⁰, 96R¹⁷, 48K⁹, 84I²², 48BL¹⁷, 24N¹⁵, 48B²², 24J¹⁷, 48H⁸, 48Y¹⁵, 48V⁸, 84B¹⁶, 48C²⁰, 48AV¹⁹, 24O¹⁵, 96E¹⁷, 36B¹⁴, 48F¹⁸, 24C¹⁶, 48AX²¹, 24C⁹, 48G¹⁸, 48C¹¹, 60B¹³, 48W¹⁵, 12I², 48K¹⁸, 96B¹⁷, 48Y¹⁹, 24B¹⁶, 24X⁷, 96F¹⁷, 48J¹⁶, 72D¹⁴, 48S¹⁸, 48U²¹, 48AP¹⁷, 24N⁸, 48F²⁰, 48C²², 24D¹⁶, 24AH¹⁷, 24B¹⁰, 48G¹⁹, 48J¹⁵, 24S¹⁹, 24N¹⁷, 24J¹⁹, 96O¹⁷, 24G⁶, 48I¹⁶, 24AF¹⁷, 48B¹⁹, 72F¹⁷, 72M¹⁵, 48AE¹⁹, 12C⁷, 24B⁵, 96AC¹⁹, 48BM¹⁷, 48AC⁷, 48P⁷, 48AI¹⁹, 24F⁶, 48B²⁰, 48A²², 24Q¹⁵, 48AZ²¹, 24AE⁷, 24P¹⁵, 24I¹⁹, 24Y⁹, 24R³, 96A²³, 48F²¹, 24K⁷, 24T¹³, 48BN¹⁷, 24A¹⁹, 96A²⁰, 24W⁹, 12J³, 48I¹⁵, 96AC²³, 24H⁴, 48V¹⁹, 48BA¹⁹, 36A¹⁶, 24K⁸, 48J¹⁸, 48BA²¹, 48G¹⁶, 48D²⁰, 48AN¹⁷, 48R¹⁸, 48AK¹⁹, 48F⁸, 48O¹¹, 24A¹⁶, 48B¹⁶, 24P³, 48AO¹⁷, 24F¹⁹, 24B¹⁵, 24E¹⁹, 12B⁷, 24AB⁷, 48U¹⁹, 24E¹⁷, 48AC¹⁹, 96D²², 48P¹⁸, 24H⁹, 48T¹⁹, 24B¹⁷, 36I¹³, 48H¹⁵, 24P⁸, 48S¹⁵, 72M¹³, 48F¹⁶, 24AL¹⁷, 48BK¹⁷, 48E²¹, 24AE¹⁷, 48BY²¹, 48AB¹⁹, 48G⁸, 48C¹⁰, 48BM²¹, 24M¹⁵</t>
        </is>
      </c>
    </row>
    <row r="176">
      <c r="A176">
        <f>HYPERLINK("https://mathstats.uncg.edu/sites/pauli/congruence/csg1.html#group12K1", "12K¹")</f>
        <v/>
      </c>
      <c r="B176" t="n">
        <v>1</v>
      </c>
      <c r="C176" t="inlineStr"/>
      <c r="D176" t="inlineStr">
        <is>
          <t>36</t>
        </is>
      </c>
      <c r="E176" t="inlineStr">
        <is>
          <t>1</t>
        </is>
      </c>
      <c r="F176" t="inlineStr">
        <is>
          <t>9</t>
        </is>
      </c>
      <c r="G176" t="inlineStr">
        <is>
          <t>0</t>
        </is>
      </c>
      <c r="H176" t="inlineStr">
        <is>
          <t>0</t>
        </is>
      </c>
      <c r="I176" t="inlineStr">
        <is>
          <t>3⁴, 12²</t>
        </is>
      </c>
      <c r="J176" t="n">
        <v>6</v>
      </c>
      <c r="K176" t="inlineStr">
        <is>
          <t>1³, 2³</t>
        </is>
      </c>
      <c r="L176" t="inlineStr">
        <is>
          <t>6G⁰, 12D⁰, 12B¹</t>
        </is>
      </c>
      <c r="M176" t="inlineStr">
        <is>
          <t>12S¹, 12E³, 12G³, 24K³, 24L³, 36Q⁴, 36C⁷, 36D⁷, 60C¹³, 60T¹³, 84D¹⁹, 84K¹⁹</t>
        </is>
      </c>
      <c r="N176" t="inlineStr">
        <is>
          <t>4B⁰, 6G⁰, 3C⁰, 12B¹, 12D⁰, 2B⁰, 3A⁰, 1A⁰, 6D⁰</t>
        </is>
      </c>
      <c r="O176" t="inlineStr">
        <is>
          <t>72AB²¹, 48N⁹, 24I¹⁷, 48G¹⁷, 12G³, 48W¹³, 36L²², 48U¹⁷, 36B¹⁵, 48O²¹, 36C¹³, 24R⁵, 24L⁹, 24K³, 24O¹³, 24G⁷, 24AP⁹, 96I¹⁷, 48F¹⁵, 24V⁷, 24J¹⁷, 24AC³, 24K¹³, 36D⁷, 96N¹⁹, 96M²¹, 72R¹⁵, 36C⁷, 24I¹⁵, 48Y¹³, 48F¹⁹, 48E¹⁹, 96P²¹, 24X¹⁷, 12E⁷, 96N²¹, 12S¹, 48S²¹, 48AA¹⁷, 96I²¹, 24B¹⁹, 24F¹⁵, 96P¹⁵, 48AU²¹, 48R⁷, 12A¹³, 60C¹³, 48Z¹³, 24D¹⁵, 84D¹⁹, 48X⁷, 36L¹¹, 36E²¹, 36N⁷, 72X¹⁷, 24N⁷, 24H¹⁷, 96D¹⁹, 48D⁹, 96M¹⁵, 36K¹⁷, 24W⁷, 48B¹⁷, 12D⁷, 36O¹⁹, 36Q¹⁹, 48N¹⁵, 48K²¹, 96N¹⁵, 48R¹⁵, 24C¹⁹, 36M¹⁹, 24E¹⁵, 48AP²¹, 24C¹⁷, 48AO²¹, 36K¹⁵, 72Q¹¹, 24T⁷, 48Q¹⁵, 36I¹⁵, 96S²¹, 24J⁷, 48Y¹⁷, 48AA¹⁹, 24Z¹⁷, 96G²¹, 24G¹⁵, 48Y²¹, 48E¹⁵, 24J¹³, 48V¹³, 72P¹¹, 24K¹⁹, 24A¹⁵, 12O³, 48K¹⁵, 48W⁷, 48Z²¹, 24N¹³, 48K¹⁹, 48K¹⁷, 24G¹⁷, 84K¹⁹, 96F²¹, 24J¹⁵, 48AB¹⁷, 96J²¹, 48C⁹, 24T¹⁷, 36Q⁴, 12E³, 24M¹³, 24Y¹⁷, 48O¹⁵, 72L²², 48P¹⁵, 24L³, 72G¹⁵, 48V¹⁷, 12B⁵, 48Z¹⁷, 72F¹⁵, 24H¹⁵, 36D¹⁵, 24G⁹, 96S¹⁷, 48Y⁷, 48P²¹, 24B¹⁵, 12B⁷, 24I⁷, 36N¹¹, 24J⁹, 60T¹³, 72S¹⁵, 24A¹⁷, 96J¹⁷, 96F¹⁹, 24U⁷, 36Q¹⁰, 24V¹⁷, 12B⁹, 96AB²¹, 12B¹³, 48F¹⁷, 48Q⁷, 24L¹³, 48C¹⁷, 24P¹³, 48E¹⁷</t>
        </is>
      </c>
    </row>
    <row r="177">
      <c r="A177">
        <f>HYPERLINK("https://mathstats.uncg.edu/sites/pauli/congruence/csg1.html#group12L1", "12L¹")</f>
        <v/>
      </c>
      <c r="B177" t="n">
        <v>1</v>
      </c>
      <c r="C177" t="inlineStr"/>
      <c r="D177" t="inlineStr">
        <is>
          <t>36</t>
        </is>
      </c>
      <c r="E177" t="inlineStr">
        <is>
          <t>1</t>
        </is>
      </c>
      <c r="F177" t="inlineStr">
        <is>
          <t>9</t>
        </is>
      </c>
      <c r="G177" t="inlineStr">
        <is>
          <t>4</t>
        </is>
      </c>
      <c r="H177" t="inlineStr">
        <is>
          <t>0</t>
        </is>
      </c>
      <c r="I177" t="inlineStr">
        <is>
          <t>6², 12²</t>
        </is>
      </c>
      <c r="J177" t="n">
        <v>4</v>
      </c>
      <c r="K177" t="inlineStr">
        <is>
          <t>1³, 2³</t>
        </is>
      </c>
      <c r="L177" t="inlineStr">
        <is>
          <t>6G⁰, 12C⁰, 12C¹</t>
        </is>
      </c>
      <c r="M177" t="inlineStr">
        <is>
          <t>12T¹, 12D³, 12G³, 12I³, 12J³, 24H³, 24I³, 24N³, 24O³, 24C⁵, 24E⁵, 36H⁵, 36I⁵, 36E⁷, 60D¹³, 60Y¹³, 84H¹⁷, 84D²¹</t>
        </is>
      </c>
      <c r="N177" t="inlineStr">
        <is>
          <t>12C⁰, 12C¹, 4C⁰, 6G⁰, 3C⁰, 2B⁰, 3A⁰, 1A⁰, 6D⁰</t>
        </is>
      </c>
      <c r="O177" t="inlineStr">
        <is>
          <t>96Y²¹, 72K¹³, 48BE¹⁹, 48O¹⁷, 48M⁹, 36D¹², 48AI¹⁷, 24M¹⁹, 48AK¹⁷, 24L¹⁵, 12G³, 24O⁹, 96AU²¹, 24AB¹⁷, 48U¹⁷, 24R⁷, 48Z¹⁹, 24K¹⁵, 48AG¹⁷, 36R¹⁹, 36E⁷, 36U¹⁹, 24Q¹³, 24AD¹⁷, 48V⁹, 36N¹⁵, 48AD²¹, 48M¹⁷, 24V⁷, 48AL¹⁹, 24U¹³, 48AH¹⁷, 96W¹⁷, 48P¹⁷, 48BW²¹, 48AB²¹, 48BC²¹, 72J¹³, 48B²¹, 24I¹⁵, 48AC¹³, 48E¹⁹, 48BJ¹⁷, 48BI¹⁷, 72V¹⁵, 96Z²³, 48AV²¹, 48BE²¹, 24AA¹⁷, 48BG¹⁹, 48E¹¹, 24B¹⁹, 96AE²¹, 96AV²¹, 48AF²¹, 48P¹¹, 12C⁵, 84D²¹, 12A¹³, 96T²³, 36A²³, 24O¹⁹, 24D¹⁷, 48G²¹, 24D¹⁵, 72H¹², 48M²¹, 36E²¹, 24O⁷, 48AF¹⁹, 36H⁵, 96Q¹⁷, 96Y²³, 48AX¹⁷, 24T⁵, 72I¹⁵, 48K²¹, 24C¹⁹, 48AZ¹⁷, 24E¹⁵, 24N⁹, 48AR¹⁷, 96AN²¹, 24O³, 24C¹⁵, 36B²³, 36I¹¹, 96AO²¹, 24Z¹⁷, 24A⁹, 48Y²¹, 48E¹⁵, 48AE¹⁷, 24K¹⁹, 24AC¹⁷, 24A¹⁵, 72N¹¹, 24AG¹⁷, 48K¹⁵, 48AC²¹, 24Y¹³, 48K¹⁹, 24G¹⁷, 36D¹³, 72H¹⁵, 48AH¹⁹, 24R⁹, 72AA²¹, 24J¹⁵, 36D²³, 48BG²¹, 48AF¹⁷, 144X²³, 96V¹⁷, 24V⁹, 24Y¹⁷, 24Q¹⁹, 24E⁹, 96T¹⁷, 12B⁵, 72I¹⁷, 24G⁹, 48H¹¹, 12A¹¹, 36N¹⁹, 48M⁷, 96P¹⁷, 48P²¹, 24I⁷, 36N¹¹, 24V¹⁷, 48X¹⁹, 24Z⁷, 12D⁵, 48AL¹⁷, 24N¹⁹, 48Z⁷, 72A¹⁷, 48W²¹, 60Y¹³, 72I²³, 36C²³, 24H⁷, 48AM¹⁹, 24Q⁷, 48AA⁷, 48E¹⁷, 96AA²¹, 24Y⁷, 36I⁵, 96AJ¹⁹, 24R¹³, 96AG²¹, 48H²¹, 24I¹⁷, 72H¹³, 48O²¹, 48A²¹, 144W²³, 48S⁹, 96S²³, 24O¹³, 24K¹⁷, 48Q¹⁷, 24P⁹, 48R¹⁷, 48F¹⁵, 48X²¹, 48BL¹⁷, 24N¹⁵, 36O⁹, 96AF²¹, 24J¹⁷, 24K¹³, 36P⁹, 36P¹³, 48BD¹⁹, 48F¹⁹, 96U¹⁷, 24S¹³, 24X⁷, 24N¹¹, 36A¹⁵, 48S²¹, 48AJ¹⁷, 24F¹⁵, 48AU²¹, 24N³, 72J¹⁷, 96AP²¹, 36C¹², 48BT²¹, 24AH¹⁷, 48W⁹, 48AV¹⁷, 84H¹⁷, 24S⁷, 24P⁷, 48AW¹⁷, 48J⁹, 24H¹⁷, 48I⁹, 24N¹⁷, 24O¹⁷, 24J¹⁹, 24W⁷, 48W¹⁹, 72O¹⁵, 24AF¹⁷, 12D⁷, 12C⁷, 72G¹³, 48AP²¹, 24C¹⁷, 12T¹, 48AO²¹, 36K¹⁵, 24AA⁷, 48BM¹⁷, 48AI¹⁹, 36M¹⁵, 24J⁷, 24L¹⁷, 24AI¹⁷, 72J²³, 48AZ²¹, 24J¹³, 24Y⁹, 24T¹³, 48Z²¹, 96AH²¹, 48K¹⁷, 24B⁹, 48AG¹⁹, 48BD²¹, 12J³, 72I¹², 12D³, 72N¹⁵, 12I³, 48H⁹, 24C⁵, 12P³, 24T¹⁷, 48D²¹, 48V¹⁹, 48BA²¹, 48L¹⁷, 36C²¹, 96AI¹⁹, 48N¹⁷, 48Z⁹, 60D¹³, 36H¹³, 24I³, 72U¹⁵, 36D¹⁵, 72B¹⁷, 24E⁵, 72M¹¹, 96AM²¹, 48J¹⁹, 48C²¹, 24H³, 24M¹⁷, 24B¹⁵, 24U⁵, 12B⁷, 24S⁵, 24J⁹, 24A¹⁷, 24E¹⁷, 24U¹⁵, 48AY¹⁷, 48R⁹, 48G¹⁵, 48BC¹⁹, 36I¹³, 12B⁹, 12B¹³, 48BB¹⁹, 48AD¹³, 72K²³, 48BB²¹, 48N⁷, 24W¹³, 48BK¹⁷, 48X¹³, 24AE¹⁷, 48BY²¹, 24P¹³, 48S¹¹, 24M¹⁵</t>
        </is>
      </c>
    </row>
    <row r="178">
      <c r="A178">
        <f>HYPERLINK("https://mathstats.uncg.edu/sites/pauli/congruence/csg1.html#group12M1", "12M¹")</f>
        <v/>
      </c>
      <c r="B178" t="n">
        <v>1</v>
      </c>
      <c r="C178" t="inlineStr"/>
      <c r="D178" t="inlineStr">
        <is>
          <t>36</t>
        </is>
      </c>
      <c r="E178" t="inlineStr">
        <is>
          <t>1</t>
        </is>
      </c>
      <c r="F178" t="inlineStr">
        <is>
          <t>18</t>
        </is>
      </c>
      <c r="G178" t="inlineStr">
        <is>
          <t>6</t>
        </is>
      </c>
      <c r="H178" t="inlineStr">
        <is>
          <t>0</t>
        </is>
      </c>
      <c r="I178" t="inlineStr">
        <is>
          <t>12³</t>
        </is>
      </c>
      <c r="J178" t="n">
        <v>3</v>
      </c>
      <c r="K178" t="inlineStr">
        <is>
          <t>1², 2⁴, 4²</t>
        </is>
      </c>
      <c r="L178" t="inlineStr">
        <is>
          <t>12C⁰</t>
        </is>
      </c>
      <c r="M178" t="inlineStr">
        <is>
          <t>12H², 12I², 24P², 12I³, 12J³, 24Q³, 24T³, 12C⁴, 24L⁴, 24P⁴, 24G⁵, 36E⁶, 36I⁶, 60F¹³, 60AA¹³, 84J¹⁶, 84J²²</t>
        </is>
      </c>
      <c r="N178" t="inlineStr">
        <is>
          <t>2B⁰, 12C⁰, 3A⁰, 1A⁰, 6D⁰, 4C⁰</t>
        </is>
      </c>
      <c r="O178" t="inlineStr">
        <is>
          <t>96R¹⁵, 48AY²¹, 48O¹⁷, 48T¹¹, 48AI¹⁷, 36D¹², 24M¹⁹, 48AK¹⁷, 24L¹⁵, 48BK¹⁹, 96D²⁰, 24O⁹, 24AB¹⁷, 36E¹⁶, 48CE¹⁷, 48D¹⁶, 48AE²¹, 36I⁶, 48Z¹⁹, 24R⁷, 96S²⁰, 24AD¹⁷, 96C²⁰, 48CH¹⁷, 24AD⁷, 36N¹⁵, 48AD²¹, 72L¹⁷, 36E⁶, 48AL¹⁹, 24U¹³, 48BK²¹, 48I¹⁹, 48P¹⁷, 48AT²¹, 48AB²¹, 48BW²¹, 48AQ¹⁷, 24I⁹, 60AA¹³, 48BH²¹, 24Z⁹, 48BJ¹⁷, 48BI¹⁷, 48BQ²¹, 60F¹³, 48U¹⁵, 48CF¹⁷, 24AA¹⁷, 24V¹³, 24B¹⁹, 48BB¹⁷, 48P¹⁹, 12H², 48AF²¹, 84J²², 48BM¹⁹, 48AW¹⁹, 12A¹³, 48BR¹⁷, 24O¹⁹, 24D¹⁷, 24X¹³, 36F¹², 48BU²¹, 24U¹⁷, 48T⁹, 24O⁷, 48U⁹, 48AF¹⁹, 24J⁶, 24AK¹⁷, 72N¹⁶, 96E¹⁸, 48N²¹, 48L⁹, 48BA¹⁷, 48L¹¹, 24C¹⁹, 72G¹⁷, 36E¹², 96AA¹⁹, 96AH²³, 24N⁹, 24L⁴, 24L¹⁹, 48H¹⁹, 24P¹⁹, 48AA¹³, 24P⁴, 48G²⁰, 96AD²¹, 96Z²¹, 48R²¹, 24AJ¹⁷, 24W⁵, 24C¹⁵, 96AC²⁰, 72K¹⁵, 96R²⁰, 72O¹⁶, 48AE¹⁷, 96AA²⁰, 24P¹⁷, 24K¹⁹, 24AC¹⁷, 24A¹⁵, 24AG¹⁷, 48AC²¹, 48CG¹⁷, 24E⁶, 48E¹⁶, 24G¹⁷, 24AM¹⁷, 24Q¹⁷, 48E²⁰, 36C²⁰, 48AH¹⁹, 24R⁹, 48CI¹⁷, 24J¹⁵, 36D²³, 48T¹⁵, 48AF¹⁷, 96AF²³, 96AW²¹, 24V⁹, 24O⁸, 24Y¹⁷, 24Q¹⁹, 24R¹⁵, 48AS¹⁷, 24Q³, 48I²⁰, 72M¹⁶, 12A¹¹, 24Q⁹, 24V⁵, 24R¹⁹, 36A¹⁴, 24H⁶, 24T³, 48AB¹⁵, 96G¹⁸, 48X¹⁹, 12D⁵, 48AO¹⁹, 48AL¹⁷, 24N¹⁹, 24S¹⁷, 48AB¹³, 48BI¹⁹, 48AM¹⁹, 24Q⁷, 48BJ²¹, 24Y⁷, 96AG²³, 24R¹³, 48C¹⁶, 72P¹³, 24I¹⁷, 72H¹⁴, 24M⁸, 48S⁸, 48V¹⁵, 96G¹³, 24J⁸, 48AN²¹, 72E¹⁴, 24K⁶, 48Q¹⁷, 24P⁹, 48AI⁷, 48AA²¹, 48BL¹⁷, 24N¹⁵, 24J¹⁷, 84J¹⁶, 96Z²⁰, 96AE²³, 24O¹⁵, 36B¹⁴, 48BC¹⁷, 48V¹¹, 48BH¹⁹, 96AZ¹⁹, 48CB¹⁷, 24Z¹³, 12I², 48Y¹⁹, 48Z⁸, 24X⁷, 24M⁹, 48J¹⁶, 96Q¹⁵, 48AJ¹⁷, 24AA¹³, 96AB¹⁹, 24F¹⁵, 24N⁸, 48F²⁰, 48BT²¹, 36C¹², 24AH¹⁷, 96V¹⁹, 24S¹⁵, 96T²⁰, 72N¹³, 96F¹⁸, 24P⁷, 48BD¹⁷, 24H¹⁷, 48Q⁸, 24N¹⁷, 24J¹⁹, 48W¹⁹, 36A²⁰, 24AF¹⁷, 12D⁷, 36B¹⁶, 12C⁷, 96AD¹⁷, 12C⁴, 48BU¹⁷, 48AG²¹, 72G¹², 48BF¹⁹, 48U¹¹, 48AF¹⁵, 24F⁹, 24T¹⁵, 48AB⁸, 48AD⁹, 96AC²¹, 48BM¹⁷, 48BJ¹⁹, 48AI¹⁹, 24F⁶, 24P², 36M¹⁵, 48AQ¹⁹, 24I⁸, 48AN¹⁹, 24AI¹⁷, 24Q¹⁵, 48AZ²¹, 48BI²¹, 24AE⁷, 48Z¹⁵, 24P¹⁵, 96AB²⁰, 24Y⁹, 24T¹³, 24I⁶, 48T⁸, 48AG¹⁹, 12J³, 48V⁷, 48V¹⁹, 12I³, 48BA²¹, 48AC¹⁵, 48N¹⁷, 36H¹³, 48B¹⁶, 72N¹², 72O¹³, 96U²⁰, 24B¹⁵, 48AB⁹, 12B⁷, 72W¹⁵, 48U¹⁹, 24E¹⁷, 24U¹⁵, 24G⁵, 36I¹³, 48AA¹⁵, 48L¹⁹, 48BB¹⁹, 48P⁸, 48G⁵, 48S¹⁵, 48BQ¹⁷, 48BV¹⁷, 48BN¹⁹, 96T¹⁹, 24AL¹⁷, 48BK¹⁷, 24AE¹⁷, 96M²⁰, 48BY²¹, 24M¹⁵</t>
        </is>
      </c>
    </row>
    <row r="179">
      <c r="A179">
        <f>HYPERLINK("https://mathstats.uncg.edu/sites/pauli/congruence/csg1.html#group12N1", "12N¹")</f>
        <v/>
      </c>
      <c r="B179" t="n">
        <v>1</v>
      </c>
      <c r="C179" t="inlineStr"/>
      <c r="D179" t="inlineStr">
        <is>
          <t>36</t>
        </is>
      </c>
      <c r="E179" t="inlineStr">
        <is>
          <t>2</t>
        </is>
      </c>
      <c r="F179" t="inlineStr">
        <is>
          <t>9</t>
        </is>
      </c>
      <c r="G179" t="inlineStr">
        <is>
          <t>4</t>
        </is>
      </c>
      <c r="H179" t="inlineStr">
        <is>
          <t>0</t>
        </is>
      </c>
      <c r="I179" t="inlineStr">
        <is>
          <t>6², 12²</t>
        </is>
      </c>
      <c r="J179" t="n">
        <v>4</v>
      </c>
      <c r="K179" t="inlineStr">
        <is>
          <t>2⁹</t>
        </is>
      </c>
      <c r="L179" t="inlineStr">
        <is>
          <t>6H⁰, 12D⁰, 12C¹</t>
        </is>
      </c>
      <c r="M179" t="inlineStr">
        <is>
          <t>12T¹, 12E³, 12F³, 24Q⁴, 36K⁵, 36F⁷, 36G⁷, 60H¹³, 60AF¹³, 84M¹⁷, 84N¹⁷, 84H²¹</t>
        </is>
      </c>
      <c r="N179" t="inlineStr">
        <is>
          <t>6B⁰, 12C¹, 2B⁰, 12D⁰, 6H⁰, 3A⁰, 1A⁰, 6D⁰</t>
        </is>
      </c>
      <c r="O179" t="inlineStr">
        <is>
          <t>12T¹, 24Q⁴, 60H¹³, 24M⁷, 72R¹⁶, 36I¹⁵, 12F³, 24R¹³, 84M¹⁷, 24I¹⁷, 84N¹⁷, 24L¹⁵, 48G¹⁷, 36D²¹, 48AA¹⁹, 36B²³, 72J²³, 24G¹⁵, 36B¹⁵, 36S¹⁹, 24K¹⁵, 48AG¹⁷, 24J¹³, 24K¹⁹, 24L⁹, 36U¹⁹, 24O¹³, 24Q¹³, 36G⁷, 36J¹⁵, 24T¹³, 24Y¹³, 48R¹⁷, 72S¹⁶, 48M¹⁷, 36K⁵, 24U¹³, 48AH¹⁷, 36C¹⁵, 36O⁹, 24K¹³, 36F⁷, 36P⁹, 36P¹³, 72AA²¹, 24J¹⁵, 36D²³, 48AC¹³, 12P³, 36T¹⁹, 12E³, 24Y¹⁷, 48L¹⁷, 60AF¹³, 24E⁹, 48V¹⁷, 24S¹³, 12B⁵, 48AV²¹, 48BE²¹, 24X¹⁷, 24AA¹⁷, 12E⁷, 24N¹¹, 24H¹⁵, 12A¹¹, 24F¹⁵, 36M¹¹, 12C⁵, 12A¹³, 72K¹⁴, 24M¹⁷, 36A²³, 24U⁵, 24S⁵, 24A¹⁷, 48AV¹⁷, 24S⁷, 48M²¹, 36E²¹, 36L¹¹, 12B⁹, 24N⁷, 12D⁵, 24H¹⁷, 12B¹³, 48AD¹³, 24N¹⁷, 24O¹⁷, 48F¹⁷, 12D⁷, 72K²³, 72I²³, 24T⁵, 84H²¹, 24W¹³, 48X¹³, 24AE¹⁷, 24K⁹, 48R¹⁵, 24P¹³, 36C²³, 24C¹⁷, 48AR¹⁷</t>
        </is>
      </c>
    </row>
    <row r="180">
      <c r="A180">
        <f>HYPERLINK("https://mathstats.uncg.edu/sites/pauli/congruence/csg1.html#group12O1", "12O¹")</f>
        <v/>
      </c>
      <c r="B180" t="n">
        <v>1</v>
      </c>
      <c r="C180" t="inlineStr"/>
      <c r="D180" t="inlineStr">
        <is>
          <t>48</t>
        </is>
      </c>
      <c r="E180" t="inlineStr">
        <is>
          <t>1</t>
        </is>
      </c>
      <c r="F180" t="inlineStr">
        <is>
          <t>8</t>
        </is>
      </c>
      <c r="G180" t="inlineStr">
        <is>
          <t>0</t>
        </is>
      </c>
      <c r="H180" t="inlineStr">
        <is>
          <t>6</t>
        </is>
      </c>
      <c r="I180" t="inlineStr">
        <is>
          <t>12⁴</t>
        </is>
      </c>
      <c r="J180" t="n">
        <v>4</v>
      </c>
      <c r="K180" t="inlineStr">
        <is>
          <t>2⁴</t>
        </is>
      </c>
      <c r="L180" t="inlineStr">
        <is>
          <t>6J⁰, 12B⁰</t>
        </is>
      </c>
      <c r="M180" t="inlineStr">
        <is>
          <t>36S⁴, 12A⁷, 12F⁷, 36D¹⁰, 36E¹⁰, 60T¹⁵, 60J²¹</t>
        </is>
      </c>
      <c r="N180" t="inlineStr">
        <is>
          <t>6J⁰, 3B⁰, 2A⁰, 6A⁰, 1A⁰, 6C⁰, 12B⁰</t>
        </is>
      </c>
      <c r="O180" t="inlineStr">
        <is>
          <t>12A⁷, 36S⁴, 36D¹⁰, 60T¹⁵, 24H²¹, 12F⁷, 36E¹⁰, 36M²², 12B¹³, 108C²², 60J²¹</t>
        </is>
      </c>
    </row>
    <row r="181">
      <c r="A181">
        <f>HYPERLINK("https://mathstats.uncg.edu/sites/pauli/congruence/csg1.html#group12P1", "12P¹")</f>
        <v/>
      </c>
      <c r="B181" t="n">
        <v>1</v>
      </c>
      <c r="C181" t="inlineStr"/>
      <c r="D181" t="inlineStr">
        <is>
          <t>48</t>
        </is>
      </c>
      <c r="E181" t="inlineStr">
        <is>
          <t>1</t>
        </is>
      </c>
      <c r="F181" t="inlineStr">
        <is>
          <t>12</t>
        </is>
      </c>
      <c r="G181" t="inlineStr">
        <is>
          <t>0</t>
        </is>
      </c>
      <c r="H181" t="inlineStr">
        <is>
          <t>0</t>
        </is>
      </c>
      <c r="I181" t="inlineStr">
        <is>
          <t>2², 4², 6², 12²</t>
        </is>
      </c>
      <c r="J181" t="n">
        <v>8</v>
      </c>
      <c r="K181" t="inlineStr">
        <is>
          <t>1⁶, 2³</t>
        </is>
      </c>
      <c r="L181" t="inlineStr">
        <is>
          <t>4E⁰, 6I⁰, 12E⁰, 12F¹</t>
        </is>
      </c>
      <c r="M181" t="inlineStr">
        <is>
          <t>12V¹, 12K³, 12L³, 24U³, 24V³, 24Z³, 24AA³, 12B⁵, 24H⁵, 24I⁵, 36L⁵, 36D⁹, 36C⁹, 60B¹⁷, 60T¹⁷</t>
        </is>
      </c>
      <c r="N181" t="inlineStr">
        <is>
          <t>3B⁰, 2A⁰, 6I⁰, 12F¹, 6C⁰, 4C⁰, 6F⁰, 2B⁰, 4E⁰, 4B⁰, 1A⁰, 2C⁰, 12E⁰</t>
        </is>
      </c>
      <c r="O181" t="inlineStr">
        <is>
          <t>60T¹⁷, 24AE⁹, 24AK⁷, 24AA³, 48BS¹⁹, 24AH⁹, 72C¹⁹, 36B¹⁷, 24AD⁹, 96BC¹⁹, 48CK¹⁷, 12E⁵, 48CG²¹, 24D²¹, 24U³, 48AL⁷, 24AP¹⁷, 48AH⁹, 60B¹⁷, 48BP¹⁹, 24B¹¹, 12L³, 24H⁵, 48CF²¹, 24J¹³, 48CK²¹, 72R¹³, 48AK⁹, 72C²¹, 24O¹³, 24AC⁹, 36A¹⁷, 72K¹⁹, 24AO¹⁷, 48CE²¹, 48CA²¹, 72A¹⁹, 24AF⁷, 48BO¹⁹, 96BF²¹, 48CJ¹⁷, 72M¹⁹, 72M¹⁷, 48BT¹⁹, 24AG⁷, 24K¹³, 24A¹¹, 48CI²¹, 72B²¹, 36C¹⁹, 48I¹³, 48CD²¹, 48CH²¹, 72L¹⁹, 48W¹¹, 36Q⁹, 36D¹⁹, 12K³, 72Q¹³, 48CJ²¹, 24C²¹, 24G²¹, 24B²¹, 36D⁹, 24AT¹⁷, 24V³, 24F²¹, 12B⁵, 48AG¹³, 24AG⁹, 48J¹³, 24AK⁹, 72D²¹, 48CC²¹, 24E²¹, 24AQ¹⁷, 48CP²¹, 24A²¹, 36F²¹, 72B¹⁹, 24AH⁷, 48CB²¹, 108E²¹, 96BD¹⁹, 24AB¹³, 36B¹⁹, 72W¹³, 24Z⁵, 72N¹⁹, 36U¹³, 48BZ²¹, 72N¹⁷, 12A¹³, 96AZ²¹, 36A¹⁹, 24AR¹⁷, 48CL¹⁷, 24A¹⁷, 24AB⁹, 36E²¹, 36L⁵, 24Z³, 12V¹, 48B¹³, 48D¹³, 96BA²¹, 12B⁹, 12B¹³, 24AS¹⁷, 72A²¹, 24AB⁵, 72D¹⁹, 72V¹³, 24AN¹⁷, 96BD²¹, 36C⁹, 24I⁵, 48AK⁷, 48CM¹⁷, 24AL⁷, 48A¹³, 36T¹³, 48C¹³, 48CQ²¹, 48X¹¹, 48CN¹⁷, 24P¹³, 24AC¹³, 24C¹⁷, 24AI⁷, 24AF⁹</t>
        </is>
      </c>
    </row>
    <row r="182">
      <c r="A182">
        <f>HYPERLINK("https://mathstats.uncg.edu/sites/pauli/congruence/csg1.html#group12Q1", "12Q¹")</f>
        <v/>
      </c>
      <c r="B182" t="n">
        <v>1</v>
      </c>
      <c r="C182" t="inlineStr"/>
      <c r="D182" t="inlineStr">
        <is>
          <t>48</t>
        </is>
      </c>
      <c r="E182" t="inlineStr">
        <is>
          <t>1</t>
        </is>
      </c>
      <c r="F182" t="inlineStr">
        <is>
          <t>12</t>
        </is>
      </c>
      <c r="G182" t="inlineStr">
        <is>
          <t>8</t>
        </is>
      </c>
      <c r="H182" t="inlineStr">
        <is>
          <t>0</t>
        </is>
      </c>
      <c r="I182" t="inlineStr">
        <is>
          <t>12⁴</t>
        </is>
      </c>
      <c r="J182" t="n">
        <v>4</v>
      </c>
      <c r="K182" t="inlineStr">
        <is>
          <t>2², 4²</t>
        </is>
      </c>
      <c r="L182" t="inlineStr">
        <is>
          <t>6E⁰, 12F⁰, 12G¹</t>
        </is>
      </c>
      <c r="M182" t="inlineStr">
        <is>
          <t>12M³, 12A⁵, 12D⁵, 24L⁵, 24P⁵, 36M⁵, 36J⁷, 36K⁷, 24AL⁹, 36K⁹, 36L⁹, 60E¹⁷, 60V¹⁷, 84N²¹</t>
        </is>
      </c>
      <c r="N182" t="inlineStr">
        <is>
          <t>12G¹, 12A⁰, 6B⁰, 6E⁰, 4A⁰, 12F⁰, 3C⁰, 3A⁰, 1A⁰</t>
        </is>
      </c>
      <c r="O182" t="inlineStr">
        <is>
          <t>36B²¹, 72V¹⁹, 36P¹⁵, 24R¹³, 24AA¹⁷, 36K⁹, 72U¹⁹, 72S¹⁹, 24L¹⁵, 12A⁵, 24L²¹, 12A¹¹, 12A⁹, 72Q²¹, 36E¹⁷, 12A¹³, 36A²¹, 12M³, 36K⁷, 60V¹⁷, 36L⁹, 24P⁵, 24L⁵, 36C¹⁷, 24AL⁹, 24T¹³, 36J⁷, 60E¹⁷, 36S¹⁵, 72T¹⁹, 24B¹³, 24K²¹, 24U¹³, 12D⁵, 48Q¹³, 72S²¹, 24A¹³, 24N¹⁷, 72T²¹, 72S¹⁷, 72V²¹, 48R¹³, 36D²³, 84N²¹, 24K¹¹, 36H¹⁹, 72U²¹, 24M²¹, 36E¹⁹, 72P²¹, 36T¹⁵, 36M⁵, 24AE¹⁷, 36Q¹⁵, 36K¹⁹, 36L¹⁹, 36R¹⁵, 72W¹⁷</t>
        </is>
      </c>
    </row>
    <row r="183">
      <c r="A183">
        <f>HYPERLINK("https://mathstats.uncg.edu/sites/pauli/congruence/csg1.html#group12R1", "12R¹")</f>
        <v/>
      </c>
      <c r="B183" t="n">
        <v>1</v>
      </c>
      <c r="C183" t="inlineStr"/>
      <c r="D183" t="inlineStr">
        <is>
          <t>64</t>
        </is>
      </c>
      <c r="E183" t="inlineStr">
        <is>
          <t>1</t>
        </is>
      </c>
      <c r="F183" t="inlineStr">
        <is>
          <t>16</t>
        </is>
      </c>
      <c r="G183" t="inlineStr">
        <is>
          <t>0</t>
        </is>
      </c>
      <c r="H183" t="inlineStr">
        <is>
          <t>4</t>
        </is>
      </c>
      <c r="I183" t="inlineStr">
        <is>
          <t>4⁴, 12⁴</t>
        </is>
      </c>
      <c r="J183" t="n">
        <v>8</v>
      </c>
      <c r="K183" t="inlineStr">
        <is>
          <t>2⁴, 4²</t>
        </is>
      </c>
      <c r="L183" t="inlineStr">
        <is>
          <t>12B⁰, 12I¹</t>
        </is>
      </c>
      <c r="M183" t="inlineStr">
        <is>
          <t>12E⁵, 24Q⁵, 12F⁷, 36M⁷, 12A⁹, 36M⁹, 36N⁹, 36H¹¹, 24G¹³, 36A¹³, 36B¹³, 60T²¹</t>
        </is>
      </c>
      <c r="N183" t="inlineStr">
        <is>
          <t>2A⁰, 3B⁰, 12I¹, 4A⁰, 4D⁰, 12A¹, 6C⁰, 1A⁰, 12B⁰</t>
        </is>
      </c>
      <c r="O183" t="inlineStr">
        <is>
          <t>72Z²¹, 36H¹¹, 36A¹³, 12F⁷, 72Y²¹, 24B²¹, 24AB¹³, 36B¹³, 12E⁵, 12A⁹, 48U¹³, 24H²¹, 60T²¹, 24AP¹⁷, 36M⁷, 36N⁹, 24G¹³, 24Q⁵, 36M⁹</t>
        </is>
      </c>
    </row>
    <row r="184">
      <c r="A184">
        <f>HYPERLINK("https://mathstats.uncg.edu/sites/pauli/congruence/csg1.html#group12S1", "12S¹")</f>
        <v/>
      </c>
      <c r="B184" t="n">
        <v>1</v>
      </c>
      <c r="C184" t="inlineStr"/>
      <c r="D184" t="inlineStr">
        <is>
          <t>72</t>
        </is>
      </c>
      <c r="E184" t="inlineStr">
        <is>
          <t>1</t>
        </is>
      </c>
      <c r="F184" t="inlineStr">
        <is>
          <t>3</t>
        </is>
      </c>
      <c r="G184" t="inlineStr">
        <is>
          <t>0</t>
        </is>
      </c>
      <c r="H184" t="inlineStr">
        <is>
          <t>0</t>
        </is>
      </c>
      <c r="I184" t="inlineStr">
        <is>
          <t>3⁸, 12⁴</t>
        </is>
      </c>
      <c r="J184" t="n">
        <v>12</v>
      </c>
      <c r="K184" t="inlineStr">
        <is>
          <t>1³</t>
        </is>
      </c>
      <c r="L184" t="inlineStr">
        <is>
          <t>6K⁰, 12E⁰, 12G⁰, 12K¹</t>
        </is>
      </c>
      <c r="M184" t="inlineStr">
        <is>
          <t>12O³, 24AC³, 12B⁵, 24R⁵, 24G⁷, 36N⁷, 36Q¹⁰, 36C¹³</t>
        </is>
      </c>
      <c r="N184" t="inlineStr">
        <is>
          <t>3B⁰, 12K¹, 6G⁰, 2B⁰, 4B⁰, 1A⁰, 3D⁰, 12G⁰, 12E⁰, 3C⁰, 6K⁰, 12B¹, 12D⁰, 3A⁰, 6F⁰, 6D⁰</t>
        </is>
      </c>
      <c r="O184" t="inlineStr">
        <is>
          <t>12O³, 36Q¹⁰, 36E²¹, 12B⁵, 24N¹³, 36N⁷, 72AB²¹, 12B⁹, 72X¹⁷, 24P¹³, 12B¹³, 24AC³, 24K¹³, 36K¹⁷, 48W¹³, 36L²², 24L¹³, 48B¹⁷, 48Y¹³, 12A¹³, 48C¹⁷, 36C¹³, 24J¹³, 48Z¹³, 24R⁵, 48V¹³, 24M¹³, 24G⁷, 24O¹³, 72L²², 24A¹⁷, 24C¹⁷, 24AP⁹</t>
        </is>
      </c>
    </row>
    <row r="185">
      <c r="A185">
        <f>HYPERLINK("https://mathstats.uncg.edu/sites/pauli/congruence/csg1.html#group12T1", "12T¹")</f>
        <v/>
      </c>
      <c r="B185" t="n">
        <v>1</v>
      </c>
      <c r="C185" t="inlineStr"/>
      <c r="D185" t="inlineStr">
        <is>
          <t>72</t>
        </is>
      </c>
      <c r="E185" t="inlineStr">
        <is>
          <t>1</t>
        </is>
      </c>
      <c r="F185" t="inlineStr">
        <is>
          <t>9</t>
        </is>
      </c>
      <c r="G185" t="inlineStr">
        <is>
          <t>8</t>
        </is>
      </c>
      <c r="H185" t="inlineStr">
        <is>
          <t>0</t>
        </is>
      </c>
      <c r="I185" t="inlineStr">
        <is>
          <t>6⁴, 12⁴</t>
        </is>
      </c>
      <c r="J185" t="n">
        <v>8</v>
      </c>
      <c r="K185" t="inlineStr">
        <is>
          <t>1³, 2³</t>
        </is>
      </c>
      <c r="L185" t="inlineStr">
        <is>
          <t>6L⁰, 12G⁰, 12H⁰, 12L¹, 12N¹</t>
        </is>
      </c>
      <c r="M185" t="inlineStr">
        <is>
          <t>12P³, 12B⁵, 12C⁵, 12D⁵, 24S⁵, 24T⁵, 24U⁵, 24S⁷, 24E⁹, 36O⁹, 36P⁹, 36P¹³</t>
        </is>
      </c>
      <c r="N185" t="inlineStr">
        <is>
          <t>6B⁰, 12C⁰, 4C⁰, 6G⁰, 2B⁰, 12N¹, 12H⁰, 1A⁰, 12L¹, 12G⁰, 12C¹, 6E⁰, 6L⁰, 3C⁰, 12D⁰, 6H⁰, 3A⁰, 6D⁰</t>
        </is>
      </c>
      <c r="O185" t="inlineStr">
        <is>
          <t>24S¹³, 12B⁵, 48AV²¹, 48BE²¹, 24R¹³, 24AA¹⁷, 24N¹¹, 24L¹⁵, 36B²³, 12A¹¹, 72J²³, 12C⁵, 12A¹³, 24M¹⁷, 24K¹⁵, 36A²³, 24U⁵, 24J¹³, 24S⁵, 48AG¹⁷, 36U¹⁹, 24O¹³, 24Q¹³, 24A¹⁷, 48AV¹⁷, 24S⁷, 48M²¹, 36E²¹, 24T¹³, 24Y¹³, 48R¹⁷, 48M¹⁷, 12B⁹, 24U¹³, 12D⁵, 48AH¹⁷, 36O⁹, 12B¹³, 24K¹³, 48AD¹³, 24N¹⁷, 24O¹⁷, 36P⁹, 36P¹³, 72AA²¹, 36D²³, 72K²³, 72I²³, 24T⁵, 12P³, 48AC¹³, 24W¹³, 48X¹³, 24AE¹⁷, 48L¹⁷, 24P¹³, 36C²³, 24C¹⁷, 24E⁹, 48AR¹⁷</t>
        </is>
      </c>
    </row>
    <row r="186">
      <c r="A186">
        <f>HYPERLINK("https://mathstats.uncg.edu/sites/pauli/congruence/csg1.html#group12U1", "12U¹")</f>
        <v/>
      </c>
      <c r="B186" t="n">
        <v>1</v>
      </c>
      <c r="C186" t="inlineStr"/>
      <c r="D186" t="inlineStr">
        <is>
          <t>72</t>
        </is>
      </c>
      <c r="E186" t="inlineStr">
        <is>
          <t>1</t>
        </is>
      </c>
      <c r="F186" t="inlineStr">
        <is>
          <t>18</t>
        </is>
      </c>
      <c r="G186" t="inlineStr">
        <is>
          <t>4</t>
        </is>
      </c>
      <c r="H186" t="inlineStr">
        <is>
          <t>0</t>
        </is>
      </c>
      <c r="I186" t="inlineStr">
        <is>
          <t>6⁸, 12²</t>
        </is>
      </c>
      <c r="J186" t="n">
        <v>10</v>
      </c>
      <c r="K186" t="inlineStr">
        <is>
          <t>2³, 4³</t>
        </is>
      </c>
      <c r="L186" t="inlineStr">
        <is>
          <t>6L⁰</t>
        </is>
      </c>
      <c r="M186" t="inlineStr">
        <is>
          <t>12N³, 12C⁵, 12E⁷, 36N⁸, 36O⁸, 36J¹¹, 36S¹³</t>
        </is>
      </c>
      <c r="N186" t="inlineStr">
        <is>
          <t>6B⁰, 6E⁰, 6L⁰, 6G⁰, 3C⁰, 2B⁰, 6H⁰, 3A⁰, 1A⁰, 6D⁰</t>
        </is>
      </c>
      <c r="O186" t="inlineStr">
        <is>
          <t>36S¹³, 12B⁹, 24X¹⁷, 12E⁷, 36I¹⁷, 12B¹³, 36J¹¹, 12N³, 36B²³, 12A¹¹, 36K²², 12C⁵, 36N⁸, 24M¹⁷, 36O⁸, 24K¹⁵, 24Q¹³, 36C²³</t>
        </is>
      </c>
    </row>
    <row r="187">
      <c r="A187">
        <f>HYPERLINK("https://mathstats.uncg.edu/sites/pauli/congruence/csg1.html#group12V1", "12V¹")</f>
        <v/>
      </c>
      <c r="B187" t="n">
        <v>1</v>
      </c>
      <c r="C187" t="inlineStr"/>
      <c r="D187" t="inlineStr">
        <is>
          <t>96</t>
        </is>
      </c>
      <c r="E187" t="inlineStr">
        <is>
          <t>1</t>
        </is>
      </c>
      <c r="F187" t="inlineStr">
        <is>
          <t>12</t>
        </is>
      </c>
      <c r="G187" t="inlineStr">
        <is>
          <t>0</t>
        </is>
      </c>
      <c r="H187" t="inlineStr">
        <is>
          <t>0</t>
        </is>
      </c>
      <c r="I187" t="inlineStr">
        <is>
          <t>2⁴, 4⁴, 6⁴, 12⁴</t>
        </is>
      </c>
      <c r="J187" t="n">
        <v>16</v>
      </c>
      <c r="K187" t="inlineStr">
        <is>
          <t>1⁶, 2³</t>
        </is>
      </c>
      <c r="L187" t="inlineStr">
        <is>
          <t>12I⁰, 12J⁰, 12P¹</t>
        </is>
      </c>
      <c r="M187" t="inlineStr">
        <is>
          <t>12E⁵, 24Z⁵, 24AB⁵, 12B⁹, 24AB⁹, 36Q⁹, 36B¹⁷, 36A¹⁷</t>
        </is>
      </c>
      <c r="N187" t="inlineStr">
        <is>
          <t>3B⁰, 2A⁰, 6I⁰, 12F¹, 6C⁰, 12I⁰, 4C⁰, 12J⁰, 2B⁰, 4E⁰, 12P¹, 4B⁰, 1A⁰, 6F⁰, 2C⁰, 12E⁰</t>
        </is>
      </c>
      <c r="O187" t="inlineStr">
        <is>
          <t>24Z⁵, 36A¹⁷, 24AP¹⁷, 48BZ²¹, 48AG¹³, 12B⁹, 36Q⁹, 24B²¹, 24AQ¹⁷, 24AB⁵, 36B¹⁷, 48CN¹⁷, 24AB¹³, 24AC¹³, 12E⁵, 24AB⁹</t>
        </is>
      </c>
    </row>
    <row r="188">
      <c r="A188">
        <f>HYPERLINK("https://mathstats.uncg.edu/sites/pauli/congruence/csg1.html#group14A1", "14A¹")</f>
        <v/>
      </c>
      <c r="B188" t="n">
        <v>1</v>
      </c>
      <c r="C188" t="inlineStr"/>
      <c r="D188" t="inlineStr">
        <is>
          <t>14</t>
        </is>
      </c>
      <c r="E188" t="inlineStr">
        <is>
          <t>2</t>
        </is>
      </c>
      <c r="F188" t="inlineStr">
        <is>
          <t>7</t>
        </is>
      </c>
      <c r="G188" t="inlineStr">
        <is>
          <t>0</t>
        </is>
      </c>
      <c r="H188" t="inlineStr">
        <is>
          <t>2</t>
        </is>
      </c>
      <c r="I188" t="inlineStr">
        <is>
          <t>14¹</t>
        </is>
      </c>
      <c r="J188" t="n">
        <v>1</v>
      </c>
      <c r="K188" t="inlineStr">
        <is>
          <t>2¹, 6²</t>
        </is>
      </c>
      <c r="L188" t="inlineStr">
        <is>
          <t>2A⁰, 7A⁰</t>
        </is>
      </c>
      <c r="M188" t="inlineStr">
        <is>
          <t>14D¹, 14A³, 14B³, 14C³, 42A³, 28A⁴, 42A⁴, 42E⁴, 70A⁵, 70A⁷, 70A¹¹, 182A¹⁵, 238B²¹, 266B²²</t>
        </is>
      </c>
      <c r="N188" t="inlineStr">
        <is>
          <t>2A⁰, 1A⁰, 7A⁰</t>
        </is>
      </c>
      <c r="O188" t="inlineStr">
        <is>
          <t>42B¹⁵, 14B³, 28B¹², 42F⁷, 14C⁵, 98A²⁴, 84A¹⁴, 112A¹⁶, 14D¹, 56G²⁴, 56H¹², 126B¹³, 42A¹⁰, 42C⁷, 70A¹⁷, 28L²¹, 14C³, 42A¹³, 42F¹⁹, 84G¹⁵, 70A¹¹, 126C²¹, 84D⁸, 42D¹³, 56A¹², 42C¹³, 126F²¹, 84D¹³, 210C¹⁶, 42A⁷, 28C¹², 28A⁷, 112B²⁴, 42D⁵, 126E²⁰, 28A¹³, 126E²¹, 56D¹³, 182A¹⁵, 98B²⁴, 126J²³, 126D²¹, 84H²⁰, 42M¹⁹, 56I¹², 56D²⁴, 252E²⁴, 42B²⁴, 56F²³, 84B²⁴, 84E⁸, 14B⁵, 28A¹², 42A²³, 42C⁵, 210B²¹, 42B¹⁹, 210A¹⁸, 56B²⁴, 42B⁶, 70A⁵, 28F¹⁶, 112A²⁴, 126A¹¹, 126L²³, 126C¹⁴, 56F²⁴, 42E²³, 70B¹⁵, 14A¹⁷, 14D⁵, 140A²², 70C¹⁷, 42E¹², 70B⁹, 252F²⁴, 42B¹⁶, 42H¹⁹, 28C²¹, 42B¹⁰, 56A¹⁵, 42I¹⁹, 70A²¹, 14A³, 42D²³, 56B⁸, 70E²¹, 42J¹⁹, 28K²¹, 28B¹⁶, 70D¹³, 126A²⁴, 28B⁶, 42C¹⁹, 266B²², 42J²³, 70B¹⁹, 56A¹⁷, 84F²⁰, 42H²³, 42B²³, 238B²¹, 28A⁴, 42E¹⁹, 70A⁷, 28C²³, 42C¹², 112B¹⁶, 126G¹², 14B¹⁷, 126A²¹, 210B²², 126G²¹, 84B²⁰, 210A¹⁷, 126B²¹, 28D²¹, 28C¹⁶, 28C¹¹, 28A¹⁵, 42D²¹, 14A⁷, 210B¹⁷, 70C²¹, 14E³, 42D¹², 56C²⁴, 126I²¹, 126K²³, 70B¹⁷, 42G²³, 126C¹³, 210A¹⁶, 84C¹⁷, 42A⁴, 14A⁹, 42B⁷, 42C¹⁰, 126H²¹, 56C¹³, 42A¹², 84A²⁴, 84A¹³, 42A³, 70A¹⁹, 126F¹², 210A²¹, 28C⁶, 42G¹⁹, 42K¹⁹, 42D¹⁹, 28B²³, 42F²³, 56A⁸, 56B¹², 42A²⁴, 126B¹⁴, 70B²¹, 14C¹³, 56A²⁴, 42L¹⁹, 210B¹⁶, 56A²³, 14A¹³, 28D²³, 42E¹³, 14E⁵, 84C²⁰, 42E⁴, 14B⁹, 70C¹³, 14A¹⁵, 70A¹³</t>
        </is>
      </c>
    </row>
    <row r="189">
      <c r="A189">
        <f>HYPERLINK("https://mathstats.uncg.edu/sites/pauli/congruence/csg1.html#group14B1", "14B¹")</f>
        <v/>
      </c>
      <c r="B189" t="n">
        <v>1</v>
      </c>
      <c r="C189" t="inlineStr"/>
      <c r="D189" t="inlineStr">
        <is>
          <t>21</t>
        </is>
      </c>
      <c r="E189" t="inlineStr">
        <is>
          <t>2</t>
        </is>
      </c>
      <c r="F189" t="inlineStr">
        <is>
          <t>21</t>
        </is>
      </c>
      <c r="G189" t="inlineStr">
        <is>
          <t>3</t>
        </is>
      </c>
      <c r="H189" t="inlineStr">
        <is>
          <t>0</t>
        </is>
      </c>
      <c r="I189" t="inlineStr">
        <is>
          <t>7¹, 14¹</t>
        </is>
      </c>
      <c r="J189" t="n">
        <v>2</v>
      </c>
      <c r="K189" t="inlineStr">
        <is>
          <t>2³, 6⁶</t>
        </is>
      </c>
      <c r="L189" t="inlineStr">
        <is>
          <t>2B⁰, 7A⁰</t>
        </is>
      </c>
      <c r="M189" t="inlineStr">
        <is>
          <t>14A², 14C², 14F², 28B², 28C², 14B³, 14D³, 28A³, 28B³, 42C³, 42C⁶, 70A⁸, 70B⁸, 70D¹⁵, 182A²²</t>
        </is>
      </c>
      <c r="N189" t="inlineStr">
        <is>
          <t>1A⁰, 2B⁰, 7A⁰</t>
        </is>
      </c>
      <c r="O189" t="inlineStr">
        <is>
          <t>224C²⁴, 336I²⁴, 56C⁶, 56H²¹, 140C¹⁶, 84F¹⁶, 168E¹⁶, 42D²⁴, 112V²⁴, 56G¹⁴, 28D¹³, 84H¹⁹, 42H¹⁵, 84D¹⁶, 56G²⁴, 56H¹², 140B¹⁶, 126D²⁰, 224A²³, 112Q²⁴, 56H²⁴, 56B²¹, 28A¹⁷, 56H¹⁵, 56I²⁴, 70F¹⁸, 112A¹¹, 28E²¹, 56E²³, 56A¹², 182A²², 56B¹⁰, 42B⁸, 14C⁹, 28A⁸, 56E²¹, 70A²³, 56D¹⁰, 112E²³, 112L²³, 42A¹⁶, 56F²¹, 168A¹⁷, 28D¹¹, 112H²³, 56A²¹, 84D²⁰, 56B⁶, 112U²⁴, 28D⁵, 28C¹², 112B²⁴, 112F¹¹, 84D²⁴, 56B⁵, 56G¹¹, 28E¹⁶, 84H²⁰, 56D²⁴, 56F²³, 56J²⁴, 70B⁸, 168D²⁰, 28C⁵, 28B¹⁷, 56A¹⁰, 84C²⁴, 56E¹³, 42K²³, 56B²⁴, 56C¹², 84B¹³, 112C¹¹, 112A²⁴, 112D¹², 168B¹⁵, 84D¹⁹, 56F²², 84H¹⁸, 84E¹⁷, 224E²⁴, 112P²⁴, 112S²⁴, 84E¹⁸, 14C⁷, 112A²¹, 70C¹⁷, 14B¹³, 84H¹⁵, 28D¹⁶, 28H²¹, 28C²¹, 42I¹⁹, 28C¹⁷, 56A¹³, 112F¹², 112B¹², 70F¹⁶, 84N²², 112B²³, 56A⁵, 28G²¹, 112C²⁴, 84K¹⁷, 14C², 56C²¹, 84G¹⁷, 70B¹⁹, 140A²⁰, 28I⁶, 56B⁹, 112N²⁴, 112D²³, 28A¹¹, 84G¹⁸, 28C¹³, 42I¹⁶, 56D¹¹, 14A⁴, 84A¹⁹, 252G²⁴, 28B⁹, 56G²¹, 112D²¹, 28C¹¹, 14F⁵, 140B¹⁸, 14A⁷, 42G¹², 42C¹⁷, 42G¹⁷, 84C¹⁶, 112C²¹, 56H²³, 112B¹¹, 56C²⁴, 70C¹⁶, 224D²⁴, 84H¹⁶, 140B¹⁹, 84D¹⁴, 112B²¹, 84F¹⁸, 140C¹⁷, 112A¹², 84E¹⁹, 14D⁷, 70A¹⁶, 42A⁸, 28E¹³, 28B¹⁴, 84F⁸, 84C⁹, 56G²³, 14A⁶, 42C¹⁰, 14A²³, 14A², 84A²⁴, 112C²³, 112N²³, 56F¹², 42C¹⁶, 84B⁹, 28C⁶, 112A²³, 42G¹⁹, 112A¹⁴, 42K¹⁹, 56C¹¹, 28E⁷, 56B¹³, 84D¹⁸, 112L²⁴, 42D⁸, 112J²⁴, 56B¹², 56C¹⁶, 56I²³, 28B⁵, 56A²³, 112O²⁴, 14A¹³, 56E¹⁵, 84B⁷, 84C²⁰, 14A¹⁹, 56D²¹, 70G¹⁸, 126F¹⁸, 14B¹⁷, 84G²⁰, 56B⁴, 84M²², 168B²⁰, 56A⁷, 28C⁴, 14B³, 112D¹¹, 56J²³, 28B¹², 56E¹⁷, 84M¹⁷, 28E²³, 224F²⁴, 56B¹⁶, 42H¹⁶, 112W²⁴, 140C¹⁸, 140D¹⁷, 56G¹⁵, 42C⁶, 56A¹⁸, 112R²⁴, 56E²⁴, 56E¹², 42C²¹, 112D²⁴, 28G¹⁵, 56D²², 84A¹⁶, 112B⁸, 168E¹⁸, 56F¹⁵, 168F¹⁸, 112F²³, 56J²¹, 84J¹⁷, 84A²⁰, 28A¹⁴, 84A¹⁰, 112A¹⁹, 84C¹⁴, 56J¹², 84F¹⁹, 84C¹⁸, 84J¹⁶, 84B¹⁶, 28A¹⁰, 112E¹², 28C², 70A²², 28J⁶, 84L¹⁷, 84F¹⁷, 84F²³, 84E¹⁶, 70G¹⁷, 112M²³, 70A⁸, 56D¹², 42L²³, 56K²¹, 28B², 56D¹³, 112A²², 70D¹⁵, 84B¹², 56I¹², 84B²⁴, 56G²², 28J²¹, 42C²⁴, 56A⁶, 70A²⁴, 210A²⁴, 56E¹¹, 28D¹⁵, 224A²¹, 112Z²⁴, 112A¹³, 28H¹⁵, 140C¹⁹, 168B²⁴, 112G¹², 56F¹³, 112J²³, 28F¹⁶, 28F¹⁵, 140B¹⁷, 28C⁷, 112C¹², 84H¹⁷, 56F²⁴, 28E¹⁵, 56A¹¹, 42E¹⁶, 168G¹⁶, 14D⁵, 84G⁸, 84I¹⁶, 84B¹⁹, 84G¹⁶, 70H¹⁶, 42C¹¹, 28C¹⁴, 56A¹⁶, 84A¹², 224A¹⁹, 168A²⁴, 42L⁷, 112A¹⁰, 42C⁸, 84A¹⁸, 84B²³, 42C³, 126H¹², 140A¹⁷, 28B¹⁶, 112H²⁴, 28B⁶, 112X²⁴, 84C¹⁹, 42F¹⁷, 140A¹⁶, 42K¹⁰, 56D²³, 84I¹⁹, 28D¹², 84N¹⁷, 42I⁷, 56A¹⁹, 84F²⁰, 14A¹¹, 28B²¹, 84I¹⁷, 168F¹⁶, 168C²⁰, 14F², 28C²³, 28B³, 210C²⁴, 42B²², 224B²⁴, 112Y²⁴, 56E¹⁰, 84B²⁰, 112T²⁴, 112I²³, 42K⁷, 28D²¹, 28C¹⁶, 28A⁵, 28A¹⁶, 14D³, 42A²², 112E¹¹, 56E²², 168D¹⁶, 28I²¹, 42B¹⁸, 42D¹², 112I²⁴, 28I¹¹, 28A⁶, 56D¹⁶, 112F²⁴, 28B⁷, 84G¹⁹, 112G²⁴, 56K¹², 56F¹⁷, 28A⁹, 168C¹⁶, 56C⁵, 84C¹³, 112B¹⁴, 112K²³, 168A¹², 168A²⁰, 28A³, 56B¹⁷, 42D¹⁵, 112M²⁴, 56C¹⁰, 56N²³, 70E¹⁷, 84B¹⁸, 14G⁵, 56C¹³, 84E²⁴, 56F¹¹, 28H⁵, 84C⁷, 112E²⁴, 28C¹⁵, 84D¹⁷, 112K²⁴, 84E²⁰, 84B⁶, 168A¹⁵, 42C²², 56C²², 28B¹³, 42F²³, 168A²¹, 56G¹², 14C¹³, 210B²⁴, 56A²⁴, 42L¹⁹, 56B¹¹, 112B¹³, 84I¹⁵, 112G²³, 42C¹⁸, 126C²⁰, 56M²³, 14B⁹, 224A²⁴, 112C¹⁴, 28D¹⁷</t>
        </is>
      </c>
    </row>
    <row r="190">
      <c r="A190">
        <f>HYPERLINK("https://mathstats.uncg.edu/sites/pauli/congruence/csg1.html#group14C1", "14C¹")</f>
        <v/>
      </c>
      <c r="B190" t="n">
        <v>1</v>
      </c>
      <c r="C190" t="inlineStr">
        <is>
          <t>Γ₀(14)</t>
        </is>
      </c>
      <c r="D190" t="inlineStr">
        <is>
          <t>24</t>
        </is>
      </c>
      <c r="E190" t="inlineStr">
        <is>
          <t>1</t>
        </is>
      </c>
      <c r="F190" t="inlineStr">
        <is>
          <t>24</t>
        </is>
      </c>
      <c r="G190" t="inlineStr">
        <is>
          <t>0</t>
        </is>
      </c>
      <c r="H190" t="inlineStr">
        <is>
          <t>0</t>
        </is>
      </c>
      <c r="I190" t="inlineStr">
        <is>
          <t>1¹, 2¹, 7¹, 14¹</t>
        </is>
      </c>
      <c r="J190" t="n">
        <v>4</v>
      </c>
      <c r="K190" t="inlineStr">
        <is>
          <t>1⁶, 6³</t>
        </is>
      </c>
      <c r="L190" t="inlineStr">
        <is>
          <t>2B⁰, 7B⁰</t>
        </is>
      </c>
      <c r="M190" t="inlineStr">
        <is>
          <t>14H¹, 14E², 28D², 28C³, 42A⁵, 42B⁵, 42G⁵, 14C⁷, 98A⁷, 70A⁹, 70D⁹, 70D¹⁷</t>
        </is>
      </c>
      <c r="N190" t="inlineStr">
        <is>
          <t>1A⁰, 7B⁰, 2B⁰</t>
        </is>
      </c>
      <c r="O190" t="inlineStr">
        <is>
          <t>168D²³, 84C²¹, 126J¹⁷, 42L¹³, 56M²¹, 42B⁵, 56U²³, 70J¹⁷, 84K²², 84C¹¹, 168C²³, 56N²¹, 112C¹³, 112F²¹, 28A¹⁷, 84F¹³, 56C⁷, 56P¹¹, 84D¹⁰, 140C²¹, 56J¹³, 28E²¹, 126J²¹, 84A²², 84J²³, 28F¹¹, 84C¹⁰, 112E²¹, 70D¹⁷, 84I²², 56O¹¹, 42E¹⁰, 168D²¹, 84H¹¹, 168A²², 168F²⁰, 28E⁶, 84L²², 56A¹⁴, 112A¹⁵, 56L²¹, 112G¹⁵, 56C⁴, 28H¹⁶, 42E⁹, 70G¹⁹, 56H¹³, 168C²¹, 112H¹², 112P²³, 140A¹⁹, 112D¹⁴, 14B⁴, 140B²¹, 56P²³, 42J¹⁷, 224C²³, 56B¹⁹, 112G¹¹, 28D⁴, 84K²⁰, 42I¹¹, 84J²², 84B¹⁰, 84D²¹, 42A⁵, 112S²³, 112U²³, 56L¹³, 70C¹⁸, 70I¹⁹, 126O²¹, 56K¹³, 84F²², 140I¹⁹, 84Q²¹, 14C⁷, 168B²³, 168A²³, 56W²³, 42G⁵, 168C²², 42H¹³, 168D²², 98A⁷, 28E¹¹, 84I²³, 112D¹⁵, 84F²¹, 140H¹⁹, 84H²¹, 84M²⁰, 112B¹⁵, 56E⁶, 196A²¹, 84G¹³, 112C¹⁵, 112I¹¹, 56O¹³, 196A¹⁷, 84B²¹, 42P¹⁹, 112R²³, 112F¹⁵, 84N²⁰, 84I²⁰, 28M²¹, 126P²¹, 56B⁷, 56Q¹¹, 84J²⁰, 28G¹⁶, 56C¹⁹, 98A¹⁹, 112Q²³, 168G²⁰, 42R¹⁹, 126K²¹, 84A¹¹, 168B²², 56N¹¹, 56I¹³, 84B¹¹, 28C¹⁰, 56E¹⁶, 112J¹¹, 140A¹⁸, 168F²³, 84K¹⁹, 126A¹⁷, 56C⁹, 84L²³, 84I¹¹, 84J¹⁹, 168B²¹, 56F¹⁶, 28E⁴, 168Q²³, 126K¹⁷, 28F⁹, 56G¹³, 28F¹³, 56V²³, 28C³, 56Q²³, 28D⁷, 112H¹¹, 112H¹⁵, 28D², 56O²³, 56L¹², 168E²⁰, 14E², 42I¹⁷, 28G⁶, 56D⁵, 42A⁹, 56M¹¹, 70D⁹, 28E⁵, 56F¹⁰, 168F²², 56R¹¹, 42G¹¹, 42H²¹, 42J¹⁰, 28F⁴, 112O²³, 84A²¹, 70A⁹, 112D¹³, 98B¹⁷, 42I¹⁰, 56L¹¹, 112E¹⁵, 84L²⁰, 168E²³, 112T²³, 168R²³, 56D⁶, 84E²¹, 14A¹⁹, 28D¹⁰, 224B²³, 14H¹, 84G²¹, 168E²², 56R²³, 84K²³, 14B¹⁷</t>
        </is>
      </c>
    </row>
    <row r="191">
      <c r="A191">
        <f>HYPERLINK("https://mathstats.uncg.edu/sites/pauli/congruence/csg1.html#group14D1", "14D¹")</f>
        <v/>
      </c>
      <c r="B191" t="n">
        <v>1</v>
      </c>
      <c r="C191" t="inlineStr"/>
      <c r="D191" t="inlineStr">
        <is>
          <t>28</t>
        </is>
      </c>
      <c r="E191" t="inlineStr">
        <is>
          <t>2</t>
        </is>
      </c>
      <c r="F191" t="inlineStr">
        <is>
          <t>7</t>
        </is>
      </c>
      <c r="G191" t="inlineStr">
        <is>
          <t>0</t>
        </is>
      </c>
      <c r="H191" t="inlineStr">
        <is>
          <t>4</t>
        </is>
      </c>
      <c r="I191" t="inlineStr">
        <is>
          <t>14²</t>
        </is>
      </c>
      <c r="J191" t="n">
        <v>2</v>
      </c>
      <c r="K191" t="inlineStr">
        <is>
          <t>2¹, 6²</t>
        </is>
      </c>
      <c r="L191" t="inlineStr">
        <is>
          <t>7C⁰, 14A⁰, 14A¹</t>
        </is>
      </c>
      <c r="M191" t="inlineStr">
        <is>
          <t>14E³, 14C⁵, 14D⁵, 14E⁵, 42C⁵, 42D⁵, 42B⁶, 28A⁷, 42A⁷, 42F⁷, 70B⁹, 70D¹³, 70C²¹</t>
        </is>
      </c>
      <c r="N191" t="inlineStr">
        <is>
          <t>2A⁰, 14A⁰, 7A⁰, 1A⁰, 7C⁰, 14A¹</t>
        </is>
      </c>
      <c r="O191" t="inlineStr">
        <is>
          <t>70D¹³, 126J²³, 126A²⁴, 42B²⁴, 42J²³, 42F⁷, 56F²³, 14C⁵, 14A⁹, 42A²³, 42C⁵, 42H²³, 42B²³, 28L²¹, 28A¹³, 42B⁶, 28C²³, 42F¹⁹, 84G¹⁵, 42G¹⁹, 126C²¹, 126L²³, 126K²³, 14B¹⁷, 42E²³, 14A¹⁷, 14D⁵, 42A²⁴, 42F²³, 14C¹³, 28C¹¹, 70B⁹, 42D²¹, 42B¹⁶, 56A²³, 42H¹⁹, 42E¹³, 14E⁵, 70C²¹, 28D²³, 42I¹⁹, 56A¹⁵, 14E³, 42A⁷, 28A⁷, 42D⁵, 14A¹⁵, 42J¹⁹, 28K²¹, 42G²³</t>
        </is>
      </c>
    </row>
    <row r="192">
      <c r="A192">
        <f>HYPERLINK("https://mathstats.uncg.edu/sites/pauli/congruence/csg1.html#group14E1", "14E¹")</f>
        <v/>
      </c>
      <c r="B192" t="n">
        <v>1</v>
      </c>
      <c r="C192" t="inlineStr"/>
      <c r="D192" t="inlineStr">
        <is>
          <t>42</t>
        </is>
      </c>
      <c r="E192" t="inlineStr">
        <is>
          <t>1</t>
        </is>
      </c>
      <c r="F192" t="inlineStr">
        <is>
          <t>21</t>
        </is>
      </c>
      <c r="G192" t="inlineStr">
        <is>
          <t>8</t>
        </is>
      </c>
      <c r="H192" t="inlineStr">
        <is>
          <t>0</t>
        </is>
      </c>
      <c r="I192" t="inlineStr">
        <is>
          <t>14³</t>
        </is>
      </c>
      <c r="J192" t="n">
        <v>3</v>
      </c>
      <c r="K192" t="inlineStr">
        <is>
          <t>3¹, 6³</t>
        </is>
      </c>
      <c r="L192" t="inlineStr">
        <is>
          <t>7D⁰</t>
        </is>
      </c>
      <c r="M192" t="inlineStr">
        <is>
          <t>14F³, 42I⁴, 14B⁵, 14G⁵, 28B⁸, 42B¹², 70A¹⁵, 70E¹⁵, 98A²²</t>
        </is>
      </c>
      <c r="N192" t="inlineStr">
        <is>
          <t>7D⁰, 1A⁰, 7A⁰</t>
        </is>
      </c>
      <c r="O192" t="inlineStr">
        <is>
          <t>42I⁴, 70E¹⁵, 42B¹², 42C¹⁹, 56A²², 98A²², 14B⁵, 28D¹², 14A⁹, 56H²², 56B²², 42J¹³, 14A¹¹, 14A²³, 14G⁵, 42B¹⁹, 28C¹⁹, 28B⁸, 14F³, 42L¹¹, 70A¹⁵, 28A¹⁴, 14B⁷, 14A¹⁷, 28B²³, 42C¹⁵, 28A¹⁶, 14A¹³, 42I²³, 42A²², 42K¹³, 126Q²¹, 42D²³, 28A²¹</t>
        </is>
      </c>
    </row>
    <row r="193">
      <c r="A193">
        <f>HYPERLINK("https://mathstats.uncg.edu/sites/pauli/congruence/csg1.html#group14F1", "14F¹")</f>
        <v/>
      </c>
      <c r="B193" t="n">
        <v>1</v>
      </c>
      <c r="C193" t="inlineStr"/>
      <c r="D193" t="inlineStr">
        <is>
          <t>42</t>
        </is>
      </c>
      <c r="E193" t="inlineStr">
        <is>
          <t>2</t>
        </is>
      </c>
      <c r="F193" t="inlineStr">
        <is>
          <t>42</t>
        </is>
      </c>
      <c r="G193" t="inlineStr">
        <is>
          <t>4</t>
        </is>
      </c>
      <c r="H193" t="inlineStr">
        <is>
          <t>3</t>
        </is>
      </c>
      <c r="I193" t="inlineStr">
        <is>
          <t>14³</t>
        </is>
      </c>
      <c r="J193" t="n">
        <v>3</v>
      </c>
      <c r="K193" t="inlineStr">
        <is>
          <t>6¹⁴</t>
        </is>
      </c>
      <c r="L193" t="inlineStr">
        <is>
          <t>14A⁰</t>
        </is>
      </c>
      <c r="M193" t="inlineStr">
        <is>
          <t>14E³, 14A⁶, 14B⁶, 42J⁷, 28D⁹, 28E⁹, 42D¹¹, 70C¹⁴, 70H¹⁷</t>
        </is>
      </c>
      <c r="N193" t="inlineStr">
        <is>
          <t>14A⁰, 1A⁰, 7A⁰</t>
        </is>
      </c>
      <c r="O193" t="inlineStr">
        <is>
          <t>28E⁹, 28E¹⁶, 42J⁷, 28D⁹, 56I²², 28A¹⁹, 42D¹¹, 56J²², 14B¹³, 14C¹³, 28D¹⁶, 28C¹⁴, 14B⁶, 56K²², 28B¹⁴, 42D²¹, 14A⁶, 42B¹⁶, 14A¹¹, 70C¹⁴, 14A²³, 14E³, 28L²¹, 42I¹⁵, 28B¹⁹, 70H¹⁷, 56L²², 14A¹⁵, 42J¹⁹, 28K²¹, 42H¹⁷</t>
        </is>
      </c>
    </row>
    <row r="194">
      <c r="A194">
        <f>HYPERLINK("https://mathstats.uncg.edu/sites/pauli/congruence/csg1.html#group14G1", "14G¹")</f>
        <v/>
      </c>
      <c r="B194" t="n">
        <v>1</v>
      </c>
      <c r="C194" t="inlineStr"/>
      <c r="D194" t="inlineStr">
        <is>
          <t>56</t>
        </is>
      </c>
      <c r="E194" t="inlineStr">
        <is>
          <t>1</t>
        </is>
      </c>
      <c r="F194" t="inlineStr">
        <is>
          <t>28</t>
        </is>
      </c>
      <c r="G194" t="inlineStr">
        <is>
          <t>8</t>
        </is>
      </c>
      <c r="H194" t="inlineStr">
        <is>
          <t>2</t>
        </is>
      </c>
      <c r="I194" t="inlineStr">
        <is>
          <t>14⁴</t>
        </is>
      </c>
      <c r="J194" t="n">
        <v>4</v>
      </c>
      <c r="K194" t="inlineStr">
        <is>
          <t>1¹, 3¹, 6⁴</t>
        </is>
      </c>
      <c r="L194" t="inlineStr">
        <is>
          <t>7F⁰, 14A⁰</t>
        </is>
      </c>
      <c r="M194" t="inlineStr">
        <is>
          <t>14E⁵, 28F⁵, 28G⁵, 14B⁶, 14B⁷, 14D⁷, 42N⁷, 28H¹¹, 42A¹⁵, 70C¹⁹, 70I²¹, 98B²²</t>
        </is>
      </c>
      <c r="N194" t="inlineStr">
        <is>
          <t>7F⁰, 14A⁰, 1A⁰, 7A⁰</t>
        </is>
      </c>
      <c r="O194" t="inlineStr">
        <is>
          <t>28F⁵, 84L²¹, 28G⁵, 70I²¹, 42A¹⁵, 14D⁷, 28B¹⁷, 42A²³, 70C¹⁹, 84K²¹, 28B²¹, 14A¹⁵, 14A²³, 98B²², 42B²³, 84I²¹, 42N⁷, 14B⁷, 14A¹⁷, 42A²⁴, 28A¹⁹, 14B⁶, 42B²¹, 28H¹¹, 28H²¹, 14E⁵, 84J²¹, 28C¹⁷, 28A²¹, 28B¹⁹, 42K¹⁷, 14B¹⁷, 28G²¹, 28A¹³, 28D¹⁷</t>
        </is>
      </c>
    </row>
    <row r="195">
      <c r="A195">
        <f>HYPERLINK("https://mathstats.uncg.edu/sites/pauli/congruence/csg1.html#group14H1", "14H¹")</f>
        <v/>
      </c>
      <c r="B195" t="n">
        <v>1</v>
      </c>
      <c r="C195" t="inlineStr">
        <is>
          <t>Γ₁(14)</t>
        </is>
      </c>
      <c r="D195" t="inlineStr">
        <is>
          <t>72</t>
        </is>
      </c>
      <c r="E195" t="inlineStr">
        <is>
          <t>1</t>
        </is>
      </c>
      <c r="F195" t="inlineStr">
        <is>
          <t>24</t>
        </is>
      </c>
      <c r="G195" t="inlineStr">
        <is>
          <t>0</t>
        </is>
      </c>
      <c r="H195" t="inlineStr">
        <is>
          <t>0</t>
        </is>
      </c>
      <c r="I195" t="inlineStr">
        <is>
          <t>1³, 2³, 7³, 14³</t>
        </is>
      </c>
      <c r="J195" t="n">
        <v>12</v>
      </c>
      <c r="K195" t="inlineStr">
        <is>
          <t>1⁶, 6³</t>
        </is>
      </c>
      <c r="L195" t="inlineStr">
        <is>
          <t>7E⁰, 14C¹</t>
        </is>
      </c>
      <c r="M195" t="inlineStr">
        <is>
          <t>14B⁴, 28F⁴, 28D⁷, 42H¹³, 42L¹³, 14A¹⁹, 98A¹⁹</t>
        </is>
      </c>
      <c r="N195" t="inlineStr">
        <is>
          <t>7E⁰, 2B⁰, 1A⁰, 7B⁰, 14C¹</t>
        </is>
      </c>
      <c r="O195" t="inlineStr">
        <is>
          <t>42L¹³, 28F⁴, 56O¹³, 14B⁴, 56B¹⁹, 42H¹³, 28G¹⁶, 56F¹⁶, 56C¹⁹, 56F¹⁰, 28H¹⁶, 14A¹⁹, 28D¹⁰, 98A¹⁹, 28F¹³, 28D⁷, 28C¹⁰, 56E¹⁶</t>
        </is>
      </c>
    </row>
    <row r="196">
      <c r="A196">
        <f>HYPERLINK("https://mathstats.uncg.edu/sites/pauli/congruence/csg1.html#group15A1", "15A¹")</f>
        <v/>
      </c>
      <c r="B196" t="n">
        <v>1</v>
      </c>
      <c r="C196" t="inlineStr"/>
      <c r="D196" t="inlineStr">
        <is>
          <t>15</t>
        </is>
      </c>
      <c r="E196" t="inlineStr">
        <is>
          <t>1</t>
        </is>
      </c>
      <c r="F196" t="inlineStr">
        <is>
          <t>5</t>
        </is>
      </c>
      <c r="G196" t="inlineStr">
        <is>
          <t>3</t>
        </is>
      </c>
      <c r="H196" t="inlineStr">
        <is>
          <t>0</t>
        </is>
      </c>
      <c r="I196" t="inlineStr">
        <is>
          <t>15¹</t>
        </is>
      </c>
      <c r="J196" t="n">
        <v>1</v>
      </c>
      <c r="K196" t="inlineStr">
        <is>
          <t>1¹, 4¹</t>
        </is>
      </c>
      <c r="L196" t="inlineStr">
        <is>
          <t>3A⁰, 5A⁰</t>
        </is>
      </c>
      <c r="M196" t="inlineStr">
        <is>
          <t>15F¹, 15A², 30A², 30A³, 30D³, 45A³, 15B⁴, 60A⁴, 105A⁷, 105A¹⁰, 165A¹², 165A¹⁵, 195A¹⁶, 255A²¹</t>
        </is>
      </c>
      <c r="N196" t="inlineStr">
        <is>
          <t>3A⁰, 1A⁰, 5A⁰</t>
        </is>
      </c>
      <c r="O196" t="inlineStr">
        <is>
          <t>120A⁹, 45C⁶, 45A²⁰, 60A¹⁴, 30I¹⁰, 105A¹⁶, 90B²¹, 15A¹⁹, 105B¹⁶, 90D²⁰, 30F¹³, 60J¹⁹, 180F²⁰, 30E¹⁷, 15A⁹, 30D¹⁰, 30P⁷, 45B⁶, 180A²¹, 15A¹⁰, 30E¹⁰, 30L⁵, 30D¹², 45E¹², 45I¹³, 240A¹⁹, 45C¹³, 75B¹¹, 255A²¹, 30B¹¹, 30D¹⁶, 120A²⁰, 15A⁸, 15D⁴, 45A¹⁹, 60D⁸, 105B²², 60B⁶, 30B¹², 90A²⁰, 120C¹⁷, 90P¹⁷, 180B²², 90D¹⁹, 105C¹⁹, 120A¹⁴, 120F¹⁸, 90D²², 120B¹⁸, 60F¹³, 90D¹⁴, 60B¹³, 30A¹¹, 30A³, 45C²³, 30B¹⁰, 15B⁴, 165A¹⁵, 30F¹⁷, 30E¹², 30E²³, 30B⁷, 30D¹³, 90A¹², 120C¹⁸, 45A¹⁴, 105A¹⁰, 30O⁹, 60J¹⁸, 30C¹³, 60D¹⁹, 210A²⁴, 45E¹⁹, 45D⁷, 60A¹⁰, 30F⁴, 60H¹⁹, 210A¹⁸, 60C¹³, 75B²⁴, 120D¹⁹, 30A⁶, 180B²¹, 120B¹³, 30A⁹, 120C¹³, 90A¹³, 60C⁹, 60C²², 15H³, 90B¹², 90B²², 90A⁶, 90A²¹, 30A¹⁹, 195A¹⁶, 30B⁹, 90C¹⁴, 90B⁷, 90B¹⁶, 60B⁷, 30B²¹, 60A⁹, 90A¹⁵, 60B¹⁹, 180A²², 30F²³, 45B¹⁹, 60J²³, 30F²¹, 60B¹⁰, 120C¹⁴, 90F¹⁵, 30D¹⁷, 60C¹⁹, 60A⁴, 30C¹², 30C²³, 90B²⁰, 60D¹⁴, 60C¹², 15B⁸, 45B⁹, 30F¹⁵, 120B¹², 60H¹³, 45A³, 30C¹⁶, 45B¹⁴, 90B¹⁵, 90A⁸, 30A⁴, 30A¹², 180G²⁰, 90G¹⁹, 60F¹⁹, 90I¹⁹, 30E⁴, 15A¹⁷, 90H¹⁴, 90C²², 30B¹⁶, 60B¹², 90F¹⁹, 30B²³, 45A¹², 60G¹⁹, 30E²², 30B¹³, 45A¹⁸, 60C¹⁴, 60C⁶, 210A²⁰, 90C¹³, 120B⁹, 15B¹⁰, 45D¹⁶, 105A⁷, 240B²⁴, 90C¹⁸, 165A¹², 30D³, 60A⁷, 120B¹⁴, 60A²⁴, 30G¹³, 15A², 90C¹⁵, 105B¹⁹, 120C¹⁹, 120A¹⁵, 15B¹⁹, 30J²³, 30F⁹, 15C⁷, 60E¹⁴, 15A⁴, 15B⁷, 45C¹⁷, 45A⁶, 90D¹⁰, 210B¹⁵, 60D¹³, 60I¹⁹, 15F¹, 60B²², 210A¹⁵, 210D¹⁶, 180A¹³, 30B⁶, 120A¹³, 30D²³, 30B⁵, 90C²⁰, 90D¹⁵, 90E²⁰, 45A⁷, 30A²¹, 315A²³, 105C¹⁵, 45B¹⁶, 60M¹⁷, 30A¹⁰, 120B²⁰, 30A⁷, 90A²², 60E¹⁷, 60D¹⁶, 45D¹⁹, 15A¹⁶, 60F¹⁶, 240B¹⁹, 30E¹¹, 210B²⁰, 45C¹⁶, 15C⁴, 30A², 90A⁷, 45C¹⁹, 15A¹³, 60A¹⁹, 30D⁷, 75A²⁴, 60E¹⁶, 30E¹⁶, 90E¹⁹, 45C¹⁴</t>
        </is>
      </c>
    </row>
    <row r="197">
      <c r="A197">
        <f>HYPERLINK("https://mathstats.uncg.edu/sites/pauli/congruence/csg1.html#group15B1", "15B¹")</f>
        <v/>
      </c>
      <c r="B197" t="n">
        <v>1</v>
      </c>
      <c r="C197" t="inlineStr"/>
      <c r="D197" t="inlineStr">
        <is>
          <t>20</t>
        </is>
      </c>
      <c r="E197" t="inlineStr">
        <is>
          <t>1</t>
        </is>
      </c>
      <c r="F197" t="inlineStr">
        <is>
          <t>20</t>
        </is>
      </c>
      <c r="G197" t="inlineStr">
        <is>
          <t>0</t>
        </is>
      </c>
      <c r="H197" t="inlineStr">
        <is>
          <t>2</t>
        </is>
      </c>
      <c r="I197" t="inlineStr">
        <is>
          <t>5¹, 15¹</t>
        </is>
      </c>
      <c r="J197" t="n">
        <v>2</v>
      </c>
      <c r="K197" t="inlineStr">
        <is>
          <t>1², 2¹, 4², 8¹</t>
        </is>
      </c>
      <c r="L197" t="inlineStr">
        <is>
          <t>3B⁰, 5A⁰</t>
        </is>
      </c>
      <c r="M197" t="inlineStr">
        <is>
          <t>30D², 15A³, 15D³, 15G³, 45B³, 45C³, 15A⁴, 30D⁴, 45A⁴, 45B⁴, 45A⁵, 45B⁵, 60A⁶, 105A¹¹, 105D¹¹, 165B¹⁷, 165A¹⁹, 195A²¹</t>
        </is>
      </c>
      <c r="N197" t="inlineStr">
        <is>
          <t>3B⁰, 1A⁰, 5A⁰</t>
        </is>
      </c>
      <c r="O197" t="inlineStr">
        <is>
          <t>90K²², 30K¹⁷, 30M⁹, 135C¹³, 60B⁴, 90D⁸, 60A¹⁶, 60D¹⁸, 270A²⁴, 210J²³, 210A²², 60B¹⁷, 90L²², 45E¹², 45D¹¹, 45I¹³, 45C¹³, 45A⁴, 45O¹³, 120A¹⁸, 90B⁹, 180B²⁰, 75B¹⁹, 60B¹⁸, 60B⁹, 60B¹⁶, 45A⁵, 135B¹⁴, 135D¹³, 30C¹⁵, 45H¹⁹, 60S²¹, 120A¹², 90C⁹, 30B¹⁵, 60G¹⁸, 180A¹⁶, 90E¹², 45A¹⁷, 90F⁸, 30D²², 30D⁸, 60L¹⁷, 180A¹⁸, 60R²¹, 45A¹⁴, 30K⁷, 180A¹⁹, 270A²², 180C¹⁹, 90F⁷, 135A¹³, 180C²⁰, 165A¹⁹, 60T¹⁵, 30H¹², 90I²², 105A¹¹, 60C⁸, 120K²³, 30A⁹, 90J²², 60A²², 120L²³, 180A²⁰, 45H¹³, 120B¹⁹, 90F²⁴, 45D¹³, 270B²⁴, 15B⁹, 90D²⁴, 180B¹⁸, 15A²³, 15B¹⁷, 45A¹⁶, 45H¹², 180C¹⁶, 30D⁴, 180C¹⁸, 45C¹¹, 90C⁶, 60C¹⁹, 60Y¹⁵, 135C¹⁴, 180E²⁰, 30M⁷, 45C¹⁰, 120D¹⁸, 45B¹³, 30A²², 30C²², 30F¹⁰, 45B¹⁴, 90E⁸, 45B¹¹, 135A¹², 45B¹², 45B¹⁷, 60A⁶, 30A¹², 45A¹³, 45C¹², 90I²⁴, 30A⁸, 105F²¹, 60T²¹, 210I²³, 60A¹⁸, 60C¹⁸, 45A¹², 90C¹², 90C⁸, 120A¹⁹, 120D¹⁷, 105A²¹, 30N⁹, 45C³, 210B²², 45E¹³, 15D³, 60C²³, 15B¹⁰, 135B¹³, 45D¹⁵, 180A¹⁵, 240A²⁴, 195A²¹, 30B¹⁹, 15A³, 90C¹⁰, 90A¹⁴, 90E²⁴, 15B¹⁹, 60G¹⁴, 135A¹⁴, 135C¹², 60D²², 30E⁶, 15A⁴, 90H²⁴, 45B¹⁰, 180B¹⁶, 135A¹⁵, 120B¹⁶, 90B¹⁴, 15G³, 60I¹⁸, 15A¹², 45F¹³, 90B¹⁰, 15D⁵, 180A¹⁷, 135B¹², 45E²³, 105D¹¹, 30E⁸, 135A¹¹, 45D¹², 90E¹⁴, 180D²⁰, 30D², 45B⁴, 90F¹⁴, 45B⁵, 180B¹⁹, 45G¹³, 90E⁷, 45B³, 30B⁸, 180B¹⁵, 90A¹⁰, 90G²⁴, 15A¹³, 60A¹⁹, 165B¹⁷, 30N¹³, 180A¹², 60J¹¹, 15B⁵</t>
        </is>
      </c>
    </row>
    <row r="198">
      <c r="A198">
        <f>HYPERLINK("https://mathstats.uncg.edu/sites/pauli/congruence/csg1.html#group15C1", "15C¹")</f>
        <v/>
      </c>
      <c r="B198" t="n">
        <v>1</v>
      </c>
      <c r="C198" t="inlineStr">
        <is>
          <t>Γ₀(15)</t>
        </is>
      </c>
      <c r="D198" t="inlineStr">
        <is>
          <t>24</t>
        </is>
      </c>
      <c r="E198" t="inlineStr">
        <is>
          <t>1</t>
        </is>
      </c>
      <c r="F198" t="inlineStr">
        <is>
          <t>24</t>
        </is>
      </c>
      <c r="G198" t="inlineStr">
        <is>
          <t>0</t>
        </is>
      </c>
      <c r="H198" t="inlineStr">
        <is>
          <t>0</t>
        </is>
      </c>
      <c r="I198" t="inlineStr">
        <is>
          <t>1¹, 3¹, 5¹, 15¹</t>
        </is>
      </c>
      <c r="J198" t="n">
        <v>4</v>
      </c>
      <c r="K198" t="inlineStr">
        <is>
          <t>1⁴, 2², 4², 8¹</t>
        </is>
      </c>
      <c r="L198" t="inlineStr">
        <is>
          <t>3B⁰, 5B⁰</t>
        </is>
      </c>
      <c r="M198" t="inlineStr">
        <is>
          <t>15G¹, 15E³, 30F³, 30G³, 30K³, 45D³, 15B⁵, 45C⁵, 45D⁵, 75A⁵, 60F⁷, 75C⁹, 75B⁹, 75D⁹, 75A⁹, 105A¹³, 105B¹³, 165A²¹, 165B²¹</t>
        </is>
      </c>
      <c r="N198" t="inlineStr">
        <is>
          <t>5B⁰, 3B⁰, 1A⁰</t>
        </is>
      </c>
      <c r="O198" t="inlineStr">
        <is>
          <t>60T¹⁷, 60K¹³, 60AC¹⁵, 30S⁷, 45K¹³, 60M¹³, 90H¹⁵, 135B¹⁵, 60J¹³, 150D¹⁹, 60AJ¹³, 75B¹⁷, 90O²¹, 75B⁹, 90E²¹, 60AB¹⁵, 30P¹³, 15I¹, 120C²¹, 60L¹³, 30C¹⁵, 60D⁷, 90B¹¹, 60G⁷, 150I¹⁹, 45H¹⁹, 180G²³, 75D¹⁹, 180L²³, 30B¹⁵, 120L¹⁵, 45A¹⁵, 30K³, 60I¹³, 60I²¹, 60H⁹, 90H²¹, 120N¹⁷, 180F²³, 30S⁹, 60O¹⁹, 60AF¹⁵, 90G¹⁵, 45F¹⁷, 75C¹⁷, 45F¹¹, 90F¹¹, 150I¹⁵, 180D²¹, 45C⁵, 60AI¹³, 90J¹¹, 60AA¹⁵, 105A¹³, 135E¹³, 75D⁹, 30H⁹, 105B¹³, 180C²¹, 45M¹³, 120L¹⁹, 60B²¹, 45E²¹, 90E¹¹, 120E²¹, 15G¹, 90Q¹⁷, 90E⁹, 15B⁹, 120D¹⁵, 150F¹⁹, 15B¹⁷, 180E²³, 30R¹³, 135C¹⁷, 150C¹⁹, 60F⁷, 180B²³, 30H¹⁷, 90G²¹, 90S¹⁷, 180G²¹, 180E²¹, 30Q⁷, 150H¹⁹, 75C⁹, 90D¹¹, 30M⁵, 60A²¹, 135B¹⁷, 180K²³, 180A²³, 30G³, 90D²¹, 120B²¹, 75A⁵, 45D⁹, 120C¹⁵, 75A⁹, 165A²¹, 90D⁹, 45G¹¹, 60Q²¹, 180H²¹, 45C⁹, 75F⁹, 90C²¹, 60O¹⁷, 90C¹¹, 45D³, 120M¹⁹, 75D¹⁷, 90F²¹, 45L¹³, 30B¹⁹, 15E³, 120K¹⁵, 60Q¹⁷, 150B¹⁹, 30G¹⁷, 165B²¹, 15B¹⁹, 60E²¹, 30P⁹, 150A¹⁹, 45E¹⁷, 75A¹⁷, 180F²¹, 60L¹⁹, 75F¹⁷, 45F²¹, 60M¹⁹, 90A¹¹, 60O⁷, 90R¹⁷, 135A¹⁷, 45G⁹, 150E¹⁹, 120F¹⁹, 60K¹⁹, 135B¹¹, 180C²³, 60AD¹⁵, 60E⁷, 120M¹⁵, 120O¹⁷, 60R¹⁷, 150J¹⁵, 30S⁵, 30G²¹, 120D²¹, 60S¹⁷, 15C⁹, 30G¹¹, 90F⁹, 120K¹⁹, 135A²¹, 30J¹⁷, 30N⁵, 180D²³, 60G⁹, 30G⁹, 180H²³, 45D⁵, 60J²¹, 225A¹⁹, 180J²³, 30F³, 15C⁵, 30L⁹, 120E¹⁹, 120F²¹, 60N¹⁹, 150G¹⁹, 45H⁵, 180I²³, 60P¹⁷, 60P⁷, 15B⁵, 120A²¹</t>
        </is>
      </c>
    </row>
    <row r="199">
      <c r="A199">
        <f>HYPERLINK("https://mathstats.uncg.edu/sites/pauli/congruence/csg1.html#group15D1", "15D¹")</f>
        <v/>
      </c>
      <c r="B199" t="n">
        <v>1</v>
      </c>
      <c r="C199" t="inlineStr"/>
      <c r="D199" t="inlineStr">
        <is>
          <t>30</t>
        </is>
      </c>
      <c r="E199" t="inlineStr">
        <is>
          <t>1</t>
        </is>
      </c>
      <c r="F199" t="inlineStr">
        <is>
          <t>10</t>
        </is>
      </c>
      <c r="G199" t="inlineStr">
        <is>
          <t>6</t>
        </is>
      </c>
      <c r="H199" t="inlineStr">
        <is>
          <t>0</t>
        </is>
      </c>
      <c r="I199" t="inlineStr">
        <is>
          <t>15²</t>
        </is>
      </c>
      <c r="J199" t="n">
        <v>2</v>
      </c>
      <c r="K199" t="inlineStr">
        <is>
          <t>2¹, 4²</t>
        </is>
      </c>
      <c r="L199" t="inlineStr">
        <is>
          <t>3A⁰, 5C⁰</t>
        </is>
      </c>
      <c r="M199" t="inlineStr">
        <is>
          <t>15D², 30F², 15C³, 30H³, 15B⁴, 15D⁴, 30C⁴, 30A⁵, 30K⁵, 45E⁵, 60J⁷, 75A¹¹, 105C¹³, 105A¹⁹, 165A²³</t>
        </is>
      </c>
      <c r="N199" t="inlineStr">
        <is>
          <t>3A⁰, 5C⁰, 1A⁰</t>
        </is>
      </c>
      <c r="O199" t="inlineStr">
        <is>
          <t>60J⁷, 60A¹³, 15A¹⁹, 60C¹⁷, 60S¹⁵, 45E¹¹, 30E¹⁷, 15A⁹, 165A²³, 150A²³, 15A¹⁰, 30E²¹, 30D¹², 30N⁷, 90F¹⁰, 90F²³, 105C¹³, 30B¹¹, 15D⁴, 30I⁷, 30I²³, 15A⁷, 30B¹², 30D²¹, 45B²¹, 60D¹⁷, 30F², 45A¹¹, 45D¹⁷, 90D¹³, 60E¹², 90D¹², 75A¹¹, 60B¹⁴, 60E²³, 45C²³, 150A²², 30B¹⁰, 15B⁴, 30B¹⁷, 30D¹³, 120G¹⁷, 60K¹⁷, 30C¹⁰, 75A²², 60D¹⁹, 30C⁴, 30K²³, 60H¹⁷, 75B²⁴, 90B¹³, 30C⁹, 120P²³, 30B⁹, 30B²¹, 60B¹⁹, 30F²³, 60D¹², 45C²¹, 30H²³, 30Q⁵, 60X¹⁵, 30D¹⁵, 30D¹⁷, 60L¹¹, 30C²³, 90G¹⁴, 90C²³, 15B⁸, 30A¹⁷, 60U²¹, 30C¹⁶, 15D², 60E¹³, 30G²³, 90D²³, 45D¹⁰, 60F¹⁹, 15A¹¹, 15A¹⁷, 60J¹⁷, 120O²³, 45J¹³, 30G¹⁰, 30B²³, 45A¹⁸, 90H¹⁹, 60AH¹³, 30H¹⁰, 45E⁵, 60Z¹⁵, 60H²³, 60L⁷, 90M²¹, 30C¹¹, 15B¹⁹, 75A²³, 30D⁹, 30J²³, 90E¹⁵, 30G¹², 30C¹⁷, 30C²¹, 60F²³, 30F⁹, 60E¹⁹, 120E¹⁷, 105A¹⁹, 15B⁷, 60W¹⁵, 45A²³, 60M¹¹, 15A⁵, 15C³, 30A⁵, 30H³, 30J⁷, 120M²³, 60I¹⁷, 45F¹², 45G¹², 60L²³, 45D²¹, 60I²³, 60K⁷, 30A²³, 60M²³, 60K²³, 120N²³, 30E⁹, 30D¹¹, 150A²⁴, 30A¹³, 60R¹⁵, 120F¹⁷, 60D²³, 30K⁵, 30M¹³, 120H¹⁷, 15A¹³, 75A²⁴, 60G²³, 60V²¹, 60C¹⁰, 90G¹¹, 45C¹⁴</t>
        </is>
      </c>
    </row>
    <row r="200">
      <c r="A200">
        <f>HYPERLINK("https://mathstats.uncg.edu/sites/pauli/congruence/csg1.html#group15E1", "15E¹")</f>
        <v/>
      </c>
      <c r="B200" t="n">
        <v>1</v>
      </c>
      <c r="C200" t="inlineStr"/>
      <c r="D200" t="inlineStr">
        <is>
          <t>36</t>
        </is>
      </c>
      <c r="E200" t="inlineStr">
        <is>
          <t>1</t>
        </is>
      </c>
      <c r="F200" t="inlineStr">
        <is>
          <t>18</t>
        </is>
      </c>
      <c r="G200" t="inlineStr">
        <is>
          <t>4</t>
        </is>
      </c>
      <c r="H200" t="inlineStr">
        <is>
          <t>0</t>
        </is>
      </c>
      <c r="I200" t="inlineStr">
        <is>
          <t>3², 15²</t>
        </is>
      </c>
      <c r="J200" t="n">
        <v>4</v>
      </c>
      <c r="K200" t="inlineStr">
        <is>
          <t>1², 2², 4¹, 8¹</t>
        </is>
      </c>
      <c r="L200" t="inlineStr">
        <is>
          <t>3C⁰, 15B⁰</t>
        </is>
      </c>
      <c r="M200" t="inlineStr">
        <is>
          <t>15H¹, 15E³, 15F³, 30I³, 30J³, 30E⁵, 30H⁵, 30O⁵, 45F⁵, 45G⁵, 45B⁷, 15A⁹, 60J⁹, 75E⁹, 75C¹³, 75B¹³, 75D¹³, 75A¹³, 105C¹⁷, 105D²¹</t>
        </is>
      </c>
      <c r="N200" t="inlineStr">
        <is>
          <t>5B⁰, 3C⁰, 15B⁰, 3A⁰, 1A⁰</t>
        </is>
      </c>
      <c r="O200" t="inlineStr">
        <is>
          <t>30L²³, 90J¹⁵, 75A¹³, 45F⁵, 60J⁹, 30J³, 15A¹⁹, 90K¹⁷, 60W²¹, 60O¹¹, 90P¹⁵, 75B¹³, 60A²¹, 60L²¹, 60Q²³, 30O⁵, 30H¹¹, 15H¹, 45K¹³, 60E⁹, 45C¹⁵, 15A⁹, 60G¹⁵, 90N²¹, 15A¹⁷, 60K⁹, 105D²¹, 150B²³, 120H²¹, 30J⁹, 45H¹¹, 60Q¹³, 30I⁹, 60Q²¹, 60V¹⁷, 30B²³, 30J¹³, 30I¹⁷, 45F¹⁹, 45G⁵, 60K²¹, 30C¹⁹, 15I³, 30R⁷, 30H⁵, 75D¹⁹, 90G¹³, 30R⁵, 15E³, 30E⁵, 45A¹⁵, 75C¹³, 90I¹¹, 60E²¹, 90K¹⁹, 60E¹⁵, 90B²³, 30G¹⁷, 15B¹⁹, 60U¹³, 30J¹¹, 90N¹⁵, 60L⁹, 90K¹⁵, 75D¹³, 60N¹¹, 45F¹¹, 90F¹³, 90I²¹, 45I¹⁹, 30K¹³, 90A¹⁷, 105C¹⁷, 45A²¹, 90C¹⁷, 45G¹⁹, 90I¹⁵, 60W¹⁷, 90H¹¹, 30K⁹, 45B⁷, 60N¹⁷, 30G²¹, 30H⁹, 60T¹³, 30I¹¹, 120L²¹, 120K²¹, 120G²¹, 15C⁹, 30G¹¹, 60B²¹, 45E²¹, 30I³, 90B¹⁷, 30H²¹, 45F⁹, 45N¹³, 75E¹⁷, 60F⁹, 15F³, 30Q¹³, 30G⁹, 75C¹⁹, 60D²¹, 60G²¹, 60O²¹, 90I¹⁷, 60Y¹³, 15C⁵, 30Q⁹, 30H¹⁷, 90I¹³, 60U¹⁷, 150C²³, 45E⁹, 45B¹⁵, 45D²³, 30C²³, 75E⁹, 60X¹⁷, 60C²¹</t>
        </is>
      </c>
    </row>
    <row r="201">
      <c r="A201">
        <f>HYPERLINK("https://mathstats.uncg.edu/sites/pauli/congruence/csg1.html#group15F1", "15F¹")</f>
        <v/>
      </c>
      <c r="B201" t="n">
        <v>1</v>
      </c>
      <c r="C201" t="inlineStr"/>
      <c r="D201" t="inlineStr">
        <is>
          <t>45</t>
        </is>
      </c>
      <c r="E201" t="inlineStr">
        <is>
          <t>1</t>
        </is>
      </c>
      <c r="F201" t="inlineStr">
        <is>
          <t>5</t>
        </is>
      </c>
      <c r="G201" t="inlineStr">
        <is>
          <t>9</t>
        </is>
      </c>
      <c r="H201" t="inlineStr">
        <is>
          <t>0</t>
        </is>
      </c>
      <c r="I201" t="inlineStr">
        <is>
          <t>15³</t>
        </is>
      </c>
      <c r="J201" t="n">
        <v>3</v>
      </c>
      <c r="K201" t="inlineStr">
        <is>
          <t>1¹, 4¹</t>
        </is>
      </c>
      <c r="L201" t="inlineStr">
        <is>
          <t>5E⁰, 15A⁰, 15A¹</t>
        </is>
      </c>
      <c r="M201" t="inlineStr">
        <is>
          <t>15H³, 15C⁴, 15D⁴, 30E⁴, 30F⁴, 30L⁵, 30A⁷, 30P⁷, 45D⁷, 60B¹⁰, 75B¹¹, 105C¹⁹</t>
        </is>
      </c>
      <c r="N201" t="inlineStr">
        <is>
          <t>5E⁰, 5A⁰, 3A⁰, 1A⁰, 15A¹, 15A⁰</t>
        </is>
      </c>
      <c r="O201" t="inlineStr">
        <is>
          <t>30C¹⁶, 30I¹⁰, 15A¹⁹, 60J¹⁹, 30D¹⁰, 15A⁹, 30P⁷, 15A¹⁰, 90I¹⁹, 30E⁴, 30L⁵, 15A¹⁷, 30D¹², 30B¹⁶, 30B²³, 75B¹¹, 30B¹¹, 30E²², 30B¹³, 15A⁸, 30D¹⁶, 45A¹⁸, 15D⁴, 15B¹⁰, 45D¹⁶, 90C¹⁸, 90P¹⁷, 60A²⁴, 90D¹⁹, 105C¹⁹, 30G¹³, 15B¹⁹, 30J²³, 15C⁷, 30A¹¹, 45C¹⁷, 30B¹⁰, 30F¹⁷, 60I¹⁹, 30E²³, 60B²², 30D¹³, 30O⁹, 45D⁷, 30D²³, 60J¹⁸, 30F⁴, 60H¹⁹, 75B²⁴, 30A²¹, 60C²², 15H³, 45B¹⁶, 60M¹⁷, 30A¹⁰, 30A⁷, 30E¹⁶, 30A¹⁹, 60D¹⁶, 90A²², 30B²¹, 30E¹⁰, 90B¹⁶, 45B¹⁹, 60F¹⁶, 15A¹⁶, 30E¹¹, 60J²³, 45C¹⁶, 15C⁴, 30F²¹, 60B¹⁰, 30C¹², 30C²³, 60E¹⁶, 15B⁸, 90E¹⁹, 30F¹⁵</t>
        </is>
      </c>
    </row>
    <row r="202">
      <c r="A202">
        <f>HYPERLINK("https://mathstats.uncg.edu/sites/pauli/congruence/csg1.html#group15G1", "15G¹")</f>
        <v/>
      </c>
      <c r="B202" t="n">
        <v>1</v>
      </c>
      <c r="C202" t="inlineStr"/>
      <c r="D202" t="inlineStr">
        <is>
          <t>48</t>
        </is>
      </c>
      <c r="E202" t="inlineStr">
        <is>
          <t>1</t>
        </is>
      </c>
      <c r="F202" t="inlineStr">
        <is>
          <t>24</t>
        </is>
      </c>
      <c r="G202" t="inlineStr">
        <is>
          <t>0</t>
        </is>
      </c>
      <c r="H202" t="inlineStr">
        <is>
          <t>0</t>
        </is>
      </c>
      <c r="I202" t="inlineStr">
        <is>
          <t>1², 3², 5², 15²</t>
        </is>
      </c>
      <c r="J202" t="n">
        <v>8</v>
      </c>
      <c r="K202" t="inlineStr">
        <is>
          <t>1⁴, 2², 4², 8¹</t>
        </is>
      </c>
      <c r="L202" t="inlineStr">
        <is>
          <t>5D⁰, 15C¹</t>
        </is>
      </c>
      <c r="M202" t="inlineStr">
        <is>
          <t>15I¹, 15C⁵, 30M⁵, 30N⁵, 30S⁵, 45H⁵, 15B⁹, 45C⁹, 45D⁹, 75F⁹, 60K¹³, 75A¹⁷, 75B¹⁷, 75C¹⁷, 75D¹⁷</t>
        </is>
      </c>
      <c r="N202" t="inlineStr">
        <is>
          <t>5B⁰, 15C¹, 5D⁰, 3B⁰, 1A⁰</t>
        </is>
      </c>
      <c r="O202" t="inlineStr">
        <is>
          <t>30S⁹, 45E¹⁷, 75A¹⁷, 45F¹⁷, 30M⁵, 60K¹³, 75C¹⁷, 75F¹⁷, 45F²¹, 90R¹⁷, 45G⁹, 90D²¹, 60AI¹³, 45D⁹, 60J¹³, 30S⁵, 30G²¹, 60AJ¹³, 75B¹⁷, 15C⁹, 90E²¹, 90O²¹, 45C⁹, 45E²¹, 75F⁹, 90C²¹, 30J¹⁷, 30P¹³, 30N⁵, 15I¹, 135A²¹, 90Q¹⁷, 60O¹⁷, 15B⁹, 75D¹⁷, 15B¹⁷, 90F²¹, 30R¹³, 15C⁵, 90G²¹, 30H¹⁷, 60Q¹⁷, 45H⁵, 30G¹⁷, 60I¹³, 90S¹⁷, 90H²¹, 30P⁹</t>
        </is>
      </c>
    </row>
    <row r="203">
      <c r="A203">
        <f>HYPERLINK("https://mathstats.uncg.edu/sites/pauli/congruence/csg1.html#group15H1", "15H¹")</f>
        <v/>
      </c>
      <c r="B203" t="n">
        <v>1</v>
      </c>
      <c r="C203" t="inlineStr"/>
      <c r="D203" t="inlineStr">
        <is>
          <t>72</t>
        </is>
      </c>
      <c r="E203" t="inlineStr">
        <is>
          <t>1</t>
        </is>
      </c>
      <c r="F203" t="inlineStr">
        <is>
          <t>18</t>
        </is>
      </c>
      <c r="G203" t="inlineStr">
        <is>
          <t>8</t>
        </is>
      </c>
      <c r="H203" t="inlineStr">
        <is>
          <t>0</t>
        </is>
      </c>
      <c r="I203" t="inlineStr">
        <is>
          <t>3⁴, 15⁴</t>
        </is>
      </c>
      <c r="J203" t="n">
        <v>8</v>
      </c>
      <c r="K203" t="inlineStr">
        <is>
          <t>1², 2², 4¹, 8¹</t>
        </is>
      </c>
      <c r="L203" t="inlineStr">
        <is>
          <t>15C⁰, 15E¹</t>
        </is>
      </c>
      <c r="M203" t="inlineStr">
        <is>
          <t>15I³, 15C⁵, 30R⁵, 30R⁷, 30I⁹, 30Q⁹, 45E⁹, 45F⁹, 45N¹³, 15A¹⁷, 60U¹⁷, 75E¹⁷</t>
        </is>
      </c>
      <c r="N203" t="inlineStr">
        <is>
          <t>5B⁰, 3C⁰, 15C⁰, 15B⁰, 3A⁰, 1A⁰, 15E¹</t>
        </is>
      </c>
      <c r="O203" t="inlineStr">
        <is>
          <t>30L²³, 45E²¹, 45F⁹, 45N¹³, 30H²¹, 75E¹⁷, 30C¹⁹, 60W²¹, 45I¹⁹, 30Q¹³, 60Q²³, 15I³, 30R⁷, 30R⁵, 15C⁵, 15A¹⁷, 90N²¹, 30Q⁹, 30H¹⁷, 60U¹⁷, 60N¹⁷, 30I⁹, 45E⁹, 30G¹⁷, 30G²¹, 45D²³, 60X¹⁷, 30I¹⁷, 15C⁹</t>
        </is>
      </c>
    </row>
    <row r="204">
      <c r="A204">
        <f>HYPERLINK("https://mathstats.uncg.edu/sites/pauli/congruence/csg1.html#group15I1", "15I¹")</f>
        <v/>
      </c>
      <c r="B204" t="n">
        <v>1</v>
      </c>
      <c r="C204" t="inlineStr">
        <is>
          <t>Γ₁(15)</t>
        </is>
      </c>
      <c r="D204" t="inlineStr">
        <is>
          <t>96</t>
        </is>
      </c>
      <c r="E204" t="inlineStr">
        <is>
          <t>1</t>
        </is>
      </c>
      <c r="F204" t="inlineStr">
        <is>
          <t>24</t>
        </is>
      </c>
      <c r="G204" t="inlineStr">
        <is>
          <t>0</t>
        </is>
      </c>
      <c r="H204" t="inlineStr">
        <is>
          <t>0</t>
        </is>
      </c>
      <c r="I204" t="inlineStr">
        <is>
          <t>1⁴, 3⁴, 5⁴, 15⁴</t>
        </is>
      </c>
      <c r="J204" t="n">
        <v>16</v>
      </c>
      <c r="K204" t="inlineStr">
        <is>
          <t>1⁴, 2², 4², 8¹</t>
        </is>
      </c>
      <c r="L204" t="inlineStr">
        <is>
          <t>15G¹</t>
        </is>
      </c>
      <c r="M204" t="inlineStr">
        <is>
          <t>15C⁹, 30P⁹, 30S⁹, 45G⁹, 15B¹⁷, 45E¹⁷, 45F¹⁷, 75F¹⁷</t>
        </is>
      </c>
      <c r="N204" t="inlineStr">
        <is>
          <t>5B⁰, 15C¹, 15G¹, 5D⁰, 3B⁰, 1A⁰</t>
        </is>
      </c>
      <c r="O204" t="inlineStr">
        <is>
          <t>30S⁹, 45E¹⁷, 45F¹⁷, 30P⁹, 75F¹⁷, 45G⁹, 15B¹⁷, 15C⁹</t>
        </is>
      </c>
    </row>
    <row r="205">
      <c r="A205">
        <f>HYPERLINK("https://mathstats.uncg.edu/sites/pauli/congruence/csg1.html#group16A1", "16A¹")</f>
        <v/>
      </c>
      <c r="B205" t="n">
        <v>1</v>
      </c>
      <c r="C205" t="inlineStr"/>
      <c r="D205" t="inlineStr">
        <is>
          <t>24</t>
        </is>
      </c>
      <c r="E205" t="inlineStr">
        <is>
          <t>1</t>
        </is>
      </c>
      <c r="F205" t="inlineStr">
        <is>
          <t>6</t>
        </is>
      </c>
      <c r="G205" t="inlineStr">
        <is>
          <t>0</t>
        </is>
      </c>
      <c r="H205" t="inlineStr">
        <is>
          <t>0</t>
        </is>
      </c>
      <c r="I205" t="inlineStr">
        <is>
          <t>2², 4¹, 16¹</t>
        </is>
      </c>
      <c r="J205" t="n">
        <v>4</v>
      </c>
      <c r="K205" t="inlineStr">
        <is>
          <t>1⁴, 2¹</t>
        </is>
      </c>
      <c r="L205" t="inlineStr">
        <is>
          <t>8C⁰</t>
        </is>
      </c>
      <c r="M205" t="inlineStr">
        <is>
          <t>16E¹, 16G¹, 32A³, 32B³, 32C³, 48A⁵, 48D⁵, 80A⁹, 80F⁹, 112B¹³, 112D¹³, 80E¹⁷, 176A²¹, 176C²¹</t>
        </is>
      </c>
      <c r="N205" t="inlineStr">
        <is>
          <t>4B⁰, 1A⁰, 8C⁰, 2B⁰</t>
        </is>
      </c>
      <c r="O205" t="inlineStr">
        <is>
          <t>32C⁹, 192E²³, 96U²¹, 32C³, 64H¹³, 48Q¹⁹, 80X¹⁷, 96E¹³, 96W²¹, 96L²¹, 64C⁷, 32D⁵, 64D⁷, 64B⁷, 64A⁷, 64E⁷, 32U¹³, 176A²¹, 96C¹¹, 32B¹⁷, 192K²³, 96BL²¹, 128H¹⁵, 32G²¹, 96BF²¹, 96C²¹, 96E²¹, 32C²¹, 48CM²¹, 64G¹³, 96Q²¹, 32J³, 160B²¹, 192H²³, 48CH²¹, 96E¹⁹, 96A¹³, 32B⁹, 64K⁷, 96D¹³, 48CJ²¹, 128C¹⁵, 96D¹¹, 64O²¹, 64D¹⁷, 128D¹⁵, 96K²¹, 96X²¹, 96C¹³, 48AD¹⁷, 128F¹⁵, 48AP¹⁹, 64F²¹, 64C²¹, 32A²¹, 32D⁹, 192J²³, 48AG⁹, 16J³, 96I²¹, 48A¹⁹, 80C¹⁷, 16A¹⁷, 48P¹⁹, 160E²¹, 176C²¹, 128B¹⁵, 80A⁹, 96AZ²¹, 80AG¹⁷, 192A²³, 160F²¹, 96A¹¹, 96BA²¹, 160A²¹, 96K¹⁹, 64A²¹, 64E²¹, 48D⁹, 96BD²¹, 16H³, 96V²¹, 32O²¹, 48A⁹, 96AR²¹, 48CM¹⁷, 96F¹¹, 64A¹⁷, 160C²¹, 128G¹⁵, 48AI⁹, 48CL²¹, 16C¹³, 48D⁵, 32I⁹, 48N¹⁹, 80A¹⁷, 96H¹⁹, 96H²¹, 64A¹¹, 64C⁹, 160D²¹, 96D²¹, 48B⁹, 96A²¹, 32N⁵, 16M⁵, 96S²¹, 48Y¹⁷, 64I¹³, 32M⁵, 96G²¹, 48J¹⁷, 96AQ²¹, 32O³, 192I²³, 48CK²¹, 48G⁹, 96A¹⁹, 48AK⁹, 32E⁹, 64B¹³, 32B³, 144A¹⁷, 48CE²¹, 48A⁵, 64J¹³, 64D¹³, 16C⁹, 64V¹³, 48CO¹⁷, 128A¹⁵, 48K¹⁷, 16E¹, 32A⁹, 32A³, 48CJ¹⁷, 128D²¹, 32H²¹, 64B⁹, 96F²¹, 128A¹⁹, 16N³, 32F²¹, 192D²³, 48AB¹⁷, 96J²¹, 48CQ¹⁷, 16A⁹, 32J⁹, 160A¹⁹, 64N²¹, 48C¹⁹, 128E¹⁵, 32N²¹, 192B²³, 96B¹⁹, 80Z¹⁷, 192C²³, 48AL⁹, 48Q⁹, 96B²¹, 48D¹⁷, 96E¹¹, 96R²¹, 32A¹⁷, 32B¹¹, 32B²¹, 80E¹⁷, 64B²¹, 64C¹³, 32D¹⁷, 96T²¹, 192G²³, 96O²¹, 96Z¹⁹, 80AJ¹⁷, 64E¹³, 32T¹³, 32B⁵, 80V¹⁷, 96B¹¹, 64F¹³, 160C¹⁹, 128F²¹, 32A⁵, 16M¹, 64D²¹, 48AO⁹, 160B¹⁹, 96F¹³, 96B¹³, 16N⁵, 144E¹⁷, 112D¹³, 80F⁹, 192F²³, 16C⁷, 32K³, 96BM²¹, 48F¹⁷, 112B¹³, 64F⁷, 16C²¹, 32C⁵, 64A¹³, 48X¹⁷, 144G²¹, 144H²¹, 16G¹, 48C¹⁷, 32C¹⁹, 192L²³, 48CN¹⁷, 96AS²¹, 96P²¹, 16E²¹</t>
        </is>
      </c>
    </row>
    <row r="206">
      <c r="A206">
        <f>HYPERLINK("https://mathstats.uncg.edu/sites/pauli/congruence/csg1.html#group16B1", "16B¹")</f>
        <v/>
      </c>
      <c r="B206" t="n">
        <v>1</v>
      </c>
      <c r="C206" t="inlineStr"/>
      <c r="D206" t="inlineStr">
        <is>
          <t>24</t>
        </is>
      </c>
      <c r="E206" t="inlineStr">
        <is>
          <t>1</t>
        </is>
      </c>
      <c r="F206" t="inlineStr">
        <is>
          <t>6</t>
        </is>
      </c>
      <c r="G206" t="inlineStr">
        <is>
          <t>4</t>
        </is>
      </c>
      <c r="H206" t="inlineStr">
        <is>
          <t>0</t>
        </is>
      </c>
      <c r="I206" t="inlineStr">
        <is>
          <t>8¹, 16¹</t>
        </is>
      </c>
      <c r="J206" t="n">
        <v>2</v>
      </c>
      <c r="K206" t="inlineStr">
        <is>
          <t>1², 2²</t>
        </is>
      </c>
      <c r="L206" t="inlineStr">
        <is>
          <t>8B⁰</t>
        </is>
      </c>
      <c r="M206" t="inlineStr">
        <is>
          <t>16F¹, 16F², 16A³, 16C³, 48C³, 48F⁷, 80B⁹, 80H⁹, 112B¹¹, 112F¹⁵, 80I¹⁷, 176A¹⁹, 176F²³</t>
        </is>
      </c>
      <c r="N206" t="inlineStr">
        <is>
          <t>8B⁰, 1A⁰, 2B⁰, 4C⁰</t>
        </is>
      </c>
      <c r="O206" t="inlineStr">
        <is>
          <t>80AA¹⁷, 80AC¹⁹, 16F⁵, 16B¹⁹, 96O²³, 48I²¹, 32D²³, 48O¹⁷, 64Q²¹, 48M⁹, 48H²¹, 112V²⁴, 16K⁹, 32Y²¹, 16B¹⁷, 16F⁹, 48CA¹⁷, 48AE²¹, 112Q²⁴, 64K¹³, 112R²⁴, 96O¹⁵, 48Q¹⁷, 48V²¹, 32P²¹, 16I⁹, 80AE¹⁷, 48E⁵, 96R¹⁷, 32C¹¹, 32H⁹, 32K¹¹, 48M¹⁷, 144A¹³, 48Y¹⁵, 32G⁹, 32K²¹, 32K⁹, 16K³, 48A¹¹, 32E⁶, 32G²³, 48AX²¹, 64G²¹, 80H⁹, 112U²⁴, 16H⁹, 32A¹³, 48CB¹⁷, 16E⁹, 48C¹¹, 48W¹⁵, 32B¹³, 32K¹³, 32A⁷, 32E⁵, 80AE¹⁹, 96B¹⁷, 32B²³, 16A³, 32A²¹, 48BG¹⁹, 64F⁹, 32D¹¹, 48T¹³, 16E⁷, 32G⁵, 32I²¹, 16A¹⁷, 48BB¹⁷, 48U²¹, 64B²³, 48AF²¹, 32E¹¹, 144K²³, 32A²³, 16D⁷, 32W²¹, 48F⁷, 48X¹⁵, 96I¹¹, 32L⁹, 80N²¹, 32F⁵, 16A¹⁹, 48J¹⁵, 64F¹⁴, 96O¹⁷, 48C³, 144J²¹, 16B⁵, 48L⁹, 48BA¹⁷, 32L²¹, 16B⁹, 16L³, 16C¹¹, 48BF¹⁹, 64P²¹, 64H²¹, 32C²³, 32F⁷, 32F⁹, 32M²¹, 112F¹⁵, 64G¹⁴, 48R²¹, 32L¹³, 32F¹¹, 48AN¹⁹, 48T⁷, 112D²³, 80AB¹⁷, 32E¹³, 80E¹⁸, 32Q¹³, 48AC⁸, 96A²³, 48F²¹, 32N⁹, 80L²¹, 16B¹¹, 96N¹⁷, 32H²³, 16C⁹, 48AC²¹, 96I²⁰, 96Q²⁰, 48BY¹⁷, 96J¹⁹, 176A¹⁹, 16J⁹, 80C¹⁹, 48I¹⁵, 48V⁷, 16F²¹, 32E²³, 16F², 112B¹¹, 32E²¹, 16A¹⁵, 32D¹³, 96J²⁰, 32Q²¹, 64I²¹, 32F⁶, 112B²¹, 16C⁵, 48X⁸, 32D¹⁹, 16A²¹, 80O²¹, 64E¹⁴, 32M⁹, 32X²¹, 32J¹³, 96D¹⁷, 32B²¹, 16L⁹, 48H¹³, 48P²¹, 144L²³, 96C¹⁷, 112C²³, 64H¹⁴, 176F²³, 32E¹⁹, 48AI²¹, 16F¹, 48G¹³, 32J²¹, 48B¹³, 16C³, 48BC¹⁹, 48AS²¹, 80A¹⁹, 16M³, 48H¹⁵, 48AO¹⁹, 16G⁵, 48T²¹, 80B¹⁷, 96F²³, 96P²⁰, 16C²¹, 48BQ¹⁷, 80I¹⁷, 32I¹³, 48AB¹³, 80D²¹, 48AR²¹, 32G¹¹, 80B⁹, 32L³, 16E⁵, 16E²¹</t>
        </is>
      </c>
    </row>
    <row r="207">
      <c r="A207">
        <f>HYPERLINK("https://mathstats.uncg.edu/sites/pauli/congruence/csg1.html#group16C1", "16C¹")</f>
        <v/>
      </c>
      <c r="B207" t="n">
        <v>1</v>
      </c>
      <c r="C207" t="inlineStr"/>
      <c r="D207" t="inlineStr">
        <is>
          <t>24</t>
        </is>
      </c>
      <c r="E207" t="inlineStr">
        <is>
          <t>1</t>
        </is>
      </c>
      <c r="F207" t="inlineStr">
        <is>
          <t>12</t>
        </is>
      </c>
      <c r="G207" t="inlineStr">
        <is>
          <t>2</t>
        </is>
      </c>
      <c r="H207" t="inlineStr">
        <is>
          <t>0</t>
        </is>
      </c>
      <c r="I207" t="inlineStr">
        <is>
          <t>4², 16¹</t>
        </is>
      </c>
      <c r="J207" t="n">
        <v>3</v>
      </c>
      <c r="K207" t="inlineStr">
        <is>
          <t>1², 2¹, 4²</t>
        </is>
      </c>
      <c r="L207" t="inlineStr">
        <is>
          <t>8D⁰</t>
        </is>
      </c>
      <c r="M207" t="inlineStr">
        <is>
          <t>16I¹, 16C², 16D², 32I³, 48E⁴, 48D⁶, 80C⁹, 80J⁹, 112G¹², 112D¹⁴, 80N¹⁷, 176C²⁰, 176C²²</t>
        </is>
      </c>
      <c r="N207" t="inlineStr">
        <is>
          <t>8D⁰, 1A⁰, 2B⁰, 4C⁰</t>
        </is>
      </c>
      <c r="O207" t="inlineStr">
        <is>
          <t>96AI²³, 32C⁹, 96L²⁰, 16F⁵, 16B¹⁹, 48D⁶, 80G¹⁷, 48O⁸, 64Q²¹, 48AI¹⁷, 16K⁹, 96AU²¹, 96D²⁰, 48V¹⁵, 48CG²¹, 64U¹³, 96B²⁰, 80A¹⁸, 16B⁴, 48E⁴, 48Z¹⁹, 48S⁹, 48CF²¹, 144B¹⁵, 48CO²¹, 96A²², 96AJ²³, 80M¹⁹, 32A¹¹, 96C²⁰, 96B²², 96C¹⁰, 48E¹⁸, 32P²¹, 96L¹⁹, 32C¹¹, 32G²¹, 176C²⁰, 64B¹⁸, 32C²¹, 32H⁵, 32H¹¹, 48I¹⁹, 48AH¹⁷, 32G⁹, 16L², 16I³, 96M¹⁹, 32K²¹, 48O¹⁹, 96E¹⁷, 32A²⁴, 48F¹⁹, 32B¹², 80P¹⁹, 48H¹⁶, 16H⁹, 32B²⁴, 160U²¹, 80N¹⁷, 32P³, 96AL²³, 96D¹⁰, 16D⁹, 64G⁹, 112D¹⁴, 48Y¹⁹, 32D⁹, 48A¹⁶, 96F¹⁷, 32D¹¹, 16J³, 80AO¹⁷, 32Q³, 16A¹⁷, 16A¹⁰, 96AV²¹, 48U²¹, 64B²³, 48BZ²¹, 16B¹⁰, 48AP¹⁷, 112G¹², 32P¹³, 16D⁷, 48AB¹¹, 16D², 16C², 32C⁴, 16A¹⁹, 32C²⁴, 64A²¹, 48U⁹, 64E²¹, 96A¹⁴, 32A⁶, 48Q⁸, 48W¹⁹, 32L²¹, 96AD¹⁹, 16L³, 16B⁹, 48B¹⁹, 32B²², 32F²³, 32B¹⁰, 176C²², 48AE¹⁹, 48X¹¹, 16C¹³, 48BU¹⁷, 32H⁶, 64P²¹, 64H²¹, 64A¹⁹, 80AN¹⁷, 96AC²¹, 48A¹⁰, 32C²³, 96AC¹⁹, 144B²², 112H²⁴, 32M²¹, 16M⁵, 48P⁷, 96AD²¹, 32F¹¹, 96X¹⁷, 64A²³, 32A¹⁰, 48CK²¹, 32N⁹, 32D²¹, 48CA²¹, 80O¹⁹, 96A²⁰, 16H⁵, 16D²¹, 96K²⁰, 64A²², 144I¹⁹, 32H²¹, 96AK²³, 48I¹⁵, 32C¹⁰, 16F²¹, 32E²³, 96AW²¹, 64A¹⁸, 16A¹⁵, 32E²¹, 144A²², 112I²⁴, 48N¹⁸, 48C¹⁹, 48CN²¹, 80C⁹, 32A²², 16I¹, 32D¹⁹, 32M⁹, 80S¹⁹, 48AQ²¹, 16A²¹, 112K²³, 32B¹¹, 32A¹⁷, 32J¹³, 16L⁹, 64B²¹, 160T²¹, 48J¹⁹, 32T¹³, 32E¹⁹, 64H⁹, 32I⁵, 32L⁷, 96D²², 16D¹¹, 48AA¹¹, 80J⁹, 32A¹², 32I³, 48AL¹⁷, 16C⁷, 32D²⁴, 16C²¹, 80B¹⁸, 96C²², 32C¹⁹, 96Y¹⁷, 96M²⁰, 32B⁶, 48C¹⁰, 64B²², 48BM²¹, 32D²³, 160I¹⁹, 80AR¹⁷</t>
        </is>
      </c>
    </row>
    <row r="208">
      <c r="A208">
        <f>HYPERLINK("https://mathstats.uncg.edu/sites/pauli/congruence/csg1.html#group16D1", "16D¹")</f>
        <v/>
      </c>
      <c r="B208" t="n">
        <v>1</v>
      </c>
      <c r="C208" t="inlineStr"/>
      <c r="D208" t="inlineStr">
        <is>
          <t>24</t>
        </is>
      </c>
      <c r="E208" t="inlineStr">
        <is>
          <t>1</t>
        </is>
      </c>
      <c r="F208" t="inlineStr">
        <is>
          <t>12</t>
        </is>
      </c>
      <c r="G208" t="inlineStr">
        <is>
          <t>4</t>
        </is>
      </c>
      <c r="H208" t="inlineStr">
        <is>
          <t>0</t>
        </is>
      </c>
      <c r="I208" t="inlineStr">
        <is>
          <t>8¹, 16¹</t>
        </is>
      </c>
      <c r="J208" t="n">
        <v>2</v>
      </c>
      <c r="K208" t="inlineStr">
        <is>
          <t>1⁴, 2², 4¹</t>
        </is>
      </c>
      <c r="L208" t="inlineStr">
        <is>
          <t>8B⁰</t>
        </is>
      </c>
      <c r="M208" t="inlineStr">
        <is>
          <t>16J¹, 16E², 16F², 16D³, 16F³, 32E³, 32F³, 32G³, 32H³, 48E³, 48G⁷, 80D⁹, 80L⁹, 112F¹¹, 112G¹⁵, 80P¹⁷, 176C¹⁹, 176G²³</t>
        </is>
      </c>
      <c r="N208" t="inlineStr">
        <is>
          <t>8B⁰, 1A⁰, 2B⁰, 4C⁰</t>
        </is>
      </c>
      <c r="O208" t="inlineStr">
        <is>
          <t>96AH¹⁹, 48P¹³, 16B¹⁹, 48I²¹, 64A¹⁵, 112V²⁴, 48CE¹⁷, 16B⁴, 80L⁹, 48M¹⁵, 96AK¹⁹, 96S²⁰, 80Q²¹, 64I⁷, 48O¹⁸, 144N²³, 32K¹¹, 48K¹¹, 48AL¹⁹, 32U²¹, 48L¹⁵, 32C⁷, 48BC²¹, 112L²³, 32G¹³, 32E⁶, 32C⁶, 112U²⁴, 32D⁷, 32B²⁴, 112F¹¹, 96S¹⁵, 16E⁹, 16D⁹, 48AU¹⁷, 80AE¹⁹, 48CF¹⁷, 48BG¹⁹, 16A¹⁰, 96AE²¹, 96I⁹, 96AY²¹, 16B¹⁰, 64C¹⁴, 80V¹⁹, 16D⁷, 32R²¹, 48Q¹⁸, 160L²¹, 176C¹⁹, 48CC¹⁷, 48BU²¹, 160O²¹, 112P²⁴, 16A¹⁹, 64I⁹, 96AM¹⁹, 48AD⁸, 48AX¹⁷, 48Y⁹, 96AQ¹⁹, 32B²², 96AL¹⁹, 96G²⁰, 64J⁷, 64O¹³, 32B¹⁰, 48AF¹³, 192F²¹, 32E³, 96O²⁰, 48AZ¹⁷, 96AE¹⁷, 32T²¹, 96AF²⁰, 32K⁵, 32M²¹, 96AI²¹, 80AA²¹, 96AA¹⁷, 96AG²⁰, 32L¹³, 96AN²¹, 80AB²¹, 96J⁹, 96AC²⁰, 96AO²¹, 112N²⁴, 32C¹³, 32N³, 64T¹³, 160J²¹, 96R²⁰, 32E¹³, 48G⁷, 80E¹⁸, 96AA²⁰, 192G²¹, 96J¹¹, 48O¹³, 32F¹³, 160E¹⁹, 32H²³, 96I²⁰, 112D²¹, 32D⁶, 80AT¹⁷, 64A²², 192E²¹, 48AD¹⁵, 96X²⁰, 32F²¹, 64B¹⁵, 32H¹³, 48BG²¹, 32E²³, 48E³, 48AJ²¹, 16F³, 16C⁴, 64J¹⁵, 80C¹⁸, 48AS¹⁷, 32Q²¹, 32L⁵, 96I²³, 144C¹³, 48X⁸, 96F⁹, 32D¹⁹, 64E¹⁴, 16S³, 32F³, 96AJ²¹, 80W²¹, 96AX²¹, 96N²³, 160H¹⁹, 64A¹⁴, 32E¹⁹, 64M²¹, 80H¹⁹, 160F¹⁹, 64L²¹, 64B¹⁴, 64G¹⁵, 112L²⁴, 64E¹⁵, 16M³, 48K¹³, 16G⁵, 32O¹³, 32D²⁴, 96P²⁰, 96G¹⁷, 112O²⁴, 16C²¹, 48W²¹, 16A⁵, 96U²³, 32V²¹, 48AE⁷, 48BI¹⁹, 96L²³, 64Q¹³, 80AX¹⁷, 32J⁵, 96AE¹⁹, 80D⁹, 96N²⁰, 32S²¹, 96AG²¹, 192H²¹, 176G²³, 160I²¹, 16E², 32Y²¹, 16B¹⁷, 16F⁹, 48CA¹⁷, 160N²¹, 192I²¹, 48BF²¹, 64D¹⁴, 48AN²¹, 48J²¹, 16R³, 48V²¹, 32P²¹, 64H¹⁵, 48E¹⁸, 48AG⁷, 96H²⁰, 32H⁹, 32N¹³, 160K²¹, 96E²³, 96AF²¹, 96Z²⁰, 96Z¹⁷, 144M²³, 64G⁷, 16G⁹, 112G¹⁵, 96BB¹⁹, 32A²⁴, 48F¹⁸, 48BC¹⁷, 48BD¹⁹, 32B¹², 80P¹⁷, 48AM²¹, 48BH¹⁹, 16H⁹, 112M²³, 64C¹⁵, 96V²⁰, 48CB¹⁷, 64M¹³, 32K¹³, 48BF¹⁷, 48J¹³, 32E⁷, 96AD²⁰, 32G³, 48T¹³, 16E⁷, 32J¹¹, 16A¹⁷, 192J²¹, 32I⁷, 48D¹¹, 96AP²¹, 96D²³, 80AB¹⁹, 64S¹³, 96G¹⁵, 96C²³, 48AV¹⁷, 96T²⁰, 96J²³, 48BD¹⁷, 32C²⁴, 48J¹⁵, 64F¹⁴, 16J¹, 96Y²⁰, 96W²⁰, 48AE¹⁵, 64I¹⁵, 96D⁹, 48BE¹⁷, 96H⁹, 96AF¹⁹, 48BF¹⁹, 48AP²¹, 48AF¹⁵, 96AB¹⁷, 64N¹³, 48AB⁸, 16D⁵, 80AA¹⁹, 64G¹⁴, 96K²³, 64H⁷, 96H²³, 96BA¹⁹, 160M²¹, 32Q¹³, 96AB²⁰, 80AU¹⁷, 96V²³, 64L¹³, 64R¹³, 160P²¹, 32I¹¹, 96Q²⁰, 96AH²¹, 96I¹⁵, 16D²¹, 80F¹⁹, 32O⁹, 96E⁹, 96AL²¹, 96AG¹⁹, 16F²¹, 32C¹⁰, 16A⁹, 16F², 32M¹³, 96K⁹, 16A¹⁵, 32D¹³, 96W¹⁹, 96B²³, 96J²⁰, 96AO¹⁹, 96AR¹⁹, 64I²¹, 48AK¹⁹, 48F⁸, 32F⁶, 32A²², 16C⁵, 48Z⁹, 96H¹⁷, 32J⁷, 64F¹⁵, 64P¹³, 96AM²¹, 112M²⁴, 96J¹⁵, 32C¹², 96U²⁰, 64H¹⁴, 96AK²¹, 144K²¹, 32H⁷, 48F⁵, 192K²¹, 16D³, 96M²³, 32A¹², 48BB¹⁹, 192L²¹, 64D¹⁵, 96AP¹⁹, 96AN¹⁹, 160G¹⁹, 32P⁹, 96H¹⁵, 48E²¹, 96AE²⁰, 32G¹¹, 32B⁷, 96C⁹, 64B²², 32D²¹, 32H³, 80J¹⁷</t>
        </is>
      </c>
    </row>
    <row r="209">
      <c r="A209">
        <f>HYPERLINK("https://mathstats.uncg.edu/sites/pauli/congruence/csg1.html#group16E1", "16E¹")</f>
        <v/>
      </c>
      <c r="B209" t="n">
        <v>1</v>
      </c>
      <c r="C209" t="inlineStr"/>
      <c r="D209" t="inlineStr">
        <is>
          <t>48</t>
        </is>
      </c>
      <c r="E209" t="inlineStr">
        <is>
          <t>1</t>
        </is>
      </c>
      <c r="F209" t="inlineStr">
        <is>
          <t>6</t>
        </is>
      </c>
      <c r="G209" t="inlineStr">
        <is>
          <t>0</t>
        </is>
      </c>
      <c r="H209" t="inlineStr">
        <is>
          <t>0</t>
        </is>
      </c>
      <c r="I209" t="inlineStr">
        <is>
          <t>2⁴, 4², 16²</t>
        </is>
      </c>
      <c r="J209" t="n">
        <v>8</v>
      </c>
      <c r="K209" t="inlineStr">
        <is>
          <t>1⁴, 2¹</t>
        </is>
      </c>
      <c r="L209" t="inlineStr">
        <is>
          <t>8G⁰, 16C⁰, 16A¹</t>
        </is>
      </c>
      <c r="M209" t="inlineStr">
        <is>
          <t>16M¹, 16H³, 16J³, 32J³, 32K³, 32A⁵, 32B⁵, 48A⁹, 48AK⁹, 80A¹⁷, 80Z¹⁷</t>
        </is>
      </c>
      <c r="N209" t="inlineStr">
        <is>
          <t>2A⁰, 8G⁰, 8D⁰, 16C⁰, 4C⁰, 16A¹, 8C⁰, 4E⁰, 2B⁰, 4B⁰, 1A⁰, 2C⁰</t>
        </is>
      </c>
      <c r="O209" t="inlineStr">
        <is>
          <t>64C⁹, 32C⁹, 96A²¹, 32N⁵, 16M⁵, 32M⁵, 16E²¹, 48J¹⁷, 48CK²¹, 48AK⁹, 96A¹⁹, 32E⁹, 64B¹³, 32U¹³, 48CE²¹, 64D¹³, 32B¹⁷, 16C⁹, 64V¹³, 48K¹⁷, 32G²¹, 96BF²¹, 96E²¹, 32A⁹, 32C²¹, 48CJ¹⁷, 128D²¹, 32H²¹, 64B⁹, 128A¹⁹, 32J³, 32F²¹, 48CH²¹, 16A⁹, 96E¹⁹, 48C¹⁹, 32B⁹, 64K⁷, 80Z¹⁷, 96B¹⁹, 48CJ²¹, 64D¹⁷, 96B²¹, 64F²¹, 48D¹⁷, 32A²¹, 32D⁹, 64C²¹, 32B¹¹, 32A¹⁷, 16J³, 32B²¹, 48A¹⁹, 64B²¹, 64C¹³, 16A¹⁷, 48P¹⁹, 32D¹⁷, 32T¹³, 32B⁵, 96AZ²¹, 128F²¹, 32A⁵, 16M¹, 64D²¹, 16N⁵, 96BA²¹, 64A²¹, 64E²¹, 16C⁷, 32K³, 96BD²¹, 16H³, 16C²¹, 48A⁹, 48CM¹⁷, 64A¹³, 64A¹¹, 64A¹⁷, 32C¹⁹, 16C¹³, 48CN¹⁷, 48N¹⁹, 80A¹⁷, 96H¹⁹, 96H²¹</t>
        </is>
      </c>
    </row>
    <row r="210">
      <c r="A210">
        <f>HYPERLINK("https://mathstats.uncg.edu/sites/pauli/congruence/csg1.html#group16F1", "16F¹")</f>
        <v/>
      </c>
      <c r="B210" t="n">
        <v>1</v>
      </c>
      <c r="C210" t="inlineStr"/>
      <c r="D210" t="inlineStr">
        <is>
          <t>48</t>
        </is>
      </c>
      <c r="E210" t="inlineStr">
        <is>
          <t>1</t>
        </is>
      </c>
      <c r="F210" t="inlineStr">
        <is>
          <t>6</t>
        </is>
      </c>
      <c r="G210" t="inlineStr">
        <is>
          <t>8</t>
        </is>
      </c>
      <c r="H210" t="inlineStr">
        <is>
          <t>0</t>
        </is>
      </c>
      <c r="I210" t="inlineStr">
        <is>
          <t>8², 16²</t>
        </is>
      </c>
      <c r="J210" t="n">
        <v>4</v>
      </c>
      <c r="K210" t="inlineStr">
        <is>
          <t>1², 2²</t>
        </is>
      </c>
      <c r="L210" t="inlineStr">
        <is>
          <t>8H⁰, 16B⁰, 16B¹</t>
        </is>
      </c>
      <c r="M210" t="inlineStr">
        <is>
          <t>16K³, 16L³, 16M³, 32L³, 16B⁵, 32E⁵, 32F⁵, 32G⁵, 48E⁵, 32A⁷, 48G¹³, 80B¹⁷, 80AE¹⁷, 112B²¹</t>
        </is>
      </c>
      <c r="N210" t="inlineStr">
        <is>
          <t>8H⁰, 16B⁰, 8D⁰, 4A⁰, 4C⁰, 8B⁰, 16B¹, 2B⁰, 4F⁰, 1A⁰</t>
        </is>
      </c>
      <c r="O210" t="inlineStr">
        <is>
          <t>32C²³, 16B¹⁹, 32D²³, 32F⁹, 32M²¹, 64Q²¹, 16K⁹, 32F¹¹, 32Y²¹, 16B¹⁷, 64K¹³, 96O¹⁵, 48Q¹⁷, 96A²³, 48F²¹, 32N⁹, 16I⁹, 96N¹⁷, 32H²³, 80AE¹⁷, 16C⁹, 48E⁵, 96R¹⁷, 32H⁹, 32K¹¹, 96J¹⁹, 48Y¹⁵, 32G⁹, 16J⁹, 48I¹⁵, 32K²¹, 32K⁹, 16K³, 32E²³, 64G²¹, 16A¹⁵, 32E²¹, 32A¹³, 16E⁹, 48W¹⁵, 32B¹³, 32K¹³, 64I²¹, 32A⁷, 112B²¹, 32E⁵, 32D¹⁹, 96B¹⁷, 16A²¹, 32M⁹, 32B²³, 32A²¹, 32X²¹, 64F⁹, 32G⁵, 32J¹³, 32B²¹, 96D¹⁷, 16E⁷, 32I²¹, 16L⁹, 16A¹⁷, 32E¹¹, 96C¹⁷, 32E¹⁹, 32A²³, 16D⁷, 32W²¹, 48X¹⁵, 32L⁹, 48G¹³, 96I¹¹, 32J²¹, 32F⁵, 16A¹⁹, 16M³, 48H¹⁵, 48J¹⁵, 80B¹⁷, 96O¹⁷, 16C²¹, 32L²¹, 16B⁵, 32I¹³, 16L³, 16B⁹, 48AB¹³, 32G¹¹, 32L³, 64P²¹, 64H²¹, 16E²¹</t>
        </is>
      </c>
    </row>
    <row r="211">
      <c r="A211">
        <f>HYPERLINK("https://mathstats.uncg.edu/sites/pauli/congruence/csg1.html#group16G1", "16G¹")</f>
        <v/>
      </c>
      <c r="B211" t="n">
        <v>1</v>
      </c>
      <c r="C211" t="inlineStr"/>
      <c r="D211" t="inlineStr">
        <is>
          <t>48</t>
        </is>
      </c>
      <c r="E211" t="inlineStr">
        <is>
          <t>1</t>
        </is>
      </c>
      <c r="F211" t="inlineStr">
        <is>
          <t>12</t>
        </is>
      </c>
      <c r="G211" t="inlineStr">
        <is>
          <t>0</t>
        </is>
      </c>
      <c r="H211" t="inlineStr">
        <is>
          <t>0</t>
        </is>
      </c>
      <c r="I211" t="inlineStr">
        <is>
          <t>2⁴, 4², 16²</t>
        </is>
      </c>
      <c r="J211" t="n">
        <v>8</v>
      </c>
      <c r="K211" t="inlineStr">
        <is>
          <t>1⁴, 2², 4¹</t>
        </is>
      </c>
      <c r="L211" t="inlineStr">
        <is>
          <t>8I⁰, 16D⁰, 16A¹</t>
        </is>
      </c>
      <c r="M211" t="inlineStr">
        <is>
          <t>16M¹, 16N³, 32O³, 32C⁵, 32D⁵, 48B⁹, 48AO⁹, 80C¹⁷, 80AJ¹⁷</t>
        </is>
      </c>
      <c r="N211" t="inlineStr">
        <is>
          <t>16A¹, 8C⁰, 2B⁰, 8I⁰, 4B⁰, 1A⁰, 16D⁰</t>
        </is>
      </c>
      <c r="O211" t="inlineStr">
        <is>
          <t>96D²¹, 48AD¹⁷, 48B⁹, 48AP¹⁹, 32N⁵, 16M⁵, 48D¹⁷, 64C²¹, 96R²¹, 32A¹⁷, 64D¹⁷, 64I¹³, 32M⁵, 64H¹³, 80C¹⁷, 48Q¹⁹, 32D¹⁷, 96Z¹⁹, 16A¹⁷, 80AJ¹⁷, 64E¹³, 32T¹³, 32O³, 64F¹³, 32D⁵, 16M¹, 48AO⁹, 32E⁹, 32U¹³, 64J¹³, 32B¹⁷, 16N⁵, 64V¹³, 96BL²¹, 48CO¹⁷, 96C²¹, 96K¹⁹, 32C²¹, 48CM²¹, 64G¹³, 96Q²¹, 96BM²¹, 16N³, 32O²¹, 32C⁵, 48AB¹⁷, 48CM¹⁷, 48CQ¹⁷, 64A¹⁷, 32J⁹, 48CL²¹, 64N²¹, 16C¹³, 32N²¹, 32I⁹, 64O²¹</t>
        </is>
      </c>
    </row>
    <row r="212">
      <c r="A212">
        <f>HYPERLINK("https://mathstats.uncg.edu/sites/pauli/congruence/csg1.html#group16H1", "16H¹")</f>
        <v/>
      </c>
      <c r="B212" t="n">
        <v>1</v>
      </c>
      <c r="C212" t="inlineStr"/>
      <c r="D212" t="inlineStr">
        <is>
          <t>48</t>
        </is>
      </c>
      <c r="E212" t="inlineStr">
        <is>
          <t>1</t>
        </is>
      </c>
      <c r="F212" t="inlineStr">
        <is>
          <t>12</t>
        </is>
      </c>
      <c r="G212" t="inlineStr">
        <is>
          <t>4</t>
        </is>
      </c>
      <c r="H212" t="inlineStr">
        <is>
          <t>0</t>
        </is>
      </c>
      <c r="I212" t="inlineStr">
        <is>
          <t>4⁴, 16²</t>
        </is>
      </c>
      <c r="J212" t="n">
        <v>6</v>
      </c>
      <c r="K212" t="inlineStr">
        <is>
          <t>2², 4²</t>
        </is>
      </c>
      <c r="L212" t="inlineStr">
        <is>
          <t>8H⁰</t>
        </is>
      </c>
      <c r="M212" t="inlineStr">
        <is>
          <t>16L², 16H³, 16K³, 16C⁴, 16E⁵, 48O⁷, 48Z¹¹, 80F¹⁷, 80AL¹⁷, 112I²³</t>
        </is>
      </c>
      <c r="N212" t="inlineStr">
        <is>
          <t>8H⁰, 8D⁰, 4A⁰, 4C⁰, 8B⁰, 2B⁰, 4F⁰, 1A⁰</t>
        </is>
      </c>
      <c r="O212" t="inlineStr">
        <is>
          <t>16B¹⁹, 32F⁹, 32M²¹, 16M⁵, 80F¹⁷, 48Z¹¹, 32A¹⁰, 48CO²¹, 16I⁹, 32P²¹, 16B¹¹, 48CE²¹, 16C⁹, 64B¹⁸, 32A⁹, 32C²¹, 112I²³, 16L², 16J⁹, 32K⁹, 32F²¹, 16K³, 48T¹⁵, 16F²¹, 32E²³, 48F¹⁸, 64G²¹, 16A⁹, 16A¹⁵, 64A¹⁸, 48AF¹⁷, 32G²³, 16C⁴, 16H⁹, 32B⁹, 48G¹⁶, 48O⁷, 48AN¹⁷, 32D¹⁹, 32B²³, 64F²¹, 32A²¹, 32X²¹, 80AL¹⁷, 48A¹⁶, 32A¹⁷, 32B²¹, 32I²¹, 16A¹⁷, 48A¹⁹, 32E¹¹, 32C¹², 32T¹³, 32E¹⁹, 32A²³, 16D⁷, 32W²¹, 64D²¹, 32L⁹, 48AC¹⁹, 32J²¹, 48P¹⁸, 16A¹⁹, 48H¹⁵, 48T²¹, 16H³, 16C²¹, 32I¹³, 16C¹³, 16C¹¹, 32H⁶, 16E⁵, 16E²¹</t>
        </is>
      </c>
    </row>
    <row r="213">
      <c r="A213">
        <f>HYPERLINK("https://mathstats.uncg.edu/sites/pauli/congruence/csg1.html#group16I1", "16I¹")</f>
        <v/>
      </c>
      <c r="B213" t="n">
        <v>1</v>
      </c>
      <c r="C213" t="inlineStr"/>
      <c r="D213" t="inlineStr">
        <is>
          <t>48</t>
        </is>
      </c>
      <c r="E213" t="inlineStr">
        <is>
          <t>1</t>
        </is>
      </c>
      <c r="F213" t="inlineStr">
        <is>
          <t>12</t>
        </is>
      </c>
      <c r="G213" t="inlineStr">
        <is>
          <t>4</t>
        </is>
      </c>
      <c r="H213" t="inlineStr">
        <is>
          <t>0</t>
        </is>
      </c>
      <c r="I213" t="inlineStr">
        <is>
          <t>4⁴, 16²</t>
        </is>
      </c>
      <c r="J213" t="n">
        <v>6</v>
      </c>
      <c r="K213" t="inlineStr">
        <is>
          <t>1², 2¹, 4²</t>
        </is>
      </c>
      <c r="L213" t="inlineStr">
        <is>
          <t>8H⁰, 16E⁰, 16C¹</t>
        </is>
      </c>
      <c r="M213" t="inlineStr">
        <is>
          <t>16L², 16I³, 16L³, 32P³, 32Q³, 16B⁴, 16F⁵, 32H⁵, 32I⁵, 48P⁷, 48AA¹¹, 80G¹⁷, 80AR¹⁷, 112K²³</t>
        </is>
      </c>
      <c r="N213" t="inlineStr">
        <is>
          <t>8H⁰, 16E⁰, 8D⁰, 4A⁰, 16C¹, 4C⁰, 8B⁰, 2B⁰, 4F⁰, 1A⁰</t>
        </is>
      </c>
      <c r="O213" t="inlineStr">
        <is>
          <t>96AI²³, 32C²³, 16F⁵, 96AC¹⁹, 16B¹⁹, 32D²³, 32M²¹, 80G¹⁷, 64Q²¹, 16M⁵, 48P⁷, 16K⁹, 32F¹¹, 48V¹⁵, 64U¹³, 96X¹⁷, 16B⁴, 32A¹⁰, 48CF²¹, 48CO²¹, 32A¹¹, 32N⁹, 32P²¹, 48E¹⁸, 96L¹⁹, 32C¹¹, 64B¹⁸, 16D²¹, 32C²¹, 32H⁵, 64A²², 32G⁹, 16L², 16I³, 96M¹⁹, 48I¹⁵, 32K²¹, 96E¹⁷, 32A²⁴, 32C¹⁰, 16F²¹, 32E²³, 64A¹⁸, 32B¹², 32E²¹, 16A¹⁵, 48H¹⁶, 16H⁹, 32B²⁴, 48N¹⁸, 32P³, 96AL²³, 16D⁹, 64G⁹, 32A²², 32H⁶, 32D¹⁹, 32M⁹, 16A²¹, 112K²³, 32D¹¹, 48A¹⁶, 32J¹³, 96F¹⁷, 32A¹⁷, 16L⁹, 32Q³, 16A¹⁷, 16A¹⁰, 48U²¹, 64B²³, 32T¹³, 16B¹⁰, 48AP¹⁷, 32E¹⁹, 16D⁷, 64H⁹, 32I⁵, 32L⁷, 16A¹⁹, 48AA¹¹, 32C²⁴, 32A¹², 48AL¹⁷, 32D²⁴, 16C²¹, 32L²¹, 96AD¹⁹, 16L³, 16B⁹, 32B²², 48B¹⁹, 32B¹⁰, 96Y¹⁷, 48AE¹⁹, 16C¹³, 64B²², 32D²¹, 64P²¹, 64H²¹, 64A¹⁹, 80AR¹⁷</t>
        </is>
      </c>
    </row>
    <row r="214">
      <c r="A214">
        <f>HYPERLINK("https://mathstats.uncg.edu/sites/pauli/congruence/csg1.html#group16J1", "16J¹")</f>
        <v/>
      </c>
      <c r="B214" t="n">
        <v>1</v>
      </c>
      <c r="C214" t="inlineStr"/>
      <c r="D214" t="inlineStr">
        <is>
          <t>48</t>
        </is>
      </c>
      <c r="E214" t="inlineStr">
        <is>
          <t>1</t>
        </is>
      </c>
      <c r="F214" t="inlineStr">
        <is>
          <t>12</t>
        </is>
      </c>
      <c r="G214" t="inlineStr">
        <is>
          <t>8</t>
        </is>
      </c>
      <c r="H214" t="inlineStr">
        <is>
          <t>0</t>
        </is>
      </c>
      <c r="I214" t="inlineStr">
        <is>
          <t>8², 16²</t>
        </is>
      </c>
      <c r="J214" t="n">
        <v>4</v>
      </c>
      <c r="K214" t="inlineStr">
        <is>
          <t>1⁴, 2², 4¹</t>
        </is>
      </c>
      <c r="L214" t="inlineStr">
        <is>
          <t>8L⁰, 16B⁰, 16D¹</t>
        </is>
      </c>
      <c r="M214" t="inlineStr">
        <is>
          <t>16M³, 16R³, 16S³, 32N³, 16D⁵, 32J⁵, 32K⁵, 32L⁵, 48F⁵, 32H⁷, 48O¹³, 80J¹⁷, 80AX¹⁷, 112D²¹</t>
        </is>
      </c>
      <c r="N214" t="inlineStr">
        <is>
          <t>16B⁰, 8B⁰, 8L⁰, 2B⁰, 16D¹, 1A⁰, 4C⁰</t>
        </is>
      </c>
      <c r="O214" t="inlineStr">
        <is>
          <t>80AX¹⁷, 16D⁵, 32J⁵, 16B¹⁹, 32K⁵, 32M²¹, 96AA¹⁷, 32S²¹, 32Y²¹, 64T¹³, 96H²³, 32N³, 16B¹⁷, 48M¹⁵, 96AB¹⁷, 48J²¹, 64R¹³, 16R³, 96J¹¹, 64L¹³, 48O¹³, 32H²³, 32I¹¹, 32H⁹, 32K¹¹, 32N¹³, 112D²¹, 32U²¹, 48L¹⁵, 32O⁹, 96Z¹⁷, 48AD¹⁵, 32G¹³, 16G⁹, 32H¹³, 32E²³, 32M¹³, 16A¹⁵, 96W¹⁹, 96S¹⁵, 16E⁹, 64M¹³, 32L⁵, 32K¹³, 64I²¹, 32D¹⁹, 96H¹⁷, 16S³, 16E⁷, 64P¹³, 32J¹¹, 16A¹⁷, 48AF¹⁵, 32E¹⁹, 64M²¹, 64S¹³, 32R²¹, 16D⁷, 32H⁷, 64L²¹, 48F⁵, 16A¹⁹, 64I⁹, 16M³, 48J¹⁵, 32O¹³, 96G¹⁷, 48AE¹⁵, 32P⁹, 64O¹³, 48AF¹³, 32G¹¹, 80J¹⁷, 48AZ¹⁷, 96AE¹⁷, 32V²¹, 32T²¹, 64Q¹³, 64N¹³</t>
        </is>
      </c>
    </row>
    <row r="215">
      <c r="A215">
        <f>HYPERLINK("https://mathstats.uncg.edu/sites/pauli/congruence/csg1.html#group16K1", "16K¹")</f>
        <v/>
      </c>
      <c r="B215" t="n">
        <v>1</v>
      </c>
      <c r="C215" t="inlineStr"/>
      <c r="D215" t="inlineStr">
        <is>
          <t>48</t>
        </is>
      </c>
      <c r="E215" t="inlineStr">
        <is>
          <t>1</t>
        </is>
      </c>
      <c r="F215" t="inlineStr">
        <is>
          <t>24</t>
        </is>
      </c>
      <c r="G215" t="inlineStr">
        <is>
          <t>2</t>
        </is>
      </c>
      <c r="H215" t="inlineStr">
        <is>
          <t>0</t>
        </is>
      </c>
      <c r="I215" t="inlineStr">
        <is>
          <t>4⁴, 8², 16¹</t>
        </is>
      </c>
      <c r="J215" t="n">
        <v>7</v>
      </c>
      <c r="K215" t="inlineStr">
        <is>
          <t>4⁴, 8⁴</t>
        </is>
      </c>
      <c r="L215" t="inlineStr">
        <is>
          <t>8K⁰</t>
        </is>
      </c>
      <c r="M215" t="inlineStr">
        <is>
          <t>16I², 16Q³, 16A⁴, 48G⁸, 48H¹⁰, 80K¹⁷, 80BA¹⁷, 112Y²⁴</t>
        </is>
      </c>
      <c r="N215" t="inlineStr">
        <is>
          <t>1A⁰, 2B⁰, 4F⁰, 8K⁰, 4A⁰, 4C⁰</t>
        </is>
      </c>
      <c r="O215" t="inlineStr">
        <is>
          <t>16A⁴, 32B¹⁸, 32B²³, 16B⁷, 80K¹⁷, 48C²³, 16B¹⁷, 48D¹⁶, 16B¹⁰, 48H¹⁰, 16B¹³, 48BP¹⁹, 16O⁵, 48AS¹⁹, 48A²⁰, 32W²¹, 32A¹⁸, 16Q³, 16C⁶, 32J²¹, 16D¹¹, 112Y²⁴, 16A¹⁹, 32C²⁴, 16D²¹, 16I², 48B¹⁸, 48D²³, 32D²⁴, 16J⁹, 32E¹⁷, 16F²¹, 32F²³, 48J¹⁸, 48BK¹⁷, 48G⁸, 16C¹³, 48T¹⁷, 32A¹⁹, 16C¹¹, 16E²¹, 80BA¹⁷</t>
        </is>
      </c>
    </row>
    <row r="216">
      <c r="A216">
        <f>HYPERLINK("https://mathstats.uncg.edu/sites/pauli/congruence/csg1.html#group16L1", "16L¹")</f>
        <v/>
      </c>
      <c r="B216" t="n">
        <v>1</v>
      </c>
      <c r="C216" t="inlineStr"/>
      <c r="D216" t="inlineStr">
        <is>
          <t>48</t>
        </is>
      </c>
      <c r="E216" t="inlineStr">
        <is>
          <t>1</t>
        </is>
      </c>
      <c r="F216" t="inlineStr">
        <is>
          <t>24</t>
        </is>
      </c>
      <c r="G216" t="inlineStr">
        <is>
          <t>2</t>
        </is>
      </c>
      <c r="H216" t="inlineStr">
        <is>
          <t>0</t>
        </is>
      </c>
      <c r="I216" t="inlineStr">
        <is>
          <t>4⁴, 8², 16¹</t>
        </is>
      </c>
      <c r="J216" t="n">
        <v>7</v>
      </c>
      <c r="K216" t="inlineStr">
        <is>
          <t>4⁴, 8⁴</t>
        </is>
      </c>
      <c r="L216" t="inlineStr">
        <is>
          <t>8K⁰</t>
        </is>
      </c>
      <c r="M216" t="inlineStr">
        <is>
          <t>16I², 16Q³, 16A⁴, 48H⁸, 48I¹⁰, 80L¹⁷, 80BB¹⁷, 112Z²⁴</t>
        </is>
      </c>
      <c r="N216" t="inlineStr">
        <is>
          <t>1A⁰, 2B⁰, 4F⁰, 8K⁰, 4A⁰, 4C⁰</t>
        </is>
      </c>
      <c r="O216" t="inlineStr">
        <is>
          <t>48K¹⁸, 16A⁴, 32B¹⁸, 32B²³, 16B⁷, 48C²³, 16B¹⁷, 112Z²⁴, 48I¹⁰, 48AT¹⁹, 16B¹⁰, 16B¹³, 48BP¹⁹, 16O⁵, 48A²⁰, 32W²¹, 32A¹⁸, 16Q³, 16C⁶, 32J²¹, 16D¹¹, 80L¹⁷, 16A¹⁹, 48E¹⁶, 32C²⁴, 16D²¹, 16I², 48B¹⁸, 48BL¹⁷, 48D²³, 48H⁸, 32D²⁴, 80BB¹⁷, 16J⁹, 32E¹⁷, 16F²¹, 32F²³, 48T¹⁷, 16C¹³, 16C¹¹, 32A¹⁹, 16E²¹</t>
        </is>
      </c>
    </row>
    <row r="217">
      <c r="A217">
        <f>HYPERLINK("https://mathstats.uncg.edu/sites/pauli/congruence/csg1.html#group16M1", "16M¹")</f>
        <v/>
      </c>
      <c r="B217" t="n">
        <v>1</v>
      </c>
      <c r="C217" t="inlineStr"/>
      <c r="D217" t="inlineStr">
        <is>
          <t>96</t>
        </is>
      </c>
      <c r="E217" t="inlineStr">
        <is>
          <t>1</t>
        </is>
      </c>
      <c r="F217" t="inlineStr">
        <is>
          <t>6</t>
        </is>
      </c>
      <c r="G217" t="inlineStr">
        <is>
          <t>0</t>
        </is>
      </c>
      <c r="H217" t="inlineStr">
        <is>
          <t>0</t>
        </is>
      </c>
      <c r="I217" t="inlineStr">
        <is>
          <t>2⁸, 4⁴, 16⁴</t>
        </is>
      </c>
      <c r="J217" t="n">
        <v>16</v>
      </c>
      <c r="K217" t="inlineStr">
        <is>
          <t>1⁴, 2¹</t>
        </is>
      </c>
      <c r="L217" t="inlineStr">
        <is>
          <t>8O⁰, 16G⁰, 16H⁰, 16E¹, 16G¹</t>
        </is>
      </c>
      <c r="M217" t="inlineStr">
        <is>
          <t>16M⁵, 16N⁵, 32M⁵, 32N⁵, 32E⁹, 48D¹⁷, 48CM¹⁷</t>
        </is>
      </c>
      <c r="N217" t="inlineStr">
        <is>
          <t>16G⁰, 2A⁰, 8D⁰, 16E¹, 4C⁰, 16A¹, 8C⁰, 4E⁰, 2B⁰, 8I⁰, 4B⁰, 1A⁰, 16H⁰, 16E⁰, 16G¹, 8G⁰, 16C⁰, 16D⁰, 8J⁰, 2C⁰, 8O⁰</t>
        </is>
      </c>
      <c r="O217" t="inlineStr">
        <is>
          <t>32B¹⁷, 16N⁵, 64V¹³, 32N⁵, 16M⁵, 32C²¹, 48D¹⁷, 64C²¹, 64D¹⁷, 32A¹⁷, 32M⁵, 16A¹⁷, 32D¹⁷, 48CM¹⁷, 32T¹³, 64A¹⁷, 16C¹³, 32E⁹, 32U¹³</t>
        </is>
      </c>
    </row>
    <row r="218">
      <c r="A218">
        <f>HYPERLINK("https://mathstats.uncg.edu/sites/pauli/congruence/csg1.html#group17A1", "17A¹")</f>
        <v/>
      </c>
      <c r="B218" t="n">
        <v>1</v>
      </c>
      <c r="C218" t="inlineStr">
        <is>
          <t>Γ₀(17)</t>
        </is>
      </c>
      <c r="D218" t="inlineStr">
        <is>
          <t>18</t>
        </is>
      </c>
      <c r="E218" t="inlineStr">
        <is>
          <t>1</t>
        </is>
      </c>
      <c r="F218" t="inlineStr">
        <is>
          <t>18</t>
        </is>
      </c>
      <c r="G218" t="inlineStr">
        <is>
          <t>2</t>
        </is>
      </c>
      <c r="H218" t="inlineStr">
        <is>
          <t>0</t>
        </is>
      </c>
      <c r="I218" t="inlineStr">
        <is>
          <t>1¹, 17¹</t>
        </is>
      </c>
      <c r="J218" t="n">
        <v>2</v>
      </c>
      <c r="K218" t="inlineStr">
        <is>
          <t>1², 16¹</t>
        </is>
      </c>
      <c r="L218" t="inlineStr">
        <is>
          <t>1A⁰</t>
        </is>
      </c>
      <c r="M218" t="inlineStr">
        <is>
          <t>17B¹, 34A³, 34B³, 34C³, 51A³, 51A⁵, 68A⁵, 85A⁷, 85B⁷, 119A⁹, 119A¹¹, 85B¹³, 187A¹⁵, 17A¹⁷, 187A¹⁷, 289A¹⁷, 221A¹⁹</t>
        </is>
      </c>
      <c r="N218" t="inlineStr">
        <is>
          <t>1A⁰</t>
        </is>
      </c>
      <c r="O218" t="inlineStr">
        <is>
          <t>102C⁹, 68A²¹, 34C³, 102B⁹, 102D²¹, 272B²³, 187A¹⁵, 119B¹⁹, 68F¹⁵, 170A¹⁷, 51A⁵, 136A¹⁵, 17B¹, 102F¹⁷, 136C¹⁵, 102G¹⁷, 51A¹³, 204A¹⁵, 34D⁵, 136B¹¹, 204B²³, 255A²¹, 204G²³, 136D¹⁵, 204C²³, 102D²³, 51A¹⁵, 170B¹⁷, 51A³, 102A⁹, 136B¹⁵, 85B¹⁵, 102B¹¹, 68B¹⁵, 119A¹⁷, 68B¹⁷, 136B²³, 68C⁷, 102C²³, 102E¹⁷, 153A¹⁵, 136E¹⁵, 136C¹⁷, 34B⁵, 34B⁷, 34A⁹, 136A²³, 238A²¹, 68A⁹, 136B¹⁷, 102C²¹, 68A¹⁷, 34A⁷, 68C¹⁵, 102D¹⁷, 68C²¹, 153A²¹, 102C¹¹, 306A²³, 85B¹³, 238B¹⁹, 136C²¹, 34A²¹, 119A¹⁹, 170A²³, 102A²³, 68B¹³, 34D¹³, 306B²³, 102A²¹, 51A⁷, 289A¹⁷, 102A¹¹, 34A¹⁷, 170A²¹, 102C¹⁷, 221A¹⁹, 119A¹¹, 238A²³, 153B¹⁷, 68A¹³, 51A²¹, 153B²³, 102B¹³, 136B²¹, 153A¹¹, 102B⁷, 34C⁵, 51B¹⁵, 238B²³, 153A¹⁷, 102B¹⁵, 272A²³, 68D⁷, 170D¹⁵, 68B²¹, 68D¹⁵, 238B²¹, 136G¹⁵, 34B²¹, 68A¹¹, 85A¹³, 153C²³, 68B⁷, 34B⁹, 204F²³, 85C¹³, 204A²³, 102B²³, 34B³, 102B²¹, 102A¹⁷, 34A³, 51B¹³, 119A⁹, 51B⁹, 102B¹⁷, 68A⁷, 68A⁵, 136A²¹, 85B⁷, 68B¹¹, 119A²¹, 170A¹⁵, 204H²³, 102A¹⁵, 17A⁵, 238A¹⁹, 255A²³, 136C²³, 102A⁷, 102D¹⁵, 68D¹³, 136F¹⁵, 34C¹³, 102C¹⁵, 34A⁵, 68A¹⁵, 51B⁷, 51B⁵, 17A¹⁷, 204D²³, 153A²³, 136A¹¹, 170C¹⁵, 17C¹, 204E²³, 85A¹⁹, 187A¹⁷, 102A¹³, 85A⁷, 68E¹⁵, 85A¹⁵, 68C¹³, 136A¹⁷, 255B²¹, 51A⁹, 51A¹⁷, 170B¹⁵</t>
        </is>
      </c>
    </row>
    <row r="219">
      <c r="A219">
        <f>HYPERLINK("https://mathstats.uncg.edu/sites/pauli/congruence/csg1.html#group17B1", "17B¹")</f>
        <v/>
      </c>
      <c r="B219" t="n">
        <v>1</v>
      </c>
      <c r="C219" t="inlineStr"/>
      <c r="D219" t="inlineStr">
        <is>
          <t>36</t>
        </is>
      </c>
      <c r="E219" t="inlineStr">
        <is>
          <t>1</t>
        </is>
      </c>
      <c r="F219" t="inlineStr">
        <is>
          <t>18</t>
        </is>
      </c>
      <c r="G219" t="inlineStr">
        <is>
          <t>4</t>
        </is>
      </c>
      <c r="H219" t="inlineStr">
        <is>
          <t>0</t>
        </is>
      </c>
      <c r="I219" t="inlineStr">
        <is>
          <t>1², 17²</t>
        </is>
      </c>
      <c r="J219" t="n">
        <v>4</v>
      </c>
      <c r="K219" t="inlineStr">
        <is>
          <t>1², 16¹</t>
        </is>
      </c>
      <c r="L219" t="inlineStr">
        <is>
          <t>17A¹</t>
        </is>
      </c>
      <c r="M219" t="inlineStr">
        <is>
          <t>17C¹, 34A⁵, 34B⁵, 34C⁵, 51B⁵, 51A⁹, 68A⁹, 85A¹³, 85C¹³, 119A¹⁷, 119A²¹</t>
        </is>
      </c>
      <c r="N219" t="inlineStr">
        <is>
          <t>1A⁰, 17A¹</t>
        </is>
      </c>
      <c r="O219" t="inlineStr">
        <is>
          <t>51A²¹, 68A¹⁷, 102B¹³, 136B²¹, 68A²¹, 17A⁵, 34C⁵, 102D²¹, 68C²¹, 153A²¹, 68D¹³, 68B²¹, 34C¹³, 34A⁵, 34B²¹, 51A¹³, 34D⁵, 51B⁵, 136C²¹, 34A²¹, 85A¹³, 68B¹³, 34B⁹, 17C¹, 85C¹³, 34D¹³, 102A¹⁷, 119A¹⁷, 102B²¹, 68B¹⁷, 102A²¹, 51B¹³, 102A¹³, 68C¹³, 51B⁹, 102B¹⁷, 34B⁵, 51A⁹, 34A⁹, 34A¹⁷, 51A¹⁷, 102C¹⁷, 68A⁹, 102C²¹, 119A²¹, 68A¹³</t>
        </is>
      </c>
    </row>
    <row r="220">
      <c r="A220">
        <f>HYPERLINK("https://mathstats.uncg.edu/sites/pauli/congruence/csg1.html#group17C1", "17C¹")</f>
        <v/>
      </c>
      <c r="B220" t="n">
        <v>1</v>
      </c>
      <c r="C220" t="inlineStr"/>
      <c r="D220" t="inlineStr">
        <is>
          <t>72</t>
        </is>
      </c>
      <c r="E220" t="inlineStr">
        <is>
          <t>1</t>
        </is>
      </c>
      <c r="F220" t="inlineStr">
        <is>
          <t>18</t>
        </is>
      </c>
      <c r="G220" t="inlineStr">
        <is>
          <t>8</t>
        </is>
      </c>
      <c r="H220" t="inlineStr">
        <is>
          <t>0</t>
        </is>
      </c>
      <c r="I220" t="inlineStr">
        <is>
          <t>1⁴, 17⁴</t>
        </is>
      </c>
      <c r="J220" t="n">
        <v>8</v>
      </c>
      <c r="K220" t="inlineStr">
        <is>
          <t>1², 16¹</t>
        </is>
      </c>
      <c r="L220" t="inlineStr">
        <is>
          <t>17B¹</t>
        </is>
      </c>
      <c r="M220" t="inlineStr">
        <is>
          <t>17A⁵, 34D⁵, 34A⁹, 34B⁹, 51B⁹, 51A¹⁷, 68A¹⁷</t>
        </is>
      </c>
      <c r="N220" t="inlineStr">
        <is>
          <t>1A⁰, 17A¹, 17B¹</t>
        </is>
      </c>
      <c r="O220" t="inlineStr">
        <is>
          <t>51A²¹, 68B¹⁷, 68A¹⁷, 17A⁵, 51B⁹, 34B²¹, 34B⁹, 102D²¹, 34A⁹, 34D⁵, 51A¹⁷, 34A¹⁷, 34A²¹, 68C²¹</t>
        </is>
      </c>
    </row>
    <row r="221">
      <c r="A221">
        <f>HYPERLINK("https://mathstats.uncg.edu/sites/pauli/congruence/csg1.html#group18A1", "18A¹")</f>
        <v/>
      </c>
      <c r="B221" t="n">
        <v>1</v>
      </c>
      <c r="C221" t="inlineStr"/>
      <c r="D221" t="inlineStr">
        <is>
          <t>18</t>
        </is>
      </c>
      <c r="E221" t="inlineStr">
        <is>
          <t>1</t>
        </is>
      </c>
      <c r="F221" t="inlineStr">
        <is>
          <t>9</t>
        </is>
      </c>
      <c r="G221" t="inlineStr">
        <is>
          <t>4</t>
        </is>
      </c>
      <c r="H221" t="inlineStr">
        <is>
          <t>0</t>
        </is>
      </c>
      <c r="I221" t="inlineStr">
        <is>
          <t>18¹</t>
        </is>
      </c>
      <c r="J221" t="n">
        <v>1</v>
      </c>
      <c r="K221" t="inlineStr">
        <is>
          <t>1¹, 2¹, 6¹</t>
        </is>
      </c>
      <c r="L221" t="inlineStr">
        <is>
          <t>6B⁰, 9A⁰</t>
        </is>
      </c>
      <c r="M221" t="inlineStr">
        <is>
          <t>18G², 18K², 18A³, 18D³, 36L⁴, 90A⁷, 90C⁷, 126A⁸, 126A¹², 90B¹³, 198A¹⁴, 198A¹⁸, 234A¹⁹</t>
        </is>
      </c>
      <c r="N221" t="inlineStr">
        <is>
          <t>6B⁰, 3A⁰, 1A⁰, 9A⁰</t>
        </is>
      </c>
      <c r="O221" t="inlineStr">
        <is>
          <t>90J²¹, 72F¹⁰, 36C⁸, 36I¹⁵, 18K², 90L¹⁵, 18A³, 54D⁸, 126E¹⁸, 18A¹⁸, 36D²¹, 144J²², 18D³, 72I¹³, 126G²³, 54V¹⁶, 36A²¹, 90F¹⁷, 144F²², 18A¹³, 72C¹⁴, 18B⁸, 36D¹¹, 36G⁷, 126A²¹, 18E⁶, 126B²³, 72S¹⁶, 18H¹⁶, 18C¹³, 72A²³, 36C¹⁵, 18B¹⁹, 90A²³, 18H¹³, 36B¹⁸, 36P¹³, 126A⁸, 36A¹¹, 18G¹⁶, 36B¹⁴, 90D¹⁹, 90C⁷, 36C⁶, 54K²², 54B²¹, 72P²¹, 36T¹⁹, 36G¹², 126D¹⁸, 18B¹³, 72P¹⁹, 72D¹⁶, 36K¹⁹, 90D¹⁴, 54A¹¹, 54A²⁴, 18A⁷, 72B¹⁴, 90N¹⁵, 18S⁴, 18C¹⁶, 126C¹⁸, 36S¹³, 18A⁵, 126B¹⁸, 36K⁹, 36D¹⁵, 72E¹⁰, 54I²², 72I¹⁰, 90C²⁰, 198A¹⁸, 90E¹³, 72Q²¹, 72D¹⁷, 36E¹⁵, 36A¹⁴, 90B¹³, 36L¹⁵, 18J⁷, 72Q¹⁵, 54B¹¹, 126A¹², 90B¹⁷, 90A²¹, 18B⁶, 126A¹⁹, 18E¹⁹, 90A¹⁵, 18B⁷, 72S²¹, 126B¹⁷, 54A²¹, 72B²³, 144I²², 36O¹⁵, 18D⁶, 36C⁵, 234A¹⁹, 90A⁷, 72C¹⁶, 54B²⁴, 18F¹³, 144C²², 198A¹⁴, 36I²², 54J²², 18F⁷, 18G², 18A¹⁹, 36O¹³, 36L⁴</t>
        </is>
      </c>
    </row>
    <row r="222">
      <c r="A222">
        <f>HYPERLINK("https://mathstats.uncg.edu/sites/pauli/congruence/csg1.html#group18B1", "18B¹")</f>
        <v/>
      </c>
      <c r="B222" t="n">
        <v>1</v>
      </c>
      <c r="C222" t="inlineStr"/>
      <c r="D222" t="inlineStr">
        <is>
          <t>18</t>
        </is>
      </c>
      <c r="E222" t="inlineStr">
        <is>
          <t>1</t>
        </is>
      </c>
      <c r="F222" t="inlineStr">
        <is>
          <t>18</t>
        </is>
      </c>
      <c r="G222" t="inlineStr">
        <is>
          <t>4</t>
        </is>
      </c>
      <c r="H222" t="inlineStr">
        <is>
          <t>0</t>
        </is>
      </c>
      <c r="I222" t="inlineStr">
        <is>
          <t>18¹</t>
        </is>
      </c>
      <c r="J222" t="n">
        <v>1</v>
      </c>
      <c r="K222" t="inlineStr">
        <is>
          <t>2³, 6²</t>
        </is>
      </c>
      <c r="L222" t="inlineStr">
        <is>
          <t>6B⁰</t>
        </is>
      </c>
      <c r="M222" t="inlineStr">
        <is>
          <t>18H², 18M², 18B³, 18D³, 36N⁴, 90B⁷, 90D⁷, 126D⁸, 126C¹², 90D¹³, 198B¹⁴, 198C¹⁸, 234B¹⁹</t>
        </is>
      </c>
      <c r="N222" t="inlineStr">
        <is>
          <t>3A⁰, 1A⁰, 6B⁰</t>
        </is>
      </c>
      <c r="O222" t="inlineStr">
        <is>
          <t>36B²¹, 36C⁸, 36I¹⁵, 90P¹⁵, 144E²², 126G¹⁷, 18G¹³, 18A¹⁸, 198C¹⁸, 36D²¹, 36G¹⁵, 72G¹⁰, 144G²², 18F¹⁶, 18D³, 90D⁷, 72I¹³, 126E¹⁹, 90H¹⁴, 72C²³, 18B³, 72C¹⁴, 18B⁸, 126J¹⁸, 18E¹³, 36L⁹, 36E¹¹, 36G⁷, 126D⁸, 18E⁶, 72H¹⁰, 90O¹⁵, 72S¹⁶, 18G⁷, 18H¹⁶, 144H²², 36C¹⁵, 126B²¹, 90A²³, 90L²¹, 18H¹³, 72T²¹, 36B¹⁸, 36P¹³, 72V²¹, 36B¹⁴, 36N⁴, 18G¹⁶, 18D⁷, 90D¹³, 90C¹⁵, 36D⁵, 36C⁶, 126H¹⁸, 126C¹², 72D²³, 36T¹⁹, 18B⁵, 18B¹³, 72D¹⁶, 36L¹⁹, 72U²¹, 126K¹⁸, 18A⁷, 144N²², 72B¹⁴, 90G¹⁷, 36S¹³, 36H¹², 36D¹⁵, 90C¹⁷, 18L⁷, 90E²⁰, 72D¹⁷, 126I²³, 72R¹⁹, 36A¹⁴, 18D¹⁹, 36L¹⁵, 18T⁴, 36Q¹³, 144M²², 72Q¹⁵, 36H¹⁵, 90A²¹, 90B⁷, 126E²³, 234B¹⁹, 18E¹⁹, 90H¹³, 90E¹⁹, 18M², 144D²², 18D⁶, 18C⁶, 36O¹⁵, 126I¹⁸, 18H², 72C¹⁶, 36I²², 72L¹⁰, 18A¹⁹, 18D¹³, 36B¹¹, 198B¹⁴</t>
        </is>
      </c>
    </row>
    <row r="223">
      <c r="A223">
        <f>HYPERLINK("https://mathstats.uncg.edu/sites/pauli/congruence/csg1.html#group18C1", "18C¹")</f>
        <v/>
      </c>
      <c r="B223" t="n">
        <v>1</v>
      </c>
      <c r="C223" t="inlineStr"/>
      <c r="D223" t="inlineStr">
        <is>
          <t>24</t>
        </is>
      </c>
      <c r="E223" t="inlineStr">
        <is>
          <t>1</t>
        </is>
      </c>
      <c r="F223" t="inlineStr">
        <is>
          <t>4</t>
        </is>
      </c>
      <c r="G223" t="inlineStr">
        <is>
          <t>0</t>
        </is>
      </c>
      <c r="H223" t="inlineStr">
        <is>
          <t>0</t>
        </is>
      </c>
      <c r="I223" t="inlineStr">
        <is>
          <t>2³, 18¹</t>
        </is>
      </c>
      <c r="J223" t="n">
        <v>4</v>
      </c>
      <c r="K223" t="inlineStr">
        <is>
          <t>1², 2¹</t>
        </is>
      </c>
      <c r="L223" t="inlineStr">
        <is>
          <t>6C⁰, 9B⁰</t>
        </is>
      </c>
      <c r="M223" t="inlineStr">
        <is>
          <t>18J¹, 18G³, 18I³, 36A³, 54A³, 54B³, 18E⁴, 18G⁴, 54A⁴, 54C⁴, 36F⁵, 54A⁵, 54B⁵, 90B⁹, 90E⁹, 126B¹³, 126E¹³, 90M¹⁷, 198A²¹, 198C²¹</t>
        </is>
      </c>
      <c r="N223" t="inlineStr">
        <is>
          <t>3B⁰, 9B⁰, 2A⁰, 1A⁰, 6C⁰</t>
        </is>
      </c>
      <c r="O223" t="inlineStr">
        <is>
          <t>36F⁹, 108A⁹, 18G¹³, 36H⁷, 54K¹⁶, 162C¹⁶, 36A³, 126B¹³, 18I¹⁰, 54H¹³, 36D¹⁷, 36B⁹, 18E⁴, 72R¹³, 198C²¹, 18I³, 36F⁵, 54D¹⁰, 36M⁹, 90B⁹, 54Q¹³, 108E¹⁷, 54I¹³, 18C¹³, 18F¹⁰, 18E¹⁰, 108A¹⁹, 72M¹⁷, 18D¹⁰, 54A¹⁶, 36G¹⁹, 18J¹, 126E¹³, 54K¹³, 108A¹⁰, 108A²¹, 18O⁷, 108C²¹, 18G³, 54B¹³, 54B³, 36Q⁹, 54A³, 54A¹⁰, 54A⁴, 54B⁷, 162B¹³, 72Q¹³, 72B¹³, 54F¹³, 54B⁵, 162A¹³, 54C¹³, 54G¹³, 54E¹⁰, 36F²¹, 198A²¹, 90R¹⁷, 54J¹³, 180A¹⁹, 108E²¹, 90M¹⁷, 18G⁴, 54B¹⁰, 180D²¹, 72W¹³, 54H¹⁰, 108B¹⁰, 36U¹³, 36K²², 108A¹¹, 72N¹⁷, 54M¹³, 54H¹⁶, 54L¹³, 108C¹⁹, 162A¹⁶, 180C²¹, 108D¹⁷, 36C¹⁰, 36L⁵, 36E¹⁰, 36G¹⁷, 90E⁹, 54G¹⁶, 54R¹³, 72V¹³, 54A⁵, 108F¹⁷, 108B⁹, 54D¹³, 162B¹⁶, 36E¹⁹, 36J¹⁷, 162D¹⁶, 108E²², 36T¹³, 54C⁴, 108B¹¹, 36J³, 72A¹³, 54E¹³</t>
        </is>
      </c>
    </row>
    <row r="224">
      <c r="A224">
        <f>HYPERLINK("https://mathstats.uncg.edu/sites/pauli/congruence/csg1.html#group18D1", "18D¹")</f>
        <v/>
      </c>
      <c r="B224" t="n">
        <v>1</v>
      </c>
      <c r="C224" t="inlineStr"/>
      <c r="D224" t="inlineStr">
        <is>
          <t>24</t>
        </is>
      </c>
      <c r="E224" t="inlineStr">
        <is>
          <t>1</t>
        </is>
      </c>
      <c r="F224" t="inlineStr">
        <is>
          <t>8</t>
        </is>
      </c>
      <c r="G224" t="inlineStr">
        <is>
          <t>0</t>
        </is>
      </c>
      <c r="H224" t="inlineStr">
        <is>
          <t>3</t>
        </is>
      </c>
      <c r="I224" t="inlineStr">
        <is>
          <t>6¹, 18¹</t>
        </is>
      </c>
      <c r="J224" t="n">
        <v>2</v>
      </c>
      <c r="K224" t="inlineStr">
        <is>
          <t>2⁴</t>
        </is>
      </c>
      <c r="L224" t="inlineStr">
        <is>
          <t>6C⁰</t>
        </is>
      </c>
      <c r="M224" t="inlineStr">
        <is>
          <t>18K¹, 36A², 18D⁴, 18G⁴, 18H⁴, 36B⁶, 90C⁸, 90E¹¹, 126C¹³, 126F¹³, 90A¹⁸, 198A²⁰, 198E²³</t>
        </is>
      </c>
      <c r="N224" t="inlineStr">
        <is>
          <t>3B⁰, 2A⁰, 1A⁰, 6C⁰</t>
        </is>
      </c>
      <c r="O224" t="inlineStr">
        <is>
          <t>72D²¹, 72B¹⁹, 90A¹⁸, 36I⁸, 36B¹⁷, 198E²³, 108C²², 36B¹⁹, 54P¹³, 18G¹³, 54J¹³, 36D⁹, 36B¹⁰, 72N¹⁹, 18I¹⁰, 36K²², 126F¹³, 126C¹³, 90I²², 18K¹⁰, 72C¹³, 18H¹⁰, 36M²², 54H¹³, 36F¹⁶, 90C⁸, 72D¹³, 36O²², 90E¹¹, 36H¹¹, 36B⁶, 18K¹, 18E¹⁰, 36E¹⁰, 36G¹⁹, 72D¹⁹, 54J¹⁶, 18H⁴, 72B²¹, 198A²⁰, 180E²³, 180G²³, 54K¹³, 36S⁴, 36H¹⁹, 54F¹⁰, 72L¹⁹, 36F¹⁰, 18F¹³, 90G²¹, 180A¹⁶, 18D⁴, 18P⁷, 36D¹⁹, 36A², 18D¹³, 18G⁴</t>
        </is>
      </c>
    </row>
    <row r="225">
      <c r="A225">
        <f>HYPERLINK("https://mathstats.uncg.edu/sites/pauli/congruence/csg1.html#group18E1", "18E¹")</f>
        <v/>
      </c>
      <c r="B225" t="n">
        <v>1</v>
      </c>
      <c r="C225" t="inlineStr"/>
      <c r="D225" t="inlineStr">
        <is>
          <t>27</t>
        </is>
      </c>
      <c r="E225" t="inlineStr">
        <is>
          <t>1</t>
        </is>
      </c>
      <c r="F225" t="inlineStr">
        <is>
          <t>27</t>
        </is>
      </c>
      <c r="G225" t="inlineStr">
        <is>
          <t>5</t>
        </is>
      </c>
      <c r="H225" t="inlineStr">
        <is>
          <t>0</t>
        </is>
      </c>
      <c r="I225" t="inlineStr">
        <is>
          <t>9¹, 18¹</t>
        </is>
      </c>
      <c r="J225" t="n">
        <v>2</v>
      </c>
      <c r="K225" t="inlineStr">
        <is>
          <t>1³, 2³, 6³</t>
        </is>
      </c>
      <c r="L225" t="inlineStr">
        <is>
          <t>6D⁰, 9A⁰</t>
        </is>
      </c>
      <c r="M225" t="inlineStr">
        <is>
          <t>18I², 18L², 36B², 36C², 18D³, 18E³, 18J³, 36D³, 36E³, 18A⁴, 36D⁴, 36E⁴, 90D¹⁰, 90E¹⁰, 126H¹², 126A¹⁷, 90H¹⁹, 198E²¹</t>
        </is>
      </c>
      <c r="N225" t="inlineStr">
        <is>
          <t>2B⁰, 6D⁰, 3A⁰, 1A⁰, 9A⁰</t>
        </is>
      </c>
      <c r="O225" t="inlineStr">
        <is>
          <t>90B²¹, 36L⁸, 90D²⁰, 72F¹⁴, 72E¹⁶, 72T¹⁵, 18B¹⁶, 36E¹⁶, 36P¹⁰, 36B¹⁵, 36I⁶, 36R¹⁹, 36C¹³, 36E⁷, 288A²³, 144B¹⁵, 36G⁷, 36N¹⁵, 72P¹⁵, 72L¹⁷, 36E⁶, 36K⁵, 90F²⁰, 36C¹⁵, 36P⁴, 144A¹³, 90A²³, 72L¹⁶, 36H¹⁶, 36D⁸, 180B²², 72R¹⁵, 72G¹⁴, 36I¹⁶, 18A²², 18C¹⁰, 72V¹⁵, 72I¹⁶, 36S¹³, 72B¹⁶, 72F¹⁶, 36G¹³, 36F⁶, 36A²², 72K¹⁴, 36A²³, 72H¹⁶, 36F¹², 36D³, 144C¹⁷, 144A¹⁴, 36H⁵, 180A²², 72N¹⁶, 36C²², 36M⁸, 180N²³, 18D⁶, 72J¹⁵, 72X²¹, 36O¹⁹, 72F¹², 72C⁸, 72H²², 72G¹⁷, 36E¹², 36B²⁰, 18I², 72A²⁴, 180C²², 180B²⁴, 72R¹⁶, 72K¹², 90K²¹, 144D¹⁶, 18I⁷, 36D²¹, 144F¹⁶, 180G²⁰, 72K¹⁵, 72C¹⁷, 18D³, 36S¹⁹, 72O¹⁶, 72C¹⁴, 18B⁸, 198E²¹, 144B¹⁸, 72N¹¹, 72Q¹⁶, 72X¹⁵, 252G²⁴, 144B¹², 72R¹¹, 36C²⁰, 144Y²³, 90C²⁴, 36B⁸, 126A¹⁷, 72J¹⁶, 36B¹⁸, 72AA²¹, 18D¹⁶, 144X²³, 36C⁶, 72O¹², 36G¹¹, 36T¹⁹, 144E¹³, 72D⁸, 144E¹⁶, 72G¹⁵, 72M¹⁶, 72W¹⁹, 36E³, 144C¹³, 72I¹⁷, 72G²², 72A¹⁶, 36N¹⁹, 72H⁹, 90E²², 36A¹⁴, 144C¹⁴, 36L¹⁵, 144D¹³, 144B¹⁷, 144A¹⁸, 144D¹⁵, 18K⁷, 144D¹⁴, 18A¹⁶, 72A¹⁷, 72L¹³, 36A⁸, 72C¹⁶, 180M²³, 72J¹², 36C⁸, 36N¹⁰, 18E⁷, 72A⁹, 36B², 144B¹³, 90E¹⁰, 72P¹³, 72H¹⁴, 72H¹³, 180F²⁰, 36H⁶, 180A²¹, 72L¹⁵, 144W²³, 288A²¹, 72J¹⁴, 72E¹⁴, 36F²², 72D²⁰, 18M⁷, 36O⁹, 36D⁷, 36F⁷, 36P¹³, 90A²⁰, 144H¹⁶, 18G¹⁶, 36B¹⁴, 144C¹⁶, 36C⁷, 36G¹⁶, 18A⁶, 72E¹⁸, 144E¹⁰, 36D⁴, 72M¹², 36C¹⁶, 18B¹³, 36F⁸, 36D²², 72D¹⁶, 36E⁸, 18A⁷, 36R⁴, 36E⁴, 36A¹⁵, 180A²⁴, 72K¹⁷, 72D¹⁴, 72D¹⁷, 72E⁶, 72K¹⁶, 18A⁴, 72J¹⁷, 180B²¹, 72F²⁰, 90G²², 72N¹³, 72J²², 90B²², 90G²⁰, 90A²¹, 72E⁴, 18E¹⁹, 72A⁵, 180J²¹, 144D¹⁸, 36A²⁰, 72O¹⁵, 36B¹⁶, 36Q¹⁹, 72F¹⁷, 36I²², 72M¹⁵, 36H²², 72G¹³, 144J¹⁹, 36M¹⁹, 90A²⁴, 18A¹⁹, 72G¹², 126H¹², 72G¹⁶, 36K¹⁵, 72P¹⁶, 72F¹³, 36I¹⁵, 36M¹⁵, 18A¹⁸, 36G⁸, 18L², 180H²⁰, 72I¹³, 144A⁸, 36J¹⁵, 144A¹⁷, 90H¹⁹, 72E⁸, 18L⁴, 72S¹⁶, 180D²², 144B¹⁴, 72B⁶, 144C¹⁵, 72E²⁰, 36L⁷, 18A⁸, 18L¹⁰, 144B¹⁶, 72N¹⁵, 72K²², 72D⁶, 18J³, 36A¹⁶, 72B⁷, 144F¹³, 180I²¹, 90B²³, 36C², 36C²¹, 72H¹⁷, 72B¹⁴, 90D¹⁰, 72B⁸, 36H¹³, 72F¹⁵, 90I²¹, 36A¹⁸, 72U¹⁵, 36D¹⁵, 72B¹⁷, 72N¹², 72M¹¹, 72O¹³, 36E²², 72W¹⁵, 18C¹⁹, 72S¹⁵, 144G¹⁶, 72Q¹⁵, 72O¹¹, 36I¹³, 72L¹², 36J¹¹, 72M¹³, 18E³, 72E¹⁷, 72C⁶, 36J²², 54A¹⁵, 144C¹⁸</t>
        </is>
      </c>
    </row>
    <row r="226">
      <c r="A226">
        <f>HYPERLINK("https://mathstats.uncg.edu/sites/pauli/congruence/csg1.html#group18F1", "18F¹")</f>
        <v/>
      </c>
      <c r="B226" t="n">
        <v>1</v>
      </c>
      <c r="C226" t="inlineStr"/>
      <c r="D226" t="inlineStr">
        <is>
          <t>36</t>
        </is>
      </c>
      <c r="E226" t="inlineStr">
        <is>
          <t>1</t>
        </is>
      </c>
      <c r="F226" t="inlineStr">
        <is>
          <t>18</t>
        </is>
      </c>
      <c r="G226" t="inlineStr">
        <is>
          <t>4</t>
        </is>
      </c>
      <c r="H226" t="inlineStr">
        <is>
          <t>0</t>
        </is>
      </c>
      <c r="I226" t="inlineStr">
        <is>
          <t>6³, 18¹</t>
        </is>
      </c>
      <c r="J226" t="n">
        <v>4</v>
      </c>
      <c r="K226" t="inlineStr">
        <is>
          <t>1¹, 2¹, 3¹, 6²</t>
        </is>
      </c>
      <c r="L226" t="inlineStr">
        <is>
          <t>6E⁰, 9E⁰</t>
        </is>
      </c>
      <c r="M226" t="inlineStr">
        <is>
          <t>18F³, 18K³, 18O⁴, 36H⁴, 36I⁴, 18B⁶, 18C⁶, 36J⁷, 90A¹³, 90G¹³, 126E¹⁷, 126L²¹</t>
        </is>
      </c>
      <c r="N226" t="inlineStr">
        <is>
          <t>3C⁰, 6B⁰, 9E⁰, 3A⁰, 6E⁰, 1A⁰</t>
        </is>
      </c>
      <c r="O226" t="inlineStr">
        <is>
          <t>36A⁹, 18C¹⁶, 36E¹³, 54A¹⁹, 72S¹⁹, 18A¹⁸, 36G¹⁵, 36B²³, 126L²¹, 18F¹⁶, 72J²³, 18F³, 36E¹⁵, 18K¹⁰, 36N⁸, 36O⁸, 18A¹³, 18K³, 18E¹³, 36U¹⁹, 54Q¹⁶, 18O⁴, 90A¹³, 36C¹⁷, 18N⁷, 36F¹³, 36E²¹, 36I⁴, 36J⁷, 36H¹⁵, 36L¹¹, 18C¹³, 72T¹⁹, 18B⁶, 36I¹⁷, 18D¹⁰, 36H⁴, 54A²¹, 126E¹⁷, 36P⁹, 18C⁶, 36B¹², 36D²³, 90G¹³, 36A¹², 18D¹⁶, 72K²³, 54B²⁴, 72I²³, 54B²¹, 36Q¹⁵, 36C²³, 18D¹³, 36R¹⁵, 54B¹⁹, 54A²⁴</t>
        </is>
      </c>
    </row>
    <row r="227">
      <c r="A227">
        <f>HYPERLINK("https://mathstats.uncg.edu/sites/pauli/congruence/csg1.html#group18G1", "18G¹")</f>
        <v/>
      </c>
      <c r="B227" t="n">
        <v>1</v>
      </c>
      <c r="C227" t="inlineStr"/>
      <c r="D227" t="inlineStr">
        <is>
          <t>36</t>
        </is>
      </c>
      <c r="E227" t="inlineStr">
        <is>
          <t>1</t>
        </is>
      </c>
      <c r="F227" t="inlineStr">
        <is>
          <t>36</t>
        </is>
      </c>
      <c r="G227" t="inlineStr">
        <is>
          <t>4</t>
        </is>
      </c>
      <c r="H227" t="inlineStr">
        <is>
          <t>0</t>
        </is>
      </c>
      <c r="I227" t="inlineStr">
        <is>
          <t>6³, 18¹</t>
        </is>
      </c>
      <c r="J227" t="n">
        <v>4</v>
      </c>
      <c r="K227" t="inlineStr">
        <is>
          <t>2³, 3², 6⁴</t>
        </is>
      </c>
      <c r="L227" t="inlineStr">
        <is>
          <t>6E⁰</t>
        </is>
      </c>
      <c r="M227" t="inlineStr">
        <is>
          <t>18H³, 18K³, 18R⁴, 36J⁴, 36K⁴, 18C⁶, 18E⁶, 36K⁷, 90C¹³, 90I¹³, 126H¹⁷, 126N²¹</t>
        </is>
      </c>
      <c r="N227" t="inlineStr">
        <is>
          <t>3C⁰, 6B⁰, 3A⁰, 6E⁰, 1A⁰</t>
        </is>
      </c>
      <c r="O227" t="inlineStr">
        <is>
          <t>36K⁴, 126N²¹, 18R⁴, 18G¹³, 72U¹⁹, 18A¹⁸, 36G¹⁵, 36B²³, 18F¹⁶, 72J²³, 18K¹⁰, 36E¹⁷, 36N⁸, 18H³, 36O⁸, 36K⁷, 18K³, 18E¹³, 36U¹⁹, 36J⁴, 18N⁷, 18E⁶, 36E²¹, 36H¹⁵, 36L¹¹, 36S¹⁵, 18H¹⁶, 90C¹³, 36L¹³, 36I¹⁷, 36E⁹, 18H¹³, 36P⁹, 18C⁶, 36O¹⁵, 36B¹², 36A¹², 36D²³, 18D¹⁶, 72K²³, 18F¹³, 126H¹⁷, 36M¹³, 90I¹³, 36T¹⁵, 72I²³, 36C²³, 72V¹⁹, 18F¹⁰</t>
        </is>
      </c>
    </row>
    <row r="228">
      <c r="A228">
        <f>HYPERLINK("https://mathstats.uncg.edu/sites/pauli/congruence/csg1.html#group18H1", "18H¹")</f>
        <v/>
      </c>
      <c r="B228" t="n">
        <v>1</v>
      </c>
      <c r="C228" t="inlineStr"/>
      <c r="D228" t="inlineStr">
        <is>
          <t>54</t>
        </is>
      </c>
      <c r="E228" t="inlineStr">
        <is>
          <t>1</t>
        </is>
      </c>
      <c r="F228" t="inlineStr">
        <is>
          <t>27</t>
        </is>
      </c>
      <c r="G228" t="inlineStr">
        <is>
          <t>12</t>
        </is>
      </c>
      <c r="H228" t="inlineStr">
        <is>
          <t>0</t>
        </is>
      </c>
      <c r="I228" t="inlineStr">
        <is>
          <t>18³</t>
        </is>
      </c>
      <c r="J228" t="n">
        <v>3</v>
      </c>
      <c r="K228" t="inlineStr">
        <is>
          <t>3¹, 6⁴</t>
        </is>
      </c>
      <c r="L228" t="inlineStr">
        <is>
          <t>9G⁰, 18A⁰</t>
        </is>
      </c>
      <c r="M228" t="inlineStr">
        <is>
          <t>18S⁴, 18C⁷, 18J⁷, 18K⁷, 18L⁷, 54A⁷, 36T¹⁰, 90F¹⁹, 90J¹⁹, 126A²²</t>
        </is>
      </c>
      <c r="N228" t="inlineStr">
        <is>
          <t>6B⁰, 9A⁰, 3A⁰, 1A⁰, 18A⁰, 9G⁰</t>
        </is>
      </c>
      <c r="O228" t="inlineStr">
        <is>
          <t>18S⁴, 90J¹⁹, 18C¹⁶, 18K⁷, 18H¹⁶, 54A⁷, 18B¹⁹, 36T¹⁰, 18C⁷, 36H¹⁶, 18L⁷, 18G¹⁶, 36S¹⁹, 54V¹⁶, 54K²², 54J²², 18D¹⁹, 126A²², 18A¹³, 18C¹⁹, 90F¹⁹, 36D²², 54H²², 18J⁷, 36O¹³</t>
        </is>
      </c>
    </row>
    <row r="229">
      <c r="A229">
        <f>HYPERLINK("https://mathstats.uncg.edu/sites/pauli/congruence/csg1.html#group18I1", "18I¹")</f>
        <v/>
      </c>
      <c r="B229" t="n">
        <v>1</v>
      </c>
      <c r="C229" t="inlineStr"/>
      <c r="D229" t="inlineStr">
        <is>
          <t>54</t>
        </is>
      </c>
      <c r="E229" t="inlineStr">
        <is>
          <t>1</t>
        </is>
      </c>
      <c r="F229" t="inlineStr">
        <is>
          <t>54</t>
        </is>
      </c>
      <c r="G229" t="inlineStr">
        <is>
          <t>2</t>
        </is>
      </c>
      <c r="H229" t="inlineStr">
        <is>
          <t>0</t>
        </is>
      </c>
      <c r="I229" t="inlineStr">
        <is>
          <t>3³, 6³, 9¹, 18¹</t>
        </is>
      </c>
      <c r="J229" t="n">
        <v>8</v>
      </c>
      <c r="K229" t="inlineStr">
        <is>
          <t>1³, 2³, 3³, 6⁶</t>
        </is>
      </c>
      <c r="L229" t="inlineStr">
        <is>
          <t>6G⁰, 9E⁰</t>
        </is>
      </c>
      <c r="M229" t="inlineStr">
        <is>
          <t>18P², 18K³, 36I³, 18N⁴, 36Q⁴, 36I⁵, 36D⁶, 18I⁷, 18A⁸, 90G¹⁹, 90K¹⁹</t>
        </is>
      </c>
      <c r="N229" t="inlineStr">
        <is>
          <t>6G⁰, 3C⁰, 2B⁰, 9E⁰, 3A⁰, 1A⁰, 6D⁰</t>
        </is>
      </c>
      <c r="O229" t="inlineStr">
        <is>
          <t>36I⁵, 72K¹³, 18M¹⁰, 72Q¹¹, 72AB²¹, 36D¹², 36A¹⁸, 18I⁷, 18A¹⁸, 18B¹⁶, 18A²², 36I¹¹, 36N¹⁹, 36B²³, 90G¹⁹, 72E¹², 72L⁸, 72J²³, 36A²², 36M¹¹, 18N⁴, 36N⁸, 36O⁸, 18A¹⁹, 72P¹¹, 36C¹², 18K³, 36N¹¹, 72H¹², 36I³, 36U¹⁹, 18C¹⁹, 36E²¹, 18N⁷, 36L¹¹, 36N⁷, 72X¹⁷, 72M⁸, 36I¹⁷, 72D¹², 18A¹⁶, 72H¹⁵, 36D⁶, 36K¹⁷, 36C²², 72J¹³, 36P⁹, 18A⁸, 72I¹², 36D²³, 36A¹², 36B¹², 18D¹⁶, 72K²³, 36O¹⁹, 36G¹⁶, 72I²³, 72I¹⁵, 90K¹⁹, 36Q⁴, 18P², 36M¹⁹, 36C²³, 36C²¹</t>
        </is>
      </c>
    </row>
    <row r="230">
      <c r="A230">
        <f>HYPERLINK("https://mathstats.uncg.edu/sites/pauli/congruence/csg1.html#group18J1", "18J¹")</f>
        <v/>
      </c>
      <c r="B230" t="n">
        <v>1</v>
      </c>
      <c r="C230" t="inlineStr"/>
      <c r="D230" t="inlineStr">
        <is>
          <t>72</t>
        </is>
      </c>
      <c r="E230" t="inlineStr">
        <is>
          <t>1</t>
        </is>
      </c>
      <c r="F230" t="inlineStr">
        <is>
          <t>4</t>
        </is>
      </c>
      <c r="G230" t="inlineStr">
        <is>
          <t>0</t>
        </is>
      </c>
      <c r="H230" t="inlineStr">
        <is>
          <t>0</t>
        </is>
      </c>
      <c r="I230" t="inlineStr">
        <is>
          <t>2⁹, 18³</t>
        </is>
      </c>
      <c r="J230" t="n">
        <v>12</v>
      </c>
      <c r="K230" t="inlineStr">
        <is>
          <t>1², 2¹</t>
        </is>
      </c>
      <c r="L230" t="inlineStr">
        <is>
          <t>6I⁰, 18C⁰, 18E⁰, 18C¹</t>
        </is>
      </c>
      <c r="M230" t="inlineStr">
        <is>
          <t>36J³, 36L⁵, 18O⁷, 36H⁷, 54B⁷, 18E¹⁰, 54A¹⁰, 54B¹³</t>
        </is>
      </c>
      <c r="N230" t="inlineStr">
        <is>
          <t>18C⁰, 3B⁰, 2A⁰, 18E⁰, 6I⁰, 18C¹, 6C⁰, 6F⁰, 9B⁰, 2B⁰, 1A⁰, 2C⁰</t>
        </is>
      </c>
      <c r="O230" t="inlineStr">
        <is>
          <t>36L⁵, 18E¹⁰, 72M¹⁷, 36F²¹, 36H⁷, 108E²¹, 72V¹³, 108F¹⁷, 72W¹³, 18O⁷, 36U¹³, 36K²², 72N¹⁷, 54B¹³, 36Q⁹, 36J¹⁷, 108E²², 36T¹³, 54A¹⁰, 72R¹³, 54B⁷, 36J³, 72Q¹³</t>
        </is>
      </c>
    </row>
    <row r="231">
      <c r="A231">
        <f>HYPERLINK("https://mathstats.uncg.edu/sites/pauli/congruence/csg1.html#group18K1", "18K¹")</f>
        <v/>
      </c>
      <c r="B231" t="n">
        <v>1</v>
      </c>
      <c r="C231" t="inlineStr"/>
      <c r="D231" t="inlineStr">
        <is>
          <t>72</t>
        </is>
      </c>
      <c r="E231" t="inlineStr">
        <is>
          <t>1</t>
        </is>
      </c>
      <c r="F231" t="inlineStr">
        <is>
          <t>8</t>
        </is>
      </c>
      <c r="G231" t="inlineStr">
        <is>
          <t>0</t>
        </is>
      </c>
      <c r="H231" t="inlineStr">
        <is>
          <t>9</t>
        </is>
      </c>
      <c r="I231" t="inlineStr">
        <is>
          <t>6³, 18³</t>
        </is>
      </c>
      <c r="J231" t="n">
        <v>6</v>
      </c>
      <c r="K231" t="inlineStr">
        <is>
          <t>2⁴</t>
        </is>
      </c>
      <c r="L231" t="inlineStr">
        <is>
          <t>6J⁰, 18B⁰, 18C⁰, 18D¹</t>
        </is>
      </c>
      <c r="M231" t="inlineStr">
        <is>
          <t>36S⁴, 18P⁷, 18E¹⁰, 54F¹⁰, 54P¹³, 36F¹⁶, 54J¹⁶, 90I²²</t>
        </is>
      </c>
      <c r="N231" t="inlineStr">
        <is>
          <t>18C⁰, 3B⁰, 2A⁰, 6A⁰, 18B⁰, 6C⁰, 6J⁰, 9C⁰, 1A⁰, 18D¹</t>
        </is>
      </c>
      <c r="O231" t="inlineStr">
        <is>
          <t>36S⁴, 54F¹⁰, 36K²², 90I²², 18E¹⁰, 36M²², 36F¹⁶, 18P⁷, 108C²², 54P¹³, 54J¹⁶</t>
        </is>
      </c>
    </row>
    <row r="232">
      <c r="A232">
        <f>HYPERLINK("https://mathstats.uncg.edu/sites/pauli/congruence/csg1.html#group19A1", "19A¹")</f>
        <v/>
      </c>
      <c r="B232" t="n">
        <v>1</v>
      </c>
      <c r="C232" t="inlineStr">
        <is>
          <t>Γ₀(19)</t>
        </is>
      </c>
      <c r="D232" t="inlineStr">
        <is>
          <t>20</t>
        </is>
      </c>
      <c r="E232" t="inlineStr">
        <is>
          <t>1</t>
        </is>
      </c>
      <c r="F232" t="inlineStr">
        <is>
          <t>20</t>
        </is>
      </c>
      <c r="G232" t="inlineStr">
        <is>
          <t>0</t>
        </is>
      </c>
      <c r="H232" t="inlineStr">
        <is>
          <t>2</t>
        </is>
      </c>
      <c r="I232" t="inlineStr">
        <is>
          <t>1¹, 19¹</t>
        </is>
      </c>
      <c r="J232" t="n">
        <v>2</v>
      </c>
      <c r="K232" t="inlineStr">
        <is>
          <t>1², 18¹</t>
        </is>
      </c>
      <c r="L232" t="inlineStr">
        <is>
          <t>1A⁰</t>
        </is>
      </c>
      <c r="M232" t="inlineStr">
        <is>
          <t>19B¹, 38A², 38A⁴, 57A⁵, 57B⁵, 57C⁵, 76A⁶, 95A⁷, 95A⁹, 133A¹¹, 133B¹¹, 95A¹⁵, 209A¹⁷, 209A¹⁹, 247A²¹, 19A²², 361A²²</t>
        </is>
      </c>
      <c r="N232" t="inlineStr">
        <is>
          <t>1A⁰</t>
        </is>
      </c>
      <c r="O232" t="inlineStr">
        <is>
          <t>76A²¹, 57B¹⁷, 38A², 228B²³, 285C²³, 38B²², 114A²², 266B²², 38A⁴, 19A⁷, 38B⁴, 114A¹⁷, 57B¹³, 209A¹⁹, 190A¹⁴, 190A²⁴, 285A²³, 228B²⁰, 228E²⁰, 95A¹⁵, 361A²², 266A²², 57A¹³, 114B²², 38C²², 152B¹⁸, 228D²⁰, 76A¹⁸, 76A⁴, 19B¹, 76C¹⁶, 95C²³, 133B²¹, 190B¹⁹, 114A¹⁹, 38A⁸, 57B⁵, 114A¹⁴, 133A¹¹, 57B¹⁰, 95B²³, 152A²³, 114B¹¹, 76B¹⁶, 171A¹⁵, 114B¹⁴, 152A¹², 76A⁹, 133A²¹, 114A²¹, 95A⁷, 114B¹⁹, 76C¹⁸, 114A¹¹, 38A¹⁰, 76A¹⁷, 171B¹⁹, 266A²³, 228C²⁰, 19A²², 114A⁸, 228A²⁰, 171D¹⁷, 114A¹⁰, 266B²³, 57A¹⁷, 171A¹⁹, 190A¹⁹, 57A⁵, 171A¹⁷, 76A¹⁰, 171B¹⁷, 38A¹⁶, 38B⁸, 304A²⁴, 57B⁹, 114B¹⁰, 57A⁹, 114B⁸, 152A¹⁹, 76A¹¹, 247A²¹, 76A⁸, 152B¹⁹, 76A⁶, 209A¹⁷, 76A²², 95A¹⁹, 152B²³, 285B²³, 133B¹¹, 114C¹⁰, 95A⁹, 228B¹⁶, 152A¹⁶, 95A²³, 228A²³, 228A¹⁶, 95A¹⁷, 152A¹⁷, 171C¹⁷, 76B¹⁸, 152A¹⁸, 76A¹⁶, 57C⁵</t>
        </is>
      </c>
    </row>
    <row r="233">
      <c r="A233">
        <f>HYPERLINK("https://mathstats.uncg.edu/sites/pauli/congruence/csg1.html#group19B1", "19B¹")</f>
        <v/>
      </c>
      <c r="B233" t="n">
        <v>1</v>
      </c>
      <c r="C233" t="inlineStr"/>
      <c r="D233" t="inlineStr">
        <is>
          <t>60</t>
        </is>
      </c>
      <c r="E233" t="inlineStr">
        <is>
          <t>1</t>
        </is>
      </c>
      <c r="F233" t="inlineStr">
        <is>
          <t>20</t>
        </is>
      </c>
      <c r="G233" t="inlineStr">
        <is>
          <t>0</t>
        </is>
      </c>
      <c r="H233" t="inlineStr">
        <is>
          <t>6</t>
        </is>
      </c>
      <c r="I233" t="inlineStr">
        <is>
          <t>1³, 19³</t>
        </is>
      </c>
      <c r="J233" t="n">
        <v>6</v>
      </c>
      <c r="K233" t="inlineStr">
        <is>
          <t>1², 18¹</t>
        </is>
      </c>
      <c r="L233" t="inlineStr">
        <is>
          <t>19A¹</t>
        </is>
      </c>
      <c r="M233" t="inlineStr">
        <is>
          <t>38B⁴, 19A⁷, 38A¹⁰, 57B¹⁰, 57A¹³, 57B¹³, 76B¹⁶, 95A¹⁹</t>
        </is>
      </c>
      <c r="N233" t="inlineStr">
        <is>
          <t>19A¹, 1A⁰</t>
        </is>
      </c>
      <c r="O233" t="inlineStr">
        <is>
          <t>57A¹³, 114B²², 38B²², 114A²², 38C²², 19A⁷, 38B⁴, 76A¹⁰, 57B¹⁰, 38A¹⁶, 57B¹³, 95A¹⁹, 38A¹⁰, 76A²², 76B¹⁶</t>
        </is>
      </c>
    </row>
    <row r="234">
      <c r="A234">
        <f>HYPERLINK("https://mathstats.uncg.edu/sites/pauli/congruence/csg1.html#group20A1", "20A¹")</f>
        <v/>
      </c>
      <c r="B234" t="n">
        <v>1</v>
      </c>
      <c r="C234" t="inlineStr"/>
      <c r="D234" t="inlineStr">
        <is>
          <t>20</t>
        </is>
      </c>
      <c r="E234" t="inlineStr">
        <is>
          <t>1</t>
        </is>
      </c>
      <c r="F234" t="inlineStr">
        <is>
          <t>20</t>
        </is>
      </c>
      <c r="G234" t="inlineStr">
        <is>
          <t>2</t>
        </is>
      </c>
      <c r="H234" t="inlineStr">
        <is>
          <t>2</t>
        </is>
      </c>
      <c r="I234" t="inlineStr">
        <is>
          <t>20¹</t>
        </is>
      </c>
      <c r="J234" t="n">
        <v>1</v>
      </c>
      <c r="K234" t="inlineStr">
        <is>
          <t>2², 8²</t>
        </is>
      </c>
      <c r="L234" t="inlineStr">
        <is>
          <t>4A⁰, 5A⁰</t>
        </is>
      </c>
      <c r="M234" t="inlineStr">
        <is>
          <t>20D², 40A², 20D³, 60A³, 20C⁴, 60A⁴, 20B⁵, 40D⁵, 60A⁶, 140A¹⁰, 140A¹², 220A¹⁶, 220B²⁰, 260A²¹</t>
        </is>
      </c>
      <c r="N234" t="inlineStr">
        <is>
          <t>5A⁰, 1A⁰, 4A⁰</t>
        </is>
      </c>
      <c r="O234" t="inlineStr">
        <is>
          <t>120A⁹, 20B⁶, 80G¹⁷, 140C²³, 20B¹⁵, 40C²¹, 80E²³, 140A¹², 60D¹⁸, 40E⁸, 80F¹⁷, 240A¹⁹, 60G¹³, 40E⁹, 280D²¹, 80A²², 120A²⁰, 80L¹⁷, 60D⁸, 20C⁴, 20B²⁰, 40B¹⁰, 140A²¹, 120C¹⁷, 120A¹², 40D¹⁸, 40A¹⁶, 240A¹⁵, 60G¹⁸, 40A¹⁷, 140B²⁰, 120F¹⁸, 120B¹⁸, 40E¹⁶, 60B¹³, 280A²¹, 20F¹⁵, 40G⁸, 180A¹⁸, 100M¹⁹, 120C¹⁸, 280C²¹, 40R¹⁷, 180C¹⁹, 180C²⁰, 60A¹⁰, 20D², 40S¹⁷, 120D¹⁹, 120K²³, 60C²², 20B¹⁰, 60C⁹, 20D³, 40F²², 140A¹⁰, 40C¹⁶, 120L²³, 180A¹³, 40B⁹, 40M²², 140A²², 40O¹⁷, 80E⁸, 40B²³, 120E¹⁸, 60J²³, 120A¹⁶, 40A²¹, 280B²¹, 60B¹⁰, 180C¹⁸, 60C¹⁹, 120B⁷, 40H⁸, 60A⁴, 180E²⁰, 120E¹⁶, 120D¹⁶, 40A¹⁴, 80D²³, 20B⁵, 80K¹⁷, 40K¹⁵, 80K¹⁹, 60A⁶, 220B²⁰, 60A³, 60F¹⁹, 80D¹⁸, 20B¹³, 60T²¹, 20A⁹, 40C¹⁸, 80F¹⁸, 40A², 220A¹⁶, 60G¹⁹, 20A⁶, 20A¹⁷, 260A²¹, 120A⁷, 40G²³, 60C²³, 60C¹⁶, 40C¹¹, 120B⁹, 60B⁸, 20G¹⁵, 40D⁵, 240A²⁴, 80C¹⁹, 20A²², 60A²⁴, 80G¹⁹, 120C¹⁹, 280A²⁴, 80C¹⁸, 60D⁹, 40A¹⁸, 40B⁸, 40D⁴, 80A⁴, 20C²¹, 40D¹⁶, 40D¹¹, 60B²², 60F¹⁸, 20F⁷, 40B²², 40B¹⁸, 60I¹⁸, 40B²¹, 40A²⁴, 120B²⁰, 60E¹⁷, 240B¹⁹, 80B¹⁷, 20B⁸, 180B¹⁹, 240B¹⁵, 80B¹⁸, 60F⁸, 20A⁸, 40N¹⁷, 60J¹¹</t>
        </is>
      </c>
    </row>
    <row r="235">
      <c r="A235">
        <f>HYPERLINK("https://mathstats.uncg.edu/sites/pauli/congruence/csg1.html#group20B1", "20B¹")</f>
        <v/>
      </c>
      <c r="B235" t="n">
        <v>1</v>
      </c>
      <c r="C235" t="inlineStr"/>
      <c r="D235" t="inlineStr">
        <is>
          <t>24</t>
        </is>
      </c>
      <c r="E235" t="inlineStr">
        <is>
          <t>1</t>
        </is>
      </c>
      <c r="F235" t="inlineStr">
        <is>
          <t>24</t>
        </is>
      </c>
      <c r="G235" t="inlineStr">
        <is>
          <t>4</t>
        </is>
      </c>
      <c r="H235" t="inlineStr">
        <is>
          <t>0</t>
        </is>
      </c>
      <c r="I235" t="inlineStr">
        <is>
          <t>4¹, 20¹</t>
        </is>
      </c>
      <c r="J235" t="n">
        <v>2</v>
      </c>
      <c r="K235" t="inlineStr">
        <is>
          <t>2⁴, 8²</t>
        </is>
      </c>
      <c r="L235" t="inlineStr">
        <is>
          <t>4A⁰, 5B⁰</t>
        </is>
      </c>
      <c r="M235" t="inlineStr">
        <is>
          <t>20G¹, 20B³, 20C³, 20L³, 40A³, 40B³, 60B³, 40I⁵, 20F⁷, 60F⁷, 100A⁷, 100C⁹, 100B⁹, 100D⁹, 100A⁹, 140E¹¹, 140C¹⁵, 220C¹⁹, 220C²³</t>
        </is>
      </c>
      <c r="N235" t="inlineStr">
        <is>
          <t>5B⁰, 1A⁰, 4A⁰</t>
        </is>
      </c>
      <c r="O235" t="inlineStr">
        <is>
          <t>100G¹⁹, 80M²¹, 40G⁵, 120J¹⁷, 60N²¹, 60K¹³, 200E¹⁹, 240C²¹, 40X¹⁷, 20E¹¹, 20B¹⁵, 60AE¹⁵, 60M¹³, 120C²³, 120B²³, 100B²¹, 100C¹⁷, 80A¹⁵, 40J⁵, 120S¹⁹, 120I²³, 60V¹⁷, 200A¹⁷, 120G¹⁹, 40S¹³, 100K¹⁹, 120I²¹, 100D¹⁷, 100A⁹, 60D¹¹, 80AE¹⁷, 60C⁵, 40Z¹⁷, 120Q¹⁹, 60L¹³, 120D⁹, 100I¹³, 20B³, 80BB¹⁷, 120E²³, 40B¹⁹, 40L²¹, 40U¹⁵, 120L¹⁷, 100C¹⁵, 40I¹¹, 100J¹⁹, 20G¹, 120J¹⁹, 120J²¹, 20D⁵, 20Q³, 40AN¹⁷, 40F¹⁹, 20F¹⁵, 40G¹¹, 40AK¹⁷, 40AB¹⁷, 40AP¹⁷, 80BF¹⁷, 140D²¹, 60R⁷, 140H²³, 240A²¹, 40R¹⁷, 40A¹⁹, 120K¹⁷, 120O¹⁹, 40P⁹, 40K²¹, 20E⁹, 60W¹⁷, 120P¹⁷, 100L¹⁹, 240B²¹, 120N¹⁹, 40S¹⁷, 80V¹⁹, 200G¹⁹, 200H¹⁹, 80B¹³, 40Z⁷, 120L²¹, 40T¹³, 40AG¹⁵, 120G²¹, 120Q¹⁷, 40E¹⁹, 40I⁵, 120I¹⁹, 120D²³, 40AE¹⁵, 40C⁷, 40O⁹, 80U¹⁹, 120J²³, 40G¹⁹, 20C³, 80AD¹⁷, 60AK¹³, 80Z¹⁹, 60F¹¹, 120D¹⁵, 60P¹³, 80AY¹⁷, 100B¹⁵, 100A⁷, 40V⁹, 40H⁵, 80AQ¹⁷, 60F⁷, 40B⁷, 100B⁹, 40R⁷, 40C¹³, 180G²¹, 60O²¹, 40B¹³, 60E¹¹, 40M¹³, 40A³, 20J⁵, 60J⁹, 80B⁷, 40AL¹⁷, 40V¹⁵, 60Y¹⁷, 60L²¹, 80AF²¹, 100A¹⁷, 60I⁹, 140E¹¹, 20B¹³, 120C¹⁵, 120F²³, 120H²¹, 60B³, 60M²¹, 40AF¹⁵, 40E¹³, 40H¹¹, 120M¹⁷, 60K²¹, 120A²³, 80AG²¹, 80B¹⁵, 40A⁷, 200B¹⁹, 80A⁷, 200C¹⁹, 200B¹⁷, 40Q⁹, 100D⁹, 60E²¹, 120I¹⁷, 80T²¹, 80D¹⁵, 20L³, 220C¹⁹, 40R⁹, 80BA¹⁷, 40AI¹⁷, 200A¹⁹, 40AO¹⁷, 80C¹⁵, 20C²¹, 40D¹⁹, 80S¹⁹, 80O²¹, 20E¹³, 80AL¹⁷, 80AZ¹⁷, 200F¹⁹, 20F⁷, 40AJ¹⁷, 40AM¹⁷, 40S⁷, 60H²¹, 100I¹⁹, 20K⁷, 60AG¹⁵, 200D¹⁹, 100H¹⁹, 40AC¹⁵, 60F²¹, 120N²¹, 120R¹⁹, 120K²¹, 140G²³, 20M⁷, 40J²¹, 100B¹⁷, 240D²¹, 120H¹⁹, 40AA¹⁷, 80A¹³, 120E⁹, 40U¹⁷, 80Q¹⁹, 80Y¹⁹, 100E¹⁹, 100F¹⁹, 140C¹⁵, 120C⁹, 40M²¹, 100C⁹, 40H¹⁹, 180B¹³, 180J²³, 120M²¹, 220C²³, 120F⁹, 40B³, 60U¹⁷, 60N¹⁹, 60Q⁷, 40Y⁷, 180I²³, 40F¹¹, 120P¹⁹, 80S²¹, 80AK¹⁷, 40D¹³, 80AR¹⁷</t>
        </is>
      </c>
    </row>
    <row r="236">
      <c r="A236">
        <f>HYPERLINK("https://mathstats.uncg.edu/sites/pauli/congruence/csg1.html#group20C1", "20C¹")</f>
        <v/>
      </c>
      <c r="B236" t="n">
        <v>1</v>
      </c>
      <c r="C236" t="inlineStr"/>
      <c r="D236" t="inlineStr">
        <is>
          <t>24</t>
        </is>
      </c>
      <c r="E236" t="inlineStr">
        <is>
          <t>2</t>
        </is>
      </c>
      <c r="F236" t="inlineStr">
        <is>
          <t>6</t>
        </is>
      </c>
      <c r="G236" t="inlineStr">
        <is>
          <t>4</t>
        </is>
      </c>
      <c r="H236" t="inlineStr">
        <is>
          <t>0</t>
        </is>
      </c>
      <c r="I236" t="inlineStr">
        <is>
          <t>4¹, 20¹</t>
        </is>
      </c>
      <c r="J236" t="n">
        <v>2</v>
      </c>
      <c r="K236" t="inlineStr">
        <is>
          <t>2², 8¹</t>
        </is>
      </c>
      <c r="L236" t="inlineStr">
        <is>
          <t>10B⁰</t>
        </is>
      </c>
      <c r="M236" t="inlineStr">
        <is>
          <t>20A³, 20M³, 20Q³, 60C³, 20E⁷, 60G⁷, 100B⁷, 100G⁹, 100F⁹, 100H⁹, 100E⁹, 140C¹¹, 140D¹¹, 140D¹⁵, 220A¹⁹, 220B¹⁹, 220D²³</t>
        </is>
      </c>
      <c r="N236" t="inlineStr">
        <is>
          <t>5B⁰, 1A⁰, 10B⁰</t>
        </is>
      </c>
      <c r="O236" t="inlineStr">
        <is>
          <t>60O¹⁹, 40G¹¹, 60L⁹, 100B¹⁹, 60A¹¹, 140E²³, 40AS¹⁷, 60B¹¹, 20E¹¹, 180K²³, 60AE¹⁵, 20A³, 20F¹³, 20E⁹, 20E⁷, 60C³, 20K⁵, 20N⁷, 20A¹⁵, 220B¹⁹, 60Q²¹, 140F²³, 180H²¹, 100A¹⁵, 100D¹⁹, 60AB¹³, 40AQ¹⁷, 20M³, 100B⁷, 100H⁹, 140D¹⁵, 180C¹³, 20A²¹, 100C¹⁹, 60D²¹, 60G⁷, 140C¹¹, 40L²¹, 60S⁷, 100F⁹, 220D²³, 100E⁹, 40W¹³, 180L²³, 220A¹⁹, 100A¹⁹, 100G⁹, 20J⁷, 100C²¹, 60I¹³, 140D¹¹, 60X¹⁷, 40F¹¹, 40AH¹⁵, 20Q³</t>
        </is>
      </c>
    </row>
    <row r="237">
      <c r="A237">
        <f>HYPERLINK("https://mathstats.uncg.edu/sites/pauli/congruence/csg1.html#group20D1", "20D¹")</f>
        <v/>
      </c>
      <c r="B237" t="n">
        <v>1</v>
      </c>
      <c r="C237" t="inlineStr">
        <is>
          <t>Γ₀(20)</t>
        </is>
      </c>
      <c r="D237" t="inlineStr">
        <is>
          <t>36</t>
        </is>
      </c>
      <c r="E237" t="inlineStr">
        <is>
          <t>1</t>
        </is>
      </c>
      <c r="F237" t="inlineStr">
        <is>
          <t>18</t>
        </is>
      </c>
      <c r="G237" t="inlineStr">
        <is>
          <t>0</t>
        </is>
      </c>
      <c r="H237" t="inlineStr">
        <is>
          <t>0</t>
        </is>
      </c>
      <c r="I237" t="inlineStr">
        <is>
          <t>1², 4¹, 5², 20¹</t>
        </is>
      </c>
      <c r="J237" t="n">
        <v>6</v>
      </c>
      <c r="K237" t="inlineStr">
        <is>
          <t>1⁶, 4³</t>
        </is>
      </c>
      <c r="L237" t="inlineStr">
        <is>
          <t>4B⁰, 10C⁰</t>
        </is>
      </c>
      <c r="M237" t="inlineStr">
        <is>
          <t>20H¹, 20H³, 20J³, 40E³, 40F³, 20P⁷, 60H⁷, 60P⁷, 100C⁷, 100A¹³, 100D¹³, 100B¹³, 100C¹³, 140B¹⁹, 140I¹⁹</t>
        </is>
      </c>
      <c r="N237" t="inlineStr">
        <is>
          <t>5B⁰, 10C⁰, 2B⁰, 4B⁰, 1A⁰</t>
        </is>
      </c>
      <c r="O237" t="inlineStr">
        <is>
          <t>80G¹³, 60T¹⁷, 40R¹³, 80F⁷, 60H⁷, 160R²¹, 20I⁵, 40X¹⁷, 60AC¹⁵, 80X¹⁷, 100A¹³, 20N⁷, 160J¹⁹, 80C²¹, 80AC²¹, 80Q¹⁵, 20P⁷, 80M¹⁹, 80Q²¹, 20J³, 60AJ¹³, 80G²¹, 40W⁷, 80H⁷, 160L¹⁹, 40W¹⁵, 160B²¹, 40U¹⁵, 80E⁹, 40M⁷, 40O¹³, 120L¹⁵, 40K⁷, 60M¹⁵, 80E¹³, 120N¹⁷, 160C¹⁵, 40P¹³, 40I⁹, 40A¹⁹, 100D¹³, 40L¹³, 40T¹⁷, 160E²¹, 160S²¹, 40F³, 40C¹⁹, 80O⁹, 80AG¹⁷, 80O¹⁵, 160F²¹, 80K⁷, 40Q¹³, 140I¹⁹, 40W¹⁷, 40AH¹⁷, 80P²¹, 40U⁷, 160E¹⁷, 40AB¹⁵, 160M¹⁷, 40J⁹, 40J³, 40L⁹, 100C⁷, 40M¹⁹, 40J¹³, 40AD¹⁷, 80BE¹⁷, 20G¹³, 40L¹⁹, 80T¹⁹, 160C²¹, 160F¹⁷, 20F⁹, 160D²¹, 120I¹⁵, 100O¹⁹, 20L⁷, 40K¹³, 40V¹⁵, 20H¹, 20H³, 100C¹³, 20F¹³, 80AD²¹, 40Z¹⁵, 40M⁵, 80I²¹, 80BD¹⁷, 60K¹⁵, 40E³, 200J¹⁹, 40AR¹⁷, 160A²¹, 160A¹⁵, 100J¹³, 40AD¹⁵, 40W⁹, 40AA¹⁵, 60N¹³, 120F¹⁵, 20S³, 80Y¹⁷, 80P¹⁵, 80N¹⁹, 160B¹⁵, 120K¹⁵, 140B¹⁹, 100Q¹⁹, 80Z¹⁷, 80U¹⁷, 40L⁷, 40Y¹⁵, 80S¹⁵, 20E¹³, 80T¹⁵, 40AS¹⁷, 40X⁷, 120J¹⁵, 200I¹⁹, 40Y¹⁷, 40AE¹⁷, 160K¹⁹, 160Q²¹, 120F¹⁹, 60R¹³, 60B¹⁵, 80AJ¹⁷, 60AD¹⁵, 20D¹⁹, 120O¹⁷, 20K⁷, 80V¹⁷, 40X¹⁵, 80W¹⁷, 60R¹⁷, 80E⁷, 60T¹³, 120E¹⁵, 80R²¹, 40O⁷, 80AI¹⁷, 80F⁹, 40V¹⁷, 40U¹⁷, 80G⁷, 40V⁷, 80AH¹⁷, 100B¹³, 20B¹⁹, 80F¹³, 80L¹⁹, 80D¹³, 60D¹⁵, 120E¹⁹, 80D²¹, 60P⁷, 80R¹⁵, 80V¹⁵, 40B¹⁹, 80N¹⁵</t>
        </is>
      </c>
    </row>
    <row r="238">
      <c r="A238">
        <f>HYPERLINK("https://mathstats.uncg.edu/sites/pauli/congruence/csg1.html#group20E1", "20E¹")</f>
        <v/>
      </c>
      <c r="B238" t="n">
        <v>1</v>
      </c>
      <c r="C238" t="inlineStr"/>
      <c r="D238" t="inlineStr">
        <is>
          <t>36</t>
        </is>
      </c>
      <c r="E238" t="inlineStr">
        <is>
          <t>1</t>
        </is>
      </c>
      <c r="F238" t="inlineStr">
        <is>
          <t>18</t>
        </is>
      </c>
      <c r="G238" t="inlineStr">
        <is>
          <t>4</t>
        </is>
      </c>
      <c r="H238" t="inlineStr">
        <is>
          <t>0</t>
        </is>
      </c>
      <c r="I238" t="inlineStr">
        <is>
          <t>2¹, 4¹, 10¹, 20¹</t>
        </is>
      </c>
      <c r="J238" t="n">
        <v>4</v>
      </c>
      <c r="K238" t="inlineStr">
        <is>
          <t>1⁶, 4³</t>
        </is>
      </c>
      <c r="L238" t="inlineStr">
        <is>
          <t>4C⁰, 10C⁰</t>
        </is>
      </c>
      <c r="M238" t="inlineStr">
        <is>
          <t>20I¹, 20G³, 20J³, 20K³, 20L³, 40C³, 40D³, 40G³, 40H³, 40B⁵, 40C⁵, 60A⁵, 20B⁹, 60H⁹, 100I⁹, 100E¹³, 100H¹³, 100F¹³, 100G¹³, 140D¹⁷, 140C²¹</t>
        </is>
      </c>
      <c r="N238" t="inlineStr">
        <is>
          <t>5B⁰, 10C⁰, 2B⁰, 1A⁰, 4C⁰</t>
        </is>
      </c>
      <c r="O238" t="inlineStr">
        <is>
          <t>80I⁹, 80AC¹⁹, 40R¹³, 80M²¹, 40X¹⁷, 120O²¹, 100B²¹, 120G¹⁵, 80L⁹, 60A⁵, 80C²¹, 80I¹³, 80Q²¹, 20J³, 40S¹³, 20B²¹, 80AE¹⁷, 40K¹¹, 120C²¹, 160N¹⁹, 40U¹⁵, 120I¹³, 40M⁷, 80P¹⁹, 60AA¹³, 60H⁹, 80AV¹⁷, 40F¹⁹, 40AP¹⁷, 40N⁹, 80AE¹⁹, 80Z²¹, 40I⁹, 80N⁹, 40A¹⁹, 40P⁹, 40V¹³, 40N⁷, 40T¹⁷, 160G²¹, 40C¹⁹, 160H²¹, 80V¹⁹, 100E¹⁷, 80O¹⁵, 40Q¹³, 160L²¹, 40T¹³, 80BC¹⁷, 40W¹⁷, 100N¹⁹, 40E¹⁹, 120A¹¹, 120G¹³, 80B²¹, 80P²¹, 60R²³, 160O²¹, 40O⁹, 80U¹⁹, 40F⁹, 40G¹⁹, 80AD¹⁷, 40AB¹⁵, 40J⁹, 80K²¹, 40H²¹, 60P¹³, 40J¹³, 40AD¹⁷, 40AI¹⁵, 80AQ¹⁷, 160H¹⁷, 40G⁹, 160I¹⁷, 20L⁷, 40Q⁷, 80F²¹, 80D¹¹, 80AM¹⁷, 80AA²¹, 40V¹⁵, 120B¹¹, 80AB²¹, 100F¹³, 160C²³, 20T³, 80AD²¹, 160J²¹, 80AB¹⁷, 80A²¹, 120F¹³, 120A¹⁷, 60Q¹¹, 40L⁵, 80O¹⁹, 60X²¹, 40U¹³, 80AG²¹, 80AT¹⁷, 80T²¹, 100Q¹⁹, 160M¹⁹, 80Z¹⁷, 40R⁹, 40AH¹⁵, 40D²³, 80G⁹, 40AI¹⁷, 80BA¹⁷, 20C²¹, 80AD¹⁹, 80S¹⁹, 80O²¹, 20E¹³, 40X⁷, 80C⁷, 40Y¹⁷, 80AZ¹⁷, 20K³, 40AJ¹⁷, 40AM¹⁷, 80W²¹, 200A²³, 20K⁷, 100A²¹, 40AQ¹⁷, 20M⁷, 80R²¹, 120K¹⁹, 80Q¹⁹, 40U¹⁷, 40B⁵, 80Y¹⁹, 80V²¹, 60Z¹³, 60Y¹³, 20I¹, 160K¹⁷, 60N¹⁹, 40C²³, 80S²¹, 40B¹⁹, 160B²³, 80N¹⁵, 80AR¹⁷, 80AA¹⁷, 60T¹⁷, 20A¹⁹, 80AP¹⁷, 120A²¹, 80AX¹⁷, 20I⁵, 40C⁵, 20E¹¹, 160I²¹, 120B¹⁷, 40P⁷, 60A¹⁵, 140D¹⁷, 80W¹⁹, 20K⁵, 160N²¹, 80AC²¹, 120H¹³, 80A¹¹, 140C²¹, 80M¹⁹, 100G¹³, 80G²¹, 80P⁹, 160G¹⁷, 40W⁷, 160K²¹, 20G³, 40Z¹⁷, 80AE²¹, 40W¹⁵, 240A²³, 80BB¹⁷, 40M⁹, 40AC¹⁷, 120E¹³, 80AW¹⁷, 80U²¹, 40W¹³, 80D⁷, 80H⁹, 80E²¹, 80Y²¹, 160U²¹, 160D²³, 40AN¹⁷, 40AB¹⁷, 40AK¹⁷, 80BF¹⁷, 80J²¹, 40T⁷, 200A²¹, 80X¹⁹, 40I²¹, 80AO¹⁷, 100H¹³, 160L¹⁷, 80H¹³, 80I⁷, 60S¹¹, 100I⁹, 60O¹³, 80AB¹⁹, 40Z⁷, 240B²³, 40AG¹⁵, 120L¹⁹, 80N²¹, 40AT¹⁷, 40AH¹⁷, 40AE¹⁵, 40O⁵, 80Z¹⁹, 40AB⁷, 80AY¹⁷, 100E¹³, 40R⁷, 80U¹⁵, 20F⁹, 40M¹³, 80AN¹⁷, 20B¹⁷, 20J⁵, 80AA¹⁹, 40K¹³, 40AL¹⁷, 80AF²¹, 120H¹⁵, 20F¹³, 40C³, 120B²¹, 160M²¹, 80B¹¹, 80I²¹, 80BD¹⁷, 60M⁹, 80AU¹⁷, 40AR¹⁷, 40AF¹⁵, 160P²¹, 80L²¹, 80X²¹, 40H³, 40AD¹⁵, 40H⁹, 80K⁹, 20B⁹, 200B²¹, 80R¹⁹, 80P¹⁵, 80N¹⁹, 80M⁹, 40Q⁹, 60Q¹⁷, 80AF¹⁷, 180I²¹, 40N⁵, 20L³, 40AO¹⁷, 40Y¹⁵, 40L⁷, 80C¹¹, 40D¹⁹, 60M¹⁹, 80J⁷, 80AL¹⁷, 40AE¹⁷, 60N²³, 40S⁷, 160T²¹, 20D¹⁹, 200B²³, 40X¹⁵, 40AC¹⁵, 80W¹⁷, 120D²¹, 80AS¹⁷, 40N¹³, 80C¹³, 60X¹³, 40AA¹⁷, 80J⁹, 40AF¹⁷, 40V¹⁷, 120J¹³, 40H¹⁹, 160A²³, 80H²¹, 40AA⁷, 80L¹⁹, 80AC¹⁷, 60D¹⁵, 160J¹⁷, 80D²¹, 40Y⁷, 40AG¹⁷, 60P¹⁷, 40D³, 80AK¹⁷, 40G³</t>
        </is>
      </c>
    </row>
    <row r="239">
      <c r="A239">
        <f>HYPERLINK("https://mathstats.uncg.edu/sites/pauli/congruence/csg1.html#group20F1", "20F¹")</f>
        <v/>
      </c>
      <c r="B239" t="n">
        <v>1</v>
      </c>
      <c r="C239" t="inlineStr"/>
      <c r="D239" t="inlineStr">
        <is>
          <t>40</t>
        </is>
      </c>
      <c r="E239" t="inlineStr">
        <is>
          <t>2</t>
        </is>
      </c>
      <c r="F239" t="inlineStr">
        <is>
          <t>10</t>
        </is>
      </c>
      <c r="G239" t="inlineStr">
        <is>
          <t>4</t>
        </is>
      </c>
      <c r="H239" t="inlineStr">
        <is>
          <t>4</t>
        </is>
      </c>
      <c r="I239" t="inlineStr">
        <is>
          <t>20²</t>
        </is>
      </c>
      <c r="J239" t="n">
        <v>2</v>
      </c>
      <c r="K239" t="inlineStr">
        <is>
          <t>4¹, 8²</t>
        </is>
      </c>
      <c r="L239" t="inlineStr">
        <is>
          <t>10D⁰</t>
        </is>
      </c>
      <c r="M239" t="inlineStr">
        <is>
          <t>20N³, 20H⁵, 20E⁷, 20I⁷, 20O⁷, 60K⁷, 100J⁹, 60K¹¹, 140F¹⁹, 140G¹⁹, 140D²³</t>
        </is>
      </c>
      <c r="N239" t="inlineStr">
        <is>
          <t>5C⁰, 1A⁰, 10D⁰</t>
        </is>
      </c>
      <c r="O239" t="inlineStr">
        <is>
          <t>20A¹⁷, 60A¹⁷, 20H⁵, 20H¹⁵, 60Q¹⁵, 60R²¹, 20N³, 60B¹⁹, 20I⁷, 140D²³, 20A²¹, 60K¹⁷, 60Z¹⁵, 140G¹⁹, 140F¹⁹, 20E⁷, 40K¹⁹, 40J¹⁹, 100J⁹, 60K¹¹, 20A¹⁵, 20D¹³, 60P¹⁵, 20A¹¹, 60K⁷, 100R¹⁹, 20O⁷, 20C¹⁵</t>
        </is>
      </c>
    </row>
    <row r="240">
      <c r="A240">
        <f>HYPERLINK("https://mathstats.uncg.edu/sites/pauli/congruence/csg1.html#group20G1", "20G¹")</f>
        <v/>
      </c>
      <c r="B240" t="n">
        <v>1</v>
      </c>
      <c r="C240" t="inlineStr"/>
      <c r="D240" t="inlineStr">
        <is>
          <t>48</t>
        </is>
      </c>
      <c r="E240" t="inlineStr">
        <is>
          <t>1</t>
        </is>
      </c>
      <c r="F240" t="inlineStr">
        <is>
          <t>24</t>
        </is>
      </c>
      <c r="G240" t="inlineStr">
        <is>
          <t>8</t>
        </is>
      </c>
      <c r="H240" t="inlineStr">
        <is>
          <t>0</t>
        </is>
      </c>
      <c r="I240" t="inlineStr">
        <is>
          <t>4², 20²</t>
        </is>
      </c>
      <c r="J240" t="n">
        <v>4</v>
      </c>
      <c r="K240" t="inlineStr">
        <is>
          <t>2⁴, 8²</t>
        </is>
      </c>
      <c r="L240" t="inlineStr">
        <is>
          <t>10B⁰, 20B¹</t>
        </is>
      </c>
      <c r="M240" t="inlineStr">
        <is>
          <t>20Q³, 20D⁵, 20J⁵, 40G⁵, 40H⁵, 40J⁵, 60C⁵, 40V⁹, 20B¹³, 60L¹³, 100I¹³, 100C¹⁷, 100B¹⁷, 100D¹⁷, 100A¹⁷, 140D²¹</t>
        </is>
      </c>
      <c r="N240" t="inlineStr">
        <is>
          <t>5B⁰, 1A⁰, 4A⁰, 20B¹, 10B⁰</t>
        </is>
      </c>
      <c r="O240" t="inlineStr">
        <is>
          <t>40M¹³, 40G¹¹, 40G⁵, 20J⁵, 120J¹⁷, 20D⁵, 140D²¹, 20E¹³, 20E¹¹, 100A¹⁷, 60AE¹⁵, 120K¹⁷, 60H²¹, 40K²¹, 20E⁹, 20B¹³, 60W¹⁷, 100C¹⁷, 120P¹⁷, 60AG¹⁵, 40J⁵, 60F²¹, 80B¹³, 40S¹³, 40T¹³, 40AG¹⁵, 120Q¹⁷, 100D¹⁷, 100B¹⁷, 40J²¹, 60C⁵, 40Z¹⁷, 80A¹³, 60AK¹³, 60L¹³, 100I¹³, 40L²¹, 40M²¹, 40V⁹, 40H⁵, 120L¹⁷, 40AN¹⁷, 120I¹⁷, 40C¹³, 40F¹¹, 20Q³, 40B¹³, 40AI¹⁷</t>
        </is>
      </c>
    </row>
    <row r="241">
      <c r="A241">
        <f>HYPERLINK("https://mathstats.uncg.edu/sites/pauli/congruence/csg1.html#group20H1", "20H¹")</f>
        <v/>
      </c>
      <c r="B241" t="n">
        <v>1</v>
      </c>
      <c r="C241" t="inlineStr"/>
      <c r="D241" t="inlineStr">
        <is>
          <t>72</t>
        </is>
      </c>
      <c r="E241" t="inlineStr">
        <is>
          <t>1</t>
        </is>
      </c>
      <c r="F241" t="inlineStr">
        <is>
          <t>18</t>
        </is>
      </c>
      <c r="G241" t="inlineStr">
        <is>
          <t>0</t>
        </is>
      </c>
      <c r="H241" t="inlineStr">
        <is>
          <t>0</t>
        </is>
      </c>
      <c r="I241" t="inlineStr">
        <is>
          <t>1⁴, 4², 5⁴, 20²</t>
        </is>
      </c>
      <c r="J241" t="n">
        <v>12</v>
      </c>
      <c r="K241" t="inlineStr">
        <is>
          <t>1⁶, 4³</t>
        </is>
      </c>
      <c r="L241" t="inlineStr">
        <is>
          <t>10F⁰, 20A⁰, 20D¹</t>
        </is>
      </c>
      <c r="M241" t="inlineStr">
        <is>
          <t>20S³, 40J³, 20I⁵, 40M⁵, 40K⁷, 20G¹³, 60N¹³, 60AJ¹³, 100J¹³</t>
        </is>
      </c>
      <c r="N241" t="inlineStr">
        <is>
          <t>20A⁰, 5B⁰, 10C⁰, 5D⁰, 20D¹, 2B⁰, 4B⁰, 1A⁰, 10F⁰</t>
        </is>
      </c>
      <c r="O241" t="inlineStr">
        <is>
          <t>80G¹³, 40R¹³, 100J¹³, 20I⁵, 20E¹³, 40W⁹, 40K¹³, 40P¹³, 60N¹³, 40Y¹⁷, 40J³, 20S³, 20F¹³, 40L¹³, 40J¹³, 40T¹⁷, 20G¹³, 80F¹³, 40O¹³, 40M⁵, 80D¹³, 80V¹⁷, 40K⁷, 80E¹³, 20F⁹, 40Q¹³, 80U¹⁷, 60AJ¹³</t>
        </is>
      </c>
    </row>
    <row r="242">
      <c r="A242">
        <f>HYPERLINK("https://mathstats.uncg.edu/sites/pauli/congruence/csg1.html#group20I1", "20I¹")</f>
        <v/>
      </c>
      <c r="B242" t="n">
        <v>1</v>
      </c>
      <c r="C242" t="inlineStr"/>
      <c r="D242" t="inlineStr">
        <is>
          <t>72</t>
        </is>
      </c>
      <c r="E242" t="inlineStr">
        <is>
          <t>1</t>
        </is>
      </c>
      <c r="F242" t="inlineStr">
        <is>
          <t>18</t>
        </is>
      </c>
      <c r="G242" t="inlineStr">
        <is>
          <t>8</t>
        </is>
      </c>
      <c r="H242" t="inlineStr">
        <is>
          <t>0</t>
        </is>
      </c>
      <c r="I242" t="inlineStr">
        <is>
          <t>2², 4², 10², 20²</t>
        </is>
      </c>
      <c r="J242" t="n">
        <v>8</v>
      </c>
      <c r="K242" t="inlineStr">
        <is>
          <t>1⁶, 4³</t>
        </is>
      </c>
      <c r="L242" t="inlineStr">
        <is>
          <t>10G⁰, 20A⁰, 20E¹</t>
        </is>
      </c>
      <c r="M242" t="inlineStr">
        <is>
          <t>20T³, 20I⁵, 20J⁵, 20K⁵, 40L⁵, 40N⁵, 40O⁵, 40T⁷, 40F⁹, 60M⁹, 20B¹⁷, 60P¹⁷, 100E¹⁷</t>
        </is>
      </c>
      <c r="N242" t="inlineStr">
        <is>
          <t>20E¹, 20A⁰, 10G⁰, 4C⁰, 5B⁰, 10C⁰, 2B⁰, 1A⁰, 10B⁰</t>
        </is>
      </c>
      <c r="O242" t="inlineStr">
        <is>
          <t>20B¹⁷, 40M¹³, 80AN¹⁷, 80AA¹⁷, 40R¹³, 20J⁵, 20I⁵, 40T⁷, 20E¹³, 80AM¹⁷, 40K¹³, 20E¹¹, 40Y¹⁷, 120O²¹, 60N²³, 20F¹³, 20T³, 40V¹³, 40T¹⁷, 80H¹³, 20K⁵, 60M⁹, 100E¹⁷, 80I¹³, 40Q¹³, 40L⁵, 40S¹³, 40T¹³, 40AG¹⁵, 80BC¹⁷, 40N¹³, 80C¹³, 80AS¹⁷, 40AQ¹⁷, 60X²¹, 60R²³, 40U¹³, 40O⁵, 40K¹¹, 40F⁹, 40Z¹⁷, 80AT¹⁷, 40J¹³, 40AC¹⁷, 80U²¹, 40W¹³, 40AN¹⁷, 80E²¹, 80Y²¹, 60P¹⁷, 80AF¹⁷, 40N⁵, 20F⁹, 40AH¹⁵, 40AI¹⁷</t>
        </is>
      </c>
    </row>
    <row r="243">
      <c r="A243">
        <f>HYPERLINK("https://mathstats.uncg.edu/sites/pauli/congruence/csg1.html#group20J1", "20J¹")</f>
        <v/>
      </c>
      <c r="B243" t="n">
        <v>1</v>
      </c>
      <c r="C243" t="inlineStr"/>
      <c r="D243" t="inlineStr">
        <is>
          <t>72</t>
        </is>
      </c>
      <c r="E243" t="inlineStr">
        <is>
          <t>2</t>
        </is>
      </c>
      <c r="F243" t="inlineStr">
        <is>
          <t>18</t>
        </is>
      </c>
      <c r="G243" t="inlineStr">
        <is>
          <t>4</t>
        </is>
      </c>
      <c r="H243" t="inlineStr">
        <is>
          <t>0</t>
        </is>
      </c>
      <c r="I243" t="inlineStr">
        <is>
          <t>2⁴, 4¹, 10⁴, 20¹</t>
        </is>
      </c>
      <c r="J243" t="n">
        <v>10</v>
      </c>
      <c r="K243" t="inlineStr">
        <is>
          <t>2⁶, 8³</t>
        </is>
      </c>
      <c r="L243" t="inlineStr">
        <is>
          <t>10G⁰</t>
        </is>
      </c>
      <c r="M243" t="inlineStr">
        <is>
          <t>20R³, 20K⁵, 20N⁷, 60T¹¹, 20I¹⁵, 60AF¹⁵, 100D¹⁵</t>
        </is>
      </c>
      <c r="N243" t="inlineStr">
        <is>
          <t>5B⁰, 10C⁰, 2B⁰, 10G⁰, 1A⁰, 10B⁰</t>
        </is>
      </c>
      <c r="O243" t="inlineStr">
        <is>
          <t>100D¹⁵, 40AQ¹⁷, 60AF¹⁵, 20K⁵, 20N⁷, 40W¹³, 20R³, 40AS¹⁷, 20E¹¹, 20I¹⁵, 20F⁹, 60S²³, 40AH¹⁵, 60T¹¹, 20F¹³</t>
        </is>
      </c>
    </row>
    <row r="244">
      <c r="A244">
        <f>HYPERLINK("https://mathstats.uncg.edu/sites/pauli/congruence/csg1.html#group21A1", "21A¹")</f>
        <v/>
      </c>
      <c r="B244" t="n">
        <v>1</v>
      </c>
      <c r="C244" t="inlineStr"/>
      <c r="D244" t="inlineStr">
        <is>
          <t>24</t>
        </is>
      </c>
      <c r="E244" t="inlineStr">
        <is>
          <t>2</t>
        </is>
      </c>
      <c r="F244" t="inlineStr">
        <is>
          <t>8</t>
        </is>
      </c>
      <c r="G244" t="inlineStr">
        <is>
          <t>0</t>
        </is>
      </c>
      <c r="H244" t="inlineStr">
        <is>
          <t>3</t>
        </is>
      </c>
      <c r="I244" t="inlineStr">
        <is>
          <t>3¹, 21¹</t>
        </is>
      </c>
      <c r="J244" t="n">
        <v>2</v>
      </c>
      <c r="K244" t="inlineStr">
        <is>
          <t>2², 12¹</t>
        </is>
      </c>
      <c r="L244" t="inlineStr">
        <is>
          <t>7B⁰</t>
        </is>
      </c>
      <c r="M244" t="inlineStr">
        <is>
          <t>42C², 21A⁴, 21C⁴, 42B⁵, 84A⁷, 105B⁸, 21A¹⁰, 147A¹⁰, 105C¹¹, 105A¹⁸, 231A²⁰, 231B²⁰, 231B²³</t>
        </is>
      </c>
      <c r="N244" t="inlineStr">
        <is>
          <t>1A⁰, 7B⁰</t>
        </is>
      </c>
      <c r="O244" t="inlineStr">
        <is>
          <t>42B⁵, 84K¹⁶, 42O¹⁹, 294B²³, 42M⁷, 21A⁴, 84K²², 105B⁸, 84N²⁰, 42J¹⁷, 168A¹⁴, 63F¹⁶, 84G²², 84E²², 84C¹¹, 42B²³, 210F²³, 168F²², 63A¹⁶, 21D⁷, 168G²⁰, 63M¹⁹, 231A²⁰, 231B²⁰, 84D¹⁰, 168B¹⁴, 105A¹⁸, 42J¹⁰, 42N¹⁹, 168F²³, 105C¹¹, 210G²³, 21A¹⁰, 42J²¹, 84I¹³, 42K¹¹, 168D²¹, 84A⁷, 147A¹⁰, 105E²¹, 168E²³, 84L²², 84B⁴, 21B⁷, 42H¹³, 231B²³, 42J¹¹, 210G¹⁶, 84B²², 42H¹⁰, 42D¹⁰, 84G²¹, 42C², 168E²², 84M²⁰, 63N¹⁹, 21C¹³, 21C⁴</t>
        </is>
      </c>
    </row>
    <row r="245">
      <c r="A245">
        <f>HYPERLINK("https://mathstats.uncg.edu/sites/pauli/congruence/csg1.html#group21B1", "21B¹")</f>
        <v/>
      </c>
      <c r="B245" t="n">
        <v>1</v>
      </c>
      <c r="C245" t="inlineStr">
        <is>
          <t>Γ₀(21)</t>
        </is>
      </c>
      <c r="D245" t="inlineStr">
        <is>
          <t>32</t>
        </is>
      </c>
      <c r="E245" t="inlineStr">
        <is>
          <t>1</t>
        </is>
      </c>
      <c r="F245" t="inlineStr">
        <is>
          <t>32</t>
        </is>
      </c>
      <c r="G245" t="inlineStr">
        <is>
          <t>0</t>
        </is>
      </c>
      <c r="H245" t="inlineStr">
        <is>
          <t>2</t>
        </is>
      </c>
      <c r="I245" t="inlineStr">
        <is>
          <t>1¹, 3¹, 7¹, 21¹</t>
        </is>
      </c>
      <c r="J245" t="n">
        <v>4</v>
      </c>
      <c r="K245" t="inlineStr">
        <is>
          <t>1⁴, 2², 6², 12¹</t>
        </is>
      </c>
      <c r="L245" t="inlineStr">
        <is>
          <t>3B⁰, 7B⁰</t>
        </is>
      </c>
      <c r="M245" t="inlineStr">
        <is>
          <t>21F¹, 21D³, 42D³, 42E³, 21C⁴, 63A⁴, 21C⁵, 42G⁵, 63A⁵, 63B⁵, 63D⁶, 63B⁷, 63C⁷, 84D⁹, 21C¹¹, 105D¹¹, 147B¹¹, 105B¹³, 105A²³</t>
        </is>
      </c>
      <c r="N245" t="inlineStr">
        <is>
          <t>3B⁰, 1A⁰, 7B⁰</t>
        </is>
      </c>
      <c r="O245" t="inlineStr">
        <is>
          <t>126D¹⁵, 252B²³, 63E¹³, 126J¹⁷, 42L¹³, 21C²¹, 63E⁹, 63E¹⁷, 126I¹³, 63D¹³, 126G¹³, 63B⁵, 63B⁷, 126D¹⁴, 126P²¹, 147B¹¹, 210J²³, 105F²¹, 42D⁹, 210I²³, 126F¹³, 168A¹⁹, 21D³, 63H¹⁷, 21D⁷, 42E³, 126M²³, 84G¹³, 63M¹⁹, 84F¹³, 126K²¹, 42F¹³, 126E¹⁵, 63I¹⁹, 126A¹⁵, 126J²¹, 63F¹¹, 84J²³, 42G¹³, 126T²¹, 126B¹⁵, 42J²¹, 189E²¹, 126H¹³, 189B²¹, 84H¹¹, 84L²³, 126E¹³, 84I¹¹, 63G¹⁷, 189C²⁰, 126E¹¹, 168Q²³, 126D¹¹, 126K¹⁷, 21D⁹, 42G²¹, 42H¹², 42E⁹, 189D²¹, 126I¹², 63G¹⁹, 63A⁴, 63F⁹, 84D⁹, 42L¹⁷, 42H¹¹, 63O¹⁹, 126U²¹, 63I¹⁷, 63C¹³, 42I²¹, 42D³, 84K¹³, 42F¹¹, 42I¹⁷, 42J¹⁷, 84D⁷, 63F¹⁶, 126S²¹, 42I¹¹, 63J¹⁹, 84H²³, 63J¹⁷, 189A²³, 126C¹⁵, 189A¹⁷, 63K¹⁹, 105A²³, 63K¹⁷, 189A²², 126O²¹, 105B¹³, 84P¹⁷, 63D⁶, 105D¹¹, 42G¹¹, 42H²¹, 42I⁵, 63C⁷, 126F¹¹, 84Q²¹, 63F⁷, 63L¹⁹, 84G²³, 42E¹¹, 189C²¹, 42K¹¹, 63B²¹, 84O¹⁷, 126D¹³, 42G⁵, 84E⁷, 252A²³, 21F¹, 63H¹⁹, 63A⁵, 42J¹¹, 189B¹⁷, 189D¹⁹, 84I²³, 147B²¹, 168R²³, 21C⁵, 189E¹⁹, 63F¹⁷, 42M²³, 63D¹⁷, 126B¹¹, 21E⁵, 168B¹⁹, 63A²¹, 63N¹⁹, 84K²³, 84Q¹⁷, 21C¹³, 126C¹¹, 21C¹¹, 189C¹⁹, 21C⁴</t>
        </is>
      </c>
    </row>
    <row r="246">
      <c r="A246">
        <f>HYPERLINK("https://mathstats.uncg.edu/sites/pauli/congruence/csg1.html#group21C1", "21C¹")</f>
        <v/>
      </c>
      <c r="B246" t="n">
        <v>1</v>
      </c>
      <c r="C246" t="inlineStr"/>
      <c r="D246" t="inlineStr">
        <is>
          <t>42</t>
        </is>
      </c>
      <c r="E246" t="inlineStr">
        <is>
          <t>2</t>
        </is>
      </c>
      <c r="F246" t="inlineStr">
        <is>
          <t>14</t>
        </is>
      </c>
      <c r="G246" t="inlineStr">
        <is>
          <t>6</t>
        </is>
      </c>
      <c r="H246" t="inlineStr">
        <is>
          <t>3</t>
        </is>
      </c>
      <c r="I246" t="inlineStr">
        <is>
          <t>21²</t>
        </is>
      </c>
      <c r="J246" t="n">
        <v>2</v>
      </c>
      <c r="K246" t="inlineStr">
        <is>
          <t>4¹, 12²</t>
        </is>
      </c>
      <c r="L246" t="inlineStr">
        <is>
          <t>7C⁰</t>
        </is>
      </c>
      <c r="M246" t="inlineStr">
        <is>
          <t>21E⁴, 42C⁵, 21A⁸, 42B⁸, 21A¹⁰, 21B¹⁰, 84E¹⁰, 105C¹⁴, 105B¹⁷</t>
        </is>
      </c>
      <c r="N246" t="inlineStr">
        <is>
          <t>1A⁰, 7C⁰, 7A⁰</t>
        </is>
      </c>
      <c r="O246" t="inlineStr">
        <is>
          <t>21A¹³, 21A⁸, 42F²¹, 42C²², 84E¹⁷, 42B⁸, 168G²³, 21A¹⁰, 42J²³, 21D¹¹, 84B¹⁹, 42F¹⁵, 21B¹⁰, 42C⁵, 84E¹⁰, 21B¹³, 42J¹³, 42B¹⁶, 105C¹⁴, 42I¹⁹, 42B²³, 63B²², 42I¹³, 168H²³, 42F¹⁹, 105B¹⁷, 21C¹⁷, 21E⁴, 42G²³</t>
        </is>
      </c>
    </row>
    <row r="247">
      <c r="A247">
        <f>HYPERLINK("https://mathstats.uncg.edu/sites/pauli/congruence/csg1.html#group21D1", "21D¹")</f>
        <v/>
      </c>
      <c r="B247" t="n">
        <v>1</v>
      </c>
      <c r="C247" t="inlineStr"/>
      <c r="D247" t="inlineStr">
        <is>
          <t>42</t>
        </is>
      </c>
      <c r="E247" t="inlineStr">
        <is>
          <t>2</t>
        </is>
      </c>
      <c r="F247" t="inlineStr">
        <is>
          <t>21</t>
        </is>
      </c>
      <c r="G247" t="inlineStr">
        <is>
          <t>10</t>
        </is>
      </c>
      <c r="H247" t="inlineStr">
        <is>
          <t>0</t>
        </is>
      </c>
      <c r="I247" t="inlineStr">
        <is>
          <t>21²</t>
        </is>
      </c>
      <c r="J247" t="n">
        <v>2</v>
      </c>
      <c r="K247" t="inlineStr">
        <is>
          <t>2¹, 4¹, 6², 12²</t>
        </is>
      </c>
      <c r="L247" t="inlineStr">
        <is>
          <t>21A⁰</t>
        </is>
      </c>
      <c r="M247" t="inlineStr">
        <is>
          <t>42F³, 21B⁴, 42G⁴, 42H⁴, 21B⁵, 21D⁵, 63F⁶, 63G⁶, 21C⁷, 42B⁷, 42K⁷, 63D⁷, 63E⁷, 84E⁹, 105C¹⁵, 105D¹⁵</t>
        </is>
      </c>
      <c r="N247" t="inlineStr">
        <is>
          <t>3A⁰, 21A⁰, 1A⁰, 7A⁰</t>
        </is>
      </c>
      <c r="O247" t="inlineStr">
        <is>
          <t>126D¹⁶, 21B¹⁷, 84C¹⁹, 126C¹⁶, 42E¹⁴, 126G¹⁷, 21C⁷, 42F¹⁴, 42H¹⁵, 21B¹³, 63E⁷, 84D¹⁶, 63I²⁴, 42H¹⁶, 168M²³, 63D¹⁶, 84G¹⁸, 42I¹⁶, 63E²⁴, 63D²⁴, 42F³, 63D⁷, 63G¹⁸, 42D¹³, 63F⁶, 126F²¹, 21B⁵, 21D¹¹, 42K⁷, 126B¹⁶, 42C¹⁷, 21D⁵, 42B¹¹, 126I¹⁷, 42E²¹, 84E¹⁶, 42G⁴, 63G²⁴, 63E¹⁹, 42F¹⁶, 126H¹⁸, 63F²⁴, 126I²¹, 42L²³, 42K¹⁷, 63A²³, 126E²¹, 63B²³, 168O²³, 63B¹⁸, 126J¹³, 42G¹⁶, 126E¹⁴, 126C¹⁸, 21B²¹, 42H⁴, 42D¹⁷, 42M¹⁹, 42G¹⁵, 126D²¹, 126B¹⁸, 84E¹⁹, 63G⁶, 126F¹⁷, 42B⁷, 63A¹⁷, 63B¹⁷, 63B¹⁴, 84P²¹, 168I²³, 63C¹⁷, 42C¹⁶, 84O²¹, 63H²⁴, 84E⁹, 21A¹⁵, 42K¹⁹, 21B⁴, 105C¹⁵, 84H¹⁸, 63F¹⁸, 21B¹¹, 105D¹⁵, 126A¹⁶, 126B¹⁷, 63E¹⁶, 84H¹⁵, 63C¹⁸, 84C²³, 168P²³, 42E¹³, 168J²³, 84I¹⁵, 168L²³, 21A¹⁴, 21C¹², 42K¹³, 21B¹², 126F¹⁴, 126I¹⁸, 84A²³, 42C⁹, 126K¹³, 42I¹⁵, 63D¹⁹, 84L¹⁹, 168N²³, 168K²³</t>
        </is>
      </c>
    </row>
    <row r="248">
      <c r="A248">
        <f>HYPERLINK("https://mathstats.uncg.edu/sites/pauli/congruence/csg1.html#group21E1", "21E¹")</f>
        <v/>
      </c>
      <c r="B248" t="n">
        <v>1</v>
      </c>
      <c r="C248" t="inlineStr"/>
      <c r="D248" t="inlineStr">
        <is>
          <t>63</t>
        </is>
      </c>
      <c r="E248" t="inlineStr">
        <is>
          <t>1</t>
        </is>
      </c>
      <c r="F248" t="inlineStr">
        <is>
          <t>21</t>
        </is>
      </c>
      <c r="G248" t="inlineStr">
        <is>
          <t>15</t>
        </is>
      </c>
      <c r="H248" t="inlineStr">
        <is>
          <t>0</t>
        </is>
      </c>
      <c r="I248" t="inlineStr">
        <is>
          <t>21³</t>
        </is>
      </c>
      <c r="J248" t="n">
        <v>3</v>
      </c>
      <c r="K248" t="inlineStr">
        <is>
          <t>3¹, 6³</t>
        </is>
      </c>
      <c r="L248" t="inlineStr">
        <is>
          <t>7D⁰, 21A⁰</t>
        </is>
      </c>
      <c r="M248" t="inlineStr">
        <is>
          <t>21D⁴, 21E⁴, 42I⁴, 21D⁵, 42H⁵, 21C⁶, 42D⁶, 21A⁷, 42G⁷, 42H⁷, 63D⁹, 42A¹⁰, 42K¹⁰, 84J¹³, 105B²², 105D²²</t>
        </is>
      </c>
      <c r="N248" t="inlineStr">
        <is>
          <t>21A⁰, 3A⁰, 7D⁰, 1A⁰, 7A⁰</t>
        </is>
      </c>
      <c r="O248" t="inlineStr">
        <is>
          <t>84M²², 126D²⁴, 21B¹⁵, 42K¹⁰, 42D²⁴, 42E¹⁴, 21A¹², 42F¹⁴, 21B¹³, 42A¹⁰, 42E¹⁹, 42H⁵, 42L¹¹, 42F¹⁹, 63B²⁴, 42B²², 84J¹³, 126E²⁴, 105B²², 21D¹¹, 42C¹⁵, 42D⁶, 42A¹⁷, 63C²⁴, 42E¹⁷, 42D¹⁴, 21D⁵, 42A²², 21C⁶, 42A¹⁴, 42E¹⁵, 84F²³, 63G²⁴, 21A¹⁶, 42F¹⁶, 63F²⁴, 21A⁷, 42A¹⁸, 42L²³, 21E⁴, 63B²³, 21D⁴, 42I⁴, 42G¹⁶, 42H⁷, 42D¹⁷, 42M¹⁹, 42G¹⁵, 42G⁷, 42C²⁴, 63D²¹, 42J¹³, 42K²³, 63B²², 42B¹⁹, 84E²⁴, 42I¹³, 105D²², 42A¹⁹, 63A²², 21A¹⁵, 42B¹⁴, 21A¹³, 42C²², 42D¹⁹, 42F¹⁵, 42C¹⁴, 42D¹⁶, 126B²⁴, 21A¹⁴, 63D⁹, 21C¹², 42K¹³, 21B¹², 126Q²¹, 126R²¹, 42B¹⁷, 84N²²</t>
        </is>
      </c>
    </row>
    <row r="249">
      <c r="A249">
        <f>HYPERLINK("https://mathstats.uncg.edu/sites/pauli/congruence/csg1.html#group21F1", "21F¹")</f>
        <v/>
      </c>
      <c r="B249" t="n">
        <v>1</v>
      </c>
      <c r="C249" t="inlineStr"/>
      <c r="D249" t="inlineStr">
        <is>
          <t>64</t>
        </is>
      </c>
      <c r="E249" t="inlineStr">
        <is>
          <t>1</t>
        </is>
      </c>
      <c r="F249" t="inlineStr">
        <is>
          <t>32</t>
        </is>
      </c>
      <c r="G249" t="inlineStr">
        <is>
          <t>0</t>
        </is>
      </c>
      <c r="H249" t="inlineStr">
        <is>
          <t>4</t>
        </is>
      </c>
      <c r="I249" t="inlineStr">
        <is>
          <t>1², 3², 7², 21²</t>
        </is>
      </c>
      <c r="J249" t="n">
        <v>8</v>
      </c>
      <c r="K249" t="inlineStr">
        <is>
          <t>1⁴, 2², 6², 12¹</t>
        </is>
      </c>
      <c r="L249" t="inlineStr">
        <is>
          <t>21B¹</t>
        </is>
      </c>
      <c r="M249" t="inlineStr">
        <is>
          <t>21E⁵, 42I⁵, 21D⁷, 63F⁷, 21D⁹, 42E⁹, 63E⁹, 63F⁹, 63F¹¹, 63C¹³, 63D¹³, 84O¹⁷, 21C²¹, 105F²¹, 147B²¹</t>
        </is>
      </c>
      <c r="N249" t="inlineStr">
        <is>
          <t>3B⁰, 1A⁰, 7B⁰, 21B¹</t>
        </is>
      </c>
      <c r="O249" t="inlineStr">
        <is>
          <t>42H²¹, 42I⁵, 21C²¹, 63F⁹, 84Q²¹, 63F¹¹, 42L¹⁷, 63F⁷, 63E⁹, 126T²¹, 42J²¹, 63D¹³, 126U²¹, 63C¹³, 84O¹⁷, 42I²¹, 84K¹³, 126S²¹, 105F²¹, 147B²¹, 21D⁹, 42M²³, 21D⁷, 42G²¹, 126M²³, 21E⁵, 42E⁹</t>
        </is>
      </c>
    </row>
    <row r="250">
      <c r="A250">
        <f>HYPERLINK("https://mathstats.uncg.edu/sites/pauli/congruence/csg1.html#group22A1", "22A¹")</f>
        <v/>
      </c>
      <c r="B250" t="n">
        <v>1</v>
      </c>
      <c r="C250" t="inlineStr"/>
      <c r="D250" t="inlineStr">
        <is>
          <t>22</t>
        </is>
      </c>
      <c r="E250" t="inlineStr">
        <is>
          <t>2</t>
        </is>
      </c>
      <c r="F250" t="inlineStr">
        <is>
          <t>11</t>
        </is>
      </c>
      <c r="G250" t="inlineStr">
        <is>
          <t>0</t>
        </is>
      </c>
      <c r="H250" t="inlineStr">
        <is>
          <t>4</t>
        </is>
      </c>
      <c r="I250" t="inlineStr">
        <is>
          <t>22¹</t>
        </is>
      </c>
      <c r="J250" t="n">
        <v>1</v>
      </c>
      <c r="K250" t="inlineStr">
        <is>
          <t>2¹, 10²</t>
        </is>
      </c>
      <c r="L250" t="inlineStr">
        <is>
          <t>2A⁰, 11A⁰</t>
        </is>
      </c>
      <c r="M250" t="inlineStr">
        <is>
          <t>66A⁴, 22A⁵, 22B⁵, 44A⁶, 66A⁶, 66E⁶, 110A⁷, 22A⁹, 110A¹¹, 154A¹², 154B¹², 154C¹², 22B¹³, 110A¹⁷, 286A²³</t>
        </is>
      </c>
      <c r="N250" t="inlineStr">
        <is>
          <t>11A⁰, 2A⁰, 1A⁰</t>
        </is>
      </c>
      <c r="O250" t="inlineStr">
        <is>
          <t>132A²⁰, 66A²⁰, 22B¹⁷, 44A¹⁰, 154A¹², 66A²², 88C²⁰, 198B²², 22B⁵, 110A¹¹, 110A²¹, 66E⁶, 88A²¹, 198A²¹, 66A⁴, 176A²⁴, 198A¹⁷, 66C²², 44A⁶, 22B²¹, 154C¹², 22A⁵, 154A²³, 66A¹¹, 110A²³, 22C²¹, 66B²⁴, 198A²², 66A²¹, 154B¹², 330C²⁴, 66A¹⁹, 66A¹⁶, 88A²⁰, 154B²³, 308A²⁴, 110A⁷, 66A²⁴, 198A¹⁹, 330A²⁴, 66B²², 198A²⁰, 286A²³, 132C²⁰, 132E¹², 22A⁹, 330B²⁴, 44A²⁰, 22A¹⁷, 88A¹², 110A¹⁷, 198E¹⁸, 132A²², 22B¹³, 66A⁶</t>
        </is>
      </c>
    </row>
    <row r="251">
      <c r="A251">
        <f>HYPERLINK("https://mathstats.uncg.edu/sites/pauli/congruence/csg1.html#group24A1", "24A¹")</f>
        <v/>
      </c>
      <c r="B251" t="n">
        <v>1</v>
      </c>
      <c r="C251" t="inlineStr"/>
      <c r="D251" t="inlineStr">
        <is>
          <t>24</t>
        </is>
      </c>
      <c r="E251" t="inlineStr">
        <is>
          <t>2</t>
        </is>
      </c>
      <c r="F251" t="inlineStr">
        <is>
          <t>4</t>
        </is>
      </c>
      <c r="G251" t="inlineStr">
        <is>
          <t>6</t>
        </is>
      </c>
      <c r="H251" t="inlineStr">
        <is>
          <t>0</t>
        </is>
      </c>
      <c r="I251" t="inlineStr">
        <is>
          <t>24¹</t>
        </is>
      </c>
      <c r="J251" t="n">
        <v>1</v>
      </c>
      <c r="K251" t="inlineStr">
        <is>
          <t>4²</t>
        </is>
      </c>
      <c r="L251" t="inlineStr">
        <is>
          <t>8A⁰, 12A⁰</t>
        </is>
      </c>
      <c r="M251" t="inlineStr">
        <is>
          <t>24K², 24E³, 48A³, 48B³, 24A⁴, 24H⁴, 24S⁴, 72A⁴, 120A⁹, 120D⁹, 168C¹⁰, 168D¹⁰, 168A¹⁶, 120F¹⁷, 264A¹⁸, 264B¹⁸, 264A²⁴</t>
        </is>
      </c>
      <c r="N251" t="inlineStr">
        <is>
          <t>8A⁰, 12A⁰, 3A⁰, 1A⁰, 4A⁰</t>
        </is>
      </c>
      <c r="O251" t="inlineStr">
        <is>
          <t>24C¹⁰, 120A⁹, 264A¹⁸, 240C²¹, 144B¹⁰, 24D⁷, 264A²⁴, 48L¹⁸, 24AB¹⁷, 120B²³, 48A¹⁵, 48B¹², 72L¹⁵, 72L¹⁴, 72C²³, 336F²⁴, 120I²³, 240A¹⁹, 168H²², 48B³, 48E¹⁸, 120A²⁰, 48AM¹⁷, 168E²⁴, 72T¹⁹, 144D¹⁰, 48H²⁰, 120Q¹⁹, 48B²², 24M¹¹, 120D⁹, 48BW²¹, 72T²¹, 48C²⁰, 48AV¹⁹, 48G¹⁰, 48R¹³, 24E³, 48S¹⁷, 144N²¹, 24C¹⁶, 48J⁷, 72P²¹, 24L⁸, 120F¹⁸, 144S²³, 120J²¹, 72U²¹, 72W¹⁷, 336G²⁴, 24A¹⁰, 48A⁸, 144N²², 24AO⁹, 24S⁴, 48BO²¹, 240A²¹, 48F¹⁰, 144K²², 72I¹⁰, 336H²⁴, 72C²², 120O¹⁹, 144D²⁰, 48BP²¹, 48A³, 120P¹⁷, 240B²¹, 144E²⁰, 24N⁸, 48C²², 120D¹⁹, 48BO¹⁷, 120L²¹, 168A¹⁶, 72J⁸, 72G¹¹, 48H⁶, 24A⁴, 48Q¹³, 24AK¹⁷, 24J¹⁹, 72B²³, 144I²², 168L²³, 24AF¹⁷, 144L²², 24C¹⁹, 48T¹⁷, 72L¹⁰, 48B⁸, 48I⁷, 48AU¹⁹, 24P¹⁹, 72O²¹, 48G²⁰, 48B²⁰, 48BL²¹, 48S¹⁹, 48D²², 144J²², 72H¹¹, 72A⁴, 144M²¹, 72K⁸, 48A²², 168F²⁴, 24P¹⁵, 24Y⁹, 24I¹⁹, 48A²⁰, 168G²², 168D¹⁰, 144B²⁴, 24K⁷, 48E²³, 48BN¹⁷, 48A¹², 336D²⁴, 48G⁶, 336C²⁴, 24H⁴, 24K², 72A¹⁸, 72A¹², 24Q¹⁹, 48D²⁰, 168Q²², 72V¹⁹, 48I²⁰, 48BX²¹, 336A²⁴, 48D¹⁵, 48AQ²¹, 336E²⁴, 144F²⁰, 24A¹⁶, 24D¹³, 72F²³, 144A²⁴, 144Q²³, 144R²³, 72H²³, 72Q²¹, 168C¹⁰, 48B¹⁵, 144M²², 168R²², 24P⁵, 48T¹⁹, 264B¹⁸, 240D²¹, 144C¹⁰, 24B¹³, 72N²¹, 48H¹⁵, 336B²⁴, 120F¹⁷, 240B¹⁹, 24N¹⁹, 48T²¹, 144C²⁰, 144T²³, 144A¹⁰, 24K¹¹, 72K¹⁰, 24M²¹, 144C²⁴, 24AE¹⁷, 24X⁹, 48BY²¹, 48AB¹⁹, 72G⁹, 24D¹⁹, 24B⁷, 168K²³</t>
        </is>
      </c>
    </row>
    <row r="252">
      <c r="A252">
        <f>HYPERLINK("https://mathstats.uncg.edu/sites/pauli/congruence/csg1.html#group24B1", "24B¹")</f>
        <v/>
      </c>
      <c r="B252" t="n">
        <v>1</v>
      </c>
      <c r="C252" t="inlineStr"/>
      <c r="D252" t="inlineStr">
        <is>
          <t>24</t>
        </is>
      </c>
      <c r="E252" t="inlineStr">
        <is>
          <t>2</t>
        </is>
      </c>
      <c r="F252" t="inlineStr">
        <is>
          <t>12</t>
        </is>
      </c>
      <c r="G252" t="inlineStr">
        <is>
          <t>6</t>
        </is>
      </c>
      <c r="H252" t="inlineStr">
        <is>
          <t>0</t>
        </is>
      </c>
      <c r="I252" t="inlineStr">
        <is>
          <t>24¹</t>
        </is>
      </c>
      <c r="J252" t="n">
        <v>1</v>
      </c>
      <c r="K252" t="inlineStr">
        <is>
          <t>4², 8²</t>
        </is>
      </c>
      <c r="L252" t="inlineStr">
        <is>
          <t>12A⁰</t>
        </is>
      </c>
      <c r="M252" t="inlineStr">
        <is>
          <t>24G², 24H², 24K², 24D³, 24E³, 24B⁴, 24O⁴, 24T⁴, 72B⁴, 72C⁴, 72D⁴, 120B⁹, 120F⁹, 168G¹⁰, 168H¹⁰, 168B¹⁶, 120H¹⁷, 264C¹⁸, 264D¹⁸, 264B²⁴</t>
        </is>
      </c>
      <c r="N252" t="inlineStr">
        <is>
          <t>3A⁰, 1A⁰, 4A⁰, 12A⁰</t>
        </is>
      </c>
      <c r="O252" t="inlineStr">
        <is>
          <t>24L¹¹, 72F¹⁰, 168H²⁴, 24E¹³, 24M¹⁹, 24D⁷, 24M⁸, 24AB¹⁷, 168M²³, 48A¹⁵, 144G²², 168I²⁴, 48AT¹⁹, 72C²³, 120S¹⁹, 24AA⁹, 72O¹⁴, 72C¹², 24AD¹⁷, 120I²¹, 48O¹⁸, 24E¹⁰, 48BW¹⁷, 72T¹⁹, 264B²⁴, 144H²², 120Q¹⁹, 48E⁶, 168J²⁴, 24M¹¹, 168D²⁴, 48BW²¹, 72T²¹, 24O¹⁵, 48R¹³, 24E³, 144N²¹, 48J⁷, 48AY¹⁹, 72P²¹, 120F¹⁸, 144S²³, 24G¹⁹, 120B¹⁸, 120J¹⁹, 168G²⁴, 72W¹⁷, 72U²¹, 48W¹⁵, 144H²⁰, 48K¹⁸, 168O²³, 24E¹⁶, 24AO⁹, 144N²², 72E¹¹, 24B¹⁶, 168C²⁴, 120C¹⁸, 72D⁴, 72I¹⁰, 144K²², 72B¹⁸, 24B¹⁹, 72C²², 48S¹⁸, 144D²⁰, 48C¹⁵, 120N¹⁹, 144E²⁰, 24N⁸, 24O¹⁹, 24B⁴, 24D¹⁶, 48F²⁰, 120D¹⁹, 168I²³, 24B¹⁰, 48BV²¹, 72B¹², 120L²¹, 24G², 120Q¹⁷, 24AM⁹, 120I¹⁹, 72J⁸, 72G¹¹, 264D¹⁸, 120J²³, 72N¹⁴, 48H⁶, 48Q¹³, 24S¹⁹, 24AK¹⁷, 24J¹⁹, 72B²³, 144I²², 168J²³, 72I⁸, 24AF¹⁷, 168J²², 144L²², 24C¹⁹, 72M¹⁵, 72L¹⁰, 24L¹⁹, 264C¹⁸, 48I⁷, 24P¹⁹, 72O²¹, 48G²⁰, 144E²², 72G¹⁰, 72H¹¹, 72J¹⁰, 72K⁸, 144J²², 144M²¹, 48F⁶, 72G²³, 72M²¹, 120F²³, 120H²¹, 24P¹⁵, 48AS¹⁹, 24Y⁹, 144F²², 24AC¹⁷, 72H¹⁰, 24D³, 72X¹⁵, 72A²³, 24AN⁹, 48E²⁰, 120B⁹, 24H¹⁹, 24W⁹, 72M¹⁴, 48G⁶, 168G¹⁰, 24K², 24K⁸, 24V⁹, 48J¹⁸, 120C¹⁹, 72D²³, 48N¹⁸, 24Q¹⁹, 168B¹⁶, 168Q²², 48AN¹⁷, 48R¹⁸, 72V¹⁹, 24H², 144G²⁰, 24O⁴, 48I²⁰, 48D¹⁵, 144F²⁰, 72C⁴, 72E¹⁰, 72F²³, 144Q²³, 144R²³, 72H²³, 72Q²¹, 72D¹⁸, 48B¹⁵, 48BN²¹, 120N²¹, 24AB⁷, 144M²², 120R¹⁹, 168R²², 48AC¹⁹, 24T⁴, 48F²³, 24P⁵, 72F¹¹, 48BL¹⁹, 120B²⁰, 168P²², 72B⁴, 72H⁸, 72F⁹, 72C¹⁸, 24B¹³, 72N²¹, 168I²², 168O²², 24N¹⁹, 24P⁸, 24A⁷, 168P²³, 144C²⁰, 144T²³, 144D²², 24K¹¹, 120M²¹, 168H¹⁰, 72K¹⁰, 120H¹⁷, 120F⁹, 144C²², 24M²¹, 24AL¹⁷, 24AE¹⁷, 48AR²¹, 48BY²¹, 168N²³, 48BM²¹, 72G⁹, 24B⁷</t>
        </is>
      </c>
    </row>
    <row r="253">
      <c r="A253">
        <f>HYPERLINK("https://mathstats.uncg.edu/sites/pauli/congruence/csg1.html#group24C1", "24C¹")</f>
        <v/>
      </c>
      <c r="B253" t="n">
        <v>1</v>
      </c>
      <c r="C253" t="inlineStr"/>
      <c r="D253" t="inlineStr">
        <is>
          <t>36</t>
        </is>
      </c>
      <c r="E253" t="inlineStr">
        <is>
          <t>1</t>
        </is>
      </c>
      <c r="F253" t="inlineStr">
        <is>
          <t>6</t>
        </is>
      </c>
      <c r="G253" t="inlineStr">
        <is>
          <t>6</t>
        </is>
      </c>
      <c r="H253" t="inlineStr">
        <is>
          <t>0</t>
        </is>
      </c>
      <c r="I253" t="inlineStr">
        <is>
          <t>6², 24¹</t>
        </is>
      </c>
      <c r="J253" t="n">
        <v>3</v>
      </c>
      <c r="K253" t="inlineStr">
        <is>
          <t>1², 2²</t>
        </is>
      </c>
      <c r="L253" t="inlineStr">
        <is>
          <t>8D⁰, 12C⁰</t>
        </is>
      </c>
      <c r="M253" t="inlineStr">
        <is>
          <t>24L², 24O², 24O³, 24Q³, 48D³, 48G³, 24D⁴, 24L⁴, 48E⁴, 48H⁴, 24B⁵, 72C⁶, 120A¹³, 120F¹³, 168D¹⁶, 168B²²</t>
        </is>
      </c>
      <c r="N253" t="inlineStr">
        <is>
          <t>12C⁰, 8D⁰, 4C⁰, 2B⁰, 3A⁰, 1A⁰, 6D⁰</t>
        </is>
      </c>
      <c r="O253" t="inlineStr">
        <is>
          <t>24C¹⁰, 96B¹⁶, 48AY²¹, 48O⁸, 96A¹⁸, 48AI¹⁷, 48D¹⁰, 24M¹⁹, 48AK¹⁷, 96D²⁰, 96AU²¹, 24O⁹, 96B²⁰, 48AE²¹, 24R⁷, 48Z¹⁹, 24K¹⁵, 48AG¹⁷, 144B¹⁵, 96F²⁰, 24AD¹⁷, 96C²⁰, 96B²², 24AD⁷, 48O¹⁸, 96L¹⁹, 48E⁵, 48AD²¹, 48BW¹⁷, 48AM¹⁷, 24E¹⁰, 96E²¹, 48AL¹⁹, 48AH¹⁷, 48I¹⁹, 96W¹⁷, 48P¹⁷, 48AT²¹, 96M¹⁹, 48AZ¹⁹, 48S¹⁷, 48AC¹³, 48E¹⁹, 48AQ¹⁷, 24I⁹, 48H¹⁶, 48AY¹⁹, 96E¹⁹, 24G¹⁹, 48Q²¹, 48U⁷, 96D¹⁰, 72V¹⁵, 24D⁶, 24E¹⁶, 48AU¹⁷, 48U¹⁵, 24V¹³, 48A¹⁶, 24F¹⁷, 48A¹⁹, 96AV²¹, 48P¹⁹, 48T¹⁸, 48AF²¹, 48AW¹⁹, 48BR¹⁷, 24D¹⁵, 24X¹³, 24D¹⁷, 48Q¹⁸, 48X¹⁵, 48BV²¹, 96I¹¹, 48BO¹⁷, 48AD¹⁹, 48T⁹, 96C¹⁸, 48U⁹, 48AF¹⁹, 96E¹⁸, 48AB⁷, 96AD¹⁹, 48BZ¹⁷, 96A¹⁶, 96G²⁰, 72F¹², 96C⁸, 48D⁸, 96AA¹⁹, 48T¹⁷, 96O²⁰, 24E¹⁵, 24L¹⁹, 24L⁴, 96AD²³, 48H¹⁹, 48D¹⁸, 48AU¹⁹, 24P¹⁹, 48R⁸, 96AD²¹, 48L²¹, 48BL²¹, 48S¹⁹, 24O³, 24W⁵, 48D²², 48M¹⁸, 72K¹⁵, 96X¹⁷, 48E¹⁵, 48AE¹⁷, 120F¹³, 24P¹⁷, 48A²⁰, 72C¹⁴, 24L⁷, 48BX¹⁷, 96A¹⁹, 168B²², 96N¹⁷, 24AG¹⁷, 48AT¹⁷, 48J¹¹, 96K²⁰, 24AM¹⁷, 96J¹⁹, 24R⁹, 48T¹⁵, 48AF¹⁷, 96AW²¹, 96V¹⁷, 48N¹⁸, 24R¹⁵, 24Q¹⁹, 48AS¹⁷, 48O⁷, 96B¹⁹, 96T¹⁷, 24Q³, 72M¹⁶, 48AQ²¹, 96B²¹, 48D¹⁷, 72A¹⁶, 96D¹⁷, 24Q⁹, 96C¹⁷, 48BN²¹, 144C¹⁴, 96G¹⁸, 144D¹⁵, 24D⁸, 48I⁶, 48X¹⁹, 48AS²¹, 144D¹⁴, 48AL¹⁷, 48T²¹, 24L², 48Z⁷, 24S¹⁷, 96F⁸, 96C²², 96D¹⁶, 96Y¹⁷, 48AJ¹⁹, 48AB¹³, 48D¹⁹, 48AR²¹, 48AA⁷, 24H⁷, 48AM¹⁹, 48E¹⁷, 24D¹⁹, 96L²⁰, 24AC⁷, 96N²⁰, 24R¹³, 72H¹³, 48L¹⁸, 48V¹⁵, 48AX¹⁹, 48E⁴, 48S⁹, 96O¹⁵, 72E¹⁴, 96A²², 48Q¹⁷, 48V²¹, 96C¹⁰, 48E¹⁸, 96H²⁰, 96R¹⁷, 48F¹⁵, 48K⁹, 72D²⁰, 24N¹⁵, 24J¹⁷, 24K¹³, 48Y¹⁵, 48AV¹⁹, 24O¹⁵, 48O¹⁹, 96E¹⁷, 48M¹⁹, 48F¹⁸, 48F¹⁹, 24C¹⁶, 48AX²¹, 72M¹², 48C⁸, 24C⁹, 96AZ¹⁹, 48C¹¹, 48W¹⁵, 96U¹⁷, 96B¹⁷, 48Y¹⁹, 48Z⁸, 24B¹⁶, 24N¹¹, 96F¹⁷, 96AB¹⁹, 48AJ¹⁷, 48S¹⁸, 48U²¹, 48AP¹⁷, 48C²², 24D¹⁶, 24AH¹⁷, 48D³, 72N¹³, 96F¹⁸, 48H¹⁷, 24P⁷, 48G¹⁹, 48J¹⁵, 24H¹⁷, 48Q⁸, 24N¹⁷, 96O¹⁷, 48W¹⁹, 24G⁶, 48I¹⁶, 24AF¹⁷, 48A⁹, 48B¹⁹, 72F¹⁷, 48AE¹⁹, 48BU¹⁷, 48N¹⁹, 96H¹⁹, 24B⁵, 96H²¹, 24O², 96AC²¹, 48A¹⁰, 48AD⁹, 96AC¹⁹, 48G³, 96A²¹, 48AC⁷, 96C¹⁶, 48P⁷, 24J⁷, 48B²⁰, 24AI¹⁷, 24Q¹⁵, 48AZ²¹, 48J¹⁷, 24P¹⁵, 48N⁸, 96A²³, 48F²¹, 24K⁷, 96E¹⁶, 96A²⁰, 24A¹⁹, 48BN¹⁷, 48E⁹, 48K¹⁷, 96E²⁰, 144B¹⁴, 48I¹⁸, 144C¹⁵, 48AG¹⁹, 24D⁴, 48I¹⁵, 72I¹², 96AC²³, 48V¹⁹, 168D¹⁶, 48BA¹⁹, 48BA²¹, 48C¹⁹, 48G¹⁶, 48AN¹⁷, 48I¹⁷, 48AK¹⁹, 48F⁸, 48O¹¹, 24A¹⁶, 96D⁸, 48AO¹⁷, 120A¹³, 24F¹⁹, 48J¹⁹, 48BP¹⁷, 24U⁵, 24AB⁷, 48U¹⁹, 24E¹⁷, 48AC¹⁹, 96D²², 48R⁹, 48P¹⁸, 48G¹⁵, 48T¹⁹, 24B¹⁷, 48H⁴, 24B⁸, 48H¹⁵, 48L¹⁹, 48AD¹³, 48P⁸, 96E⁸, 48S¹⁵, 48B¹⁰, 72C⁶, 48F¹⁶, 48BV¹⁷, 72K²³, 48BN¹⁹, 48J⁶, 48E²¹, 96M²⁰, 48AB¹⁹, 48C¹⁰, 48BM²¹, 24M¹⁵</t>
        </is>
      </c>
    </row>
    <row r="254">
      <c r="A254">
        <f>HYPERLINK("https://mathstats.uncg.edu/sites/pauli/congruence/csg1.html#group24D1", "24D¹")</f>
        <v/>
      </c>
      <c r="B254" t="n">
        <v>1</v>
      </c>
      <c r="C254" t="inlineStr"/>
      <c r="D254" t="inlineStr">
        <is>
          <t>36</t>
        </is>
      </c>
      <c r="E254" t="inlineStr">
        <is>
          <t>1</t>
        </is>
      </c>
      <c r="F254" t="inlineStr">
        <is>
          <t>9</t>
        </is>
      </c>
      <c r="G254" t="inlineStr">
        <is>
          <t>8</t>
        </is>
      </c>
      <c r="H254" t="inlineStr">
        <is>
          <t>0</t>
        </is>
      </c>
      <c r="I254" t="inlineStr">
        <is>
          <t>12¹, 24¹</t>
        </is>
      </c>
      <c r="J254" t="n">
        <v>2</v>
      </c>
      <c r="K254" t="inlineStr">
        <is>
          <t>1³, 2³</t>
        </is>
      </c>
      <c r="L254" t="inlineStr">
        <is>
          <t>12C⁰</t>
        </is>
      </c>
      <c r="M254" t="inlineStr">
        <is>
          <t>24H¹, 24H³, 24P³, 24Q³, 24S³, 24T³, 24E⁵, 24F⁵, 72A⁵, 72B⁷, 120B¹³, 120H¹³, 168B¹⁵, 168C²³</t>
        </is>
      </c>
      <c r="N254" t="inlineStr">
        <is>
          <t>2B⁰, 12C⁰, 3A⁰, 1A⁰, 6D⁰, 4C⁰</t>
        </is>
      </c>
      <c r="O254" t="inlineStr">
        <is>
          <t>96AH¹⁹, 96AE¹⁹, 24R¹³, 48AI¹⁷, 72P¹³, 24M¹⁹, 24I¹⁷, 96D²⁰, 48V¹⁵, 24AB¹⁷, 48CA¹⁷, 48AE²¹, 168C²³, 48Z¹⁹, 48O²¹, 24S³, 48A²¹, 48BF²¹, 96S²³, 96AK¹⁹, 24Q¹³, 120H¹³, 24K¹⁷, 24H¹, 96C²⁰, 24AD⁷, 48V⁹, 24W¹⁷, 48AA²¹, 72P¹⁵, 48AH⁷, 48R¹⁷, 48CD¹⁷, 48M¹⁷, 48H²⁰, 48X²¹, 48I¹⁹, 24J¹⁷, 48C²⁰, 72J¹³, 24O¹⁵, 48AD⁷, 48B²¹, 96AS¹⁹, 48BC¹⁷, 24I⁹, 48AQ¹⁷, 24L⁸, 24Z⁹, 48BG¹⁷, 48BH¹⁷, 24Z¹³, 48K¹⁸, 48BF¹⁷, 24S¹³, 48AW²¹, 96Z²³, 48U¹⁵, 48AV²¹, 48BE²¹, 48Z⁸, 24V¹³, 72K¹⁷, 48S²¹, 48AJ¹⁷, 24AA¹³, 48P¹⁹, 48P¹¹, 48AW¹⁹, 48AU²¹, 48BM¹⁹, 48BR¹⁷, 96T²³, 72J¹⁷, 48G²¹, 24X¹³, 48BT²¹, 120B¹³, 48AV¹⁷, 168B¹⁵, 24S¹⁵, 48CC¹⁷, 72N¹³, 96F¹⁸, 48M²¹, 24P⁷, 48BD¹⁷, 24H¹⁷, 96AM¹⁹, 72A⁵, 48AF¹⁹, 48I⁹, 24S¹⁹, 24AK¹⁷, 48Q⁸, 24N¹⁷, 24O¹⁷, 96Y²³, 96E¹⁸, 72J¹⁵, 72X²¹, 48S¹¹, 96K¹¹, 96AL¹⁹, 24U⁹, 48BE¹⁷, 72I¹⁵, 48K²¹, 48AF¹³, 96AF¹⁹, 144J¹⁹, 48BU¹⁷, 48AP²¹, 24N⁹, 24C¹⁷, 48H¹⁹, 48AR¹⁷, 24T¹⁵, 24X⁵, 48AO²¹, 96AU¹⁹, 48AA¹³, 48BM¹⁷, 48AF⁹, 48AI¹⁹, 24AJ¹⁷, 24W⁵, 24F⁵, 48S⁷, 24AI¹⁷, 48T⁷, 72K¹⁵, 24Z¹⁷, 24Q¹⁵, 72I¹³, 48AZ²¹, 48Y²¹, 24AE⁷, 24P¹⁵, 24P¹⁷, 24I¹⁹, 24AC¹⁷, 96V¹⁵, 48Z²¹, 24Y¹³, 48BY¹⁷, 72R¹¹, 24AM¹⁷, 24G¹⁷, 144Y²³, 24B⁹, 24H¹⁹, 24Y⁵, 48AG¹⁹, 48AH¹⁹, 24R⁹, 72AA²¹, 48CI¹⁷, 48AE¹³, 48T¹⁵, 96U¹⁹, 96AG¹⁹, 48V¹⁹, 72N¹⁵, 48H⁹, 24R¹⁷, 48BA²¹, 24K⁸, 48AC¹⁵, 48J¹⁸, 72B⁷, 24T¹⁷, 24R¹⁵, 24Q¹⁹, 48L¹⁷, 48AS¹⁷, 48D²⁰, 48R¹⁸, 24E⁹, 48G¹¹, 24Q³, 72W¹⁹, 24P³, 24G⁹, 72B¹⁷, 24E⁵, 72M¹¹, 24F¹⁹, 72O¹³, 72H⁹, 24V⁵, 48P²¹, 24H³, 24M¹⁷, 24E¹⁹, 72W¹⁵, 24T³, 24S⁵, 48AB¹⁵, 24J⁹, 24E¹⁷, 72Q¹⁵, 96G¹⁸, 24H⁹, 24V¹⁷, 96AT¹⁹, 48L¹⁹, 48P⁸, 24P⁸, 48S¹⁵, 24S¹⁷, 72M¹³, 96AN¹⁹, 96AV¹⁹, 72E¹⁷, 48BQ¹⁷, 48BV¹⁷, 48M³, 48BN¹⁹, 24W¹³, 24AL¹⁷, 48X¹³, 24T⁹, 48AB¹³, 96M²⁰, 48AE⁷, 24Q⁷</t>
        </is>
      </c>
    </row>
    <row r="255">
      <c r="A255">
        <f>HYPERLINK("https://mathstats.uncg.edu/sites/pauli/congruence/csg1.html#group24E1", "24E¹")</f>
        <v/>
      </c>
      <c r="B255" t="n">
        <v>1</v>
      </c>
      <c r="C255" t="inlineStr"/>
      <c r="D255" t="inlineStr">
        <is>
          <t>36</t>
        </is>
      </c>
      <c r="E255" t="inlineStr">
        <is>
          <t>1</t>
        </is>
      </c>
      <c r="F255" t="inlineStr">
        <is>
          <t>18</t>
        </is>
      </c>
      <c r="G255" t="inlineStr">
        <is>
          <t>6</t>
        </is>
      </c>
      <c r="H255" t="inlineStr">
        <is>
          <t>0</t>
        </is>
      </c>
      <c r="I255" t="inlineStr">
        <is>
          <t>6², 24¹</t>
        </is>
      </c>
      <c r="J255" t="n">
        <v>3</v>
      </c>
      <c r="K255" t="inlineStr">
        <is>
          <t>1², 2⁴, 4²</t>
        </is>
      </c>
      <c r="L255" t="inlineStr">
        <is>
          <t>12C⁰</t>
        </is>
      </c>
      <c r="M255" t="inlineStr">
        <is>
          <t>24N², 24O², 24P², 24N³, 24O³, 24P³, 24T³, 24E⁴, 24K⁴, 24P⁴, 24G⁵, 72D⁶, 72E⁶, 120C¹³, 120J¹³, 168G¹⁶, 168D²²</t>
        </is>
      </c>
      <c r="N255" t="inlineStr">
        <is>
          <t>2B⁰, 12C⁰, 3A⁰, 1A⁰, 6D⁰, 4C⁰</t>
        </is>
      </c>
      <c r="O255" t="inlineStr">
        <is>
          <t>96R¹⁵, 96B¹⁶, 48AY²¹, 48O¹⁷, 48T¹¹, 48O⁸, 48AI¹⁷, 24M¹⁹, 48AK¹⁷, 48BK¹⁹, 24O⁹, 96AU²¹, 24AB¹⁷, 48CE¹⁷, 48U¹⁷, 48AE²¹, 24R⁷, 48Z¹⁹, 48AT¹⁹, 24K¹⁵, 48AG¹⁷, 24AA⁹, 96F²⁰, 96S²⁰, 24AD¹⁷, 48CH¹⁷, 24AD⁷, 48AD²¹, 72L¹⁷, 48H²⁰, 48AL¹⁹, 48AH¹⁷, 48BK²¹, 96W¹⁷, 48P¹⁷, 72L¹⁶, 48AT²¹, 48AB²¹, 24G⁸, 24I¹⁵, 48AC¹³, 48E¹⁹, 48AQ¹⁷, 48BH²¹, 24L⁸, 24K⁴, 24Z⁹, 48BQ²¹, 72V¹⁵, 72I¹⁶, 48U¹⁵, 48CF¹⁷, 48BO²¹, 24V¹³, 72B¹⁶, 48K⁶, 48BB¹⁷, 96AV²¹, 48AF²¹, 48BM¹⁹, 48BP²¹, 48BR¹⁷, 24O¹⁹, 24D¹⁵, 24X¹³, 24D¹⁷, 72H¹², 120C¹³, 48BU²¹, 24U¹⁷, 24O⁷, 48AF¹⁹, 24AK¹⁷, 72N¹⁶, 168D²², 72J¹⁵, 48N²¹, 48L⁹, 48BA¹⁷, 96A¹⁶, 48L¹¹, 72G¹⁷, 24E¹⁵, 96AH²³, 24N⁹, 24L¹⁹, 24P¹⁹, 48AA¹³, 24P⁴, 96Z²¹, 48R²¹, 24AJ¹⁷, 24O³, 24W⁵, 96AC²⁰, 96R²⁰, 48E¹⁵, 72O¹⁶, 48AE¹⁷, 48AS¹⁹, 96AA²⁰, 72C¹⁴, 24AC¹⁷, 24AG¹⁷, 48K¹⁵, 48AC²¹, 48CG¹⁷, 48K¹⁹, 96K²⁰, 24AM¹⁷, 24G¹⁷, 24Q¹⁷, 24H¹⁹, 48AH¹⁹, 24R⁹, 48CI¹⁷, 48T¹⁵, 48AF¹⁷, 96AF²³, 24R¹⁷, 96V¹⁷, 24Q¹⁹, 24R¹⁵, 48AS¹⁷, 96T¹⁷, 48BX²¹, 24Q⁹, 24V⁵, 24R¹⁹, 24H⁶, 24T³, 24I⁷, 48AB¹⁵, 48BL¹⁹, 24N², 48I⁶, 48X¹⁹, 48AO¹⁹, 48AL¹⁷, 24N¹⁹, 48Z⁷, 96D¹⁶, 24X⁹, 48AB¹³, 48AA⁷, 24H⁷, 48AM¹⁹, 24Q⁷, 48BJ²¹, 48E¹⁷, 48BI¹⁹, 96L²⁰, 96AG²³, 24R¹³, 72P¹³, 24I¹⁷, 72H¹⁴, 72H¹³, 48S⁸, 48V¹⁵, 96G¹³, 24H⁸, 48S⁹, 48AN²¹, 24K⁶, 48Q¹⁷, 24P⁹, 24W¹⁷, 48AI⁷, 48AA²¹, 48F¹⁵, 24N¹⁵, 24J¹⁷, 24K¹³, 96Z²⁰, 48C²⁰, 96AE²³, 24O¹⁵, 48F¹⁹, 48BC¹⁷, 48V¹¹, 72M¹², 48BH¹⁹, 48CB¹⁷, 24Z¹³, 96U¹⁷, 48K¹⁸, 48Y¹⁹, 24N¹¹, 24M⁹, 72D¹⁴, 96Q¹⁵, 24AA¹³, 48AJ¹⁷, 72E⁶, 24N³, 48BT²¹, 24AH¹⁷, 96V¹⁹, 72F²⁰, 24S¹⁵, 96T²⁰, 24P⁷, 48BD¹⁷, 168G¹⁶, 24H¹⁷, 24S¹⁹, 24N¹⁷, 48W¹⁹, 24AF¹⁷, 72G¹³, 96AD¹⁷, 48BU¹⁷, 48BF¹⁹, 48AG²¹, 72G¹², 48AF¹⁵, 48U¹¹, 24F⁹, 24O², 24T¹⁵, 48AB⁸, 48BM¹⁷, 96C¹⁶, 48AI¹⁹, 48BJ¹⁹, 24P², 24J⁷, 48AQ¹⁹, 48AN¹⁹, 24AI¹⁷, 24Q¹⁵, 48AZ²¹, 48BI²¹, 24AE⁷, 48Z¹⁵, 24P¹⁵, 96AB²⁰, 24I¹⁹, 48N⁸, 24I⁶, 96E¹⁶, 48K¹⁷, 96E²⁰, 48W⁸, 48T⁸, 24W⁹, 48AG¹⁹, 72E²⁰, 72I¹², 48V⁷, 48V¹⁹, 72D⁶, 48BA²¹, 24K⁸, 48AC¹⁵, 48J¹⁸, 48D²⁰, 48R¹⁸, 72B¹⁴, 48N¹⁷, 72U¹⁵, 24P³, 72N¹², 24F¹⁹, 72O¹³, 48J¹⁹, 96U²⁰, 48AB⁹, 24E¹⁹, 24U⁵, 72W¹⁵, 48U¹⁹, 24E¹⁷, 24U¹⁵, 48R⁹, 24G⁵, 48G¹⁵, 24H⁹, 72L¹², 48AA¹⁵, 48BB¹⁹, 120J¹³, 48AD¹³, 24P⁸, 48G⁵, 48S¹⁵, 72M¹³, 48BQ¹⁷, 48BV¹⁷, 72K²³, 48BN¹⁹, 96T¹⁹, 48J⁶, 24AL¹⁷, 24E⁴, 24M¹⁵</t>
        </is>
      </c>
    </row>
    <row r="256">
      <c r="A256">
        <f>HYPERLINK("https://mathstats.uncg.edu/sites/pauli/congruence/csg1.html#group24F1", "24F¹")</f>
        <v/>
      </c>
      <c r="B256" t="n">
        <v>1</v>
      </c>
      <c r="C256" t="inlineStr"/>
      <c r="D256" t="inlineStr">
        <is>
          <t>48</t>
        </is>
      </c>
      <c r="E256" t="inlineStr">
        <is>
          <t>1</t>
        </is>
      </c>
      <c r="F256" t="inlineStr">
        <is>
          <t>16</t>
        </is>
      </c>
      <c r="G256" t="inlineStr">
        <is>
          <t>12</t>
        </is>
      </c>
      <c r="H256" t="inlineStr">
        <is>
          <t>0</t>
        </is>
      </c>
      <c r="I256" t="inlineStr">
        <is>
          <t>24²</t>
        </is>
      </c>
      <c r="J256" t="n">
        <v>2</v>
      </c>
      <c r="K256" t="inlineStr">
        <is>
          <t>4⁴</t>
        </is>
      </c>
      <c r="L256" t="inlineStr">
        <is>
          <t>8F⁰, 12A⁰</t>
        </is>
      </c>
      <c r="M256" t="inlineStr">
        <is>
          <t>24AB³, 24S⁴, 24T⁴, 24O⁵, 24C⁷, 24L⁷, 72E⁷, 48AP⁹, 120C¹⁷, 120M¹⁷, 168C¹⁹</t>
        </is>
      </c>
      <c r="N256" t="inlineStr">
        <is>
          <t>12A⁰, 8F⁰, 3A⁰, 1A⁰, 4A⁰</t>
        </is>
      </c>
      <c r="O256" t="inlineStr">
        <is>
          <t>48CR²¹, 24AO⁹, 24L¹¹, 24S⁴, 72V¹⁷, 24A¹⁶, 24E¹³, 168C¹⁹, 24D¹³, 48AO¹⁷, 72Z¹⁵, 72B¹⁸, 24L²¹, 72E⁷, 48M¹⁸, 48B¹², 48U²¹, 24C⁷, 72D¹⁸, 72R¹⁹, 48AP⁹, 24D¹⁶, 24L⁷, 24AH¹⁷, 72W²¹, 48F²³, 24T⁴, 24C¹³, 24F¹³, 48AD¹⁹, 24AM⁹, 48E²³, 24AL⁹, 24A¹⁹, 48A¹², 120M¹⁷, 24K²¹, 24O⁵, 24AN⁹, 72C¹⁸, 24M¹¹, 120C¹⁷, 48I¹⁵, 48F¹⁸, 72A¹⁸, 24M²¹, 72E²³, 72P¹⁹, 24R¹⁵, 24AB³, 72Q¹⁹</t>
        </is>
      </c>
    </row>
    <row r="257">
      <c r="A257">
        <f>HYPERLINK("https://mathstats.uncg.edu/sites/pauli/congruence/csg1.html#group24G1", "24G¹")</f>
        <v/>
      </c>
      <c r="B257" t="n">
        <v>1</v>
      </c>
      <c r="C257" t="inlineStr">
        <is>
          <t>Γ₀(24)</t>
        </is>
      </c>
      <c r="D257" t="inlineStr">
        <is>
          <t>48</t>
        </is>
      </c>
      <c r="E257" t="inlineStr">
        <is>
          <t>1</t>
        </is>
      </c>
      <c r="F257" t="inlineStr">
        <is>
          <t>24</t>
        </is>
      </c>
      <c r="G257" t="inlineStr">
        <is>
          <t>0</t>
        </is>
      </c>
      <c r="H257" t="inlineStr">
        <is>
          <t>0</t>
        </is>
      </c>
      <c r="I257" t="inlineStr">
        <is>
          <t>1², 2¹, 3², 6¹, 8¹, 24¹</t>
        </is>
      </c>
      <c r="J257" t="n">
        <v>8</v>
      </c>
      <c r="K257" t="inlineStr">
        <is>
          <t>1⁸, 2⁶, 4¹</t>
        </is>
      </c>
      <c r="L257" t="inlineStr">
        <is>
          <t>8C⁰, 12E⁰</t>
        </is>
      </c>
      <c r="M257" t="inlineStr">
        <is>
          <t>24J¹, 24V³, 24W³, 24X³, 24Y³, 48I³, 48J³, 48K³, 48L³, 24R⁵, 48C⁵, 48D⁵, 72B⁵, 72D⁹, 72E⁹, 120D¹⁷, 120O¹⁷</t>
        </is>
      </c>
      <c r="N257" t="inlineStr">
        <is>
          <t>3B⁰, 6F⁰, 8C⁰, 2B⁰, 4B⁰, 1A⁰, 12E⁰</t>
        </is>
      </c>
      <c r="O257" t="inlineStr">
        <is>
          <t>72H¹⁹, 24AE⁹, 96AI¹⁷, 48AJ⁹, 72AB²¹, 144E¹⁹, 96BC¹⁹, 96G¹¹, 48CK¹⁷, 48W¹³, 96H¹¹, 48CG²¹, 96E¹³, 48AN⁷, 144J¹³, 72E¹⁹, 48AM⁷, 48CF²¹, 24R⁵, 72R¹³, 192F¹⁹, 72G¹⁹, 24AP⁹, 48C⁵, 24AO¹⁷, 144A¹⁹, 144H¹³, 96BL²¹, 96BJ²¹, 48K³, 48AH¹³, 96BF²¹, 48BR¹⁹, 48CM²¹, 48AO⁷, 96AL¹⁷, 24K¹³, 48CI²¹, 144I¹³, 48CD²¹, 24X³, 48CH²¹, 144D¹⁷, 48W¹¹, 48Y¹³, 96A¹³, 48AN⁹, 96D¹³, 48CJ²¹, 72D⁹, 72P¹⁷, 72AC²¹, 96C¹³, 96AJ¹⁷, 48AG¹³, 24AA⁵, 144H¹⁹, 96L⁹, 24A²¹, 48AG⁹, 48CB²¹, 48AM⁹, 72T¹³, 24J¹, 48BZ²¹, 72B⁵, 96AZ²¹, 48Z¹³, 24AR¹⁷, 48CL¹⁷, 72S¹³, 96BC²¹, 72O¹⁷, 192N²¹, 96BA²¹, 96AK¹⁷, 24AN¹⁷, 96BD²¹, 48AK⁷, 48B¹⁷, 144E²¹, 48CM¹⁷, 216B²¹, 144F¹⁹, 48AI⁹, 48CL²¹, 24W³, 144B¹⁹, 48X¹¹, 24AJ⁷, 48D⁵, 24AC¹³, 24AI⁷, 24AF⁹, 72E⁹, 192P²¹, 96M⁹, 96BH²¹, 48BS¹⁹, 72U¹³, 72C¹⁹, 72J¹⁹, 144D¹⁹, 24D²¹, 96BE¹⁹, 48AL⁷, 48AH⁹, 24AP¹⁷, 72F¹⁹, 48V¹³, 48CK²¹, 48I³, 48AK⁹, 72I⁹, 48CA²¹, 48L³, 120D¹⁷, 144F²¹, 48CE²¹, 48CO¹⁷, 24N¹³, 96BI²¹, 48CJ¹⁷, 48BT¹⁹, 96BF¹⁹, 48BQ¹⁹, 48CQ¹⁷, 144C¹⁹, 192O²¹, 24M¹³, 72I¹⁹, 24Y³, 24G²¹, 96C⁷, 24V³, 48AL⁹, 24F²¹, 48CC²¹, 24AH⁷, 96BD¹⁹, 192E¹⁹, 96AH¹⁷, 24Z⁵, 120O¹⁷, 48AQ⁷, 48J³, 144G¹³, 192M²¹, 96F¹³, 48AO⁹, 96BG²¹, 96B¹³, 96I¹³, 48I⁵, 96BK²¹, 48CP¹⁷, 72D¹⁹, 96B⁷, 96BM²¹, 24L¹³, 144G²¹, 144H²¹, 48C¹⁷, 144G¹⁹, 96BE²¹, 96BB²¹, 48CN¹⁷, 48J⁵, 48AP⁷, 144E¹⁷</t>
        </is>
      </c>
    </row>
    <row r="258">
      <c r="A258">
        <f>HYPERLINK("https://mathstats.uncg.edu/sites/pauli/congruence/csg1.html#group24H1", "24H¹")</f>
        <v/>
      </c>
      <c r="B258" t="n">
        <v>1</v>
      </c>
      <c r="C258" t="inlineStr"/>
      <c r="D258" t="inlineStr">
        <is>
          <t>72</t>
        </is>
      </c>
      <c r="E258" t="inlineStr">
        <is>
          <t>1</t>
        </is>
      </c>
      <c r="F258" t="inlineStr">
        <is>
          <t>9</t>
        </is>
      </c>
      <c r="G258" t="inlineStr">
        <is>
          <t>16</t>
        </is>
      </c>
      <c r="H258" t="inlineStr">
        <is>
          <t>0</t>
        </is>
      </c>
      <c r="I258" t="inlineStr">
        <is>
          <t>12², 24²</t>
        </is>
      </c>
      <c r="J258" t="n">
        <v>4</v>
      </c>
      <c r="K258" t="inlineStr">
        <is>
          <t>1³, 2³</t>
        </is>
      </c>
      <c r="L258" t="inlineStr">
        <is>
          <t>12H⁰, 24A⁰, 24D¹</t>
        </is>
      </c>
      <c r="M258" t="inlineStr">
        <is>
          <t>48M³, 24S⁵, 24V⁵, 24W⁵, 24X⁵, 24Y⁵, 48S⁷, 48T⁷, 48AD⁷, 48AE⁷, 48AH⁷, 24J⁹, 72H⁹, 48G¹¹, 72I¹³</t>
        </is>
      </c>
      <c r="N258" t="inlineStr">
        <is>
          <t>6B⁰, 12C⁰, 3A⁰, 24A⁰, 4C⁰, 24D¹, 8B⁰, 2B⁰, 12D⁰, 6H⁰, 12H⁰, 1A⁰, 6D⁰</t>
        </is>
      </c>
      <c r="O258" t="inlineStr">
        <is>
          <t>24X⁵, 24T¹⁵, 48AO²¹, 96AH¹⁹, 96AU¹⁹, 48AA¹³, 96AE¹⁹, 24R¹³, 24I¹⁷, 24W⁵, 48S⁷, 48V¹⁵, 48T⁷, 24Q¹⁵, 72I¹³, 48CA¹⁷, 48AE²¹, 48O²¹, 48BF²¹, 24P¹⁵, 96AK¹⁹, 24Q¹³, 48AH⁷, 48AA²¹, 96V¹⁵, 24Y¹³, 48R¹⁷, 48BY¹⁷, 48CD¹⁷, 48M¹⁷, 144Y²³, 24Y⁵, 24J¹⁷, 48AD⁷, 24O¹⁵, 72AA²¹, 48AE¹³, 48T¹⁵, 96U¹⁹, 96AG¹⁹, 96AS¹⁹, 48BC¹⁷, 24T¹⁷, 48AQ¹⁷, 48AC¹⁵, 48L¹⁷, 48BG¹⁷, 24R¹⁵, 48AS¹⁷, 48BH¹⁷, 24Z¹³, 48G¹¹, 48BF¹⁷, 48AW²¹, 24S¹³, 48U¹⁵, 24V¹³, 48S²¹, 24AA¹³, 72H⁹, 24V⁵, 48P²¹, 48BR¹⁷, 24X¹³, 24S⁵, 48AB¹⁵, 24J⁹, 48AV¹⁷, 48CC¹⁷, 24S¹⁵, 48M²¹, 48BD¹⁷, 24V¹⁷, 96AM¹⁹, 96AT¹⁹, 48S¹⁵, 96AN¹⁹, 96AV¹⁹, 48BQ¹⁷, 96K¹¹, 48M³, 96AL¹⁹, 48BE¹⁷, 24W¹³, 48K²¹, 48X¹³, 48AF¹³, 48AB¹³, 96AF¹⁹, 144J¹⁹, 48AE⁷, 48AP²¹, 24C¹⁷, 48AR¹⁷</t>
        </is>
      </c>
    </row>
    <row r="259">
      <c r="A259">
        <f>HYPERLINK("https://mathstats.uncg.edu/sites/pauli/congruence/csg1.html#group24I1", "24I¹")</f>
        <v/>
      </c>
      <c r="B259" t="n">
        <v>1</v>
      </c>
      <c r="C259" t="inlineStr"/>
      <c r="D259" t="inlineStr">
        <is>
          <t>72</t>
        </is>
      </c>
      <c r="E259" t="inlineStr">
        <is>
          <t>1</t>
        </is>
      </c>
      <c r="F259" t="inlineStr">
        <is>
          <t>18</t>
        </is>
      </c>
      <c r="G259" t="inlineStr">
        <is>
          <t>4</t>
        </is>
      </c>
      <c r="H259" t="inlineStr">
        <is>
          <t>0</t>
        </is>
      </c>
      <c r="I259" t="inlineStr">
        <is>
          <t>3⁸, 24²</t>
        </is>
      </c>
      <c r="J259" t="n">
        <v>10</v>
      </c>
      <c r="K259" t="inlineStr">
        <is>
          <t>2³, 4³</t>
        </is>
      </c>
      <c r="L259" t="inlineStr">
        <is>
          <t>12G⁰</t>
        </is>
      </c>
      <c r="M259" t="inlineStr">
        <is>
          <t>24AC³, 24T⁵, 24M⁷, 72L⁸, 72M⁸, 72O¹¹, 72L¹³</t>
        </is>
      </c>
      <c r="N259" t="inlineStr">
        <is>
          <t>12G⁰, 6G⁰, 3C⁰, 2B⁰, 12D⁰, 3A⁰, 1A⁰, 6D⁰</t>
        </is>
      </c>
      <c r="O259" t="inlineStr">
        <is>
          <t>24M⁷, 72O¹¹, 72X¹⁷, 72M⁸, 24N¹¹, 24AC³, 24L¹⁵, 72L⁸, 72L¹³, 72J²³, 72I²³, 24T⁵, 24M¹⁷, 24J¹³, 24Y¹⁷, 24Q¹³, 72L²², 24AP⁹</t>
        </is>
      </c>
    </row>
    <row r="260">
      <c r="A260">
        <f>HYPERLINK("https://mathstats.uncg.edu/sites/pauli/congruence/csg1.html#group24J1", "24J¹")</f>
        <v/>
      </c>
      <c r="B260" t="n">
        <v>1</v>
      </c>
      <c r="C260" t="inlineStr"/>
      <c r="D260" t="inlineStr">
        <is>
          <t>96</t>
        </is>
      </c>
      <c r="E260" t="inlineStr">
        <is>
          <t>1</t>
        </is>
      </c>
      <c r="F260" t="inlineStr">
        <is>
          <t>24</t>
        </is>
      </c>
      <c r="G260" t="inlineStr">
        <is>
          <t>0</t>
        </is>
      </c>
      <c r="H260" t="inlineStr">
        <is>
          <t>0</t>
        </is>
      </c>
      <c r="I260" t="inlineStr">
        <is>
          <t>1⁴, 2², 3⁴, 6², 8², 24²</t>
        </is>
      </c>
      <c r="J260" t="n">
        <v>16</v>
      </c>
      <c r="K260" t="inlineStr">
        <is>
          <t>1⁸, 2⁶, 4¹</t>
        </is>
      </c>
      <c r="L260" t="inlineStr">
        <is>
          <t>12J⁰, 24B⁰, 24G¹</t>
        </is>
      </c>
      <c r="M260" t="inlineStr">
        <is>
          <t>24Z⁵, 24AA⁵, 48I⁵, 48J⁵, 24AP⁹, 48AG⁹, 72I⁹, 72O¹⁷, 72P¹⁷</t>
        </is>
      </c>
      <c r="N260" t="inlineStr">
        <is>
          <t>3B⁰, 24B⁰, 24G¹, 12J⁰, 1A⁰, 2B⁰, 8C⁰, 4B⁰, 6F⁰, 12E⁰</t>
        </is>
      </c>
      <c r="O260" t="inlineStr">
        <is>
          <t>72P¹⁷, 96I¹³, 48CO¹⁷, 48I⁵, 72O¹⁷, 48AG¹³, 24AA⁵, 48AH¹³, 48AG⁹, 96AH¹⁷, 24Z⁵, 24AP¹⁷, 48BZ²¹, 96BB²¹, 48CN¹⁷, 48J⁵, 24AC¹³, 72I⁹, 24AP⁹</t>
        </is>
      </c>
    </row>
    <row r="261">
      <c r="A261">
        <f>HYPERLINK("https://mathstats.uncg.edu/sites/pauli/congruence/csg1.html#group26A1", "26A¹")</f>
        <v/>
      </c>
      <c r="B261" t="n">
        <v>1</v>
      </c>
      <c r="C261" t="inlineStr"/>
      <c r="D261" t="inlineStr">
        <is>
          <t>28</t>
        </is>
      </c>
      <c r="E261" t="inlineStr">
        <is>
          <t>1</t>
        </is>
      </c>
      <c r="F261" t="inlineStr">
        <is>
          <t>14</t>
        </is>
      </c>
      <c r="G261" t="inlineStr">
        <is>
          <t>0</t>
        </is>
      </c>
      <c r="H261" t="inlineStr">
        <is>
          <t>4</t>
        </is>
      </c>
      <c r="I261" t="inlineStr">
        <is>
          <t>2¹, 26¹</t>
        </is>
      </c>
      <c r="J261" t="n">
        <v>2</v>
      </c>
      <c r="K261" t="inlineStr">
        <is>
          <t>1², 12¹</t>
        </is>
      </c>
      <c r="L261" t="inlineStr">
        <is>
          <t>2A⁰, 13A⁰</t>
        </is>
      </c>
      <c r="M261" t="inlineStr">
        <is>
          <t>26B¹, 26A³, 26A⁵, 26B⁵, 78A⁵, 78C⁵, 78B⁶, 52B⁷, 78A⁷, 78C⁷, 130A⁹, 130B¹³, 182A¹⁵, 182C¹⁵, 130B²¹, 26A²³, 286A²³, 338A²³</t>
        </is>
      </c>
      <c r="N261" t="inlineStr">
        <is>
          <t>13A⁰, 2A⁰, 1A⁰</t>
        </is>
      </c>
      <c r="O261" t="inlineStr">
        <is>
          <t>156A¹⁵, 78E¹⁹, 104M²³, 78C⁷, 234C²³, 182C¹⁵, 78C⁹, 78D¹⁶, 26B¹, 234E²³, 52A¹³, 130B¹⁷, 78A⁹, 78G¹³, 52B³, 234B²³, 26A⁵, 52A²³, 78B²¹, 26B¹³, 78E¹³, 78C⁵, 78B¹⁹, 78A⁷, 26B⁹, 52C²¹, 78B⁶, 104S²³, 78A⁵, 130A⁹, 182A¹⁵, 26A²³, 26C⁵, 156E¹⁹, 104B¹⁵, 26A⁹, 130B²¹, 26A³, 52B⁷, 52A¹⁹, 78D¹⁹, 78H²³, 52D²³, 130B¹³, 78D¹¹, 26B⁵, 52C²³, 52B²³, 78B²³, 52D¹¹, 156D¹⁹, 104N²³, 156B¹⁵, 52E²¹, 52C¹¹, 78A¹³, 104B²³, 338A²³, 78C¹³, 78E²³, 78C²³, 286A²³, 104A¹⁵, 78A²⁴, 104C²³, 78C¹⁹, 234A²¹, 78A¹⁹, 52F²³, 52A¹⁵, 156G²³, 234A²⁴</t>
        </is>
      </c>
    </row>
    <row r="262">
      <c r="A262">
        <f>HYPERLINK("https://mathstats.uncg.edu/sites/pauli/congruence/csg1.html#group26B1", "26B¹")</f>
        <v/>
      </c>
      <c r="B262" t="n">
        <v>1</v>
      </c>
      <c r="C262" t="inlineStr"/>
      <c r="D262" t="inlineStr">
        <is>
          <t>56</t>
        </is>
      </c>
      <c r="E262" t="inlineStr">
        <is>
          <t>1</t>
        </is>
      </c>
      <c r="F262" t="inlineStr">
        <is>
          <t>14</t>
        </is>
      </c>
      <c r="G262" t="inlineStr">
        <is>
          <t>0</t>
        </is>
      </c>
      <c r="H262" t="inlineStr">
        <is>
          <t>8</t>
        </is>
      </c>
      <c r="I262" t="inlineStr">
        <is>
          <t>2², 26²</t>
        </is>
      </c>
      <c r="J262" t="n">
        <v>4</v>
      </c>
      <c r="K262" t="inlineStr">
        <is>
          <t>1², 12¹</t>
        </is>
      </c>
      <c r="L262" t="inlineStr">
        <is>
          <t>13B⁰, 26A⁰, 26A¹</t>
        </is>
      </c>
      <c r="M262" t="inlineStr">
        <is>
          <t>52B³, 26C⁵, 26A⁹, 26B⁹, 78A⁹, 78C⁹, 78D¹¹, 52A¹³, 78A¹³, 78G¹³, 130B¹⁷</t>
        </is>
      </c>
      <c r="N262" t="inlineStr">
        <is>
          <t>13A⁰, 2A⁰, 26A¹, 26A⁰, 13B⁰, 1A⁰</t>
        </is>
      </c>
      <c r="O262" t="inlineStr">
        <is>
          <t>52B³, 78A¹³, 52A²³, 26C⁵, 156E¹⁹, 26A⁹, 52A¹⁹, 78C⁹, 78D¹¹, 52B²³, 26B⁹, 52C²¹, 52A¹³, 52A¹⁵, 130B¹⁷, 156G²³, 156D¹⁹, 78A⁹, 78G¹³</t>
        </is>
      </c>
    </row>
    <row r="263">
      <c r="A263">
        <f>HYPERLINK("https://mathstats.uncg.edu/sites/pauli/congruence/csg1.html#group27A1", "27A¹")</f>
        <v/>
      </c>
      <c r="B263" t="n">
        <v>1</v>
      </c>
      <c r="C263" t="inlineStr">
        <is>
          <t>Γ₀(27)</t>
        </is>
      </c>
      <c r="D263" t="inlineStr">
        <is>
          <t>36</t>
        </is>
      </c>
      <c r="E263" t="inlineStr">
        <is>
          <t>1</t>
        </is>
      </c>
      <c r="F263" t="inlineStr">
        <is>
          <t>12</t>
        </is>
      </c>
      <c r="G263" t="inlineStr">
        <is>
          <t>0</t>
        </is>
      </c>
      <c r="H263" t="inlineStr">
        <is>
          <t>0</t>
        </is>
      </c>
      <c r="I263" t="inlineStr">
        <is>
          <t>1³, 3², 27¹</t>
        </is>
      </c>
      <c r="J263" t="n">
        <v>6</v>
      </c>
      <c r="K263" t="inlineStr">
        <is>
          <t>1², 2², 6¹</t>
        </is>
      </c>
      <c r="L263" t="inlineStr">
        <is>
          <t>9B⁰</t>
        </is>
      </c>
      <c r="M263" t="inlineStr">
        <is>
          <t>27C¹, 27B⁴, 27C⁴, 54A⁴, 54E⁴, 81A⁴, 81A⁷, 81B⁷, 108D¹⁰, 135A¹³, 135E¹³, 189A¹⁹, 189C¹⁹</t>
        </is>
      </c>
      <c r="N263" t="inlineStr">
        <is>
          <t>3B⁰, 9B⁰, 1A⁰</t>
        </is>
      </c>
      <c r="O263" t="inlineStr">
        <is>
          <t>27B⁴, 27B¹⁰, 27C¹, 27E¹⁹, 54E¹⁰, 27B¹³, 162A²², 81A⁴, 54J¹³, 162C¹⁶, 81E¹⁹, 189A¹⁹, 135A¹³, 54B¹⁰, 81C¹⁹, 216A²², 135E¹³, 81A¹⁰, 243A²², 162A¹⁶, 243A¹⁶, 81A⁷, 54I¹⁰, 108F²², 54E⁴, 216C²², 54S¹⁶, 27C⁴, 108D¹⁰, 54T¹⁶, 108A¹⁹, 54R¹³, 81B¹⁹, 108A¹³, 243A¹⁹, 108A¹⁰, 27D¹⁶, 54D¹³, 108F¹⁰, 162E¹⁶, 81A¹⁹, 162B¹⁶, 81A²², 162D¹⁶, 81B⁷, 108E²², 81B²², 81A¹³, 54A¹⁰, 54A⁴, 162B¹³, 162B²², 162A¹³, 189C¹⁹, 81A¹⁶, 54E¹³</t>
        </is>
      </c>
    </row>
    <row r="264">
      <c r="A264">
        <f>HYPERLINK("https://mathstats.uncg.edu/sites/pauli/congruence/csg1.html#group27B1", "27B¹")</f>
        <v/>
      </c>
      <c r="B264" t="n">
        <v>1</v>
      </c>
      <c r="C264" t="inlineStr"/>
      <c r="D264" t="inlineStr">
        <is>
          <t>36</t>
        </is>
      </c>
      <c r="E264" t="inlineStr">
        <is>
          <t>1</t>
        </is>
      </c>
      <c r="F264" t="inlineStr">
        <is>
          <t>12</t>
        </is>
      </c>
      <c r="G264" t="inlineStr">
        <is>
          <t>0</t>
        </is>
      </c>
      <c r="H264" t="inlineStr">
        <is>
          <t>6</t>
        </is>
      </c>
      <c r="I264" t="inlineStr">
        <is>
          <t>9¹, 27¹</t>
        </is>
      </c>
      <c r="J264" t="n">
        <v>2</v>
      </c>
      <c r="K264" t="inlineStr">
        <is>
          <t>1², 2², 6¹</t>
        </is>
      </c>
      <c r="L264" t="inlineStr">
        <is>
          <t>9C⁰</t>
        </is>
      </c>
      <c r="M264" t="inlineStr">
        <is>
          <t>54A², 27D⁴, 27B⁷, 27D⁷, 54A⁸, 108E¹⁰, 135A¹¹, 135A¹⁷, 189B¹⁹, 189D¹⁹</t>
        </is>
      </c>
      <c r="N264" t="inlineStr">
        <is>
          <t>3B⁰, 1A⁰, 9C⁰</t>
        </is>
      </c>
      <c r="O264" t="inlineStr">
        <is>
          <t>108D²², 27B⁷, 54B²², 54G¹⁰, 81C²², 81D¹⁹, 27E¹⁹, 108E¹⁰, 54A², 108C²², 135A¹⁷, 270A²², 108A¹⁷, 54D¹⁶, 27E¹⁶, 108A¹⁶, 27D⁴, 54S¹³, 27D⁷, 108B²², 135A¹¹, 108A⁴, 54G¹⁶, 189B¹⁹, 54C¹⁰, 54C²², 189D¹⁹, 27C¹⁹, 54F¹⁰, 216A²⁰, 54B¹⁶, 27B¹⁹, 108B¹⁹, 54E²², 54A⁸</t>
        </is>
      </c>
    </row>
    <row r="265">
      <c r="A265">
        <f>HYPERLINK("https://mathstats.uncg.edu/sites/pauli/congruence/csg1.html#group27C1", "27C¹")</f>
        <v/>
      </c>
      <c r="B265" t="n">
        <v>1</v>
      </c>
      <c r="C265" t="inlineStr"/>
      <c r="D265" t="inlineStr">
        <is>
          <t>108</t>
        </is>
      </c>
      <c r="E265" t="inlineStr">
        <is>
          <t>1</t>
        </is>
      </c>
      <c r="F265" t="inlineStr">
        <is>
          <t>12</t>
        </is>
      </c>
      <c r="G265" t="inlineStr">
        <is>
          <t>0</t>
        </is>
      </c>
      <c r="H265" t="inlineStr">
        <is>
          <t>0</t>
        </is>
      </c>
      <c r="I265" t="inlineStr">
        <is>
          <t>1⁹, 3⁶, 27³</t>
        </is>
      </c>
      <c r="J265" t="n">
        <v>18</v>
      </c>
      <c r="K265" t="inlineStr">
        <is>
          <t>1², 2², 6¹</t>
        </is>
      </c>
      <c r="L265" t="inlineStr">
        <is>
          <t>9I⁰, 27A⁰, 27A¹</t>
        </is>
      </c>
      <c r="M265" t="inlineStr">
        <is>
          <t>27B¹⁰, 54B¹⁰, 54I¹⁰, 81A¹⁰, 27B¹³, 81A¹³, 81A¹⁹, 81B¹⁹</t>
        </is>
      </c>
      <c r="N265" t="inlineStr">
        <is>
          <t>9I⁰, 27A⁰, 3B⁰, 9B⁰, 27A¹, 1A⁰</t>
        </is>
      </c>
      <c r="O265" t="inlineStr">
        <is>
          <t>27B¹⁰, 81A¹⁰, 81A¹⁹, 81B¹⁹, 27B¹³, 81A¹³, 54I¹⁰, 54B¹⁰</t>
        </is>
      </c>
    </row>
    <row r="266">
      <c r="A266">
        <f>HYPERLINK("https://mathstats.uncg.edu/sites/pauli/congruence/csg1.html#group28A1", "28A¹")</f>
        <v/>
      </c>
      <c r="B266" t="n">
        <v>1</v>
      </c>
      <c r="C266" t="inlineStr"/>
      <c r="D266" t="inlineStr">
        <is>
          <t>28</t>
        </is>
      </c>
      <c r="E266" t="inlineStr">
        <is>
          <t>2</t>
        </is>
      </c>
      <c r="F266" t="inlineStr">
        <is>
          <t>28</t>
        </is>
      </c>
      <c r="G266" t="inlineStr">
        <is>
          <t>6</t>
        </is>
      </c>
      <c r="H266" t="inlineStr">
        <is>
          <t>1</t>
        </is>
      </c>
      <c r="I266" t="inlineStr">
        <is>
          <t>28¹</t>
        </is>
      </c>
      <c r="J266" t="n">
        <v>1</v>
      </c>
      <c r="K266" t="inlineStr">
        <is>
          <t>4², 12⁴</t>
        </is>
      </c>
      <c r="L266" t="inlineStr">
        <is>
          <t>4A⁰, 7A⁰</t>
        </is>
      </c>
      <c r="M266" t="inlineStr">
        <is>
          <t>28E², 28D³, 56A³, 56B³, 56C³, 56D³, 84A³, 28A⁴, 28B⁴, 28D⁵, 28H⁶, 56H⁶, 84A⁹, 140A¹⁰, 140E¹¹, 140C²⁰</t>
        </is>
      </c>
      <c r="N266" t="inlineStr">
        <is>
          <t>1A⁰, 4A⁰, 7A⁰</t>
        </is>
      </c>
      <c r="O266" t="inlineStr">
        <is>
          <t>112C⁷, 168H²⁴, 56J²³, 56B²³, 28B¹², 56D¹⁴, 84G¹¹, 84A¹⁴, 112A¹⁶, 84M²¹, 56B²², 56H¹¹, 168M²³, 112W²⁴, 56E⁷, 84A⁹, 84B¹⁷, 56H²⁴, 168L²², 336F²⁴, 168I²⁴, 28B⁸, 56E¹², 84E²³, 56D²², 168G²³, 56I²⁴, 168H²², 280D²¹, 56L²⁴, 28D³, 56J²¹, 28E⁹, 168E²⁴, 112A⁷, 84I⁸, 112F¹⁴, 56H⁶, 56J¹², 56K²³, 168J²⁴, 168D²⁴, 84B¹⁶, 112E²³, 140A²¹, 56G⁶, 28A¹⁰, 112B⁷, 28D¹¹, 168F¹⁰, 84A³, 112H²³, 28D⁵, 28A⁷, 168H²³, 140B²⁰, 56C³, 168G²⁴, 336G²⁴, 280A²¹, 168O²³, 56G¹¹, 140D²¹, 140H²³, 56J²⁴, 168C¹⁹, 56M¹³, 168C²⁴, 28J²¹, 252A¹⁴, 280C²¹, 28A¹², 336H²⁴, 84E¹⁰, 56E¹¹, 112Z²⁴, 28C¹⁹, 56N²⁴, 168I²³, 56B²⁴, 56F¹³, 112J²³, 28F¹⁵, 84E⁹, 56L²², 56C²³, 112I¹⁵, 56A³, 140A¹⁰, 28B¹⁰, 140A²², 56I¹¹, 84C²³, 168J²³, 56A¹⁵, 168L²³, 56L²³, 28B¹⁵, 168E¹⁰, 280B²¹, 168J²², 56B⁸, 56C¹⁴, 168A¹⁰, 112E¹⁴, 56I²¹, 28C⁹, 28K²¹, 56M²⁴, 168N²², 56A²², 168C¹⁸, 112X²⁴, 56D²³, 28B⁴, 56D¹⁵, 56H²², 56F¹⁴, 56A¹⁷, 140E¹¹, 168F²⁴, 56J¹¹, 28A⁴, 168B¹⁸, 168G²², 28C²³, 168D¹⁰, 112B¹⁶, 84J¹³, 168K²², 112Y²⁴, 168D¹⁸, 112I²³, 28A¹⁵, 84D²³, 84D¹¹, 336D²⁴, 168G¹⁰, 336C²⁴, 168M²², 56K²⁴, 84N²¹, 56E²², 168Q²², 56K¹², 28B¹¹, 112J¹⁵, 28E², 56D³, 336A²⁴, 112B²¹, 168A¹⁸, 336E²⁴, 84C¹⁷, 112K²³, 168B¹⁰, 56G²³, 56C¹⁰, 56N²³, 56E¹⁴, 28H⁶, 84P²¹, 168C¹⁰, 84H⁸, 84A¹³, 56D⁷, 56K¹¹, 56F¹¹, 56C¹⁵, 84O²¹, 56B¹⁵, 84A¹⁷, 112K²⁴, 168R²², 56F⁶, 140G²³, 56B³, 56C²², 168P²², 28B²³, 112L²⁴, 28F²¹, 140C²⁰, 168I²², 336B²⁴, 56A⁸, 168O²², 56I²³, 56K²², 28H¹¹, 168P²³, 28D²³, 56A²⁴, 168H¹⁰, 84F¹⁰, 56M²³, 84L¹⁹, 112D⁷, 168N²³, 28A²³, 168K²³</t>
        </is>
      </c>
    </row>
    <row r="267">
      <c r="A267">
        <f>HYPERLINK("https://mathstats.uncg.edu/sites/pauli/congruence/csg1.html#group30A1", "30A¹")</f>
        <v/>
      </c>
      <c r="B267" t="n">
        <v>1</v>
      </c>
      <c r="C267" t="inlineStr"/>
      <c r="D267" t="inlineStr">
        <is>
          <t>30</t>
        </is>
      </c>
      <c r="E267" t="inlineStr">
        <is>
          <t>1</t>
        </is>
      </c>
      <c r="F267" t="inlineStr">
        <is>
          <t>10</t>
        </is>
      </c>
      <c r="G267" t="inlineStr">
        <is>
          <t>0</t>
        </is>
      </c>
      <c r="H267" t="inlineStr">
        <is>
          <t>6</t>
        </is>
      </c>
      <c r="I267" t="inlineStr">
        <is>
          <t>30¹</t>
        </is>
      </c>
      <c r="J267" t="n">
        <v>1</v>
      </c>
      <c r="K267" t="inlineStr">
        <is>
          <t>2¹, 8¹</t>
        </is>
      </c>
      <c r="L267" t="inlineStr">
        <is>
          <t>6A⁰, 10A⁰</t>
        </is>
      </c>
      <c r="M267" t="inlineStr">
        <is>
          <t>30G⁴, 30B⁷, 30C⁷, 30G⁷, 30K⁷, 60B⁸, 60E⁸, 210C¹⁶, 210E¹⁶, 330C²⁴</t>
        </is>
      </c>
      <c r="N267" t="inlineStr">
        <is>
          <t>2A⁰, 5A⁰, 10A⁰, 6A⁰, 1A⁰</t>
        </is>
      </c>
      <c r="O267" t="inlineStr">
        <is>
          <t>90B²², 30G⁷, 210E¹⁶, 330C²⁴, 30D²², 120C¹⁶, 60E¹⁴, 60A¹⁴, 30A¹⁹, 30F²², 30K⁷, 30B⁷, 60B⁸, 120A¹⁶, 30C⁷, 30C¹³, 60E⁸, 30B²², 60T¹⁵, 210C¹⁶, 90I²², 30E¹³, 60P¹⁵, 30G⁴</t>
        </is>
      </c>
    </row>
    <row r="268">
      <c r="A268">
        <f>HYPERLINK("https://mathstats.uncg.edu/sites/pauli/congruence/csg1.html#group30B1", "30B¹")</f>
        <v/>
      </c>
      <c r="B268" t="n">
        <v>1</v>
      </c>
      <c r="C268" t="inlineStr"/>
      <c r="D268" t="inlineStr">
        <is>
          <t>30</t>
        </is>
      </c>
      <c r="E268" t="inlineStr">
        <is>
          <t>2</t>
        </is>
      </c>
      <c r="F268" t="inlineStr">
        <is>
          <t>5</t>
        </is>
      </c>
      <c r="G268" t="inlineStr">
        <is>
          <t>0</t>
        </is>
      </c>
      <c r="H268" t="inlineStr">
        <is>
          <t>6</t>
        </is>
      </c>
      <c r="I268" t="inlineStr">
        <is>
          <t>30¹</t>
        </is>
      </c>
      <c r="J268" t="n">
        <v>1</v>
      </c>
      <c r="K268" t="inlineStr">
        <is>
          <t>2¹, 8¹</t>
        </is>
      </c>
      <c r="L268" t="inlineStr">
        <is>
          <t>10A⁰, 15A⁰</t>
        </is>
      </c>
      <c r="M268" t="inlineStr">
        <is>
          <t>30G⁴, 30A⁷, 30E⁷, 30H⁷, 30M⁷, 30O⁷, 60F⁸, 210A¹⁶, 210B¹⁶, 210F¹⁶, 330A²⁴, 330B²⁴</t>
        </is>
      </c>
      <c r="N268" t="inlineStr">
        <is>
          <t>2A⁰, 5A⁰, 10A⁰, 1A⁰, 15A⁰</t>
        </is>
      </c>
      <c r="O268" t="inlineStr">
        <is>
          <t>30B¹³, 90K²², 30D²², 30A⁷, 90A²², 210A¹⁶, 30A¹⁹, 60Q¹⁵, 30F²², 30D¹³, 330A²⁴, 210B¹⁶, 30O⁷, 30B²², 30G¹³, 30H⁷, 30E⁷, 60F⁸, 210F¹⁶, 330B²⁴, 60Y¹⁵, 60F¹⁴, 30G⁴, 30M⁷, 120D¹⁶, 30O¹³</t>
        </is>
      </c>
    </row>
    <row r="269">
      <c r="A269">
        <f>HYPERLINK("https://mathstats.uncg.edu/sites/pauli/congruence/csg1.html#group30C1", "30C¹")</f>
        <v/>
      </c>
      <c r="B269" t="n">
        <v>1</v>
      </c>
      <c r="C269" t="inlineStr"/>
      <c r="D269" t="inlineStr">
        <is>
          <t>36</t>
        </is>
      </c>
      <c r="E269" t="inlineStr">
        <is>
          <t>1</t>
        </is>
      </c>
      <c r="F269" t="inlineStr">
        <is>
          <t>18</t>
        </is>
      </c>
      <c r="G269" t="inlineStr">
        <is>
          <t>8</t>
        </is>
      </c>
      <c r="H269" t="inlineStr">
        <is>
          <t>0</t>
        </is>
      </c>
      <c r="I269" t="inlineStr">
        <is>
          <t>6¹, 30¹</t>
        </is>
      </c>
      <c r="J269" t="n">
        <v>2</v>
      </c>
      <c r="K269" t="inlineStr">
        <is>
          <t>1², 2², 4¹, 8¹</t>
        </is>
      </c>
      <c r="L269" t="inlineStr">
        <is>
          <t>6B⁰, 15B⁰</t>
        </is>
      </c>
      <c r="M269" t="inlineStr">
        <is>
          <t>30D¹, 30I³, 30L³, 30G⁵, 30H⁵, 30P⁵, 90A⁵, 60R⁷, 90C⁷, 90D⁷, 30B¹¹, 150A¹¹, 150E¹³, 150D¹³, 150F¹³, 150C¹³, 210D¹⁵, 210E²³</t>
        </is>
      </c>
      <c r="N269" t="inlineStr">
        <is>
          <t>5B⁰, 15B⁰, 6B⁰, 3A⁰, 1A⁰</t>
        </is>
      </c>
      <c r="O269" t="inlineStr">
        <is>
          <t>210D¹⁵, 90J²¹, 90J¹⁵, 60N²¹, 90K¹⁷, 90L¹⁵, 90P¹⁵, 90K²¹, 60A²¹, 30G⁵, 60Y¹⁷, 30P⁵, 60C²¹, 60E⁹, 30D¹, 90D⁷, 90N²¹, 150B²³, 30J⁹, 90F¹⁷, 30I⁹, 30K¹¹, 60S²³, 60V¹⁷, 30B²³, 30I¹⁷, 30B¹¹, 120G¹⁹, 60X¹⁷, 30J¹³, 60X²¹, 30L³, 90O¹⁵, 120Q¹⁹, 60N⁷, 90L²¹, 90A²³, 60H¹⁵, 210E²³, 60S⁷, 30H⁵, 90G¹³, 30R⁵, 90G⁹, 90C⁷, 60M¹⁵, 150D²³, 30J²³, 120J¹⁹, 60AF¹³, 90G¹⁷, 90M¹⁵, 90N¹⁵, 150A²¹, 60R⁷, 30R⁹, 30L¹³, 90C¹⁷, 90E¹³, 60O²³, 60S¹¹, 90H¹¹, 60N¹⁷, 30K⁹, 30H⁹, 30I¹¹, 150E¹³, 120I¹⁹, 150A¹¹, 60B²¹, 90J¹⁹, 30I³, 30H²¹, 90B¹⁷, 120H¹⁹, 60R¹¹, 60AD¹³, 30B²¹, 150D¹³, 60F⁹, 60AK¹³, 90H¹³, 90A⁵, 30Q¹³, 90K¹¹, 60M⁷, 60D²¹, 60G²¹, 60P²³, 150F¹³, 30H¹⁷, 90I¹³, 90J¹⁷, 120P¹⁹, 60O²¹, 150C¹³</t>
        </is>
      </c>
    </row>
    <row r="270">
      <c r="A270">
        <f>HYPERLINK("https://mathstats.uncg.edu/sites/pauli/congruence/csg1.html#group30D1", "30D¹")</f>
        <v/>
      </c>
      <c r="B270" t="n">
        <v>1</v>
      </c>
      <c r="C270" t="inlineStr"/>
      <c r="D270" t="inlineStr">
        <is>
          <t>72</t>
        </is>
      </c>
      <c r="E270" t="inlineStr">
        <is>
          <t>1</t>
        </is>
      </c>
      <c r="F270" t="inlineStr">
        <is>
          <t>18</t>
        </is>
      </c>
      <c r="G270" t="inlineStr">
        <is>
          <t>16</t>
        </is>
      </c>
      <c r="H270" t="inlineStr">
        <is>
          <t>0</t>
        </is>
      </c>
      <c r="I270" t="inlineStr">
        <is>
          <t>6², 30²</t>
        </is>
      </c>
      <c r="J270" t="n">
        <v>4</v>
      </c>
      <c r="K270" t="inlineStr">
        <is>
          <t>1², 2², 4¹, 8¹</t>
        </is>
      </c>
      <c r="L270" t="inlineStr">
        <is>
          <t>15C⁰, 30A⁰, 30C¹</t>
        </is>
      </c>
      <c r="M270" t="inlineStr">
        <is>
          <t>30R⁵, 60M⁷, 60N⁷, 60S⁷, 30K⁹, 30R⁹, 90G⁹, 60AK¹³, 90E¹³, 90H¹³, 30B²¹, 150A²¹</t>
        </is>
      </c>
      <c r="N270" t="inlineStr">
        <is>
          <t>30A⁰, 15B⁰, 6B⁰, 5B⁰, 15C⁰, 3A⁰, 1A⁰, 30C¹, 10B⁰</t>
        </is>
      </c>
      <c r="O270" t="inlineStr">
        <is>
          <t>60X²¹, 30H²¹, 150A²¹, 30B²¹, 30R⁹, 60AK¹³, 90H¹³, 60N⁷, 30Q¹³, 60M⁷, 60D²¹, 60S⁷, 90E¹³, 60O²³, 30R⁵, 90N²¹, 90G⁹, 60P²³, 30H¹⁷, 30K⁹, 60N¹⁷, 60S²³, 60X¹⁷, 60C²¹</t>
        </is>
      </c>
    </row>
    <row r="271">
      <c r="A271">
        <f>HYPERLINK("https://mathstats.uncg.edu/sites/pauli/congruence/csg1.html#group32A1", "32A¹")</f>
        <v/>
      </c>
      <c r="B271" t="n">
        <v>1</v>
      </c>
      <c r="C271" t="inlineStr">
        <is>
          <t>Γ₀(32)</t>
        </is>
      </c>
      <c r="D271" t="inlineStr">
        <is>
          <t>48</t>
        </is>
      </c>
      <c r="E271" t="inlineStr">
        <is>
          <t>1</t>
        </is>
      </c>
      <c r="F271" t="inlineStr">
        <is>
          <t>12</t>
        </is>
      </c>
      <c r="G271" t="inlineStr">
        <is>
          <t>0</t>
        </is>
      </c>
      <c r="H271" t="inlineStr">
        <is>
          <t>0</t>
        </is>
      </c>
      <c r="I271" t="inlineStr">
        <is>
          <t>1⁴, 2², 8¹, 32¹</t>
        </is>
      </c>
      <c r="J271" t="n">
        <v>8</v>
      </c>
      <c r="K271" t="inlineStr">
        <is>
          <t>1⁴, 2², 4¹</t>
        </is>
      </c>
      <c r="L271" t="inlineStr">
        <is>
          <t>16C⁰</t>
        </is>
      </c>
      <c r="M271" t="inlineStr">
        <is>
          <t>32E¹, 32J³, 32M³, 64A³, 64B³, 64B⁵, 64A⁵, 96A⁹, 96M⁹, 160A¹⁷, 160F¹⁷</t>
        </is>
      </c>
      <c r="N271" t="inlineStr">
        <is>
          <t>8C⁰, 2B⁰, 4B⁰, 1A⁰, 16C⁰</t>
        </is>
      </c>
      <c r="O271" t="inlineStr">
        <is>
          <t>64C⁹, 256B²¹, 192P²¹, 32C⁹, 96M⁹, 96AI¹⁷, 96Q¹⁹, 96BH²¹, 128A¹⁷, 192D²¹, 32M⁷, 64D⁵, 128C¹³, 128B⁹, 128A¹¹, 32M⁵, 128C²¹, 128B¹⁷, 128A⁹, 96M¹⁷, 96A¹⁹, 192A²¹, 96S¹⁹, 64K²¹, 32U¹³, 128A¹³, 128B²¹, 96C¹⁹, 64V¹³, 96BJ²¹, 32G²¹, 32A⁹, 128D²¹, 32O⁵, 96AL¹⁷, 64J²¹, 32J³, 32F²¹, 192D¹⁹, 256A¹⁹, 192O²¹, 128A²¹, 64A⁹, 64B¹⁷, 32C¹⁷, 128D¹³, 64C¹⁷, 64D⁹, 64F²¹, 32M³, 64C²¹, 64C⁵, 64B³, 32A²¹, 96AH¹⁷, 64B¹⁹, 32A¹⁷, 64A³, 64B²¹, 96A¹⁷, 256B¹⁹, 256A²¹, 128E¹³, 192M²¹, 128F²¹, 96J¹⁷, 32E¹, 192A¹⁹, 96BK²¹, 192N²¹, 96A⁹, 96BA²¹, 192C¹⁹, 64A²¹, 128B¹³, 128A⁷, 64B¹¹, 192B²¹, 192C²¹, 64B⁵, 128E²¹, 64E⁹, 64A¹⁷, 64W¹³, 160F¹⁷, 160A¹⁷, 32B¹⁹, 192B¹⁹, 64B⁹, 64A⁵</t>
        </is>
      </c>
    </row>
    <row r="272">
      <c r="A272">
        <f>HYPERLINK("https://mathstats.uncg.edu/sites/pauli/congruence/csg1.html#group32B1", "32B¹")</f>
        <v/>
      </c>
      <c r="B272" t="n">
        <v>1</v>
      </c>
      <c r="C272" t="inlineStr"/>
      <c r="D272" t="inlineStr">
        <is>
          <t>48</t>
        </is>
      </c>
      <c r="E272" t="inlineStr">
        <is>
          <t>1</t>
        </is>
      </c>
      <c r="F272" t="inlineStr">
        <is>
          <t>12</t>
        </is>
      </c>
      <c r="G272" t="inlineStr">
        <is>
          <t>12</t>
        </is>
      </c>
      <c r="H272" t="inlineStr">
        <is>
          <t>0</t>
        </is>
      </c>
      <c r="I272" t="inlineStr">
        <is>
          <t>16¹, 32¹</t>
        </is>
      </c>
      <c r="J272" t="n">
        <v>2</v>
      </c>
      <c r="K272" t="inlineStr">
        <is>
          <t>2⁶</t>
        </is>
      </c>
      <c r="L272" t="inlineStr">
        <is>
          <t>16B⁰</t>
        </is>
      </c>
      <c r="M272" t="inlineStr">
        <is>
          <t>32L³, 32N³, 96A³, 32G⁵, 32L⁵, 32G⁷, 96C¹⁵, 160B¹⁷, 160H¹⁷, 224A¹⁹</t>
        </is>
      </c>
      <c r="N272" t="inlineStr">
        <is>
          <t>16B⁰, 8B⁰, 2B⁰, 1A⁰, 4C⁰</t>
        </is>
      </c>
      <c r="O272" t="inlineStr">
        <is>
          <t>32B¹³, 32L⁵, 32G⁷, 32K¹³, 64I²¹, 32C²³, 96R¹⁵, 32F⁹, 32M²¹, 32B²³, 32S²¹, 64F⁹, 32G⁵, 96C¹⁵, 96D¹⁷, 32F¹¹, 32Y²¹, 32J¹¹, 32I²¹, 32N³, 64T¹³, 96G¹³, 32E¹¹, 64K¹³, 288A²¹, 32A²³, 64M²¹, 96G²³, 64L²¹, 96I¹¹, 96J¹¹, 96A³, 96W¹⁵, 32J²¹, 32I¹¹, 32H⁹, 96H¹³, 64I⁹, 32T²¹, 32U²¹, 32G⁹, 32O⁹, 96Q¹⁷, 32K²¹, 32P⁹, 32L²¹, 96K¹¹, 64G²¹, 160B¹⁷, 160H¹⁷, 224A¹⁹, 32M¹³, 32V²¹, 32L³, 32D²³, 64H²¹, 96AB¹⁷</t>
        </is>
      </c>
    </row>
    <row r="273">
      <c r="A273">
        <f>HYPERLINK("https://mathstats.uncg.edu/sites/pauli/congruence/csg1.html#group32C1", "32C¹")</f>
        <v/>
      </c>
      <c r="B273" t="n">
        <v>1</v>
      </c>
      <c r="C273" t="inlineStr"/>
      <c r="D273" t="inlineStr">
        <is>
          <t>48</t>
        </is>
      </c>
      <c r="E273" t="inlineStr">
        <is>
          <t>1</t>
        </is>
      </c>
      <c r="F273" t="inlineStr">
        <is>
          <t>24</t>
        </is>
      </c>
      <c r="G273" t="inlineStr">
        <is>
          <t>2</t>
        </is>
      </c>
      <c r="H273" t="inlineStr">
        <is>
          <t>0</t>
        </is>
      </c>
      <c r="I273" t="inlineStr">
        <is>
          <t>2⁴, 4², 32¹</t>
        </is>
      </c>
      <c r="J273" t="n">
        <v>7</v>
      </c>
      <c r="K273" t="inlineStr">
        <is>
          <t>2², 4³, 8⁴</t>
        </is>
      </c>
      <c r="L273" t="inlineStr">
        <is>
          <t>16E⁰</t>
        </is>
      </c>
      <c r="M273" t="inlineStr">
        <is>
          <t>32B², 32Q³, 32C⁴, 96C⁸, 96E¹⁰, 160C¹⁷, 160K¹⁷, 224E²⁴</t>
        </is>
      </c>
      <c r="N273" t="inlineStr">
        <is>
          <t>16E⁰, 1A⁰, 2B⁰, 8D⁰, 4C⁰</t>
        </is>
      </c>
      <c r="O273" t="inlineStr">
        <is>
          <t>32C²³, 32H⁶, 32N⁵, 96A¹⁸, 96C¹⁶, 96BD¹⁹, 96F¹⁷, 64D¹⁷, 32D¹¹, 32Q³, 32T¹³, 64A²³, 32E¹⁹, 96E¹⁰, 96AJ²³, 32N⁹, 32L⁷, 32P²¹, 32U¹³, 160C¹⁷, 32B¹⁷, 96A²⁰, 224E²⁴, 32C⁴, 64B¹⁸, 32H¹¹, 32D²⁴, 64A¹⁹, 96E¹⁸, 32L²¹, 32B², 32C¹⁰, 64A¹⁸, 160K¹⁷, 96C⁸, 32E²¹, 96V¹⁷, 32B²⁴, 96AA¹⁹, 32D²¹, 64P²¹, 96AL²³</t>
        </is>
      </c>
    </row>
    <row r="274">
      <c r="A274">
        <f>HYPERLINK("https://mathstats.uncg.edu/sites/pauli/congruence/csg1.html#group32D1", "32D¹")</f>
        <v/>
      </c>
      <c r="B274" t="n">
        <v>1</v>
      </c>
      <c r="C274" t="inlineStr"/>
      <c r="D274" t="inlineStr">
        <is>
          <t>48</t>
        </is>
      </c>
      <c r="E274" t="inlineStr">
        <is>
          <t>1</t>
        </is>
      </c>
      <c r="F274" t="inlineStr">
        <is>
          <t>24</t>
        </is>
      </c>
      <c r="G274" t="inlineStr">
        <is>
          <t>2</t>
        </is>
      </c>
      <c r="H274" t="inlineStr">
        <is>
          <t>0</t>
        </is>
      </c>
      <c r="I274" t="inlineStr">
        <is>
          <t>2⁴, 4², 32¹</t>
        </is>
      </c>
      <c r="J274" t="n">
        <v>7</v>
      </c>
      <c r="K274" t="inlineStr">
        <is>
          <t>2², 4³, 8⁴</t>
        </is>
      </c>
      <c r="L274" t="inlineStr">
        <is>
          <t>16E⁰</t>
        </is>
      </c>
      <c r="M274" t="inlineStr">
        <is>
          <t>32B², 32Q³, 32C⁴, 96D⁸, 96F¹⁰, 160D¹⁷, 160L¹⁷, 224F²⁴</t>
        </is>
      </c>
      <c r="N274" t="inlineStr">
        <is>
          <t>16E⁰, 1A⁰, 2B⁰, 8D⁰, 4C⁰</t>
        </is>
      </c>
      <c r="O274" t="inlineStr">
        <is>
          <t>32C²³, 32H⁶, 32N⁵, 96A¹⁸, 96D⁸, 96BD¹⁹, 96F¹⁷, 64D¹⁷, 32D¹¹, 96AL²³, 224F²⁴, 32Q³, 96AB¹⁹, 160L¹⁷, 96F¹⁰, 32T¹³, 64A²³, 32E¹⁹, 96AJ²³, 32N⁹, 32L⁷, 32P²¹, 32U¹³, 96F¹⁸, 32B¹⁷, 96A²⁰, 32C⁴, 64B¹⁸, 32H¹¹, 96W¹⁷, 32D²⁴, 32L²¹, 32B², 32C¹⁰, 64A¹⁸, 32E²¹, 96D¹⁶, 32B²⁴, 32D²¹, 64P²¹, 160D¹⁷, 64A¹⁹</t>
        </is>
      </c>
    </row>
    <row r="275">
      <c r="A275">
        <f>HYPERLINK("https://mathstats.uncg.edu/sites/pauli/congruence/csg1.html#group32E1", "32E¹")</f>
        <v/>
      </c>
      <c r="B275" t="n">
        <v>1</v>
      </c>
      <c r="C275" t="inlineStr"/>
      <c r="D275" t="inlineStr">
        <is>
          <t>96</t>
        </is>
      </c>
      <c r="E275" t="inlineStr">
        <is>
          <t>1</t>
        </is>
      </c>
      <c r="F275" t="inlineStr">
        <is>
          <t>12</t>
        </is>
      </c>
      <c r="G275" t="inlineStr">
        <is>
          <t>0</t>
        </is>
      </c>
      <c r="H275" t="inlineStr">
        <is>
          <t>0</t>
        </is>
      </c>
      <c r="I275" t="inlineStr">
        <is>
          <t>1⁸, 2⁴, 8², 32²</t>
        </is>
      </c>
      <c r="J275" t="n">
        <v>16</v>
      </c>
      <c r="K275" t="inlineStr">
        <is>
          <t>1⁴, 2², 4¹</t>
        </is>
      </c>
      <c r="L275" t="inlineStr">
        <is>
          <t>16H⁰, 32A⁰, 32A¹</t>
        </is>
      </c>
      <c r="M275" t="inlineStr">
        <is>
          <t>32M⁵, 32O⁵, 64C⁵, 64D⁵, 64A⁹, 96A¹⁷, 96AL¹⁷</t>
        </is>
      </c>
      <c r="N275" t="inlineStr">
        <is>
          <t>32A¹, 16C⁰, 16D⁰, 32A⁰, 8C⁰, 2B⁰, 8I⁰, 4B⁰, 1A⁰, 16H⁰</t>
        </is>
      </c>
      <c r="O275" t="inlineStr">
        <is>
          <t>64C¹⁷, 64V¹³, 128A¹⁷, 64C²¹, 64C⁵, 32O⁵, 64D⁵, 96AL¹⁷, 32A¹⁷, 32M⁵, 96A¹⁷, 64A¹⁷, 64W¹³, 128E¹³, 128B¹⁷, 128A²¹, 64A⁹, 64B¹⁷, 32C¹⁷, 32U¹³</t>
        </is>
      </c>
    </row>
    <row r="276">
      <c r="A276">
        <f>HYPERLINK("https://mathstats.uncg.edu/sites/pauli/congruence/csg1.html#group33A1", "33A¹")</f>
        <v/>
      </c>
      <c r="B276" t="n">
        <v>1</v>
      </c>
      <c r="C276" t="inlineStr"/>
      <c r="D276" t="inlineStr">
        <is>
          <t>33</t>
        </is>
      </c>
      <c r="E276" t="inlineStr">
        <is>
          <t>2</t>
        </is>
      </c>
      <c r="F276" t="inlineStr">
        <is>
          <t>11</t>
        </is>
      </c>
      <c r="G276" t="inlineStr">
        <is>
          <t>9</t>
        </is>
      </c>
      <c r="H276" t="inlineStr">
        <is>
          <t>0</t>
        </is>
      </c>
      <c r="I276" t="inlineStr">
        <is>
          <t>33¹</t>
        </is>
      </c>
      <c r="J276" t="n">
        <v>1</v>
      </c>
      <c r="K276" t="inlineStr">
        <is>
          <t>2¹, 10²</t>
        </is>
      </c>
      <c r="L276" t="inlineStr">
        <is>
          <t>3A⁰, 11A⁰</t>
        </is>
      </c>
      <c r="M276" t="inlineStr">
        <is>
          <t>66A³, 33A⁴, 99A⁵, 66A⁶, 66F⁶, 132A⁷, 33B¹⁰, 33C¹⁰, 165A¹², 165B¹², 231A¹³, 231B¹³, 33A¹⁹, 231A²², 165A²³</t>
        </is>
      </c>
      <c r="N276" t="inlineStr">
        <is>
          <t>3A⁰, 11A⁰, 1A⁰</t>
        </is>
      </c>
      <c r="O276" t="inlineStr">
        <is>
          <t>33C¹⁰, 264C¹⁸, 33A¹⁹, 132D¹⁶, 264A¹⁸, 132A¹⁶, 99A⁵, 66B⁸, 198A¹¹, 132F¹², 231B¹³, 198A¹⁷, 33B²², 33A⁴, 165A²³, 132A⁷, 66B¹³, 66A³, 132B¹⁹, 66A¹¹, 132A¹³, 33A¹⁰, 66A²¹, 198E²¹, 66A²³, 66E²², 264B¹⁸, 198B¹⁴, 99A¹⁴, 330D²⁴, 264D¹⁸, 66A¹⁶, 99A¹⁹, 264C²⁴, 231A²², 33B¹⁰, 99B¹⁵, 198A²⁴, 165A¹², 33C²², 99A¹², 132A¹⁹, 231A¹³, 132D¹⁵, 198A¹⁴, 165B¹², 132A²², 66A¹⁴, 66F⁶, 198B¹¹, 99A¹⁵, 66A⁶</t>
        </is>
      </c>
    </row>
    <row r="277">
      <c r="A277">
        <f>HYPERLINK("https://mathstats.uncg.edu/sites/pauli/congruence/csg1.html#group36A1", "36A¹")</f>
        <v/>
      </c>
      <c r="B277" t="n">
        <v>1</v>
      </c>
      <c r="C277" t="inlineStr"/>
      <c r="D277" t="inlineStr">
        <is>
          <t>36</t>
        </is>
      </c>
      <c r="E277" t="inlineStr">
        <is>
          <t>1</t>
        </is>
      </c>
      <c r="F277" t="inlineStr">
        <is>
          <t>36</t>
        </is>
      </c>
      <c r="G277" t="inlineStr">
        <is>
          <t>10</t>
        </is>
      </c>
      <c r="H277" t="inlineStr">
        <is>
          <t>0</t>
        </is>
      </c>
      <c r="I277" t="inlineStr">
        <is>
          <t>36¹</t>
        </is>
      </c>
      <c r="J277" t="n">
        <v>1</v>
      </c>
      <c r="K277" t="inlineStr">
        <is>
          <t>2², 4², 12²</t>
        </is>
      </c>
      <c r="L277" t="inlineStr">
        <is>
          <t>9A⁰, 12A⁰</t>
        </is>
      </c>
      <c r="M277" t="inlineStr">
        <is>
          <t>36D², 36H³, 36L⁴, 72A⁴, 72B⁴, 72C⁴, 72D⁴, 36E⁵, 36J⁵, 36A⁶, 36F⁶, 72E⁷, 180A¹³, 180B¹³, 252A¹⁴, 252C²⁴</t>
        </is>
      </c>
      <c r="N277" t="inlineStr">
        <is>
          <t>12A⁰, 3A⁰, 1A⁰, 4A⁰, 9A⁰</t>
        </is>
      </c>
      <c r="O277" t="inlineStr">
        <is>
          <t>36J⁵, 72F¹⁰, 144B¹⁰, 72F¹⁴, 36T¹⁰, 36A⁶, 36P¹⁹, 72E⁷, 72A⁴, 72K⁸, 144J²², 144M²¹, 72H¹¹, 72L¹⁵, 72G²³, 72L¹⁴, 36A²¹, 36E⁵, 144F²², 72J¹⁴, 72O¹⁴, 36D¹¹, 144B²⁴, 72C¹², 36N¹⁵, 36D², 72X¹⁵, 72A²³, 144D¹⁰, 36H³, 72M¹⁴, 72L¹⁶, 72S¹⁷, 36D¹⁶, 36B¹⁴, 72G¹⁴, 144N²¹, 72A¹⁸, 36F¹⁵, 36A¹⁶, 72P²¹, 72A¹², 36M⁵, 36G¹², 72P¹⁹, 72E²³, 144S²³, 36K¹⁹, 72W¹⁷, 144G²⁰, 144H²⁰, 36C¹¹, 72V¹⁷, 36P¹⁵, 72E¹¹, 144F²⁰, 36H¹², 72C⁴, 36K⁹, 252A¹⁴, 72D⁴, 72Z¹⁵, 72D¹⁴, 72I¹⁰, 72F²³, 72B¹⁸, 72E¹⁰, 144Q²³, 144R²³, 144D²⁰, 72H²³, 144A²⁴, 36F⁶, 72Q²¹, 72D¹⁸, 144E²⁰, 72B¹², 36F¹², 72W²¹, 72F¹¹, 72J⁸, 36F¹¹, 180A¹³, 72B⁴, 72H⁸, 36I¹³, 72N¹⁴, 72C¹⁸, 72G¹¹, 72F⁹, 144C¹⁰, 72S²¹, 252C²⁴, 72B²³, 72M¹³, 144C²⁰, 144I²², 180B¹³, 144T²³, 72I⁸, 144A¹⁰, 72J¹⁵, 72F¹², 72F¹⁷, 144C²², 144C²⁴, 72M¹⁵, 108B²⁰, 36B²⁰, 36N¹³, 72G⁹, 36L⁴, 36R¹³</t>
        </is>
      </c>
    </row>
    <row r="278">
      <c r="A278">
        <f>HYPERLINK("https://mathstats.uncg.edu/sites/pauli/congruence/csg1.html#group36B1", "36B¹")</f>
        <v/>
      </c>
      <c r="B278" t="n">
        <v>1</v>
      </c>
      <c r="C278" t="inlineStr"/>
      <c r="D278" t="inlineStr">
        <is>
          <t>48</t>
        </is>
      </c>
      <c r="E278" t="inlineStr">
        <is>
          <t>1</t>
        </is>
      </c>
      <c r="F278" t="inlineStr">
        <is>
          <t>8</t>
        </is>
      </c>
      <c r="G278" t="inlineStr">
        <is>
          <t>0</t>
        </is>
      </c>
      <c r="H278" t="inlineStr">
        <is>
          <t>6</t>
        </is>
      </c>
      <c r="I278" t="inlineStr">
        <is>
          <t>4³, 36¹</t>
        </is>
      </c>
      <c r="J278" t="n">
        <v>4</v>
      </c>
      <c r="K278" t="inlineStr">
        <is>
          <t>2⁴</t>
        </is>
      </c>
      <c r="L278" t="inlineStr">
        <is>
          <t>12B⁰, 18C⁰</t>
        </is>
      </c>
      <c r="M278" t="inlineStr">
        <is>
          <t>36S⁴, 36H⁷, 36M⁷, 36D¹⁰, 36F¹⁰, 180A¹⁵, 180F²¹</t>
        </is>
      </c>
      <c r="N278" t="inlineStr">
        <is>
          <t>18C⁰, 3B⁰, 2A⁰, 1A⁰, 6C⁰, 12B⁰</t>
        </is>
      </c>
      <c r="O278" t="inlineStr">
        <is>
          <t>36S⁴, 36D¹⁰, 72Z²¹, 36U¹³, 180F²¹, 36F¹⁰, 36M⁷, 36M²², 36H⁷, 108C²², 180A¹⁵</t>
        </is>
      </c>
    </row>
    <row r="279">
      <c r="A279">
        <f>HYPERLINK("https://mathstats.uncg.edu/sites/pauli/congruence/csg1.html#group36C1", "36C¹")</f>
        <v/>
      </c>
      <c r="B279" t="n">
        <v>1</v>
      </c>
      <c r="C279" t="inlineStr">
        <is>
          <t>Γ₀(36)</t>
        </is>
      </c>
      <c r="D279" t="inlineStr">
        <is>
          <t>72</t>
        </is>
      </c>
      <c r="E279" t="inlineStr">
        <is>
          <t>1</t>
        </is>
      </c>
      <c r="F279" t="inlineStr">
        <is>
          <t>12</t>
        </is>
      </c>
      <c r="G279" t="inlineStr">
        <is>
          <t>0</t>
        </is>
      </c>
      <c r="H279" t="inlineStr">
        <is>
          <t>0</t>
        </is>
      </c>
      <c r="I279" t="inlineStr">
        <is>
          <t>1⁶, 4³, 9², 36¹</t>
        </is>
      </c>
      <c r="J279" t="n">
        <v>12</v>
      </c>
      <c r="K279" t="inlineStr">
        <is>
          <t>1⁶, 2³</t>
        </is>
      </c>
      <c r="L279" t="inlineStr">
        <is>
          <t>12E⁰, 18E⁰</t>
        </is>
      </c>
      <c r="M279" t="inlineStr">
        <is>
          <t>36K³, 72A³, 36L⁵, 72B⁵, 36O⁷, 72C⁷, 108A⁷, 36Q¹⁰, 108F¹⁰, 108B¹³</t>
        </is>
      </c>
      <c r="N279" t="inlineStr">
        <is>
          <t>3B⁰, 18E⁰, 9B⁰, 1A⁰, 2B⁰, 4B⁰, 6F⁰, 12E⁰</t>
        </is>
      </c>
      <c r="O279" t="inlineStr">
        <is>
          <t>108G¹⁷, 72AC²¹, 36L¹⁷, 72U¹³, 36F²¹, 108E²¹, 72T¹³, 72A³, 36L²², 72W¹³, 216A¹⁷, 36U¹³, 108A⁷, 72N¹⁷, 144J¹³, 72C⁷, 72B⁵, 144G¹³, 72R¹³, 108F²², 72I⁹, 36O⁷, 108B¹³, 72S¹³, 36Q¹⁰, 36L⁵, 216C²², 144H¹³, 72M¹⁷, 72V¹³, 144I¹³, 72Y¹⁷, 216B²¹, 144D¹⁷, 108F¹⁰, 36Q⁹, 36T¹³, 36K³, 72L²², 72Q¹³, 144E¹⁷</t>
        </is>
      </c>
    </row>
    <row r="280">
      <c r="A280">
        <f>HYPERLINK("https://mathstats.uncg.edu/sites/pauli/congruence/csg1.html#group39A1", "39A¹")</f>
        <v/>
      </c>
      <c r="B280" t="n">
        <v>1</v>
      </c>
      <c r="C280" t="inlineStr"/>
      <c r="D280" t="inlineStr">
        <is>
          <t>42</t>
        </is>
      </c>
      <c r="E280" t="inlineStr">
        <is>
          <t>2</t>
        </is>
      </c>
      <c r="F280" t="inlineStr">
        <is>
          <t>14</t>
        </is>
      </c>
      <c r="G280" t="inlineStr">
        <is>
          <t>6</t>
        </is>
      </c>
      <c r="H280" t="inlineStr">
        <is>
          <t>3</t>
        </is>
      </c>
      <c r="I280" t="inlineStr">
        <is>
          <t>3¹, 39¹</t>
        </is>
      </c>
      <c r="J280" t="n">
        <v>2</v>
      </c>
      <c r="K280" t="inlineStr">
        <is>
          <t>2², 24¹</t>
        </is>
      </c>
      <c r="L280" t="inlineStr">
        <is>
          <t>13A⁰</t>
        </is>
      </c>
      <c r="M280" t="inlineStr">
        <is>
          <t>78A², 39B⁴, 39C⁴, 78C⁵, 78B⁸, 39A¹⁰, 156A¹⁰, 195B¹⁴, 195B¹⁷, 273A¹⁹, 273B¹⁹</t>
        </is>
      </c>
      <c r="N280" t="inlineStr">
        <is>
          <t>13A⁰, 1A⁰</t>
        </is>
      </c>
      <c r="O280" t="inlineStr">
        <is>
          <t>39B¹⁰, 156C¹⁹, 156E¹⁹, 78E¹⁹, 195B¹⁴, 273A¹⁹, 78H²³, 78C⁹, 78D¹⁶, 195B¹⁷, 39B¹⁹, 156B²⁰, 39A¹⁰, 78G²³, 312A²³, 39C⁴, 78C¹⁸, 78A¹⁰, 39A¹⁶, 156A⁷, 273B¹⁹, 156F¹⁹, 78E¹⁶, 117A²², 78A², 78A¹⁶, 156B⁷, 312B²³, 156A¹⁰, 78B⁸, 78C⁵, 39B⁴, 78A²², 78A¹⁹, 156D¹⁷, 39B¹³, 78H¹³, 312D²³, 312C²³, 156B¹⁶</t>
        </is>
      </c>
    </row>
    <row r="281">
      <c r="A281">
        <f>HYPERLINK("https://mathstats.uncg.edu/sites/pauli/congruence/csg1.html#group40A1", "40A¹")</f>
        <v/>
      </c>
      <c r="B281" t="n">
        <v>1</v>
      </c>
      <c r="C281" t="inlineStr"/>
      <c r="D281" t="inlineStr">
        <is>
          <t>72</t>
        </is>
      </c>
      <c r="E281" t="inlineStr">
        <is>
          <t>2</t>
        </is>
      </c>
      <c r="F281" t="inlineStr">
        <is>
          <t>18</t>
        </is>
      </c>
      <c r="G281" t="inlineStr">
        <is>
          <t>4</t>
        </is>
      </c>
      <c r="H281" t="inlineStr">
        <is>
          <t>0</t>
        </is>
      </c>
      <c r="I281" t="inlineStr">
        <is>
          <t>1⁴, 5⁴, 8¹, 40¹</t>
        </is>
      </c>
      <c r="J281" t="n">
        <v>10</v>
      </c>
      <c r="K281" t="inlineStr">
        <is>
          <t>2⁶, 8³</t>
        </is>
      </c>
      <c r="L281" t="inlineStr">
        <is>
          <t>20A⁰</t>
        </is>
      </c>
      <c r="M281" t="inlineStr">
        <is>
          <t>40J³, 40O⁵, 40AC⁷, 120C¹¹, 40AJ¹⁵, 120M¹⁵, 200A¹⁵</t>
        </is>
      </c>
      <c r="N281" t="inlineStr">
        <is>
          <t>5B⁰, 10C⁰, 20A⁰, 2B⁰, 1A⁰</t>
        </is>
      </c>
      <c r="O281" t="inlineStr">
        <is>
          <t>40J¹³, 40AQ¹⁷, 200A¹⁵, 120M¹⁵, 40W¹³, 120C¹¹, 120S²³, 40O⁵, 40K¹¹, 40AR¹⁷, 40AC⁷, 40W⁹, 40J³, 40AJ¹⁵, 40AG¹⁵</t>
        </is>
      </c>
    </row>
    <row r="282">
      <c r="A282">
        <f>HYPERLINK("https://mathstats.uncg.edu/sites/pauli/congruence/csg1.html#group42A1", "42A¹")</f>
        <v/>
      </c>
      <c r="B282" t="n">
        <v>1</v>
      </c>
      <c r="C282" t="inlineStr"/>
      <c r="D282" t="inlineStr">
        <is>
          <t>42</t>
        </is>
      </c>
      <c r="E282" t="inlineStr">
        <is>
          <t>2</t>
        </is>
      </c>
      <c r="F282" t="inlineStr">
        <is>
          <t>7</t>
        </is>
      </c>
      <c r="G282" t="inlineStr">
        <is>
          <t>12</t>
        </is>
      </c>
      <c r="H282" t="inlineStr">
        <is>
          <t>0</t>
        </is>
      </c>
      <c r="I282" t="inlineStr">
        <is>
          <t>42¹</t>
        </is>
      </c>
      <c r="J282" t="n">
        <v>1</v>
      </c>
      <c r="K282" t="inlineStr">
        <is>
          <t>2¹, 6²</t>
        </is>
      </c>
      <c r="L282" t="inlineStr">
        <is>
          <t>14A⁰, 21A⁰</t>
        </is>
      </c>
      <c r="M282" t="inlineStr">
        <is>
          <t>42F³, 42E⁵, 126A⁶, 42A⁷, 42H⁷, 42I⁷, 42J⁷, 42N⁷, 84H⁸, 210A¹⁵, 210C¹⁵</t>
        </is>
      </c>
      <c r="N282" t="inlineStr">
        <is>
          <t>21A⁰, 14A⁰, 3A⁰, 1A⁰, 7A⁰</t>
        </is>
      </c>
      <c r="O282" t="inlineStr">
        <is>
          <t>84L²¹, 126J¹³, 42J⁷, 42B¹³, 42H⁷, 42D¹⁷, 210A¹⁵, 42G¹⁵, 42F¹⁷, 126F¹⁷, 126G¹⁷, 210C¹⁵, 42H¹⁵, 84K²¹, 42I⁷, 42J¹³, 84H⁸, 84I²¹, 126A⁶, 42E⁵, 126F¹⁵, 126C¹⁹, 168G²², 42A¹⁹, 42F¹⁹, 42G¹⁹, 168H²², 126C²¹, 42F³, 42H¹⁷, 84A²⁰, 126G¹⁸, 84G¹⁶, 168I²², 84C¹⁴, 126B¹⁷, 84D²³, 84C¹⁸, 42B²¹, 42E¹³, 42E¹⁷, 84J²¹, 126I¹⁷, 168J²², 42E¹⁵, 84A²³, 42I¹⁵, 126K¹³, 126C²⁴, 42A⁷, 42C⁹, 126B¹⁹, 84L¹⁹, 42K¹⁷, 42N⁷, 42J¹⁹</t>
        </is>
      </c>
    </row>
    <row r="283">
      <c r="A283">
        <f>HYPERLINK("https://mathstats.uncg.edu/sites/pauli/congruence/csg1.html#group42B1", "42B¹")</f>
        <v/>
      </c>
      <c r="B283" t="n">
        <v>1</v>
      </c>
      <c r="C283" t="inlineStr"/>
      <c r="D283" t="inlineStr">
        <is>
          <t>42</t>
        </is>
      </c>
      <c r="E283" t="inlineStr">
        <is>
          <t>2</t>
        </is>
      </c>
      <c r="F283" t="inlineStr">
        <is>
          <t>21</t>
        </is>
      </c>
      <c r="G283" t="inlineStr">
        <is>
          <t>12</t>
        </is>
      </c>
      <c r="H283" t="inlineStr">
        <is>
          <t>0</t>
        </is>
      </c>
      <c r="I283" t="inlineStr">
        <is>
          <t>42¹</t>
        </is>
      </c>
      <c r="J283" t="n">
        <v>1</v>
      </c>
      <c r="K283" t="inlineStr">
        <is>
          <t>2¹, 4¹, 6², 12²</t>
        </is>
      </c>
      <c r="L283" t="inlineStr">
        <is>
          <t>6B⁰, 21A⁰</t>
        </is>
      </c>
      <c r="M283" t="inlineStr">
        <is>
          <t>42F³, 42F⁴, 42G⁴, 42H⁴, 42F⁵, 42H⁵, 126A⁵, 126B⁵, 42C⁷, 42L⁷, 84I⁸, 126A⁸, 126D⁸, 42B⁹, 210B¹⁵, 210D¹⁵</t>
        </is>
      </c>
      <c r="N283" t="inlineStr">
        <is>
          <t>21A⁰, 6B⁰, 3A⁰, 1A⁰, 7A⁰</t>
        </is>
      </c>
      <c r="O283" t="inlineStr">
        <is>
          <t>168N²², 210D¹⁵, 42F⁵, 126D¹⁶, 126E¹⁸, 126C¹⁶, 84M¹⁷, 42E¹⁴, 126G¹⁷, 84N¹⁷, 42F¹⁴, 42H¹⁵, 84I¹⁷, 42H¹⁶, 126E¹⁹, 168L²², 42E¹⁹, 42H⁵, 84E²³, 42I¹⁶, 126A²², 42L¹¹, 126J¹⁸, 42F³, 126D⁸, 126C¹⁷, 42D¹³, 42C¹³, 126A²¹, 168K²², 126G²¹, 84J¹⁷, 84I⁸, 126B²¹, 126B¹⁶, 126A⁸, 42D¹⁴, 42B¹¹, 42G¹⁷, 168M²², 84N²¹, 126I¹⁷, 42A¹⁴, 42E²¹, 42G⁴, 126H¹⁷, 126H¹⁸, 126D¹⁸, 84H¹⁶, 42K¹⁷, 168Q²², 126E²⁰, 126K¹⁸, 84D¹⁴, 126E¹⁴, 126C¹⁸, 42F⁴, 126J¹³, 42H⁴, 210B¹⁵, 42G¹⁵, 126B¹⁸, 126F¹⁷, 126A⁵, 126H²¹, 84P²¹, 42K²³, 42I¹³, 126B⁵, 84O²¹, 168R²², 126J¹², 42E¹⁶, 126A¹⁶, 168P²², 84D¹⁸, 126A¹⁹, 42B⁹, 168O²², 126D¹⁷, 126B¹⁷, 42L¹⁹, 42E¹³, 126E¹⁷, 126R²¹, 126F¹⁴, 84F¹¹, 126I¹⁸, 84A²³, 42C⁹, 42B¹⁷, 126K¹³, 42L⁷, 42I¹⁵, 42A²¹, 84L¹⁹, 42C⁷, 84E¹¹, 84G²⁰</t>
        </is>
      </c>
    </row>
    <row r="284">
      <c r="A284">
        <f>HYPERLINK("https://mathstats.uncg.edu/sites/pauli/congruence/csg1.html#group49A1", "49A¹")</f>
        <v/>
      </c>
      <c r="B284" t="n">
        <v>1</v>
      </c>
      <c r="C284" t="inlineStr">
        <is>
          <t>Γ₀(49)</t>
        </is>
      </c>
      <c r="D284" t="inlineStr">
        <is>
          <t>56</t>
        </is>
      </c>
      <c r="E284" t="inlineStr">
        <is>
          <t>1</t>
        </is>
      </c>
      <c r="F284" t="inlineStr">
        <is>
          <t>56</t>
        </is>
      </c>
      <c r="G284" t="inlineStr">
        <is>
          <t>0</t>
        </is>
      </c>
      <c r="H284" t="inlineStr">
        <is>
          <t>2</t>
        </is>
      </c>
      <c r="I284" t="inlineStr">
        <is>
          <t>1⁷, 49¹</t>
        </is>
      </c>
      <c r="J284" t="n">
        <v>8</v>
      </c>
      <c r="K284" t="inlineStr">
        <is>
          <t>1², 6², 42¹</t>
        </is>
      </c>
      <c r="L284" t="inlineStr">
        <is>
          <t>7B⁰</t>
        </is>
      </c>
      <c r="M284" t="inlineStr">
        <is>
          <t>49A³, 98A⁵, 98A⁷, 147A¹⁰, 147A¹¹, 147B¹¹, 196A¹⁵, 49C¹⁹, 245A¹⁹, 245A²¹</t>
        </is>
      </c>
      <c r="N284" t="inlineStr">
        <is>
          <t>1A⁰, 7B⁰</t>
        </is>
      </c>
      <c r="O284" t="inlineStr">
        <is>
          <t>196A¹⁵, 98A⁵, 98A¹⁷, 294B²³, 196A¹⁷, 98B¹⁷, 98A¹⁵, 294A²³, 147A¹¹, 147A¹⁰, 245A¹⁹, 49A³, 147B¹¹, 98A⁷, 245A²¹, 49C¹⁹, 147B²¹, 196A¹³, 98A¹⁹, 294A²⁴, 147A²¹, 196A²¹</t>
        </is>
      </c>
    </row>
    <row r="285">
      <c r="A285">
        <f>HYPERLINK("https://mathstats.uncg.edu/sites/pauli/congruence/csg1.html#group52A1", "52A¹")</f>
        <v/>
      </c>
      <c r="B285" t="n">
        <v>1</v>
      </c>
      <c r="C285" t="inlineStr"/>
      <c r="D285" t="inlineStr">
        <is>
          <t>56</t>
        </is>
      </c>
      <c r="E285" t="inlineStr">
        <is>
          <t>2</t>
        </is>
      </c>
      <c r="F285" t="inlineStr">
        <is>
          <t>14</t>
        </is>
      </c>
      <c r="G285" t="inlineStr">
        <is>
          <t>4</t>
        </is>
      </c>
      <c r="H285" t="inlineStr">
        <is>
          <t>8</t>
        </is>
      </c>
      <c r="I285" t="inlineStr">
        <is>
          <t>4¹, 52¹</t>
        </is>
      </c>
      <c r="J285" t="n">
        <v>2</v>
      </c>
      <c r="K285" t="inlineStr">
        <is>
          <t>2², 24¹</t>
        </is>
      </c>
      <c r="L285" t="inlineStr">
        <is>
          <t>26A⁰</t>
        </is>
      </c>
      <c r="M285" t="inlineStr">
        <is>
          <t>52B³, 156A⁷, 156B⁷, 52D⁹, 52G¹¹, 52H¹¹, 156B¹¹, 156C¹⁵, 260A¹⁷</t>
        </is>
      </c>
      <c r="N285" t="inlineStr">
        <is>
          <t>13A⁰, 1A⁰, 26A⁰</t>
        </is>
      </c>
      <c r="O285" t="inlineStr">
        <is>
          <t>52B³, 52H¹¹, 260A¹⁷, 52A²³, 156E¹⁹, 156C¹⁵, 156B¹¹, 52D⁹, 156B⁷, 156H²³, 52F²¹, 52B²³, 52G¹¹, 52A¹⁵, 156A⁷, 156G²³, 156D¹⁹, 52H²³</t>
        </is>
      </c>
    </row>
    <row r="286">
      <c r="A286">
        <f>HYPERLINK("https://mathstats.uncg.edu/sites/pauli/congruence/csg2.html#group8A2", "8A²")</f>
        <v/>
      </c>
      <c r="B286" t="n">
        <v>2</v>
      </c>
      <c r="C286" t="inlineStr"/>
      <c r="D286" t="inlineStr">
        <is>
          <t>48</t>
        </is>
      </c>
      <c r="E286" t="inlineStr">
        <is>
          <t>1</t>
        </is>
      </c>
      <c r="F286" t="inlineStr">
        <is>
          <t>1</t>
        </is>
      </c>
      <c r="G286" t="inlineStr">
        <is>
          <t>0</t>
        </is>
      </c>
      <c r="H286" t="inlineStr">
        <is>
          <t>0</t>
        </is>
      </c>
      <c r="I286" t="inlineStr">
        <is>
          <t>8⁶</t>
        </is>
      </c>
      <c r="J286" t="n">
        <v>6</v>
      </c>
      <c r="K286" t="inlineStr">
        <is>
          <t>1¹</t>
        </is>
      </c>
      <c r="L286" t="inlineStr">
        <is>
          <t>4G⁰, 8E⁰, 8D¹</t>
        </is>
      </c>
      <c r="M286" t="inlineStr">
        <is>
          <t>8B³, 16A⁶, 24A¹⁰, 24B¹¹, 40A¹⁸, 40B¹⁹</t>
        </is>
      </c>
      <c r="N286" t="inlineStr">
        <is>
          <t>2A⁰, 4A⁰, 4D⁰, 2C⁰, 4C⁰, 8A⁰, 8E⁰, 4G⁰, 2B⁰, 4E⁰, 4F⁰, 4B⁰, 1A⁰, 8D¹</t>
        </is>
      </c>
      <c r="O286" t="inlineStr">
        <is>
          <t>24A¹⁰, 16D⁹, 8B³, 16C⁹, 16A¹¹, 16D²¹, 24B²¹, 16B⁷, 32A²¹, 48B²², 32B²¹, 16A⁶, 8A⁵, 16A¹⁷, 48A²², 24C²¹, 16B¹³, 24B¹¹, 24G²¹, 24C¹⁹, 24I¹⁹, 16B²¹, 32A¹⁹, 32D²¹, 40B¹⁹, 24D¹⁹, 16E²¹, 40A¹⁸</t>
        </is>
      </c>
    </row>
    <row r="287">
      <c r="A287">
        <f>HYPERLINK("https://mathstats.uncg.edu/sites/pauli/congruence/csg2.html#group8B2", "8B²")</f>
        <v/>
      </c>
      <c r="B287" t="n">
        <v>2</v>
      </c>
      <c r="C287" t="inlineStr"/>
      <c r="D287" t="inlineStr">
        <is>
          <t>48</t>
        </is>
      </c>
      <c r="E287" t="inlineStr">
        <is>
          <t>1</t>
        </is>
      </c>
      <c r="F287" t="inlineStr">
        <is>
          <t>12</t>
        </is>
      </c>
      <c r="G287" t="inlineStr">
        <is>
          <t>0</t>
        </is>
      </c>
      <c r="H287" t="inlineStr">
        <is>
          <t>0</t>
        </is>
      </c>
      <c r="I287" t="inlineStr">
        <is>
          <t>8⁶</t>
        </is>
      </c>
      <c r="J287" t="n">
        <v>6</v>
      </c>
      <c r="K287" t="inlineStr">
        <is>
          <t>2², 4²</t>
        </is>
      </c>
      <c r="L287" t="inlineStr">
        <is>
          <t>8K⁰, 8C¹, 8D¹</t>
        </is>
      </c>
      <c r="M287" t="inlineStr">
        <is>
          <t>8B³, 16A⁴, 16H⁵, 16B⁶, 24C¹⁰, 24G¹¹, 40C¹⁸, 40G¹⁹</t>
        </is>
      </c>
      <c r="N287" t="inlineStr">
        <is>
          <t>8C¹, 8A¹, 8D⁰, 4A⁰, 4C⁰, 8A⁰, 1A⁰, 2B⁰, 4F⁰, 8K⁰, 8D¹</t>
        </is>
      </c>
      <c r="O287" t="inlineStr">
        <is>
          <t>24C¹⁰, 16D⁹, 8B³, 16B⁶, 16A⁴, 24P¹⁹, 16A¹¹, 48AQ²¹, 16B⁷, 32A²¹, 48B²⁰, 48BL²¹, 32B²¹, 48D²², 16A¹⁷, 40C¹⁸, 64A²³, 16B¹³, 24G¹¹, 48C²², 32P¹³, 48A²³, 48A²⁰, 16B²¹, 16D¹¹, 16C⁹, 16H⁵, 16D²¹, 40G¹⁹, 32H¹¹, 48D²³, 8A⁵, 32F²³, 24G²¹, 24Q¹⁹, 32A¹⁹, 32D²¹, 24D¹⁹, 16E²¹, 24I²¹</t>
        </is>
      </c>
    </row>
    <row r="288">
      <c r="A288">
        <f>HYPERLINK("https://mathstats.uncg.edu/sites/pauli/congruence/csg2.html#group8C2", "8C²")</f>
        <v/>
      </c>
      <c r="B288" t="n">
        <v>2</v>
      </c>
      <c r="C288" t="inlineStr"/>
      <c r="D288" t="inlineStr">
        <is>
          <t>96</t>
        </is>
      </c>
      <c r="E288" t="inlineStr">
        <is>
          <t>1</t>
        </is>
      </c>
      <c r="F288" t="inlineStr">
        <is>
          <t>24</t>
        </is>
      </c>
      <c r="G288" t="inlineStr">
        <is>
          <t>4</t>
        </is>
      </c>
      <c r="H288" t="inlineStr">
        <is>
          <t>0</t>
        </is>
      </c>
      <c r="I288" t="inlineStr">
        <is>
          <t>8¹²</t>
        </is>
      </c>
      <c r="J288" t="n">
        <v>12</v>
      </c>
      <c r="K288" t="inlineStr">
        <is>
          <t>2², 4⁵</t>
        </is>
      </c>
      <c r="L288" t="inlineStr">
        <is>
          <t>8M⁰, 8P⁰, 8H¹, 8I¹</t>
        </is>
      </c>
      <c r="M288" t="inlineStr">
        <is>
          <t>8A⁵, 16C⁶, 16D⁷, 16H⁹, 16C¹⁰, 24A¹⁶, 24J²¹</t>
        </is>
      </c>
      <c r="N288" t="inlineStr">
        <is>
          <t>8D⁰, 4C⁰, 8A⁰, 8B⁰, 8L⁰, 2B⁰, 1A⁰, 8K⁰, 8H¹, 8D¹, 8H⁰, 8F⁰, 4A⁰, 8I¹, 4F⁰, 8M⁰, 8P⁰</t>
        </is>
      </c>
      <c r="O288" t="inlineStr">
        <is>
          <t>16B¹⁹, 16A¹⁹, 32D¹⁹, 32M²¹, 32B¹⁸, 24A¹⁶, 16C¹⁰, 8A⁵, 24J²¹, 16A¹⁷, 16F²¹, 32E²³, 16A¹⁵, 16B¹³, 32E¹⁹, 16D⁷, 16H⁹, 16B²¹, 32A¹⁸, 16C⁶, 32P²¹</t>
        </is>
      </c>
    </row>
    <row r="289">
      <c r="A289">
        <f>HYPERLINK("https://mathstats.uncg.edu/sites/pauli/congruence/csg2.html#group9A2", "9A²")</f>
        <v/>
      </c>
      <c r="B289" t="n">
        <v>2</v>
      </c>
      <c r="C289" t="inlineStr"/>
      <c r="D289" t="inlineStr">
        <is>
          <t>36</t>
        </is>
      </c>
      <c r="E289" t="inlineStr">
        <is>
          <t>1</t>
        </is>
      </c>
      <c r="F289" t="inlineStr">
        <is>
          <t>3</t>
        </is>
      </c>
      <c r="G289" t="inlineStr">
        <is>
          <t>0</t>
        </is>
      </c>
      <c r="H289" t="inlineStr">
        <is>
          <t>0</t>
        </is>
      </c>
      <c r="I289" t="inlineStr">
        <is>
          <t>9⁴</t>
        </is>
      </c>
      <c r="J289" t="n">
        <v>4</v>
      </c>
      <c r="K289" t="inlineStr">
        <is>
          <t>1¹, 2¹</t>
        </is>
      </c>
      <c r="L289" t="inlineStr">
        <is>
          <t>3D⁰, 9D⁰, 9B¹</t>
        </is>
      </c>
      <c r="M289" t="inlineStr">
        <is>
          <t>9A⁴, 9B⁴, 18A⁵, 18A⁶, 36C¹¹, 45A¹⁴, 45A¹⁵, 63A²⁰, 63A²¹</t>
        </is>
      </c>
      <c r="N289" t="inlineStr">
        <is>
          <t>3B⁰, 9D⁰, 9A⁰, 3C⁰, 3A⁰, 1A⁰, 9B¹, 3D⁰</t>
        </is>
      </c>
      <c r="O289" t="inlineStr">
        <is>
          <t>36C¹¹, 18C¹³, 27E¹⁹, 18A⁵, 27B²², 45A¹⁴, 36A¹⁵, 18A¹⁶, 18H¹³, 18B¹⁶, 72F²³, 36A¹¹, 9A¹⁰, 9B⁴, 18A⁶, 36A²¹, 27A²², 18F¹³, 27A¹⁶, 45A¹⁵, 36C¹³, 63A²¹, 18A¹³, 18B¹³, 9A⁴, 63A²⁰, 27B¹⁶</t>
        </is>
      </c>
    </row>
    <row r="290">
      <c r="A290">
        <f>HYPERLINK("https://mathstats.uncg.edu/sites/pauli/congruence/csg2.html#group9B2", "9B²")</f>
        <v/>
      </c>
      <c r="B290" t="n">
        <v>2</v>
      </c>
      <c r="C290" t="inlineStr"/>
      <c r="D290" t="inlineStr">
        <is>
          <t>54</t>
        </is>
      </c>
      <c r="E290" t="inlineStr">
        <is>
          <t>1</t>
        </is>
      </c>
      <c r="F290" t="inlineStr">
        <is>
          <t>27</t>
        </is>
      </c>
      <c r="G290" t="inlineStr">
        <is>
          <t>2</t>
        </is>
      </c>
      <c r="H290" t="inlineStr">
        <is>
          <t>0</t>
        </is>
      </c>
      <c r="I290" t="inlineStr">
        <is>
          <t>9⁶</t>
        </is>
      </c>
      <c r="J290" t="n">
        <v>6</v>
      </c>
      <c r="K290" t="inlineStr">
        <is>
          <t>3¹, 6⁴</t>
        </is>
      </c>
      <c r="L290" t="inlineStr">
        <is>
          <t>9E⁰, 9G⁰, 9B¹</t>
        </is>
      </c>
      <c r="M290" t="inlineStr">
        <is>
          <t>9A⁴, 9C⁴, 18B⁶, 18C⁷, 18A⁸, 27A⁸, 27A¹¹, 36F¹⁵, 45A²⁰, 45A²¹</t>
        </is>
      </c>
      <c r="N290" t="inlineStr">
        <is>
          <t>3C⁰, 9A⁰, 9E⁰, 3A⁰, 1A⁰, 9B¹, 9G⁰</t>
        </is>
      </c>
      <c r="O290" t="inlineStr">
        <is>
          <t>45A²⁰, 18C¹⁶, 27A¹¹, 18B⁶, 27B²², 18B¹⁹, 27A⁸, 36A¹⁸, 18A¹⁶, 18A¹⁸, 54A²¹, 45A²¹, 18C⁷, 36C²², 36C²¹, 18A⁸, 9A¹⁰, 27C²², 9C⁴, 36E¹⁵, 36O¹⁹, 54B²⁴, 36F¹⁵, 27A¹⁶, 54B²¹, 18D¹⁹, 18A¹³, 54H²², 18C¹⁹, 9A⁴, 18A²², 54A²⁴</t>
        </is>
      </c>
    </row>
    <row r="291">
      <c r="A291">
        <f>HYPERLINK("https://mathstats.uncg.edu/sites/pauli/congruence/csg2.html#group10A2", "10A²")</f>
        <v/>
      </c>
      <c r="B291" t="n">
        <v>2</v>
      </c>
      <c r="C291" t="inlineStr"/>
      <c r="D291" t="inlineStr">
        <is>
          <t>30</t>
        </is>
      </c>
      <c r="E291" t="inlineStr">
        <is>
          <t>1</t>
        </is>
      </c>
      <c r="F291" t="inlineStr">
        <is>
          <t>5</t>
        </is>
      </c>
      <c r="G291" t="inlineStr">
        <is>
          <t>0</t>
        </is>
      </c>
      <c r="H291" t="inlineStr">
        <is>
          <t>0</t>
        </is>
      </c>
      <c r="I291" t="inlineStr">
        <is>
          <t>10³</t>
        </is>
      </c>
      <c r="J291" t="n">
        <v>3</v>
      </c>
      <c r="K291" t="inlineStr">
        <is>
          <t>1¹, 4¹</t>
        </is>
      </c>
      <c r="L291" t="inlineStr">
        <is>
          <t>5E⁰, 10A⁰</t>
        </is>
      </c>
      <c r="M291" t="inlineStr">
        <is>
          <t>10B³, 10A⁴, 30A⁷, 30C⁷, 20B⁸, 30A⁸, 50A¹⁰, 70B¹⁷, 70A¹⁸</t>
        </is>
      </c>
      <c r="N291" t="inlineStr">
        <is>
          <t>5E⁰, 2A⁰, 5A⁰, 10A⁰, 1A⁰</t>
        </is>
      </c>
      <c r="O291" t="inlineStr">
        <is>
          <t>30A²², 10A¹³, 20F¹⁵, 50C¹⁹, 10A⁵, 20C²², 40A²², 30D¹³, 50B²³, 50A¹⁰, 30C⁷, 20A¹⁰, 30A⁸, 20D¹⁹, 60A¹⁸, 30E¹³, 20A¹⁵, 40B¹⁸, 20D¹⁰, 60C¹⁸, 40E²², 50A¹⁹, 50D¹⁹, 20B²², 30B¹³, 40C²², 10A⁴, 30A⁷, 90A²², 10A⁷, 30A¹⁹, 20C¹⁹, 70A¹⁸, 30C¹⁵, 20B⁸, 20A²², 50E²¹, 30G¹³, 40D¹⁸, 40L²², 10B³, 70B¹⁷</t>
        </is>
      </c>
    </row>
    <row r="292">
      <c r="A292">
        <f>HYPERLINK("https://mathstats.uncg.edu/sites/pauli/congruence/csg2.html#group10B2", "10B²")</f>
        <v/>
      </c>
      <c r="B292" t="n">
        <v>2</v>
      </c>
      <c r="C292" t="inlineStr"/>
      <c r="D292" t="inlineStr">
        <is>
          <t>30</t>
        </is>
      </c>
      <c r="E292" t="inlineStr">
        <is>
          <t>1</t>
        </is>
      </c>
      <c r="F292" t="inlineStr">
        <is>
          <t>5</t>
        </is>
      </c>
      <c r="G292" t="inlineStr">
        <is>
          <t>0</t>
        </is>
      </c>
      <c r="H292" t="inlineStr">
        <is>
          <t>0</t>
        </is>
      </c>
      <c r="I292" t="inlineStr">
        <is>
          <t>10³</t>
        </is>
      </c>
      <c r="J292" t="n">
        <v>3</v>
      </c>
      <c r="K292" t="inlineStr">
        <is>
          <t>1¹, 4¹</t>
        </is>
      </c>
      <c r="L292" t="inlineStr">
        <is>
          <t>2C⁰, 10A⁰, 10B¹</t>
        </is>
      </c>
      <c r="M292" t="inlineStr">
        <is>
          <t>10A⁴, 20A⁴, 10B⁵, 30B⁷, 30E⁷, 30B⁸, 70C¹⁷, 70C¹⁸</t>
        </is>
      </c>
      <c r="N292" t="inlineStr">
        <is>
          <t>2A⁰, 5A⁰, 10A⁰, 10B¹, 2B⁰, 1A⁰, 2C⁰</t>
        </is>
      </c>
      <c r="O292" t="inlineStr">
        <is>
          <t>30A²², 10A¹³, 60E¹⁴, 60A¹⁴, 20B¹¹, 20C²², 40A²², 40B¹⁶, 30B⁷, 40A⁸, 60A¹⁶, 30C¹³, 10B⁵, 80A¹⁶, 20A¹³, 20A¹⁰, 40A⁹, 80A¹⁸, 20D¹⁹, 60B¹⁷, 70C¹⁸, 20D¹⁰, 40E²², 40G¹⁷, 20B²², 90B²², 40C²², 60B¹⁸, 10A⁴, 10A⁷, 30A¹⁹, 20C¹⁹, 80A¹⁹, 40D⁸, 70C¹⁷, 80F¹⁹, 20A²², 30B⁸, 40A¹⁶, 30E⁷, 40L²², 20A⁴, 60F¹⁴, 20A⁸, 40A¹⁷, 20C¹⁵, 80B¹⁹, 80A¹⁷, 40A¹⁸</t>
        </is>
      </c>
    </row>
    <row r="293">
      <c r="A293">
        <f>HYPERLINK("https://mathstats.uncg.edu/sites/pauli/congruence/csg2.html#group10C2", "10C²")</f>
        <v/>
      </c>
      <c r="B293" t="n">
        <v>2</v>
      </c>
      <c r="C293" t="inlineStr"/>
      <c r="D293" t="inlineStr">
        <is>
          <t>60</t>
        </is>
      </c>
      <c r="E293" t="inlineStr">
        <is>
          <t>1</t>
        </is>
      </c>
      <c r="F293" t="inlineStr">
        <is>
          <t>15</t>
        </is>
      </c>
      <c r="G293" t="inlineStr">
        <is>
          <t>4</t>
        </is>
      </c>
      <c r="H293" t="inlineStr">
        <is>
          <t>0</t>
        </is>
      </c>
      <c r="I293" t="inlineStr">
        <is>
          <t>10⁶</t>
        </is>
      </c>
      <c r="J293" t="n">
        <v>6</v>
      </c>
      <c r="K293" t="inlineStr">
        <is>
          <t>1¹, 2¹, 4³</t>
        </is>
      </c>
      <c r="L293" t="inlineStr">
        <is>
          <t>5G⁰, 10B⁰, 10D⁰, 10E¹</t>
        </is>
      </c>
      <c r="M293" t="inlineStr">
        <is>
          <t>10A⁵, 10A⁶, 20E⁷, 30B¹⁰, 20B¹³, 50A¹⁴, 30B¹⁵, 50A¹⁸, 50B¹⁸, 50A²⁰, 50B²²</t>
        </is>
      </c>
      <c r="N293" t="inlineStr">
        <is>
          <t>5A⁰, 10D⁰, 5C⁰, 5B⁰, 5E⁰, 10E¹, 1A⁰, 5G⁰, 10B⁰</t>
        </is>
      </c>
      <c r="O293" t="inlineStr">
        <is>
          <t>20B¹⁷, 10A¹³, 10A⁵, 30B¹⁰, 30B²¹, 50A¹⁴, 20I¹⁵, 20A²¹, 50B¹⁸, 20B¹⁹, 20B¹³, 20E⁷, 50A¹⁸, 50A²⁰, 30B¹⁵, 20A¹⁵, 30C²³, 10A⁶, 50B²²</t>
        </is>
      </c>
    </row>
    <row r="294">
      <c r="A294">
        <f>HYPERLINK("https://mathstats.uncg.edu/sites/pauli/congruence/csg2.html#group10D2", "10D²")</f>
        <v/>
      </c>
      <c r="B294" t="n">
        <v>2</v>
      </c>
      <c r="C294" t="inlineStr"/>
      <c r="D294" t="inlineStr">
        <is>
          <t>60</t>
        </is>
      </c>
      <c r="E294" t="inlineStr">
        <is>
          <t>1</t>
        </is>
      </c>
      <c r="F294" t="inlineStr">
        <is>
          <t>30</t>
        </is>
      </c>
      <c r="G294" t="inlineStr">
        <is>
          <t>0</t>
        </is>
      </c>
      <c r="H294" t="inlineStr">
        <is>
          <t>0</t>
        </is>
      </c>
      <c r="I294" t="inlineStr">
        <is>
          <t>5⁴, 10⁴</t>
        </is>
      </c>
      <c r="J294" t="n">
        <v>8</v>
      </c>
      <c r="K294" t="inlineStr">
        <is>
          <t>2³, 4⁶</t>
        </is>
      </c>
      <c r="L294" t="inlineStr">
        <is>
          <t>5F⁰, 10B¹, 10F¹</t>
        </is>
      </c>
      <c r="M294" t="inlineStr">
        <is>
          <t>10B⁴, 10B⁵, 20E⁵, 20D⁷, 30B¹², 30F¹², 30N¹³, 50A²²</t>
        </is>
      </c>
      <c r="N294" t="inlineStr">
        <is>
          <t>5A⁰, 10B¹, 5C⁰, 5F⁰, 2B⁰, 1A⁰, 10F¹</t>
        </is>
      </c>
      <c r="O294" t="inlineStr">
        <is>
          <t>20D⁷, 20A¹⁹, 10A¹³, 40E¹⁷, 20E⁵, 20B¹¹, 30F¹², 50A²², 20C¹¹, 30B¹², 40F¹⁷, 20G¹⁵, 30F²³, 40J¹¹, 10B⁵, 20A¹³, 20G¹³, 40D¹⁵, 40G¹³, 30N¹³, 10B⁴, 40A¹⁵, 20C¹⁵</t>
        </is>
      </c>
    </row>
    <row r="295">
      <c r="A295">
        <f>HYPERLINK("https://mathstats.uncg.edu/sites/pauli/congruence/csg2.html#group10E2", "10E²")</f>
        <v/>
      </c>
      <c r="B295" t="n">
        <v>2</v>
      </c>
      <c r="C295" t="inlineStr"/>
      <c r="D295" t="inlineStr">
        <is>
          <t>60</t>
        </is>
      </c>
      <c r="E295" t="inlineStr">
        <is>
          <t>1</t>
        </is>
      </c>
      <c r="F295" t="inlineStr">
        <is>
          <t>30</t>
        </is>
      </c>
      <c r="G295" t="inlineStr">
        <is>
          <t>4</t>
        </is>
      </c>
      <c r="H295" t="inlineStr">
        <is>
          <t>0</t>
        </is>
      </c>
      <c r="I295" t="inlineStr">
        <is>
          <t>10⁶</t>
        </is>
      </c>
      <c r="J295" t="n">
        <v>6</v>
      </c>
      <c r="K295" t="inlineStr">
        <is>
          <t>2³, 4⁶</t>
        </is>
      </c>
      <c r="L295" t="inlineStr">
        <is>
          <t>10D⁰, 10F¹</t>
        </is>
      </c>
      <c r="M295" t="inlineStr">
        <is>
          <t>10B⁵, 20F⁵, 20G⁵, 10A⁶, 20A⁷, 20I⁷, 30C¹⁰, 30E¹⁵, 50C²²</t>
        </is>
      </c>
      <c r="N295" t="inlineStr">
        <is>
          <t>1A⁰, 2B⁰, 5C⁰, 10D⁰, 10F¹</t>
        </is>
      </c>
      <c r="O295" t="inlineStr">
        <is>
          <t>20B¹⁷, 20H¹⁵, 10A¹³, 20B¹¹, 40E¹⁵, 40I¹⁷, 30C¹⁰, 10B⁵, 20A¹³, 20F⁵, 20G⁵, 20D¹¹, 60M²³, 40I¹³, 60K²³, 10A⁶, 20C¹³, 20I¹⁵, 20I⁷, 40H¹³, 40B¹⁷, 20A²¹, 30D²¹, 50C²², 30H²³, 20B¹⁹, 20D¹³, 20A⁷, 20C¹⁵, 40J¹⁵, 60F²³, 40F¹³, 30E¹⁵, 60U²¹</t>
        </is>
      </c>
    </row>
    <row r="296">
      <c r="A296">
        <f>HYPERLINK("https://mathstats.uncg.edu/sites/pauli/congruence/csg2.html#group10F2", "10F²")</f>
        <v/>
      </c>
      <c r="B296" t="n">
        <v>2</v>
      </c>
      <c r="C296" t="inlineStr"/>
      <c r="D296" t="inlineStr">
        <is>
          <t>90</t>
        </is>
      </c>
      <c r="E296" t="inlineStr">
        <is>
          <t>1</t>
        </is>
      </c>
      <c r="F296" t="inlineStr">
        <is>
          <t>45</t>
        </is>
      </c>
      <c r="G296" t="inlineStr">
        <is>
          <t>2</t>
        </is>
      </c>
      <c r="H296" t="inlineStr">
        <is>
          <t>0</t>
        </is>
      </c>
      <c r="I296" t="inlineStr">
        <is>
          <t>5⁶, 10⁶</t>
        </is>
      </c>
      <c r="J296" t="n">
        <v>12</v>
      </c>
      <c r="K296" t="inlineStr">
        <is>
          <t>1³, 2³, 4⁹</t>
        </is>
      </c>
      <c r="L296" t="inlineStr">
        <is>
          <t>5G⁰, 10C⁰, 10F¹, 10I¹</t>
        </is>
      </c>
      <c r="M296" t="inlineStr">
        <is>
          <t>10B⁴, 10A⁶, 20D⁶, 10A⁷, 20P⁷, 20B⁹, 20E¹⁰, 30C¹⁶, 30B¹⁹, 50D²², 50A²⁴, 50B²⁴</t>
        </is>
      </c>
      <c r="N296" t="inlineStr">
        <is>
          <t>5A⁰, 10I¹, 10B¹, 5C⁰, 5B⁰, 10C⁰, 5E⁰, 2B⁰, 1A⁰, 5G⁰, 10F¹</t>
        </is>
      </c>
      <c r="O296" t="inlineStr">
        <is>
          <t>20B¹⁷, 20A¹⁹, 30C¹⁶, 10A¹³, 20B²¹, 50A²⁴, 20C²¹, 10A⁷, 20E¹⁰, 50B²⁴, 20C¹⁹, 20B⁹, 20I¹⁵, 40I²¹, 40H²¹, 50D²², 40AJ¹⁵, 20A²¹, 30B¹⁹, 40M¹⁹, 20D⁶, 20B¹⁹, 20G¹³, 20D¹⁹, 40L¹⁹, 40G²¹, 10B⁴, 20P⁷, 40C²³, 40D²³, 10A⁶</t>
        </is>
      </c>
    </row>
    <row r="297">
      <c r="A297">
        <f>HYPERLINK("https://mathstats.uncg.edu/sites/pauli/congruence/csg2.html#group11A2", "11A²")</f>
        <v/>
      </c>
      <c r="B297" t="n">
        <v>2</v>
      </c>
      <c r="C297" t="inlineStr"/>
      <c r="D297" t="inlineStr">
        <is>
          <t>66</t>
        </is>
      </c>
      <c r="E297" t="inlineStr">
        <is>
          <t>1</t>
        </is>
      </c>
      <c r="F297" t="inlineStr">
        <is>
          <t>66</t>
        </is>
      </c>
      <c r="G297" t="inlineStr">
        <is>
          <t>6</t>
        </is>
      </c>
      <c r="H297" t="inlineStr">
        <is>
          <t>0</t>
        </is>
      </c>
      <c r="I297" t="inlineStr">
        <is>
          <t>11⁶</t>
        </is>
      </c>
      <c r="J297" t="n">
        <v>6</v>
      </c>
      <c r="K297" t="inlineStr">
        <is>
          <t>1¹, 5¹, 10⁶</t>
        </is>
      </c>
      <c r="L297" t="inlineStr">
        <is>
          <t>11A⁰</t>
        </is>
      </c>
      <c r="M297" t="inlineStr">
        <is>
          <t>11A⁶, 22B⁶, 22A⁹, 22A¹⁰, 33C¹⁰, 11A¹², 33A¹⁷, 44C¹⁷, 55A²⁴</t>
        </is>
      </c>
      <c r="N297" t="inlineStr">
        <is>
          <t>11A⁰, 1A⁰</t>
        </is>
      </c>
      <c r="O297" t="inlineStr">
        <is>
          <t>33C¹⁰, 66E²², 44C²², 22B²², 55A²⁴, 44B¹⁷, 22A²², 11A⁶, 33C²², 22A⁹, 44C¹⁷, 33A¹⁷, 44A¹⁷, 22A¹⁷, 11A¹², 22B⁶, 22A¹⁰</t>
        </is>
      </c>
    </row>
    <row r="298">
      <c r="A298">
        <f>HYPERLINK("https://mathstats.uncg.edu/sites/pauli/congruence/csg2.html#group12A2", "12A²")</f>
        <v/>
      </c>
      <c r="B298" t="n">
        <v>2</v>
      </c>
      <c r="C298" t="inlineStr"/>
      <c r="D298" t="inlineStr">
        <is>
          <t>24</t>
        </is>
      </c>
      <c r="E298" t="inlineStr">
        <is>
          <t>1</t>
        </is>
      </c>
      <c r="F298" t="inlineStr">
        <is>
          <t>4</t>
        </is>
      </c>
      <c r="G298" t="inlineStr">
        <is>
          <t>0</t>
        </is>
      </c>
      <c r="H298" t="inlineStr">
        <is>
          <t>0</t>
        </is>
      </c>
      <c r="I298" t="inlineStr">
        <is>
          <t>12²</t>
        </is>
      </c>
      <c r="J298" t="n">
        <v>2</v>
      </c>
      <c r="K298" t="inlineStr">
        <is>
          <t>2²</t>
        </is>
      </c>
      <c r="L298" t="inlineStr">
        <is>
          <t>4D⁰, 12A⁰, 6A¹</t>
        </is>
      </c>
      <c r="M298" t="inlineStr">
        <is>
          <t>12C³, 12A⁴, 24A⁴, 24B⁴, 36A⁶, 24C⁷, 60A¹⁰, 60E¹¹, 84A¹⁴, 84C¹⁵, 60E¹⁹, 132A²², 132C²³</t>
        </is>
      </c>
      <c r="N298" t="inlineStr">
        <is>
          <t>2A⁰, 12A⁰, 4A⁰, 4D⁰, 6A¹, 3A⁰, 1A⁰</t>
        </is>
      </c>
      <c r="O298" t="inlineStr">
        <is>
          <t>60E¹¹, 36B²¹, 24E¹³, 84A¹⁴, 48L²¹, 36A⁶, 12A⁵, 120B²³, 12A⁴, 48A²², 48A¹⁵, 72G²³, 72M²¹, 36A²¹, 72C²³, 120F²³, 24I¹⁹, 36D¹¹, 60M²¹, 144B²⁴, 72C¹², 48F²¹, 24A¹⁵, 60G¹⁹, 36E¹¹, 24F¹³, 36C¹⁷, 24W¹⁷, 120A²⁰, 24A¹⁹, 24A⁸, 72A²³, 24G¹⁷, 120A²³, 12C³, 48B¹⁸, 48B²², 24J¹⁷, 24H¹⁹, 48B⁸, 120E²³, 36D¹⁶, 24C⁸, 24R¹⁷, 36A¹⁶, 72A¹², 72E²³, 72D²³, 24G¹⁹, 48Q²¹, 24C⁹, 48G¹⁸, 132C²³, 24A¹⁰, 60E¹⁹, 48A⁸, 24D¹³, 24F¹⁹, 24F¹⁷, 24B¹⁹, 48A¹⁹, 12A⁹, 144A²⁴, 84C¹⁵, 72H²³, 24C⁷, 60A¹⁰, 36E¹⁷, 12A¹³, 48C¹⁵, 48B¹⁵, 24B¹⁵, 24E¹⁹, 24B⁴, 12B⁷, 60F²¹, 24B¹⁰, 72B¹², 36J⁹, 24H⁹, 48G¹⁹, 24B¹⁷, 120B²⁰, 36F¹¹, 24B¹³, 72N²¹, 24A⁴, 24S¹⁹, 24A¹³, 24A⁷, 72B²³, 36H¹⁹, 48B¹⁹, 36E¹⁹, 144C²⁴, 24C¹⁹, 48E²¹, 48D¹⁹, 132A²², 60O²¹, 24D¹⁹, 24B⁷</t>
        </is>
      </c>
    </row>
    <row r="299">
      <c r="A299">
        <f>HYPERLINK("https://mathstats.uncg.edu/sites/pauli/congruence/csg2.html#group12B2", "12B²")</f>
        <v/>
      </c>
      <c r="B299" t="n">
        <v>2</v>
      </c>
      <c r="C299" t="inlineStr"/>
      <c r="D299" t="inlineStr">
        <is>
          <t>36</t>
        </is>
      </c>
      <c r="E299" t="inlineStr">
        <is>
          <t>1</t>
        </is>
      </c>
      <c r="F299" t="inlineStr">
        <is>
          <t>3</t>
        </is>
      </c>
      <c r="G299" t="inlineStr">
        <is>
          <t>0</t>
        </is>
      </c>
      <c r="H299" t="inlineStr">
        <is>
          <t>0</t>
        </is>
      </c>
      <c r="I299" t="inlineStr">
        <is>
          <t>6², 12²</t>
        </is>
      </c>
      <c r="J299" t="n">
        <v>4</v>
      </c>
      <c r="K299" t="inlineStr">
        <is>
          <t>1³</t>
        </is>
      </c>
      <c r="L299" t="inlineStr">
        <is>
          <t>4E⁰, 12C⁰, 6C¹, 12B¹</t>
        </is>
      </c>
      <c r="M299" t="inlineStr">
        <is>
          <t>12G³, 12A⁴, 12C⁴, 24D⁴, 24E⁴, 24G⁴, 24N⁴, 24A⁵, 24F⁵, 36B⁸, 60A¹⁴, 60D¹⁵, 84C²⁰, 84A²¹</t>
        </is>
      </c>
      <c r="N299" t="inlineStr">
        <is>
          <t>2A⁰, 12C⁰, 6A⁰, 4B⁰, 6C¹, 4C⁰, 12B¹, 4E⁰, 2B⁰, 6A¹, 3A⁰, 1A⁰, 2C⁰, 6D⁰</t>
        </is>
      </c>
      <c r="O299" t="inlineStr">
        <is>
          <t>60A¹⁴, 96O²³, 48I²¹, 96A¹⁸, 24A⁵, 24I¹⁷, 12G³, 12A⁴, 48AH²¹, 36E¹⁶, 48U¹⁷, 48AX¹⁹, 48O²¹, 24H⁸, 24J⁸, 48AN²¹, 96A²², 48J²¹, 24O¹³, 48BS²¹, 24W¹⁷, 48I¹¹, 48F¹⁵, 48AK²¹, 24A⁸, 24V⁷, 36F²², 24S⁹, 48B¹⁸, 96E²³, 48I¹⁹, 48B²², 24J¹⁷, 96E²¹, 24K¹³, 24G⁸, 48O¹⁹, 24I¹⁵, 48A¹¹, 96P²³, 48M¹⁹, 48F¹⁹, 48E¹⁹, 24I⁹, 96E¹⁹, 48AM²¹, 24Z⁹, 48C⁸, 24G¹⁹, 48Q²¹, 24C⁹, 48G¹⁸, 48BQ²¹, 24A¹⁰, 72I¹⁶, 48R¹⁹, 72B¹⁶, 48S²¹, 72K¹⁷, 24F¹⁷, 24B¹⁹, 48A¹⁹, 24F¹⁵, 48P¹⁹, 48B¹¹, 48AW¹⁹, 48AU²¹, 12A¹³, 48D¹¹, 24N⁴, 72H¹⁶, 24D¹⁵, 96D²³, 24B¹⁰, 96G²³, 48BR²¹, 96C²³, 48H¹⁷, 96J²³, 48G¹⁹, 24U¹⁷, 36E²¹, 96C¹⁸, 24H¹⁷, 24S¹⁹, 24W⁷, 48A⁹, 48N²¹, 12D⁷, 36B¹⁶, 24U⁹, 48B¹⁹, 48K²¹, 24C¹⁹, 48D⁸, 24E¹⁵, 12C⁴, 48AG²¹, 48AP²¹, 48N¹⁹, 24C¹⁷, 48H¹⁹, 24G⁴, 48D¹⁸, 24F⁹, 48AO²¹, 72G¹⁶, 48M¹¹, 36K¹⁵, 48A¹⁰, 96H¹⁹, 96H²¹, 96A²¹, 24J⁷, 48L²¹, 24AJ¹⁷, 48R²¹, 96K²³, 24I⁸, 24F⁵, 48A²², 24Z¹⁷, 72C¹⁷, 48E¹⁷, 48J¹⁷, 48Y²¹, 48E¹⁵, 24P¹⁷, 24I¹⁹, 24K¹⁹, 24J¹³, 96A¹⁹, 48F²¹, 24A¹⁵, 48AR¹⁹, 48K¹⁵, 48Z²¹, 24A¹⁹, 48E⁹, 72Q¹⁶, 48K¹⁹, 48K¹⁷, 24G¹⁷, 24Q¹⁷, 48I¹⁸, 36B⁸, 24H¹⁹, 24D⁴, 48AL²¹, 24J¹⁵, 24D⁹, 24C⁸, 48AJ²¹, 24R¹⁷, 36A¹⁶, 24T¹⁷, 24Y¹⁷, 48C¹⁹, 96B²³, 96B¹⁹, 48I¹⁷, 96I²³, 12B⁵, 96B²¹, 48D¹⁷, 72A¹⁶, 36D¹⁵, 24G⁹, 24F¹⁹, 48P²¹, 48BP¹⁷, 24B¹⁵, 24E¹⁹, 12B⁷, 48AI²¹, 24I⁷, 36N¹¹, 24J⁹, 24A¹⁷, 48F¹¹, 24H⁹, 24V¹⁷, 24B¹⁷, 24D⁸, 84A²¹, 12B⁹, 24B⁸, 48L¹⁹, 12B¹³, 96F²³, 48B¹⁰, 24S¹⁷, 72E¹⁷, 96C²², 84C²⁰, 60D¹⁵, 48E²¹, 24T⁹, 48D¹⁹, 24E⁴, 24P¹³, 96L²³, 24D¹⁹</t>
        </is>
      </c>
    </row>
    <row r="300">
      <c r="A300">
        <f>HYPERLINK("https://mathstats.uncg.edu/sites/pauli/congruence/csg2.html#group12C2", "12C²")</f>
        <v/>
      </c>
      <c r="B300" t="n">
        <v>2</v>
      </c>
      <c r="C300" t="inlineStr"/>
      <c r="D300" t="inlineStr">
        <is>
          <t>36</t>
        </is>
      </c>
      <c r="E300" t="inlineStr">
        <is>
          <t>1</t>
        </is>
      </c>
      <c r="F300" t="inlineStr">
        <is>
          <t>9</t>
        </is>
      </c>
      <c r="G300" t="inlineStr">
        <is>
          <t>0</t>
        </is>
      </c>
      <c r="H300" t="inlineStr">
        <is>
          <t>0</t>
        </is>
      </c>
      <c r="I300" t="inlineStr">
        <is>
          <t>6², 12²</t>
        </is>
      </c>
      <c r="J300" t="n">
        <v>4</v>
      </c>
      <c r="K300" t="inlineStr">
        <is>
          <t>1³, 2³</t>
        </is>
      </c>
      <c r="L300" t="inlineStr">
        <is>
          <t>6G⁰, 12C¹</t>
        </is>
      </c>
      <c r="M300" t="inlineStr">
        <is>
          <t>12D³, 12E³, 12F³, 36D⁶, 36A⁸, 36E⁸, 60C¹⁴, 60E¹⁵, 84D²⁰, 84B²¹</t>
        </is>
      </c>
      <c r="N300" t="inlineStr">
        <is>
          <t>6G⁰, 3C⁰, 2B⁰, 12C¹, 3A⁰, 1A⁰, 6D⁰</t>
        </is>
      </c>
      <c r="O300" t="inlineStr">
        <is>
          <t>24M⁷, 36I¹⁵, 12F³, 84B²¹, 48H²¹, 24I¹⁷, 48G¹⁷, 24C¹⁵, 48AA¹⁹, 24L¹⁷, 36I¹¹, 24G¹⁵, 36B¹⁵, 24A⁹, 48A²¹, 24J¹³, 24K¹⁹, 24L⁹, 24O¹³, 24K¹⁷, 36J¹⁵, 60C¹⁴, 36C¹⁵, 48X²¹, 24B⁹, 36D¹³, 24K¹³, 48B²¹, 24J¹⁵, 12D³, 84D²⁰, 48D²¹, 12E³, 60E¹⁵, 24Y¹⁷, 36E⁸, 48V¹⁷, 12B⁵, 24X¹⁷, 12E⁷, 36A¹⁵, 24H¹⁵, 24F¹⁵, 48J¹⁹, 36A²², 48C²¹, 36M¹¹, 12A¹³, 24D¹⁷, 48G²¹, 24E¹⁷, 24A¹⁷, 36E²¹, 48G¹⁵, 36L¹¹, 12B⁹, 24N⁷, 24H¹⁷, 12B¹³, 36D⁶, 24J¹⁹, 36C²², 48F¹⁷, 36A⁸, 48W²¹, 12D⁷, 48R¹⁵, 36H²², 24K⁹, 12C⁷, 24P¹³, 24H⁷, 24C¹⁷</t>
        </is>
      </c>
    </row>
    <row r="301">
      <c r="A301">
        <f>HYPERLINK("https://mathstats.uncg.edu/sites/pauli/congruence/csg2.html#group12D2", "12D²")</f>
        <v/>
      </c>
      <c r="B301" t="n">
        <v>2</v>
      </c>
      <c r="C301" t="inlineStr"/>
      <c r="D301" t="inlineStr">
        <is>
          <t>36</t>
        </is>
      </c>
      <c r="E301" t="inlineStr">
        <is>
          <t>1</t>
        </is>
      </c>
      <c r="F301" t="inlineStr">
        <is>
          <t>9</t>
        </is>
      </c>
      <c r="G301" t="inlineStr">
        <is>
          <t>0</t>
        </is>
      </c>
      <c r="H301" t="inlineStr">
        <is>
          <t>0</t>
        </is>
      </c>
      <c r="I301" t="inlineStr">
        <is>
          <t>6², 12²</t>
        </is>
      </c>
      <c r="J301" t="n">
        <v>4</v>
      </c>
      <c r="K301" t="inlineStr">
        <is>
          <t>1³, 2³</t>
        </is>
      </c>
      <c r="L301" t="inlineStr">
        <is>
          <t>6H⁰, 12B¹, 12C¹</t>
        </is>
      </c>
      <c r="M301" t="inlineStr">
        <is>
          <t>12E³, 12G³, 24I⁴, 24J⁴, 36C⁸, 36F⁸, 60D¹⁴, 60M¹⁵, 84G²⁰, 84E²¹</t>
        </is>
      </c>
      <c r="N301" t="inlineStr">
        <is>
          <t>6B⁰, 12C¹, 4B⁰, 12B¹, 2B⁰, 6H⁰, 3A⁰, 1A⁰, 6D⁰</t>
        </is>
      </c>
      <c r="O301" t="inlineStr">
        <is>
          <t>48AO²¹, 48W¹⁷, 36K¹⁵, 36C⁸, 96G¹⁹, 36I¹⁵, 24J⁷, 24I¹⁷, 48G¹⁷, 48BT¹⁷, 12G³, 48AA¹⁹, 48E¹⁷, 24Z¹⁷, 48U¹⁷, 24G¹⁵, 48AC¹⁷, 36B¹⁵, 96AQ²¹, 48O²¹, 96L²¹, 48E¹⁵, 48Y²¹, 24J¹³, 24K¹⁹, 48M⁸, 24E⁸, 24L⁹, 48G⁹, 48F⁹, 24O¹³, 48E¹⁰, 96S¹⁹, 24A¹⁵, 48K¹⁵, 48Z²¹, 48F¹⁵, 48K¹⁹, 48K¹⁷, 24V⁷, 24G¹⁷, 24J⁴, 24J¹⁷, 24K¹³, 72J¹⁶, 96AW¹⁹, 24E¹⁵, 24J¹⁵, 24I¹⁵, 48F¹⁹, 24T¹⁷, 48E¹⁹, 60M¹⁵, 12E³, 24Y¹⁷, 36F⁸, 36D²², 72D¹⁶, 24I⁴, 48V¹⁷, 96K²¹, 48AD¹⁷, 12B⁵, 24X¹⁷, 12E⁷, 24H¹⁵, 36D¹⁵, 24G⁹, 48S²¹, 96I¹⁹, 24B¹⁹, 24F¹⁵, 96T²¹, 96O²¹, 48AU²¹, 48L⁸, 12A¹³, 48P²¹, 72K¹⁶, 24B¹⁵, 24D¹⁵, 12B⁷, 24I⁷, 36N¹¹, 24J⁹, 24A¹⁷, 36L¹¹, 36E²¹, 24V¹⁷, 12B⁹, 24N⁷, 24H¹⁷, 24P¹³, 12B¹³, 24W⁷, 48F¹⁷, 48AA⁹, 48X¹⁷, 48BS¹⁷, 96O¹⁹, 72C¹⁶, 84E²¹, 12D⁷, 24F⁸, 36I²², 48R¹⁵, 48K²¹, 24C¹⁹, 60D¹⁴, 48AP²¹, 24C¹⁷, 84G²⁰</t>
        </is>
      </c>
    </row>
    <row r="302">
      <c r="A302">
        <f>HYPERLINK("https://mathstats.uncg.edu/sites/pauli/congruence/csg2.html#group12E2", "12E²")</f>
        <v/>
      </c>
      <c r="B302" t="n">
        <v>2</v>
      </c>
      <c r="C302" t="inlineStr"/>
      <c r="D302" t="inlineStr">
        <is>
          <t>36</t>
        </is>
      </c>
      <c r="E302" t="inlineStr">
        <is>
          <t>1</t>
        </is>
      </c>
      <c r="F302" t="inlineStr">
        <is>
          <t>9</t>
        </is>
      </c>
      <c r="G302" t="inlineStr">
        <is>
          <t>0</t>
        </is>
      </c>
      <c r="H302" t="inlineStr">
        <is>
          <t>0</t>
        </is>
      </c>
      <c r="I302" t="inlineStr">
        <is>
          <t>6², 12²</t>
        </is>
      </c>
      <c r="J302" t="n">
        <v>4</v>
      </c>
      <c r="K302" t="inlineStr">
        <is>
          <t>1³, 2³</t>
        </is>
      </c>
      <c r="L302" t="inlineStr">
        <is>
          <t>12D⁰, 6C¹, 12C¹</t>
        </is>
      </c>
      <c r="M302" t="inlineStr">
        <is>
          <t>12F³, 12G³, 12B⁴, 12C⁴, 36D⁸, 36G⁸, 60E¹⁴, 60N¹⁵, 84H²⁰, 84F²¹</t>
        </is>
      </c>
      <c r="N302" t="inlineStr">
        <is>
          <t>2A⁰, 12C¹, 6A⁰, 6C¹, 2B⁰, 12D⁰, 6A¹, 3A⁰, 1A⁰, 2C⁰, 6D⁰</t>
        </is>
      </c>
      <c r="O302" t="inlineStr">
        <is>
          <t>24F⁹, 48AO²¹, 24M⁷, 36K¹⁵, 12F³, 24J⁷, 24I¹⁷, 48R²¹, 24AJ¹⁷, 36G⁸, 12G³, 24I⁸, 36E¹⁶, 48E¹⁷, 24Z¹⁷, 48U¹⁷, 48O²¹, 48Y²¹, 12C⁴, 48E¹⁵, 24J¹³, 24K¹⁹, 24J⁸, 48AN²¹, 24P¹⁷, 24O¹³, 36J¹⁵, 24A¹⁵, 48K¹⁵, 48Z²¹, 48F¹⁵, 48K¹⁹, 24V⁷, 48K¹⁷, 24G¹⁷, 36C¹⁵, 24Q¹⁷, 48I¹⁹, 24J¹⁷, 24K¹³, 24E¹⁵, 36D⁸, 24J¹⁵, 24I¹⁵, 48F¹⁹, 24T¹⁷, 24I⁹, 48E¹⁹, 24Z⁹, 24Y¹⁷, 36C¹⁶, 48BQ²¹, 60E¹⁴, 84H²⁰, 12B⁵, 24D¹⁰, 12B⁴, 60N¹⁵, 24G⁹, 36D¹⁵, 48S²¹, 24B¹⁹, 24F¹⁵, 48P¹⁹, 48AW¹⁹, 48AU²¹, 36M¹¹, 12A¹³, 48P²¹, 24B¹⁵, 36E²², 24D¹⁵, 12B⁷, 24I⁷, 36N¹¹, 24J⁹, 24A¹⁷, 36E²¹, 24U¹⁷, 24V¹⁷, 12B⁹, 24H¹⁷, 12B¹³, 48L¹⁹, 24W⁷, 24S¹⁷, 48N²¹, 12D⁷, 36B¹⁶, 36J²², 84F²¹, 48K²¹, 24C¹⁹, 24K⁹, 48AP²¹, 24P¹³, 48AG²¹, 24C¹⁷, 48H¹⁹</t>
        </is>
      </c>
    </row>
    <row r="303">
      <c r="A303">
        <f>HYPERLINK("https://mathstats.uncg.edu/sites/pauli/congruence/csg2.html#group12F2", "12F²")</f>
        <v/>
      </c>
      <c r="B303" t="n">
        <v>2</v>
      </c>
      <c r="C303" t="inlineStr"/>
      <c r="D303" t="inlineStr">
        <is>
          <t>48</t>
        </is>
      </c>
      <c r="E303" t="inlineStr">
        <is>
          <t>1</t>
        </is>
      </c>
      <c r="F303" t="inlineStr">
        <is>
          <t>4</t>
        </is>
      </c>
      <c r="G303" t="inlineStr">
        <is>
          <t>0</t>
        </is>
      </c>
      <c r="H303" t="inlineStr">
        <is>
          <t>0</t>
        </is>
      </c>
      <c r="I303" t="inlineStr">
        <is>
          <t>4³, 12³</t>
        </is>
      </c>
      <c r="J303" t="n">
        <v>6</v>
      </c>
      <c r="K303" t="inlineStr">
        <is>
          <t>1², 2¹</t>
        </is>
      </c>
      <c r="L303" t="inlineStr">
        <is>
          <t>6I⁰, 12B⁰</t>
        </is>
      </c>
      <c r="M303" t="inlineStr">
        <is>
          <t>12L³, 12A⁷, 36H⁷, 36A¹⁰, 36B¹⁰, 60B¹⁸, 60L¹⁹</t>
        </is>
      </c>
      <c r="N303" t="inlineStr">
        <is>
          <t>3B⁰, 2A⁰, 6I⁰, 6C⁰, 1A⁰, 2B⁰, 6F⁰, 2C⁰, 12B⁰</t>
        </is>
      </c>
      <c r="O303" t="inlineStr">
        <is>
          <t>24AE⁹, 60B¹⁸, 60L¹⁹, 48CC²¹, 24B²¹, 12B¹³, 24AS¹⁷, 36H⁷, 24AD⁹, 24AB¹³, 12E⁵, 36C¹⁹, 36B¹⁰, 12A⁷, 36U¹³, 24AL⁷, 24AP¹⁷, 36A¹⁰, 12L³, 24AR¹⁷, 36D¹⁹, 48CJ²¹, 48CA²¹</t>
        </is>
      </c>
    </row>
    <row r="304">
      <c r="A304">
        <f>HYPERLINK("https://mathstats.uncg.edu/sites/pauli/congruence/csg2.html#group12G2", "12G²")</f>
        <v/>
      </c>
      <c r="B304" t="n">
        <v>2</v>
      </c>
      <c r="C304" t="inlineStr"/>
      <c r="D304" t="inlineStr">
        <is>
          <t>48</t>
        </is>
      </c>
      <c r="E304" t="inlineStr">
        <is>
          <t>1</t>
        </is>
      </c>
      <c r="F304" t="inlineStr">
        <is>
          <t>24</t>
        </is>
      </c>
      <c r="G304" t="inlineStr">
        <is>
          <t>0</t>
        </is>
      </c>
      <c r="H304" t="inlineStr">
        <is>
          <t>0</t>
        </is>
      </c>
      <c r="I304" t="inlineStr">
        <is>
          <t>4³, 12³</t>
        </is>
      </c>
      <c r="J304" t="n">
        <v>6</v>
      </c>
      <c r="K304" t="inlineStr">
        <is>
          <t>1⁴, 2⁶, 4²</t>
        </is>
      </c>
      <c r="L304" t="inlineStr">
        <is>
          <t>4F⁰, 12A¹, 12F¹</t>
        </is>
      </c>
      <c r="M304" t="inlineStr">
        <is>
          <t>12K³, 24R⁴, 24J⁵, 24K⁵, 24B⁶, 12C⁷, 36I⁷, 36J¹⁰, 36K¹⁰, 60G¹⁸, 60N¹⁹</t>
        </is>
      </c>
      <c r="N304" t="inlineStr">
        <is>
          <t>3B⁰, 12F¹, 4A⁰, 12A¹, 4C⁰, 6F⁰, 2B⁰, 4F⁰, 1A⁰</t>
        </is>
      </c>
      <c r="O304" t="inlineStr">
        <is>
          <t>72F²¹, 96AI²³, 36J¹⁰, 72E²¹, 48A¹⁴, 72H²¹, 24C¹⁵, 12E⁵, 24F¹¹, 24D²¹, 36I⁷, 24AP¹⁷, 48I¹⁰, 24AJ⁹, 48H¹⁰, 48BP¹⁹, 24B¹¹, 48Z¹¹, 48A²³, 48CF²¹, 48CO²¹, 24B⁶, 96AJ²³, 48L¹³, 24AC⁹, 24AO¹⁷, 48CE²¹, 72G²¹, 24AF⁷, 48BO¹⁹, 48Y¹¹, 24AG⁷, 24A¹¹, 96AK²³, 36K¹⁰, 72Y¹⁵, 72B²⁰, 48F¹³, 48B²³, 48CD²¹, 24R⁴, 60G¹⁸, 24AI⁹, 72O¹⁹, 12K³, 48CN²¹, 48E¹³, 24C²¹, 24G²¹, 96AL²³, 24I¹¹, 24AT¹⁷, 24F²¹, 72A²⁰, 24E²¹, 24B²¹, 72Q¹⁷, 24A²¹, 24AB¹³, 48CB²¹, 36B¹⁹, 48C²³, 48H¹³, 12A¹³, 24G¹¹, 24D¹⁷, 36A¹⁹, 24E¹⁷, 48AB¹¹, 48G¹³, 24K⁵, 24H¹¹, 48AA¹¹, 48K¹³, 48D²³, 72A²², 72B²², 24J¹⁹, 24AN¹⁷, 24J²¹, 60N¹⁹, 72R¹⁷, 36T¹³, 12C⁷, 24J⁵, 24AF⁹, 24I²¹</t>
        </is>
      </c>
    </row>
    <row r="305">
      <c r="A305">
        <f>HYPERLINK("https://mathstats.uncg.edu/sites/pauli/congruence/csg2.html#group12H2", "12H²")</f>
        <v/>
      </c>
      <c r="B305" t="n">
        <v>2</v>
      </c>
      <c r="C305" t="inlineStr"/>
      <c r="D305" t="inlineStr">
        <is>
          <t>72</t>
        </is>
      </c>
      <c r="E305" t="inlineStr">
        <is>
          <t>1</t>
        </is>
      </c>
      <c r="F305" t="inlineStr">
        <is>
          <t>18</t>
        </is>
      </c>
      <c r="G305" t="inlineStr">
        <is>
          <t>8</t>
        </is>
      </c>
      <c r="H305" t="inlineStr">
        <is>
          <t>0</t>
        </is>
      </c>
      <c r="I305" t="inlineStr">
        <is>
          <t>12⁶</t>
        </is>
      </c>
      <c r="J305" t="n">
        <v>6</v>
      </c>
      <c r="K305" t="inlineStr">
        <is>
          <t>2⁵, 4²</t>
        </is>
      </c>
      <c r="L305" t="inlineStr">
        <is>
          <t>12H⁰, 12M¹</t>
        </is>
      </c>
      <c r="M305" t="inlineStr">
        <is>
          <t>12D⁵, 24V⁵, 24J⁶, 12D⁷, 24AD⁷, 24O⁸, 24M⁹, 36E¹², 36A¹⁴</t>
        </is>
      </c>
      <c r="N305" t="inlineStr">
        <is>
          <t>6B⁰, 12C⁰, 3A⁰, 4C⁰, 12M¹, 2B⁰, 12D⁰, 6H⁰, 12H⁰, 1A⁰, 6D⁰</t>
        </is>
      </c>
      <c r="O305" t="inlineStr">
        <is>
          <t>24T¹⁵, 48AA¹³, 24R¹³, 24AA¹⁷, 24M⁹, 24I¹⁷, 24L¹⁵, 48AQ¹⁹, 24AA¹³, 12A¹¹, 24F¹⁵, 24V⁵, 12A¹³, 24R¹⁹, 36A¹⁴, 24K¹⁹, 48AB¹⁵, 24S¹⁵, 24AD⁷, 48AA²¹, 24T¹³, 48BD¹⁷, 24AM¹⁷, 24U¹³, 12D⁵, 24H¹⁷, 48BK²¹, 24J⁶, 24N¹⁷, 24J¹⁵, 36D²³, 48BQ¹⁷, 12D⁷, 48BV¹⁷, 48BC¹⁷, 48BN¹⁹, 24O⁸, 48AC¹⁵, 36E¹², 24AE¹⁷, 24Y¹⁷, 48BU¹⁷, 48BJ²¹, 24Z¹³</t>
        </is>
      </c>
    </row>
    <row r="306">
      <c r="A306">
        <f>HYPERLINK("https://mathstats.uncg.edu/sites/pauli/congruence/csg2.html#group12I2", "12I²")</f>
        <v/>
      </c>
      <c r="B306" t="n">
        <v>2</v>
      </c>
      <c r="C306" t="inlineStr"/>
      <c r="D306" t="inlineStr">
        <is>
          <t>72</t>
        </is>
      </c>
      <c r="E306" t="inlineStr">
        <is>
          <t>1</t>
        </is>
      </c>
      <c r="F306" t="inlineStr">
        <is>
          <t>18</t>
        </is>
      </c>
      <c r="G306" t="inlineStr">
        <is>
          <t>8</t>
        </is>
      </c>
      <c r="H306" t="inlineStr">
        <is>
          <t>0</t>
        </is>
      </c>
      <c r="I306" t="inlineStr">
        <is>
          <t>12⁶</t>
        </is>
      </c>
      <c r="J306" t="n">
        <v>6</v>
      </c>
      <c r="K306" t="inlineStr">
        <is>
          <t>1², 2⁴, 4²</t>
        </is>
      </c>
      <c r="L306" t="inlineStr">
        <is>
          <t>12F⁰, 12H⁰, 12J¹, 12M¹</t>
        </is>
      </c>
      <c r="M306" t="inlineStr">
        <is>
          <t>12D⁵, 24W⁵, 24E⁶, 24F⁶, 12B⁷, 24AE⁷, 24M⁸, 24N⁸, 24Q⁹, 36F¹², 36B¹⁴</t>
        </is>
      </c>
      <c r="N306" t="inlineStr">
        <is>
          <t>6B⁰, 12C⁰, 4C⁰, 12F⁰, 12M¹, 2B⁰, 12H⁰, 1A⁰, 12A⁰, 4A⁰, 12J¹, 12D⁰, 4F⁰, 6H⁰, 3A⁰, 6D⁰</t>
        </is>
      </c>
      <c r="O306" t="inlineStr">
        <is>
          <t>48I²⁰, 24P¹⁹, 48U¹⁵, 48AY²¹, 48Y¹⁹, 24R¹³, 48G²⁰, 24F⁶, 24AA¹⁷, 48C¹⁶, 48B¹⁶, 24V¹³, 48J¹⁶, 24L¹⁵, 24M⁸, 24W⁵, 24B¹⁹, 12A¹¹, 48V¹⁵, 24Q⁹, 24Q¹⁵, 48BM¹⁹, 48D¹⁶, 48AE²¹, 12A¹³, 48BR¹⁷, 24AE⁷, 24B¹⁵, 24N⁸, 24P¹⁵, 48F²⁰, 12B⁷, 24X¹³, 48U¹⁹, 36F¹², 24A¹⁵, 24T¹³, 24E⁶, 48E¹⁶, 24G¹⁷, 24U¹³, 12D⁵, 48E²⁰, 24J¹⁷, 24AK¹⁷, 48AT²¹, 24N¹⁷, 48S¹⁵, 24O¹⁵, 48CI¹⁷, 36D²³, 36B¹⁴, 48T¹⁵, 48AQ¹⁷, 24AL¹⁷, 24C¹⁹, 24AE¹⁷, 48AB¹³, 24R¹⁵, 48AS¹⁷, 24L¹⁹</t>
        </is>
      </c>
    </row>
    <row r="307">
      <c r="A307">
        <f>HYPERLINK("https://mathstats.uncg.edu/sites/pauli/congruence/csg2.html#group13A2", "13A²")</f>
        <v/>
      </c>
      <c r="B307" t="n">
        <v>2</v>
      </c>
      <c r="C307" t="inlineStr">
        <is>
          <t>Γ₁(13)</t>
        </is>
      </c>
      <c r="D307" t="inlineStr">
        <is>
          <t>84</t>
        </is>
      </c>
      <c r="E307" t="inlineStr">
        <is>
          <t>1</t>
        </is>
      </c>
      <c r="F307" t="inlineStr">
        <is>
          <t>14</t>
        </is>
      </c>
      <c r="G307" t="inlineStr">
        <is>
          <t>0</t>
        </is>
      </c>
      <c r="H307" t="inlineStr">
        <is>
          <t>0</t>
        </is>
      </c>
      <c r="I307" t="inlineStr">
        <is>
          <t>1⁶, 13⁶</t>
        </is>
      </c>
      <c r="J307" t="n">
        <v>12</v>
      </c>
      <c r="K307" t="inlineStr">
        <is>
          <t>1², 12¹</t>
        </is>
      </c>
      <c r="L307" t="inlineStr">
        <is>
          <t>13B⁰, 13C⁰</t>
        </is>
      </c>
      <c r="M307" t="inlineStr">
        <is>
          <t>26A⁹, 26D¹⁰, 39A¹⁶, 39A¹⁷, 52E²³</t>
        </is>
      </c>
      <c r="N307" t="inlineStr">
        <is>
          <t>13A⁰, 13C⁰, 13B⁰, 1A⁰</t>
        </is>
      </c>
      <c r="O307" t="inlineStr">
        <is>
          <t>26A⁹, 52A²³, 39A¹⁶, 26D¹⁰, 52E²³, 39A¹⁷</t>
        </is>
      </c>
    </row>
    <row r="308">
      <c r="A308">
        <f>HYPERLINK("https://mathstats.uncg.edu/sites/pauli/congruence/csg2.html#group14A2", "14A²")</f>
        <v/>
      </c>
      <c r="B308" t="n">
        <v>2</v>
      </c>
      <c r="C308" t="inlineStr"/>
      <c r="D308" t="inlineStr">
        <is>
          <t>42</t>
        </is>
      </c>
      <c r="E308" t="inlineStr">
        <is>
          <t>2</t>
        </is>
      </c>
      <c r="F308" t="inlineStr">
        <is>
          <t>21</t>
        </is>
      </c>
      <c r="G308" t="inlineStr">
        <is>
          <t>2</t>
        </is>
      </c>
      <c r="H308" t="inlineStr">
        <is>
          <t>0</t>
        </is>
      </c>
      <c r="I308" t="inlineStr">
        <is>
          <t>7², 14²</t>
        </is>
      </c>
      <c r="J308" t="n">
        <v>4</v>
      </c>
      <c r="K308" t="inlineStr">
        <is>
          <t>2³, 6⁶</t>
        </is>
      </c>
      <c r="L308" t="inlineStr">
        <is>
          <t>7C⁰, 14B¹</t>
        </is>
      </c>
      <c r="M308" t="inlineStr">
        <is>
          <t>14A⁴, 14D⁵, 28A⁵, 28B⁵, 14C⁷, 42A⁸, 42B⁸, 42C¹¹, 70A¹⁶, 70E¹⁷</t>
        </is>
      </c>
      <c r="N308" t="inlineStr">
        <is>
          <t>2B⁰, 14B¹, 1A⁰, 7C⁰, 7A⁰</t>
        </is>
      </c>
      <c r="O308" t="inlineStr">
        <is>
          <t>56F²³, 56D²³, 84G¹⁷, 70A¹⁶, 42A⁸, 28E²³, 28E¹³, 28D¹³, 56G²³, 70E¹⁷, 14A¹¹, 14A²³, 28G¹⁵, 28C²³, 28A¹⁷, 84D¹⁷, 42G¹⁹, 112A²³, 28E²¹, 112F²³, 56E²³, 14A⁴, 42C²², 84E¹⁷, 84A¹⁹, 56A¹¹, 42B⁸, 14C⁹, 56C¹¹, 14D⁵, 14C⁷, 42F²³, 56B¹³, 84B¹⁹, 42C¹¹, 14C¹³, 28C¹¹, 84F¹⁹, 28A⁵, 28B⁵, 56A²³, 56B¹¹, 42C¹⁷, 42G¹⁷, 112G²³, 28D¹¹, 42I¹⁹, 56H²³, 14A¹⁹, 28I¹¹, 112B²³, 14B¹⁷, 84B²³</t>
        </is>
      </c>
    </row>
    <row r="309">
      <c r="A309">
        <f>HYPERLINK("https://mathstats.uncg.edu/sites/pauli/congruence/csg2.html#group14B2", "14B²")</f>
        <v/>
      </c>
      <c r="B309" t="n">
        <v>2</v>
      </c>
      <c r="C309" t="inlineStr"/>
      <c r="D309" t="inlineStr">
        <is>
          <t>42</t>
        </is>
      </c>
      <c r="E309" t="inlineStr">
        <is>
          <t>2</t>
        </is>
      </c>
      <c r="F309" t="inlineStr">
        <is>
          <t>21</t>
        </is>
      </c>
      <c r="G309" t="inlineStr">
        <is>
          <t>4</t>
        </is>
      </c>
      <c r="H309" t="inlineStr">
        <is>
          <t>0</t>
        </is>
      </c>
      <c r="I309" t="inlineStr">
        <is>
          <t>14³</t>
        </is>
      </c>
      <c r="J309" t="n">
        <v>3</v>
      </c>
      <c r="K309" t="inlineStr">
        <is>
          <t>6⁷</t>
        </is>
      </c>
      <c r="L309" t="inlineStr">
        <is>
          <t>7D⁰, 14A⁰</t>
        </is>
      </c>
      <c r="M309" t="inlineStr">
        <is>
          <t>14F³, 14A⁵, 14C⁵, 14A⁶, 42H⁷, 28B¹⁰, 42F¹², 70B¹⁶, 70F¹⁷, 98A²³</t>
        </is>
      </c>
      <c r="N309" t="inlineStr">
        <is>
          <t>14A⁰, 7D⁰, 1A⁰, 7A⁰</t>
        </is>
      </c>
      <c r="O309" t="inlineStr">
        <is>
          <t>56M²⁴, 28E¹⁶, 42H⁷, 42D¹⁷, 42G¹⁵, 14C⁵, 14A⁹, 28B¹⁴, 14A⁶, 42J¹³, 14A¹¹, 98A²³, 14A²³, 28C¹⁹, 56N²⁴, 14F³, 42F¹², 42A¹⁹, 42F¹⁹, 56L²⁴, 42E²³, 28B¹⁰, 42C²³, 14B⁷, 14A¹⁷, 14B¹³, 70F¹⁷, 14C¹³, 28D¹⁶, 28C¹⁴, 70B¹⁶, 28D²³, 42E¹⁷, 42I²³, 42H¹⁹, 56K²⁴, 14A⁵, 42E¹⁵, 28A²¹, 28A²³</t>
        </is>
      </c>
    </row>
    <row r="310">
      <c r="A310">
        <f>HYPERLINK("https://mathstats.uncg.edu/sites/pauli/congruence/csg2.html#group14C2", "14C²")</f>
        <v/>
      </c>
      <c r="B310" t="n">
        <v>2</v>
      </c>
      <c r="C310" t="inlineStr"/>
      <c r="D310" t="inlineStr">
        <is>
          <t>42</t>
        </is>
      </c>
      <c r="E310" t="inlineStr">
        <is>
          <t>2</t>
        </is>
      </c>
      <c r="F310" t="inlineStr">
        <is>
          <t>21</t>
        </is>
      </c>
      <c r="G310" t="inlineStr">
        <is>
          <t>4</t>
        </is>
      </c>
      <c r="H310" t="inlineStr">
        <is>
          <t>0</t>
        </is>
      </c>
      <c r="I310" t="inlineStr">
        <is>
          <t>14³</t>
        </is>
      </c>
      <c r="J310" t="n">
        <v>3</v>
      </c>
      <c r="K310" t="inlineStr">
        <is>
          <t>2³, 6⁶</t>
        </is>
      </c>
      <c r="L310" t="inlineStr">
        <is>
          <t>14A⁰, 14B¹</t>
        </is>
      </c>
      <c r="M310" t="inlineStr">
        <is>
          <t>28C⁴, 14D⁵, 14A⁶, 28A⁶, 14D⁷, 42I⁷, 42G¹², 70C¹⁶, 70G¹⁷</t>
        </is>
      </c>
      <c r="N310" t="inlineStr">
        <is>
          <t>14A⁰, 2B⁰, 14B¹, 1A⁰, 7A⁰</t>
        </is>
      </c>
      <c r="O310" t="inlineStr">
        <is>
          <t>112A²², 28E¹⁶, 112H²⁴, 28C⁴, 42F¹⁷, 56F²³, 56J²⁴, 14D⁷, 28B¹⁷, 56B⁹, 28B¹⁴, 56A¹⁰, 14A⁶, 42H¹⁵, 42I⁷, 28B²¹, 14A¹¹, 14A²³, 112C²³, 56E²⁴, 56C¹², 28C²³, 42G¹⁹, 56J²¹, 28G²¹, 84A²⁰, 56C²², 14D⁵, 42F²³, 84G¹⁶, 112A¹⁹, 84C¹⁴, 14B¹³, 28C¹¹, 14C¹³, 28C¹⁴, 28D¹⁶, 84C¹⁸, 28H²¹, 112L²³, 56A²³, 42G¹², 28A¹⁰, 42I¹⁹, 28C¹⁷, 70G¹⁷, 56A¹³, 28A⁶, 70C¹⁶, 14B¹⁷, 112G²⁴, 56K²¹, 28D¹⁷</t>
        </is>
      </c>
    </row>
    <row r="311">
      <c r="A311">
        <f>HYPERLINK("https://mathstats.uncg.edu/sites/pauli/congruence/csg2.html#group14D2", "14D²")</f>
        <v/>
      </c>
      <c r="B311" t="n">
        <v>2</v>
      </c>
      <c r="C311" t="inlineStr"/>
      <c r="D311" t="inlineStr">
        <is>
          <t>48</t>
        </is>
      </c>
      <c r="E311" t="inlineStr">
        <is>
          <t>1</t>
        </is>
      </c>
      <c r="F311" t="inlineStr">
        <is>
          <t>8</t>
        </is>
      </c>
      <c r="G311" t="inlineStr">
        <is>
          <t>0</t>
        </is>
      </c>
      <c r="H311" t="inlineStr">
        <is>
          <t>0</t>
        </is>
      </c>
      <c r="I311" t="inlineStr">
        <is>
          <t>2³, 14³</t>
        </is>
      </c>
      <c r="J311" t="n">
        <v>6</v>
      </c>
      <c r="K311" t="inlineStr">
        <is>
          <t>1², 6¹</t>
        </is>
      </c>
      <c r="L311" t="inlineStr">
        <is>
          <t>7E⁰, 14B⁰</t>
        </is>
      </c>
      <c r="M311" t="inlineStr">
        <is>
          <t>14B⁴, 28D⁶, 42D¹⁰, 42F¹⁰, 28G¹¹, 42F¹¹, 14A¹⁷, 98A¹⁷, 70B¹⁸, 70F¹⁹</t>
        </is>
      </c>
      <c r="N311" t="inlineStr">
        <is>
          <t>2A⁰, 7E⁰, 1A⁰, 7B⁰, 14B⁰</t>
        </is>
      </c>
      <c r="O311" t="inlineStr">
        <is>
          <t>28N²¹, 14A¹⁷, 98A¹⁷, 42O¹⁹, 28D⁶, 14B⁴, 42F¹¹, 70B¹⁸, 28G¹⁶, 84E²², 70F¹⁹, 84B²², 42D¹⁰, 42G²¹, 28F¹³, 42F¹⁰, 84C²², 28G¹¹, 28C¹⁰</t>
        </is>
      </c>
    </row>
    <row r="312">
      <c r="A312">
        <f>HYPERLINK("https://mathstats.uncg.edu/sites/pauli/congruence/csg2.html#group14E2", "14E²")</f>
        <v/>
      </c>
      <c r="B312" t="n">
        <v>2</v>
      </c>
      <c r="C312" t="inlineStr"/>
      <c r="D312" t="inlineStr">
        <is>
          <t>48</t>
        </is>
      </c>
      <c r="E312" t="inlineStr">
        <is>
          <t>1</t>
        </is>
      </c>
      <c r="F312" t="inlineStr">
        <is>
          <t>8</t>
        </is>
      </c>
      <c r="G312" t="inlineStr">
        <is>
          <t>0</t>
        </is>
      </c>
      <c r="H312" t="inlineStr">
        <is>
          <t>0</t>
        </is>
      </c>
      <c r="I312" t="inlineStr">
        <is>
          <t>2³, 14³</t>
        </is>
      </c>
      <c r="J312" t="n">
        <v>6</v>
      </c>
      <c r="K312" t="inlineStr">
        <is>
          <t>1², 6¹</t>
        </is>
      </c>
      <c r="L312" t="inlineStr">
        <is>
          <t>2C⁰, 14B⁰, 14C¹</t>
        </is>
      </c>
      <c r="M312" t="inlineStr">
        <is>
          <t>14B⁴, 28D⁴, 28E⁵, 28E⁶, 42E¹⁰, 42J¹⁰, 42G¹¹, 14B¹⁷, 98B¹⁷, 70C¹⁸, 70G¹⁹</t>
        </is>
      </c>
      <c r="N312" t="inlineStr">
        <is>
          <t>2A⁰, 7B⁰, 14B⁰, 14C¹, 2B⁰, 1A⁰, 2C⁰</t>
        </is>
      </c>
      <c r="O312" t="inlineStr">
        <is>
          <t>112P²³, 56O²³, 56V²³, 14B⁴, 42P¹⁹, 56P²³, 84K²², 84I²⁰, 28M²¹, 28D⁴, 56M¹¹, 84K²⁰, 56Q¹¹, 28G¹⁶, 28E⁵, 56N²¹, 70C¹⁸, 56R¹¹, 28C¹⁰, 42G¹¹, 84F²², 42H²¹, 42J¹⁰, 84A²², 112O²³, 28F¹¹, 84A²¹, 84J²³, 98B¹⁷, 56L¹¹, 42E¹⁰, 56W²³, 28E⁶, 56L²¹, 28E¹¹, 84I²³, 28F⁹, 84F²¹, 56G¹³, 84G²¹, 28F¹³, 56R²³, 84M²⁰, 14B¹⁷, 56Q²³, 70G¹⁹, 56H¹³</t>
        </is>
      </c>
    </row>
    <row r="313">
      <c r="A313">
        <f>HYPERLINK("https://mathstats.uncg.edu/sites/pauli/congruence/csg2.html#group14F2", "14F²")</f>
        <v/>
      </c>
      <c r="B313" t="n">
        <v>2</v>
      </c>
      <c r="C313" t="inlineStr"/>
      <c r="D313" t="inlineStr">
        <is>
          <t>63</t>
        </is>
      </c>
      <c r="E313" t="inlineStr">
        <is>
          <t>1</t>
        </is>
      </c>
      <c r="F313" t="inlineStr">
        <is>
          <t>63</t>
        </is>
      </c>
      <c r="G313" t="inlineStr">
        <is>
          <t>5</t>
        </is>
      </c>
      <c r="H313" t="inlineStr">
        <is>
          <t>0</t>
        </is>
      </c>
      <c r="I313" t="inlineStr">
        <is>
          <t>7³, 14³</t>
        </is>
      </c>
      <c r="J313" t="n">
        <v>6</v>
      </c>
      <c r="K313" t="inlineStr">
        <is>
          <t>3³, 6⁹</t>
        </is>
      </c>
      <c r="L313" t="inlineStr">
        <is>
          <t>7D⁰, 14B¹</t>
        </is>
      </c>
      <c r="M313" t="inlineStr">
        <is>
          <t>14A⁴, 14F⁵, 14G⁵, 28H⁵, 14A⁶, 28I⁶, 28J⁶, 14A⁷, 28B⁷, 28C⁷, 28A⁸, 42K¹⁰, 42A¹⁶, 70A²³, 70A²⁴</t>
        </is>
      </c>
      <c r="N313" t="inlineStr">
        <is>
          <t>2B⁰, 7D⁰, 14B¹, 1A⁰, 7A⁰</t>
        </is>
      </c>
      <c r="O313" t="inlineStr">
        <is>
          <t>84M²², 28B¹⁶, 28E¹⁶, 42K¹⁰, 42D²⁴, 42C²⁴, 56G¹⁴, 28D¹², 28E¹³, 28I⁶, 56B¹⁷, 28D¹³, 28E²³, 14A⁶, 28B¹⁴, 56B¹⁶, 70A²⁴, 56A¹⁹, 14A¹¹, 28D¹⁵, 14A²³, 14G⁵, 42K²³, 28H¹⁵, 56G¹⁵, 56A¹⁸, 28C¹³, 28H⁵, 84E²⁴, 28G¹⁵, 28F¹⁶, 28F¹⁵, 28C¹⁵, 56H¹⁵, 28C⁷, 56F¹⁵, 42B²², 28E¹⁵, 14A⁴, 42C²², 28A¹⁴, 28B¹³, 14C⁹, 28A⁸, 56C¹⁶, 14B¹³, 70A²³, 28C¹⁶, 28D¹⁶, 28C¹⁴, 14F⁵, 14C¹³, 28A¹⁶, 42A¹⁶, 56A¹⁶, 14A⁷, 14A¹³, 28J⁶, 56E¹⁵, 42A²², 84F²³, 14A¹⁹, 28I¹¹, 56D¹⁶, 28B⁷, 84N²², 42L²³</t>
        </is>
      </c>
    </row>
    <row r="314">
      <c r="A314">
        <f>HYPERLINK("https://mathstats.uncg.edu/sites/pauli/congruence/csg2.html#group15A2", "15A²")</f>
        <v/>
      </c>
      <c r="B314" t="n">
        <v>2</v>
      </c>
      <c r="C314" t="inlineStr"/>
      <c r="D314" t="inlineStr">
        <is>
          <t>30</t>
        </is>
      </c>
      <c r="E314" t="inlineStr">
        <is>
          <t>1</t>
        </is>
      </c>
      <c r="F314" t="inlineStr">
        <is>
          <t>15</t>
        </is>
      </c>
      <c r="G314" t="inlineStr">
        <is>
          <t>2</t>
        </is>
      </c>
      <c r="H314" t="inlineStr">
        <is>
          <t>0</t>
        </is>
      </c>
      <c r="I314" t="inlineStr">
        <is>
          <t>15²</t>
        </is>
      </c>
      <c r="J314" t="n">
        <v>2</v>
      </c>
      <c r="K314" t="inlineStr">
        <is>
          <t>1¹, 2¹, 4¹, 8¹</t>
        </is>
      </c>
      <c r="L314" t="inlineStr">
        <is>
          <t>3C⁰, 15A¹</t>
        </is>
      </c>
      <c r="M314" t="inlineStr">
        <is>
          <t>15A⁴, 15C⁴, 30A⁴, 30B⁵, 30A⁶, 45A⁶, 45B⁶, 45C⁶, 15B⁷, 45A⁷, 60C⁹, 105B¹⁶, 105B¹⁹</t>
        </is>
      </c>
      <c r="N314" t="inlineStr">
        <is>
          <t>3C⁰, 5A⁰, 3A⁰, 1A⁰, 15A¹</t>
        </is>
      </c>
      <c r="O314" t="inlineStr">
        <is>
          <t>45C⁶, 45A²⁰, 45B¹⁴, 15A¹⁹, 90B²¹, 105B¹⁶, 90B¹⁵, 30F¹³, 30A⁴, 30A¹², 30E¹⁷, 15A⁹, 90G¹⁹, 45B⁶, 15A¹⁷, 90H¹⁴, 45E¹², 45I¹³, 30B¹⁶, 45A¹², 30B²³, 45C¹³, 60B¹², 60G¹⁹, 30B¹³, 15A⁸, 60C¹⁴, 45A¹⁹, 90C¹³, 15B¹⁰, 90A²⁰, 90C¹⁵, 105B¹⁹, 120C¹⁹, 15B¹⁹, 90D¹⁴, 30A¹¹, 15A⁴, 15B⁷, 45C²³, 45A⁶, 60D¹³, 45A¹⁴, 30E²³, 30E¹², 90A¹², 30D²³, 30B⁵, 30C¹³, 45E¹⁹, 90D¹⁵, 60C¹³, 120D¹⁹, 30A⁶, 30A²¹, 30A⁹, 60C⁹, 90A¹³, 90B¹², 45B¹⁶, 30A¹⁰, 45D¹⁹, 60E¹⁷, 45A⁷, 90C¹⁴, 45B¹⁹, 60A⁹, 90A¹⁵, 30F²³, 45C¹⁶, 15C⁴, 45C¹⁹, 30D¹⁷, 60C¹⁹, 90F¹⁵, 15A¹³, 60A¹⁹, 30C¹², 30C²³, 90B²⁰</t>
        </is>
      </c>
    </row>
    <row r="315">
      <c r="A315">
        <f>HYPERLINK("https://mathstats.uncg.edu/sites/pauli/congruence/csg2.html#group15B2", "15B²")</f>
        <v/>
      </c>
      <c r="B315" t="n">
        <v>2</v>
      </c>
      <c r="C315" t="inlineStr"/>
      <c r="D315" t="inlineStr">
        <is>
          <t>36</t>
        </is>
      </c>
      <c r="E315" t="inlineStr">
        <is>
          <t>1</t>
        </is>
      </c>
      <c r="F315" t="inlineStr">
        <is>
          <t>6</t>
        </is>
      </c>
      <c r="G315" t="inlineStr">
        <is>
          <t>0</t>
        </is>
      </c>
      <c r="H315" t="inlineStr">
        <is>
          <t>0</t>
        </is>
      </c>
      <c r="I315" t="inlineStr">
        <is>
          <t>3², 15²</t>
        </is>
      </c>
      <c r="J315" t="n">
        <v>4</v>
      </c>
      <c r="K315" t="inlineStr">
        <is>
          <t>1², 4¹</t>
        </is>
      </c>
      <c r="L315" t="inlineStr">
        <is>
          <t>5D⁰, 15B⁰</t>
        </is>
      </c>
      <c r="M315" t="inlineStr">
        <is>
          <t>15F³, 30C⁵, 30G⁵, 30C⁶, 45A⁸, 15A¹⁰, 75A¹⁰, 60D¹¹, 75A¹⁴, 75B¹⁴, 75C¹⁴, 75D¹⁴, 105A²⁰, 105B²¹</t>
        </is>
      </c>
      <c r="N315" t="inlineStr">
        <is>
          <t>5B⁰, 5D⁰, 15B⁰, 3A⁰, 1A⁰</t>
        </is>
      </c>
      <c r="O315" t="inlineStr">
        <is>
          <t>30C⁵, 60C¹¹, 90G¹⁷, 75B¹⁴, 60A¹¹, 60N²¹, 15A¹⁹, 45A⁸, 30C⁶, 45B²², 30G⁵, 60L²¹, 30H¹¹, 30L¹³, 45C¹⁵, 15A¹⁰, 60J¹⁵, 60A¹⁵, 60S¹³, 30J⁹, 90F¹⁷, 45H¹¹, 30K⁹, 60F²¹, 120I²³, 30G²¹, 30H¹³, 90D¹⁷, 15C⁹, 60D¹¹, 45E²¹, 75A¹⁰, 75D¹⁴, 120J²³, 60N¹³, 15F³, 75A¹⁴, 75C¹⁹, 60D²¹, 60G²¹, 105A²⁰, 15C⁵, 105B²¹, 30H¹⁷, 75C¹⁴, 45B¹⁵, 90J¹⁷, 90A²⁴, 30G¹⁷, 60C²¹</t>
        </is>
      </c>
    </row>
    <row r="316">
      <c r="A316">
        <f>HYPERLINK("https://mathstats.uncg.edu/sites/pauli/congruence/csg2.html#group15C2", "15C²")</f>
        <v/>
      </c>
      <c r="B316" t="n">
        <v>2</v>
      </c>
      <c r="C316" t="inlineStr"/>
      <c r="D316" t="inlineStr">
        <is>
          <t>40</t>
        </is>
      </c>
      <c r="E316" t="inlineStr">
        <is>
          <t>1</t>
        </is>
      </c>
      <c r="F316" t="inlineStr">
        <is>
          <t>40</t>
        </is>
      </c>
      <c r="G316" t="inlineStr">
        <is>
          <t>0</t>
        </is>
      </c>
      <c r="H316" t="inlineStr">
        <is>
          <t>1</t>
        </is>
      </c>
      <c r="I316" t="inlineStr">
        <is>
          <t>5², 15²</t>
        </is>
      </c>
      <c r="J316" t="n">
        <v>4</v>
      </c>
      <c r="K316" t="inlineStr">
        <is>
          <t>2², 4⁵, 8²</t>
        </is>
      </c>
      <c r="L316" t="inlineStr">
        <is>
          <t>3B⁰, 5C⁰</t>
        </is>
      </c>
      <c r="M316" t="inlineStr">
        <is>
          <t>15G³, 15B⁵, 30I⁵, 30J⁵, 15A⁷, 30L⁷, 45C⁷, 45B⁸, 45A⁹, 60A¹², 75E¹⁴, 105A²², 105A²³</t>
        </is>
      </c>
      <c r="N316" t="inlineStr">
        <is>
          <t>3B⁰, 5C⁰, 1A⁰</t>
        </is>
      </c>
      <c r="O316" t="inlineStr">
        <is>
          <t>105A²², 30A¹⁵, 30K¹⁷, 45A²³, 60V¹⁵, 30M⁹, 45B²³, 30A¹⁶, 45B⁸, 30B¹⁷, 60R²¹, 90A¹⁸, 45C⁷, 90N¹⁷, 30L⁷, 90A¹⁹, 45B¹⁷, 90C¹⁹, 30I⁵, 90M¹⁷, 90A¹⁶, 135A²³, 45A⁹, 60B²³, 105A²³, 75E¹⁴, 15G³, 90B¹⁹, 15D⁵, 15A¹², 60U¹⁵, 30A²³, 60F¹⁷, 45E²³, 45O¹³, 30N⁹, 30J⁵, 90L¹⁷, 60G¹⁷, 90O¹⁷, 60A²³, 60C²³, 15A⁷, 60A¹², 45A²⁴, 60H¹¹, 15B⁹, 30C¹⁵, 45D¹⁵, 15A²³, 15B¹⁷, 45A¹⁶, 60S²¹, 45H¹⁹, 45H¹², 30B¹⁹, 90E²³, 60K¹¹, 15A¹³, 30B¹⁵, 60I¹¹, 15B¹⁹, 30N¹³, 30A¹⁴, 30E¹⁵, 15B⁵, 30A¹⁷, 45A¹⁷</t>
        </is>
      </c>
    </row>
    <row r="317">
      <c r="A317">
        <f>HYPERLINK("https://mathstats.uncg.edu/sites/pauli/congruence/csg2.html#group15D2", "15D²")</f>
        <v/>
      </c>
      <c r="B317" t="n">
        <v>2</v>
      </c>
      <c r="C317" t="inlineStr"/>
      <c r="D317" t="inlineStr">
        <is>
          <t>60</t>
        </is>
      </c>
      <c r="E317" t="inlineStr">
        <is>
          <t>1</t>
        </is>
      </c>
      <c r="F317" t="inlineStr">
        <is>
          <t>30</t>
        </is>
      </c>
      <c r="G317" t="inlineStr">
        <is>
          <t>8</t>
        </is>
      </c>
      <c r="H317" t="inlineStr">
        <is>
          <t>0</t>
        </is>
      </c>
      <c r="I317" t="inlineStr">
        <is>
          <t>15⁴</t>
        </is>
      </c>
      <c r="J317" t="n">
        <v>4</v>
      </c>
      <c r="K317" t="inlineStr">
        <is>
          <t>2¹, 4³, 8²</t>
        </is>
      </c>
      <c r="L317" t="inlineStr">
        <is>
          <t>15D¹</t>
        </is>
      </c>
      <c r="M317" t="inlineStr">
        <is>
          <t>15A⁵, 30Q⁵, 15B⁷, 30N⁷, 15B⁸, 30D⁹, 30H¹⁰, 45D¹⁰, 45F¹², 45G¹², 60W¹⁵, 75A²²</t>
        </is>
      </c>
      <c r="N317" t="inlineStr">
        <is>
          <t>3A⁰, 5C⁰, 15D¹, 1A⁰</t>
        </is>
      </c>
      <c r="O317" t="inlineStr">
        <is>
          <t>15B⁷, 60W¹⁵, 45C²³, 15A¹⁹, 15A⁵, 60S¹⁵, 75A²², 30E¹⁷, 45D¹⁰, 45F¹², 30E²¹, 45G¹², 15A¹¹, 15A¹⁷, 60L²³, 45D²¹, 30K²³, 30N⁷, 90F²³, 60R¹⁵, 30H¹⁰, 30B²¹, 30F²³, 30D²¹, 60Z¹⁵, 45B²¹, 90M²¹, 45C²¹, 30Q⁵, 30M¹³, 30D¹⁵, 30D¹⁷, 15A¹³, 60G²³, 30D⁹, 30J²³, 30C¹⁷, 60V²¹, 15B⁸, 30C²¹</t>
        </is>
      </c>
    </row>
    <row r="318">
      <c r="A318">
        <f>HYPERLINK("https://mathstats.uncg.edu/sites/pauli/congruence/csg2.html#group15E2", "15E²")</f>
        <v/>
      </c>
      <c r="B318" t="n">
        <v>2</v>
      </c>
      <c r="C318" t="inlineStr"/>
      <c r="D318" t="inlineStr">
        <is>
          <t>60</t>
        </is>
      </c>
      <c r="E318" t="inlineStr">
        <is>
          <t>2</t>
        </is>
      </c>
      <c r="F318" t="inlineStr">
        <is>
          <t>60</t>
        </is>
      </c>
      <c r="G318" t="inlineStr">
        <is>
          <t>4</t>
        </is>
      </c>
      <c r="H318" t="inlineStr">
        <is>
          <t>3</t>
        </is>
      </c>
      <c r="I318" t="inlineStr">
        <is>
          <t>15⁴</t>
        </is>
      </c>
      <c r="J318" t="n">
        <v>4</v>
      </c>
      <c r="K318" t="inlineStr">
        <is>
          <t>8¹⁵</t>
        </is>
      </c>
      <c r="L318" t="inlineStr">
        <is>
          <t>15A⁰</t>
        </is>
      </c>
      <c r="M318" t="inlineStr">
        <is>
          <t>15E⁴, 30F⁶, 15C⁷, 30O⁷, 30F¹¹, 15A¹², 60C¹⁶</t>
        </is>
      </c>
      <c r="N318" t="inlineStr">
        <is>
          <t>1A⁰, 5A⁰, 15A⁰</t>
        </is>
      </c>
      <c r="O318" t="inlineStr">
        <is>
          <t>15C⁷, 30G²², 60B²⁴, 30A²⁴, 15E⁴, 60C¹⁶, 15A¹⁶, 30F²², 15A²³, 30O⁷, 30F²¹, 30F¹¹, 30F⁶, 15A¹⁷, 15A¹², 30O¹³, 30E²²</t>
        </is>
      </c>
    </row>
    <row r="319">
      <c r="A319">
        <f>HYPERLINK("https://mathstats.uncg.edu/sites/pauli/congruence/csg2.html#group16A2", "16A²")</f>
        <v/>
      </c>
      <c r="B319" t="n">
        <v>2</v>
      </c>
      <c r="C319" t="inlineStr"/>
      <c r="D319" t="inlineStr">
        <is>
          <t>24</t>
        </is>
      </c>
      <c r="E319" t="inlineStr">
        <is>
          <t>1</t>
        </is>
      </c>
      <c r="F319" t="inlineStr">
        <is>
          <t>3</t>
        </is>
      </c>
      <c r="G319" t="inlineStr">
        <is>
          <t>0</t>
        </is>
      </c>
      <c r="H319" t="inlineStr">
        <is>
          <t>0</t>
        </is>
      </c>
      <c r="I319" t="inlineStr">
        <is>
          <t>8¹, 16¹</t>
        </is>
      </c>
      <c r="J319" t="n">
        <v>2</v>
      </c>
      <c r="K319" t="inlineStr">
        <is>
          <t>1³</t>
        </is>
      </c>
      <c r="L319" t="inlineStr">
        <is>
          <t>8B⁰</t>
        </is>
      </c>
      <c r="M319" t="inlineStr">
        <is>
          <t>16B³, 16C³, 16F³, 48A⁶, 48D⁷, 80A¹⁰, 80B¹¹, 112A¹⁴, 112D¹⁵, 80E¹⁹, 176A²², 176D²³</t>
        </is>
      </c>
      <c r="N319" t="inlineStr">
        <is>
          <t>8B⁰, 1A⁰, 2B⁰, 4C⁰</t>
        </is>
      </c>
      <c r="O319" t="inlineStr">
        <is>
          <t>16F⁵, 48P¹³, 16D⁵, 80F²¹, 80AB²¹, 96A¹⁵, 16B¹⁷, 48AE²¹, 48BI²¹, 80B¹¹, 32Q¹³, 80I²¹, 48BF²¹, 48J²¹, 96V²³, 48F²¹, 48V²¹, 32P²¹, 16B¹¹, 64H¹⁵, 16C⁹, 48AA²¹, 32C¹¹, 48AK²¹, 48K¹¹, 16B³, 176A²², 48AB²¹, 80C¹⁹, 32G¹³, 48D⁷, 16G⁹, 32H¹³, 16F²¹, 32G²³, 48AX²¹, 48BG²¹, 96P²³, 32M¹³, 32E²¹, 16F³, 96B¹⁵, 48D²¹, 16H⁹, 80E²¹, 80E¹⁹, 48BH²¹, 64J¹⁵, 32A¹³, 48A⁶, 80B¹⁹, 16E⁹, 48C¹¹, 32B¹³, 32G⁷, 48G¹¹, 144H²³, 48AW²¹, 176D²³, 16A²¹, 80O²¹, 32A²¹, 32J⁷, 32D¹¹, 48S²¹, 32B²¹, 80A¹⁰, 48H¹¹, 48H¹³, 16A¹⁷, 48U²¹, 64B²³, 48AF²¹, 96N²³, 48B¹¹, 32I⁷, 32R²¹, 80H¹⁹, 96G²³, 112A¹⁴, 64G¹⁵, 144A¹⁸, 48BU²¹, 48M²¹, 16C³, 48AS²¹, 48D¹³, 96M²³, 16G⁵, 80V²¹, 80K²¹, 48T²¹, 16C²¹, 64I¹⁵, 16B⁵, 48N²¹, 112D¹⁵, 16B⁹, 48L¹¹, 48BB²¹, 48AR²¹, 144G²³, 96U²³, 16C¹¹, 48Q¹¹, 16E⁵, 16E²¹, 144D²¹</t>
        </is>
      </c>
    </row>
    <row r="320">
      <c r="A320">
        <f>HYPERLINK("https://mathstats.uncg.edu/sites/pauli/congruence/csg2.html#group16B2", "16B²")</f>
        <v/>
      </c>
      <c r="B320" t="n">
        <v>2</v>
      </c>
      <c r="C320" t="inlineStr"/>
      <c r="D320" t="inlineStr">
        <is>
          <t>24</t>
        </is>
      </c>
      <c r="E320" t="inlineStr">
        <is>
          <t>1</t>
        </is>
      </c>
      <c r="F320" t="inlineStr">
        <is>
          <t>12</t>
        </is>
      </c>
      <c r="G320" t="inlineStr">
        <is>
          <t>0</t>
        </is>
      </c>
      <c r="H320" t="inlineStr">
        <is>
          <t>0</t>
        </is>
      </c>
      <c r="I320" t="inlineStr">
        <is>
          <t>8¹, 16¹</t>
        </is>
      </c>
      <c r="J320" t="n">
        <v>2</v>
      </c>
      <c r="K320" t="inlineStr">
        <is>
          <t>1⁴, 2², 4¹</t>
        </is>
      </c>
      <c r="L320" t="inlineStr">
        <is>
          <t>8A¹</t>
        </is>
      </c>
      <c r="M320" t="inlineStr">
        <is>
          <t>16D³, 16E³, 32B⁴, 32A⁴, 48B⁶, 48H⁷, 80B¹⁰, 80D¹¹, 112C¹⁴, 112H¹⁵, 80J¹⁹, 176B²², 176H²³</t>
        </is>
      </c>
      <c r="N320" t="inlineStr">
        <is>
          <t>1A⁰, 4C⁰, 2B⁰, 8A¹</t>
        </is>
      </c>
      <c r="O320" t="inlineStr">
        <is>
          <t>16D⁵, 48I²¹, 48H⁷, 48AY²¹, 80D¹¹, 48R¹¹, 96AG²³, 64A¹⁵, 32L¹³, 96K²³, 32A⁴, 96E¹⁵, 32B⁴, 32C¹³, 16B¹⁷, 96B¹², 144O²³, 160C²³, 16F⁹, 160A²⁰, 48AZ²¹, 64A²³, 48B⁶, 32E¹³, 96S²³, 48AN²¹, 48J²¹, 48S¹³, 80Q²¹, 48L¹³, 32F¹³, 144B¹⁸, 64L¹⁵, 48J¹¹, 96F¹⁵, 16H⁵, 176B²², 16D²¹, 96E²³, 96Q²³, 48X²¹, 48BK²¹, 32H¹¹, 32C⁷, 80F¹⁹, 144P²³, 48BJ²¹, 80AE²¹, 96AE²³, 32G¹³, 96AC²³, 16G⁹, 32F²¹, 64B¹⁵, 80G¹⁹, 32H¹³, 48AJ²¹, 16A⁹, 32M¹³, 80B¹⁰, 96AF²³, 48V¹¹, 32D⁷, 32D¹³, 48AM²¹, 96R²³, 80Y²¹, 64C¹⁵, 96B²³, 80T²¹, 160D²³, 16E⁹, 32Q²¹, 96C¹², 16D⁹, 96I²³, 96Z²³, 16C⁵, 112H¹⁵, 48J¹³, 48AQ²¹, 48BE²¹, 32E⁷, 32K⁷, 80Z²¹, 64F¹⁵, 96AH²³, 16A¹⁷, 48M¹³, 96X²³, 160B²⁰, 96W²³, 48D¹¹, 96AD²³, 96T²³, 48BN²¹, 32P¹³, 96D²³, 32R²¹, 48BT²¹, 176H²³, 96C²³, 16D¹¹, 16E³, 48N¹³, 96J²³, 80J¹⁹, 16D³, 64E¹⁵, 96K¹⁵, 64D¹⁵, 96A¹², 96Y²³, 160A²³, 16C²¹, 144L²¹, 96L¹⁵, 96D¹², 32F²³, 16A⁵, 48E²¹, 32B⁷, 48AP²¹, 112C¹⁴, 32D²¹, 96L²³, 48S¹¹, 64K¹⁵, 160B²³</t>
        </is>
      </c>
    </row>
    <row r="321">
      <c r="A321">
        <f>HYPERLINK("https://mathstats.uncg.edu/sites/pauli/congruence/csg2.html#group16C2", "16C²")</f>
        <v/>
      </c>
      <c r="B321" t="n">
        <v>2</v>
      </c>
      <c r="C321" t="inlineStr"/>
      <c r="D321" t="inlineStr">
        <is>
          <t>48</t>
        </is>
      </c>
      <c r="E321" t="inlineStr">
        <is>
          <t>1</t>
        </is>
      </c>
      <c r="F321" t="inlineStr">
        <is>
          <t>3</t>
        </is>
      </c>
      <c r="G321" t="inlineStr">
        <is>
          <t>0</t>
        </is>
      </c>
      <c r="H321" t="inlineStr">
        <is>
          <t>0</t>
        </is>
      </c>
      <c r="I321" t="inlineStr">
        <is>
          <t>4⁴, 16²</t>
        </is>
      </c>
      <c r="J321" t="n">
        <v>6</v>
      </c>
      <c r="K321" t="inlineStr">
        <is>
          <t>1³</t>
        </is>
      </c>
      <c r="L321" t="inlineStr">
        <is>
          <t>8G⁰, 16C¹</t>
        </is>
      </c>
      <c r="M321" t="inlineStr">
        <is>
          <t>16I³, 16J³, 32A⁶, 48A¹⁰, 48X¹¹, 80A¹⁸, 80M¹⁹</t>
        </is>
      </c>
      <c r="N321" t="inlineStr">
        <is>
          <t>2A⁰, 8G⁰, 8D⁰, 16C¹, 4C⁰, 8C⁰, 4E⁰, 2B⁰, 4B⁰, 1A⁰, 2C⁰</t>
        </is>
      </c>
      <c r="O321" t="inlineStr">
        <is>
          <t>16D⁹, 48A¹⁰, 32C⁹, 16A²¹, 16M⁵, 32D⁹, 32B¹¹, 32A¹⁷, 16J³, 48CG²¹, 16A¹⁷, 64B²¹, 80A¹⁸, 32T¹³, 48BZ²¹, 48CF²¹, 96A²², 48CK²¹, 80M¹⁹, 32A¹¹, 32L⁷, 48CA²¹, 32G²¹, 16D²¹, 32C²¹, 64A²¹, 48I¹⁹, 64E²¹, 32H²¹, 16C⁷, 32A⁶, 16I³, 16C²¹, 48O¹⁹, 48F¹⁹, 48B¹⁹, 96C²², 32C¹⁹, 32E²¹, 16B⁹, 48X¹¹, 48C¹⁹, 16C¹³, 32D²¹, 64A¹⁹</t>
        </is>
      </c>
    </row>
    <row r="322">
      <c r="A322">
        <f>HYPERLINK("https://mathstats.uncg.edu/sites/pauli/congruence/csg2.html#group16D2", "16D²")</f>
        <v/>
      </c>
      <c r="B322" t="n">
        <v>2</v>
      </c>
      <c r="C322" t="inlineStr"/>
      <c r="D322" t="inlineStr">
        <is>
          <t>48</t>
        </is>
      </c>
      <c r="E322" t="inlineStr">
        <is>
          <t>1</t>
        </is>
      </c>
      <c r="F322" t="inlineStr">
        <is>
          <t>12</t>
        </is>
      </c>
      <c r="G322" t="inlineStr">
        <is>
          <t>0</t>
        </is>
      </c>
      <c r="H322" t="inlineStr">
        <is>
          <t>0</t>
        </is>
      </c>
      <c r="I322" t="inlineStr">
        <is>
          <t>4⁴, 16²</t>
        </is>
      </c>
      <c r="J322" t="n">
        <v>6</v>
      </c>
      <c r="K322" t="inlineStr">
        <is>
          <t>1², 2¹, 4²</t>
        </is>
      </c>
      <c r="L322" t="inlineStr">
        <is>
          <t>16E⁰, 8C¹, 16C¹</t>
        </is>
      </c>
      <c r="M322" t="inlineStr">
        <is>
          <t>16I³, 32C⁴, 16H⁵, 32B⁶, 48C¹⁰, 48AB¹¹, 80B¹⁸, 80S¹⁹</t>
        </is>
      </c>
      <c r="N322" t="inlineStr">
        <is>
          <t>16E⁰, 8C¹, 8A¹, 8D⁰, 4A⁰, 16C¹, 4C⁰, 2B⁰, 4F⁰, 1A⁰</t>
        </is>
      </c>
      <c r="O322" t="inlineStr">
        <is>
          <t>16D⁹, 80S¹⁹, 48AQ²¹, 48Y¹⁹, 16A²¹, 16M⁵, 32A¹⁷, 48BM²¹, 16A¹⁷, 96B²⁰, 32T¹³, 64A²³, 48Z¹⁹, 32P¹³, 48CF²¹, 48C¹⁰, 96AJ²³, 48AB¹¹, 32A¹¹, 32L⁷, 96D²², 96B²², 16D¹¹, 96A²⁰, 32C⁴, 16H⁵, 16D²¹, 32C²¹, 32H¹¹, 96AK²³, 16I³, 16C²¹, 80B¹⁸, 16B⁹, 48B¹⁹, 32E²¹, 32F²³, 16C¹³, 32B⁶, 48CN²¹, 32D²¹, 64A¹⁹</t>
        </is>
      </c>
    </row>
    <row r="323">
      <c r="A323">
        <f>HYPERLINK("https://mathstats.uncg.edu/sites/pauli/congruence/csg2.html#group16E2", "16E²")</f>
        <v/>
      </c>
      <c r="B323" t="n">
        <v>2</v>
      </c>
      <c r="C323" t="inlineStr"/>
      <c r="D323" t="inlineStr">
        <is>
          <t>48</t>
        </is>
      </c>
      <c r="E323" t="inlineStr">
        <is>
          <t>1</t>
        </is>
      </c>
      <c r="F323" t="inlineStr">
        <is>
          <t>12</t>
        </is>
      </c>
      <c r="G323" t="inlineStr">
        <is>
          <t>4</t>
        </is>
      </c>
      <c r="H323" t="inlineStr">
        <is>
          <t>0</t>
        </is>
      </c>
      <c r="I323" t="inlineStr">
        <is>
          <t>8², 16²</t>
        </is>
      </c>
      <c r="J323" t="n">
        <v>4</v>
      </c>
      <c r="K323" t="inlineStr">
        <is>
          <t>2⁶</t>
        </is>
      </c>
      <c r="L323" t="inlineStr">
        <is>
          <t>8H⁰, 16D¹</t>
        </is>
      </c>
      <c r="M323" t="inlineStr">
        <is>
          <t>16M³, 16C⁴, 16B⁴, 16A⁵, 16G⁵, 32C⁶, 32D⁶, 48F⁸, 48K¹³, 80C¹⁸, 80V¹⁹, 112L²⁴</t>
        </is>
      </c>
      <c r="N323" t="inlineStr">
        <is>
          <t>8H⁰, 16D¹, 8D⁰, 4A⁰, 4C⁰, 8B⁰, 2B⁰, 4F⁰, 1A⁰</t>
        </is>
      </c>
      <c r="O323" t="inlineStr">
        <is>
          <t>16B¹⁹, 32M²¹, 96N²⁰, 32Y²¹, 32C¹³, 16B¹⁷, 16B⁴, 32Q¹³, 64D¹⁴, 32F¹³, 48V²¹, 32P²¹, 48E¹⁸, 48O¹⁸, 32H²³, 96H²⁰, 32H⁹, 32K¹¹, 16D²¹, 32D⁶, 48AL¹⁹, 64A²², 32F²¹, 32C¹⁰, 48F¹⁸, 32C⁶, 16F²¹, 32E²³, 32A²⁴, 32B¹², 16A¹⁵, 16A⁹, 16C⁴, 16H⁹, 32B²⁴, 80C¹⁸, 48AS¹⁷, 16E⁹, 16D⁹, 32K¹³, 64I²¹, 32A²², 48F⁸, 48AK¹⁹, 48AU¹⁷, 32D¹⁹, 16E⁷, 16A¹⁷, 16A¹⁰, 32C¹², 16B¹⁰, 64A¹⁴, 64C¹⁴, 80V¹⁹, 32E¹⁹, 16D⁷, 48Q¹⁸, 64B¹⁴, 16A¹⁹, 112L²⁴, 32C²⁴, 16M³, 48K¹³, 48J¹⁵, 16G⁵, 32A¹², 32D²⁴, 16C²¹, 32B²², 96G²⁰, 32B¹⁰, 16A⁵, 48E²¹, 32G¹¹, 96O²⁰, 64B²², 32D²¹</t>
        </is>
      </c>
    </row>
    <row r="324">
      <c r="A324">
        <f>HYPERLINK("https://mathstats.uncg.edu/sites/pauli/congruence/csg2.html#group16F2", "16F²")</f>
        <v/>
      </c>
      <c r="B324" t="n">
        <v>2</v>
      </c>
      <c r="C324" t="inlineStr"/>
      <c r="D324" t="inlineStr">
        <is>
          <t>48</t>
        </is>
      </c>
      <c r="E324" t="inlineStr">
        <is>
          <t>2</t>
        </is>
      </c>
      <c r="F324" t="inlineStr">
        <is>
          <t>12</t>
        </is>
      </c>
      <c r="G324" t="inlineStr">
        <is>
          <t>4</t>
        </is>
      </c>
      <c r="H324" t="inlineStr">
        <is>
          <t>0</t>
        </is>
      </c>
      <c r="I324" t="inlineStr">
        <is>
          <t>8², 16²</t>
        </is>
      </c>
      <c r="J324" t="n">
        <v>4</v>
      </c>
      <c r="K324" t="inlineStr">
        <is>
          <t>2⁸, 4²</t>
        </is>
      </c>
      <c r="L324" t="inlineStr">
        <is>
          <t>8L⁰, 16B¹, 16D¹</t>
        </is>
      </c>
      <c r="M324" t="inlineStr">
        <is>
          <t>16M³, 16C⁵, 16G⁵, 32E⁶, 32F⁶, 48X⁸, 48T¹³, 80E¹⁸, 80AE¹⁹, 112U²⁴, 112V²⁴</t>
        </is>
      </c>
      <c r="N324" t="inlineStr">
        <is>
          <t>8B⁰, 16B¹, 8L⁰, 2B⁰, 16D¹, 1A⁰, 4C⁰</t>
        </is>
      </c>
      <c r="O324" t="inlineStr">
        <is>
          <t>32K¹³, 64I²¹, 32F⁶, 16B¹⁹, 16C⁵, 48X⁸, 80AE¹⁹, 48I²¹, 32D¹⁹, 64E¹⁴, 32M²¹, 48BG¹⁹, 112V²⁴, 64G¹⁴, 48T¹³, 32L¹³, 16E⁷, 32Y²¹, 16A¹⁷, 16B¹⁷, 16F⁹, 48CA¹⁷, 32E¹³, 80E¹⁸, 32Q¹³, 64H¹⁴, 32E¹⁹, 16D⁷, 48V²¹, 32P²¹, 32H²³, 32H⁹, 32K¹¹, 96I²⁰, 96Q²⁰, 16A¹⁹, 16M³, 64F¹⁴, 48J¹⁵, 16G⁵, 96P²⁰, 32E⁶, 32E²³, 16F²¹, 16A¹⁵, 112U²⁴, 96J²⁰, 32D¹³, 16H⁹, 32G¹¹, 48BF¹⁹, 48CB¹⁷, 16E⁹, 32Q²¹</t>
        </is>
      </c>
    </row>
    <row r="325">
      <c r="A325">
        <f>HYPERLINK("https://mathstats.uncg.edu/sites/pauli/congruence/csg2.html#group16G2", "16G²")</f>
        <v/>
      </c>
      <c r="B325" t="n">
        <v>2</v>
      </c>
      <c r="C325" t="inlineStr"/>
      <c r="D325" t="inlineStr">
        <is>
          <t>64</t>
        </is>
      </c>
      <c r="E325" t="inlineStr">
        <is>
          <t>1</t>
        </is>
      </c>
      <c r="F325" t="inlineStr">
        <is>
          <t>64</t>
        </is>
      </c>
      <c r="G325" t="inlineStr">
        <is>
          <t>8</t>
        </is>
      </c>
      <c r="H325" t="inlineStr">
        <is>
          <t>1</t>
        </is>
      </c>
      <c r="I325" t="inlineStr">
        <is>
          <t>16⁴</t>
        </is>
      </c>
      <c r="J325" t="n">
        <v>4</v>
      </c>
      <c r="K325" t="inlineStr">
        <is>
          <t>8⁸</t>
        </is>
      </c>
      <c r="L325" t="inlineStr">
        <is>
          <t>8F⁰</t>
        </is>
      </c>
      <c r="M325" t="inlineStr">
        <is>
          <t>16L⁵, 16A⁷, 16L⁹, 48AP⁹, 32A¹⁴, 48A¹⁸, 80D²³</t>
        </is>
      </c>
      <c r="N325" t="inlineStr">
        <is>
          <t>1A⁰, 4A⁰, 8F⁰</t>
        </is>
      </c>
      <c r="O325" t="inlineStr">
        <is>
          <t>16E¹¹, 32A¹⁴, 48CR²¹, 48E²³, 32L²¹, 16B¹⁹, 32D²³, 16A⁷, 48A¹⁸, 80D²³, 16L⁵, 48AP⁹, 16A¹³, 16A²¹, 48F²³, 16L⁹</t>
        </is>
      </c>
    </row>
    <row r="326">
      <c r="A326">
        <f>HYPERLINK("https://mathstats.uncg.edu/sites/pauli/congruence/csg2.html#group16H2", "16H²")</f>
        <v/>
      </c>
      <c r="B326" t="n">
        <v>2</v>
      </c>
      <c r="C326" t="inlineStr"/>
      <c r="D326" t="inlineStr">
        <is>
          <t>64</t>
        </is>
      </c>
      <c r="E326" t="inlineStr">
        <is>
          <t>2</t>
        </is>
      </c>
      <c r="F326" t="inlineStr">
        <is>
          <t>32</t>
        </is>
      </c>
      <c r="G326" t="inlineStr">
        <is>
          <t>4</t>
        </is>
      </c>
      <c r="H326" t="inlineStr">
        <is>
          <t>4</t>
        </is>
      </c>
      <c r="I326" t="inlineStr">
        <is>
          <t>16⁴</t>
        </is>
      </c>
      <c r="J326" t="n">
        <v>4</v>
      </c>
      <c r="K326" t="inlineStr">
        <is>
          <t>8⁸</t>
        </is>
      </c>
      <c r="L326" t="inlineStr">
        <is>
          <t>8M⁰, 16A⁰</t>
        </is>
      </c>
      <c r="M326" t="inlineStr">
        <is>
          <t>16K⁵, 32G⁶, 16C¹⁰, 16E¹¹, 48A¹², 48A¹⁷, 80A²²</t>
        </is>
      </c>
      <c r="N326" t="inlineStr">
        <is>
          <t>8A⁰, 8F⁰, 16A⁰, 8M⁰, 1A⁰, 4A⁰</t>
        </is>
      </c>
      <c r="O326" t="inlineStr">
        <is>
          <t>16E¹¹, 16F²¹, 16A¹⁹, 48A¹², 48A¹⁷, 64I¹⁴, 16B²¹, 16C¹⁰, 32S¹³, 16K⁵, 32G⁶, 80A²²</t>
        </is>
      </c>
    </row>
    <row r="327">
      <c r="A327">
        <f>HYPERLINK("https://mathstats.uncg.edu/sites/pauli/congruence/csg2.html#group16I2", "16I²")</f>
        <v/>
      </c>
      <c r="B327" t="n">
        <v>2</v>
      </c>
      <c r="C327" t="inlineStr"/>
      <c r="D327" t="inlineStr">
        <is>
          <t>96</t>
        </is>
      </c>
      <c r="E327" t="inlineStr">
        <is>
          <t>1</t>
        </is>
      </c>
      <c r="F327" t="inlineStr">
        <is>
          <t>12</t>
        </is>
      </c>
      <c r="G327" t="inlineStr">
        <is>
          <t>0</t>
        </is>
      </c>
      <c r="H327" t="inlineStr">
        <is>
          <t>0</t>
        </is>
      </c>
      <c r="I327" t="inlineStr">
        <is>
          <t>4⁸, 8⁴, 16²</t>
        </is>
      </c>
      <c r="J327" t="n">
        <v>14</v>
      </c>
      <c r="K327" t="inlineStr">
        <is>
          <t>1⁴, 2⁴</t>
        </is>
      </c>
      <c r="L327" t="inlineStr">
        <is>
          <t>8N⁰, 16K¹, 16L¹</t>
        </is>
      </c>
      <c r="M327" t="inlineStr">
        <is>
          <t>16O⁵, 16B⁷, 48B¹⁸, 48BP¹⁹</t>
        </is>
      </c>
      <c r="N327" t="inlineStr">
        <is>
          <t>2A⁰, 8N⁰, 4C⁰, 4G⁰, 2B⁰, 4E⁰, 4B⁰, 8K⁰, 1A⁰, 16L¹, 4A⁰, 4D⁰, 4F⁰, 8J⁰, 2C⁰, 16K¹</t>
        </is>
      </c>
      <c r="O327" t="inlineStr">
        <is>
          <t>32E¹⁷, 48BP¹⁹, 16B¹³, 16O⁵, 16D²¹, 48B¹⁸, 16B⁷, 16C¹³, 32A¹⁹, 16E²¹, 16B¹⁷</t>
        </is>
      </c>
    </row>
    <row r="328">
      <c r="A328">
        <f>HYPERLINK("https://mathstats.uncg.edu/sites/pauli/congruence/csg2.html#group16J2", "16J²")</f>
        <v/>
      </c>
      <c r="B328" t="n">
        <v>2</v>
      </c>
      <c r="C328" t="inlineStr">
        <is>
          <t>Γ₁(16)</t>
        </is>
      </c>
      <c r="D328" t="inlineStr">
        <is>
          <t>96</t>
        </is>
      </c>
      <c r="E328" t="inlineStr">
        <is>
          <t>1</t>
        </is>
      </c>
      <c r="F328" t="inlineStr">
        <is>
          <t>24</t>
        </is>
      </c>
      <c r="G328" t="inlineStr">
        <is>
          <t>0</t>
        </is>
      </c>
      <c r="H328" t="inlineStr">
        <is>
          <t>0</t>
        </is>
      </c>
      <c r="I328" t="inlineStr">
        <is>
          <t>1⁴, 2², 4², 8², 16⁴</t>
        </is>
      </c>
      <c r="J328" t="n">
        <v>14</v>
      </c>
      <c r="K328" t="inlineStr">
        <is>
          <t>1⁴, 2², 4², 8¹</t>
        </is>
      </c>
      <c r="L328" t="inlineStr">
        <is>
          <t>16H⁰</t>
        </is>
      </c>
      <c r="M328" t="inlineStr">
        <is>
          <t>16N⁵, 32O⁵, 32M⁷, 48C¹⁸, 48BR¹⁹</t>
        </is>
      </c>
      <c r="N328" t="inlineStr">
        <is>
          <t>16C⁰, 16D⁰, 8C⁰, 2B⁰, 8I⁰, 4B⁰, 1A⁰, 16H⁰</t>
        </is>
      </c>
      <c r="O328" t="inlineStr">
        <is>
          <t>32B¹⁹, 32D¹⁷, 64C¹⁷, 32B¹⁷, 16N⁵, 64W¹³, 64K²¹, 48BR¹⁹, 48C¹⁸, 32O⁵, 32M⁷, 16C¹³, 64B¹⁷, 64J²¹, 64B¹⁹, 32C¹⁷, 32U¹³</t>
        </is>
      </c>
    </row>
    <row r="329">
      <c r="A329">
        <f>HYPERLINK("https://mathstats.uncg.edu/sites/pauli/congruence/csg2.html#group16K2", "16K²")</f>
        <v/>
      </c>
      <c r="B329" t="n">
        <v>2</v>
      </c>
      <c r="C329" t="inlineStr"/>
      <c r="D329" t="inlineStr">
        <is>
          <t>96</t>
        </is>
      </c>
      <c r="E329" t="inlineStr">
        <is>
          <t>1</t>
        </is>
      </c>
      <c r="F329" t="inlineStr">
        <is>
          <t>24</t>
        </is>
      </c>
      <c r="G329" t="inlineStr">
        <is>
          <t>0</t>
        </is>
      </c>
      <c r="H329" t="inlineStr">
        <is>
          <t>0</t>
        </is>
      </c>
      <c r="I329" t="inlineStr">
        <is>
          <t>2⁴, 4², 8⁶, 16²</t>
        </is>
      </c>
      <c r="J329" t="n">
        <v>14</v>
      </c>
      <c r="K329" t="inlineStr">
        <is>
          <t>1⁸, 2⁴, 4²</t>
        </is>
      </c>
      <c r="L329" t="inlineStr">
        <is>
          <t>8O⁰</t>
        </is>
      </c>
      <c r="M329" t="inlineStr">
        <is>
          <t>16N⁵, 16O⁵, 16C⁷, 48D¹⁸, 48BT¹⁹</t>
        </is>
      </c>
      <c r="N329" t="inlineStr">
        <is>
          <t>2A⁰, 8G⁰, 8D⁰, 4C⁰, 2B⁰, 4E⁰, 8I⁰, 8C⁰, 4B⁰, 1A⁰, 2C⁰, 8J⁰, 8O⁰</t>
        </is>
      </c>
      <c r="O329" t="inlineStr">
        <is>
          <t>32D¹⁷, 32B¹⁷, 16N⁵, 32E¹⁷, 32C¹⁹, 16B¹³, 32G²¹, 16O⁵, 48BT¹⁹, 16C¹³, 16C⁷, 32H²¹, 48D¹⁸, 32U¹³, 16B¹⁷</t>
        </is>
      </c>
    </row>
    <row r="330">
      <c r="A330">
        <f>HYPERLINK("https://mathstats.uncg.edu/sites/pauli/congruence/csg2.html#group16L2", "16L²")</f>
        <v/>
      </c>
      <c r="B330" t="n">
        <v>2</v>
      </c>
      <c r="C330" t="inlineStr"/>
      <c r="D330" t="inlineStr">
        <is>
          <t>96</t>
        </is>
      </c>
      <c r="E330" t="inlineStr">
        <is>
          <t>1</t>
        </is>
      </c>
      <c r="F330" t="inlineStr">
        <is>
          <t>24</t>
        </is>
      </c>
      <c r="G330" t="inlineStr">
        <is>
          <t>4</t>
        </is>
      </c>
      <c r="H330" t="inlineStr">
        <is>
          <t>0</t>
        </is>
      </c>
      <c r="I330" t="inlineStr">
        <is>
          <t>4⁸, 16⁴</t>
        </is>
      </c>
      <c r="J330" t="n">
        <v>12</v>
      </c>
      <c r="K330" t="inlineStr">
        <is>
          <t>2², 4⁵</t>
        </is>
      </c>
      <c r="L330" t="inlineStr">
        <is>
          <t>8P⁰, 16H¹, 16I¹</t>
        </is>
      </c>
      <c r="M330" t="inlineStr">
        <is>
          <t>16M⁵, 32H⁶, 16D⁷, 16H⁹, 32A¹⁰, 48A¹⁶, 48CO²¹</t>
        </is>
      </c>
      <c r="N330" t="inlineStr">
        <is>
          <t>8H⁰, 16E⁰, 16I¹, 8D⁰, 4A⁰, 16C¹, 4C⁰, 8B⁰, 8L⁰, 2B⁰, 1A⁰, 4F⁰, 8P⁰, 16H¹</t>
        </is>
      </c>
      <c r="O330" t="inlineStr">
        <is>
          <t>16B¹⁹, 16A¹⁹, 32D¹⁹, 32M²¹, 64B¹⁸, 16M⁵, 32C²¹, 48A¹⁶, 32A¹⁷, 16A¹⁷, 32T¹³, 16F²¹, 32E²³, 64A¹⁸, 16A¹⁵, 32A¹⁰, 32E¹⁹, 16D⁷, 16H⁹, 48CO²¹, 16C¹³, 32H⁶, 32P²¹</t>
        </is>
      </c>
    </row>
    <row r="331">
      <c r="A331">
        <f>HYPERLINK("https://mathstats.uncg.edu/sites/pauli/congruence/csg2.html#group18A2", "18A²")</f>
        <v/>
      </c>
      <c r="B331" t="n">
        <v>2</v>
      </c>
      <c r="C331" t="inlineStr"/>
      <c r="D331" t="inlineStr">
        <is>
          <t>18</t>
        </is>
      </c>
      <c r="E331" t="inlineStr">
        <is>
          <t>1</t>
        </is>
      </c>
      <c r="F331" t="inlineStr">
        <is>
          <t>9</t>
        </is>
      </c>
      <c r="G331" t="inlineStr">
        <is>
          <t>0</t>
        </is>
      </c>
      <c r="H331" t="inlineStr">
        <is>
          <t>0</t>
        </is>
      </c>
      <c r="I331" t="inlineStr">
        <is>
          <t>18¹</t>
        </is>
      </c>
      <c r="J331" t="n">
        <v>1</v>
      </c>
      <c r="K331" t="inlineStr">
        <is>
          <t>1¹, 2¹, 6¹</t>
        </is>
      </c>
      <c r="L331" t="inlineStr">
        <is>
          <t>9A⁰, 6A¹</t>
        </is>
      </c>
      <c r="M331" t="inlineStr">
        <is>
          <t>18A³, 18C³, 18A⁴, 18B⁴, 36A⁶, 90A⁸, 90A⁹, 126A¹¹, 126B¹², 90E¹⁵, 198A¹⁷, 198B¹⁸, 234A²¹</t>
        </is>
      </c>
      <c r="N331" t="inlineStr">
        <is>
          <t>2A⁰, 6A¹, 3A⁰, 1A⁰, 9A⁰</t>
        </is>
      </c>
      <c r="O331" t="inlineStr">
        <is>
          <t>72G¹⁶, 36K¹⁵, 18E⁷, 90K¹⁷, 18A³, 90A⁸, 36A⁶, 36G⁸, 198A¹⁷, 36E¹⁶, 72C¹⁷, 72G²³, 36A²¹, 90C²², 18A¹³, 54H²², 36D¹¹, 144B²⁴, 72C¹², 36J¹⁵, 126C²¹, 126A²¹, 54A¹³, 72Q¹⁶, 126G²¹, 126F²¹, 126B²³, 18C¹³, 72A²³, 18G⁷, 36F²², 36C¹⁵, 18B¹⁹, 252B²⁴, 36B⁸, 90E¹⁷, 18H¹³, 36D⁸, 36A¹¹, 36D¹⁶, 36A¹⁶, 72A¹², 72E²³, 36C¹⁶, 90E¹⁵, 90D²², 18B¹³, 126E²¹, 18C¹⁰, 18A⁷, 126D²¹, 72I¹⁶, 252D²⁴, 18A⁵, 90A⁹, 72B¹⁶, 72A¹⁶, 36D¹⁵, 72K¹⁷, 54I²², 18C⁷, 18B¹⁰, 144A²⁴, 126H²¹, 72H²³, 126H²³, 18A⁴, 36E²², 72H¹⁶, 18D¹⁹, 18C¹⁹, 72B¹², 126A¹¹, 198B¹⁸, 90D¹⁷, 90B²², 18B⁴, 90B¹⁷, 36F¹¹, 90A²², 18E¹⁹, 18B⁷, 252A²⁴, 90A¹⁵, 72B²³, 72E¹⁷, 126B¹², 36J²², 36B¹⁶, 234A²¹, 90F¹⁵, 18F¹³, 144C²⁴, 18C³, 18F⁷, 18A¹⁹, 90H¹⁷</t>
        </is>
      </c>
    </row>
    <row r="332">
      <c r="A332">
        <f>HYPERLINK("https://mathstats.uncg.edu/sites/pauli/congruence/csg2.html#group18B2", "18B²")</f>
        <v/>
      </c>
      <c r="B332" t="n">
        <v>2</v>
      </c>
      <c r="C332" t="inlineStr"/>
      <c r="D332" t="inlineStr">
        <is>
          <t>24</t>
        </is>
      </c>
      <c r="E332" t="inlineStr">
        <is>
          <t>1</t>
        </is>
      </c>
      <c r="F332" t="inlineStr">
        <is>
          <t>4</t>
        </is>
      </c>
      <c r="G332" t="inlineStr">
        <is>
          <t>0</t>
        </is>
      </c>
      <c r="H332" t="inlineStr">
        <is>
          <t>0</t>
        </is>
      </c>
      <c r="I332" t="inlineStr">
        <is>
          <t>6¹, 18¹</t>
        </is>
      </c>
      <c r="J332" t="n">
        <v>2</v>
      </c>
      <c r="K332" t="inlineStr">
        <is>
          <t>1², 2¹</t>
        </is>
      </c>
      <c r="L332" t="inlineStr">
        <is>
          <t>6C⁰, 9A¹</t>
        </is>
      </c>
      <c r="M332" t="inlineStr">
        <is>
          <t>18D⁴, 18E⁴, 18F⁴, 18I⁴, 18J⁴, 36A⁴, 36A⁷, 90A¹⁰, 90D¹¹, 126B¹⁴, 126B¹⁵, 90B¹⁹, 198A²², 198D²³</t>
        </is>
      </c>
      <c r="N332" t="inlineStr">
        <is>
          <t>3B⁰, 2A⁰, 1A⁰, 6C⁰, 9A¹</t>
        </is>
      </c>
      <c r="O332" t="inlineStr">
        <is>
          <t>36I¹⁰, 90D¹¹, 54N¹⁶, 72D²¹, 72B¹⁹, 18F⁴, 36I⁸, 36B¹⁷, 18G¹³, 54K¹⁶, 36G¹⁰, 36B¹⁹, 54E¹³, 198D²³, 36A⁷, 18J¹⁰, 36B¹⁰, 36D⁹, 72N¹⁹, 36K²², 72B¹⁵, 90B¹⁹, 18H¹⁰, 36F¹⁹, 54H¹⁶, 18E⁴, 18I⁴, 198A²², 36J¹⁹, 54O¹⁶, 36C¹⁰, 36O²², 54I¹³, 72A¹⁵, 36A¹³, 180A²⁰, 18C¹³, 18E¹⁰, 126B¹⁵, 180D²³, 126B¹⁴, 18D¹⁰, 54A¹⁶, 54G¹⁶, 72D¹⁹, 72B²¹, 90F²¹, 36D¹⁰, 72L¹⁹, 18J⁴, 90A¹⁰, 180B²³, 36E¹⁹, 36I¹⁹, 36A⁴, 18D⁴, 36D¹⁹, 18F¹⁰</t>
        </is>
      </c>
    </row>
    <row r="333">
      <c r="A333">
        <f>HYPERLINK("https://mathstats.uncg.edu/sites/pauli/congruence/csg2.html#group18C2", "18C²")</f>
        <v/>
      </c>
      <c r="B333" t="n">
        <v>2</v>
      </c>
      <c r="C333" t="inlineStr"/>
      <c r="D333" t="inlineStr">
        <is>
          <t>24</t>
        </is>
      </c>
      <c r="E333" t="inlineStr">
        <is>
          <t>1</t>
        </is>
      </c>
      <c r="F333" t="inlineStr">
        <is>
          <t>8</t>
        </is>
      </c>
      <c r="G333" t="inlineStr">
        <is>
          <t>0</t>
        </is>
      </c>
      <c r="H333" t="inlineStr">
        <is>
          <t>0</t>
        </is>
      </c>
      <c r="I333" t="inlineStr">
        <is>
          <t>6¹, 18¹</t>
        </is>
      </c>
      <c r="J333" t="n">
        <v>2</v>
      </c>
      <c r="K333" t="inlineStr">
        <is>
          <t>2⁴</t>
        </is>
      </c>
      <c r="L333" t="inlineStr">
        <is>
          <t>6C⁰</t>
        </is>
      </c>
      <c r="M333" t="inlineStr">
        <is>
          <t>18C⁴, 18F⁴, 18G⁴, 18H⁴, 36B⁴, 36B⁷, 90B¹⁰, 90F¹¹, 126C¹⁴, 126C¹⁵, 90C¹⁹, 198B²², 198F²³</t>
        </is>
      </c>
      <c r="N333" t="inlineStr">
        <is>
          <t>3B⁰, 2A⁰, 1A⁰, 6C⁰</t>
        </is>
      </c>
      <c r="O333" t="inlineStr">
        <is>
          <t>198B²², 54E¹⁶, 36B⁷, 90F¹¹, 72C¹⁹, 18F⁴, 18G¹³, 36B¹³, 54J¹³, 90C¹⁹, 18G⁴, 54D¹⁶, 18J¹⁰, 18I¹⁰, 36K²², 18K¹⁰, 126C¹⁵, 36F¹⁹, 54F¹⁶, 36A¹⁹, 54H¹³, 90B¹⁰, 72C²¹, 36N²², 36A¹⁷, 126C¹⁴, 72K¹⁹, 180B²⁰, 72A¹⁹, 18G¹⁰, 18E¹⁰, 36E¹⁰, 72M¹⁹, 36G¹⁹, 72A²¹, 72C¹⁵, 180H²³, 18H⁴, 36C¹⁹, 54K¹³, 36C⁹, 36D¹⁰, 36H¹⁹, 198F²³, 36H⁸, 36A¹⁰, 36F¹⁰, 18F¹³, 72D¹⁵, 36B⁴, 18D¹³, 90H²¹, 180F²³, 18C⁴</t>
        </is>
      </c>
    </row>
    <row r="334">
      <c r="A334">
        <f>HYPERLINK("https://mathstats.uncg.edu/sites/pauli/congruence/csg2.html#group18D2", "18D²")</f>
        <v/>
      </c>
      <c r="B334" t="n">
        <v>2</v>
      </c>
      <c r="C334" t="inlineStr"/>
      <c r="D334" t="inlineStr">
        <is>
          <t>36</t>
        </is>
      </c>
      <c r="E334" t="inlineStr">
        <is>
          <t>1</t>
        </is>
      </c>
      <c r="F334" t="inlineStr">
        <is>
          <t>12</t>
        </is>
      </c>
      <c r="G334" t="inlineStr">
        <is>
          <t>0</t>
        </is>
      </c>
      <c r="H334" t="inlineStr">
        <is>
          <t>0</t>
        </is>
      </c>
      <c r="I334" t="inlineStr">
        <is>
          <t>3¹, 6¹, 9¹, 18¹</t>
        </is>
      </c>
      <c r="J334" t="n">
        <v>4</v>
      </c>
      <c r="K334" t="inlineStr">
        <is>
          <t>1⁶, 2³</t>
        </is>
      </c>
      <c r="L334" t="inlineStr">
        <is>
          <t>6F⁰, 9C⁰</t>
        </is>
      </c>
      <c r="M334" t="inlineStr">
        <is>
          <t>18C⁴, 18M⁴, 18P⁴, 36F⁴, 36A⁵, 54A⁸, 54B⁸, 54C⁸, 90A¹⁴, 90G¹⁵, 126C²⁰, 126J²¹</t>
        </is>
      </c>
      <c r="N334" t="inlineStr">
        <is>
          <t>3B⁰, 1A⁰, 2B⁰, 9C⁰, 6F⁰</t>
        </is>
      </c>
      <c r="O334" t="inlineStr">
        <is>
          <t>54B²², 18M¹⁰, 36J¹⁰, 72E²¹, 72C¹⁹, 144E¹⁹, 18B¹⁶, 108B¹⁷, 108A¹⁷, 144O²³, 54D¹⁶, 36L²², 108A¹⁶, 54U¹⁶, 72E¹⁹, 54B⁸, 54D²², 72C²¹, 72M²², 72G¹⁹, 36N²², 72K¹⁹, 36A¹⁷, 144A¹⁹, 72A¹⁹, 72G²¹, 72A¹⁰, 126J²¹, 108C¹⁶, 144A²³, 72C¹¹, 18E¹⁰, 54T¹⁶, 72M¹⁹, 36D¹³, 144I²³, 144M²³, 36C¹⁹, 36J¹³, 18P⁴, 54C²², 36P²², 144C¹⁹, 90A¹⁴, 144A²², 36A¹⁰, 54F²², 144C²³, 72I¹⁹, 72L²², 72D⁹, 90G¹⁵, 54A²², 72A²⁰, 144E²³, 54E¹⁶, 72I²¹, 36A⁵, 36K²², 144K²³, 54F¹⁶, 54C⁸, 36A¹⁹, 108B¹⁶, 36J⁸, 108C¹⁷, 36Q¹⁰, 72O¹⁷, 18G¹⁰, 72A²², 36F⁴, 72A²¹, 72K²¹, 36C⁹, 144E²¹, 144G²¹, 36H⁸, 18E¹⁶, 144G¹⁹, 72C¹⁰, 126C²⁰, 36R¹⁰, 72A¹¹, 144A²⁰, 144G²³, 18M⁴, 54E²², 72F⁸, 54A⁸, 18C⁴</t>
        </is>
      </c>
    </row>
    <row r="335">
      <c r="A335">
        <f>HYPERLINK("https://mathstats.uncg.edu/sites/pauli/congruence/csg2.html#group18E2", "18E²")</f>
        <v/>
      </c>
      <c r="B335" t="n">
        <v>2</v>
      </c>
      <c r="C335" t="inlineStr"/>
      <c r="D335" t="inlineStr">
        <is>
          <t>36</t>
        </is>
      </c>
      <c r="E335" t="inlineStr">
        <is>
          <t>1</t>
        </is>
      </c>
      <c r="F335" t="inlineStr">
        <is>
          <t>12</t>
        </is>
      </c>
      <c r="G335" t="inlineStr">
        <is>
          <t>0</t>
        </is>
      </c>
      <c r="H335" t="inlineStr">
        <is>
          <t>0</t>
        </is>
      </c>
      <c r="I335" t="inlineStr">
        <is>
          <t>3¹, 6¹, 9¹, 18¹</t>
        </is>
      </c>
      <c r="J335" t="n">
        <v>4</v>
      </c>
      <c r="K335" t="inlineStr">
        <is>
          <t>1⁶, 2³</t>
        </is>
      </c>
      <c r="L335" t="inlineStr">
        <is>
          <t>6F⁰, 9A¹</t>
        </is>
      </c>
      <c r="M335" t="inlineStr">
        <is>
          <t>18D⁴, 18M⁴, 18Q⁴, 36G⁴, 36B⁵, 90B¹⁴, 90H¹⁵, 126D²⁰, 126K²¹</t>
        </is>
      </c>
      <c r="N335" t="inlineStr">
        <is>
          <t>3B⁰, 1A⁰, 2B⁰, 6F⁰, 9A¹</t>
        </is>
      </c>
      <c r="O335" t="inlineStr">
        <is>
          <t>72E⁹, 72H¹⁹, 72F²¹, 144B²², 18M¹⁰, 72J¹⁹, 36B¹⁷, 72H²¹, 18B¹⁶, 126D²⁰, 144D¹⁹, 144B²⁰, 36L²², 90H¹⁵, 36K⁸, 72F¹⁹, 18H¹⁰, 126K²¹, 144D²³, 144N²³, 144F²¹, 18E¹⁰, 54T¹⁶, 36B⁵, 36D¹³, 36K¹⁰, 36K¹³, 72B²¹, 72B²⁰, 144B²³, 72L¹⁹, 72D¹⁰, 18Q⁴, 36D¹⁹, 72L²², 36D⁹, 72P¹⁷, 144H²³, 54A²², 144H¹⁹, 72D²¹, 36Q²², 72B¹⁹, 36I⁸, 36S¹⁰, 72B¹⁰, 36B¹⁹, 36B¹⁰, 72N¹⁹, 36K²², 144L²³, 90B¹⁴, 54G²², 144J²³, 72G⁸, 36O²², 72J²¹, 36Q¹⁰, 36G⁴, 72B²², 72D¹⁹, 144F²³, 144H²¹, 72D¹¹, 144F¹⁹, 72L²¹, 144B¹⁹, 18D⁴, 72N²², 18M⁴, 144P²³, 54E²², 72B¹¹</t>
        </is>
      </c>
    </row>
    <row r="336">
      <c r="A336">
        <f>HYPERLINK("https://mathstats.uncg.edu/sites/pauli/congruence/csg2.html#group18F2", "18F²")</f>
        <v/>
      </c>
      <c r="B336" t="n">
        <v>2</v>
      </c>
      <c r="C336" t="inlineStr"/>
      <c r="D336" t="inlineStr">
        <is>
          <t>36</t>
        </is>
      </c>
      <c r="E336" t="inlineStr">
        <is>
          <t>1</t>
        </is>
      </c>
      <c r="F336" t="inlineStr">
        <is>
          <t>18</t>
        </is>
      </c>
      <c r="G336" t="inlineStr">
        <is>
          <t>0</t>
        </is>
      </c>
      <c r="H336" t="inlineStr">
        <is>
          <t>0</t>
        </is>
      </c>
      <c r="I336" t="inlineStr">
        <is>
          <t>6³, 18¹</t>
        </is>
      </c>
      <c r="J336" t="n">
        <v>4</v>
      </c>
      <c r="K336" t="inlineStr">
        <is>
          <t>1¹, 2¹, 3¹, 6²</t>
        </is>
      </c>
      <c r="L336" t="inlineStr">
        <is>
          <t>9E⁰, 6B¹</t>
        </is>
      </c>
      <c r="M336" t="inlineStr">
        <is>
          <t>18F³, 18N⁴, 18B⁷, 18C⁷, 18D⁷, 36J⁹, 90C¹⁴, 90J¹⁵, 126E²⁰, 126M²¹</t>
        </is>
      </c>
      <c r="N336" t="inlineStr">
        <is>
          <t>2A⁰, 6B⁰, 6B¹, 3C⁰, 6A¹, 9E⁰, 3A⁰, 1A⁰</t>
        </is>
      </c>
      <c r="O336" t="inlineStr">
        <is>
          <t>36C¹⁷, 18N⁷, 90J¹⁵, 36E²¹, 36A⁹, 18C¹³, 90C¹⁴, 72N²¹, 36J⁹, 36I¹⁷, 18B¹⁹, 18B⁷, 18D¹⁰, 54I²², 18C⁷, 18D⁷, 18F³, 18K¹⁰, 18N⁴, 36M¹¹, 18D¹³, 72M²¹, 18D¹⁹, 18A¹³, 36N¹¹, 18E¹³, 18C¹⁹, 54H²², 18A¹⁹, 126E²⁰, 126M²¹</t>
        </is>
      </c>
    </row>
    <row r="337">
      <c r="A337">
        <f>HYPERLINK("https://mathstats.uncg.edu/sites/pauli/congruence/csg2.html#group18G2", "18G²")</f>
        <v/>
      </c>
      <c r="B337" t="n">
        <v>2</v>
      </c>
      <c r="C337" t="inlineStr"/>
      <c r="D337" t="inlineStr">
        <is>
          <t>36</t>
        </is>
      </c>
      <c r="E337" t="inlineStr">
        <is>
          <t>2</t>
        </is>
      </c>
      <c r="F337" t="inlineStr">
        <is>
          <t>9</t>
        </is>
      </c>
      <c r="G337" t="inlineStr">
        <is>
          <t>4</t>
        </is>
      </c>
      <c r="H337" t="inlineStr">
        <is>
          <t>0</t>
        </is>
      </c>
      <c r="I337" t="inlineStr">
        <is>
          <t>18²</t>
        </is>
      </c>
      <c r="J337" t="n">
        <v>2</v>
      </c>
      <c r="K337" t="inlineStr">
        <is>
          <t>2³, 6²</t>
        </is>
      </c>
      <c r="L337" t="inlineStr">
        <is>
          <t>6E⁰, 18A⁰, 9B¹, 18A¹</t>
        </is>
      </c>
      <c r="M337" t="inlineStr">
        <is>
          <t>18S⁴, 18A⁵, 36C⁵, 18B⁶, 18D⁶, 18E⁶, 36K⁹, 90D¹⁴, 90N¹⁵, 126D¹⁸, 126E¹⁸, 126G²³</t>
        </is>
      </c>
      <c r="N337" t="inlineStr">
        <is>
          <t>6B⁰, 6E⁰, 9B¹, 9A⁰, 3C⁰, 3A⁰, 1A⁰, 18A⁰, 18A¹</t>
        </is>
      </c>
      <c r="O337" t="inlineStr">
        <is>
          <t>18S⁴, 90N¹⁵, 18C¹⁶, 36S¹³, 18A⁵, 126E¹⁸, 36I¹⁵, 36K⁹, 18A¹⁸, 72Q²¹, 36E¹⁵, 126G²³, 54V¹⁶, 36A²¹, 36L¹⁵, 18A¹³, 18E⁶, 18C¹³, 18B⁶, 18H¹⁶, 72S²¹, 54A²¹, 18H¹³, 36P¹³, 36A¹¹, 36O¹⁵, 18D⁶, 36C⁵, 18G¹⁶, 54B²⁴, 18F¹³, 54K²², 54J²², 126D¹⁸, 54B²¹, 72P²¹, 18B¹³, 90D¹⁴, 36K¹⁹, 36O¹³, 54A²⁴</t>
        </is>
      </c>
    </row>
    <row r="338">
      <c r="A338">
        <f>HYPERLINK("https://mathstats.uncg.edu/sites/pauli/congruence/csg2.html#group18H2", "18H²")</f>
        <v/>
      </c>
      <c r="B338" t="n">
        <v>2</v>
      </c>
      <c r="C338" t="inlineStr"/>
      <c r="D338" t="inlineStr">
        <is>
          <t>36</t>
        </is>
      </c>
      <c r="E338" t="inlineStr">
        <is>
          <t>2</t>
        </is>
      </c>
      <c r="F338" t="inlineStr">
        <is>
          <t>18</t>
        </is>
      </c>
      <c r="G338" t="inlineStr">
        <is>
          <t>4</t>
        </is>
      </c>
      <c r="H338" t="inlineStr">
        <is>
          <t>0</t>
        </is>
      </c>
      <c r="I338" t="inlineStr">
        <is>
          <t>18²</t>
        </is>
      </c>
      <c r="J338" t="n">
        <v>2</v>
      </c>
      <c r="K338" t="inlineStr">
        <is>
          <t>2⁶, 6⁴</t>
        </is>
      </c>
      <c r="L338" t="inlineStr">
        <is>
          <t>6E⁰, 18B¹</t>
        </is>
      </c>
      <c r="M338" t="inlineStr">
        <is>
          <t>18T⁴, 18B⁵, 36D⁵, 18C⁶, 18D⁶, 18E⁶, 36L⁹, 90H¹⁴, 90P¹⁵, 126J¹⁸, 126K¹⁸, 126I²³</t>
        </is>
      </c>
      <c r="N338" t="inlineStr">
        <is>
          <t>18B¹, 3C⁰, 6B⁰, 3A⁰, 6E⁰, 1A⁰</t>
        </is>
      </c>
      <c r="O338" t="inlineStr">
        <is>
          <t>18E⁶, 36H¹⁵, 36B²¹, 36S¹³, 36L¹⁹, 18H¹⁶, 36I¹⁵, 90P¹⁵, 18G¹³, 18A¹⁸, 18H¹³, 36G¹⁵, 72T²¹, 36P¹³, 18C⁶, 18D⁶, 36O¹⁵, 18F¹⁶, 18G¹⁶, 72V²¹, 126I²³, 90H¹⁴, 36D⁵, 18D¹³, 18B⁵, 18T⁴, 126J¹⁸, 18E¹³, 36L¹⁵, 18B¹³, 36Q¹³, 36L⁹, 36B¹¹, 72U²¹, 126K¹⁸</t>
        </is>
      </c>
    </row>
    <row r="339">
      <c r="A339">
        <f>HYPERLINK("https://mathstats.uncg.edu/sites/pauli/congruence/csg2.html#group18I2", "18I²")</f>
        <v/>
      </c>
      <c r="B339" t="n">
        <v>2</v>
      </c>
      <c r="C339" t="inlineStr"/>
      <c r="D339" t="inlineStr">
        <is>
          <t>54</t>
        </is>
      </c>
      <c r="E339" t="inlineStr">
        <is>
          <t>1</t>
        </is>
      </c>
      <c r="F339" t="inlineStr">
        <is>
          <t>9</t>
        </is>
      </c>
      <c r="G339" t="inlineStr">
        <is>
          <t>6</t>
        </is>
      </c>
      <c r="H339" t="inlineStr">
        <is>
          <t>0</t>
        </is>
      </c>
      <c r="I339" t="inlineStr">
        <is>
          <t>9², 18²</t>
        </is>
      </c>
      <c r="J339" t="n">
        <v>4</v>
      </c>
      <c r="K339" t="inlineStr">
        <is>
          <t>1³, 2³</t>
        </is>
      </c>
      <c r="L339" t="inlineStr">
        <is>
          <t>6G⁰, 9D⁰, 18E¹</t>
        </is>
      </c>
      <c r="M339" t="inlineStr">
        <is>
          <t>18L⁴, 36P⁴, 36H⁵, 18A⁶, 18A⁷, 18I⁷, 18M⁷, 36C⁷, 36A⁸, 90A²⁰, 90I²¹</t>
        </is>
      </c>
      <c r="N339" t="inlineStr">
        <is>
          <t>9D⁰, 9A⁰, 6G⁰, 3C⁰, 2B⁰, 18E¹, 3A⁰, 1A⁰, 6D⁰</t>
        </is>
      </c>
      <c r="O339" t="inlineStr">
        <is>
          <t>72G¹⁵, 18A⁷, 72F¹³, 36H¹³, 90I²¹, 72F¹⁵, 36A¹⁵, 18I⁷, 36D¹⁵, 72B¹⁷, 36G¹³, 72H¹³, 72M¹¹, 18B¹⁶, 18A²², 36N¹⁹, 36B¹⁵, 36A²², 144W²³, 36A²³, 36C¹³, 36R¹⁹, 72N¹¹, 72O¹¹, 18L⁴, 36I¹³, 36P⁴, 18M⁷, 36C¹⁵, 18E¹⁹, 36O⁹, 36H⁵, 36J¹¹, 18A¹⁶, 72A¹⁷, 90A²⁰, 72AA²¹, 36A⁸, 18G¹⁶, 36C⁷, 18D¹⁶, 36G¹⁶, 144X²³, 18A⁶, 36Q¹⁹, 36H²², 18B¹³, 72G¹³, 36M¹⁹, 36I¹⁶, 18A¹⁹</t>
        </is>
      </c>
    </row>
    <row r="340">
      <c r="A340">
        <f>HYPERLINK("https://mathstats.uncg.edu/sites/pauli/congruence/csg2.html#group18J2", "18J²")</f>
        <v/>
      </c>
      <c r="B340" t="n">
        <v>2</v>
      </c>
      <c r="C340" t="inlineStr"/>
      <c r="D340" t="inlineStr">
        <is>
          <t>54</t>
        </is>
      </c>
      <c r="E340" t="inlineStr">
        <is>
          <t>1</t>
        </is>
      </c>
      <c r="F340" t="inlineStr">
        <is>
          <t>27</t>
        </is>
      </c>
      <c r="G340" t="inlineStr">
        <is>
          <t>0</t>
        </is>
      </c>
      <c r="H340" t="inlineStr">
        <is>
          <t>6</t>
        </is>
      </c>
      <c r="I340" t="inlineStr">
        <is>
          <t>18³</t>
        </is>
      </c>
      <c r="J340" t="n">
        <v>3</v>
      </c>
      <c r="K340" t="inlineStr">
        <is>
          <t>3¹, 6⁴</t>
        </is>
      </c>
      <c r="L340" t="inlineStr">
        <is>
          <t>2A⁰, 9F⁰</t>
        </is>
      </c>
      <c r="M340" t="inlineStr">
        <is>
          <t>18H⁷, 18A¹⁰, 18B¹⁰, 18A¹¹, 36C¹⁴, 90B¹⁸</t>
        </is>
      </c>
      <c r="N340" t="inlineStr">
        <is>
          <t>2A⁰, 1A⁰, 9F⁰</t>
        </is>
      </c>
      <c r="O340" t="inlineStr">
        <is>
          <t>18B¹⁹, 36B²², 36C¹⁴, 18B¹⁰, 18A¹¹, 90B¹⁸, 18H⁷, 18A¹⁰</t>
        </is>
      </c>
    </row>
    <row r="341">
      <c r="A341">
        <f>HYPERLINK("https://mathstats.uncg.edu/sites/pauli/congruence/csg2.html#group18K2", "18K²")</f>
        <v/>
      </c>
      <c r="B341" t="n">
        <v>2</v>
      </c>
      <c r="C341" t="inlineStr"/>
      <c r="D341" t="inlineStr">
        <is>
          <t>54</t>
        </is>
      </c>
      <c r="E341" t="inlineStr">
        <is>
          <t>2</t>
        </is>
      </c>
      <c r="F341" t="inlineStr">
        <is>
          <t>27</t>
        </is>
      </c>
      <c r="G341" t="inlineStr">
        <is>
          <t>8</t>
        </is>
      </c>
      <c r="H341" t="inlineStr">
        <is>
          <t>0</t>
        </is>
      </c>
      <c r="I341" t="inlineStr">
        <is>
          <t>18³</t>
        </is>
      </c>
      <c r="J341" t="n">
        <v>3</v>
      </c>
      <c r="K341" t="inlineStr">
        <is>
          <t>6⁹</t>
        </is>
      </c>
      <c r="L341" t="inlineStr">
        <is>
          <t>9G⁰, 18A⁰, 18A¹</t>
        </is>
      </c>
      <c r="M341" t="inlineStr">
        <is>
          <t>18S⁴, 18B⁶, 18F⁷, 18J⁷, 18B⁸, 54D⁸, 54A¹¹, 54B¹¹, 36G¹², 90C²⁰, 90J²¹</t>
        </is>
      </c>
      <c r="N341" t="inlineStr">
        <is>
          <t>6B⁰, 9A⁰, 9G⁰, 3A⁰, 1A⁰, 18A⁰, 18A¹</t>
        </is>
      </c>
      <c r="O341" t="inlineStr">
        <is>
          <t>18S⁴, 90J²¹, 18C¹⁶, 18B⁶, 18H¹⁶, 54D⁸, 54A²⁴, 18B¹⁹, 18E¹⁹, 18A¹⁸, 54A²¹, 36D²¹, 36B¹⁸, 90C²⁰, 18G¹⁶, 36E¹⁵, 54V¹⁶, 54B²⁴, 54K²², 54J²², 54B²¹, 36I²², 36G¹², 18A¹³, 36T¹⁹, 18B⁸, 18F⁷, 18J⁷, 36O¹³, 54A¹¹, 54B¹¹</t>
        </is>
      </c>
    </row>
    <row r="342">
      <c r="A342">
        <f>HYPERLINK("https://mathstats.uncg.edu/sites/pauli/congruence/csg2.html#group18L2", "18L²")</f>
        <v/>
      </c>
      <c r="B342" t="n">
        <v>2</v>
      </c>
      <c r="C342" t="inlineStr"/>
      <c r="D342" t="inlineStr">
        <is>
          <t>54</t>
        </is>
      </c>
      <c r="E342" t="inlineStr">
        <is>
          <t>2</t>
        </is>
      </c>
      <c r="F342" t="inlineStr">
        <is>
          <t>27</t>
        </is>
      </c>
      <c r="G342" t="inlineStr">
        <is>
          <t>8</t>
        </is>
      </c>
      <c r="H342" t="inlineStr">
        <is>
          <t>0</t>
        </is>
      </c>
      <c r="I342" t="inlineStr">
        <is>
          <t>18³</t>
        </is>
      </c>
      <c r="J342" t="n">
        <v>3</v>
      </c>
      <c r="K342" t="inlineStr">
        <is>
          <t>2⁹, 6⁶</t>
        </is>
      </c>
      <c r="L342" t="inlineStr">
        <is>
          <t>6H⁰, 18A⁰, 18E¹</t>
        </is>
      </c>
      <c r="M342" t="inlineStr">
        <is>
          <t>18L⁴, 36R⁴, 36K⁵, 18D⁶, 18E⁷, 18K⁷, 36F⁷, 18B⁸, 36F⁸, 90D²⁰, 90K²¹</t>
        </is>
      </c>
      <c r="N342" t="inlineStr">
        <is>
          <t>6B⁰, 6H⁰, 9A⁰, 2B⁰, 18E¹, 3A⁰, 1A⁰, 18A⁰, 6D⁰</t>
        </is>
      </c>
      <c r="O342" t="inlineStr">
        <is>
          <t>72H¹⁷, 36K¹⁵, 72R¹⁶, 18E⁷, 36S¹³, 36I¹⁵, 90K²¹, 90D²⁰, 36R⁴, 18A¹⁸, 36G¹³, 36D²¹, 72H⁹, 36B¹⁵, 36S¹⁹, 72K¹⁴, 72K¹⁶, 36A²³, 36L¹⁵, 18B⁸, 18C¹⁹, 36F¹², 36J¹⁵, 72P¹⁵, 18K⁷, 18L⁴, 72L¹², 36K⁵, 72R¹¹, 144Y²³, 18E¹⁹, 36O⁹, 36J¹¹, 72J¹⁶, 36H¹⁶, 36F⁷, 36B¹⁸, 36P¹³, 72AA²¹, 18D⁶, 18G¹⁶, 18D¹⁶, 36I²², 36E¹², 36T¹⁹, 72M¹², 36F⁸, 18B¹³, 36D²², 144J¹⁹</t>
        </is>
      </c>
    </row>
    <row r="343">
      <c r="A343">
        <f>HYPERLINK("https://mathstats.uncg.edu/sites/pauli/congruence/csg2.html#group18M2", "18M²")</f>
        <v/>
      </c>
      <c r="B343" t="n">
        <v>2</v>
      </c>
      <c r="C343" t="inlineStr"/>
      <c r="D343" t="inlineStr">
        <is>
          <t>54</t>
        </is>
      </c>
      <c r="E343" t="inlineStr">
        <is>
          <t>2</t>
        </is>
      </c>
      <c r="F343" t="inlineStr">
        <is>
          <t>54</t>
        </is>
      </c>
      <c r="G343" t="inlineStr">
        <is>
          <t>8</t>
        </is>
      </c>
      <c r="H343" t="inlineStr">
        <is>
          <t>0</t>
        </is>
      </c>
      <c r="I343" t="inlineStr">
        <is>
          <t>18³</t>
        </is>
      </c>
      <c r="J343" t="n">
        <v>3</v>
      </c>
      <c r="K343" t="inlineStr">
        <is>
          <t>6¹⁸</t>
        </is>
      </c>
      <c r="L343" t="inlineStr">
        <is>
          <t>18A⁰, 18B¹</t>
        </is>
      </c>
      <c r="M343" t="inlineStr">
        <is>
          <t>18T⁴, 18E⁶, 18G⁷, 18L⁷, 18B⁸, 36H¹², 90E²⁰, 90L²¹</t>
        </is>
      </c>
      <c r="N343" t="inlineStr">
        <is>
          <t>18B¹, 6B⁰, 3A⁰, 1A⁰, 18A⁰, 9A⁰</t>
        </is>
      </c>
      <c r="O343" t="inlineStr">
        <is>
          <t>18E⁶, 18G⁷, 18H¹⁶, 36H¹², 18E¹⁹, 90L²¹, 18A¹⁸, 36D²¹, 18H¹³, 36B¹⁸, 18L⁷, 90E²⁰, 36O¹⁵, 18F¹⁶, 18G¹⁶, 36I²², 18D¹⁹, 36Q¹³, 18T⁴, 18B⁸, 36T¹⁹</t>
        </is>
      </c>
    </row>
    <row r="344">
      <c r="A344">
        <f>HYPERLINK("https://mathstats.uncg.edu/sites/pauli/congruence/csg2.html#group18N2", "18N²")</f>
        <v/>
      </c>
      <c r="B344" t="n">
        <v>2</v>
      </c>
      <c r="C344" t="inlineStr"/>
      <c r="D344" t="inlineStr">
        <is>
          <t>72</t>
        </is>
      </c>
      <c r="E344" t="inlineStr">
        <is>
          <t>1</t>
        </is>
      </c>
      <c r="F344" t="inlineStr">
        <is>
          <t>12</t>
        </is>
      </c>
      <c r="G344" t="inlineStr">
        <is>
          <t>0</t>
        </is>
      </c>
      <c r="H344" t="inlineStr">
        <is>
          <t>6</t>
        </is>
      </c>
      <c r="I344" t="inlineStr">
        <is>
          <t>6³, 18³</t>
        </is>
      </c>
      <c r="J344" t="n">
        <v>6</v>
      </c>
      <c r="K344" t="inlineStr">
        <is>
          <t>1², 2², 6¹</t>
        </is>
      </c>
      <c r="L344" t="inlineStr">
        <is>
          <t>9J⁰, 18B⁰</t>
        </is>
      </c>
      <c r="M344" t="inlineStr">
        <is>
          <t>36J⁶, 18P⁷, 18D¹⁰, 18G¹⁰, 54C¹⁰, 18A¹¹, 18B¹¹, 54C¹¹, 54D¹¹, 54N¹³, 54O¹³, 54A¹⁴, 54B¹⁴, 54B¹⁶, 54C¹⁶, 54I¹⁶, 36F¹⁷, 90D²⁴</t>
        </is>
      </c>
      <c r="N344" t="inlineStr">
        <is>
          <t>3B⁰, 2A⁰, 9J⁰, 9C⁰, 1A⁰, 18B⁰, 6C⁰</t>
        </is>
      </c>
      <c r="O344" t="inlineStr">
        <is>
          <t>54C¹¹, 108B²², 18G¹⁰, 54D¹¹, 54I¹⁶, 18D¹⁰, 54N¹³, 54B¹⁴, 90D²⁴, 54C¹⁶, 54A¹⁴, 54O¹³, 18B¹¹, 54C¹⁰, 36F¹⁷, 36J⁶, 54B¹⁶, 36M²², 18P⁷, 36N²², 18A¹¹</t>
        </is>
      </c>
    </row>
    <row r="345">
      <c r="A345">
        <f>HYPERLINK("https://mathstats.uncg.edu/sites/pauli/congruence/csg2.html#group18O2", "18O²")</f>
        <v/>
      </c>
      <c r="B345" t="n">
        <v>2</v>
      </c>
      <c r="C345" t="inlineStr"/>
      <c r="D345" t="inlineStr">
        <is>
          <t>72</t>
        </is>
      </c>
      <c r="E345" t="inlineStr">
        <is>
          <t>1</t>
        </is>
      </c>
      <c r="F345" t="inlineStr">
        <is>
          <t>24</t>
        </is>
      </c>
      <c r="G345" t="inlineStr">
        <is>
          <t>0</t>
        </is>
      </c>
      <c r="H345" t="inlineStr">
        <is>
          <t>6</t>
        </is>
      </c>
      <c r="I345" t="inlineStr">
        <is>
          <t>6³, 18³</t>
        </is>
      </c>
      <c r="J345" t="n">
        <v>6</v>
      </c>
      <c r="K345" t="inlineStr">
        <is>
          <t>1⁴, 2⁴, 6²</t>
        </is>
      </c>
      <c r="L345" t="inlineStr">
        <is>
          <t>18B⁰</t>
        </is>
      </c>
      <c r="M345" t="inlineStr">
        <is>
          <t>36K⁶, 18P⁷, 18F¹⁰, 18G¹⁰, 54G¹⁰, 54S¹³, 54T¹³, 54L¹⁶, 54M¹⁶, 54P¹⁶, 36H¹⁷, 90G²⁴</t>
        </is>
      </c>
      <c r="N345" t="inlineStr">
        <is>
          <t>3B⁰, 2A⁰, 9C⁰, 1A⁰, 18B⁰, 6C⁰</t>
        </is>
      </c>
      <c r="O345" t="inlineStr">
        <is>
          <t>108D²², 54P¹⁶, 54G¹⁰, 54T¹³, 90G²⁴, 18G¹⁰, 36H¹⁷, 36M²², 36K⁶, 54S¹³, 54L¹⁶, 18P⁷, 54M¹⁶, 36N²², 18F¹⁰</t>
        </is>
      </c>
    </row>
    <row r="346">
      <c r="A346">
        <f>HYPERLINK("https://mathstats.uncg.edu/sites/pauli/congruence/csg2.html#group18P2", "18P²")</f>
        <v/>
      </c>
      <c r="B346" t="n">
        <v>2</v>
      </c>
      <c r="C346" t="inlineStr"/>
      <c r="D346" t="inlineStr">
        <is>
          <t>108</t>
        </is>
      </c>
      <c r="E346" t="inlineStr">
        <is>
          <t>1</t>
        </is>
      </c>
      <c r="F346" t="inlineStr">
        <is>
          <t>18</t>
        </is>
      </c>
      <c r="G346" t="inlineStr">
        <is>
          <t>0</t>
        </is>
      </c>
      <c r="H346" t="inlineStr">
        <is>
          <t>0</t>
        </is>
      </c>
      <c r="I346" t="inlineStr">
        <is>
          <t>3⁶, 6⁶, 9², 18²</t>
        </is>
      </c>
      <c r="J346" t="n">
        <v>16</v>
      </c>
      <c r="K346" t="inlineStr">
        <is>
          <t>1⁶, 2⁶</t>
        </is>
      </c>
      <c r="L346" t="inlineStr">
        <is>
          <t>6K⁰, 9H⁰, 18I¹</t>
        </is>
      </c>
      <c r="M346" t="inlineStr">
        <is>
          <t>18N⁷, 36N⁷, 18M¹⁰, 36I¹¹, 18A¹⁶, 18B¹⁶</t>
        </is>
      </c>
      <c r="N346" t="inlineStr">
        <is>
          <t>3B⁰, 18I¹, 6G⁰, 3C⁰, 6K⁰, 2B⁰, 9H⁰, 1A⁰, 9E⁰, 3A⁰, 6F⁰, 6D⁰, 3D⁰</t>
        </is>
      </c>
      <c r="O346" t="inlineStr">
        <is>
          <t>18N⁷, 36E²¹, 18M¹⁰, 36N⁷, 72AB²¹, 72X¹⁷, 36I¹⁷, 18A¹⁶, 36K¹⁷, 18B¹⁶, 36I¹¹</t>
        </is>
      </c>
    </row>
    <row r="347">
      <c r="A347">
        <f>HYPERLINK("https://mathstats.uncg.edu/sites/pauli/congruence/csg2.html#group18Q2", "18Q²")</f>
        <v/>
      </c>
      <c r="B347" t="n">
        <v>2</v>
      </c>
      <c r="C347" t="inlineStr">
        <is>
          <t>Γ₁(18)</t>
        </is>
      </c>
      <c r="D347" t="inlineStr">
        <is>
          <t>108</t>
        </is>
      </c>
      <c r="E347" t="inlineStr">
        <is>
          <t>1</t>
        </is>
      </c>
      <c r="F347" t="inlineStr">
        <is>
          <t>36</t>
        </is>
      </c>
      <c r="G347" t="inlineStr">
        <is>
          <t>0</t>
        </is>
      </c>
      <c r="H347" t="inlineStr">
        <is>
          <t>0</t>
        </is>
      </c>
      <c r="I347" t="inlineStr">
        <is>
          <t>1³, 2³, 3², 6², 9³, 18³</t>
        </is>
      </c>
      <c r="J347" t="n">
        <v>16</v>
      </c>
      <c r="K347" t="inlineStr">
        <is>
          <t>1⁶, 2⁶, 6³</t>
        </is>
      </c>
      <c r="L347" t="inlineStr">
        <is>
          <t>9I⁰, 18E⁰</t>
        </is>
      </c>
      <c r="M347" t="inlineStr">
        <is>
          <t>18O⁷, 36O⁷, 18M¹⁰, 54I¹⁰, 36K¹¹, 54R¹⁶, 54S¹⁶</t>
        </is>
      </c>
      <c r="N347" t="inlineStr">
        <is>
          <t>3B⁰, 18E⁰, 6F⁰, 9I⁰, 9B⁰, 2B⁰, 1A⁰</t>
        </is>
      </c>
      <c r="O347" t="inlineStr">
        <is>
          <t>72AC²¹, 72Y¹⁷, 18O⁷, 54S¹⁶, 18M¹⁰, 54R¹⁶, 36L¹⁷, 36J¹⁷, 36K¹¹, 36F²¹, 54I¹⁰, 36O⁷</t>
        </is>
      </c>
    </row>
    <row r="348">
      <c r="A348">
        <f>HYPERLINK("https://mathstats.uncg.edu/sites/pauli/congruence/csg2.html#group19A2", "19A²")</f>
        <v/>
      </c>
      <c r="B348" t="n">
        <v>2</v>
      </c>
      <c r="C348" t="inlineStr"/>
      <c r="D348" t="inlineStr">
        <is>
          <t>57</t>
        </is>
      </c>
      <c r="E348" t="inlineStr">
        <is>
          <t>2</t>
        </is>
      </c>
      <c r="F348" t="inlineStr">
        <is>
          <t>57</t>
        </is>
      </c>
      <c r="G348" t="inlineStr">
        <is>
          <t>5</t>
        </is>
      </c>
      <c r="H348" t="inlineStr">
        <is>
          <t>3</t>
        </is>
      </c>
      <c r="I348" t="inlineStr">
        <is>
          <t>19³</t>
        </is>
      </c>
      <c r="J348" t="n">
        <v>3</v>
      </c>
      <c r="K348" t="inlineStr">
        <is>
          <t>6¹, 18⁶</t>
        </is>
      </c>
      <c r="L348" t="inlineStr">
        <is>
          <t>1A⁰</t>
        </is>
      </c>
      <c r="M348" t="inlineStr">
        <is>
          <t>38A⁷, 57A¹⁰, 38A¹¹, 19A¹⁴, 76A¹⁵, 57A¹⁶, 19A¹⁸, 95A²⁰, 95A²⁴</t>
        </is>
      </c>
      <c r="N348" t="inlineStr">
        <is>
          <t>1A⁰</t>
        </is>
      </c>
      <c r="O348" t="inlineStr">
        <is>
          <t>38A⁷, 57A¹⁰, 57A¹⁶, 19A¹⁴, 114A²³, 38A¹¹, 19A¹⁸, 95A²⁰, 76A¹⁵, 76A²⁴, 95A²⁴, 57A²⁴</t>
        </is>
      </c>
    </row>
    <row r="349">
      <c r="A349">
        <f>HYPERLINK("https://mathstats.uncg.edu/sites/pauli/congruence/csg2.html#group20A2", "20A²")</f>
        <v/>
      </c>
      <c r="B349" t="n">
        <v>2</v>
      </c>
      <c r="C349" t="inlineStr"/>
      <c r="D349" t="inlineStr">
        <is>
          <t>30</t>
        </is>
      </c>
      <c r="E349" t="inlineStr">
        <is>
          <t>1</t>
        </is>
      </c>
      <c r="F349" t="inlineStr">
        <is>
          <t>15</t>
        </is>
      </c>
      <c r="G349" t="inlineStr">
        <is>
          <t>0</t>
        </is>
      </c>
      <c r="H349" t="inlineStr">
        <is>
          <t>0</t>
        </is>
      </c>
      <c r="I349" t="inlineStr">
        <is>
          <t>5², 20¹</t>
        </is>
      </c>
      <c r="J349" t="n">
        <v>3</v>
      </c>
      <c r="K349" t="inlineStr">
        <is>
          <t>1³, 4³</t>
        </is>
      </c>
      <c r="L349" t="inlineStr">
        <is>
          <t>4B⁰, 10B¹</t>
        </is>
      </c>
      <c r="M349" t="inlineStr">
        <is>
          <t>20A⁴, 20D⁴, 40B⁴, 20E⁵, 60A⁷, 60C⁷, 60C⁸, 140A¹⁷, 140A¹⁸</t>
        </is>
      </c>
      <c r="N349" t="inlineStr">
        <is>
          <t>5A⁰, 2B⁰, 4B⁰, 1A⁰, 10B¹</t>
        </is>
      </c>
      <c r="O349" t="inlineStr">
        <is>
          <t>140A¹⁷, 20D⁴, 60A¹⁴, 20C²², 40A⁸, 40H²², 40A⁹, 80A¹⁸, 80B⁸, 60B¹⁷, 120D¹⁴, 20C¹⁰, 80G²², 20P⁷, 40C⁸, 120A¹⁸, 120D¹⁷, 80C²², 40C²², 140A¹⁸, 60B¹⁶, 20C¹¹, 40D⁸, 80F¹⁹, 40J¹¹, 60A⁷, 20A²², 80D²², 40A¹⁶, 120A¹⁴, 40L²², 160A¹⁹, 60F¹⁴, 40A¹⁷, 80B¹⁹, 40F¹⁰, 40A¹⁸, 80C⁸, 40A²², 40B¹⁶, 80F²², 80B¹⁶, 40D²², 80A¹⁶, 20A¹³, 80C¹⁷, 20A¹⁰, 20D¹⁹, 40K²², 60H¹⁹, 80A⁹, 60C⁸, 60C¹³, 120B¹⁶, 160A¹⁸, 160C¹⁹, 160B¹⁹, 40E²², 40G¹⁷, 60C⁷, 60A²², 40I²², 20E⁵, 80A¹⁹, 180A²², 40B⁴, 40M¹⁹, 20B¹⁹, 20G¹³, 40L¹⁹, 120C¹⁴, 160A¹⁷, 40G¹³, 20A⁴, 20A⁸, 40A¹⁵, 60D¹⁴, 40D¹⁰, 80A¹⁷, 160A¹⁶</t>
        </is>
      </c>
    </row>
    <row r="350">
      <c r="A350">
        <f>HYPERLINK("https://mathstats.uncg.edu/sites/pauli/congruence/csg2.html#group20B2", "20B²")</f>
        <v/>
      </c>
      <c r="B350" t="n">
        <v>2</v>
      </c>
      <c r="C350" t="inlineStr"/>
      <c r="D350" t="inlineStr">
        <is>
          <t>30</t>
        </is>
      </c>
      <c r="E350" t="inlineStr">
        <is>
          <t>1</t>
        </is>
      </c>
      <c r="F350" t="inlineStr">
        <is>
          <t>15</t>
        </is>
      </c>
      <c r="G350" t="inlineStr">
        <is>
          <t>2</t>
        </is>
      </c>
      <c r="H350" t="inlineStr">
        <is>
          <t>0</t>
        </is>
      </c>
      <c r="I350" t="inlineStr">
        <is>
          <t>10¹, 20¹</t>
        </is>
      </c>
      <c r="J350" t="n">
        <v>2</v>
      </c>
      <c r="K350" t="inlineStr">
        <is>
          <t>1³, 4³</t>
        </is>
      </c>
      <c r="L350" t="inlineStr">
        <is>
          <t>4C⁰, 10B¹</t>
        </is>
      </c>
      <c r="M350" t="inlineStr">
        <is>
          <t>20A⁴, 20C⁴, 20E⁴, 40A⁴, 40C⁴, 40A⁵, 60B⁶, 60D⁶, 20D⁷, 60B⁹, 140B¹⁶, 140A¹⁹</t>
        </is>
      </c>
      <c r="N350" t="inlineStr">
        <is>
          <t>5A⁰, 2B⁰, 1A⁰, 10B¹, 4C⁰</t>
        </is>
      </c>
      <c r="O350" t="inlineStr">
        <is>
          <t>20A¹⁹, 60A¹⁴, 80G¹⁷, 80D⁹, 40A⁸, 20A²⁰, 80H²², 180F²⁰, 140B¹⁶, 20F¹⁰, 40E⁸, 40E¹⁰, 80A¹⁸, 40A⁹, 80F¹⁷, 160A²⁰, 60B¹⁷, 60G¹³, 40E⁹, 20B²¹, 160C¹⁷, 40A²⁰, 60B⁹, 80L¹⁷, 60B⁶, 20C⁴, 20B²⁰, 20C⁸, 40F²¹, 40A¹⁶, 40L²², 60G¹⁸, 40A¹⁷, 80B¹⁹, 60F¹³, 160D¹⁷, 60B¹³, 60D⁶, 40A⁴, 140A¹⁹, 40E¹⁷, 40B¹⁶, 80A²⁴, 40I²¹, 40D²⁴, 40E¹¹, 20A¹³, 40C⁴, 160B²⁰, 40N²², 120B¹³, 20B¹⁰, 40G¹⁷, 40G¹⁰, 120C¹³, 80A⁸, 40F²², 40C¹⁶, 40B⁹, 40M²², 40O¹⁷, 120B¹⁹, 40H²¹, 40E²³, 40F⁸, 120C¹², 160B¹⁷, 20A⁴, 120D¹⁸, 60C¹², 80A¹⁷, 120B¹², 20B¹⁷, 20D⁷, 40I²³, 20C²², 80K¹⁷, 80K¹⁹, 40A¹³, 40C¹⁸, 40A¹², 40J²², 80E¹⁸, 40B²⁰, 160E¹⁹, 120A¹⁹, 160D¹⁹, 40C²², 40G²³, 80B²², 40D⁸, 20B⁹, 80F¹⁹, 20G¹⁵, 40G²², 240B²⁴, 80C¹⁹, 40F²³, 20A²², 120B¹⁴, 80G¹⁹, 40C¹⁰, 80B¹⁰, 40J²³, 40C²⁴, 120A¹⁵, 60F¹⁴, 40H²³, 80C¹⁸, 40D²³, 240C²⁴, 80C⁹, 40A¹⁸, 40B⁸, 20E⁴, 20C²¹, 60D¹³, 40A²², 120B¹⁵, 40F¹⁷, 120A¹³, 80A¹⁰, 40B²², 80A¹⁶, 20A¹⁰, 160H¹⁹, 20D¹⁹, 80D⁸, 80H¹⁹, 160F¹⁹, 40E²², 40A⁵, 80E²², 120D¹³, 40B²⁴, 40A²⁴, 60D¹⁶, 80A¹⁹, 80B¹⁷, 160G¹⁹, 80B¹⁸, 40D¹⁵, 20A⁸, 40N¹⁷, 40C²³, 80B⁹, 160I¹⁹, 80J¹⁷</t>
        </is>
      </c>
    </row>
    <row r="351">
      <c r="A351">
        <f>HYPERLINK("https://mathstats.uncg.edu/sites/pauli/congruence/csg2.html#group20C2", "20C²")</f>
        <v/>
      </c>
      <c r="B351" t="n">
        <v>2</v>
      </c>
      <c r="C351" t="inlineStr"/>
      <c r="D351" t="inlineStr">
        <is>
          <t>36</t>
        </is>
      </c>
      <c r="E351" t="inlineStr">
        <is>
          <t>1</t>
        </is>
      </c>
      <c r="F351" t="inlineStr">
        <is>
          <t>18</t>
        </is>
      </c>
      <c r="G351" t="inlineStr">
        <is>
          <t>0</t>
        </is>
      </c>
      <c r="H351" t="inlineStr">
        <is>
          <t>0</t>
        </is>
      </c>
      <c r="I351" t="inlineStr">
        <is>
          <t>2¹, 4¹, 10¹, 20¹</t>
        </is>
      </c>
      <c r="J351" t="n">
        <v>4</v>
      </c>
      <c r="K351" t="inlineStr">
        <is>
          <t>1⁶, 4³</t>
        </is>
      </c>
      <c r="L351" t="inlineStr">
        <is>
          <t>10C⁰</t>
        </is>
      </c>
      <c r="M351" t="inlineStr">
        <is>
          <t>20H³, 20G³, 20I³, 60A⁸, 60G⁹, 20E¹⁰, 100A¹⁰, 100A¹⁴, 100D¹⁴, 100B¹⁴, 100C¹⁴, 140A²⁰, 140B²¹</t>
        </is>
      </c>
      <c r="N351" t="inlineStr">
        <is>
          <t>5B⁰, 10C⁰, 1A⁰, 2B⁰</t>
        </is>
      </c>
      <c r="O351" t="inlineStr">
        <is>
          <t>20A¹⁹, 100O¹⁹, 20L⁷, 40R¹³, 80F²¹, 20E¹⁰, 20I⁵, 40K¹³, 80AA²¹, 60C¹⁵, 40AC⁷, 100D¹⁴, 140A²⁰, 20H³, 20F¹³, 80X¹⁷, 60G¹⁵, 100A¹⁴, 60A¹⁵, 40Z¹⁵, 20N⁷, 80A²¹, 60I¹⁵, 40AR¹⁷, 80O¹⁹, 40K⁹, 40AD¹⁵, 40H⁹, 20G³, 40AA¹⁵, 60H¹⁵, 80Y¹⁷, 100B¹⁴, 60Q¹⁷, 20I³, 40AB¹⁷, 40Y¹⁵, 80J²¹, 20E¹³, 40AS¹⁷, 80Z²¹, 140B²¹, 40Y¹⁷, 40N⁷, 40T¹⁷, 100C¹⁴, 60B¹⁵, 40C¹⁹, 40AC¹⁵, 60R¹⁷, 40Q¹³, 60S¹⁷, 100N¹⁹, 40W¹⁷, 80N²¹, 20M⁷, 80B²¹, 120E²¹, 20C¹⁹, 40AA¹⁷, 40O⁷, 40AF¹⁷, 40V¹⁷, 60F¹⁵, 60G⁹, 100P¹⁹, 100A¹⁰, 40H¹⁹, 40L⁹, 80H²¹, 40J¹³, 20B¹⁹, 80BE¹⁷, 80T¹⁹, 120F²¹, 40AG¹⁷, 80U¹⁵, 20F⁹, 80V¹⁵, 60A⁸, 40G⁹</t>
        </is>
      </c>
    </row>
    <row r="352">
      <c r="A352">
        <f>HYPERLINK("https://mathstats.uncg.edu/sites/pauli/congruence/csg2.html#group20D2", "20D²")</f>
        <v/>
      </c>
      <c r="B352" t="n">
        <v>2</v>
      </c>
      <c r="C352" t="inlineStr"/>
      <c r="D352" t="inlineStr">
        <is>
          <t>40</t>
        </is>
      </c>
      <c r="E352" t="inlineStr">
        <is>
          <t>1</t>
        </is>
      </c>
      <c r="F352" t="inlineStr">
        <is>
          <t>20</t>
        </is>
      </c>
      <c r="G352" t="inlineStr">
        <is>
          <t>0</t>
        </is>
      </c>
      <c r="H352" t="inlineStr">
        <is>
          <t>4</t>
        </is>
      </c>
      <c r="I352" t="inlineStr">
        <is>
          <t>20²</t>
        </is>
      </c>
      <c r="J352" t="n">
        <v>2</v>
      </c>
      <c r="K352" t="inlineStr">
        <is>
          <t>2², 8²</t>
        </is>
      </c>
      <c r="L352" t="inlineStr">
        <is>
          <t>4D⁰, 10A⁰, 20A¹</t>
        </is>
      </c>
      <c r="M352" t="inlineStr">
        <is>
          <t>40D⁴, 20A⁶, 20A⁸, 20B⁸, 60B⁸, 60F⁸, 20A⁹, 60D⁹, 60A¹⁰, 40C¹¹, 60J¹¹, 140A²², 140C²³</t>
        </is>
      </c>
      <c r="N352" t="inlineStr">
        <is>
          <t>2A⁰, 5A⁰, 10A⁰, 4A⁰, 4D⁰, 20A¹, 1A⁰</t>
        </is>
      </c>
      <c r="O352" t="inlineStr">
        <is>
          <t>40B²¹, 20A¹⁷, 120A²⁰, 40D⁴, 20F¹⁵, 120L²³, 120B²⁰, 140A²², 140C²³, 80E⁸, 40C¹¹, 60B⁸, 40C²¹, 40A¹⁸, 120E¹⁸, 20B⁸, 120A¹⁶, 40A²¹, 20A²², 60A¹⁰, 60T²¹, 20A⁹, 40A¹⁶, 60F⁸, 40D¹⁸, 40B¹⁸, 120D¹⁶, 20A⁸, 40A¹⁷, 120K²³, 60D⁹, 60J¹¹, 60G¹⁹, 40A¹⁴, 20A⁶</t>
        </is>
      </c>
    </row>
    <row r="353">
      <c r="A353">
        <f>HYPERLINK("https://mathstats.uncg.edu/sites/pauli/congruence/csg2.html#group20E2", "20E²")</f>
        <v/>
      </c>
      <c r="B353" t="n">
        <v>2</v>
      </c>
      <c r="C353" t="inlineStr"/>
      <c r="D353" t="inlineStr">
        <is>
          <t>40</t>
        </is>
      </c>
      <c r="E353" t="inlineStr">
        <is>
          <t>1</t>
        </is>
      </c>
      <c r="F353" t="inlineStr">
        <is>
          <t>40</t>
        </is>
      </c>
      <c r="G353" t="inlineStr">
        <is>
          <t>4</t>
        </is>
      </c>
      <c r="H353" t="inlineStr">
        <is>
          <t>1</t>
        </is>
      </c>
      <c r="I353" t="inlineStr">
        <is>
          <t>20²</t>
        </is>
      </c>
      <c r="J353" t="n">
        <v>2</v>
      </c>
      <c r="K353" t="inlineStr">
        <is>
          <t>4², 8⁴</t>
        </is>
      </c>
      <c r="L353" t="inlineStr">
        <is>
          <t>4A⁰, 5C⁰</t>
        </is>
      </c>
      <c r="M353" t="inlineStr">
        <is>
          <t>20O³, 20A⁵, 20B⁵, 40E⁵, 40F⁵, 20F⁷, 20H⁷, 60J⁷, 40A¹⁰, 60A¹², 100E¹⁴, 140C²⁰</t>
        </is>
      </c>
      <c r="N353" t="inlineStr">
        <is>
          <t>5C⁰, 4A⁰, 1A⁰</t>
        </is>
      </c>
      <c r="O353" t="inlineStr">
        <is>
          <t>60J⁷, 60E¹⁸, 40A²³, 20B⁵, 20B¹⁵, 40D²¹, 80E²³, 40H¹⁵, 40I¹⁹, 40E⁵, 60F¹⁹, 20B¹³, 40P¹⁵, 60B²³, 20A⁹, 40I¹⁵, 40P¹⁷, 40T⁹, 40M¹⁷, 20A¹⁷, 40B¹¹, 60AH¹³, 60A²³, 60C²³, 20D¹⁵, 20G¹⁵, 40A¹⁰, 40K¹⁹, 40Q¹⁵, 80A²³, 80AH²¹, 80F¹¹, 40F⁵, 60E¹⁹, 40S⁹, 120E¹⁷, 20F¹⁵, 60W¹⁵, 20C²¹, 40E²¹, 20A¹², 40U⁹, 40D¹¹, 40R¹⁷, 120G¹⁷, 60F¹⁸, 20F⁷, 40Q¹⁷, 60I¹⁷, 40L¹⁷, 40J¹⁹, 20H⁷, 40S¹⁷, 60H¹⁷, 40B²¹, 80E¹¹, 20C¹³, 80AI²¹, 20O³, 140C²⁰, 120F¹⁷, 60A¹², 80C²³, 20A⁵, 40B²³, 40A²¹, 100E¹⁴, 80B²³, 60X¹⁵, 120H¹⁷, 20O⁷, 40A¹¹</t>
        </is>
      </c>
    </row>
    <row r="354">
      <c r="A354">
        <f>HYPERLINK("https://mathstats.uncg.edu/sites/pauli/congruence/csg2.html#group20F2", "20F²")</f>
        <v/>
      </c>
      <c r="B354" t="n">
        <v>2</v>
      </c>
      <c r="C354" t="inlineStr"/>
      <c r="D354" t="inlineStr">
        <is>
          <t>60</t>
        </is>
      </c>
      <c r="E354" t="inlineStr">
        <is>
          <t>1</t>
        </is>
      </c>
      <c r="F354" t="inlineStr">
        <is>
          <t>30</t>
        </is>
      </c>
      <c r="G354" t="inlineStr">
        <is>
          <t>4</t>
        </is>
      </c>
      <c r="H354" t="inlineStr">
        <is>
          <t>0</t>
        </is>
      </c>
      <c r="I354" t="inlineStr">
        <is>
          <t>5⁴, 20²</t>
        </is>
      </c>
      <c r="J354" t="n">
        <v>6</v>
      </c>
      <c r="K354" t="inlineStr">
        <is>
          <t>2³, 4⁶</t>
        </is>
      </c>
      <c r="L354" t="inlineStr">
        <is>
          <t>10F¹</t>
        </is>
      </c>
      <c r="M354" t="inlineStr">
        <is>
          <t>20E⁵, 20F⁵, 40K⁵, 20D⁶, 20B⁷, 40J⁷, 60C¹⁰, 60U¹⁵, 100A²²</t>
        </is>
      </c>
      <c r="N354" t="inlineStr">
        <is>
          <t>5C⁰, 1A⁰, 2B⁰, 10F¹</t>
        </is>
      </c>
      <c r="O354" t="inlineStr">
        <is>
          <t>20B¹⁷, 60E²³, 40T¹⁵, 40J⁷, 20A¹³, 20D⁶, 20F⁵, 120O²³, 60U¹⁵, 40G²¹, 20D¹¹, 40I¹³, 120P²³, 20C¹³, 20B⁷, 20E⁵, 40H¹⁷, 20C¹⁹, 100A²², 20C¹¹, 20E¹⁵, 40H¹³, 40B¹⁷, 40AJ¹⁵, 40J¹¹, 60H²³, 20G¹³, 20D¹³, 40G¹³, 40A¹⁵, 60V²¹, 40J¹⁵, 40K⁵, 40F¹³, 60C¹⁰, 60U²¹</t>
        </is>
      </c>
    </row>
    <row r="355">
      <c r="A355">
        <f>HYPERLINK("https://mathstats.uncg.edu/sites/pauli/congruence/csg2.html#group21A2", "21A²")</f>
        <v/>
      </c>
      <c r="B355" t="n">
        <v>2</v>
      </c>
      <c r="C355" t="inlineStr"/>
      <c r="D355" t="inlineStr">
        <is>
          <t>24</t>
        </is>
      </c>
      <c r="E355" t="inlineStr">
        <is>
          <t>1</t>
        </is>
      </c>
      <c r="F355" t="inlineStr">
        <is>
          <t>8</t>
        </is>
      </c>
      <c r="G355" t="inlineStr">
        <is>
          <t>0</t>
        </is>
      </c>
      <c r="H355" t="inlineStr">
        <is>
          <t>0</t>
        </is>
      </c>
      <c r="I355" t="inlineStr">
        <is>
          <t>3¹, 21¹</t>
        </is>
      </c>
      <c r="J355" t="n">
        <v>2</v>
      </c>
      <c r="K355" t="inlineStr">
        <is>
          <t>1², 6¹</t>
        </is>
      </c>
      <c r="L355" t="inlineStr">
        <is>
          <t>3A⁰, 7B⁰</t>
        </is>
      </c>
      <c r="M355" t="inlineStr">
        <is>
          <t>21A³, 21A⁴, 42B⁴, 42C⁴, 42A⁵, 63A⁶, 84C⁸, 105A¹⁰, 21A¹¹, 105B¹¹, 147A¹¹, 105A¹⁹, 231A²², 231A²³</t>
        </is>
      </c>
      <c r="N355" t="inlineStr">
        <is>
          <t>3A⁰, 1A⁰, 7B⁰</t>
        </is>
      </c>
      <c r="O355" t="inlineStr">
        <is>
          <t>168D²³, 84C²¹, 42Q¹⁹, 42G¹⁰, 84B²¹, 42P¹⁹, 21A⁴, 147A¹¹, 84I²⁰, 63C⁹, 84J²⁰, 84E²², 84A⁸, 168C²³, 126G²³, 63B¹¹, 63H¹⁷, 105D²¹, 21A¹¹, 84B¹⁵, 42R¹⁹, 84A¹¹, 84B⁸, 168B²², 147A²¹, 84B¹¹, 105C²¹, 84F¹⁵, 42E⁷, 42F¹³, 126F²³, 84D¹⁵, 63I¹⁹, 63A⁶, 126D¹², 84A²², 126B²³, 42G¹³, 84C¹⁰, 210A²⁰, 231A²², 84I²², 84K¹⁹, 63B¹⁶, 252B²⁴, 126A¹⁷, 42E¹⁰, 168A²², 84D²², 168F²⁰, 210D²³, 84J¹⁹, 210E²³, 168B²¹, 105B¹⁹, 84C⁸, 84B²², 42D¹⁰, 42H¹⁰, 105B²¹, 126C¹², 21D⁹, 168B¹⁶, 126M²¹, 168C²¹, 210B²³, 42D⁷, 105A¹⁹, 21B²¹, 252D²⁴, 63O¹⁹, 126C²³, 42O¹⁹, 126N²¹, 168E²⁰, 42I¹⁷, 105A¹⁰, 21A³, 42A⁹, 126A²³, 84K²⁰, 84G²², 84C¹⁵, 126D²³, 126L²¹, 84J²², 84B¹⁰, 231A²³, 42A⁵, 126H²³, 63A¹⁶, 84D²¹, 210A²³, 84A¹⁵, 126I²³, 105B¹¹, 168A¹⁶, 84F²², 126A¹², 42N¹⁹, 84A²¹, 168B²³, 126E²³, 42I¹⁰, 168A²³, 63B²¹, 252A²⁴, 42C⁴, 84L²⁰, 252C²⁴, 210B²⁰, 168C²², 21B⁷, 42H¹³, 168D²², 126B¹², 42B⁴, 84F²¹, 84E²¹, 21C⁵, 84H²¹, 84H²², 63A¹¹, 84E¹⁵, 63D¹⁷, 63A²¹, 63C¹¹, 21C¹³</t>
        </is>
      </c>
    </row>
    <row r="356">
      <c r="A356">
        <f>HYPERLINK("https://mathstats.uncg.edu/sites/pauli/congruence/csg2.html#group21B2", "21B²")</f>
        <v/>
      </c>
      <c r="B356" t="n">
        <v>2</v>
      </c>
      <c r="C356" t="inlineStr"/>
      <c r="D356" t="inlineStr">
        <is>
          <t>28</t>
        </is>
      </c>
      <c r="E356" t="inlineStr">
        <is>
          <t>2</t>
        </is>
      </c>
      <c r="F356" t="inlineStr">
        <is>
          <t>28</t>
        </is>
      </c>
      <c r="G356" t="inlineStr">
        <is>
          <t>0</t>
        </is>
      </c>
      <c r="H356" t="inlineStr">
        <is>
          <t>1</t>
        </is>
      </c>
      <c r="I356" t="inlineStr">
        <is>
          <t>7¹, 21¹</t>
        </is>
      </c>
      <c r="J356" t="n">
        <v>2</v>
      </c>
      <c r="K356" t="inlineStr">
        <is>
          <t>2², 4¹, 6⁴, 12²</t>
        </is>
      </c>
      <c r="L356" t="inlineStr">
        <is>
          <t>3B⁰, 7A⁰</t>
        </is>
      </c>
      <c r="M356" t="inlineStr">
        <is>
          <t>21B³, 42D⁴, 42E⁴, 21A⁵, 21A⁶, 21B⁶, 42C⁶, 63B⁶, 63C⁶, 63A⁷, 84A⁹, 105A¹¹, 105A¹³, 105A²²</t>
        </is>
      </c>
      <c r="N356" t="inlineStr">
        <is>
          <t>3B⁰, 1A⁰, 7A⁰</t>
        </is>
      </c>
      <c r="O356" t="inlineStr">
        <is>
          <t>105A²², 21C²¹, 63E¹⁸, 63C¹⁹, 126A²⁴, 42B¹², 42B¹⁵, 168C¹⁸, 42F⁷, 189B²⁰, 63B⁶, 189A¹⁹, 126D²⁰, 126B¹³, 42H²³, 84A⁹, 84B¹⁷, 63C⁶, 210A²², 42C⁶, 63F¹⁹, 168B¹⁸, 42C²¹, 63A¹⁹, 189A²⁰, 42C¹², 84G¹⁵, 126A¹⁴, 63D¹¹, 105A²¹, 63A²⁰, 21B³, 84D⁸, 126G¹², 63C¹⁶, 42C¹³, 21A²¹, 210B²², 63A¹⁰, 168D¹⁸, 42D¹¹, 21B¹⁰, 21A⁵, 63A¹², 189B¹⁹, 42D²¹, 42A¹⁶, 42G¹², 126A¹³, 42B¹⁸, 42D¹², 63B¹⁹, 21A¹⁶, 63A²⁴, 126K²³, 84D²⁴, 42G²³, 126E¹², 126C¹³, 126J²³, 84C¹³, 84B¹², 168A¹⁸, 42B¹³, 63A¹³, 42B²⁴, 84C¹⁷, 42A¹⁵, 252E²⁴, 84B²⁴, 84E⁸, 21B⁶, 63A⁷, 63E¹¹, 84C²⁴, 189A²¹, 105A¹³, 189A¹⁸, 168B²⁴, 105A¹¹, 84A²⁴, 42D⁴, 126F¹², 84B¹³, 42F¹², 21C⁹, 84A¹⁷, 126L²³, 63B¹³, 126C¹⁴, 63C²¹, 42E²³, 21B¹¹, 42C²³, 21A¹⁷, 21A⁹, 42F²³, 126B¹⁴, 42C¹¹, 42E¹², 63D¹⁸, 252F²⁴, 21A⁶, 84A¹², 42I²³, 63A¹⁸, 126C²⁰, 42E⁴, 168A²⁴, 42D²³, 126F¹⁸, 84B²³, 21C¹¹</t>
        </is>
      </c>
    </row>
    <row r="357">
      <c r="A357">
        <f>HYPERLINK("https://mathstats.uncg.edu/sites/pauli/congruence/csg2.html#group21C2", "21C²")</f>
        <v/>
      </c>
      <c r="B357" t="n">
        <v>2</v>
      </c>
      <c r="C357" t="inlineStr"/>
      <c r="D357" t="inlineStr">
        <is>
          <t>42</t>
        </is>
      </c>
      <c r="E357" t="inlineStr">
        <is>
          <t>2</t>
        </is>
      </c>
      <c r="F357" t="inlineStr">
        <is>
          <t>7</t>
        </is>
      </c>
      <c r="G357" t="inlineStr">
        <is>
          <t>6</t>
        </is>
      </c>
      <c r="H357" t="inlineStr">
        <is>
          <t>0</t>
        </is>
      </c>
      <c r="I357" t="inlineStr">
        <is>
          <t>21²</t>
        </is>
      </c>
      <c r="J357" t="n">
        <v>2</v>
      </c>
      <c r="K357" t="inlineStr">
        <is>
          <t>2¹, 6²</t>
        </is>
      </c>
      <c r="L357" t="inlineStr">
        <is>
          <t>7C⁰, 21A⁰</t>
        </is>
      </c>
      <c r="M357" t="inlineStr">
        <is>
          <t>21E⁴, 21B⁵, 42F⁵, 42A⁷, 42A⁸, 63A⁸, 21A¹¹, 84D¹¹, 105A¹⁶, 105A¹⁷</t>
        </is>
      </c>
      <c r="N357" t="inlineStr">
        <is>
          <t>21A⁰, 3A⁰, 1A⁰, 7C⁰, 7A⁰</t>
        </is>
      </c>
      <c r="O357" t="inlineStr">
        <is>
          <t>42F⁵, 21B²¹, 105A¹⁶, 84G¹⁷, 63A¹⁷, 42A⁸, 63B¹⁷, 21B¹³, 42J¹³, 63A⁸, 126E¹⁹, 63B²², 42I¹³, 21A¹¹, 63C¹⁷, 84E²³, 42F¹⁹, 84D¹⁷, 42G¹⁹, 126C²¹, 126C¹⁷, 21A¹³, 105A¹⁷, 21B¹¹, 84A¹⁹, 42C²², 21B⁵, 126A¹⁹, 21D¹¹, 42F¹⁵, 126D¹⁷, 84F¹⁹, 84D¹¹, 42E¹³, 42C¹⁷, 42B¹¹, 42G¹⁷, 63E¹⁹, 42A⁷, 63D¹⁹, 42J¹⁹, 21E⁴</t>
        </is>
      </c>
    </row>
    <row r="358">
      <c r="A358">
        <f>HYPERLINK("https://mathstats.uncg.edu/sites/pauli/congruence/csg2.html#group21D2", "21D²")</f>
        <v/>
      </c>
      <c r="B358" t="n">
        <v>2</v>
      </c>
      <c r="C358" t="inlineStr"/>
      <c r="D358" t="inlineStr">
        <is>
          <t>42</t>
        </is>
      </c>
      <c r="E358" t="inlineStr">
        <is>
          <t>2</t>
        </is>
      </c>
      <c r="F358" t="inlineStr">
        <is>
          <t>21</t>
        </is>
      </c>
      <c r="G358" t="inlineStr">
        <is>
          <t>6</t>
        </is>
      </c>
      <c r="H358" t="inlineStr">
        <is>
          <t>0</t>
        </is>
      </c>
      <c r="I358" t="inlineStr">
        <is>
          <t>21²</t>
        </is>
      </c>
      <c r="J358" t="n">
        <v>2</v>
      </c>
      <c r="K358" t="inlineStr">
        <is>
          <t>2¹, 4¹, 6², 12²</t>
        </is>
      </c>
      <c r="L358" t="inlineStr">
        <is>
          <t>3C⁰, 21A⁰</t>
        </is>
      </c>
      <c r="M358" t="inlineStr">
        <is>
          <t>21B⁴, 42F⁴, 21B⁵, 42E⁵, 21A⁶, 21C⁶, 42A⁶, 63E⁶, 42C⁷, 42C⁸, 63B⁸, 21B⁹, 63B⁹, 63A⁹, 84G¹¹, 105B¹⁶, 105C¹⁷</t>
        </is>
      </c>
      <c r="N358" t="inlineStr">
        <is>
          <t>21A⁰, 3C⁰, 3A⁰, 1A⁰, 7A⁰</t>
        </is>
      </c>
      <c r="O358" t="inlineStr">
        <is>
          <t>63C¹⁹, 21B¹⁷, 126E¹⁸, 105B¹⁶, 21B¹⁵, 42F¹⁷, 84G¹¹, 21A¹², 21B¹³, 63D¹⁶, 42E¹⁹, 126F¹⁵, 126J¹⁸, 63C¹⁸, 63A²⁰, 42H¹⁷, 63G¹⁸, 126A¹⁸, 42D¹³, 42C¹³, 126A²¹, 21A²¹, 126G²¹, 21B⁵, 42C¹⁵, 126B²¹, 84D²³, 63C²⁴, 42E¹⁷, 84C¹⁶, 42C¹⁷, 42B¹¹, 84N²¹, 21C⁶, 42A¹⁴, 84F¹⁷, 84D²⁰, 126H¹⁷, 42B¹⁸, 63E¹⁹, 21A¹⁶, 126D¹⁸, 42A¹⁸, 84G¹⁹, 21B⁹, 126E²⁰, 126K¹⁸, 63B¹⁸, 42F⁴, 21B²¹, 42B¹³, 63E⁶, 42C²⁴, 63A¹⁷, 105C¹⁷, 63B¹⁷, 126H²¹, 63B¹⁴, 84B¹⁸, 126D¹⁹, 42A⁶, 42E⁵, 63C¹⁷, 42C¹⁶, 126C¹⁹, 63A²², 84D¹⁹, 21B⁴, 63B⁸, 126J¹², 84H¹⁷, 63A⁹, 63F¹⁸, 21B¹¹, 42E¹⁶, 126G¹⁸, 63E¹⁶, 126B²⁰, 42D¹⁶, 63B⁹, 21A⁶, 42E¹³, 42B²¹, 126E¹⁷, 42C¹⁸, 42L¹⁹, 84C²³, 21A¹⁴, 63A¹⁸, 84F¹¹, 84A²³, 42C⁹, 63D¹⁹, 126B¹⁹, 126A²⁰, 42C⁸, 42A²¹, 84A¹⁸, 42C⁷, 84E¹¹</t>
        </is>
      </c>
    </row>
    <row r="359">
      <c r="A359">
        <f>HYPERLINK("https://mathstats.uncg.edu/sites/pauli/congruence/csg2.html#group22A2", "22A²")</f>
        <v/>
      </c>
      <c r="B359" t="n">
        <v>2</v>
      </c>
      <c r="C359" t="inlineStr"/>
      <c r="D359" t="inlineStr">
        <is>
          <t>24</t>
        </is>
      </c>
      <c r="E359" t="inlineStr">
        <is>
          <t>1</t>
        </is>
      </c>
      <c r="F359" t="inlineStr">
        <is>
          <t>12</t>
        </is>
      </c>
      <c r="G359" t="inlineStr">
        <is>
          <t>0</t>
        </is>
      </c>
      <c r="H359" t="inlineStr">
        <is>
          <t>0</t>
        </is>
      </c>
      <c r="I359" t="inlineStr">
        <is>
          <t>2¹, 22¹</t>
        </is>
      </c>
      <c r="J359" t="n">
        <v>2</v>
      </c>
      <c r="K359" t="inlineStr">
        <is>
          <t>1², 10¹</t>
        </is>
      </c>
      <c r="L359" t="inlineStr">
        <is>
          <t>2A⁰, 11A¹</t>
        </is>
      </c>
      <c r="M359" t="inlineStr">
        <is>
          <t>22A⁴, 44A⁴, 22A⁶, 66B⁶, 66C⁶, 44A⁷, 66B⁷, 110A¹⁰, 110C¹¹, 154B¹⁴, 154B¹⁵, 22A¹⁷, 242A¹⁷, 110B¹⁹</t>
        </is>
      </c>
      <c r="N359" t="inlineStr">
        <is>
          <t>2A⁰, 1A⁰, 11A¹</t>
        </is>
      </c>
      <c r="O359" t="inlineStr">
        <is>
          <t>88B¹⁹, 88G¹⁹, 110B¹⁹, 88B¹⁵, 132B¹⁵, 154B¹⁵, 198E²³, 132B¹², 88C²¹, 44B⁹, 132A¹⁵, 198D²³, 220A²³, 44A¹³, 44A⁸, 44A⁴, 44B¹⁹, 44A¹⁹, 220A²⁰, 44A¹⁶, 66B⁶, 22A⁶, 132E²³, 132H²³, 198C²¹, 198B¹⁸, 132A²³, 110C²¹, 66B¹⁹, 110A¹⁰, 198C²³, 88A¹⁵, 88C¹⁹, 88H¹⁹, 198D²¹, 154B¹⁴, 132C¹², 22A⁴, 66C²¹, 44D¹⁷, 44B¹⁰, 22A¹⁶, 66D²¹, 88D²¹, 132B²³, 198F²³, 22A¹⁷, 110C¹¹, 132A¹², 132C²³, 66C⁶, 66C¹¹, 44A⁷, 66B¹⁶, 242A¹⁷, 220B²³, 66A¹³, 66B⁷</t>
        </is>
      </c>
    </row>
    <row r="360">
      <c r="A360">
        <f>HYPERLINK("https://mathstats.uncg.edu/sites/pauli/congruence/csg2.html#group22B2", "22B²")</f>
        <v/>
      </c>
      <c r="B360" t="n">
        <v>2</v>
      </c>
      <c r="C360" t="inlineStr"/>
      <c r="D360" t="inlineStr">
        <is>
          <t>33</t>
        </is>
      </c>
      <c r="E360" t="inlineStr">
        <is>
          <t>2</t>
        </is>
      </c>
      <c r="F360" t="inlineStr">
        <is>
          <t>33</t>
        </is>
      </c>
      <c r="G360" t="inlineStr">
        <is>
          <t>3</t>
        </is>
      </c>
      <c r="H360" t="inlineStr">
        <is>
          <t>0</t>
        </is>
      </c>
      <c r="I360" t="inlineStr">
        <is>
          <t>11¹, 22¹</t>
        </is>
      </c>
      <c r="J360" t="n">
        <v>2</v>
      </c>
      <c r="K360" t="inlineStr">
        <is>
          <t>2³, 10⁶</t>
        </is>
      </c>
      <c r="L360" t="inlineStr">
        <is>
          <t>2B⁰, 11A⁰</t>
        </is>
      </c>
      <c r="M360" t="inlineStr">
        <is>
          <t>44C⁴, 22A⁵, 44A⁵, 66F⁶, 22B⁹, 22A¹⁰, 66A¹⁰, 110A¹³, 110B¹⁴, 22D¹⁷, 154A¹⁷, 154B¹⁷, 154A²¹</t>
        </is>
      </c>
      <c r="N360" t="inlineStr">
        <is>
          <t>11A⁰, 1A⁰, 2B⁰</t>
        </is>
      </c>
      <c r="O360" t="inlineStr">
        <is>
          <t>66A²⁰, 44A¹⁰, 88C²⁰, 176B²⁰, 132A¹⁶, 154A²¹, 176B¹⁶, 132B²⁰, 88B²¹, 88A²¹, 132F¹², 22B²², 110B¹⁴, 66A¹⁰, 88B⁸, 88A⁹, 66B¹³, 88D²⁰, 22A⁵, 44A²², 88B²⁰, 132A¹³, 22C²¹, 44A⁹, 198E²¹, 176C¹⁹, 22A¹⁰, 110A¹³, 176A²¹, 66A¹⁶, 176B¹⁹, 88A²⁰, 44C²², 44C⁴, 264C²⁴, 88A¹⁸, 176B²², 176C²⁰, 44B²¹, 88A¹⁰, 176A¹⁹, 44A⁵, 176A²², 22B⁹, 22A²², 88B¹⁸, 176A²⁰, 154A¹⁷, 154B¹⁷, 88A¹⁹, 88A¹¹, 44A²⁰, 132D¹⁵, 132A²¹, 66A¹⁴, 66F⁶, 22D¹⁷</t>
        </is>
      </c>
    </row>
    <row r="361">
      <c r="A361">
        <f>HYPERLINK("https://mathstats.uncg.edu/sites/pauli/congruence/csg2.html#group22C2", "22C²")</f>
        <v/>
      </c>
      <c r="B361" t="n">
        <v>2</v>
      </c>
      <c r="C361" t="inlineStr">
        <is>
          <t>Γ₀(22)</t>
        </is>
      </c>
      <c r="D361" t="inlineStr">
        <is>
          <t>36</t>
        </is>
      </c>
      <c r="E361" t="inlineStr">
        <is>
          <t>1</t>
        </is>
      </c>
      <c r="F361" t="inlineStr">
        <is>
          <t>36</t>
        </is>
      </c>
      <c r="G361" t="inlineStr">
        <is>
          <t>0</t>
        </is>
      </c>
      <c r="H361" t="inlineStr">
        <is>
          <t>0</t>
        </is>
      </c>
      <c r="I361" t="inlineStr">
        <is>
          <t>1¹, 2¹, 11¹, 22¹</t>
        </is>
      </c>
      <c r="J361" t="n">
        <v>4</v>
      </c>
      <c r="K361" t="inlineStr">
        <is>
          <t>1⁶, 10³</t>
        </is>
      </c>
      <c r="L361" t="inlineStr">
        <is>
          <t>2B⁰, 11A¹</t>
        </is>
      </c>
      <c r="M361" t="inlineStr">
        <is>
          <t>22A⁴, 44D⁴, 44B⁵, 22C⁶, 66A⁸, 66A⁹, 110A¹⁴, 110A¹⁵, 154A²⁰, 154B²¹, 22A²², 242A²²</t>
        </is>
      </c>
      <c r="N361" t="inlineStr">
        <is>
          <t>1A⁰, 11A¹, 2B⁰</t>
        </is>
      </c>
      <c r="O361" t="inlineStr">
        <is>
          <t>66A⁸, 88G¹⁹, 66A¹⁷, 132B¹⁷, 176G²³, 88G²¹, 88C²¹, 44C¹⁶, 88D¹⁹, 176E¹⁹, 132D¹⁹, 176D¹⁹, 176F¹⁹, 66C¹⁶, 176B²¹, 88B¹⁰, 88C¹⁹, 66A¹⁵, 22C⁶, 44B⁵, 88A²², 44B¹⁰, 22A¹⁶, 88E²¹, 88A¹⁷, 132C¹⁹, 132C²¹, 242A²², 66B¹⁶, 132C¹⁶, 66B¹⁹, 88H²¹, 88E²⁰, 88B¹⁹, 176D²⁰, 176D²³, 88B¹¹, 44C²¹, 176C²³, 154A²⁰, 44B⁹, 44D⁴, 44B⁸, 176B²³, 44A⁸, 88F²¹, 44B¹⁹, 44A¹⁹, 176C²¹, 66A⁹, 176F²³, 132B¹⁶, 88C¹¹, 176H²³, 88F¹⁹, 132A¹⁷, 154B²¹, 44C¹⁰, 132B²¹, 176G¹⁹, 88H¹⁹, 110A¹⁴, 88B⁹, 22A⁴, 110A¹⁵, 44D¹⁷, 176A²³, 66C¹⁹, 22A²², 88C⁸, 88D²¹, 176C²², 88E¹⁹, 176E²³, 88C¹⁰</t>
        </is>
      </c>
    </row>
    <row r="362">
      <c r="A362">
        <f>HYPERLINK("https://mathstats.uncg.edu/sites/pauli/congruence/csg2.html#group23A2", "23A²")</f>
        <v/>
      </c>
      <c r="B362" t="n">
        <v>2</v>
      </c>
      <c r="C362" t="inlineStr">
        <is>
          <t>Γ₀(23)</t>
        </is>
      </c>
      <c r="D362" t="inlineStr">
        <is>
          <t>24</t>
        </is>
      </c>
      <c r="E362" t="inlineStr">
        <is>
          <t>1</t>
        </is>
      </c>
      <c r="F362" t="inlineStr">
        <is>
          <t>24</t>
        </is>
      </c>
      <c r="G362" t="inlineStr">
        <is>
          <t>0</t>
        </is>
      </c>
      <c r="H362" t="inlineStr">
        <is>
          <t>0</t>
        </is>
      </c>
      <c r="I362" t="inlineStr">
        <is>
          <t>1¹, 23¹</t>
        </is>
      </c>
      <c r="J362" t="n">
        <v>2</v>
      </c>
      <c r="K362" t="inlineStr">
        <is>
          <t>1², 22¹</t>
        </is>
      </c>
      <c r="L362" t="inlineStr">
        <is>
          <t>1A⁰</t>
        </is>
      </c>
      <c r="M362" t="inlineStr">
        <is>
          <t>46A⁴, 46A⁵, 69A⁶, 69A⁷, 92B⁸, 115A¹⁰, 115A¹¹, 23A¹², 161A¹⁴, 161A¹⁵, 115A¹⁹, 253A²², 253A²³</t>
        </is>
      </c>
      <c r="N362" t="inlineStr">
        <is>
          <t>1A⁰</t>
        </is>
      </c>
      <c r="O362" t="inlineStr">
        <is>
          <t>92A¹⁰, 138A²¹, 207A²¹, 115A¹⁹, 69A⁷, 138B²³, 69A¹³, 207A¹⁸, 92A²², 276A²⁴, 92B²⁰, 230A²⁰, 276B²⁴, 184A²³, 184B²², 138B¹², 184B²³, 23A¹², 207B²³, 46A⁴, 138A¹⁷, 92B²², 92A²⁰, 138A¹², 92A¹¹, 276D²⁴, 253A²³, 184A²⁰, 46A⁵, 253A²², 230B²³, 92B⁸, 138C¹², 92A⁸, 115A²¹, 46A¹⁰, 138B¹⁵, 69A¹¹, 230A²³, 138A²³, 69A²¹, 276C²⁴, 92A²¹, 184A²², 92A¹⁵, 69A⁶, 161A¹⁵, 207A²³, 184A²¹, 161A¹⁴, 115A¹⁰, 138A¹⁵, 184A¹⁶, 115A¹¹</t>
        </is>
      </c>
    </row>
    <row r="363">
      <c r="A363">
        <f>HYPERLINK("https://mathstats.uncg.edu/sites/pauli/congruence/csg2.html#group24A2", "24A²")</f>
        <v/>
      </c>
      <c r="B363" t="n">
        <v>2</v>
      </c>
      <c r="C363" t="inlineStr"/>
      <c r="D363" t="inlineStr">
        <is>
          <t>32</t>
        </is>
      </c>
      <c r="E363" t="inlineStr">
        <is>
          <t>2</t>
        </is>
      </c>
      <c r="F363" t="inlineStr">
        <is>
          <t>16</t>
        </is>
      </c>
      <c r="G363" t="inlineStr">
        <is>
          <t>0</t>
        </is>
      </c>
      <c r="H363" t="inlineStr">
        <is>
          <t>2</t>
        </is>
      </c>
      <c r="I363" t="inlineStr">
        <is>
          <t>8¹, 24¹</t>
        </is>
      </c>
      <c r="J363" t="n">
        <v>2</v>
      </c>
      <c r="K363" t="inlineStr">
        <is>
          <t>4⁴, 8²</t>
        </is>
      </c>
      <c r="L363" t="inlineStr">
        <is>
          <t>8A⁰, 12A¹</t>
        </is>
      </c>
      <c r="M363" t="inlineStr">
        <is>
          <t>24G³, 48A⁴, 24B⁶, 72A⁶, 24D⁷, 24F⁷, 72A⁷, 72A⁸, 120A¹², 120D¹⁵, 168C¹⁸, 168D¹⁸, 168B¹⁹</t>
        </is>
      </c>
      <c r="N363" t="inlineStr">
        <is>
          <t>8A⁰, 3B⁰, 1A⁰, 4A⁰, 12A¹</t>
        </is>
      </c>
      <c r="O363" t="inlineStr">
        <is>
          <t>72Z²¹, 72O²¹, 48D¹⁵, 168C¹⁸, 72J¹¹, 24B²¹, 72A⁸, 24D⁷, 72L¹¹, 48A¹⁴, 72D²², 72F²³, 72C²², 48C²³, 24F¹¹, 48L⁷, 72A⁷, 216A²², 72B¹⁵, 144A¹⁵, 216B²², 24B¹¹, 24G¹¹, 48A²³, 24B⁶, 72D¹³, 24I¹³, 72A⁶, 72C²⁰, 120L²³, 48K⁷, 144V²³, 72Y²¹, 168D¹⁸, 216A²¹, 24B¹³, 72A²², 144A¹⁶, 48D²³, 216A²⁴, 24G³, 120D¹⁵, 24D¹¹, 72B²², 24J¹⁹, 240A²⁴, 24J²¹, 48B²³, 216A²³, 120A¹², 48U¹³, 72R²¹, 24H²¹, 144A¹², 216A²⁰, 48A¹⁷, 72D¹⁵, 24F⁷, 144U²³, 168B¹⁹, 72O¹⁹, 48A⁴, 24Q⁵, 72B¹³, 24C²¹, 24G²¹, 24I²¹</t>
        </is>
      </c>
    </row>
    <row r="364">
      <c r="A364">
        <f>HYPERLINK("https://mathstats.uncg.edu/sites/pauli/congruence/csg2.html#group24B2", "24B²")</f>
        <v/>
      </c>
      <c r="B364" t="n">
        <v>2</v>
      </c>
      <c r="C364" t="inlineStr"/>
      <c r="D364" t="inlineStr">
        <is>
          <t>36</t>
        </is>
      </c>
      <c r="E364" t="inlineStr">
        <is>
          <t>1</t>
        </is>
      </c>
      <c r="F364" t="inlineStr">
        <is>
          <t>6</t>
        </is>
      </c>
      <c r="G364" t="inlineStr">
        <is>
          <t>0</t>
        </is>
      </c>
      <c r="H364" t="inlineStr">
        <is>
          <t>0</t>
        </is>
      </c>
      <c r="I364" t="inlineStr">
        <is>
          <t>3², 6¹, 24¹</t>
        </is>
      </c>
      <c r="J364" t="n">
        <v>4</v>
      </c>
      <c r="K364" t="inlineStr">
        <is>
          <t>1⁴, 2¹</t>
        </is>
      </c>
      <c r="L364" t="inlineStr">
        <is>
          <t>8C⁰, 12B¹</t>
        </is>
      </c>
      <c r="M364" t="inlineStr">
        <is>
          <t>24L³, 24D⁴, 24F⁴, 24J⁴, 24M⁴, 48B⁴, 48D⁴, 48F⁴, 48G⁴, 48A⁵, 48B⁵, 72B⁸, 120A¹⁴, 120F¹⁵, 168B²⁰, 168B²¹</t>
        </is>
      </c>
      <c r="N364" t="inlineStr">
        <is>
          <t>3A⁰, 8C⁰, 12B¹, 2B⁰, 4B⁰, 1A⁰, 6D⁰</t>
        </is>
      </c>
      <c r="O364" t="inlineStr">
        <is>
          <t>168B²⁰, 192E²³, 72AB²¹, 96A¹⁸, 48C¹⁸, 96U²¹, 72E¹⁶, 48G¹⁷, 48W¹³, 48AC⁹, 48Q¹⁹, 192B¹⁸, 48AX¹⁹, 96W²¹, 48H¹⁸, 96L¹⁷, 96L²¹, 24R⁵, 96A²², 48J⁸, 192A²¹, 96S¹⁹, 24AP⁹, 96C¹¹, 96I¹⁷, 192K²³, 48F¹⁵, 96C²¹, 96E²¹, 48I¹⁹, 24J¹⁷, 24K¹³, 96Q²¹, 96AW¹⁹, 96N¹⁹, 96M²¹, 144H¹⁶, 192H²³, 48M¹⁹, 48O¹⁹, 144C¹⁶, 48Y¹³, 48F¹⁹, 120A¹⁴, 48E¹⁹, 24I⁹, 96E¹⁹, 48C⁸, 48O⁹, 24G¹⁹, 48Q²¹, 24C⁹, 72D¹⁶, 96D¹¹, 96K²¹, 96X²¹, 48AD¹⁷, 48AP¹⁹, 24X¹⁷, 96N²¹, 192J²³, 72F¹⁶, 96I¹⁹, 96I²¹, 48AA¹⁷, 24F¹⁷, 96G⁹, 48A¹⁹, 48P¹⁹, 96P¹⁵, 48AW¹⁹, 48R⁷, 48L⁸, 72K¹⁶, 24M⁴, 48Z¹³, 96P¹⁹, 24D¹⁵, 192A²³, 48X⁷, 48H¹⁷, 144C¹⁷, 24F⁴, 48G¹⁹, 96C¹⁸, 96A¹¹, 96A⁹, 96K¹⁹, 24N⁷, 24H¹⁷, 96D¹⁹, 48Y⁸, 48D⁹, 192B²¹, 96M¹⁵, 48B⁴, 96V²¹, 48A⁹, 96AR²¹, 48AA⁹, 48P⁹, 48B¹⁷, 96F¹¹, 48B¹⁹, 48N¹⁵, 24F⁸, 48D⁸, 48R¹⁵, 96N¹⁵, 192B²², 24E¹⁵, 48N¹⁹, 192B¹⁹, 96H¹⁹, 48D¹⁸, 48H¹⁹, 96H²¹, 96D²¹, 48I⁸, 48W¹⁷, 48A¹⁰, 96Q¹⁹, 48B⁹, 48Q¹⁵, 96A²¹, 24T⁷, 72P¹⁶, 96G¹⁹, 72Q¹¹, 48F⁴, 144D¹⁶, 96S²¹, 24J⁷, 192D²¹, 48Y¹⁷, 48L²¹, 48BT¹⁷, 48AA¹⁹, 48E¹⁷, 24D¹⁹, 48AC¹⁷, 96G²¹, 24G¹⁵, 192A¹⁸, 48J¹⁷, 96AQ²¹, 48E¹⁵, 24P¹⁷, 48V¹³, 48M⁸, 96M¹⁷, 192I²³, 24E⁸, 48G⁹, 96A¹⁹, 48F⁹, 96A⁸, 48F²¹, 48D⁴, 48B⁵, 144A¹⁷, 48A⁵, 96C¹⁹, 48E⁹, 24A¹⁹, 24N¹³, 48K¹⁷, 48K⁸, 96AX¹⁹, 24J⁴, 48I¹⁸, 96F²¹, 120F¹⁵, 24D⁴, 168B²¹, 96R¹⁹, 192D²³, 48AB¹⁷, 96J²¹, 144B¹⁶, 48C⁹, 192D¹⁹, 24M¹³, 48C¹⁹, 48O¹⁵, 192B²³, 48P¹⁵, 24L³, 96B¹⁹, 48I¹⁷, 144E¹⁶, 192C²³, 72G¹⁵, 48V¹⁷, 48Z¹⁷, 48Q⁹, 96B²¹, 192A²², 72B⁸, 48D¹⁷, 96E¹¹, 72G²², 24H¹⁵, 96R²¹, 72A¹⁶, 96A¹⁰, 24F¹⁹, 96S¹⁷, 96A¹⁷, 48Y⁷, 96Z¹⁹, 96T²¹, 192G²³, 96O²¹, 96B¹⁸, 48BP¹⁷, 48E⁸, 96B¹¹, 144B¹⁷, 96J¹⁷, 72S¹⁵, 144G¹⁶, 96F¹⁹, 24U⁷, 192A¹⁹, 24B¹⁷, 24D⁸, 192C¹⁹, 96AB²¹, 192F²³, 24B⁸, 96K¹⁷, 48L¹⁹, 96D¹⁸, 192C²¹, 48B¹⁰, 48F¹⁷, 48G⁴, 24S¹⁷, 48Q⁷, 24L¹³, 48X¹⁷, 48BS¹⁷, 96O¹⁹, 48C¹⁷, 96C²², 96B⁸, 192L²³, 48E²¹, 48D¹⁹, 96AC¹⁷, 96AS²¹, 96B¹⁰, 96P²¹</t>
        </is>
      </c>
    </row>
    <row r="365">
      <c r="A365">
        <f>HYPERLINK("https://mathstats.uncg.edu/sites/pauli/congruence/csg2.html#group24C2", "24C²")</f>
        <v/>
      </c>
      <c r="B365" t="n">
        <v>2</v>
      </c>
      <c r="C365" t="inlineStr"/>
      <c r="D365" t="inlineStr">
        <is>
          <t>36</t>
        </is>
      </c>
      <c r="E365" t="inlineStr">
        <is>
          <t>1</t>
        </is>
      </c>
      <c r="F365" t="inlineStr">
        <is>
          <t>9</t>
        </is>
      </c>
      <c r="G365" t="inlineStr">
        <is>
          <t>4</t>
        </is>
      </c>
      <c r="H365" t="inlineStr">
        <is>
          <t>0</t>
        </is>
      </c>
      <c r="I365" t="inlineStr">
        <is>
          <t>12¹, 24¹</t>
        </is>
      </c>
      <c r="J365" t="n">
        <v>2</v>
      </c>
      <c r="K365" t="inlineStr">
        <is>
          <t>1³, 2³</t>
        </is>
      </c>
      <c r="L365" t="inlineStr">
        <is>
          <t>12C⁰</t>
        </is>
      </c>
      <c r="M365" t="inlineStr">
        <is>
          <t>24I³, 24S³, 24K⁴, 24L⁴, 24P⁴, 24C⁵, 24D⁵, 24F⁵, 72B⁶, 72D⁸, 120B¹⁴, 120H¹⁵, 168F¹⁸, 168D²³</t>
        </is>
      </c>
      <c r="N365" t="inlineStr">
        <is>
          <t>2B⁰, 12C⁰, 3A⁰, 1A⁰, 6D⁰, 4C⁰</t>
        </is>
      </c>
      <c r="O365" t="inlineStr">
        <is>
          <t>168D²³, 96Y²¹, 72K¹³, 48BE¹⁹, 96AJ¹⁹, 48AY²¹, 48O¹⁷, 48M⁹, 48R¹¹, 24R¹³, 96AG²¹, 48H²¹, 24I¹⁷, 72H¹⁴, 48AK¹⁷, 24O⁹, 24R⁷, 48O²¹, 48AT¹⁹, 24S³, 144W²³, 72E¹⁴, 24AA⁹, 24Q¹³, 48Q¹⁷, 24AD¹⁷, 168F¹⁸, 48N¹¹, 24P⁹, 24AD⁷, 24W¹⁷, 72P¹⁵, 48AD²¹, 48R¹⁷, 48M¹⁷, 48AL¹⁹, 48BK²¹, 24N¹⁵, 24J¹⁷, 96AF²¹, 48P¹⁷, 72L¹⁶, 48I¹⁹, 48AT²¹, 48AB²¹, 48BC²¹, 96AA²³, 48BD¹⁹, 24I⁹, 24K⁴, 24Z⁹, 96AZ¹⁹, 24S¹³, 48AV²¹, 48BE²¹, 48Y¹⁹, 48BO²¹, 48BG¹⁹, 24M⁹, 48S²¹, 48E¹¹, 72D¹⁴, 72K¹⁷, 96AB¹⁹, 96AE²¹, 48P¹⁹, 96X²³, 48AF²¹, 72D¹⁷, 48BM¹⁹, 48AU²¹, 48BP²¹, 48AW¹⁹, 24O¹⁹, 24D¹⁷, 96AP²¹, 24AH¹⁷, 48W⁹, 48AV¹⁷, 72J²², 48M²¹, 48AW¹⁷, 48T⁹, 24O⁷, 48J⁹, 24H¹⁷, 48U⁹, 24S¹⁹, 24AK¹⁷, 24N¹⁷, 24O¹⁷, 72N¹⁶, 96Q¹⁷, 48W¹⁹, 48AX¹⁷, 72O¹⁵, 24AF¹⁷, 24U⁹, 48K²¹, 96AA¹⁹, 48AZ¹⁷, 48BU¹⁷, 48AP²¹, 24L¹⁹, 24L⁴, 24C¹⁷, 72A²⁴, 48AR¹⁷, 48H¹⁹, 48AO²¹, 48AD⁹, 24P¹⁹, 96AC²¹, 24AA⁷, 24P⁴, 48AF⁹, 96AD²¹, 96AN²¹, 120H¹⁵, 24AJ¹⁷, 48AQ¹⁹, 96AO²¹, 24F⁵, 24L¹⁷, 24Z¹⁷, 24A⁹, 48Y²¹, 24AE⁷, 72O¹⁶, 48AE¹⁷, 48AS¹⁹, 24P¹⁷, 24I¹⁹, 96AB²³, 72N¹¹, 24AG¹⁷, 48AC²¹, 24Y¹³, 48Z²¹, 96AH²¹, 72R¹¹, 24AM¹⁷, 96Q²³, 24G¹⁷, 24H¹⁹, 24W⁹, 72B⁶, 72H¹⁵, 48BD²¹, 48CI¹⁷, 120B¹⁴, 72AA²¹, 48BG²¹, 96AA²¹, 48AF¹⁷, 144X²³, 96AW²¹, 24C⁵, 24T¹⁷, 24R¹⁷, 48D²¹, 96R²³, 72D⁸, 48L¹⁷, 24E⁹, 72H¹⁷, 48BX²¹, 72M¹⁶, 72I¹⁷, 96AI¹⁹, 48N¹⁷, 48Z⁹, 24I³, 24G⁹, 24F¹⁹, 48H¹¹, 96AM²¹, 24Q⁹, 96W²³, 48C²¹, 48P²¹, 48M⁷, 24R¹⁹, 96P¹⁷, 24M¹⁷, 24E¹⁹, 24S⁵, 24J⁹, 48U¹⁹, 24U¹⁵, 48AY¹⁷, 72Q¹⁵, 48BL¹⁹, 24H⁹, 24V¹⁷, 48X¹⁹, 48BC¹⁹, 24Z⁷, 48BB¹⁹, 24N¹⁹, 48AL¹⁷, 48L¹⁹, 24S¹⁷, 72A¹⁷, 72E¹⁷, 48W²¹, 24D⁵, 48BV¹⁷, 48BN¹⁹, 48BB²¹, 48N⁷, 24AL¹⁷, 24W¹³, 48X¹³, 24X⁹, 24T⁹, 48AM¹⁹, 48BJ²¹, 24M¹⁵</t>
        </is>
      </c>
    </row>
    <row r="366">
      <c r="A366">
        <f>HYPERLINK("https://mathstats.uncg.edu/sites/pauli/congruence/csg2.html#group24D2", "24D²")</f>
        <v/>
      </c>
      <c r="B366" t="n">
        <v>2</v>
      </c>
      <c r="C366" t="inlineStr"/>
      <c r="D366" t="inlineStr">
        <is>
          <t>36</t>
        </is>
      </c>
      <c r="E366" t="inlineStr">
        <is>
          <t>1</t>
        </is>
      </c>
      <c r="F366" t="inlineStr">
        <is>
          <t>18</t>
        </is>
      </c>
      <c r="G366" t="inlineStr">
        <is>
          <t>0</t>
        </is>
      </c>
      <c r="H366" t="inlineStr">
        <is>
          <t>0</t>
        </is>
      </c>
      <c r="I366" t="inlineStr">
        <is>
          <t>3², 6¹, 24¹</t>
        </is>
      </c>
      <c r="J366" t="n">
        <v>4</v>
      </c>
      <c r="K366" t="inlineStr">
        <is>
          <t>1⁴, 2⁵, 4¹</t>
        </is>
      </c>
      <c r="L366" t="inlineStr">
        <is>
          <t>12B¹</t>
        </is>
      </c>
      <c r="M366" t="inlineStr">
        <is>
          <t>24K³, 24L³, 24E⁴, 24I⁴, 24J⁴, 72C⁸, 72E⁸, 120C¹⁴, 120J¹⁵, 168D²⁰, 168C²¹</t>
        </is>
      </c>
      <c r="N366" t="inlineStr">
        <is>
          <t>12B¹, 2B⁰, 3A⁰, 4B⁰, 1A⁰, 6D⁰</t>
        </is>
      </c>
      <c r="O366" t="inlineStr">
        <is>
          <t>72AB²¹, 48N⁹, 24I¹⁷, 48G¹⁷, 48W¹³, 48U¹⁷, 96L²¹, 24H⁸, 48AN²¹, 24R⁵, 24K³, 96S¹⁹, 24AP⁹, 24W¹⁷, 96I¹⁷, 48F¹⁵, 24J¹⁷, 24K¹³, 96AW¹⁹, 96N¹⁹, 96M²¹, 72R¹⁵, 24G⁸, 24I¹⁵, 48Y¹³, 48F¹⁹, 48E¹⁹, 24Z⁹, 48BQ²¹, 72D¹⁶, 168C²¹, 96P²¹, 96K²¹, 48AD¹⁷, 72I¹⁶, 24X¹⁷, 96N²¹, 168D²⁰, 72B¹⁶, 96I¹⁹, 48AA¹⁷, 96I²¹, 96P¹⁵, 48R⁷, 48L⁸, 72K¹⁶, 24D¹⁵, 48Z¹³, 48X⁷, 24U¹⁷, 24N⁷, 24H¹⁷, 96D¹⁹, 24S¹⁹, 48D⁹, 96M¹⁵, 48N²¹, 48AA⁹, 48B¹⁷, 120C¹⁴, 48N¹⁵, 72C⁸, 24F⁸, 72H²², 48R¹⁵, 96N¹⁵, 24E¹⁵, 48AG²¹, 24F⁹, 48W¹⁷, 24T⁷, 72Q¹¹, 96G¹⁹, 48Q¹⁵, 96S²¹, 24J⁷, 48R²¹, 24AJ¹⁷, 48BT¹⁷, 48Y¹⁷, 48AA¹⁹, 48AC¹⁷, 24G¹⁵, 96G²¹, 96AQ²¹, 48E¹⁵, 24I¹⁹, 48M⁸, 24E⁸, 48V¹³, 72P¹¹, 48G⁹, 48F⁹, 48E¹⁰, 48K¹⁵, 48W⁷, 72E⁸, 48K¹⁹, 24N¹³, 48K¹⁷, 24G¹⁷, 24J⁴, 24Q¹⁷, 24H¹⁹, 72J¹⁶, 96F²¹, 48AB¹⁷, 96J²¹, 48C⁹, 72K²², 24R¹⁷, 24M¹³, 48O¹⁵, 48P¹⁵, 24L³, 24I⁴, 48V¹⁷, 72G¹⁵, 48Z¹⁷, 72F¹⁵, 120J¹⁵, 24H¹⁵, 24F¹⁹, 96S¹⁷, 48Y⁷, 96T²¹, 96O²¹, 24E¹⁹, 24I⁷, 72S¹⁵, 96J¹⁷, 96F¹⁹, 24U⁷, 24H⁹, 96AB²¹, 48F¹⁷, 48Q⁷, 24L¹³, 48X¹⁷, 48BS¹⁷, 96O¹⁹, 72C¹⁶, 48C¹⁷, 24E⁴, 48E¹⁷</t>
        </is>
      </c>
    </row>
    <row r="367">
      <c r="A367">
        <f>HYPERLINK("https://mathstats.uncg.edu/sites/pauli/congruence/csg2.html#group24E2", "24E²")</f>
        <v/>
      </c>
      <c r="B367" t="n">
        <v>2</v>
      </c>
      <c r="C367" t="inlineStr"/>
      <c r="D367" t="inlineStr">
        <is>
          <t>48</t>
        </is>
      </c>
      <c r="E367" t="inlineStr">
        <is>
          <t>1</t>
        </is>
      </c>
      <c r="F367" t="inlineStr">
        <is>
          <t>8</t>
        </is>
      </c>
      <c r="G367" t="inlineStr">
        <is>
          <t>0</t>
        </is>
      </c>
      <c r="H367" t="inlineStr">
        <is>
          <t>6</t>
        </is>
      </c>
      <c r="I367" t="inlineStr">
        <is>
          <t>24²</t>
        </is>
      </c>
      <c r="J367" t="n">
        <v>2</v>
      </c>
      <c r="K367" t="inlineStr">
        <is>
          <t>4²</t>
        </is>
      </c>
      <c r="L367" t="inlineStr">
        <is>
          <t>8E⁰, 12E¹</t>
        </is>
      </c>
      <c r="M367" t="inlineStr">
        <is>
          <t>48I⁴, 24A¹⁰, 24C¹¹, 24D¹¹, 24J¹¹, 120A¹⁶, 120D²³</t>
        </is>
      </c>
      <c r="N367" t="inlineStr">
        <is>
          <t>2A⁰, 6A⁰, 4A⁰, 4D⁰, 12E¹, 8A⁰, 8E⁰, 1A⁰</t>
        </is>
      </c>
      <c r="O367" t="inlineStr">
        <is>
          <t>24A¹⁰, 120D²³, 120A¹⁶, 48A²², 24D¹⁹, 24H²¹, 24C¹¹, 24C¹⁹, 24I¹⁹, 48B²², 24D¹¹, 48I⁴, 24J¹¹</t>
        </is>
      </c>
    </row>
    <row r="368">
      <c r="A368">
        <f>HYPERLINK("https://mathstats.uncg.edu/sites/pauli/congruence/csg2.html#group24F2", "24F²")</f>
        <v/>
      </c>
      <c r="B368" t="n">
        <v>2</v>
      </c>
      <c r="C368" t="inlineStr"/>
      <c r="D368" t="inlineStr">
        <is>
          <t>48</t>
        </is>
      </c>
      <c r="E368" t="inlineStr">
        <is>
          <t>1</t>
        </is>
      </c>
      <c r="F368" t="inlineStr">
        <is>
          <t>12</t>
        </is>
      </c>
      <c r="G368" t="inlineStr">
        <is>
          <t>0</t>
        </is>
      </c>
      <c r="H368" t="inlineStr">
        <is>
          <t>0</t>
        </is>
      </c>
      <c r="I368" t="inlineStr">
        <is>
          <t>2², 6², 8¹, 24¹</t>
        </is>
      </c>
      <c r="J368" t="n">
        <v>6</v>
      </c>
      <c r="K368" t="inlineStr">
        <is>
          <t>1⁶, 2³</t>
        </is>
      </c>
      <c r="L368" t="inlineStr">
        <is>
          <t>12E⁰</t>
        </is>
      </c>
      <c r="M368" t="inlineStr">
        <is>
          <t>24U³, 24W³, 24G⁷, 72C⁷, 72A¹⁰, 72B¹⁰, 120A¹⁸, 120F¹⁹</t>
        </is>
      </c>
      <c r="N368" t="inlineStr">
        <is>
          <t>6F⁰, 3B⁰, 2B⁰, 4B⁰, 1A⁰, 12E⁰</t>
        </is>
      </c>
      <c r="O368" t="inlineStr">
        <is>
          <t>24AK⁷, 24AT¹⁷, 24F²¹, 48AG¹³, 48AJ⁹, 24E²¹, 72B¹⁹, 24AD⁹, 72B¹⁰, 120F¹⁹, 24Z⁵, 24U³, 24AP¹⁷, 48BZ²¹, 48AQ⁷, 72C⁷, 72E¹⁹, 72F¹⁹, 24J¹³, 24G⁷, 24AC⁹, 120A¹⁸, 72S¹³, 72A¹⁹, 72A¹⁰, 96BC²¹, 96BJ²¹, 24AS¹⁷, 48CP¹⁷, 24L¹³, 48CQ¹⁷, 48AI⁹, 96BE²¹, 24W³, 48CN¹⁷, 24AJ⁷, 24AC¹³, 72Q¹³, 24C²¹</t>
        </is>
      </c>
    </row>
    <row r="369">
      <c r="A369">
        <f>HYPERLINK("https://mathstats.uncg.edu/sites/pauli/congruence/csg2.html#group24G2", "24G²")</f>
        <v/>
      </c>
      <c r="B369" t="n">
        <v>2</v>
      </c>
      <c r="C369" t="inlineStr"/>
      <c r="D369" t="inlineStr">
        <is>
          <t>48</t>
        </is>
      </c>
      <c r="E369" t="inlineStr">
        <is>
          <t>1</t>
        </is>
      </c>
      <c r="F369" t="inlineStr">
        <is>
          <t>12</t>
        </is>
      </c>
      <c r="G369" t="inlineStr">
        <is>
          <t>8</t>
        </is>
      </c>
      <c r="H369" t="inlineStr">
        <is>
          <t>0</t>
        </is>
      </c>
      <c r="I369" t="inlineStr">
        <is>
          <t>24²</t>
        </is>
      </c>
      <c r="J369" t="n">
        <v>2</v>
      </c>
      <c r="K369" t="inlineStr">
        <is>
          <t>4², 8²</t>
        </is>
      </c>
      <c r="L369" t="inlineStr">
        <is>
          <t>12F⁰, 24B¹</t>
        </is>
      </c>
      <c r="M369" t="inlineStr">
        <is>
          <t>24P⁵, 48E⁶, 24A⁷, 24M⁸, 72H⁸, 24AM⁹, 72E¹⁰, 72G¹⁰, 120B¹⁸, 120I¹⁹, 168O²²</t>
        </is>
      </c>
      <c r="N369" t="inlineStr">
        <is>
          <t>12F⁰, 24B¹, 12A⁰, 6B⁰, 3A⁰, 1A⁰, 4A⁰</t>
        </is>
      </c>
      <c r="O369" t="inlineStr">
        <is>
          <t>144E²², 72E¹⁰, 24M⁸, 72G¹⁰, 24B¹⁹, 72Q²¹, 72G²³, 72M²¹, 48C¹⁵, 48F²⁰, 24P⁵, 24AM⁹, 120I¹⁹, 72A²³, 72H⁸, 24B¹³, 72T¹⁹, 48E²⁰, 168O²², 48Q¹³, 48E⁶, 24A⁷, 72T²¹, 24O¹⁵, 144D²², 48R¹³, 24K¹¹, 72U²¹, 24M²¹, 144C²², 72P²¹, 24AL¹⁷, 72D²³, 24AE¹⁷, 120B¹⁸, 24L¹⁹, 72V¹⁹, 72W¹⁷, 144G²⁰</t>
        </is>
      </c>
    </row>
    <row r="370">
      <c r="A370">
        <f>HYPERLINK("https://mathstats.uncg.edu/sites/pauli/congruence/csg2.html#group24H2", "24H²")</f>
        <v/>
      </c>
      <c r="B370" t="n">
        <v>2</v>
      </c>
      <c r="C370" t="inlineStr"/>
      <c r="D370" t="inlineStr">
        <is>
          <t>48</t>
        </is>
      </c>
      <c r="E370" t="inlineStr">
        <is>
          <t>1</t>
        </is>
      </c>
      <c r="F370" t="inlineStr">
        <is>
          <t>12</t>
        </is>
      </c>
      <c r="G370" t="inlineStr">
        <is>
          <t>8</t>
        </is>
      </c>
      <c r="H370" t="inlineStr">
        <is>
          <t>0</t>
        </is>
      </c>
      <c r="I370" t="inlineStr">
        <is>
          <t>24²</t>
        </is>
      </c>
      <c r="J370" t="n">
        <v>2</v>
      </c>
      <c r="K370" t="inlineStr">
        <is>
          <t>4², 8²</t>
        </is>
      </c>
      <c r="L370" t="inlineStr">
        <is>
          <t>12F⁰, 24B¹</t>
        </is>
      </c>
      <c r="M370" t="inlineStr">
        <is>
          <t>24P⁵, 48F⁶, 24A⁷, 24M⁸, 72I⁸, 24AN⁹, 72F¹⁰, 72H¹⁰, 120C¹⁸, 120J¹⁹, 168P²²</t>
        </is>
      </c>
      <c r="N370" t="inlineStr">
        <is>
          <t>12F⁰, 24B¹, 12A⁰, 6B⁰, 3A⁰, 1A⁰, 4A⁰</t>
        </is>
      </c>
      <c r="O370" t="inlineStr">
        <is>
          <t>144H²⁰, 72F¹⁰, 120C¹⁸, 24M⁸, 24B¹⁹, 48F⁶, 144G²², 72Q²¹, 72G²³, 72M²¹, 48C¹⁵, 48F²⁰, 144F²², 24P⁵, 72H¹⁰, 168P²², 72A²³, 72T¹⁹, 24B¹³, 24AN⁹, 144H²², 48E²⁰, 48Q¹³, 24A⁷, 72T²¹, 24O¹⁵, 72I⁸, 48R¹³, 24K¹¹, 72U²¹, 24M²¹, 72P²¹, 24AL¹⁷, 72D²³, 24AE¹⁷, 120J¹⁹, 24L¹⁹, 72V¹⁹, 72W¹⁷</t>
        </is>
      </c>
    </row>
    <row r="371">
      <c r="A371">
        <f>HYPERLINK("https://mathstats.uncg.edu/sites/pauli/congruence/csg2.html#group24I2", "24I²")</f>
        <v/>
      </c>
      <c r="B371" t="n">
        <v>2</v>
      </c>
      <c r="C371" t="inlineStr"/>
      <c r="D371" t="inlineStr">
        <is>
          <t>48</t>
        </is>
      </c>
      <c r="E371" t="inlineStr">
        <is>
          <t>1</t>
        </is>
      </c>
      <c r="F371" t="inlineStr">
        <is>
          <t>24</t>
        </is>
      </c>
      <c r="G371" t="inlineStr">
        <is>
          <t>0</t>
        </is>
      </c>
      <c r="H371" t="inlineStr">
        <is>
          <t>0</t>
        </is>
      </c>
      <c r="I371" t="inlineStr">
        <is>
          <t>2², 6², 8¹, 24¹</t>
        </is>
      </c>
      <c r="J371" t="n">
        <v>6</v>
      </c>
      <c r="K371" t="inlineStr">
        <is>
          <t>1⁴, 2⁶, 4²</t>
        </is>
      </c>
      <c r="L371" t="inlineStr">
        <is>
          <t>8D⁰, 12F¹</t>
        </is>
      </c>
      <c r="M371" t="inlineStr">
        <is>
          <t>24V³, 48J⁴, 24J⁵, 24K⁵, 48D⁶, 24H⁷, 72D⁷, 72C¹⁰, 72D¹⁰, 120D¹⁸, 120L¹⁹</t>
        </is>
      </c>
      <c r="N371" t="inlineStr">
        <is>
          <t>3B⁰, 8D⁰, 12F¹, 4C⁰, 6F⁰, 2B⁰, 1A⁰</t>
        </is>
      </c>
      <c r="O371" t="inlineStr">
        <is>
          <t>72F²¹, 24AE⁹, 96AI²³, 144B²², 48BS¹⁹, 48D⁶, 72E²¹, 72C¹⁹, 96BC¹⁹, 72H²¹, 48CK¹⁷, 48CG²¹, 24D²¹, 144B²⁰, 24F¹¹, 48AL⁷, 48AH⁹, 24AP¹⁷, 24AJ⁹, 48Z¹¹, 48A²³, 48CF²¹, 48CO²¹, 48CK²¹, 48AK⁹, 96AJ²³, 72R¹³, 48L¹³, 48CA²¹, 24AO¹⁷, 48CE²¹, 72G²¹, 96BF²¹, 48CJ¹⁷, 48Y¹¹, 48BT¹⁹, 144I¹⁹, 24K¹³, 96AK²³, 48CI²¹, 48F¹³, 48B²³, 48CD²¹, 48CH²¹, 24AC¹³, 48W¹¹, 144A²², 48J⁴, 72D¹⁰, 24AI⁹, 48CN²¹, 48E¹³, 48CJ²¹, 24G²¹, 96AL²³, 24I¹¹, 24V³, 24F²¹, 48AG¹³, 48CC²¹, 24AH⁷, 24A²¹, 96BD¹⁹, 72Q¹⁷, 48CB²¹, 144E¹⁵, 48C²³, 96F¹⁰, 48H¹³, 24Z⁵, 48J¹⁹, 48BZ²¹, 24G¹¹, 96AZ²¹, 24D¹⁷, 24AR¹⁷, 72D⁷, 48CL¹⁷, 96E¹⁰, 24E¹⁷, 48AB¹¹, 48G¹³, 120L¹⁹, 48G¹⁵, 24K⁵, 24H¹¹, 48AA¹¹, 96BA²¹, 48K¹³, 48D²³, 96A¹⁴, 72D¹⁹, 24AN¹⁷, 96BD²¹, 24J²¹, 48AK⁷, 48CM¹⁷, 72C¹⁰, 144A²⁰, 72R¹⁷, 48X¹¹, 120D¹⁸, 24J⁵, 48CN¹⁷, 24H⁷, 24AI⁷, 24AF⁹, 24I²¹</t>
        </is>
      </c>
    </row>
    <row r="372">
      <c r="A372">
        <f>HYPERLINK("https://mathstats.uncg.edu/sites/pauli/congruence/csg2.html#group24J2", "24J²")</f>
        <v/>
      </c>
      <c r="B372" t="n">
        <v>2</v>
      </c>
      <c r="C372" t="inlineStr"/>
      <c r="D372" t="inlineStr">
        <is>
          <t>48</t>
        </is>
      </c>
      <c r="E372" t="inlineStr">
        <is>
          <t>1</t>
        </is>
      </c>
      <c r="F372" t="inlineStr">
        <is>
          <t>24</t>
        </is>
      </c>
      <c r="G372" t="inlineStr">
        <is>
          <t>0</t>
        </is>
      </c>
      <c r="H372" t="inlineStr">
        <is>
          <t>6</t>
        </is>
      </c>
      <c r="I372" t="inlineStr">
        <is>
          <t>24²</t>
        </is>
      </c>
      <c r="J372" t="n">
        <v>2</v>
      </c>
      <c r="K372" t="inlineStr">
        <is>
          <t>4⁶</t>
        </is>
      </c>
      <c r="L372" t="inlineStr">
        <is>
          <t>12H¹</t>
        </is>
      </c>
      <c r="M372" t="inlineStr">
        <is>
          <t>24D¹⁰, 24E¹¹, 120C¹⁶, 120H²³</t>
        </is>
      </c>
      <c r="N372" t="inlineStr">
        <is>
          <t>2A⁰, 1A⁰, 12H¹, 6A⁰</t>
        </is>
      </c>
      <c r="O372" t="inlineStr">
        <is>
          <t>24K¹⁹, 24H²¹, 120C¹⁶, 120H²³, 24D¹⁰, 24E¹¹</t>
        </is>
      </c>
    </row>
    <row r="373">
      <c r="A373">
        <f>HYPERLINK("https://mathstats.uncg.edu/sites/pauli/congruence/csg2.html#group24K2", "24K²")</f>
        <v/>
      </c>
      <c r="B373" t="n">
        <v>2</v>
      </c>
      <c r="C373" t="inlineStr"/>
      <c r="D373" t="inlineStr">
        <is>
          <t>48</t>
        </is>
      </c>
      <c r="E373" t="inlineStr">
        <is>
          <t>2</t>
        </is>
      </c>
      <c r="F373" t="inlineStr">
        <is>
          <t>12</t>
        </is>
      </c>
      <c r="G373" t="inlineStr">
        <is>
          <t>8</t>
        </is>
      </c>
      <c r="H373" t="inlineStr">
        <is>
          <t>0</t>
        </is>
      </c>
      <c r="I373" t="inlineStr">
        <is>
          <t>24²</t>
        </is>
      </c>
      <c r="J373" t="n">
        <v>2</v>
      </c>
      <c r="K373" t="inlineStr">
        <is>
          <t>4², 8²</t>
        </is>
      </c>
      <c r="L373" t="inlineStr">
        <is>
          <t>12F⁰, 24A¹, 24B¹</t>
        </is>
      </c>
      <c r="M373" t="inlineStr">
        <is>
          <t>24P⁵, 48G⁶, 48H⁶, 24B⁷, 24N⁸, 72J⁸, 72K⁸, 24AO⁹, 72I¹⁰, 72L¹⁰, 120F¹⁸, 120Q¹⁹, 168Q²², 168R²²</t>
        </is>
      </c>
      <c r="N373" t="inlineStr">
        <is>
          <t>12A⁰, 24A¹, 6B⁰, 4A⁰, 12F⁰, 8A⁰, 24B¹, 3A⁰, 1A⁰</t>
        </is>
      </c>
      <c r="O373" t="inlineStr">
        <is>
          <t>48I²⁰, 24P¹⁹, 24AO⁹, 144N²², 144F²⁰, 48G²⁰, 72I¹⁰, 144J²², 72K⁸, 144D²⁰, 72H²³, 72Q²¹, 48A¹⁵, 48B¹⁵, 72C²³, 144E²⁰, 24N⁸, 24P¹⁵, 144M²², 168R²², 24P⁵, 72J⁸, 72T¹⁹, 24B¹³, 72N²¹, 48H⁶, 120Q¹⁹, 48Q¹³, 24AK¹⁷, 72T²¹, 48G⁶, 144C²⁰, 144I²², 72B²³, 48R¹³, 24K¹¹, 72U²¹, 24M²¹, 72P²¹, 24C¹⁹, 24AE¹⁷, 120F¹⁸, 72L¹⁰, 168Q²², 72V¹⁹, 72W¹⁷, 24B⁷</t>
        </is>
      </c>
    </row>
    <row r="374">
      <c r="A374">
        <f>HYPERLINK("https://mathstats.uncg.edu/sites/pauli/congruence/csg2.html#group24L2", "24L²")</f>
        <v/>
      </c>
      <c r="B374" t="n">
        <v>2</v>
      </c>
      <c r="C374" t="inlineStr"/>
      <c r="D374" t="inlineStr">
        <is>
          <t>72</t>
        </is>
      </c>
      <c r="E374" t="inlineStr">
        <is>
          <t>1</t>
        </is>
      </c>
      <c r="F374" t="inlineStr">
        <is>
          <t>6</t>
        </is>
      </c>
      <c r="G374" t="inlineStr">
        <is>
          <t>12</t>
        </is>
      </c>
      <c r="H374" t="inlineStr">
        <is>
          <t>0</t>
        </is>
      </c>
      <c r="I374" t="inlineStr">
        <is>
          <t>12², 24²</t>
        </is>
      </c>
      <c r="J374" t="n">
        <v>4</v>
      </c>
      <c r="K374" t="inlineStr">
        <is>
          <t>1², 2²</t>
        </is>
      </c>
      <c r="L374" t="inlineStr">
        <is>
          <t>8H⁰, 24A⁰, 12J¹, 24C¹</t>
        </is>
      </c>
      <c r="M374" t="inlineStr">
        <is>
          <t>24W⁵, 48E⁵, 24D⁶, 24G⁶, 24K⁷, 24L⁷, 24R⁷, 24AB⁷, 24AC⁷, 48O⁷, 48P⁷, 48U⁷, 48AB⁷, 48AC⁷, 48F⁸, 48R⁸, 24C⁹, 48K⁹, 48C¹¹, 72F¹²</t>
        </is>
      </c>
      <c r="N374" t="inlineStr">
        <is>
          <t>12C⁰, 8D⁰, 4C⁰, 8B⁰, 2B⁰, 1A⁰, 8H⁰, 12A⁰, 24A⁰, 4A⁰, 24C¹, 12J¹, 4F⁰, 3A⁰, 6D⁰</t>
        </is>
      </c>
      <c r="O374" t="inlineStr">
        <is>
          <t>24AC⁷, 96N²⁰, 24R¹³, 48AK¹⁷, 48L¹⁸, 48V¹⁵, 48AE²¹, 24R⁷, 96O¹⁵, 48Q¹⁷, 24AD¹⁷, 48V²¹, 48E¹⁸, 48O¹⁸, 96L¹⁹, 48E⁵, 96H²⁰, 48AD²¹, 48BW¹⁷, 48AM¹⁷, 96R¹⁷, 48K⁹, 48AL¹⁹, 24N¹⁵, 24J¹⁷, 48P¹⁷, 48Y¹⁵, 96M¹⁹, 48AZ¹⁹, 48AV¹⁹, 24O¹⁵, 96E¹⁷, 48S¹⁷, 48F¹⁸, 24C¹⁶, 48AX²¹, 48AQ¹⁷, 48AY¹⁹, 48H¹⁶, 24G¹⁹, 48Q²¹, 24C⁹, 48U⁷, 48C¹¹, 48W¹⁵, 24D⁶, 24E¹⁶, 48AU¹⁷, 48U¹⁵, 96B¹⁷, 24B¹⁶, 24V¹³, 48A¹⁶, 96F¹⁷, 24F¹⁷, 48A¹⁹, 48S¹⁸, 48T¹⁸, 48U²¹, 48AF²¹, 48BR¹⁷, 48AP¹⁷, 24D¹⁷, 24X¹³, 24D¹⁶, 48Q¹⁸, 24AH¹⁷, 48X¹⁵, 96I¹¹, 48BO¹⁷, 48AD¹⁹, 48G¹⁹, 48J¹⁵, 96O¹⁷, 24G⁶, 48AB⁷, 48I¹⁶, 24AF¹⁷, 48BZ¹⁷, 96AD¹⁹, 48B¹⁹, 96G²⁰, 72F¹², 48AE¹⁹, 48T¹⁷, 96O²⁰, 48AU¹⁹, 96AC¹⁹, 48R⁸, 48AC⁷, 48P⁷, 48L²¹, 48S¹⁹, 24W⁵, 48M¹⁸, 96X¹⁷, 24Q¹⁵, 48AE¹⁷, 24P¹⁵, 24L⁷, 48BX¹⁷, 96A²³, 48F²¹, 96N¹⁷, 24K⁷, 24AG¹⁷, 48AT¹⁷, 24A¹⁹, 48BN¹⁷, 96J¹⁹, 48I¹⁵, 48T¹⁵, 48AF¹⁷, 48BA¹⁹, 48N¹⁸, 24R¹⁵, 48G¹⁶, 48AS¹⁷, 48O⁷, 48AN¹⁷, 48AK¹⁹, 48F⁸, 24A¹⁶, 48AO¹⁷, 96D¹⁷, 24F¹⁹, 96C¹⁷, 24AB⁷, 48AC¹⁹, 48P¹⁸, 48T¹⁹, 24B¹⁷, 48AS²¹, 48H¹⁵, 48AL¹⁷, 48T²¹, 48S¹⁵, 48F¹⁶, 48AJ¹⁹, 96Y¹⁷, 48E²¹, 48AB¹³, 48D¹⁹, 48AR²¹, 48AB¹⁹, 48AM¹⁹, 24D¹⁹, 24M¹⁵</t>
        </is>
      </c>
    </row>
    <row r="375">
      <c r="A375">
        <f>HYPERLINK("https://mathstats.uncg.edu/sites/pauli/congruence/csg2.html#group24M2", "24M²")</f>
        <v/>
      </c>
      <c r="B375" t="n">
        <v>2</v>
      </c>
      <c r="C375" t="inlineStr"/>
      <c r="D375" t="inlineStr">
        <is>
          <t>72</t>
        </is>
      </c>
      <c r="E375" t="inlineStr">
        <is>
          <t>1</t>
        </is>
      </c>
      <c r="F375" t="inlineStr">
        <is>
          <t>12</t>
        </is>
      </c>
      <c r="G375" t="inlineStr">
        <is>
          <t>12</t>
        </is>
      </c>
      <c r="H375" t="inlineStr">
        <is>
          <t>0</t>
        </is>
      </c>
      <c r="I375" t="inlineStr">
        <is>
          <t>12², 24²</t>
        </is>
      </c>
      <c r="J375" t="n">
        <v>4</v>
      </c>
      <c r="K375" t="inlineStr">
        <is>
          <t>1⁴, 2², 4¹</t>
        </is>
      </c>
      <c r="L375" t="inlineStr">
        <is>
          <t>8L⁰, 24A⁰</t>
        </is>
      </c>
      <c r="M375" t="inlineStr">
        <is>
          <t>24Y⁵, 48F⁵, 24D⁶, 24K⁶, 24AA⁷, 48AF⁷, 48X⁸, 48AA⁸, 24D⁹, 48X⁹, 48K¹¹, 72J¹²</t>
        </is>
      </c>
      <c r="N375" t="inlineStr">
        <is>
          <t>12C⁰, 24A⁰, 4C⁰, 8B⁰, 8L⁰, 2B⁰, 3A⁰, 1A⁰, 6D⁰</t>
        </is>
      </c>
      <c r="O375" t="inlineStr">
        <is>
          <t>24AA⁷, 48BE¹⁹, 48I²¹, 48BJ¹⁹, 96AA¹⁷, 48BK¹⁹, 24L¹⁷, 96H²³, 48AH²¹, 48CA¹⁷, 48M¹⁵, 48BF²¹, 96AB¹⁷, 48X⁹, 24K⁶, 48J²¹, 96V²³, 96J¹¹, 48V²¹, 48CH¹⁷, 48AR¹⁹, 48AT¹⁷, 24Y¹³, 96I²⁰, 96Q²⁰, 48CG¹⁷, 48CD¹⁷, 48K¹¹, 48L¹⁵, 24Y⁵, 24M¹⁵, 48BD²¹, 96Z¹⁷, 48AD¹⁵, 48AL²¹, 24D⁹, 48BG²¹, 96W¹⁹, 48BG¹⁷, 96S¹⁵, 48CB¹⁷, 96J²⁰, 48AA⁸, 48BH¹⁷, 24Z¹³, 24D⁶, 48X⁸, 24B¹⁶, 24A¹⁶, 96H¹⁷, 48R¹⁹, 48BG¹⁹, 48A¹⁶, 24AA¹³, 96N²³, 48AF¹⁵, 24X¹³, 24U¹⁵, 48AY¹⁷, 48F⁵, 48BU²¹, 24U¹⁷, 24V¹⁷, 24B¹⁷, 48J¹⁵, 96M²³, 96G¹⁷, 48AE¹⁵, 96P²⁰, 48F¹⁶, 48AJ¹⁹, 48AF¹³, 96U²³, 48AZ¹⁷, 96AE¹⁷, 48BF¹⁹, 48AF⁷, 72J¹²</t>
        </is>
      </c>
    </row>
    <row r="376">
      <c r="A376">
        <f>HYPERLINK("https://mathstats.uncg.edu/sites/pauli/congruence/csg2.html#group24N2", "24N²")</f>
        <v/>
      </c>
      <c r="B376" t="n">
        <v>2</v>
      </c>
      <c r="C376" t="inlineStr"/>
      <c r="D376" t="inlineStr">
        <is>
          <t>72</t>
        </is>
      </c>
      <c r="E376" t="inlineStr">
        <is>
          <t>1</t>
        </is>
      </c>
      <c r="F376" t="inlineStr">
        <is>
          <t>18</t>
        </is>
      </c>
      <c r="G376" t="inlineStr">
        <is>
          <t>8</t>
        </is>
      </c>
      <c r="H376" t="inlineStr">
        <is>
          <t>0</t>
        </is>
      </c>
      <c r="I376" t="inlineStr">
        <is>
          <t>6⁴, 24²</t>
        </is>
      </c>
      <c r="J376" t="n">
        <v>6</v>
      </c>
      <c r="K376" t="inlineStr">
        <is>
          <t>2⁵, 4²</t>
        </is>
      </c>
      <c r="L376" t="inlineStr">
        <is>
          <t>12H⁰, 24E¹</t>
        </is>
      </c>
      <c r="M376" t="inlineStr">
        <is>
          <t>24U⁵, 24V⁵, 48K⁶, 24I⁷, 24AE⁷, 48W⁸, 24M⁹, 72L¹², 72B¹⁴</t>
        </is>
      </c>
      <c r="N376" t="inlineStr">
        <is>
          <t>24E¹, 6B⁰, 12C⁰, 3A⁰, 4C⁰, 2B⁰, 12D⁰, 6H⁰, 12H⁰, 1A⁰, 6D⁰</t>
        </is>
      </c>
      <c r="O376" t="inlineStr">
        <is>
          <t>24T¹⁵, 72B¹⁴, 48AA¹³, 24R¹³, 24N¹¹, 24M⁹, 24I¹⁷, 48K⁶, 48AQ¹⁹, 24AA¹³, 48U¹⁷, 24V⁵, 48BM¹⁹, 24R¹⁹, 24AE⁷, 48AG¹⁷, 24K¹⁵, 24U⁵, 24I⁷, 48AB¹⁵, 24S¹⁵, 48K¹⁵, 48AA²¹, 48BD¹⁷, 48K¹⁹, 72L¹², 48W⁸, 24G¹⁷, 48AH¹⁷, 48BK²¹, 24K¹³, 24AK¹⁷, 48AD¹³, 24N¹⁷, 48CI¹⁷, 48BQ¹⁷, 24I¹⁵, 72K²³, 48BC¹⁷, 48AC¹³, 24AL¹⁷, 48AC¹⁵, 48BJ²¹, 24Z¹³</t>
        </is>
      </c>
    </row>
    <row r="377">
      <c r="A377">
        <f>HYPERLINK("https://mathstats.uncg.edu/sites/pauli/congruence/csg2.html#group24O2", "24O²")</f>
        <v/>
      </c>
      <c r="B377" t="n">
        <v>2</v>
      </c>
      <c r="C377" t="inlineStr"/>
      <c r="D377" t="inlineStr">
        <is>
          <t>72</t>
        </is>
      </c>
      <c r="E377" t="inlineStr">
        <is>
          <t>1</t>
        </is>
      </c>
      <c r="F377" t="inlineStr">
        <is>
          <t>18</t>
        </is>
      </c>
      <c r="G377" t="inlineStr">
        <is>
          <t>8</t>
        </is>
      </c>
      <c r="H377" t="inlineStr">
        <is>
          <t>0</t>
        </is>
      </c>
      <c r="I377" t="inlineStr">
        <is>
          <t>6⁴, 24²</t>
        </is>
      </c>
      <c r="J377" t="n">
        <v>6</v>
      </c>
      <c r="K377" t="inlineStr">
        <is>
          <t>1², 2⁴, 4²</t>
        </is>
      </c>
      <c r="L377" t="inlineStr">
        <is>
          <t>12H⁰, 24C¹, 24E¹</t>
        </is>
      </c>
      <c r="M377" t="inlineStr">
        <is>
          <t>24U⁵, 24W⁵, 48I⁶, 48J⁶, 24J⁷, 24AD⁷, 48N⁸, 48O⁸, 24Q⁹, 72M¹², 72C¹⁴</t>
        </is>
      </c>
      <c r="N377" t="inlineStr">
        <is>
          <t>24E¹, 6B⁰, 12C⁰, 3A⁰, 8D⁰, 4C⁰, 24C¹, 2B⁰, 12D⁰, 6H⁰, 12H⁰, 1A⁰, 6D⁰</t>
        </is>
      </c>
      <c r="O377" t="inlineStr">
        <is>
          <t>24P¹⁹, 96B¹⁶, 96L²⁰, 48U¹⁵, 48AY²¹, 48Y¹⁹, 48O⁸, 24R¹³, 96C¹⁶, 24V¹³, 24N¹¹, 24J⁷, 24W⁵, 48V¹⁵, 24Q⁹, 24Q¹⁵, 48AE²¹, 48BR¹⁷, 48E¹⁵, 24K¹⁵, 48AG¹⁷, 24U⁵, 24D¹⁵, 24P¹⁵, 24X¹³, 72C¹⁴, 96F²⁰, 48N⁸, 48U¹⁹, 24AD⁷, 96E¹⁶, 48F¹⁵, 48I⁶, 48K¹⁷, 96E²⁰, 96K²⁰, 24AM¹⁷, 24H¹⁷, 48AH¹⁷, 24J¹⁷, 24K¹³, 48AD¹³, 24N¹⁷, 48AT²¹, 24E¹⁵, 48S¹⁵, 24O¹⁵, 48T¹⁵, 48BV¹⁷, 72K²³, 48F¹⁹, 96A¹⁶, 48BN¹⁹, 48AC¹³, 48J⁶, 96D¹⁶, 48E¹⁹, 48AQ¹⁷, 72M¹², 48AB¹³, 24R¹⁵, 48BU¹⁷, 48AS¹⁷, 24L¹⁹, 48E¹⁷</t>
        </is>
      </c>
    </row>
    <row r="378">
      <c r="A378">
        <f>HYPERLINK("https://mathstats.uncg.edu/sites/pauli/congruence/csg2.html#group24P2", "24P²")</f>
        <v/>
      </c>
      <c r="B378" t="n">
        <v>2</v>
      </c>
      <c r="C378" t="inlineStr"/>
      <c r="D378" t="inlineStr">
        <is>
          <t>72</t>
        </is>
      </c>
      <c r="E378" t="inlineStr">
        <is>
          <t>1</t>
        </is>
      </c>
      <c r="F378" t="inlineStr">
        <is>
          <t>18</t>
        </is>
      </c>
      <c r="G378" t="inlineStr">
        <is>
          <t>12</t>
        </is>
      </c>
      <c r="H378" t="inlineStr">
        <is>
          <t>0</t>
        </is>
      </c>
      <c r="I378" t="inlineStr">
        <is>
          <t>12², 24²</t>
        </is>
      </c>
      <c r="J378" t="n">
        <v>4</v>
      </c>
      <c r="K378" t="inlineStr">
        <is>
          <t>1², 2⁴, 4²</t>
        </is>
      </c>
      <c r="L378" t="inlineStr">
        <is>
          <t>24A⁰, 12M¹, 24E¹</t>
        </is>
      </c>
      <c r="M378" t="inlineStr">
        <is>
          <t>24V⁵, 24W⁵, 48G⁵, 24H⁶, 24I⁶, 24K⁶, 24O⁷, 24R⁷, 48V⁷, 48AI⁷, 48S⁸, 48T⁸, 48AB⁸, 24F⁹, 48L⁹, 48AB⁹, 48L¹¹, 72G¹², 72N¹²</t>
        </is>
      </c>
      <c r="N378" t="inlineStr">
        <is>
          <t>24E¹, 12C⁰, 24A⁰, 4C⁰, 8B⁰, 12M¹, 2B⁰, 3A⁰, 1A⁰, 6D⁰</t>
        </is>
      </c>
      <c r="O378" t="inlineStr">
        <is>
          <t>48AB⁸, 24F⁹, 24T¹⁵, 96R¹⁵, 48AA¹³, 48O¹⁷, 24R¹³, 48BJ¹⁹, 96Z²¹, 24I¹⁷, 48R²¹, 48AK¹⁷, 48BK¹⁹, 24W⁵, 96AC²⁰, 48S⁸, 48AN¹⁹, 48CE¹⁷, 48V¹⁵, 24Q¹⁵, 96R²⁰, 48AE²¹, 24R⁷, 48BI²¹, 96G¹³, 48Z¹⁵, 48AE¹⁷, 96AA²⁰, 96AB²⁰, 24P¹⁵, 48AN²¹, 48BI¹⁹, 48AM¹⁹, 24K⁶, 96S²⁰, 48Q¹⁷, 24AD¹⁷, 48CH¹⁷, 24AG¹⁷, 48AI⁷, 24I⁶, 48AA²¹, 48AD²¹, 48AC²¹, 48CG¹⁷, 48AL¹⁹, 24Q¹⁷, 48T⁸, 24N¹⁵, 24J¹⁷, 48P¹⁷, 96Z²⁰, 48AB²¹, 24O¹⁵, 48V⁷, 48T¹⁵, 48AF¹⁷, 48BC¹⁷, 48AQ¹⁷, 48BH²¹, 48AC¹⁵, 48BH¹⁹, 24R¹⁵, 48BQ²¹, 48AS¹⁷, 48CB¹⁷, 24Z¹³, 48CF¹⁷, 48U¹⁵, 48N¹⁷, 24V¹³, 72N¹², 96Q¹⁵, 24AA¹³, 48BB¹⁷, 24V⁵, 48AF²¹, 96U²⁰, 48BR¹⁷, 48AB⁹, 24H⁶, 24X¹³, 24D¹⁷, 48AB¹⁵, 24AH¹⁷, 96V¹⁹, 24U¹⁵, 96T²⁰, 24S¹⁵, 48BU²¹, 24U¹⁷, 48BD¹⁷, 24O⁷, 48AA¹⁵, 48AO¹⁹, 48BB¹⁹, 48AL¹⁷, 48G⁵, 48S¹⁵, 72G¹², 48N²¹, 48L⁹, 48BQ¹⁷, 24AF¹⁷, 48BA¹⁷, 48L¹¹, 96T¹⁹, 48AB¹³, 96AD¹⁷, 48BF¹⁹, 48AG²¹, 48AF¹⁵, 24M¹⁵</t>
        </is>
      </c>
    </row>
    <row r="379">
      <c r="A379">
        <f>HYPERLINK("https://mathstats.uncg.edu/sites/pauli/congruence/csg2.html#group24Q2", "24Q²")</f>
        <v/>
      </c>
      <c r="B379" t="n">
        <v>2</v>
      </c>
      <c r="C379" t="inlineStr"/>
      <c r="D379" t="inlineStr">
        <is>
          <t>72</t>
        </is>
      </c>
      <c r="E379" t="inlineStr">
        <is>
          <t>1</t>
        </is>
      </c>
      <c r="F379" t="inlineStr">
        <is>
          <t>36</t>
        </is>
      </c>
      <c r="G379" t="inlineStr">
        <is>
          <t>12</t>
        </is>
      </c>
      <c r="H379" t="inlineStr">
        <is>
          <t>0</t>
        </is>
      </c>
      <c r="I379" t="inlineStr">
        <is>
          <t>12², 24²</t>
        </is>
      </c>
      <c r="J379" t="n">
        <v>4</v>
      </c>
      <c r="K379" t="inlineStr">
        <is>
          <t>1⁴, 2⁶, 4³, 8¹</t>
        </is>
      </c>
      <c r="L379" t="inlineStr">
        <is>
          <t>24A⁰</t>
        </is>
      </c>
      <c r="M379" t="inlineStr">
        <is>
          <t>24X⁵, 24Y⁵, 48H⁵, 24G⁶, 24H⁶, 24I⁶, 24K⁶, 24Z⁷, 24AA⁷, 48AG⁷, 48AJ⁷, 48AC⁸, 48AD⁸, 48AE⁸, 48AF⁸, 24S⁹, 48Y⁹, 48AE⁹, 48Q¹¹, 72K¹², 72O¹²</t>
        </is>
      </c>
      <c r="N379" t="inlineStr">
        <is>
          <t>12C⁰, 24A⁰, 4C⁰, 8B⁰, 2B⁰, 3A⁰, 1A⁰, 6D⁰</t>
        </is>
      </c>
      <c r="O379" t="inlineStr">
        <is>
          <t>24X⁵, 24AA⁷, 48BE¹⁹, 72K¹², 96AI²¹, 48BJ¹⁹, 96AG²⁰, 48BK¹⁹, 24L¹⁷, 48AN¹⁹, 48CE¹⁷, 96T¹⁵, 48CA¹⁷, 96BA¹⁹, 48BI²¹, 48Z¹⁵, 48BF²¹, 24K⁶, 48AC⁸, 96W¹⁵, 48CH¹⁷, 48BS²¹, 48AG⁷, 24I⁶, 24Y¹³, 48CG¹⁷, 48AK²¹, 48BY¹⁷, 96H¹³, 48CD¹⁷, 96AF²⁰, 24S⁹, 24Q¹⁷, 24N¹⁵, 48H⁵, 24Y⁵, 48AJ⁷, 48Y¹⁵, 96Y¹⁹, 48BC²¹, 48BD²¹, 96X²⁰, 96AL²¹, 48AE¹³, 96X¹⁹, 96BB¹⁹, 48BG²¹, 96AY¹⁹, 48BA¹⁹, 48BD¹⁹, 48AX²¹, 24T¹⁷, 48BH²¹, 72O¹², 48AJ²¹, 24C¹⁶, 48AM²¹, 48BH¹⁹, 48AE⁹, 48H¹⁶, 48BG¹⁷, 96V²⁰, 48G¹⁶, 48CB¹⁷, 48BH¹⁷, 24Z¹³, 96AR¹⁹, 96AO¹⁹, 96U¹⁵, 48BF¹⁷, 48AW²¹, 48AK¹⁹, 24E¹⁶, 48AU¹⁷, 48AF⁸, 48CF¹⁷, 24V¹³, 48BG¹⁹, 96AD²⁰, 96AT²¹, 24F¹⁷, 48AE⁸, 96AJ²¹, 24AA¹³, 48BB¹⁷, 96AX²¹, 96AG¹⁷, 96AY²¹, 96AK²¹, 24H⁶, 24X¹³, 48AI²¹, 24D¹⁶, 24U¹⁵, 48BR²¹, 48AY¹⁷, 48CC¹⁷, 96AF¹⁷, 48BU²¹, 24U¹⁷, 48AW¹⁷, 24V¹⁷, 48BC¹⁹, 24Z⁷, 48AA¹⁵, 48AO¹⁹, 96AP¹⁹, 96W²⁰, 96Y²⁰, 48AD⁸, 48AX¹⁷, 24G⁶, 48Y⁹, 96AQ¹⁹, 48BA¹⁷, 48BZ¹⁷, 48I¹⁶, 48BB²¹, 48BE¹⁷, 48AF¹³, 96AE²⁰, 48Q¹¹, 48AZ¹⁷, 48BF¹⁹, 48BI¹⁹, 48AF¹⁵, 24M¹⁵</t>
        </is>
      </c>
    </row>
    <row r="380">
      <c r="A380">
        <f>HYPERLINK("https://mathstats.uncg.edu/sites/pauli/congruence/csg2.html#group25A2", "25A²")</f>
        <v/>
      </c>
      <c r="B380" t="n">
        <v>2</v>
      </c>
      <c r="C380" t="inlineStr"/>
      <c r="D380" t="inlineStr">
        <is>
          <t>30</t>
        </is>
      </c>
      <c r="E380" t="inlineStr">
        <is>
          <t>1</t>
        </is>
      </c>
      <c r="F380" t="inlineStr">
        <is>
          <t>30</t>
        </is>
      </c>
      <c r="G380" t="inlineStr">
        <is>
          <t>2</t>
        </is>
      </c>
      <c r="H380" t="inlineStr">
        <is>
          <t>0</t>
        </is>
      </c>
      <c r="I380" t="inlineStr">
        <is>
          <t>5¹, 25¹</t>
        </is>
      </c>
      <c r="J380" t="n">
        <v>2</v>
      </c>
      <c r="K380" t="inlineStr">
        <is>
          <t>2², 4⁴, 20²</t>
        </is>
      </c>
      <c r="L380" t="inlineStr">
        <is>
          <t>5B⁰</t>
        </is>
      </c>
      <c r="M380" t="inlineStr">
        <is>
          <t>25A⁴, 50A⁴, 50A⁵, 25A⁶, 50A⁶, 75A⁶, 25A⁸, 75A⁹, 100A⁹, 175A¹⁶, 175A¹⁹</t>
        </is>
      </c>
      <c r="N380" t="inlineStr">
        <is>
          <t>5B⁰, 1A⁰</t>
        </is>
      </c>
      <c r="O380" t="inlineStr">
        <is>
          <t>150A¹⁹, 200A¹⁹, 75A¹³, 75A¹⁷, 150A¹², 50A⁵, 75A¹², 225A²⁰, 200E¹⁹, 100A¹⁷, 150E¹⁹, 25A⁴, 25A¹⁶, 50A⁹, 50A⁶, 100A¹³, 25A⁸, 100A¹², 100A¹⁴, 100I¹⁹, 150A¹⁵, 25B¹⁶, 75A⁹, 50A¹⁶, 25A⁶, 100A⁹, 50E¹², 150A¹⁴, 100E¹⁹, 75A¹⁴, 50A¹³, 150E¹⁵, 150A²⁰, 50A²¹, 50E²¹, 50A¹², 100E⁹, 50A²⁰, 175A¹⁶, 100E¹³, 100A¹⁹, 175A¹⁹, 75A⁶, 50A⁴, 150C¹³</t>
        </is>
      </c>
    </row>
    <row r="381">
      <c r="A381">
        <f>HYPERLINK("https://mathstats.uncg.edu/sites/pauli/congruence/csg2.html#group25B2", "25B²")</f>
        <v/>
      </c>
      <c r="B381" t="n">
        <v>2</v>
      </c>
      <c r="C381" t="inlineStr"/>
      <c r="D381" t="inlineStr">
        <is>
          <t>30</t>
        </is>
      </c>
      <c r="E381" t="inlineStr">
        <is>
          <t>1</t>
        </is>
      </c>
      <c r="F381" t="inlineStr">
        <is>
          <t>30</t>
        </is>
      </c>
      <c r="G381" t="inlineStr">
        <is>
          <t>2</t>
        </is>
      </c>
      <c r="H381" t="inlineStr">
        <is>
          <t>0</t>
        </is>
      </c>
      <c r="I381" t="inlineStr">
        <is>
          <t>5¹, 25¹</t>
        </is>
      </c>
      <c r="J381" t="n">
        <v>2</v>
      </c>
      <c r="K381" t="inlineStr">
        <is>
          <t>2², 4⁴, 20²</t>
        </is>
      </c>
      <c r="L381" t="inlineStr">
        <is>
          <t>5B⁰</t>
        </is>
      </c>
      <c r="M381" t="inlineStr">
        <is>
          <t>25B⁴, 50B⁴, 50B⁵, 25B⁶, 50B⁶, 75B⁶, 25A⁸, 75B⁹, 100B⁹, 175B¹⁶, 175B¹⁹</t>
        </is>
      </c>
      <c r="N381" t="inlineStr">
        <is>
          <t>5B⁰, 1A⁰</t>
        </is>
      </c>
      <c r="O381" t="inlineStr">
        <is>
          <t>150B¹², 225B²⁰, 50B¹⁶, 50B¹³, 75B¹⁴, 100B¹⁹, 25B⁴, 75B¹³, 200F¹⁹, 100F¹³, 25A¹⁶, 150F¹⁵, 100B¹², 50B⁹, 75B¹², 25B⁶, 25A⁸, 50B⁵, 50B¹², 50B²¹, 150B¹⁵, 75B¹⁷, 75B⁹, 50B⁴, 100B¹⁷, 175B¹⁶, 150D¹³, 100F¹⁹, 175B¹⁹, 50B⁶, 75B⁶, 150F¹⁹, 100B¹³, 100F⁹, 50E²¹, 200B¹⁹, 50F¹², 50A²⁰, 100J¹⁹, 100B⁹, 150B¹⁴, 100B¹⁴, 150B¹⁹, 25C¹⁶, 150B²⁰</t>
        </is>
      </c>
    </row>
    <row r="382">
      <c r="A382">
        <f>HYPERLINK("https://mathstats.uncg.edu/sites/pauli/congruence/csg2.html#group25C2", "25C²")</f>
        <v/>
      </c>
      <c r="B382" t="n">
        <v>2</v>
      </c>
      <c r="C382" t="inlineStr"/>
      <c r="D382" t="inlineStr">
        <is>
          <t>30</t>
        </is>
      </c>
      <c r="E382" t="inlineStr">
        <is>
          <t>1</t>
        </is>
      </c>
      <c r="F382" t="inlineStr">
        <is>
          <t>30</t>
        </is>
      </c>
      <c r="G382" t="inlineStr">
        <is>
          <t>2</t>
        </is>
      </c>
      <c r="H382" t="inlineStr">
        <is>
          <t>0</t>
        </is>
      </c>
      <c r="I382" t="inlineStr">
        <is>
          <t>5¹, 25¹</t>
        </is>
      </c>
      <c r="J382" t="n">
        <v>2</v>
      </c>
      <c r="K382" t="inlineStr">
        <is>
          <t>2², 4⁴, 20²</t>
        </is>
      </c>
      <c r="L382" t="inlineStr">
        <is>
          <t>5B⁰</t>
        </is>
      </c>
      <c r="M382" t="inlineStr">
        <is>
          <t>25C⁴, 50C⁴, 50C⁵, 25C⁶, 50C⁶, 75C⁶, 25A⁸, 75C⁹, 100C⁹, 175C¹⁶, 175C¹⁹</t>
        </is>
      </c>
      <c r="N382" t="inlineStr">
        <is>
          <t>5B⁰, 1A⁰</t>
        </is>
      </c>
      <c r="O382" t="inlineStr">
        <is>
          <t>25C⁶, 75C⁹, 100G¹⁹, 25D¹⁶, 75C¹⁷, 175C¹⁶, 150C²⁰, 175C¹⁹, 100C¹³, 25A¹⁶, 50C¹⁶, 100C¹⁴, 25A⁸, 100C¹⁷, 100C¹², 150G¹⁵, 200G¹⁹, 50C⁵, 225C²⁰, 50C⁹, 100K¹⁹, 150E¹³, 150C¹², 100G¹³, 75C¹², 50C¹², 150C¹⁴, 50C⁴, 50C²¹, 100C¹⁹, 100C⁹, 50E²¹, 150C¹⁹, 50C⁶, 50A²⁰, 50G¹², 75C⁶, 200C¹⁹, 75C¹³, 150G¹⁹, 75C¹⁴, 100G⁹, 150C¹⁵, 50C¹³, 25C⁴</t>
        </is>
      </c>
    </row>
    <row r="383">
      <c r="A383">
        <f>HYPERLINK("https://mathstats.uncg.edu/sites/pauli/congruence/csg2.html#group25D2", "25D²")</f>
        <v/>
      </c>
      <c r="B383" t="n">
        <v>2</v>
      </c>
      <c r="C383" t="inlineStr"/>
      <c r="D383" t="inlineStr">
        <is>
          <t>30</t>
        </is>
      </c>
      <c r="E383" t="inlineStr">
        <is>
          <t>1</t>
        </is>
      </c>
      <c r="F383" t="inlineStr">
        <is>
          <t>30</t>
        </is>
      </c>
      <c r="G383" t="inlineStr">
        <is>
          <t>2</t>
        </is>
      </c>
      <c r="H383" t="inlineStr">
        <is>
          <t>0</t>
        </is>
      </c>
      <c r="I383" t="inlineStr">
        <is>
          <t>5¹, 25¹</t>
        </is>
      </c>
      <c r="J383" t="n">
        <v>2</v>
      </c>
      <c r="K383" t="inlineStr">
        <is>
          <t>2², 4⁴, 20²</t>
        </is>
      </c>
      <c r="L383" t="inlineStr">
        <is>
          <t>5B⁰</t>
        </is>
      </c>
      <c r="M383" t="inlineStr">
        <is>
          <t>25D⁴, 50D⁴, 50D⁵, 25D⁶, 50D⁶, 75D⁶, 25A⁸, 75D⁹, 100D⁹, 175D¹⁶, 175D¹⁹</t>
        </is>
      </c>
      <c r="N383" t="inlineStr">
        <is>
          <t>5B⁰, 1A⁰</t>
        </is>
      </c>
      <c r="O383" t="inlineStr">
        <is>
          <t>150H¹⁹, 175D¹⁶, 225D²⁰, 100D¹⁴, 50D⁹, 25D⁴, 100H¹³, 100D¹³, 25A¹⁶, 50D²¹, 25A⁸, 100L¹⁹, 200D¹⁹, 100H¹⁹, 175D¹⁹, 75D⁹, 200H¹⁹, 150D¹⁹, 75D⁶, 50D¹², 25D⁶, 100D¹⁹, 100D¹⁷, 50D¹³, 150D²⁰, 50D¹⁶, 150H¹⁵, 150D¹⁴, 75D¹⁴, 100H⁹, 50D⁵, 100D¹², 75D¹⁷, 150D¹², 50E²¹, 50D⁶, 50A²⁰, 50H¹², 150F¹³, 75D¹², 100D⁹, 150D¹⁵, 25E¹⁶, 50D⁴, 75D¹³</t>
        </is>
      </c>
    </row>
    <row r="384">
      <c r="A384">
        <f>HYPERLINK("https://mathstats.uncg.edu/sites/pauli/congruence/csg2.html#group25E2", "25E²")</f>
        <v/>
      </c>
      <c r="B384" t="n">
        <v>2</v>
      </c>
      <c r="C384" t="inlineStr"/>
      <c r="D384" t="inlineStr">
        <is>
          <t>50</t>
        </is>
      </c>
      <c r="E384" t="inlineStr">
        <is>
          <t>1</t>
        </is>
      </c>
      <c r="F384" t="inlineStr">
        <is>
          <t>50</t>
        </is>
      </c>
      <c r="G384" t="inlineStr">
        <is>
          <t>2</t>
        </is>
      </c>
      <c r="H384" t="inlineStr">
        <is>
          <t>5</t>
        </is>
      </c>
      <c r="I384" t="inlineStr">
        <is>
          <t>25²</t>
        </is>
      </c>
      <c r="J384" t="n">
        <v>2</v>
      </c>
      <c r="K384" t="inlineStr">
        <is>
          <t>2¹, 4², 20²</t>
        </is>
      </c>
      <c r="L384" t="inlineStr">
        <is>
          <t>5C⁰</t>
        </is>
      </c>
      <c r="M384" t="inlineStr">
        <is>
          <t>25E⁴, 50E⁴, 50E⁵, 25A¹⁰, 50A¹¹, 75A¹¹, 75E¹⁴, 100E¹⁴</t>
        </is>
      </c>
      <c r="N384" t="inlineStr">
        <is>
          <t>5C⁰, 1A⁰</t>
        </is>
      </c>
      <c r="O384" t="inlineStr">
        <is>
          <t>100A²³, 150E²⁰, 150A²⁴, 150A²², 50A²², 25E⁴, 25A²⁰, 100B²³, 100A²², 50A¹¹, 100A²⁴, 50C²², 50B²³, 50A¹⁷, 75A²², 150A²³, 100E¹⁴, 100J⁹, 50E⁵, 25A¹⁰, 50A²³, 50B²², 75E¹⁴, 75A²⁴, 100R¹⁹, 75A²³, 50E⁴, 75A¹¹, 50F⁹, 75A¹⁹</t>
        </is>
      </c>
    </row>
    <row r="385">
      <c r="A385">
        <f>HYPERLINK("https://mathstats.uncg.edu/sites/pauli/congruence/csg2.html#group25F2", "25F²")</f>
        <v/>
      </c>
      <c r="B385" t="n">
        <v>2</v>
      </c>
      <c r="C385" t="inlineStr"/>
      <c r="D385" t="inlineStr">
        <is>
          <t>75</t>
        </is>
      </c>
      <c r="E385" t="inlineStr">
        <is>
          <t>1</t>
        </is>
      </c>
      <c r="F385" t="inlineStr">
        <is>
          <t>75</t>
        </is>
      </c>
      <c r="G385" t="inlineStr">
        <is>
          <t>7</t>
        </is>
      </c>
      <c r="H385" t="inlineStr">
        <is>
          <t>0</t>
        </is>
      </c>
      <c r="I385" t="inlineStr">
        <is>
          <t>5⁵, 25²</t>
        </is>
      </c>
      <c r="J385" t="n">
        <v>7</v>
      </c>
      <c r="K385" t="inlineStr">
        <is>
          <t>2¹, 4², 5¹, 20³</t>
        </is>
      </c>
      <c r="L385" t="inlineStr">
        <is>
          <t>5E⁰</t>
        </is>
      </c>
      <c r="M385" t="inlineStr">
        <is>
          <t>25F⁴, 25E⁶, 25F⁶, 50A⁷, 50B⁷, 50E⁹, 50A¹⁰, 50B¹¹, 75B¹¹, 75B¹⁹, 100M¹⁹, 25A²²</t>
        </is>
      </c>
      <c r="N385" t="inlineStr">
        <is>
          <t>5E⁰, 1A⁰, 5A⁰</t>
        </is>
      </c>
      <c r="O385" t="inlineStr">
        <is>
          <t>25F⁴, 75B¹⁹, 50C¹⁹, 50A²⁴, 50B²⁴, 25A²², 50A¹⁴, 25E⁶, 100M¹⁹, 50D²², 50B¹⁸, 50B¹¹, 50A¹⁰, 50B⁷, 50A¹⁸, 75B²⁴, 25A¹², 25F⁶, 50E⁹, 75B¹¹, 50A⁷, 50A¹⁹, 50D¹⁹</t>
        </is>
      </c>
    </row>
    <row r="386">
      <c r="A386">
        <f>HYPERLINK("https://mathstats.uncg.edu/sites/pauli/congruence/csg2.html#group26A2", "26A²")</f>
        <v/>
      </c>
      <c r="B386" t="n">
        <v>2</v>
      </c>
      <c r="C386" t="inlineStr">
        <is>
          <t>Γ₀(26)</t>
        </is>
      </c>
      <c r="D386" t="inlineStr">
        <is>
          <t>42</t>
        </is>
      </c>
      <c r="E386" t="inlineStr">
        <is>
          <t>1</t>
        </is>
      </c>
      <c r="F386" t="inlineStr">
        <is>
          <t>42</t>
        </is>
      </c>
      <c r="G386" t="inlineStr">
        <is>
          <t>2</t>
        </is>
      </c>
      <c r="H386" t="inlineStr">
        <is>
          <t>0</t>
        </is>
      </c>
      <c r="I386" t="inlineStr">
        <is>
          <t>1¹, 2¹, 13¹, 26¹</t>
        </is>
      </c>
      <c r="J386" t="n">
        <v>4</v>
      </c>
      <c r="K386" t="inlineStr">
        <is>
          <t>1⁶, 12³</t>
        </is>
      </c>
      <c r="L386" t="inlineStr">
        <is>
          <t>2B⁰, 13A⁰</t>
        </is>
      </c>
      <c r="M386" t="inlineStr">
        <is>
          <t>26A⁴, 26B⁴, 26C⁴, 52A⁴, 26B⁵, 52A⁵, 52B⁵, 52A⁶, 78A⁸, 78B⁸, 78C¹¹, 130A¹⁶, 130A¹⁷, 182A²²</t>
        </is>
      </c>
      <c r="N386" t="inlineStr">
        <is>
          <t>13A⁰, 1A⁰, 2B⁰</t>
        </is>
      </c>
      <c r="O386" t="inlineStr">
        <is>
          <t>104I²³, 52B¹¹, 78A¹⁸, 78E¹⁹, 104M²³, 156B¹⁸, 104O²³, 52B¹³, 52A¹¹, 78B¹⁷, 78F²³, 104F²³, 104A⁹, 52C¹³, 78B¹⁸, 26B⁴, 104B¹³, 78C¹⁸, 208B²³, 78C¹¹, 182A²², 26B¹³, 52A¹⁰, 104A²¹, 104J²³, 104E¹¹, 52A⁵, 104B¹¹, 104E²³, 156B¹⁶, 52E⁹, 104G²³, 208H²³, 78B¹⁹, 208A²³, 78A²², 104D²¹, 52F¹¹, 104H²³, 26B⁹, 52G¹¹, 130A¹⁷, 52C²¹, 52B⁵, 104A²³, 104K²³, 104S²³, 78A¹⁷, 208E²³, 52B¹⁹, 104R²³, 104P²³, 78B¹⁶, 156C¹⁷, 156C¹⁹, 208C²³, 52E¹¹, 156C²³, 104D¹¹, 52A¹⁶, 156A²⁰, 52A¹⁹, 104B²¹, 52C¹⁹, 78C²¹, 52D²³, 26A⁴, 78A⁸, 26B⁵, 78C¹⁶, 52D²¹, 52A⁶, 52C²³, 52B²³, 156B²⁰, 26D¹⁰, 52A⁹, 52D¹¹, 104N²³, 156B¹⁹, 52C¹¹, 52H²³, 156D²³, 156A¹⁹, 26E¹⁰, 78E¹⁶, 208G²³, 104G¹¹, 156B¹⁷, 104A¹¹, 104B²³, 104A¹⁹, 26C⁴, 78C²³, 208D²³, 208F²³, 78B⁸, 104L²³, 104C¹¹, 52F²¹, 104Q²³, 104C²³, 104F¹¹, 104D²³, 52B⁹, 130A¹⁶, 104C²¹, 156D¹⁷, 156A¹⁶, 208I²³, 52G²³, 156A¹⁸, 52A⁴, 104A¹³</t>
        </is>
      </c>
    </row>
    <row r="387">
      <c r="A387">
        <f>HYPERLINK("https://mathstats.uncg.edu/sites/pauli/congruence/csg2.html#group26B2", "26B²")</f>
        <v/>
      </c>
      <c r="B387" t="n">
        <v>2</v>
      </c>
      <c r="C387" t="inlineStr"/>
      <c r="D387" t="inlineStr">
        <is>
          <t>84</t>
        </is>
      </c>
      <c r="E387" t="inlineStr">
        <is>
          <t>1</t>
        </is>
      </c>
      <c r="F387" t="inlineStr">
        <is>
          <t>14</t>
        </is>
      </c>
      <c r="G387" t="inlineStr">
        <is>
          <t>12</t>
        </is>
      </c>
      <c r="H387" t="inlineStr">
        <is>
          <t>0</t>
        </is>
      </c>
      <c r="I387" t="inlineStr">
        <is>
          <t>2³, 26³</t>
        </is>
      </c>
      <c r="J387" t="n">
        <v>6</v>
      </c>
      <c r="K387" t="inlineStr">
        <is>
          <t>1², 12¹</t>
        </is>
      </c>
      <c r="L387" t="inlineStr">
        <is>
          <t>13C⁰, 26A⁰</t>
        </is>
      </c>
      <c r="M387" t="inlineStr">
        <is>
          <t>26A⁹, 52D⁹, 26E¹⁰, 78A¹⁰, 52A¹⁷, 78A²³</t>
        </is>
      </c>
      <c r="N387" t="inlineStr">
        <is>
          <t>13A⁰, 13C⁰, 26A⁰, 1A⁰</t>
        </is>
      </c>
      <c r="O387" t="inlineStr">
        <is>
          <t>26E¹⁰, 26A⁹, 78A¹⁰, 52A²³, 78A²³, 52D⁹, 52A¹⁷</t>
        </is>
      </c>
    </row>
    <row r="388">
      <c r="A388">
        <f>HYPERLINK("https://mathstats.uncg.edu/sites/pauli/congruence/csg2.html#group27A2", "27A²")</f>
        <v/>
      </c>
      <c r="B388" t="n">
        <v>2</v>
      </c>
      <c r="C388" t="inlineStr"/>
      <c r="D388" t="inlineStr">
        <is>
          <t>36</t>
        </is>
      </c>
      <c r="E388" t="inlineStr">
        <is>
          <t>1</t>
        </is>
      </c>
      <c r="F388" t="inlineStr">
        <is>
          <t>12</t>
        </is>
      </c>
      <c r="G388" t="inlineStr">
        <is>
          <t>0</t>
        </is>
      </c>
      <c r="H388" t="inlineStr">
        <is>
          <t>0</t>
        </is>
      </c>
      <c r="I388" t="inlineStr">
        <is>
          <t>3³, 27¹</t>
        </is>
      </c>
      <c r="J388" t="n">
        <v>4</v>
      </c>
      <c r="K388" t="inlineStr">
        <is>
          <t>1², 2², 6¹</t>
        </is>
      </c>
      <c r="L388" t="inlineStr">
        <is>
          <t>9B⁰</t>
        </is>
      </c>
      <c r="M388" t="inlineStr">
        <is>
          <t>27A⁴, 27B⁴, 27C⁴, 54A⁵, 54B⁶, 108C¹¹, 135A¹⁴, 135B¹⁵, 189A²⁰, 189B²¹</t>
        </is>
      </c>
      <c r="N388" t="inlineStr">
        <is>
          <t>3B⁰, 9B⁰, 1A⁰</t>
        </is>
      </c>
      <c r="O388" t="inlineStr">
        <is>
          <t>27B⁴, 27B¹⁰, 54C¹³, 27E¹⁹, 135A¹⁴, 81E¹⁹, 54E¹³, 81B¹⁶, 81C¹⁹, 135B¹⁵, 108A¹¹, 81D²², 54M¹³, 189A²⁰, 54Q¹³, 108B¹³, 54S¹⁶, 27C⁴, 54B⁶, 189B²¹, 54T¹⁶, 27C¹⁶, 54A⁵, 27A⁴, 54K¹³, 108A²¹, 216A²³, 27D¹⁶, 54D¹³, 54B¹³, 81A²², 81B²², 108C¹¹, 108A¹⁵, 81A¹⁶, 54R¹⁶</t>
        </is>
      </c>
    </row>
    <row r="389">
      <c r="A389">
        <f>HYPERLINK("https://mathstats.uncg.edu/sites/pauli/congruence/csg2.html#group27B2", "27B²")</f>
        <v/>
      </c>
      <c r="B389" t="n">
        <v>2</v>
      </c>
      <c r="C389" t="inlineStr"/>
      <c r="D389" t="inlineStr">
        <is>
          <t>36</t>
        </is>
      </c>
      <c r="E389" t="inlineStr">
        <is>
          <t>1</t>
        </is>
      </c>
      <c r="F389" t="inlineStr">
        <is>
          <t>12</t>
        </is>
      </c>
      <c r="G389" t="inlineStr">
        <is>
          <t>0</t>
        </is>
      </c>
      <c r="H389" t="inlineStr">
        <is>
          <t>3</t>
        </is>
      </c>
      <c r="I389" t="inlineStr">
        <is>
          <t>9¹, 27¹</t>
        </is>
      </c>
      <c r="J389" t="n">
        <v>2</v>
      </c>
      <c r="K389" t="inlineStr">
        <is>
          <t>1², 2², 6¹</t>
        </is>
      </c>
      <c r="L389" t="inlineStr">
        <is>
          <t>9C⁰</t>
        </is>
      </c>
      <c r="M389" t="inlineStr">
        <is>
          <t>27D⁴, 54B⁴, 27C⁷, 27D⁷, 54B⁸, 108D¹¹, 135B¹³, 135B¹⁷, 189B²⁰, 189C²¹</t>
        </is>
      </c>
      <c r="N389" t="inlineStr">
        <is>
          <t>3B⁰, 1A⁰, 9C⁰</t>
        </is>
      </c>
      <c r="O389" t="inlineStr">
        <is>
          <t>108B²², 54B²², 81C²², 81D¹⁹, 27E¹⁹, 54B⁴, 189B²⁰, 27C⁷, 135B¹⁷, 189C²¹, 108D¹¹, 54G¹⁶, 135B¹³, 54C¹⁶, 54P¹³, 108A⁸, 54C¹⁰, 108B¹⁷, 27E¹⁶, 27D¹⁹, 27D⁴, 54T¹³, 216B²², 27B¹⁹, 54F¹⁶, 27D⁷, 54B⁸, 54L¹⁶, 54D²², 108B²¹, 54E²², 108B¹⁶</t>
        </is>
      </c>
    </row>
    <row r="390">
      <c r="A390">
        <f>HYPERLINK("https://mathstats.uncg.edu/sites/pauli/congruence/csg2.html#group28A2", "28A²")</f>
        <v/>
      </c>
      <c r="B390" t="n">
        <v>2</v>
      </c>
      <c r="C390" t="inlineStr"/>
      <c r="D390" t="inlineStr">
        <is>
          <t>32</t>
        </is>
      </c>
      <c r="E390" t="inlineStr">
        <is>
          <t>1</t>
        </is>
      </c>
      <c r="F390" t="inlineStr">
        <is>
          <t>32</t>
        </is>
      </c>
      <c r="G390" t="inlineStr">
        <is>
          <t>0</t>
        </is>
      </c>
      <c r="H390" t="inlineStr">
        <is>
          <t>2</t>
        </is>
      </c>
      <c r="I390" t="inlineStr">
        <is>
          <t>4¹, 28¹</t>
        </is>
      </c>
      <c r="J390" t="n">
        <v>2</v>
      </c>
      <c r="K390" t="inlineStr">
        <is>
          <t>2⁴, 12²</t>
        </is>
      </c>
      <c r="L390" t="inlineStr">
        <is>
          <t>4A⁰, 7B⁰</t>
        </is>
      </c>
      <c r="M390" t="inlineStr">
        <is>
          <t>28E³, 56A⁴, 28F⁶, 28G⁶, 84A⁷, 84C⁸, 56A⁹, 84D⁹, 140A¹², 28B¹⁵, 140C¹⁵, 196A¹⁵</t>
        </is>
      </c>
      <c r="N390" t="inlineStr">
        <is>
          <t>7B⁰, 1A⁰, 4A⁰</t>
        </is>
      </c>
      <c r="O390" t="inlineStr">
        <is>
          <t>56B¹⁴, 84D⁹, 84B¹⁴, 56O²³, 140C²³, 56L¹², 56P²³, 28I⁵, 28E³, 28G⁶, 140A¹², 168A¹⁴, 28M²¹, 84G²², 84C¹⁵, 28G⁹, 56T²³, 168A¹⁹, 56S²³, 56I¹³, 56J¹³, 28G¹¹, 168A¹⁶, 84P¹⁷, 84F¹⁵, 168B¹⁴, 56N¹³, 196A¹⁵, 28N²¹, 112A⁸, 56F⁷, 112L¹⁵, 112K¹⁵, 84I²², 84I¹³, 84O¹⁷, 84A⁷, 140C¹⁵, 56A⁹, 252C²⁴, 56A¹⁴, 84L²², 56A⁴, 56G⁷, 28F⁶, 28B¹⁵, 28E¹¹, 28E¹⁷, 28H¹⁶, 84C⁸, 84E¹⁵, 168B¹⁹, 280A²⁴, 84Q¹⁷, 56D¹⁷, 168B¹⁶, 84E¹³, 56C¹⁷</t>
        </is>
      </c>
    </row>
    <row r="391">
      <c r="A391">
        <f>HYPERLINK("https://mathstats.uncg.edu/sites/pauli/congruence/csg2.html#group28B2", "28B²")</f>
        <v/>
      </c>
      <c r="B391" t="n">
        <v>2</v>
      </c>
      <c r="C391" t="inlineStr"/>
      <c r="D391" t="inlineStr">
        <is>
          <t>42</t>
        </is>
      </c>
      <c r="E391" t="inlineStr">
        <is>
          <t>2</t>
        </is>
      </c>
      <c r="F391" t="inlineStr">
        <is>
          <t>21</t>
        </is>
      </c>
      <c r="G391" t="inlineStr">
        <is>
          <t>4</t>
        </is>
      </c>
      <c r="H391" t="inlineStr">
        <is>
          <t>0</t>
        </is>
      </c>
      <c r="I391" t="inlineStr">
        <is>
          <t>7², 28¹</t>
        </is>
      </c>
      <c r="J391" t="n">
        <v>3</v>
      </c>
      <c r="K391" t="inlineStr">
        <is>
          <t>2³, 6⁶</t>
        </is>
      </c>
      <c r="L391" t="inlineStr">
        <is>
          <t>14B¹</t>
        </is>
      </c>
      <c r="M391" t="inlineStr">
        <is>
          <t>28C⁴, 28A⁵, 28B⁶, 28J⁶, 28E⁷, 84B⁷, 84A¹², 140A¹⁶, 140C¹⁷</t>
        </is>
      </c>
      <c r="N391" t="inlineStr">
        <is>
          <t>14B¹, 1A⁰, 2B⁰, 7A⁰</t>
        </is>
      </c>
      <c r="O391" t="inlineStr">
        <is>
          <t>112A²², 112H²⁴, 28B⁶, 28C⁴, 56E¹⁷, 140C¹⁷, 140A¹⁶, 56F²³, 56J²⁴, 28E²³, 28D¹³, 56B⁹, 56A¹⁰, 56G²⁴, 112C²³, 56B²¹, 28F¹⁶, 28A¹⁷, 28C²³, 112F²³, 56J²¹, 56E²³, 84A¹⁹, 28E⁷, 28A¹⁴, 56C²², 28B¹³, 84E¹⁸, 84B²⁰, 112A¹⁹, 84C¹⁴, 84B¹⁹, 84H¹⁵, 28D¹⁶, 28C¹⁴, 28A⁵, 84A¹², 28C¹¹, 84B²³, 56A²³, 112L²³, 28A¹⁰, 28C²¹, 56B¹¹, 28J⁶, 84B⁷, 56A²¹, 84F¹⁷, 56A¹³, 28I¹¹, 28C¹², 84H¹⁶, 112B²³, 56K²¹, 28D¹⁷, 56F¹⁷</t>
        </is>
      </c>
    </row>
    <row r="392">
      <c r="A392">
        <f>HYPERLINK("https://mathstats.uncg.edu/sites/pauli/congruence/csg2.html#group28C2", "28C²")</f>
        <v/>
      </c>
      <c r="B392" t="n">
        <v>2</v>
      </c>
      <c r="C392" t="inlineStr"/>
      <c r="D392" t="inlineStr">
        <is>
          <t>42</t>
        </is>
      </c>
      <c r="E392" t="inlineStr">
        <is>
          <t>2</t>
        </is>
      </c>
      <c r="F392" t="inlineStr">
        <is>
          <t>21</t>
        </is>
      </c>
      <c r="G392" t="inlineStr">
        <is>
          <t>6</t>
        </is>
      </c>
      <c r="H392" t="inlineStr">
        <is>
          <t>0</t>
        </is>
      </c>
      <c r="I392" t="inlineStr">
        <is>
          <t>14¹, 28¹</t>
        </is>
      </c>
      <c r="J392" t="n">
        <v>2</v>
      </c>
      <c r="K392" t="inlineStr">
        <is>
          <t>2³, 6⁶</t>
        </is>
      </c>
      <c r="L392" t="inlineStr">
        <is>
          <t>4C⁰, 14B¹</t>
        </is>
      </c>
      <c r="M392" t="inlineStr">
        <is>
          <t>28C⁴, 56B⁴, 28B⁵, 28C⁵, 28D⁵, 56A⁵, 56B⁵, 56C⁵, 28C⁶, 28I⁶, 56A⁶, 84B⁶, 56A⁷, 28B⁹, 84C¹³, 140B¹⁶, 140D¹⁷</t>
        </is>
      </c>
      <c r="N392" t="inlineStr">
        <is>
          <t>2B⁰, 7A⁰, 14B¹, 1A⁰, 4C⁰</t>
        </is>
      </c>
      <c r="O392" t="inlineStr">
        <is>
          <t>224C²⁴, 336I²⁴, 56H²¹, 56A⁷, 28C⁴, 112D¹¹, 56J²³, 84F¹⁶, 168E¹⁶, 28B¹², 112V²⁴, 56G¹⁴, 224F²⁴, 56G²⁴, 56H¹², 140B¹⁶, 112W²⁴, 224A²³, 112Q²⁴, 140D¹⁷, 56H²⁴, 56G¹⁵, 56A¹⁸, 112R²⁴, 56E¹², 56D²², 56H¹⁵, 84A¹⁶, 112B⁸, 168E¹⁸, 56I²⁴, 56F¹⁵, 168F¹⁸, 112A¹¹, 28E²¹, 56J²¹, 56A¹², 56B¹⁰, 112A¹⁹, 84C¹⁴, 56J¹², 56D¹⁰, 84J¹⁶, 84B¹⁶, 112E²³, 112L²³, 28A¹⁰, 168A¹⁷, 28D¹¹, 112H²³, 112U²⁴, 28D⁵, 28C¹², 112M²³, 56D¹², 112B²⁴, 112F¹¹, 56K²¹, 56D¹³, 56B⁵, 112A²², 56G¹¹, 56D²⁴, 56I¹², 56F²³, 56J²⁴, 56G²², 28C⁵, 28J²¹, 56A¹⁰, 56A⁶, 56E¹¹, 56E¹³, 28D¹⁵, 112Z²⁴, 224A²¹, 28H¹⁵, 56B²⁴, 112G¹², 56F¹³, 112J²³, 28F¹⁵, 112C¹¹, 112A²⁴, 168B¹⁵, 56F²², 56F²⁴, 84H¹⁷, 28E¹⁵, 56A¹¹, 224E²⁴, 84E¹⁷, 112P²⁴, 112S²⁴, 168G¹⁶, 84I¹⁶, 112A²¹, 28C¹⁴, 224A¹⁹, 56A¹³, 112F¹², 112A¹⁰, 84N²², 56A⁵, 112H²⁴, 112X²⁴, 56D²³, 56C²¹, 28D¹², 28I⁶, 56B⁹, 112N²⁴, 56A¹⁹, 112D²³, 168F¹⁶, 56D¹¹, 28C²³, 112Y²⁴, 56E¹⁰, 252G²⁴, 28B⁹, 56G²¹, 112D²¹, 112T²⁴, 112I²³, 28D²¹, 28C¹⁶, 28C¹¹, 112C²¹, 56H²³, 112E¹¹, 56E²², 168D¹⁶, 28I²¹, 112B¹¹, 112I²⁴, 56C²⁴, 224D²⁴, 56K¹², 168C¹⁶, 84D¹⁴, 56C⁵, 84C¹³, 112B²¹, 112B¹⁴, 112K²³, 168A¹², 112A¹², 56B¹⁷, 28E¹³, 56G²³, 112M²⁴, 56C¹⁰, 56N²³, 56C¹³, 56F¹¹, 112C²³, 112N²³, 28C⁶, 84D¹⁷, 112K²⁴, 112A²³, 84B⁶, 112A¹⁴, 168A¹⁵, 56C¹¹, 56B¹³, 56C²², 112L²⁴, 112J²⁴, 56B¹², 168A²¹, 56C¹⁶, 56I²³, 28B⁵, 56A²⁴, 56A²³, 112O²⁴, 84I¹⁵, 112G²³, 56E¹⁵, 84C²⁰, 56M²³, 56D²¹, 112C¹⁴, 28D¹⁷, 56B⁴</t>
        </is>
      </c>
    </row>
    <row r="393">
      <c r="A393">
        <f>HYPERLINK("https://mathstats.uncg.edu/sites/pauli/congruence/csg2.html#group28D2", "28D²")</f>
        <v/>
      </c>
      <c r="B393" t="n">
        <v>2</v>
      </c>
      <c r="C393" t="inlineStr">
        <is>
          <t>Γ₀(28)</t>
        </is>
      </c>
      <c r="D393" t="inlineStr">
        <is>
          <t>48</t>
        </is>
      </c>
      <c r="E393" t="inlineStr">
        <is>
          <t>1</t>
        </is>
      </c>
      <c r="F393" t="inlineStr">
        <is>
          <t>24</t>
        </is>
      </c>
      <c r="G393" t="inlineStr">
        <is>
          <t>0</t>
        </is>
      </c>
      <c r="H393" t="inlineStr">
        <is>
          <t>0</t>
        </is>
      </c>
      <c r="I393" t="inlineStr">
        <is>
          <t>1², 4¹, 7², 28¹</t>
        </is>
      </c>
      <c r="J393" t="n">
        <v>6</v>
      </c>
      <c r="K393" t="inlineStr">
        <is>
          <t>1⁶, 6³</t>
        </is>
      </c>
      <c r="L393" t="inlineStr">
        <is>
          <t>4B⁰, 14C¹</t>
        </is>
      </c>
      <c r="M393" t="inlineStr">
        <is>
          <t>28E⁴, 28F⁴, 56C⁴, 28E⁵, 56D⁵, 56D⁶, 84B¹⁰, 84D¹⁰, 84I¹¹, 28A¹⁷, 196A¹⁷, 140A¹⁸, 140I¹⁹</t>
        </is>
      </c>
      <c r="N393" t="inlineStr">
        <is>
          <t>2B⁰, 4B⁰, 1A⁰, 7B⁰, 14C¹</t>
        </is>
      </c>
      <c r="O393" t="inlineStr">
        <is>
          <t>56M²¹, 56U²³, 56O¹³, 196A¹⁷, 112R²³, 84N²⁰, 28M²¹, 56Q¹¹, 84J²⁰, 56N²¹, 112C¹³, 112F²¹, 112Q²³, 168G²⁰, 28A¹⁷, 56P¹¹, 56N¹¹, 84D¹⁰, 56E¹⁶, 112J¹¹, 140A¹⁸, 28F¹¹, 112E²¹, 56O¹¹, 84K¹⁹, 168D²¹, 56C⁹, 168A²², 168F²⁰, 84L²³, 84I¹¹, 168B²¹, 56L²¹, 28E⁴, 168Q²³, 56C⁴, 28F⁹, 56G¹³, 28F¹³, 56V²³, 56Q²³, 56H¹³, 168C²¹, 112H¹¹, 112P²³, 56O²³, 56P²³, 168E²⁰, 56D⁵, 224C²³, 56M¹¹, 112G¹¹, 28E⁵, 56F¹⁰, 84B¹⁰, 112S²³, 112U²³, 56R¹¹, 140I¹⁹, 84Q²¹, 28F⁴, 112O²³, 84A²¹, 112D¹³, 56L¹¹, 56W²³, 84L²⁰, 168C²², 112T²³, 28E¹¹, 168R²³, 56D⁶, 84E²¹, 28D¹⁰, 224B²³, 84G²¹, 56R²³, 168E²², 84K²³, 112I¹¹</t>
        </is>
      </c>
    </row>
    <row r="394">
      <c r="A394">
        <f>HYPERLINK("https://mathstats.uncg.edu/sites/pauli/congruence/csg2.html#group28E2", "28E²")</f>
        <v/>
      </c>
      <c r="B394" t="n">
        <v>2</v>
      </c>
      <c r="C394" t="inlineStr"/>
      <c r="D394" t="inlineStr">
        <is>
          <t>56</t>
        </is>
      </c>
      <c r="E394" t="inlineStr">
        <is>
          <t>2</t>
        </is>
      </c>
      <c r="F394" t="inlineStr">
        <is>
          <t>28</t>
        </is>
      </c>
      <c r="G394" t="inlineStr">
        <is>
          <t>8</t>
        </is>
      </c>
      <c r="H394" t="inlineStr">
        <is>
          <t>2</t>
        </is>
      </c>
      <c r="I394" t="inlineStr">
        <is>
          <t>28²</t>
        </is>
      </c>
      <c r="J394" t="n">
        <v>2</v>
      </c>
      <c r="K394" t="inlineStr">
        <is>
          <t>4², 12⁴</t>
        </is>
      </c>
      <c r="L394" t="inlineStr">
        <is>
          <t>14A⁰, 28A¹</t>
        </is>
      </c>
      <c r="M394" t="inlineStr">
        <is>
          <t>56F⁶, 56G⁶, 28A⁷, 84H⁸, 28E⁹, 28A¹⁰, 28B¹⁰, 28H¹¹, 56M¹³, 84A¹⁷, 140B²⁰, 140H²³</t>
        </is>
      </c>
      <c r="N394" t="inlineStr">
        <is>
          <t>14A⁰, 28A¹, 1A⁰, 4A⁰, 7A⁰</t>
        </is>
      </c>
      <c r="O394" t="inlineStr">
        <is>
          <t>56M²⁴, 140H²³, 56J²⁴, 56M¹³, 84H⁸, 28C¹⁹, 56N²⁴, 168G²², 28C²³, 84A¹⁷, 56L²², 168H²², 56F⁶, 56L²⁴, 56J²¹, 28E⁹, 28B¹⁰, 56C²², 112F¹⁴, 168I²², 84D²³, 56K²², 28H¹¹, 56G⁶, 28D²³, 28A¹⁰, 56A¹⁵, 56K²⁴, 168J²², 28A⁷, 140B²⁰, 84L¹⁹, 112E¹⁴, 28A²³, 28K²¹</t>
        </is>
      </c>
    </row>
    <row r="395">
      <c r="A395">
        <f>HYPERLINK("https://mathstats.uncg.edu/sites/pauli/congruence/csg2.html#group28F2", "28F²")</f>
        <v/>
      </c>
      <c r="B395" t="n">
        <v>2</v>
      </c>
      <c r="C395" t="inlineStr"/>
      <c r="D395" t="inlineStr">
        <is>
          <t>96</t>
        </is>
      </c>
      <c r="E395" t="inlineStr">
        <is>
          <t>1</t>
        </is>
      </c>
      <c r="F395" t="inlineStr">
        <is>
          <t>16</t>
        </is>
      </c>
      <c r="G395" t="inlineStr">
        <is>
          <t>0</t>
        </is>
      </c>
      <c r="H395" t="inlineStr">
        <is>
          <t>12</t>
        </is>
      </c>
      <c r="I395" t="inlineStr">
        <is>
          <t>4³, 28³</t>
        </is>
      </c>
      <c r="J395" t="n">
        <v>6</v>
      </c>
      <c r="K395" t="inlineStr">
        <is>
          <t>1⁴, 6²</t>
        </is>
      </c>
      <c r="L395" t="inlineStr">
        <is>
          <t>14C⁰, 28A⁰</t>
        </is>
      </c>
      <c r="M395" t="inlineStr">
        <is>
          <t>28G¹⁶, 84K¹⁶, 28E¹⁷, 84D²², 84H²³</t>
        </is>
      </c>
      <c r="N395" t="inlineStr">
        <is>
          <t>2A⁰, 28A⁰, 14C⁰, 1A⁰, 7B⁰, 14B⁰</t>
        </is>
      </c>
      <c r="O395" t="inlineStr">
        <is>
          <t>28G¹⁶, 28E¹⁷, 84H²³, 84D²², 84K¹⁶</t>
        </is>
      </c>
    </row>
    <row r="396">
      <c r="A396">
        <f>HYPERLINK("https://mathstats.uncg.edu/sites/pauli/congruence/csg2.html#group29A2", "29A²")</f>
        <v/>
      </c>
      <c r="B396" t="n">
        <v>2</v>
      </c>
      <c r="C396" t="inlineStr">
        <is>
          <t>Γ₀(29)</t>
        </is>
      </c>
      <c r="D396" t="inlineStr">
        <is>
          <t>30</t>
        </is>
      </c>
      <c r="E396" t="inlineStr">
        <is>
          <t>1</t>
        </is>
      </c>
      <c r="F396" t="inlineStr">
        <is>
          <t>30</t>
        </is>
      </c>
      <c r="G396" t="inlineStr">
        <is>
          <t>2</t>
        </is>
      </c>
      <c r="H396" t="inlineStr">
        <is>
          <t>0</t>
        </is>
      </c>
      <c r="I396" t="inlineStr">
        <is>
          <t>1¹, 29¹</t>
        </is>
      </c>
      <c r="J396" t="n">
        <v>2</v>
      </c>
      <c r="K396" t="inlineStr">
        <is>
          <t>1², 28¹</t>
        </is>
      </c>
      <c r="L396" t="inlineStr">
        <is>
          <t>1A⁰</t>
        </is>
      </c>
      <c r="M396" t="inlineStr">
        <is>
          <t>29A⁴, 58A⁴, 58A⁵, 58A⁶, 87A⁶, 29A⁸, 87A⁹, 116A⁹, 145A¹², 145A¹³, 203A¹⁶, 203A¹⁹, 145A²³</t>
        </is>
      </c>
      <c r="N396" t="inlineStr">
        <is>
          <t>1A⁰</t>
        </is>
      </c>
      <c r="O396" t="inlineStr">
        <is>
          <t>87A¹⁴, 261A²⁰, 87A⁶, 145A²³, 58B¹², 58A⁵, 203A¹⁶, 116A¹³, 145A¹³, 174A¹², 174A¹⁴, 87A⁹, 174A¹⁵, 145A¹², 174A¹³, 116A⁹, 87A¹³, 116C¹⁹, 174A²⁰, 116B⁹, 203A¹⁹, 145A²⁴, 58A⁴, 58A²², 232B¹⁹, 29A⁸, 58A⁹, 58A¹³, 29A²², 87A¹⁷, 174B¹⁹, 174B¹⁵, 58A¹², 116B¹⁹, 116A¹², 87A¹², 29A⁴, 232A¹⁹, 58A⁶, 116A¹⁹, 174A¹⁹, 116A¹⁴, 290A²⁴, 116A¹⁷, 116B¹³</t>
        </is>
      </c>
    </row>
    <row r="397">
      <c r="A397">
        <f>HYPERLINK("https://mathstats.uncg.edu/sites/pauli/congruence/csg2.html#group30A2", "30A²")</f>
        <v/>
      </c>
      <c r="B397" t="n">
        <v>2</v>
      </c>
      <c r="C397" t="inlineStr"/>
      <c r="D397" t="inlineStr">
        <is>
          <t>30</t>
        </is>
      </c>
      <c r="E397" t="inlineStr">
        <is>
          <t>1</t>
        </is>
      </c>
      <c r="F397" t="inlineStr">
        <is>
          <t>15</t>
        </is>
      </c>
      <c r="G397" t="inlineStr">
        <is>
          <t>4</t>
        </is>
      </c>
      <c r="H397" t="inlineStr">
        <is>
          <t>0</t>
        </is>
      </c>
      <c r="I397" t="inlineStr">
        <is>
          <t>30¹</t>
        </is>
      </c>
      <c r="J397" t="n">
        <v>1</v>
      </c>
      <c r="K397" t="inlineStr">
        <is>
          <t>1¹, 2¹, 4¹, 8¹</t>
        </is>
      </c>
      <c r="L397" t="inlineStr">
        <is>
          <t>6B⁰, 15A¹</t>
        </is>
      </c>
      <c r="M397" t="inlineStr">
        <is>
          <t>30A⁴, 30E⁴, 30B⁵, 30B⁶, 90A⁶, 90A⁷, 90B⁷, 60D⁸, 30F⁹, 210B¹⁵, 210B²⁰</t>
        </is>
      </c>
      <c r="N397" t="inlineStr">
        <is>
          <t>5A⁰, 6B⁰, 3A⁰, 1A⁰, 15A¹</t>
        </is>
      </c>
      <c r="O397" t="inlineStr">
        <is>
          <t>60H¹³, 30I¹⁰, 210B¹⁵, 90D²⁰, 30E¹², 60B²², 90B¹⁵, 30F¹³, 90A¹², 30A⁴, 30B⁶, 120C¹⁸, 30O⁹, 30B⁵, 90C²⁰, 90E²⁰, 30C¹³, 30E¹⁷, 90D¹⁵, 30E⁴, 90H¹⁴, 90F¹⁹, 30B²³, 30A²¹, 30A⁹, 30B¹¹, 60G¹⁹, 90A¹³, 60D¹⁴, 30B¹³, 30D¹⁶, 90B¹², 90A⁶, 30A¹⁰, 90A²¹, 60D⁸, 60E¹⁷, 90C¹⁴, 90B⁷, 90B¹⁶, 30B²¹, 90C¹³, 60A⁹, 90A¹⁵, 210B²⁰, 30F²¹, 90D¹⁹, 90A⁷, 90F¹⁵, 90C¹⁵, 30D¹⁷, 60A¹⁹, 120F¹⁸, 30J²³, 120B¹⁸, 60C¹², 30F⁹, 90E¹⁹, 90D¹⁴</t>
        </is>
      </c>
    </row>
    <row r="398">
      <c r="A398">
        <f>HYPERLINK("https://mathstats.uncg.edu/sites/pauli/congruence/csg2.html#group30B2", "30B²")</f>
        <v/>
      </c>
      <c r="B398" t="n">
        <v>2</v>
      </c>
      <c r="C398" t="inlineStr"/>
      <c r="D398" t="inlineStr">
        <is>
          <t>30</t>
        </is>
      </c>
      <c r="E398" t="inlineStr">
        <is>
          <t>2</t>
        </is>
      </c>
      <c r="F398" t="inlineStr">
        <is>
          <t>10</t>
        </is>
      </c>
      <c r="G398" t="inlineStr">
        <is>
          <t>0</t>
        </is>
      </c>
      <c r="H398" t="inlineStr">
        <is>
          <t>3</t>
        </is>
      </c>
      <c r="I398" t="inlineStr">
        <is>
          <t>30¹</t>
        </is>
      </c>
      <c r="J398" t="n">
        <v>1</v>
      </c>
      <c r="K398" t="inlineStr">
        <is>
          <t>4¹, 8²</t>
        </is>
      </c>
      <c r="L398" t="inlineStr">
        <is>
          <t>10A⁰</t>
        </is>
      </c>
      <c r="M398" t="inlineStr">
        <is>
          <t>30G⁴, 30C⁷, 30D⁷, 30E⁷, 30C⁸, 30E⁸, 60D⁹, 210A¹⁷, 210B¹⁷, 210D¹⁸</t>
        </is>
      </c>
      <c r="N398" t="inlineStr">
        <is>
          <t>2A⁰, 1A⁰, 5A⁰, 10A⁰</t>
        </is>
      </c>
      <c r="O398" t="inlineStr">
        <is>
          <t>30E⁸, 60A¹⁷, 30D²², 60L¹⁷, 30A¹⁹, 30F²², 210A¹⁷, 30F¹³, 120E¹⁸, 210D¹⁸, 30C⁷, 210B¹⁷, 30C⁸, 30B²², 30E⁷, 30E¹³, 30D⁷, 90C²², 60F¹⁴, 30G⁴, 60D⁹</t>
        </is>
      </c>
    </row>
    <row r="399">
      <c r="A399">
        <f>HYPERLINK("https://mathstats.uncg.edu/sites/pauli/congruence/csg2.html#group30C2", "30C²")</f>
        <v/>
      </c>
      <c r="B399" t="n">
        <v>2</v>
      </c>
      <c r="C399" t="inlineStr"/>
      <c r="D399" t="inlineStr">
        <is>
          <t>36</t>
        </is>
      </c>
      <c r="E399" t="inlineStr">
        <is>
          <t>1</t>
        </is>
      </c>
      <c r="F399" t="inlineStr">
        <is>
          <t>18</t>
        </is>
      </c>
      <c r="G399" t="inlineStr">
        <is>
          <t>4</t>
        </is>
      </c>
      <c r="H399" t="inlineStr">
        <is>
          <t>0</t>
        </is>
      </c>
      <c r="I399" t="inlineStr">
        <is>
          <t>6¹, 30¹</t>
        </is>
      </c>
      <c r="J399" t="n">
        <v>2</v>
      </c>
      <c r="K399" t="inlineStr">
        <is>
          <t>1², 2², 4¹, 8¹</t>
        </is>
      </c>
      <c r="L399" t="inlineStr">
        <is>
          <t>15B⁰</t>
        </is>
      </c>
      <c r="M399" t="inlineStr">
        <is>
          <t>30J³, 30L³, 30E⁵, 30F⁵, 30G⁵, 30D⁶, 90B⁶, 90B⁸, 60I⁹, 30D¹², 150E¹², 150C¹⁴, 150B¹⁴, 150D¹⁴, 150A¹⁴, 210G¹⁸, 210D²³</t>
        </is>
      </c>
      <c r="N399" t="inlineStr">
        <is>
          <t>3A⁰, 5B⁰, 1A⁰, 15B⁰</t>
        </is>
      </c>
      <c r="O399" t="inlineStr">
        <is>
          <t>30J³, 60N²¹, 90L¹⁵, 30G⁵, 60Y¹⁷, 60C²¹, 150E¹², 60I⁹, 60W¹³, 30D⁶, 30D¹², 90N²¹, 60K⁹, 30J⁹, 90F¹⁷, 60I¹⁵, 30I⁹, 30K¹¹, 60K¹⁵, 60Q²¹, 60M²¹, 30I¹⁷, 60AE¹³, 120I²¹, 30L³, 90O¹⁵, 150A¹⁴, 60K²¹, 90C²⁴, 210D²³, 90E¹⁷, 90H²², 30R⁵, 30E⁵, 150B¹⁴, 90I¹¹, 150D²³, 30J²³, 120J²¹, 30J¹¹, 90B⁶, 90G¹⁷, 90M¹⁵, 60L⁹, 90K¹⁵, 90F¹³, 90B²⁴, 90A¹⁷, 30K¹³, 30L¹³, 30F⁵, 90I¹⁵, 90B⁸, 60W¹⁷, 60N¹⁷, 30K⁹, 120N²¹, 90G²², 30H²¹, 60X¹³, 150D¹⁴, 150C¹⁴, 30Q¹³, 90K¹¹, 30G⁹, 60D²¹, 30I¹³, 60G²¹, 90I¹⁷, 120M²¹, 30H¹⁷, 210G¹⁸, 150C²³, 30C²³, 90J¹⁷, 60X¹⁷, 60O¹⁵, 90H¹⁷</t>
        </is>
      </c>
    </row>
    <row r="400">
      <c r="A400">
        <f>HYPERLINK("https://mathstats.uncg.edu/sites/pauli/congruence/csg2.html#group30D2", "30D²")</f>
        <v/>
      </c>
      <c r="B400" t="n">
        <v>2</v>
      </c>
      <c r="C400" t="inlineStr"/>
      <c r="D400" t="inlineStr">
        <is>
          <t>40</t>
        </is>
      </c>
      <c r="E400" t="inlineStr">
        <is>
          <t>1</t>
        </is>
      </c>
      <c r="F400" t="inlineStr">
        <is>
          <t>20</t>
        </is>
      </c>
      <c r="G400" t="inlineStr">
        <is>
          <t>0</t>
        </is>
      </c>
      <c r="H400" t="inlineStr">
        <is>
          <t>4</t>
        </is>
      </c>
      <c r="I400" t="inlineStr">
        <is>
          <t>10¹, 30¹</t>
        </is>
      </c>
      <c r="J400" t="n">
        <v>2</v>
      </c>
      <c r="K400" t="inlineStr">
        <is>
          <t>1², 2¹, 4², 8¹</t>
        </is>
      </c>
      <c r="L400" t="inlineStr">
        <is>
          <t>6C⁰, 10A⁰, 15B¹</t>
        </is>
      </c>
      <c r="M400" t="inlineStr">
        <is>
          <t>60B⁴, 30E⁶, 90C⁶, 30K⁷, 30M⁷, 90E⁷, 90F⁷, 30A⁸, 30B⁸, 30E⁸, 90C⁸, 90D⁸, 90E⁸, 90F⁸, 30A⁹, 30N⁹, 90B⁹, 90C⁹, 90A¹⁰, 90B¹⁰, 90C¹⁰, 60J¹¹, 210B²², 210J²³</t>
        </is>
      </c>
      <c r="N400" t="inlineStr">
        <is>
          <t>3B⁰, 2A⁰, 5A⁰, 10A⁰, 6C⁰, 15B¹, 1A⁰</t>
        </is>
      </c>
      <c r="O400" t="inlineStr">
        <is>
          <t>90F⁸, 30A²², 90K²², 30D²², 30E⁶, 30K¹⁷, 90H²⁴, 60L¹⁷, 90E⁸, 180B¹⁶, 30K⁷, 60B⁴, 60R²¹, 90D⁸, 60A¹⁶, 180A¹⁹, 270A²², 270A²⁴, 90F⁷, 90I²⁴, 210J²³, 30A⁸, 60T¹⁵, 60T²¹, 90I²², 90L²², 60A¹⁸, 60B¹⁷, 60C¹⁸, 90B¹⁰, 120K²³, 180A¹⁷, 30A⁹, 90C⁸, 90J²², 30N⁹, 90B⁹, 30E⁸, 180B²⁰, 60B¹⁸, 210B²², 120L²³, 180A²⁰, 180D²⁰, 90F²⁴, 270B²⁴, 90D²⁴, 180B¹⁸, 30C¹⁵, 180A¹⁵, 60S²¹, 90C¹⁰, 90E⁷, 180C¹⁶, 30B⁸, 90C⁹, 90A¹⁰, 180B¹⁵, 90G²⁴, 90C⁶, 60Y¹⁵, 60A¹⁹, 90E²⁴, 180A¹⁶, 30M⁷, 60G¹⁴, 180A¹², 60J¹¹</t>
        </is>
      </c>
    </row>
    <row r="401">
      <c r="A401">
        <f>HYPERLINK("https://mathstats.uncg.edu/sites/pauli/congruence/csg2.html#group30E2", "30E²")</f>
        <v/>
      </c>
      <c r="B401" t="n">
        <v>2</v>
      </c>
      <c r="C401" t="inlineStr"/>
      <c r="D401" t="inlineStr">
        <is>
          <t>54</t>
        </is>
      </c>
      <c r="E401" t="inlineStr">
        <is>
          <t>1</t>
        </is>
      </c>
      <c r="F401" t="inlineStr">
        <is>
          <t>18</t>
        </is>
      </c>
      <c r="G401" t="inlineStr">
        <is>
          <t>6</t>
        </is>
      </c>
      <c r="H401" t="inlineStr">
        <is>
          <t>0</t>
        </is>
      </c>
      <c r="I401" t="inlineStr">
        <is>
          <t>3¹, 6¹, 15¹, 30¹</t>
        </is>
      </c>
      <c r="J401" t="n">
        <v>4</v>
      </c>
      <c r="K401" t="inlineStr">
        <is>
          <t>1⁶, 4³</t>
        </is>
      </c>
      <c r="L401" t="inlineStr">
        <is>
          <t>6D⁰, 10C⁰, 15B⁰</t>
        </is>
      </c>
      <c r="M401" t="inlineStr">
        <is>
          <t>30H⁴, 30I⁴, 60C⁴, 30O⁵, 30P⁵, 60A⁵, 60B⁵, 30C⁶, 30D⁶, 60E⁶, 60F⁶, 30F⁷, 60H⁷, 60I⁷, 60A⁸, 90E¹⁰, 30C¹⁶, 150A¹⁶, 150A²⁰, 150D²⁰, 150B²⁰, 150C²⁰</t>
        </is>
      </c>
      <c r="N401" t="inlineStr">
        <is>
          <t>15B⁰, 5B⁰, 10C⁰, 2B⁰, 3A⁰, 1A⁰, 6D⁰</t>
        </is>
      </c>
      <c r="O401" t="inlineStr">
        <is>
          <t>120I¹⁵, 30C¹⁶, 30L²³, 180B²⁴, 60H⁷, 120S²³, 90K²¹, 60W²¹, 30C⁶, 90E¹⁰, 60O¹¹, 150C²⁰, 60C¹⁵, 60Q²³, 30O⁵, 30H¹¹, 120D¹¹, 120B¹¹, 120H¹⁵, 30P⁵, 120O²¹, 180H²⁰, 60W¹³, 120B¹⁷, 60T¹¹, 60G¹⁵, 60A¹⁵, 120K¹³, 30D⁶, 120G¹⁵, 60A⁵, 60I¹⁵, 60M⁹, 60K¹⁵, 60Q¹¹, 60Q¹³, 30K¹¹, 60S²³, 120F¹³, 120A¹⁷, 120H¹³, 30J¹³, 60AG¹³, 60AE¹³, 60X²¹, 60U¹¹, 90F²⁰, 30C¹⁹, 120L¹³, 180D²², 90C²⁴, 60N¹³, 60AB¹³, 90A²³, 60H¹⁵, 240A²³, 60L¹⁵, 150A²⁰, 120F¹⁵, 120E¹³, 120I¹³, 30F⁷, 120Q²³, 60AA¹³, 60M¹⁵, 90K¹⁹, 60E¹⁵, 30H⁴, 180I²¹, 90B²³, 60U¹³, 60AF¹³, 150B²⁰, 30J¹¹, 60F⁶, 120C¹¹, 60N¹¹, 60O¹⁵, 30R⁹, 90I²¹, 60C⁴, 120J¹⁵, 120R²³, 180A²⁴, 60N⁹, 30K¹³, 30L¹³, 60N¹⁵, 60N²³, 60R¹³, 60O²³, 60J¹⁵, 60B¹⁵, 90E²², 60S¹³, 60I⁷, 60S¹¹, 60P¹¹, 60O¹³, 30G²¹, 60T¹³, 30I¹¹, 30H¹³, 90G²², 240B²³, 150D²⁰, 30G¹¹, 120A¹¹, 120E¹⁵, 60E⁶, 60R²³, 30H²¹, 90G²⁰, 60X¹³, 60R¹¹, 60AD¹³, 60F¹⁵, 180J²¹, 120J¹³, 60Z¹³, 60P¹³, 30I¹³, 180N²³, 150A¹⁶, 60AC¹³, 60Y¹³, 60P²³, 30Q⁹, 60D¹⁵, 60V¹¹, 30I⁴, 120G¹³, 90A²⁴, 180M²³, 60V¹³, 60A⁸, 60B⁵, 180C²²</t>
        </is>
      </c>
    </row>
    <row r="402">
      <c r="A402">
        <f>HYPERLINK("https://mathstats.uncg.edu/sites/pauli/congruence/csg2.html#group30F2", "30F²")</f>
        <v/>
      </c>
      <c r="B402" t="n">
        <v>2</v>
      </c>
      <c r="C402" t="inlineStr"/>
      <c r="D402" t="inlineStr">
        <is>
          <t>60</t>
        </is>
      </c>
      <c r="E402" t="inlineStr">
        <is>
          <t>1</t>
        </is>
      </c>
      <c r="F402" t="inlineStr">
        <is>
          <t>10</t>
        </is>
      </c>
      <c r="G402" t="inlineStr">
        <is>
          <t>12</t>
        </is>
      </c>
      <c r="H402" t="inlineStr">
        <is>
          <t>0</t>
        </is>
      </c>
      <c r="I402" t="inlineStr">
        <is>
          <t>30²</t>
        </is>
      </c>
      <c r="J402" t="n">
        <v>2</v>
      </c>
      <c r="K402" t="inlineStr">
        <is>
          <t>2¹, 4²</t>
        </is>
      </c>
      <c r="L402" t="inlineStr">
        <is>
          <t>10D⁰, 15D¹</t>
        </is>
      </c>
      <c r="M402" t="inlineStr">
        <is>
          <t>30Q⁵, 30J⁷, 60K⁷, 60L⁷, 30B⁹, 30B¹⁰, 30C¹⁰, 30G¹⁰, 90F¹⁰, 60AH¹³, 150A²²</t>
        </is>
      </c>
      <c r="N402" t="inlineStr">
        <is>
          <t>15D¹, 1A⁰, 3A⁰, 5C⁰, 10D⁰</t>
        </is>
      </c>
      <c r="O402" t="inlineStr">
        <is>
          <t>150A²², 30B¹⁰, 60S¹⁵, 60K¹⁷, 30C¹⁰, 30J⁷, 90D²³, 30E¹⁷, 60D¹⁹, 30E²¹, 60J¹⁷, 60K⁷, 90F¹⁰, 30G¹⁰, 60M²³, 60K²³, 60AH¹³, 60R¹⁵, 30B⁹, 30B²¹, 30I²³, 60B¹⁹, 30D²¹, 60Z¹⁵, 60L⁷, 90M²¹, 30H²³, 30Q⁵, 30M¹³, 30C²³, 60F²³, 30A¹⁷, 60U²¹</t>
        </is>
      </c>
    </row>
    <row r="403">
      <c r="A403">
        <f>HYPERLINK("https://mathstats.uncg.edu/sites/pauli/congruence/csg2.html#group31A2", "31A²")</f>
        <v/>
      </c>
      <c r="B403" t="n">
        <v>2</v>
      </c>
      <c r="C403" t="inlineStr">
        <is>
          <t>Γ₀(31)</t>
        </is>
      </c>
      <c r="D403" t="inlineStr">
        <is>
          <t>32</t>
        </is>
      </c>
      <c r="E403" t="inlineStr">
        <is>
          <t>1</t>
        </is>
      </c>
      <c r="F403" t="inlineStr">
        <is>
          <t>32</t>
        </is>
      </c>
      <c r="G403" t="inlineStr">
        <is>
          <t>0</t>
        </is>
      </c>
      <c r="H403" t="inlineStr">
        <is>
          <t>2</t>
        </is>
      </c>
      <c r="I403" t="inlineStr">
        <is>
          <t>1¹, 31¹</t>
        </is>
      </c>
      <c r="J403" t="n">
        <v>2</v>
      </c>
      <c r="K403" t="inlineStr">
        <is>
          <t>1², 30¹</t>
        </is>
      </c>
      <c r="L403" t="inlineStr">
        <is>
          <t>1A⁰</t>
        </is>
      </c>
      <c r="M403" t="inlineStr">
        <is>
          <t>62A⁴, 31A⁶, 31B⁶, 62A⁷, 93A⁷, 93A⁸, 93A⁹, 124A¹⁰, 155A¹², 155A¹⁵, 217A¹⁸, 217A¹⁹</t>
        </is>
      </c>
      <c r="N403" t="inlineStr">
        <is>
          <t>1A⁰</t>
        </is>
      </c>
      <c r="O403" t="inlineStr">
        <is>
          <t>186A¹⁶, 124A¹⁹, 93A⁹, 31B⁶, 62A⁷, 93A²², 217A¹⁹, 124A¹⁴, 124A¹⁰, 124A⁸, 279A²⁴, 186B¹⁴, 124A¹⁵, 62A¹⁴, 248A²⁰, 186A¹⁴, 186B²³, 31A⁶, 310A²⁴, 186A²³, 62A¹², 217A¹⁸, 186B¹⁹, 62B¹⁴, 62A⁴, 93A⁷, 155A¹², 186A¹⁵, 62A¹⁹, 155A¹⁵, 62A¹⁶, 93A¹⁵, 186A¹⁹, 93A⁸, 186B¹⁶, 93A¹⁷</t>
        </is>
      </c>
    </row>
    <row r="404">
      <c r="A404">
        <f>HYPERLINK("https://mathstats.uncg.edu/sites/pauli/congruence/csg2.html#group32A2", "32A²")</f>
        <v/>
      </c>
      <c r="B404" t="n">
        <v>2</v>
      </c>
      <c r="C404" t="inlineStr"/>
      <c r="D404" t="inlineStr">
        <is>
          <t>48</t>
        </is>
      </c>
      <c r="E404" t="inlineStr">
        <is>
          <t>1</t>
        </is>
      </c>
      <c r="F404" t="inlineStr">
        <is>
          <t>6</t>
        </is>
      </c>
      <c r="G404" t="inlineStr">
        <is>
          <t>0</t>
        </is>
      </c>
      <c r="H404" t="inlineStr">
        <is>
          <t>0</t>
        </is>
      </c>
      <c r="I404" t="inlineStr">
        <is>
          <t>2⁴, 8¹, 32¹</t>
        </is>
      </c>
      <c r="J404" t="n">
        <v>6</v>
      </c>
      <c r="K404" t="inlineStr">
        <is>
          <t>1⁴, 2¹</t>
        </is>
      </c>
      <c r="L404" t="inlineStr">
        <is>
          <t>16C⁰</t>
        </is>
      </c>
      <c r="M404" t="inlineStr">
        <is>
          <t>32K³, 32M³, 64A⁶, 96A¹⁰, 96H¹¹, 160A¹⁸, 160K¹⁹</t>
        </is>
      </c>
      <c r="N404" t="inlineStr">
        <is>
          <t>8C⁰, 2B⁰, 4B⁰, 1A⁰, 16C⁰</t>
        </is>
      </c>
      <c r="O404" t="inlineStr">
        <is>
          <t>64D⁹, 192A²², 32M³, 64C²¹, 32D⁹, 96A¹⁰, 32M⁷, 64B¹⁹, 160K¹⁹, 32A¹⁷, 96I¹⁹, 32B²¹, 96H¹¹, 32M⁵, 160A¹⁸, 128C²¹, 64D²¹, 64K²¹, 96BG²¹, 96F¹⁹, 32U¹³, 128B²¹, 96C¹⁹, 64V¹³, 96BK²¹, 96BC²¹, 96BF²¹, 64B¹¹, 64E²¹, 64J²¹, 32H²¹, 32K³, 128A¹⁹, 64A⁶, 128E²¹, 96R¹⁹, 32F²¹, 64E⁹, 64A¹⁷, 192B²², 64K⁷, 32B⁹, 96BB²¹, 32B¹⁹, 96B¹⁹, 64A¹¹</t>
        </is>
      </c>
    </row>
    <row r="405">
      <c r="A405">
        <f>HYPERLINK("https://mathstats.uncg.edu/sites/pauli/congruence/csg2.html#group32B2", "32B²")</f>
        <v/>
      </c>
      <c r="B405" t="n">
        <v>2</v>
      </c>
      <c r="C405" t="inlineStr"/>
      <c r="D405" t="inlineStr">
        <is>
          <t>96</t>
        </is>
      </c>
      <c r="E405" t="inlineStr">
        <is>
          <t>1</t>
        </is>
      </c>
      <c r="F405" t="inlineStr">
        <is>
          <t>12</t>
        </is>
      </c>
      <c r="G405" t="inlineStr">
        <is>
          <t>0</t>
        </is>
      </c>
      <c r="H405" t="inlineStr">
        <is>
          <t>0</t>
        </is>
      </c>
      <c r="I405" t="inlineStr">
        <is>
          <t>2⁸, 4⁴, 32²</t>
        </is>
      </c>
      <c r="J405" t="n">
        <v>14</v>
      </c>
      <c r="K405" t="inlineStr">
        <is>
          <t>2⁶</t>
        </is>
      </c>
      <c r="L405" t="inlineStr">
        <is>
          <t>16G⁰, 32C¹, 32D¹</t>
        </is>
      </c>
      <c r="M405" t="inlineStr">
        <is>
          <t>32N⁵, 32L⁷, 96A¹⁸, 96BD¹⁹</t>
        </is>
      </c>
      <c r="N405" t="inlineStr">
        <is>
          <t>16G⁰, 2A⁰, 16E⁰, 32C¹, 8G⁰, 8D⁰, 16D⁰, 4C⁰, 32D¹, 8C⁰, 4E⁰, 2B⁰, 4B⁰, 1A⁰, 2C⁰</t>
        </is>
      </c>
      <c r="O405" t="inlineStr">
        <is>
          <t>32B¹⁷, 32T¹³, 32N⁵, 32E²¹, 96A¹⁸, 96BD¹⁹, 64D¹⁷, 32D²¹, 32L⁷, 64A¹⁹, 32U¹³</t>
        </is>
      </c>
    </row>
    <row r="406">
      <c r="A406">
        <f>HYPERLINK("https://mathstats.uncg.edu/sites/pauli/congruence/csg2.html#group32C2", "32C²")</f>
        <v/>
      </c>
      <c r="B406" t="n">
        <v>2</v>
      </c>
      <c r="C406" t="inlineStr"/>
      <c r="D406" t="inlineStr">
        <is>
          <t>96</t>
        </is>
      </c>
      <c r="E406" t="inlineStr">
        <is>
          <t>1</t>
        </is>
      </c>
      <c r="F406" t="inlineStr">
        <is>
          <t>24</t>
        </is>
      </c>
      <c r="G406" t="inlineStr">
        <is>
          <t>0</t>
        </is>
      </c>
      <c r="H406" t="inlineStr">
        <is>
          <t>0</t>
        </is>
      </c>
      <c r="I406" t="inlineStr">
        <is>
          <t>1⁴, 2², 4⁶, 32²</t>
        </is>
      </c>
      <c r="J406" t="n">
        <v>14</v>
      </c>
      <c r="K406" t="inlineStr">
        <is>
          <t>1⁴, 2², 4², 8¹</t>
        </is>
      </c>
      <c r="L406" t="inlineStr">
        <is>
          <t>16H⁰</t>
        </is>
      </c>
      <c r="M406" t="inlineStr">
        <is>
          <t>32N⁵, 32O⁵, 32M⁷, 96B¹⁸, 96BF¹⁹</t>
        </is>
      </c>
      <c r="N406" t="inlineStr">
        <is>
          <t>16C⁰, 16D⁰, 8C⁰, 2B⁰, 8I⁰, 4B⁰, 1A⁰, 16H⁰</t>
        </is>
      </c>
      <c r="O406" t="inlineStr">
        <is>
          <t>32B¹⁹, 64C¹⁷, 32B¹⁷, 32T¹³, 96B¹⁸, 64W¹³, 32N⁵, 64K²¹, 32O⁵, 96BF¹⁹, 32M⁷, 64B¹⁷, 64J²¹, 64B¹⁹, 32C¹⁷, 64D¹⁷, 32U¹³</t>
        </is>
      </c>
    </row>
    <row r="407">
      <c r="A407">
        <f>HYPERLINK("https://mathstats.uncg.edu/sites/pauli/congruence/csg2.html#group35A2", "35A²")</f>
        <v/>
      </c>
      <c r="B407" t="n">
        <v>2</v>
      </c>
      <c r="C407" t="inlineStr"/>
      <c r="D407" t="inlineStr">
        <is>
          <t>35</t>
        </is>
      </c>
      <c r="E407" t="inlineStr">
        <is>
          <t>2</t>
        </is>
      </c>
      <c r="F407" t="inlineStr">
        <is>
          <t>35</t>
        </is>
      </c>
      <c r="G407" t="inlineStr">
        <is>
          <t>3</t>
        </is>
      </c>
      <c r="H407" t="inlineStr">
        <is>
          <t>2</t>
        </is>
      </c>
      <c r="I407" t="inlineStr">
        <is>
          <t>35¹</t>
        </is>
      </c>
      <c r="J407" t="n">
        <v>1</v>
      </c>
      <c r="K407" t="inlineStr">
        <is>
          <t>2¹, 6², 8¹, 24²</t>
        </is>
      </c>
      <c r="L407" t="inlineStr">
        <is>
          <t>5A⁰, 7A⁰</t>
        </is>
      </c>
      <c r="M407" t="inlineStr">
        <is>
          <t>35A⁴, 70A⁴, 70A⁵, 35B⁶, 105A⁶, 105B⁶, 35A⁷, 105A⁷, 70A⁸, 35A⁹, 35A¹⁰, 140A¹⁰, 105A¹¹</t>
        </is>
      </c>
      <c r="N407" t="inlineStr">
        <is>
          <t>1A⁰, 5A⁰, 7A⁰</t>
        </is>
      </c>
      <c r="O407" t="inlineStr">
        <is>
          <t>140A¹⁷, 105A⁶, 70A⁴, 105A¹⁶, 140A¹⁶, 105B¹⁶, 35A¹⁹, 70C¹⁹, 140B¹⁶, 70C¹⁴, 210A²², 70A¹⁴, 70A¹⁷, 70A¹⁵, 280D²¹, 105C²², 210C²⁴, 105A²¹, 35A¹⁰, 35A¹⁴, 210B²², 105B²², 210A¹⁷, 70A²³, 70B¹⁶, 35A¹², 105A⁷, 140A²¹, 210B¹³, 105B¹⁴, 210B¹⁷, 105C¹⁴, 70A²², 105C¹⁹, 210C¹⁶, 70A⁸, 70C¹⁶, 140B²⁰, 35C¹⁹, 70B¹⁷, 35B¹⁹, 105A¹⁴, 280A²¹, 210A¹⁶, 210A¹⁵, 210B¹⁵, 35B¹³, 210D¹⁶, 70A¹⁶, 280C²¹, 210A²⁴, 210A¹⁸, 105A¹¹, 70A⁵, 35A⁷, 70B¹⁴, 140B¹⁷, 315A²³, 105C¹⁵, 140A¹⁰, 210A¹³, 35A⁹, 105B⁶, 70B¹⁵, 105B¹⁵, 35A¹⁵, 35C¹⁴, 140A²², 70C¹⁷, 210B²⁴, 105A¹⁵, 70B⁹, 35B¹⁴, 210B¹⁶, 70C¹⁵, 70A²¹, 280B²¹, 35A⁴, 70D²¹, 35B⁶, 70E²¹</t>
        </is>
      </c>
    </row>
    <row r="408">
      <c r="A408">
        <f>HYPERLINK("https://mathstats.uncg.edu/sites/pauli/congruence/csg2.html#group35B2", "35B²")</f>
        <v/>
      </c>
      <c r="B408" t="n">
        <v>2</v>
      </c>
      <c r="C408" t="inlineStr"/>
      <c r="D408" t="inlineStr">
        <is>
          <t>40</t>
        </is>
      </c>
      <c r="E408" t="inlineStr">
        <is>
          <t>1</t>
        </is>
      </c>
      <c r="F408" t="inlineStr">
        <is>
          <t>40</t>
        </is>
      </c>
      <c r="G408" t="inlineStr">
        <is>
          <t>0</t>
        </is>
      </c>
      <c r="H408" t="inlineStr">
        <is>
          <t>4</t>
        </is>
      </c>
      <c r="I408" t="inlineStr">
        <is>
          <t>5¹, 35¹</t>
        </is>
      </c>
      <c r="J408" t="n">
        <v>2</v>
      </c>
      <c r="K408" t="inlineStr">
        <is>
          <t>1², 4², 6¹, 24¹</t>
        </is>
      </c>
      <c r="L408" t="inlineStr">
        <is>
          <t>5A⁰, 7B⁰</t>
        </is>
      </c>
      <c r="M408" t="inlineStr">
        <is>
          <t>70B⁴, 35C⁶, 35D⁶, 35A⁸, 35B⁸, 105A⁸, 105B⁸, 35C⁹, 70A⁹, 105A⁹, 105B⁹, 105A¹⁰, 105D¹¹, 140A¹², 35A¹⁹, 245A¹⁹</t>
        </is>
      </c>
      <c r="N408" t="inlineStr">
        <is>
          <t>7B⁰, 1A⁰, 5A⁰</t>
        </is>
      </c>
      <c r="O408" t="inlineStr">
        <is>
          <t>140A¹⁹, 35D⁶, 140C²³, 210D¹⁷, 70F²¹, 105B⁸, 105A¹⁰, 140A¹², 35A¹⁹, 245A¹⁹, 140A⁸, 210D¹⁸, 210J²³, 70E¹⁶, 105F²¹, 210I²³, 70B⁴, 210F¹⁶, 70C¹⁸, 105A⁹, 35C⁶, 70G¹⁴, 35C¹⁵, 105D¹¹, 70D¹⁴, 210E¹⁶, 140A¹⁸, 70A⁹, 210B¹⁸, 35A²², 105A⁸, 210C¹⁸, 210A²⁰, 70G²¹, 70B¹⁸, 70A¹⁸, 35A⁸, 70D¹⁶, 70D¹⁸, 210B²⁰, 70F¹⁴, 210C¹⁷, 105B⁹, 35C⁹, 35B⁸, 210G¹⁶, 105B¹⁹, 35A¹⁷, 70E¹⁴, 280A²⁴, 210E¹⁸</t>
        </is>
      </c>
    </row>
    <row r="409">
      <c r="A409">
        <f>HYPERLINK("https://mathstats.uncg.edu/sites/pauli/congruence/csg2.html#group35C2", "35C²")</f>
        <v/>
      </c>
      <c r="B409" t="n">
        <v>2</v>
      </c>
      <c r="C409" t="inlineStr"/>
      <c r="D409" t="inlineStr">
        <is>
          <t>42</t>
        </is>
      </c>
      <c r="E409" t="inlineStr">
        <is>
          <t>2</t>
        </is>
      </c>
      <c r="F409" t="inlineStr">
        <is>
          <t>42</t>
        </is>
      </c>
      <c r="G409" t="inlineStr">
        <is>
          <t>6</t>
        </is>
      </c>
      <c r="H409" t="inlineStr">
        <is>
          <t>0</t>
        </is>
      </c>
      <c r="I409" t="inlineStr">
        <is>
          <t>7¹, 35¹</t>
        </is>
      </c>
      <c r="J409" t="n">
        <v>2</v>
      </c>
      <c r="K409" t="inlineStr">
        <is>
          <t>2², 6⁴, 8¹, 24²</t>
        </is>
      </c>
      <c r="L409" t="inlineStr">
        <is>
          <t>5B⁰, 7A⁰</t>
        </is>
      </c>
      <c r="M409" t="inlineStr">
        <is>
          <t>35C⁴, 70C⁴, 35B⁵, 70B⁵, 35A⁶, 35E⁶, 70A⁶, 105C⁶, 70A⁷, 70B⁸, 35D⁹, 140E¹¹, 105A¹³, 35C¹⁴, 175A¹⁴, 175C¹⁶, 175B¹⁶, 175D¹⁶, 175A¹⁶</t>
        </is>
      </c>
      <c r="N409" t="inlineStr">
        <is>
          <t>5B⁰, 1A⁰, 7A⁰</t>
        </is>
      </c>
      <c r="O409" t="inlineStr">
        <is>
          <t>70D¹³, 210D¹⁵, 140C¹⁶, 175D¹⁶, 35C⁴, 70I²¹, 105E¹⁴, 175C¹⁶, 70B¹⁹, 140A²⁰, 140A¹¹, 70A⁶, 140E¹¹, 105D¹⁴, 140C¹⁸, 140D¹⁷, 70C⁴, 35A¹¹, 35D¹⁴, 70A⁷, 35B⁵, 70F¹⁸, 105C¹⁶, 35D¹⁵, 175B¹⁶, 70H¹⁴, 70D¹¹, 210A¹², 70E⁹, 140B¹⁸, 35A²¹, 175A¹⁴, 70G¹⁶, 70H²¹, 35A¹⁶, 35B¹², 175A¹⁶, 70G¹⁷, 140B¹⁹, 35B²¹, 140D¹¹, 70E¹⁵, 210H¹⁶, 315A²⁴, 35E⁶, 140E²³, 140C¹⁷, 140H²³, 70B⁸, 35B¹⁷, 140D²¹, 70B⁵, 140B¹¹, 105C¹⁷, 70E¹⁸, 210C¹⁵, 35A⁶, 35D⁹, 70A²⁴, 70E¹⁷, 35C¹³, 210B²¹, 105A¹³, 140C¹⁹, 105C⁶, 105D²², 70A¹⁹, 210A²¹, 140F²³, 105B¹⁷, 140G²³, 105A¹⁷, 70B¹³, 210F¹⁸, 105D¹⁵, 35C¹⁴, 70H¹⁶, 70F¹⁷, 140C¹¹, 210E¹⁷, 105A²⁰, 210G¹⁸, 70F¹⁶, 70G¹⁸, 70C¹³, 70H¹⁷, 70A¹³</t>
        </is>
      </c>
    </row>
    <row r="410">
      <c r="A410">
        <f>HYPERLINK("https://mathstats.uncg.edu/sites/pauli/congruence/csg2.html#group36A2", "36A²")</f>
        <v/>
      </c>
      <c r="B410" t="n">
        <v>2</v>
      </c>
      <c r="C410" t="inlineStr"/>
      <c r="D410" t="inlineStr">
        <is>
          <t>48</t>
        </is>
      </c>
      <c r="E410" t="inlineStr">
        <is>
          <t>1</t>
        </is>
      </c>
      <c r="F410" t="inlineStr">
        <is>
          <t>8</t>
        </is>
      </c>
      <c r="G410" t="inlineStr">
        <is>
          <t>0</t>
        </is>
      </c>
      <c r="H410" t="inlineStr">
        <is>
          <t>6</t>
        </is>
      </c>
      <c r="I410" t="inlineStr">
        <is>
          <t>12¹, 36¹</t>
        </is>
      </c>
      <c r="J410" t="n">
        <v>2</v>
      </c>
      <c r="K410" t="inlineStr">
        <is>
          <t>2⁴</t>
        </is>
      </c>
      <c r="L410" t="inlineStr">
        <is>
          <t>12B⁰, 18D¹</t>
        </is>
      </c>
      <c r="M410" t="inlineStr">
        <is>
          <t>36S⁴, 36B¹⁰, 36E¹⁰, 36F¹⁰, 36H¹¹, 180A¹⁶, 180G²³</t>
        </is>
      </c>
      <c r="N410" t="inlineStr">
        <is>
          <t>3B⁰, 2A⁰, 12B⁰, 1A⁰, 6C⁰, 18D¹</t>
        </is>
      </c>
      <c r="O410" t="inlineStr">
        <is>
          <t>180G²³, 36B¹⁰, 36S⁴, 36H¹¹, 36F¹⁰, 36E¹⁰, 36M²², 180A¹⁶, 36D¹⁹, 108C²²</t>
        </is>
      </c>
    </row>
    <row r="411">
      <c r="A411">
        <f>HYPERLINK("https://mathstats.uncg.edu/sites/pauli/congruence/csg2.html#group36B2", "36B²")</f>
        <v/>
      </c>
      <c r="B411" t="n">
        <v>2</v>
      </c>
      <c r="C411" t="inlineStr"/>
      <c r="D411" t="inlineStr">
        <is>
          <t>54</t>
        </is>
      </c>
      <c r="E411" t="inlineStr">
        <is>
          <t>1</t>
        </is>
      </c>
      <c r="F411" t="inlineStr">
        <is>
          <t>27</t>
        </is>
      </c>
      <c r="G411" t="inlineStr">
        <is>
          <t>10</t>
        </is>
      </c>
      <c r="H411" t="inlineStr">
        <is>
          <t>0</t>
        </is>
      </c>
      <c r="I411" t="inlineStr">
        <is>
          <t>18¹, 36¹</t>
        </is>
      </c>
      <c r="J411" t="n">
        <v>2</v>
      </c>
      <c r="K411" t="inlineStr">
        <is>
          <t>1³, 2³, 6³</t>
        </is>
      </c>
      <c r="L411" t="inlineStr">
        <is>
          <t>12C⁰, 18E¹</t>
        </is>
      </c>
      <c r="M411" t="inlineStr">
        <is>
          <t>36R⁴, 72E⁴, 36H⁵, 72A⁵, 36C⁶, 36E⁶, 36F⁶, 36I⁶, 72B⁶, 72C⁶, 72D⁶, 72E⁶, 36E⁷, 72B⁷, 36B⁸, 36L⁸, 72D⁸, 72A⁹, 180F²⁰, 180I²¹, 252G²⁴</t>
        </is>
      </c>
      <c r="N411" t="inlineStr">
        <is>
          <t>12C⁰, 9A⁰, 4C⁰, 2B⁰, 18E¹, 3A⁰, 1A⁰, 6D⁰</t>
        </is>
      </c>
      <c r="O411" t="inlineStr">
        <is>
          <t>72A⁹, 36L⁸, 144B¹³, 72P¹³, 72F¹⁴, 72H¹⁴, 72H¹³, 180F²⁰, 36E¹⁶, 72L¹⁵, 36I⁶, 144W²³, 288A²¹, 36R¹⁹, 36E⁷, 72J¹⁴, 72E¹⁴, 288A²³, 144B¹⁵, 36N¹⁵, 72P¹⁵, 72L¹⁷, 36E⁶, 36F²², 72D²⁰, 36O⁹, 144A¹³, 72L¹⁶, 36H¹⁶, 36P¹³, 36B¹⁴, 72G¹⁴, 72E¹⁸, 144E¹⁰, 72M¹², 72V¹⁵, 72I¹⁶, 36R⁴, 36A¹⁵, 72B¹⁶, 72K¹⁷, 72D¹⁴, 36F⁶, 72D¹⁷, 72E⁶, 36A²³, 72J¹⁷, 72H¹⁶, 36F¹², 72F²⁰, 72N¹³, 72J²², 144A¹⁴, 72E⁴, 72A⁵, 36H⁵, 72N¹⁶, 144D¹⁸, 36A²⁰, 72O¹⁵, 72J¹⁵, 72X²¹, 36B¹⁶, 72F¹², 72F¹⁷, 72M¹⁵, 72G¹⁷, 36E¹², 72G¹³, 144J¹⁹, 36B²⁰, 72G¹², 72A²⁴, 72G¹⁶, 36K¹⁵, 72K¹², 36M¹⁵, 144F¹⁶, 72K¹⁵, 72C¹⁷, 72I¹³, 72O¹⁶, 144A⁸, 72C¹⁴, 144B¹⁸, 72N¹¹, 72X¹⁵, 144B¹², 252G²⁴, 72Q¹⁶, 72R¹¹, 36C²⁰, 144Y²³, 144B¹⁴, 36B⁸, 72B⁶, 144C¹⁵, 36B¹⁸, 72E²⁰, 72AA²¹, 72N¹⁵, 144X²³, 72D⁶, 36A¹⁶, 36C⁶, 72O¹², 72B⁷, 144F¹³, 144E¹³, 72D⁸, 180I²¹, 36C²¹, 72H¹⁷, 72B¹⁴, 72M¹⁶, 72W¹⁹, 144C¹³, 72I¹⁷, 36H¹³, 72A¹⁶, 72U¹⁵, 72B¹⁷, 72N¹², 36D¹⁵, 72M¹¹, 72O¹³, 36N¹⁹, 72H⁹, 36A¹⁴, 144C¹⁴, 72W¹⁵, 144D¹³, 72Q¹⁵, 144A¹⁸, 144D¹⁵, 36I¹³, 72L¹², 144D¹⁴, 72M¹³, 72A¹⁷, 72E¹⁷, 72C⁶, 144C¹⁸, 72J¹²</t>
        </is>
      </c>
    </row>
    <row r="412">
      <c r="A412">
        <f>HYPERLINK("https://mathstats.uncg.edu/sites/pauli/congruence/csg2.html#group36C2", "36C²")</f>
        <v/>
      </c>
      <c r="B412" t="n">
        <v>2</v>
      </c>
      <c r="C412" t="inlineStr"/>
      <c r="D412" t="inlineStr">
        <is>
          <t>54</t>
        </is>
      </c>
      <c r="E412" t="inlineStr">
        <is>
          <t>2</t>
        </is>
      </c>
      <c r="F412" t="inlineStr">
        <is>
          <t>27</t>
        </is>
      </c>
      <c r="G412" t="inlineStr">
        <is>
          <t>8</t>
        </is>
      </c>
      <c r="H412" t="inlineStr">
        <is>
          <t>0</t>
        </is>
      </c>
      <c r="I412" t="inlineStr">
        <is>
          <t>9², 36¹</t>
        </is>
      </c>
      <c r="J412" t="n">
        <v>3</v>
      </c>
      <c r="K412" t="inlineStr">
        <is>
          <t>2⁹, 6⁶</t>
        </is>
      </c>
      <c r="L412" t="inlineStr">
        <is>
          <t>12D⁰, 18E¹</t>
        </is>
      </c>
      <c r="M412" t="inlineStr">
        <is>
          <t>36P⁴, 36R⁴, 36K⁵, 36H⁶, 36D⁷, 36G⁷, 36L⁷, 36G⁸, 36M⁸, 180G²⁰, 180J²¹</t>
        </is>
      </c>
      <c r="N412" t="inlineStr">
        <is>
          <t>9A⁰, 2B⁰, 12D⁰, 18E¹, 3A⁰, 1A⁰, 6D⁰</t>
        </is>
      </c>
      <c r="O412" t="inlineStr">
        <is>
          <t>72H¹⁷, 36K¹⁵, 72F¹³, 36I¹⁵, 36R⁴, 36A¹⁸, 36D²¹, 36G⁸, 72T¹⁵, 36H⁶, 180G²⁰, 36E¹⁶, 72H⁹, 36S¹⁹, 72K¹⁴, 36E²², 36A²³, 36C¹³, 36F¹², 72S¹⁵, 36G⁷, 36J¹⁵, 72P¹⁵, 72O¹¹, 72L¹², 72S¹⁶, 36K⁵, 72R¹¹, 36P⁴, 36C¹⁵, 144Y²³, 180J²¹, 36O⁹, 36D⁷, 36H¹⁶, 36B¹⁸, 36P¹³, 36L⁷, 36M⁸, 72AA²¹, 72L¹³, 72R¹⁵, 36G¹⁶, 36J²², 36O¹⁹, 36Q¹⁹, 36E¹², 36T¹⁹, 72M¹², 36C¹⁶, 144J¹⁹, 36I¹⁶</t>
        </is>
      </c>
    </row>
    <row r="413">
      <c r="A413">
        <f>HYPERLINK("https://mathstats.uncg.edu/sites/pauli/congruence/csg2.html#group36D2", "36D²")</f>
        <v/>
      </c>
      <c r="B413" t="n">
        <v>2</v>
      </c>
      <c r="C413" t="inlineStr"/>
      <c r="D413" t="inlineStr">
        <is>
          <t>72</t>
        </is>
      </c>
      <c r="E413" t="inlineStr">
        <is>
          <t>2</t>
        </is>
      </c>
      <c r="F413" t="inlineStr">
        <is>
          <t>36</t>
        </is>
      </c>
      <c r="G413" t="inlineStr">
        <is>
          <t>16</t>
        </is>
      </c>
      <c r="H413" t="inlineStr">
        <is>
          <t>0</t>
        </is>
      </c>
      <c r="I413" t="inlineStr">
        <is>
          <t>36²</t>
        </is>
      </c>
      <c r="J413" t="n">
        <v>2</v>
      </c>
      <c r="K413" t="inlineStr">
        <is>
          <t>4⁶, 12⁴</t>
        </is>
      </c>
      <c r="L413" t="inlineStr">
        <is>
          <t>12F⁰, 18A⁰, 36A¹</t>
        </is>
      </c>
      <c r="M413" t="inlineStr">
        <is>
          <t>36M⁵, 72H⁸, 72I⁸, 72J⁸, 72K⁸, 36K⁹, 36T¹⁰, 36F¹¹, 36F¹², 36G¹², 36H¹², 72Z¹⁵</t>
        </is>
      </c>
      <c r="N413" t="inlineStr">
        <is>
          <t>36A¹, 12A⁰, 6B⁰, 4A⁰, 9A⁰, 12F⁰, 3A⁰, 1A⁰, 18A⁰</t>
        </is>
      </c>
      <c r="O413" t="inlineStr">
        <is>
          <t>144H²⁰, 72J⁸, 36F¹¹, 36P¹⁵, 72H⁸, 144F²⁰, 36H¹², 36K⁹, 72S²¹, 36T¹⁰, 72Z¹⁵, 144C²⁰, 72S¹⁷, 72K⁸, 72I⁸, 144D²⁰, 72H²³, 72Q²¹, 72G²³, 36A²¹, 144E²⁰, 72P²¹, 36M⁵, 36G¹², 36F¹², 36K¹⁹, 72W¹⁷, 144G²⁰</t>
        </is>
      </c>
    </row>
    <row r="414">
      <c r="A414">
        <f>HYPERLINK("https://mathstats.uncg.edu/sites/pauli/congruence/csg2.html#group37A2", "37A²")</f>
        <v/>
      </c>
      <c r="B414" t="n">
        <v>2</v>
      </c>
      <c r="C414" t="inlineStr">
        <is>
          <t>Γ₀(37)</t>
        </is>
      </c>
      <c r="D414" t="inlineStr">
        <is>
          <t>38</t>
        </is>
      </c>
      <c r="E414" t="inlineStr">
        <is>
          <t>1</t>
        </is>
      </c>
      <c r="F414" t="inlineStr">
        <is>
          <t>38</t>
        </is>
      </c>
      <c r="G414" t="inlineStr">
        <is>
          <t>2</t>
        </is>
      </c>
      <c r="H414" t="inlineStr">
        <is>
          <t>2</t>
        </is>
      </c>
      <c r="I414" t="inlineStr">
        <is>
          <t>1¹, 37¹</t>
        </is>
      </c>
      <c r="J414" t="n">
        <v>2</v>
      </c>
      <c r="K414" t="inlineStr">
        <is>
          <t>1², 36¹</t>
        </is>
      </c>
      <c r="L414" t="inlineStr">
        <is>
          <t>1A⁰</t>
        </is>
      </c>
      <c r="M414" t="inlineStr">
        <is>
          <t>37A⁴, 37B⁴, 74A⁴, 74A⁵, 74A⁸, 111A⁸, 111B⁸, 111A¹¹, 148A¹¹, 185A¹⁴, 185A¹⁷, 259A²⁰, 259A²³</t>
        </is>
      </c>
      <c r="N414" t="inlineStr">
        <is>
          <t>1A⁰</t>
        </is>
      </c>
      <c r="O414" t="inlineStr">
        <is>
          <t>111B¹⁸, 222B¹⁶, 222A¹⁹, 148A¹¹, 222A¹⁶, 74B¹⁶, 74A⁵, 148B¹⁷, 37B⁴, 148A²¹, 37A¹⁶, 74A²², 111A²², 74A¹⁷, 222B²³, 222A¹⁷, 148A¹⁸, 74B¹⁷, 74A¹³, 111A²¹, 222A²³, 111B⁸, 296B²³, 222A¹⁸, 148A¹⁶, 74A⁴, 37A¹⁰, 111A¹¹, 74A¹⁰, 148A¹⁷, 222C¹⁷, 111A¹⁷, 259A²³, 222B¹⁹, 111A¹⁹, 222B¹⁷, 148A²³, 37A⁴, 185A¹⁷, 259A²⁰, 74A⁹, 111A¹⁸, 148A¹⁹, 148A⁹, 296A²³, 111A⁸, 148B²³, 74A⁸, 74A¹⁶, 111A¹⁶, 185A¹⁴</t>
        </is>
      </c>
    </row>
    <row r="415">
      <c r="A415">
        <f>HYPERLINK("https://mathstats.uncg.edu/sites/pauli/congruence/csg2.html#group38A2", "38A²")</f>
        <v/>
      </c>
      <c r="B415" t="n">
        <v>2</v>
      </c>
      <c r="C415" t="inlineStr"/>
      <c r="D415" t="inlineStr">
        <is>
          <t>40</t>
        </is>
      </c>
      <c r="E415" t="inlineStr">
        <is>
          <t>1</t>
        </is>
      </c>
      <c r="F415" t="inlineStr">
        <is>
          <t>20</t>
        </is>
      </c>
      <c r="G415" t="inlineStr">
        <is>
          <t>0</t>
        </is>
      </c>
      <c r="H415" t="inlineStr">
        <is>
          <t>4</t>
        </is>
      </c>
      <c r="I415" t="inlineStr">
        <is>
          <t>2¹, 38¹</t>
        </is>
      </c>
      <c r="J415" t="n">
        <v>2</v>
      </c>
      <c r="K415" t="inlineStr">
        <is>
          <t>1², 18¹</t>
        </is>
      </c>
      <c r="L415" t="inlineStr">
        <is>
          <t>2A⁰, 19A¹</t>
        </is>
      </c>
      <c r="M415" t="inlineStr">
        <is>
          <t>38B⁴, 76A⁴, 38A⁸, 38B⁸, 114A⁸, 114B⁸, 114A¹⁰, 114C¹⁰, 76A¹¹, 114B¹¹, 190A¹⁴, 190B¹⁹, 266B²², 266B²³</t>
        </is>
      </c>
      <c r="N415" t="inlineStr">
        <is>
          <t>2A⁰, 1A⁰, 19A¹</t>
        </is>
      </c>
      <c r="O415" t="inlineStr">
        <is>
          <t>76A²¹, 228B²³, 38B²², 114A²², 266B²², 38B⁴, 114A²¹, 114B¹⁹, 190A¹⁴, 76A¹⁷, 114A⁸, 228A²⁰, 114A¹⁰, 266B²³, 228B²⁰, 76A¹⁰, 38A¹⁶, 38B⁸, 114B⁸, 114B²², 76A¹¹, 38C²², 228D²⁰, 76A¹⁸, 76A⁴, 114B¹¹, 190B¹⁹, 152B²³, 38A⁸, 114C¹⁰, 228B¹⁶, 228A²³, 228A¹⁶, 76A¹⁶, 76B¹⁸, 152A²³</t>
        </is>
      </c>
    </row>
    <row r="416">
      <c r="A416">
        <f>HYPERLINK("https://mathstats.uncg.edu/sites/pauli/congruence/csg2.html#group39A2", "39A²")</f>
        <v/>
      </c>
      <c r="B416" t="n">
        <v>2</v>
      </c>
      <c r="C416" t="inlineStr"/>
      <c r="D416" t="inlineStr">
        <is>
          <t>42</t>
        </is>
      </c>
      <c r="E416" t="inlineStr">
        <is>
          <t>1</t>
        </is>
      </c>
      <c r="F416" t="inlineStr">
        <is>
          <t>14</t>
        </is>
      </c>
      <c r="G416" t="inlineStr">
        <is>
          <t>6</t>
        </is>
      </c>
      <c r="H416" t="inlineStr">
        <is>
          <t>0</t>
        </is>
      </c>
      <c r="I416" t="inlineStr">
        <is>
          <t>3¹, 39¹</t>
        </is>
      </c>
      <c r="J416" t="n">
        <v>2</v>
      </c>
      <c r="K416" t="inlineStr">
        <is>
          <t>1², 12¹</t>
        </is>
      </c>
      <c r="L416" t="inlineStr">
        <is>
          <t>3A⁰, 13A⁰</t>
        </is>
      </c>
      <c r="M416" t="inlineStr">
        <is>
          <t>39A⁴, 39C⁴, 78A⁴, 39A⁵, 78B⁵, 39A⁶, 78A⁶, 78A⁷, 78A⁸, 117A⁸, 156A¹¹, 195A¹⁶, 195A¹⁷, 273A²⁰</t>
        </is>
      </c>
      <c r="N416" t="inlineStr">
        <is>
          <t>3A⁰, 13A⁰, 1A⁰</t>
        </is>
      </c>
      <c r="O416" t="inlineStr">
        <is>
          <t>78B¹³, 78A¹⁸, 39A⁹, 78D¹³, 156B¹⁸, 234A¹⁶, 78B¹⁷, 273A²⁰, 117A¹⁹, 117B¹⁷, 156A²¹, 156B²³, 78B¹⁸, 39C⁴, 117A¹⁶, 78A¹⁶, 39A¹¹, 156H²³, 78E¹³, 78B¹⁹, 78A²², 78A⁷, 39B¹³, 78B⁹, 156C¹¹, 78A¹⁷, 78B¹⁶, 117A¹⁷, 39B¹⁰, 156C¹⁷, 78A⁴, 39B²¹, 78B⁵, 156A²⁰, 156B¹¹, 39A⁶, 78D¹⁹, 234A¹⁷, 78A⁸, 78A¹¹, 78C¹⁶, 39A¹⁹, 78D²³, 39A⁵, 78A¹⁰, 234A²⁰, 117C¹⁷, 39A¹⁶, 156B¹⁹, 156E²³, 156A¹⁹, 78A¹³, 234A¹⁸, 156B¹⁷, 117A²², 195A¹⁶, 78C¹³, 78E¹¹, 195A¹⁷, 234B¹⁹, 117A¹⁸, 117A⁸, 156A¹¹, 234A¹⁹, 234A²¹, 78A¹⁹, 156A¹⁶, 156F²³, 78A²¹, 78B¹¹, 78H¹³, 156A²³, 156A¹⁸, 39B¹¹, 39A⁴, 78A⁶, 117A²⁰</t>
        </is>
      </c>
    </row>
    <row r="417">
      <c r="A417">
        <f>HYPERLINK("https://mathstats.uncg.edu/sites/pauli/congruence/csg2.html#group40A2", "40A²")</f>
        <v/>
      </c>
      <c r="B417" t="n">
        <v>2</v>
      </c>
      <c r="C417" t="inlineStr"/>
      <c r="D417" t="inlineStr">
        <is>
          <t>40</t>
        </is>
      </c>
      <c r="E417" t="inlineStr">
        <is>
          <t>2</t>
        </is>
      </c>
      <c r="F417" t="inlineStr">
        <is>
          <t>20</t>
        </is>
      </c>
      <c r="G417" t="inlineStr">
        <is>
          <t>2</t>
        </is>
      </c>
      <c r="H417" t="inlineStr">
        <is>
          <t>4</t>
        </is>
      </c>
      <c r="I417" t="inlineStr">
        <is>
          <t>40¹</t>
        </is>
      </c>
      <c r="J417" t="n">
        <v>1</v>
      </c>
      <c r="K417" t="inlineStr">
        <is>
          <t>4², 16²</t>
        </is>
      </c>
      <c r="L417" t="inlineStr">
        <is>
          <t>8A⁰, 20A¹</t>
        </is>
      </c>
      <c r="M417" t="inlineStr">
        <is>
          <t>40D⁴, 80A⁴, 120A⁷, 120B⁷, 40G⁸, 40E⁹, 120A⁹, 40B¹⁰, 40D¹¹, 120A¹², 280C²¹, 280D²¹, 280A²⁴</t>
        </is>
      </c>
      <c r="N417" t="inlineStr">
        <is>
          <t>8A⁰, 20A¹, 5A⁰, 1A⁰, 4A⁰</t>
        </is>
      </c>
      <c r="O417" t="inlineStr">
        <is>
          <t>120A⁹, 40D⁴, 80A⁴, 40G⁸, 40D¹¹, 80K¹⁹, 280C²¹, 40C²¹, 80E²³, 80D¹⁸, 40C¹⁸, 40B¹⁸, 40S¹⁷, 120D¹⁹, 240A¹⁹, 80F¹⁸, 40E⁹, 280D²¹, 80A²², 40B²¹, 120A⁷, 120A²⁰, 120L²³, 80E⁸, 240B¹⁹, 40B¹⁰, 120E¹⁸, 120A¹⁶, 240A²⁴, 240B¹⁵, 120A¹², 120B⁷, 240A¹⁵, 280A²⁴, 120D¹⁶, 120F¹⁸, 40N¹⁷, 40A¹⁴, 40E¹⁶, 40A¹⁸</t>
        </is>
      </c>
    </row>
    <row r="418">
      <c r="A418">
        <f>HYPERLINK("https://mathstats.uncg.edu/sites/pauli/congruence/csg2.html#group42A2", "42A²")</f>
        <v/>
      </c>
      <c r="B418" t="n">
        <v>2</v>
      </c>
      <c r="C418" t="inlineStr"/>
      <c r="D418" t="inlineStr">
        <is>
          <t>42</t>
        </is>
      </c>
      <c r="E418" t="inlineStr">
        <is>
          <t>2</t>
        </is>
      </c>
      <c r="F418" t="inlineStr">
        <is>
          <t>21</t>
        </is>
      </c>
      <c r="G418" t="inlineStr">
        <is>
          <t>8</t>
        </is>
      </c>
      <c r="H418" t="inlineStr">
        <is>
          <t>0</t>
        </is>
      </c>
      <c r="I418" t="inlineStr">
        <is>
          <t>42¹</t>
        </is>
      </c>
      <c r="J418" t="n">
        <v>1</v>
      </c>
      <c r="K418" t="inlineStr">
        <is>
          <t>2¹, 4¹, 6², 12²</t>
        </is>
      </c>
      <c r="L418" t="inlineStr">
        <is>
          <t>21A⁰</t>
        </is>
      </c>
      <c r="M418" t="inlineStr">
        <is>
          <t>42G⁴, 42H⁴, 42E⁵, 42F⁵, 42A⁶, 42D⁶, 42B⁷, 126A⁷, 42D⁸, 126B⁸, 126C⁸, 84F¹⁰, 42A¹¹, 210D¹⁶, 210E¹⁷</t>
        </is>
      </c>
      <c r="N418" t="inlineStr">
        <is>
          <t>3A⁰, 21A⁰, 1A⁰, 7A⁰</t>
        </is>
      </c>
      <c r="O418" t="inlineStr">
        <is>
          <t>42F⁵, 84K¹⁷, 126D¹⁶, 168H²⁴, 84F¹⁶, 126D²⁴, 42F¹⁷, 126C¹⁶, 42D²⁴, 42E¹⁴, 84I¹⁹, 84H¹⁹, 42F¹⁴, 42H¹⁶, 168F²⁴, 126E¹⁹, 168I²⁴, 42I¹⁶, 126F¹⁵, 84E²³, 42H¹⁷, 126C¹⁷, 126A¹⁸, 42D¹³, 126E²⁴, 168E²⁴, 126F²¹, 42D⁶, 42A¹⁷, 126B¹⁶, 84D²³, 168J²⁴, 168D²⁴, 42E¹⁷, 42A¹¹, 126C⁸, 42B¹¹, 42G¹⁷, 84L¹⁷, 42E²¹, 42E¹⁵, 42G⁴, 126H¹⁸, 42F¹⁶, 126I²¹, 168G²⁴, 126E²¹, 84F¹⁸, 126E¹⁴, 126A⁷, 126D²¹, 126C¹⁸, 42G¹⁶, 42H⁴, 42B¹³, 42M¹⁹, 126B¹⁸, 210D¹⁶, 168C²⁴, 42B⁷, 84P²¹, 126D¹⁹, 42A⁶, 42I¹³, 42E⁵, 84O²¹, 126C¹⁹, 84E²⁰, 42K¹⁹, 42B¹⁴, 42D⁸, 126A¹⁶, 126G¹⁸, 126A¹⁹, 84E¹⁸, 42F¹⁵, 126D¹⁷, 126B²⁰, 42D¹⁶, 42B²¹, 42C¹⁴, 42E¹³, 210E¹⁷, 42C¹⁸, 126F¹⁴, 42K¹³, 84F¹⁰, 126I¹⁸, 84A²³, 42C⁹, 126B¹⁹, 126A²⁰, 126B⁸</t>
        </is>
      </c>
    </row>
    <row r="419">
      <c r="A419">
        <f>HYPERLINK("https://mathstats.uncg.edu/sites/pauli/congruence/csg2.html#group42B2", "42B²")</f>
        <v/>
      </c>
      <c r="B419" t="n">
        <v>2</v>
      </c>
      <c r="C419" t="inlineStr"/>
      <c r="D419" t="inlineStr">
        <is>
          <t>48</t>
        </is>
      </c>
      <c r="E419" t="inlineStr">
        <is>
          <t>1</t>
        </is>
      </c>
      <c r="F419" t="inlineStr">
        <is>
          <t>16</t>
        </is>
      </c>
      <c r="G419" t="inlineStr">
        <is>
          <t>0</t>
        </is>
      </c>
      <c r="H419" t="inlineStr">
        <is>
          <t>6</t>
        </is>
      </c>
      <c r="I419" t="inlineStr">
        <is>
          <t>6¹, 42¹</t>
        </is>
      </c>
      <c r="J419" t="n">
        <v>2</v>
      </c>
      <c r="K419" t="inlineStr">
        <is>
          <t>2², 12¹</t>
        </is>
      </c>
      <c r="L419" t="inlineStr">
        <is>
          <t>6A⁰, 14B⁰</t>
        </is>
      </c>
      <c r="M419" t="inlineStr">
        <is>
          <t>84A⁴, 42M⁷, 42E¹⁰, 42F¹⁰, 42H¹¹, 84E¹³, 84H¹³, 210E¹⁶, 42A²³, 210C²³, 294A²³</t>
        </is>
      </c>
      <c r="N419" t="inlineStr">
        <is>
          <t>2A⁰, 6A⁰, 1A⁰, 7B⁰, 14B⁰</t>
        </is>
      </c>
      <c r="O419" t="inlineStr">
        <is>
          <t>210E¹⁶, 42H¹¹, 84A²², 210C²³, 84K¹⁶, 84A²¹, 42M⁷, 294A²³, 42P¹⁹, 42E¹⁰, 84A⁴, 42I²¹, 84I²⁰, 42A²³, 84K²⁰, 84F²¹, 84H¹³, 42F¹⁰, 84C²², 84E¹³, 84F²²</t>
        </is>
      </c>
    </row>
    <row r="420">
      <c r="A420">
        <f>HYPERLINK("https://mathstats.uncg.edu/sites/pauli/congruence/csg2.html#group42C2", "42C²")</f>
        <v/>
      </c>
      <c r="B420" t="n">
        <v>2</v>
      </c>
      <c r="C420" t="inlineStr"/>
      <c r="D420" t="inlineStr">
        <is>
          <t>48</t>
        </is>
      </c>
      <c r="E420" t="inlineStr">
        <is>
          <t>2</t>
        </is>
      </c>
      <c r="F420" t="inlineStr">
        <is>
          <t>8</t>
        </is>
      </c>
      <c r="G420" t="inlineStr">
        <is>
          <t>0</t>
        </is>
      </c>
      <c r="H420" t="inlineStr">
        <is>
          <t>6</t>
        </is>
      </c>
      <c r="I420" t="inlineStr">
        <is>
          <t>6¹, 42¹</t>
        </is>
      </c>
      <c r="J420" t="n">
        <v>2</v>
      </c>
      <c r="K420" t="inlineStr">
        <is>
          <t>2², 12¹</t>
        </is>
      </c>
      <c r="L420" t="inlineStr">
        <is>
          <t>14B⁰, 21A¹</t>
        </is>
      </c>
      <c r="M420" t="inlineStr">
        <is>
          <t>84B⁴, 42M⁷, 42D¹⁰, 42J¹⁰, 42K¹¹, 84I¹³, 210G¹⁶, 42B²³, 210G²³, 294B²³</t>
        </is>
      </c>
      <c r="N420" t="inlineStr">
        <is>
          <t>2A⁰, 14B⁰, 1A⁰, 7B⁰, 21A¹</t>
        </is>
      </c>
      <c r="O420" t="inlineStr">
        <is>
          <t>42J¹⁰, 210G²³, 84K¹⁶, 42O¹⁹, 294B²³, 42M⁷, 42J²¹, 84I¹³, 42K¹¹, 84K²², 84B⁴, 84E²², 42B²³, 210G¹⁶, 84B²², 42D¹⁰, 84G²¹, 84M²⁰</t>
        </is>
      </c>
    </row>
    <row r="421">
      <c r="A421">
        <f>HYPERLINK("https://mathstats.uncg.edu/sites/pauli/congruence/csg2.html#group44A2", "44A²")</f>
        <v/>
      </c>
      <c r="B421" t="n">
        <v>2</v>
      </c>
      <c r="C421" t="inlineStr"/>
      <c r="D421" t="inlineStr">
        <is>
          <t>44</t>
        </is>
      </c>
      <c r="E421" t="inlineStr">
        <is>
          <t>2</t>
        </is>
      </c>
      <c r="F421" t="inlineStr">
        <is>
          <t>44</t>
        </is>
      </c>
      <c r="G421" t="inlineStr">
        <is>
          <t>6</t>
        </is>
      </c>
      <c r="H421" t="inlineStr">
        <is>
          <t>2</t>
        </is>
      </c>
      <c r="I421" t="inlineStr">
        <is>
          <t>44¹</t>
        </is>
      </c>
      <c r="J421" t="n">
        <v>1</v>
      </c>
      <c r="K421" t="inlineStr">
        <is>
          <t>4², 20⁴</t>
        </is>
      </c>
      <c r="L421" t="inlineStr">
        <is>
          <t>4A⁰, 11A⁰</t>
        </is>
      </c>
      <c r="M421" t="inlineStr">
        <is>
          <t>88A⁵, 88B⁵, 44A⁶, 132A⁷, 44A⁹, 88D¹¹, 44A¹⁴, 132A¹⁴, 220A¹⁶, 44C¹⁷, 220C¹⁹, 308A²¹, 308B²¹</t>
        </is>
      </c>
      <c r="N421" t="inlineStr">
        <is>
          <t>11A⁰, 1A⁰, 4A⁰</t>
        </is>
      </c>
      <c r="O421" t="inlineStr">
        <is>
          <t>264C¹⁸, 132A²⁰, 132D¹⁶, 264B¹⁸, 264A¹⁸, 88A¹⁸, 264D¹⁸, 308B²¹, 176B¹¹, 88B²¹, 176A¹¹, 88D¹¹, 44A¹⁴, 88A²⁴, 176A²⁴, 220C¹⁹, 44A⁶, 132A¹⁴, 132A⁷, 44C¹⁷, 88A¹⁹, 132B¹⁹, 44A²⁰, 88D²⁰, 88A¹², 88B²⁴, 88B⁵, 132A²², 88A⁵, 44A⁹, 220A¹⁶, 308A²¹</t>
        </is>
      </c>
    </row>
    <row r="422">
      <c r="A422">
        <f>HYPERLINK("https://mathstats.uncg.edu/sites/pauli/congruence/csg2.html#group45A2", "45A²")</f>
        <v/>
      </c>
      <c r="B422" t="n">
        <v>2</v>
      </c>
      <c r="C422" t="inlineStr"/>
      <c r="D422" t="inlineStr">
        <is>
          <t>54</t>
        </is>
      </c>
      <c r="E422" t="inlineStr">
        <is>
          <t>1</t>
        </is>
      </c>
      <c r="F422" t="inlineStr">
        <is>
          <t>54</t>
        </is>
      </c>
      <c r="G422" t="inlineStr">
        <is>
          <t>10</t>
        </is>
      </c>
      <c r="H422" t="inlineStr">
        <is>
          <t>0</t>
        </is>
      </c>
      <c r="I422" t="inlineStr">
        <is>
          <t>9¹, 45¹</t>
        </is>
      </c>
      <c r="J422" t="n">
        <v>2</v>
      </c>
      <c r="K422" t="inlineStr">
        <is>
          <t>1², 2², 4¹, 6², 8¹, 24¹</t>
        </is>
      </c>
      <c r="L422" t="inlineStr">
        <is>
          <t>9A⁰, 15B⁰</t>
        </is>
      </c>
      <c r="M422" t="inlineStr">
        <is>
          <t>45C⁴, 90A⁴, 45F⁵, 90A⁵, 45D⁶, 90B⁶, 45B⁷, 90C⁷, 45A⁸, 45D⁸, 90B⁸, 90A⁹, 90E¹⁰, 180B¹³, 45A¹⁸, 225A¹⁸, 225C²⁰, 225B²⁰, 225D²⁰, 225A²⁰, 315A²⁴</t>
        </is>
      </c>
      <c r="N422" t="inlineStr">
        <is>
          <t>5B⁰, 15B⁰, 3A⁰, 1A⁰, 9A⁰</t>
        </is>
      </c>
      <c r="O422" t="inlineStr">
        <is>
          <t>225B²⁰, 90J²¹, 45F⁵, 180B²⁴, 45D⁶, 225A²⁰, 90K¹⁷, 90K²¹, 45A⁸, 90E¹⁰, 225D²⁰, 90L¹⁵, 90D¹⁸, 180D¹³, 180H²⁰, 45C¹⁵, 90N²¹, 90F¹⁷, 45D⁸, 225C²⁰, 45F¹⁹, 45A¹⁸, 90F²⁰, 180D²², 90C²⁴, 90E¹⁷, 90A²³, 180C¹³, 90L²¹, 90H²², 90G⁹, 90C⁷, 45A¹⁵, 90I¹¹, 180I²¹, 90B²³, 90B⁶, 90N¹⁵, 315A²⁴, 90M¹⁵, 90K¹⁵, 90I²¹, 90A⁹, 45B²², 90B²⁴, 90A¹⁷, 180A²⁴, 45A²¹, 45E¹⁶, 45G¹⁹, 90E¹³, 90B⁸, 90E²², 180F¹³, 180E¹³, 90H¹¹, 45B⁷, 90G²², 225A¹⁸, 90D¹⁷, 45C¹⁸, 90A⁴, 90B¹⁷, 45N¹³, 90G²⁰, 90J¹⁹, 90A⁵, 180J²¹, 90K¹¹, 180B¹³, 180N²³, 180C²², 90I¹⁷, 45C⁴, 45E⁹, 45B¹⁵, 45D²³, 90J¹⁷, 90A²⁴, 180M²³, 90H¹⁷</t>
        </is>
      </c>
    </row>
    <row r="423">
      <c r="A423">
        <f>HYPERLINK("https://mathstats.uncg.edu/sites/pauli/congruence/csg2.html#group48A2", "48A²")</f>
        <v/>
      </c>
      <c r="B423" t="n">
        <v>2</v>
      </c>
      <c r="C423" t="inlineStr"/>
      <c r="D423" t="inlineStr">
        <is>
          <t>72</t>
        </is>
      </c>
      <c r="E423" t="inlineStr">
        <is>
          <t>1</t>
        </is>
      </c>
      <c r="F423" t="inlineStr">
        <is>
          <t>9</t>
        </is>
      </c>
      <c r="G423" t="inlineStr">
        <is>
          <t>16</t>
        </is>
      </c>
      <c r="H423" t="inlineStr">
        <is>
          <t>0</t>
        </is>
      </c>
      <c r="I423" t="inlineStr">
        <is>
          <t>24¹, 48¹</t>
        </is>
      </c>
      <c r="J423" t="n">
        <v>2</v>
      </c>
      <c r="K423" t="inlineStr">
        <is>
          <t>1³, 2³</t>
        </is>
      </c>
      <c r="L423" t="inlineStr">
        <is>
          <t>24A⁰</t>
        </is>
      </c>
      <c r="M423" t="inlineStr">
        <is>
          <t>48M³, 48M⁷, 48U⁷, 48V⁷, 48AF⁷, 48AG⁷, 48AH⁷, 48AI⁷, 48AJ⁷, 144E¹⁰, 48H¹¹, 48I¹¹, 144A¹⁴</t>
        </is>
      </c>
      <c r="N423" t="inlineStr">
        <is>
          <t>12C⁰, 24A⁰, 4C⁰, 8B⁰, 2B⁰, 3A⁰, 1A⁰, 6D⁰</t>
        </is>
      </c>
      <c r="O423" t="inlineStr">
        <is>
          <t>48AA¹³, 96AJ¹⁹, 48O¹⁷, 48R²¹, 48CE¹⁷, 96BA¹⁹, 48O²¹, 144W²³, 48BX¹⁷, 48CH¹⁷, 48AH⁷, 48AG⁷, 48AI⁷, 96V¹⁵, 48I¹¹, 48AT¹⁷, 48BW¹⁷, 48CG¹⁷, 48AM¹⁷, 48CD¹⁷, 144Y²³, 48AJ⁷, 48P¹⁷, 48AB²¹, 48AL²¹, 48AE¹³, 48V⁷, 96BB¹⁹, 48BG²¹, 96U¹⁹, 48D²¹, 144E¹⁰, 48AM²¹, 48Q²¹, 48BQ²¹, 48AN¹⁷, 48CB¹⁷, 48U⁷, 96AO¹⁹, 96AR¹⁹, 48AU¹⁷, 48CF¹⁷, 96AI¹⁹, 48AO¹⁷, 48S²¹, 48H¹¹, 48BB¹⁷, 48AF²¹, 48M⁷, 48BR¹⁷, 48AP¹⁷, 48BR²¹, 48AY¹⁷, 48CC¹⁷, 48M²¹, 144A¹⁴, 96AP¹⁹, 48AX¹⁷, 48BQ¹⁷, 96AQ¹⁹, 48BA¹⁷, 48BZ¹⁷, 96K¹¹, 48M³, 48BB²¹, 48X¹³, 48AF¹³, 48AB¹³, 144J¹⁹, 48AF⁷</t>
        </is>
      </c>
    </row>
    <row r="424">
      <c r="A424">
        <f>HYPERLINK("https://mathstats.uncg.edu/sites/pauli/congruence/csg2.html#group50A2", "50A²")</f>
        <v/>
      </c>
      <c r="B424" t="n">
        <v>2</v>
      </c>
      <c r="C424" t="inlineStr"/>
      <c r="D424" t="inlineStr">
        <is>
          <t>60</t>
        </is>
      </c>
      <c r="E424" t="inlineStr">
        <is>
          <t>1</t>
        </is>
      </c>
      <c r="F424" t="inlineStr">
        <is>
          <t>30</t>
        </is>
      </c>
      <c r="G424" t="inlineStr">
        <is>
          <t>4</t>
        </is>
      </c>
      <c r="H424" t="inlineStr">
        <is>
          <t>0</t>
        </is>
      </c>
      <c r="I424" t="inlineStr">
        <is>
          <t>2⁵, 50¹</t>
        </is>
      </c>
      <c r="J424" t="n">
        <v>6</v>
      </c>
      <c r="K424" t="inlineStr">
        <is>
          <t>1², 4², 20¹</t>
        </is>
      </c>
      <c r="L424" t="inlineStr">
        <is>
          <t>10B⁰, 25A⁰</t>
        </is>
      </c>
      <c r="M424" t="inlineStr">
        <is>
          <t>50F⁵, 50E⁶, 100B⁷, 150A¹⁰, 100I¹³, 50B¹⁴, 150I¹⁵, 250A¹⁸, 250B¹⁸, 50A²⁰, 250A²⁰, 250A²², 250B²²</t>
        </is>
      </c>
      <c r="N424" t="inlineStr">
        <is>
          <t>25A⁰, 5B⁰, 1A⁰, 10B⁰</t>
        </is>
      </c>
      <c r="O424" t="inlineStr">
        <is>
          <t>100O¹⁹, 100B⁷, 150A¹⁰, 250B²², 250A²², 150A²¹, 50F⁵, 250A¹⁸, 150I¹⁵, 100I¹³, 100D¹⁵, 50E⁶, 250B¹⁸, 50A²⁰, 100C²¹, 250A²⁰, 150C²³, 100E¹⁷, 50E¹³, 50B¹⁴, 100A¹⁵</t>
        </is>
      </c>
    </row>
    <row r="425">
      <c r="A425">
        <f>HYPERLINK("https://mathstats.uncg.edu/sites/pauli/congruence/csg2.html#group50B2", "50B²")</f>
        <v/>
      </c>
      <c r="B425" t="n">
        <v>2</v>
      </c>
      <c r="C425" t="inlineStr">
        <is>
          <t>Γ₀(50)</t>
        </is>
      </c>
      <c r="D425" t="inlineStr">
        <is>
          <t>90</t>
        </is>
      </c>
      <c r="E425" t="inlineStr">
        <is>
          <t>1</t>
        </is>
      </c>
      <c r="F425" t="inlineStr">
        <is>
          <t>90</t>
        </is>
      </c>
      <c r="G425" t="inlineStr">
        <is>
          <t>2</t>
        </is>
      </c>
      <c r="H425" t="inlineStr">
        <is>
          <t>0</t>
        </is>
      </c>
      <c r="I425" t="inlineStr">
        <is>
          <t>1⁵, 2⁵, 25¹, 50¹</t>
        </is>
      </c>
      <c r="J425" t="n">
        <v>12</v>
      </c>
      <c r="K425" t="inlineStr">
        <is>
          <t>1⁶, 4⁶, 20³</t>
        </is>
      </c>
      <c r="L425" t="inlineStr">
        <is>
          <t>10C⁰, 25A⁰</t>
        </is>
      </c>
      <c r="M425" t="inlineStr">
        <is>
          <t>50F⁴, 50E⁶, 100A⁶, 50C⁷, 100C⁷, 100I⁹, 100A¹⁰, 150A¹⁶, 150I¹⁹, 50E²², 250A²⁴, 250B²⁴</t>
        </is>
      </c>
      <c r="N425" t="inlineStr">
        <is>
          <t>25A⁰, 10C⁰, 5B⁰, 2B⁰, 1A⁰</t>
        </is>
      </c>
      <c r="O425" t="inlineStr">
        <is>
          <t>100O¹⁹, 200A¹⁵, 100A⁶, 50F⁴, 100J¹³, 50C⁷, 100P¹⁹, 200B²¹, 200A²¹, 100A¹⁰, 200I¹⁹, 50E²², 150I¹⁹, 100C⁷, 100D¹⁵, 150A¹⁶, 100B²¹, 200A²³, 200B²³, 50E⁶, 100I⁹, 250A²⁴, 100A²¹, 100C²¹, 100E¹⁷, 50E¹³, 100Q¹⁹, 200J¹⁹, 200C²¹, 100N¹⁹, 250B²⁴</t>
        </is>
      </c>
    </row>
    <row r="426">
      <c r="A426">
        <f>HYPERLINK("https://mathstats.uncg.edu/sites/pauli/congruence/csg2.html#group54A2", "54A²")</f>
        <v/>
      </c>
      <c r="B426" t="n">
        <v>2</v>
      </c>
      <c r="C426" t="inlineStr"/>
      <c r="D426" t="inlineStr">
        <is>
          <t>72</t>
        </is>
      </c>
      <c r="E426" t="inlineStr">
        <is>
          <t>1</t>
        </is>
      </c>
      <c r="F426" t="inlineStr">
        <is>
          <t>12</t>
        </is>
      </c>
      <c r="G426" t="inlineStr">
        <is>
          <t>0</t>
        </is>
      </c>
      <c r="H426" t="inlineStr">
        <is>
          <t>12</t>
        </is>
      </c>
      <c r="I426" t="inlineStr">
        <is>
          <t>18¹, 54¹</t>
        </is>
      </c>
      <c r="J426" t="n">
        <v>2</v>
      </c>
      <c r="K426" t="inlineStr">
        <is>
          <t>1², 2², 6¹</t>
        </is>
      </c>
      <c r="L426" t="inlineStr">
        <is>
          <t>18B⁰, 27B¹</t>
        </is>
      </c>
      <c r="M426" t="inlineStr">
        <is>
          <t>108A⁴, 54C¹⁰, 54F¹⁰, 54G¹⁰, 54S¹³, 54B¹⁶, 54D¹⁶, 54G¹⁶, 108B¹⁹, 270A²²</t>
        </is>
      </c>
      <c r="N426" t="inlineStr">
        <is>
          <t>3B⁰, 2A⁰, 18B⁰, 6C⁰, 27B¹, 9C⁰, 1A⁰</t>
        </is>
      </c>
      <c r="O426" t="inlineStr">
        <is>
          <t>108D²², 108B²², 54F¹⁰, 54G¹⁰, 54B¹⁶, 54S¹³, 108A⁴, 54G¹⁶, 108C²², 108B¹⁹, 270A²², 54C¹⁰, 54D¹⁶</t>
        </is>
      </c>
    </row>
    <row r="427">
      <c r="A427">
        <f>HYPERLINK("https://mathstats.uncg.edu/sites/pauli/congruence/csg2.html#group54B2", "54B²")</f>
        <v/>
      </c>
      <c r="B427" t="n">
        <v>2</v>
      </c>
      <c r="C427" t="inlineStr"/>
      <c r="D427" t="inlineStr">
        <is>
          <t>108</t>
        </is>
      </c>
      <c r="E427" t="inlineStr">
        <is>
          <t>1</t>
        </is>
      </c>
      <c r="F427" t="inlineStr">
        <is>
          <t>36</t>
        </is>
      </c>
      <c r="G427" t="inlineStr">
        <is>
          <t>0</t>
        </is>
      </c>
      <c r="H427" t="inlineStr">
        <is>
          <t>0</t>
        </is>
      </c>
      <c r="I427" t="inlineStr">
        <is>
          <t>1⁶, 2⁶, 3¹, 6¹, 27¹, 54¹</t>
        </is>
      </c>
      <c r="J427" t="n">
        <v>16</v>
      </c>
      <c r="K427" t="inlineStr">
        <is>
          <t>1⁶, 2⁶, 6³</t>
        </is>
      </c>
      <c r="L427" t="inlineStr">
        <is>
          <t>18E⁰, 27A⁰</t>
        </is>
      </c>
      <c r="M427" t="inlineStr">
        <is>
          <t>54B⁷, 108A⁷, 54I¹⁰, 108E¹¹, 54R¹⁶, 54T¹⁶</t>
        </is>
      </c>
      <c r="N427" t="inlineStr">
        <is>
          <t>3B⁰, 18E⁰, 6F⁰, 27A⁰, 9B⁰, 2B⁰, 1A⁰</t>
        </is>
      </c>
      <c r="O427" t="inlineStr">
        <is>
          <t>108E²¹, 108G¹⁷, 216A¹⁷, 216B²¹, 108A⁷, 54B⁷, 54T¹⁶, 108E¹¹, 54I¹⁰, 108F¹⁷, 54R¹⁶</t>
        </is>
      </c>
    </row>
    <row r="428">
      <c r="A428">
        <f>HYPERLINK("https://mathstats.uncg.edu/sites/pauli/congruence/csg2.html#group63A2", "63A²")</f>
        <v/>
      </c>
      <c r="B428" t="n">
        <v>2</v>
      </c>
      <c r="C428" t="inlineStr"/>
      <c r="D428" t="inlineStr">
        <is>
          <t>63</t>
        </is>
      </c>
      <c r="E428" t="inlineStr">
        <is>
          <t>2</t>
        </is>
      </c>
      <c r="F428" t="inlineStr">
        <is>
          <t>63</t>
        </is>
      </c>
      <c r="G428" t="inlineStr">
        <is>
          <t>15</t>
        </is>
      </c>
      <c r="H428" t="inlineStr">
        <is>
          <t>0</t>
        </is>
      </c>
      <c r="I428" t="inlineStr">
        <is>
          <t>63¹</t>
        </is>
      </c>
      <c r="J428" t="n">
        <v>1</v>
      </c>
      <c r="K428" t="inlineStr">
        <is>
          <t>2¹, 4¹, 6², 12³, 36²</t>
        </is>
      </c>
      <c r="L428" t="inlineStr">
        <is>
          <t>9A⁰, 21A⁰</t>
        </is>
      </c>
      <c r="M428" t="inlineStr">
        <is>
          <t>126A⁵, 126B⁵, 63E⁶, 63F⁶, 63G⁶, 126A⁶, 63D⁷, 126A⁷, 63A⁸, 126A⁸, 126B⁸, 126C⁸, 63B⁹, 63A⁹, 63D⁹, 63B¹⁰, 126A¹¹, 126H¹², 252A¹⁴, 63A¹⁵, 315A²³, 315A²⁴</t>
        </is>
      </c>
      <c r="N428" t="inlineStr">
        <is>
          <t>21A⁰, 3A⁰, 1A⁰, 9A⁰, 7A⁰</t>
        </is>
      </c>
      <c r="O428" t="inlineStr">
        <is>
          <t>126D²⁴, 126E¹⁸, 63A⁸, 63I²⁴, 126A⁶, 126F¹⁵, 126A²², 63E²⁴, 63D²⁴, 63B²⁴, 126C²¹, 63A²⁰, 63D⁷, 126C¹⁷, 126A¹⁸, 126A²¹, 126E²⁴, 63B¹⁰, 126G²¹, 63F⁶, 126F²¹, 252G²⁴, 126B¹⁶, 126A⁸, 126C⁸, 63A¹⁵, 63G²⁴, 63E¹⁹, 126D¹⁸, 63F²⁴, 63A²³, 126E²¹, 63B²³, 126J¹³, 126E¹⁴, 126A⁷, 315A²⁴, 126D²¹, 63B¹⁸, 126C¹⁸, 126B¹⁸, 63E⁶, 63G⁶, 63A¹⁷, 252A¹⁴, 126A⁵, 63D²¹, 126H²¹, 63B¹⁴, 63B²², 126B⁵, 126C¹⁹, 63H²⁴, 63A²², 126A¹¹, 126J¹², 315A²³, 63A⁹, 126A¹⁶, 126A¹⁹, 126B¹⁷, 126D¹⁷, 126B²⁰, 63C¹⁸, 63B⁹, 126B²⁴, 126R²¹, 63D⁹, 126F¹⁴, 126Q²¹, 126K¹³, 126C²⁴, 63D¹⁹, 126B¹⁹, 126A²⁰, 126B⁸, 126H¹²</t>
        </is>
      </c>
    </row>
    <row r="429">
      <c r="A429">
        <f>HYPERLINK("https://mathstats.uncg.edu/sites/pauli/congruence/csg2.html#group64A2", "64A²")</f>
        <v/>
      </c>
      <c r="B429" t="n">
        <v>2</v>
      </c>
      <c r="C429" t="inlineStr"/>
      <c r="D429" t="inlineStr">
        <is>
          <t>96</t>
        </is>
      </c>
      <c r="E429" t="inlineStr">
        <is>
          <t>1</t>
        </is>
      </c>
      <c r="F429" t="inlineStr">
        <is>
          <t>24</t>
        </is>
      </c>
      <c r="G429" t="inlineStr">
        <is>
          <t>0</t>
        </is>
      </c>
      <c r="H429" t="inlineStr">
        <is>
          <t>0</t>
        </is>
      </c>
      <c r="I429" t="inlineStr">
        <is>
          <t>1⁸, 2⁴, 16¹, 64¹</t>
        </is>
      </c>
      <c r="J429" t="n">
        <v>14</v>
      </c>
      <c r="K429" t="inlineStr">
        <is>
          <t>2⁸, 8¹</t>
        </is>
      </c>
      <c r="L429" t="inlineStr">
        <is>
          <t>32A⁰</t>
        </is>
      </c>
      <c r="M429" t="inlineStr">
        <is>
          <t>64D⁵, 64K⁷, 192A¹⁸, 192F¹⁹</t>
        </is>
      </c>
      <c r="N429" t="inlineStr">
        <is>
          <t>8C⁰, 2B⁰, 4B⁰, 1A⁰, 16C⁰, 32A⁰</t>
        </is>
      </c>
      <c r="O429" t="inlineStr">
        <is>
          <t>192A¹⁸, 64V¹³, 64W¹³, 128B¹⁷, 64E²¹, 64K⁷, 64D⁵, 64D²¹, 192F¹⁹, 64B¹⁷, 128A¹⁹</t>
        </is>
      </c>
    </row>
    <row r="430">
      <c r="A430">
        <f>HYPERLINK("https://mathstats.uncg.edu/sites/pauli/congruence/csg2.html#group78A2", "78A²")</f>
        <v/>
      </c>
      <c r="B430" t="n">
        <v>2</v>
      </c>
      <c r="C430" t="inlineStr"/>
      <c r="D430" t="inlineStr">
        <is>
          <t>84</t>
        </is>
      </c>
      <c r="E430" t="inlineStr">
        <is>
          <t>2</t>
        </is>
      </c>
      <c r="F430" t="inlineStr">
        <is>
          <t>14</t>
        </is>
      </c>
      <c r="G430" t="inlineStr">
        <is>
          <t>12</t>
        </is>
      </c>
      <c r="H430" t="inlineStr">
        <is>
          <t>6</t>
        </is>
      </c>
      <c r="I430" t="inlineStr">
        <is>
          <t>6¹, 78¹</t>
        </is>
      </c>
      <c r="J430" t="n">
        <v>2</v>
      </c>
      <c r="K430" t="inlineStr">
        <is>
          <t>2², 24¹</t>
        </is>
      </c>
      <c r="L430" t="inlineStr">
        <is>
          <t>26A⁰, 39A¹</t>
        </is>
      </c>
      <c r="M430" t="inlineStr">
        <is>
          <t>156A⁷, 156B⁷, 78C⁹, 78A¹⁰, 78E¹⁶, 156F¹⁹, 78G²³</t>
        </is>
      </c>
      <c r="N430" t="inlineStr">
        <is>
          <t>13A⁰, 26A⁰, 39A¹, 1A⁰</t>
        </is>
      </c>
      <c r="O430" t="inlineStr">
        <is>
          <t>78C⁹, 78E¹⁶, 156E¹⁹, 78G²³, 78A¹⁰, 156B⁷, 156A⁷, 156F¹⁹</t>
        </is>
      </c>
    </row>
    <row r="431">
      <c r="A431">
        <f>HYPERLINK("https://mathstats.uncg.edu/sites/pauli/congruence/csg3.html#group7A3", "7A³")</f>
        <v/>
      </c>
      <c r="B431" t="n">
        <v>3</v>
      </c>
      <c r="C431" t="inlineStr">
        <is>
          <t>Γ(7)</t>
        </is>
      </c>
      <c r="D431" t="inlineStr">
        <is>
          <t>168</t>
        </is>
      </c>
      <c r="E431" t="inlineStr">
        <is>
          <t>1</t>
        </is>
      </c>
      <c r="F431" t="inlineStr">
        <is>
          <t>1</t>
        </is>
      </c>
      <c r="G431" t="inlineStr">
        <is>
          <t>0</t>
        </is>
      </c>
      <c r="H431" t="inlineStr">
        <is>
          <t>0</t>
        </is>
      </c>
      <c r="I431" t="inlineStr">
        <is>
          <t>7²⁴</t>
        </is>
      </c>
      <c r="J431" t="n">
        <v>24</v>
      </c>
      <c r="K431" t="inlineStr">
        <is>
          <t>1¹</t>
        </is>
      </c>
      <c r="L431" t="inlineStr">
        <is>
          <t>7E⁰, 7B¹, 7C¹</t>
        </is>
      </c>
      <c r="M431" t="inlineStr">
        <is>
          <t>14A¹⁷, 14A¹⁹</t>
        </is>
      </c>
      <c r="N431" t="inlineStr">
        <is>
          <t>7D⁰, 7B⁰, 7C⁰, 7A¹, 7F⁰, 7E⁰, 7G⁰, 7C¹, 1A⁰, 7B¹, 7A⁰</t>
        </is>
      </c>
      <c r="O431" t="inlineStr">
        <is>
          <t>14A¹⁷, 14A¹⁹</t>
        </is>
      </c>
    </row>
    <row r="432">
      <c r="A432">
        <f>HYPERLINK("https://mathstats.uncg.edu/sites/pauli/congruence/csg3.html#group8A3", "8A³")</f>
        <v/>
      </c>
      <c r="B432" t="n">
        <v>3</v>
      </c>
      <c r="C432" t="inlineStr"/>
      <c r="D432" t="inlineStr">
        <is>
          <t>96</t>
        </is>
      </c>
      <c r="E432" t="inlineStr">
        <is>
          <t>1</t>
        </is>
      </c>
      <c r="F432" t="inlineStr">
        <is>
          <t>1</t>
        </is>
      </c>
      <c r="G432" t="inlineStr">
        <is>
          <t>0</t>
        </is>
      </c>
      <c r="H432" t="inlineStr">
        <is>
          <t>0</t>
        </is>
      </c>
      <c r="I432" t="inlineStr">
        <is>
          <t>8¹²</t>
        </is>
      </c>
      <c r="J432" t="n">
        <v>12</v>
      </c>
      <c r="K432" t="inlineStr">
        <is>
          <t>1¹</t>
        </is>
      </c>
      <c r="L432" t="inlineStr">
        <is>
          <t>8E¹, 8F¹, 8I¹</t>
        </is>
      </c>
      <c r="M432" t="inlineStr">
        <is>
          <t>8A⁵, 16A⁹, 16B⁹, 24A¹⁹, 24A²¹</t>
        </is>
      </c>
      <c r="N432" t="inlineStr">
        <is>
          <t>2A⁰, 8A¹, 8D⁰, 4C⁰, 8B⁰, 4G⁰, 2B⁰, 8B¹, 8C⁰, 8E¹, 4E⁰, 8F¹, 4B⁰, 1A⁰, 8H⁰, 8F⁰, 8C¹, 8G⁰, 4A⁰, 8I¹, 4D⁰, 4F⁰, 2C⁰</t>
        </is>
      </c>
      <c r="O432" t="inlineStr">
        <is>
          <t>16C²¹, 32F²¹, 24A¹⁹, 16B⁹, 16A⁹, 16A²¹, 32E²¹, 16B¹³, 24A²¹, 16B²¹, 8A⁵, 16A¹⁷</t>
        </is>
      </c>
    </row>
    <row r="433">
      <c r="A433">
        <f>HYPERLINK("https://mathstats.uncg.edu/sites/pauli/congruence/csg3.html#group8B3", "8B³")</f>
        <v/>
      </c>
      <c r="B433" t="n">
        <v>3</v>
      </c>
      <c r="C433" t="inlineStr"/>
      <c r="D433" t="inlineStr">
        <is>
          <t>96</t>
        </is>
      </c>
      <c r="E433" t="inlineStr">
        <is>
          <t>1</t>
        </is>
      </c>
      <c r="F433" t="inlineStr">
        <is>
          <t>3</t>
        </is>
      </c>
      <c r="G433" t="inlineStr">
        <is>
          <t>0</t>
        </is>
      </c>
      <c r="H433" t="inlineStr">
        <is>
          <t>0</t>
        </is>
      </c>
      <c r="I433" t="inlineStr">
        <is>
          <t>8¹²</t>
        </is>
      </c>
      <c r="J433" t="n">
        <v>12</v>
      </c>
      <c r="K433" t="inlineStr">
        <is>
          <t>1³</t>
        </is>
      </c>
      <c r="L433" t="inlineStr">
        <is>
          <t>8N⁰, 8F¹, 8H¹, 8A², 8B²</t>
        </is>
      </c>
      <c r="M433" t="inlineStr">
        <is>
          <t>8A⁵, 16B⁷, 16D⁹, 16C⁹, 16A¹¹, 24D¹⁹, 24G²¹</t>
        </is>
      </c>
      <c r="N433" t="inlineStr">
        <is>
          <t>2A⁰, 8N⁰, 8A¹, 8D⁰, 4C⁰, 8B², 8A⁰, 8B⁰, 8E⁰, 4G⁰, 2B⁰, 4E⁰, 8C⁰, 8B¹, 4B⁰, 8F¹, 1A⁰, 8D¹, 8H¹, 8K⁰, 8H⁰, 8A², 8C¹, 8G⁰, 4A⁰, 4D⁰, 4F⁰, 8J⁰, 2C⁰</t>
        </is>
      </c>
      <c r="O433" t="inlineStr">
        <is>
          <t>16D⁹, 16C⁹, 16A¹¹, 16D²¹, 16B⁷, 32A²¹, 32B²¹, 8A⁵, 16A¹⁷, 24D¹⁹, 16B¹³, 16B²¹, 32A¹⁹, 32D²¹, 24G²¹, 16E²¹</t>
        </is>
      </c>
    </row>
    <row r="434">
      <c r="A434">
        <f>HYPERLINK("https://mathstats.uncg.edu/sites/pauli/congruence/csg3.html#group9A3", "9A³")</f>
        <v/>
      </c>
      <c r="B434" t="n">
        <v>3</v>
      </c>
      <c r="C434" t="inlineStr"/>
      <c r="D434" t="inlineStr">
        <is>
          <t>108</t>
        </is>
      </c>
      <c r="E434" t="inlineStr">
        <is>
          <t>1</t>
        </is>
      </c>
      <c r="F434" t="inlineStr">
        <is>
          <t>36</t>
        </is>
      </c>
      <c r="G434" t="inlineStr">
        <is>
          <t>0</t>
        </is>
      </c>
      <c r="H434" t="inlineStr">
        <is>
          <t>3</t>
        </is>
      </c>
      <c r="I434" t="inlineStr">
        <is>
          <t>9¹²</t>
        </is>
      </c>
      <c r="J434" t="n">
        <v>12</v>
      </c>
      <c r="K434" t="inlineStr">
        <is>
          <t>3², 6⁵</t>
        </is>
      </c>
      <c r="L434" t="inlineStr">
        <is>
          <t>9F⁰, 9J⁰</t>
        </is>
      </c>
      <c r="M434" t="inlineStr">
        <is>
          <t>9A¹⁰, 18A¹¹, 18E¹⁶, 27E¹⁶, 27D¹⁹, 27C¹⁹</t>
        </is>
      </c>
      <c r="N434" t="inlineStr">
        <is>
          <t>3B⁰, 9J⁰, 9C⁰, 9F⁰, 1A⁰</t>
        </is>
      </c>
      <c r="O434" t="inlineStr">
        <is>
          <t>27E¹⁶, 27D¹⁹, 9A¹⁰, 27C¹⁹, 18E¹⁶, 18A¹¹</t>
        </is>
      </c>
    </row>
    <row r="435">
      <c r="A435">
        <f>HYPERLINK("https://mathstats.uncg.edu/sites/pauli/congruence/csg3.html#group10A3", "10A³")</f>
        <v/>
      </c>
      <c r="B435" t="n">
        <v>3</v>
      </c>
      <c r="C435" t="inlineStr"/>
      <c r="D435" t="inlineStr">
        <is>
          <t>60</t>
        </is>
      </c>
      <c r="E435" t="inlineStr">
        <is>
          <t>1</t>
        </is>
      </c>
      <c r="F435" t="inlineStr">
        <is>
          <t>10</t>
        </is>
      </c>
      <c r="G435" t="inlineStr">
        <is>
          <t>0</t>
        </is>
      </c>
      <c r="H435" t="inlineStr">
        <is>
          <t>0</t>
        </is>
      </c>
      <c r="I435" t="inlineStr">
        <is>
          <t>10⁶</t>
        </is>
      </c>
      <c r="J435" t="n">
        <v>6</v>
      </c>
      <c r="K435" t="inlineStr">
        <is>
          <t>2¹, 4²</t>
        </is>
      </c>
      <c r="L435" t="inlineStr">
        <is>
          <t>2C⁰, 10C¹, 10F¹</t>
        </is>
      </c>
      <c r="M435" t="inlineStr">
        <is>
          <t>10B⁵, 10A⁷, 20B⁷, 20C⁷, 30A¹³, 30A¹⁵, 50A²³</t>
        </is>
      </c>
      <c r="N435" t="inlineStr">
        <is>
          <t>2A⁰, 5C⁰, 10C¹, 2B⁰, 1A⁰, 2C⁰, 10F¹</t>
        </is>
      </c>
      <c r="O435" t="inlineStr">
        <is>
          <t>30A¹⁵, 10A¹³, 40N¹⁵, 20B⁷, 20B¹¹, 30A¹³, 40H¹⁷, 10A⁷, 20C¹⁹, 40C¹⁷, 20D¹⁵, 20E¹⁵, 40B¹⁵, 40C¹⁵, 10B⁵, 20A¹³, 40O¹⁵, 20D¹⁹, 50A²³, 20C⁷, 20C¹⁵, 40T¹⁵, 40D¹⁷</t>
        </is>
      </c>
    </row>
    <row r="436">
      <c r="A436">
        <f>HYPERLINK("https://mathstats.uncg.edu/sites/pauli/congruence/csg3.html#group10B3", "10B³")</f>
        <v/>
      </c>
      <c r="B436" t="n">
        <v>3</v>
      </c>
      <c r="C436" t="inlineStr"/>
      <c r="D436" t="inlineStr">
        <is>
          <t>60</t>
        </is>
      </c>
      <c r="E436" t="inlineStr">
        <is>
          <t>1</t>
        </is>
      </c>
      <c r="F436" t="inlineStr">
        <is>
          <t>15</t>
        </is>
      </c>
      <c r="G436" t="inlineStr">
        <is>
          <t>0</t>
        </is>
      </c>
      <c r="H436" t="inlineStr">
        <is>
          <t>0</t>
        </is>
      </c>
      <c r="I436" t="inlineStr">
        <is>
          <t>10⁶</t>
        </is>
      </c>
      <c r="J436" t="n">
        <v>6</v>
      </c>
      <c r="K436" t="inlineStr">
        <is>
          <t>1¹, 2¹, 4³</t>
        </is>
      </c>
      <c r="L436" t="inlineStr">
        <is>
          <t>5G⁰, 10A¹, 10C¹, 10E¹, 10A²</t>
        </is>
      </c>
      <c r="M436" t="inlineStr">
        <is>
          <t>10A⁵, 10A⁷, 30D¹³, 30E¹³, 20F¹⁵, 30C¹⁵, 50A¹⁹, 50C¹⁹, 50D¹⁹, 50E²¹, 50B²³</t>
        </is>
      </c>
      <c r="N436" t="inlineStr">
        <is>
          <t>2A⁰, 5A⁰, 10A², 10A⁰, 5C⁰, 5B⁰, 5E⁰, 10A¹, 10C¹, 10E¹, 1A⁰, 5G⁰</t>
        </is>
      </c>
      <c r="O436" t="inlineStr">
        <is>
          <t>10A¹³, 20F¹⁵, 50E²¹, 50C¹⁹, 10A⁵, 20D¹⁹, 30E¹³, 10A⁷, 20C¹⁹, 20A¹⁵, 30D¹³, 30C¹⁵, 50B²³, 50A¹⁹, 50D¹⁹</t>
        </is>
      </c>
    </row>
    <row r="437">
      <c r="A437">
        <f>HYPERLINK("https://mathstats.uncg.edu/sites/pauli/congruence/csg3.html#group10C3", "10C³")</f>
        <v/>
      </c>
      <c r="B437" t="n">
        <v>3</v>
      </c>
      <c r="C437" t="inlineStr"/>
      <c r="D437" t="inlineStr">
        <is>
          <t>90</t>
        </is>
      </c>
      <c r="E437" t="inlineStr">
        <is>
          <t>1</t>
        </is>
      </c>
      <c r="F437" t="inlineStr">
        <is>
          <t>45</t>
        </is>
      </c>
      <c r="G437" t="inlineStr">
        <is>
          <t>4</t>
        </is>
      </c>
      <c r="H437" t="inlineStr">
        <is>
          <t>0</t>
        </is>
      </c>
      <c r="I437" t="inlineStr">
        <is>
          <t>10⁹</t>
        </is>
      </c>
      <c r="J437" t="n">
        <v>9</v>
      </c>
      <c r="K437" t="inlineStr">
        <is>
          <t>1³, 2³, 4⁹</t>
        </is>
      </c>
      <c r="L437" t="inlineStr">
        <is>
          <t>10E¹, 10I¹</t>
        </is>
      </c>
      <c r="M437" t="inlineStr">
        <is>
          <t>10A⁶, 10A⁷, 20C⁸, 20C⁹, 20D⁹, 20C¹⁰, 30E¹⁶, 30C²²</t>
        </is>
      </c>
      <c r="N437" t="inlineStr">
        <is>
          <t>5A⁰, 10I¹, 10B¹, 5E⁰, 2B⁰, 10E¹, 1A⁰</t>
        </is>
      </c>
      <c r="O437" t="inlineStr">
        <is>
          <t>20D⁹, 20B¹⁷, 10A¹³, 40I²², 40A²⁰, 40E²⁴, 30C²², 10A⁷, 20C¹⁹, 40F²⁴, 20I¹⁵, 20A²¹, 20A²⁰, 20B²⁰, 40E²³, 20C⁸, 20C⁹, 40H²², 40F²³, 40F²¹, 20B¹⁹, 20D¹⁹, 20C¹⁰, 40B²⁰, 30E¹⁶, 10A⁶</t>
        </is>
      </c>
    </row>
    <row r="438">
      <c r="A438">
        <f>HYPERLINK("https://mathstats.uncg.edu/sites/pauli/congruence/csg3.html#group10D3", "10D³")</f>
        <v/>
      </c>
      <c r="B438" t="n">
        <v>3</v>
      </c>
      <c r="C438" t="inlineStr"/>
      <c r="D438" t="inlineStr">
        <is>
          <t>120</t>
        </is>
      </c>
      <c r="E438" t="inlineStr">
        <is>
          <t>1</t>
        </is>
      </c>
      <c r="F438" t="inlineStr">
        <is>
          <t>20</t>
        </is>
      </c>
      <c r="G438" t="inlineStr">
        <is>
          <t>0</t>
        </is>
      </c>
      <c r="H438" t="inlineStr">
        <is>
          <t>6</t>
        </is>
      </c>
      <c r="I438" t="inlineStr">
        <is>
          <t>10¹²</t>
        </is>
      </c>
      <c r="J438" t="n">
        <v>12</v>
      </c>
      <c r="K438" t="inlineStr">
        <is>
          <t>4⁵</t>
        </is>
      </c>
      <c r="L438" t="inlineStr">
        <is>
          <t>10E⁰, 10H¹, 10J¹</t>
        </is>
      </c>
      <c r="M438" t="inlineStr">
        <is>
          <t>20A¹¹, 10A¹³, 30B²²</t>
        </is>
      </c>
      <c r="N438" t="inlineStr">
        <is>
          <t>10H¹, 2A⁰, 10J¹, 5A⁰, 10A⁰, 10E⁰, 10D⁰, 5F⁰, 10C¹, 1A⁰, 5C⁰</t>
        </is>
      </c>
      <c r="O438" t="inlineStr">
        <is>
          <t>20A¹¹, 10A¹³, 30B²²</t>
        </is>
      </c>
    </row>
    <row r="439">
      <c r="A439">
        <f>HYPERLINK("https://mathstats.uncg.edu/sites/pauli/congruence/csg3.html#group11A3", "11A³")</f>
        <v/>
      </c>
      <c r="B439" t="n">
        <v>3</v>
      </c>
      <c r="C439" t="inlineStr"/>
      <c r="D439" t="inlineStr">
        <is>
          <t>110</t>
        </is>
      </c>
      <c r="E439" t="inlineStr">
        <is>
          <t>2</t>
        </is>
      </c>
      <c r="F439" t="inlineStr">
        <is>
          <t>55</t>
        </is>
      </c>
      <c r="G439" t="inlineStr">
        <is>
          <t>6</t>
        </is>
      </c>
      <c r="H439" t="inlineStr">
        <is>
          <t>2</t>
        </is>
      </c>
      <c r="I439" t="inlineStr">
        <is>
          <t>11¹⁰</t>
        </is>
      </c>
      <c r="J439" t="n">
        <v>10</v>
      </c>
      <c r="K439" t="inlineStr">
        <is>
          <t>10¹¹</t>
        </is>
      </c>
      <c r="L439" t="inlineStr">
        <is>
          <t>11A⁰, 11C¹</t>
        </is>
      </c>
      <c r="M439" t="inlineStr">
        <is>
          <t>11A⁸, 22B¹⁰, 11A¹², 22B¹³, 22D¹⁷, 33A¹⁹</t>
        </is>
      </c>
      <c r="N439" t="inlineStr">
        <is>
          <t>11A⁰, 11C¹, 1A⁰</t>
        </is>
      </c>
      <c r="O439" t="inlineStr">
        <is>
          <t>11A⁸, 11A¹², 33A¹⁹, 22B¹³, 22B¹⁰, 22D¹⁷</t>
        </is>
      </c>
    </row>
    <row r="440">
      <c r="A440">
        <f>HYPERLINK("https://mathstats.uncg.edu/sites/pauli/congruence/csg3.html#group12A3", "12A³")</f>
        <v/>
      </c>
      <c r="B440" t="n">
        <v>3</v>
      </c>
      <c r="C440" t="inlineStr"/>
      <c r="D440" t="inlineStr">
        <is>
          <t>48</t>
        </is>
      </c>
      <c r="E440" t="inlineStr">
        <is>
          <t>1</t>
        </is>
      </c>
      <c r="F440" t="inlineStr">
        <is>
          <t>1</t>
        </is>
      </c>
      <c r="G440" t="inlineStr">
        <is>
          <t>0</t>
        </is>
      </c>
      <c r="H440" t="inlineStr">
        <is>
          <t>0</t>
        </is>
      </c>
      <c r="I440" t="inlineStr">
        <is>
          <t>12⁴</t>
        </is>
      </c>
      <c r="J440" t="n">
        <v>4</v>
      </c>
      <c r="K440" t="inlineStr">
        <is>
          <t>1¹</t>
        </is>
      </c>
      <c r="L440" t="inlineStr">
        <is>
          <t>12B⁰, 6D¹, 12D¹</t>
        </is>
      </c>
      <c r="M440" t="inlineStr">
        <is>
          <t>12A⁷, 12A⁹, 36A⁹, 36E⁹, 36C¹⁰, 36F¹⁰, 36A¹¹, 36B¹¹, 60A¹⁹, 60B²¹</t>
        </is>
      </c>
      <c r="N440" t="inlineStr">
        <is>
          <t>3B⁰, 2A⁰, 12D¹, 6B⁰, 6D¹, 6E⁰, 6B¹, 6C⁰, 3C⁰, 6A¹, 3A⁰, 1A⁰, 3D⁰, 12B⁰</t>
        </is>
      </c>
      <c r="O440" t="inlineStr">
        <is>
          <t>12A⁷, 60B²¹, 36A⁹, 36A¹¹, 36F¹⁰, 60A¹⁹, 12B¹³, 36E⁹, 36B¹¹, 36C¹⁰, 12A⁹</t>
        </is>
      </c>
    </row>
    <row r="441">
      <c r="A441">
        <f>HYPERLINK("https://mathstats.uncg.edu/sites/pauli/congruence/csg3.html#group12B3", "12B³")</f>
        <v/>
      </c>
      <c r="B441" t="n">
        <v>3</v>
      </c>
      <c r="C441" t="inlineStr"/>
      <c r="D441" t="inlineStr">
        <is>
          <t>48</t>
        </is>
      </c>
      <c r="E441" t="inlineStr">
        <is>
          <t>1</t>
        </is>
      </c>
      <c r="F441" t="inlineStr">
        <is>
          <t>4</t>
        </is>
      </c>
      <c r="G441" t="inlineStr">
        <is>
          <t>0</t>
        </is>
      </c>
      <c r="H441" t="inlineStr">
        <is>
          <t>0</t>
        </is>
      </c>
      <c r="I441" t="inlineStr">
        <is>
          <t>12⁴</t>
        </is>
      </c>
      <c r="J441" t="n">
        <v>4</v>
      </c>
      <c r="K441" t="inlineStr">
        <is>
          <t>2²</t>
        </is>
      </c>
      <c r="L441" t="inlineStr">
        <is>
          <t>3D⁰, 12A¹, 12G¹</t>
        </is>
      </c>
      <c r="M441" t="inlineStr">
        <is>
          <t>12A⁵, 12C⁷, 24D⁷, 36G⁹, 36H¹⁰, 36C¹¹, 24C¹³, 60C¹⁹, 60E²¹</t>
        </is>
      </c>
      <c r="N441" t="inlineStr">
        <is>
          <t>12G¹, 3B⁰, 12A⁰, 4A⁰, 12A¹, 3C⁰, 1A⁰, 3A⁰, 3D⁰</t>
        </is>
      </c>
      <c r="O441" t="inlineStr">
        <is>
          <t>36C¹⁷, 36G⁹, 36C¹¹, 36B²¹, 72O²¹, 48D¹⁵, 36H¹⁰, 24B¹³, 24D⁷, 24A¹³, 12A⁵, 24J¹⁹, 72F²³, 72C²², 24C¹⁵, 12A⁹, 36H¹⁹, 36E¹⁷, 12A¹³, 60C¹⁹, 36A²¹, 36E¹⁹, 24D¹⁷, 60E²¹, 12C⁷, 24E¹⁷, 24C¹³</t>
        </is>
      </c>
    </row>
    <row r="442">
      <c r="A442">
        <f>HYPERLINK("https://mathstats.uncg.edu/sites/pauli/congruence/csg3.html#group12C3", "12C³")</f>
        <v/>
      </c>
      <c r="B442" t="n">
        <v>3</v>
      </c>
      <c r="C442" t="inlineStr"/>
      <c r="D442" t="inlineStr">
        <is>
          <t>48</t>
        </is>
      </c>
      <c r="E442" t="inlineStr">
        <is>
          <t>1</t>
        </is>
      </c>
      <c r="F442" t="inlineStr">
        <is>
          <t>12</t>
        </is>
      </c>
      <c r="G442" t="inlineStr">
        <is>
          <t>0</t>
        </is>
      </c>
      <c r="H442" t="inlineStr">
        <is>
          <t>0</t>
        </is>
      </c>
      <c r="I442" t="inlineStr">
        <is>
          <t>12⁴</t>
        </is>
      </c>
      <c r="J442" t="n">
        <v>4</v>
      </c>
      <c r="K442" t="inlineStr">
        <is>
          <t>2², 4²</t>
        </is>
      </c>
      <c r="L442" t="inlineStr">
        <is>
          <t>12F⁰, 6B¹, 12G¹, 12A²</t>
        </is>
      </c>
      <c r="M442" t="inlineStr">
        <is>
          <t>12A⁵, 12B⁷, 24A⁷, 24B⁷, 36J⁹, 36D¹¹, 36E¹¹, 36F¹¹, 24F¹³, 60G¹⁹, 60O²¹</t>
        </is>
      </c>
      <c r="N442" t="inlineStr">
        <is>
          <t>12G¹, 2A⁰, 12A⁰, 6B⁰, 6B¹, 4A⁰, 4D⁰, 12F⁰, 12A², 3C⁰, 6A¹, 3A⁰, 1A⁰</t>
        </is>
      </c>
      <c r="O442" t="inlineStr">
        <is>
          <t>36B²¹, 12A⁵, 24B¹⁹, 12A⁹, 72H²³, 48A¹⁵, 72G²³, 72M²¹, 12A¹³, 48C¹⁵, 36A²¹, 72C²³, 24B¹⁵, 36E¹⁷, 48B¹⁵, 12B⁷, 36D¹¹, 36J⁹, 36E¹¹, 60G¹⁹, 24A¹⁵, 24F¹³, 36C¹⁷, 36F¹¹, 72A²³, 24B¹³, 24G¹⁷, 72N²¹, 24J¹⁷, 24A¹³, 24A⁷, 72B²³, 36H¹⁹, 36E¹⁹, 24C¹⁹, 72D²³, 60O²¹, 24B⁷</t>
        </is>
      </c>
    </row>
    <row r="443">
      <c r="A443">
        <f>HYPERLINK("https://mathstats.uncg.edu/sites/pauli/congruence/csg3.html#group12D3", "12D³")</f>
        <v/>
      </c>
      <c r="B443" t="n">
        <v>3</v>
      </c>
      <c r="C443" t="inlineStr"/>
      <c r="D443" t="inlineStr">
        <is>
          <t>72</t>
        </is>
      </c>
      <c r="E443" t="inlineStr">
        <is>
          <t>1</t>
        </is>
      </c>
      <c r="F443" t="inlineStr">
        <is>
          <t>3</t>
        </is>
      </c>
      <c r="G443" t="inlineStr">
        <is>
          <t>0</t>
        </is>
      </c>
      <c r="H443" t="inlineStr">
        <is>
          <t>0</t>
        </is>
      </c>
      <c r="I443" t="inlineStr">
        <is>
          <t>6⁴, 12⁴</t>
        </is>
      </c>
      <c r="J443" t="n">
        <v>8</v>
      </c>
      <c r="K443" t="inlineStr">
        <is>
          <t>1³</t>
        </is>
      </c>
      <c r="L443" t="inlineStr">
        <is>
          <t>6K⁰, 12F¹, 12L¹, 12C²</t>
        </is>
      </c>
      <c r="M443" t="inlineStr">
        <is>
          <t>12B⁵, 12C⁷, 24H⁷, 24A⁹, 24B⁹, 36I¹¹, 36D¹³, 36A¹⁵</t>
        </is>
      </c>
      <c r="N443" t="inlineStr">
        <is>
          <t>3B⁰, 12C⁰, 12F¹, 4C⁰, 6G⁰, 2B⁰, 1A⁰, 12L¹, 3D⁰, 12C¹, 6F⁰, 3C⁰, 6K⁰, 3A⁰, 12C², 6D⁰</t>
        </is>
      </c>
      <c r="O443" t="inlineStr">
        <is>
          <t>36E²¹, 48G¹⁵, 12B⁵, 12B⁹, 48X²¹, 24B⁹, 36A¹⁵, 48H²¹, 12B¹³, 36D¹³, 24K¹³, 24E¹⁷, 24J¹⁹, 24C¹⁵, 24L¹⁷, 36I¹¹, 48B²¹, 48W²¹, 48J¹⁹, 48C²¹, 24A⁹, 12A¹³, 24K¹⁷, 48A²¹, 48D²¹, 24D¹⁷, 24J¹³, 48G²¹, 12C⁷, 24O¹³, 24P¹³, 24A¹⁷, 24H⁷, 24C¹⁷</t>
        </is>
      </c>
    </row>
    <row r="444">
      <c r="A444">
        <f>HYPERLINK("https://mathstats.uncg.edu/sites/pauli/congruence/csg3.html#group12E3", "12E³")</f>
        <v/>
      </c>
      <c r="B444" t="n">
        <v>3</v>
      </c>
      <c r="C444" t="inlineStr"/>
      <c r="D444" t="inlineStr">
        <is>
          <t>72</t>
        </is>
      </c>
      <c r="E444" t="inlineStr">
        <is>
          <t>1</t>
        </is>
      </c>
      <c r="F444" t="inlineStr">
        <is>
          <t>9</t>
        </is>
      </c>
      <c r="G444" t="inlineStr">
        <is>
          <t>0</t>
        </is>
      </c>
      <c r="H444" t="inlineStr">
        <is>
          <t>0</t>
        </is>
      </c>
      <c r="I444" t="inlineStr">
        <is>
          <t>6⁴, 12⁴</t>
        </is>
      </c>
      <c r="J444" t="n">
        <v>8</v>
      </c>
      <c r="K444" t="inlineStr">
        <is>
          <t>1³, 2³</t>
        </is>
      </c>
      <c r="L444" t="inlineStr">
        <is>
          <t>6L⁰, 12K¹, 12N¹, 12C², 12D²</t>
        </is>
      </c>
      <c r="M444" t="inlineStr">
        <is>
          <t>12B⁵, 12E⁷, 24N⁷, 24L⁹, 36L¹¹, 36B¹⁵, 36I¹⁵</t>
        </is>
      </c>
      <c r="N444" t="inlineStr">
        <is>
          <t>6B⁰, 12K¹, 12D², 6G⁰, 2B⁰, 12N¹, 4B⁰, 1A⁰, 12C¹, 6E⁰, 6L⁰, 3C⁰, 12B¹, 12D⁰, 6H⁰, 3A⁰, 12C², 6D⁰</t>
        </is>
      </c>
      <c r="O444" t="inlineStr">
        <is>
          <t>48V¹⁷, 36L¹¹, 36E²¹, 12B⁵, 12B⁹, 36I¹⁵, 24N⁷, 24X¹⁷, 12E⁷, 12B¹³, 24H¹⁵, 24K¹³, 48G¹⁷, 48F¹⁷, 48AA¹⁹, 24G¹⁵, 36B¹⁵, 12A¹³, 24J¹³, 48R¹⁵, 24L⁹, 24O¹³, 24P¹³, 24A¹⁷, 24C¹⁷</t>
        </is>
      </c>
    </row>
    <row r="445">
      <c r="A445">
        <f>HYPERLINK("https://mathstats.uncg.edu/sites/pauli/congruence/csg3.html#group12F3", "12F³")</f>
        <v/>
      </c>
      <c r="B445" t="n">
        <v>3</v>
      </c>
      <c r="C445" t="inlineStr"/>
      <c r="D445" t="inlineStr">
        <is>
          <t>72</t>
        </is>
      </c>
      <c r="E445" t="inlineStr">
        <is>
          <t>1</t>
        </is>
      </c>
      <c r="F445" t="inlineStr">
        <is>
          <t>9</t>
        </is>
      </c>
      <c r="G445" t="inlineStr">
        <is>
          <t>0</t>
        </is>
      </c>
      <c r="H445" t="inlineStr">
        <is>
          <t>0</t>
        </is>
      </c>
      <c r="I445" t="inlineStr">
        <is>
          <t>6⁴, 12⁴</t>
        </is>
      </c>
      <c r="J445" t="n">
        <v>8</v>
      </c>
      <c r="K445" t="inlineStr">
        <is>
          <t>1³, 2³</t>
        </is>
      </c>
      <c r="L445" t="inlineStr">
        <is>
          <t>12G⁰, 6E¹, 12N¹, 12C², 12E²</t>
        </is>
      </c>
      <c r="M445" t="inlineStr">
        <is>
          <t>12B⁵, 12D⁷, 24M⁷, 24K⁹, 36M¹¹, 36C¹⁵, 36J¹⁵</t>
        </is>
      </c>
      <c r="N445" t="inlineStr">
        <is>
          <t>6E¹, 2A⁰, 6B⁰, 6C¹, 12E², 6G⁰, 2B⁰, 12N¹, 1A⁰, 12G⁰, 6A⁰, 12C¹, 6B¹, 3C⁰, 6A¹, 12D⁰, 6H⁰, 3A⁰, 12C², 2C⁰, 6D⁰</t>
        </is>
      </c>
      <c r="O445" t="inlineStr">
        <is>
          <t>24M⁷, 36E²¹, 12B⁵, 12B⁹, 36C¹⁵, 24H¹⁷, 12B¹³, 24I¹⁷, 24K¹³, 24F¹⁵, 24J¹⁵, 12D⁷, 36M¹¹, 12A¹³, 24J¹³, 24K¹⁹, 24K⁹, 24Y¹⁷, 24O¹³, 24P¹³, 24A¹⁷, 36J¹⁵, 24C¹⁷</t>
        </is>
      </c>
    </row>
    <row r="446">
      <c r="A446">
        <f>HYPERLINK("https://mathstats.uncg.edu/sites/pauli/congruence/csg3.html#group12G3", "12G³")</f>
        <v/>
      </c>
      <c r="B446" t="n">
        <v>3</v>
      </c>
      <c r="C446" t="inlineStr"/>
      <c r="D446" t="inlineStr">
        <is>
          <t>72</t>
        </is>
      </c>
      <c r="E446" t="inlineStr">
        <is>
          <t>1</t>
        </is>
      </c>
      <c r="F446" t="inlineStr">
        <is>
          <t>9</t>
        </is>
      </c>
      <c r="G446" t="inlineStr">
        <is>
          <t>0</t>
        </is>
      </c>
      <c r="H446" t="inlineStr">
        <is>
          <t>0</t>
        </is>
      </c>
      <c r="I446" t="inlineStr">
        <is>
          <t>6⁴, 12⁴</t>
        </is>
      </c>
      <c r="J446" t="n">
        <v>8</v>
      </c>
      <c r="K446" t="inlineStr">
        <is>
          <t>1³, 2³</t>
        </is>
      </c>
      <c r="L446" t="inlineStr">
        <is>
          <t>12H⁰, 6E¹, 12K¹, 12L¹, 12B², 12D², 12E²</t>
        </is>
      </c>
      <c r="M446" t="inlineStr">
        <is>
          <t>12B⁵, 12B⁷, 12D⁷, 24I⁷, 24J⁷, 24V⁷, 24W⁷, 24G⁹, 24J⁹, 36N¹¹, 36D¹⁵, 36K¹⁵</t>
        </is>
      </c>
      <c r="N446" t="inlineStr">
        <is>
          <t>6E¹, 2A⁰, 6B⁰, 12K¹, 3A⁰, 12C⁰, 12D², 6C¹, 4C⁰, 12B², 12E², 6G⁰, 2B⁰, 4E⁰, 4B⁰, 12L¹, 1A⁰, 6A⁰, 12C¹, 6B¹, 3C⁰, 6A¹, 12B¹, 12D⁰, 6H⁰, 12H⁰, 2C⁰, 6D⁰</t>
        </is>
      </c>
      <c r="O446" t="inlineStr">
        <is>
          <t>48AO²¹, 36K¹⁵, 12B⁵, 24J⁷, 24G⁹, 36D¹⁵, 24I¹⁷, 48S²¹, 24B¹⁹, 24F¹⁵, 24Z¹⁷, 48U¹⁷, 48AU²¹, 48P²¹, 12A¹³, 48O²¹, 48Y²¹, 48E¹⁵, 24B¹⁵, 24J¹³, 12B⁷, 24I⁷, 24K¹⁹, 36N¹¹, 24J⁹, 24D¹⁵, 24O¹³, 24A¹⁷, 24A¹⁵, 48K¹⁵, 36E²¹, 48Z²¹, 48F¹⁵, 24V¹⁷, 48K¹⁹, 24V⁷, 12B⁹, 48K¹⁷, 24G¹⁷, 24H¹⁷, 12B¹³, 24J¹⁷, 24K¹³, 24W⁷, 24E¹⁵, 24J¹⁵, 24I¹⁵, 12D⁷, 48F¹⁹, 24T¹⁷, 48E¹⁹, 48K²¹, 24C¹⁹, 24Y¹⁷, 24P¹³, 48AP²¹, 24C¹⁷, 48E¹⁷</t>
        </is>
      </c>
    </row>
    <row r="447">
      <c r="A447">
        <f>HYPERLINK("https://mathstats.uncg.edu/sites/pauli/congruence/csg3.html#group12H3", "12H³")</f>
        <v/>
      </c>
      <c r="B447" t="n">
        <v>3</v>
      </c>
      <c r="C447" t="inlineStr"/>
      <c r="D447" t="inlineStr">
        <is>
          <t>72</t>
        </is>
      </c>
      <c r="E447" t="inlineStr">
        <is>
          <t>1</t>
        </is>
      </c>
      <c r="F447" t="inlineStr">
        <is>
          <t>18</t>
        </is>
      </c>
      <c r="G447" t="inlineStr">
        <is>
          <t>4</t>
        </is>
      </c>
      <c r="H447" t="inlineStr">
        <is>
          <t>0</t>
        </is>
      </c>
      <c r="I447" t="inlineStr">
        <is>
          <t>12⁶</t>
        </is>
      </c>
      <c r="J447" t="n">
        <v>6</v>
      </c>
      <c r="K447" t="inlineStr">
        <is>
          <t>2³, 4³</t>
        </is>
      </c>
      <c r="L447" t="inlineStr">
        <is>
          <t>6L⁰, 12D¹</t>
        </is>
      </c>
      <c r="M447" t="inlineStr">
        <is>
          <t>12C⁵, 12A⁷, 12E⁷, 36A¹², 36B¹², 36G¹³, 36L¹⁵</t>
        </is>
      </c>
      <c r="N447" t="inlineStr">
        <is>
          <t>12D¹, 6B⁰, 6E⁰, 6L⁰, 6G⁰, 3C⁰, 2B⁰, 6H⁰, 3A⁰, 1A⁰, 6D⁰</t>
        </is>
      </c>
      <c r="O447" t="inlineStr">
        <is>
          <t>12A⁷, 36A¹², 36B¹², 12C⁵, 36C²³, 24M¹⁷, 24K¹⁵, 24X¹⁷, 12E⁷, 36L¹⁵, 12B¹³, 24Q¹³, 36G¹³, 36B²³, 12A¹¹</t>
        </is>
      </c>
    </row>
    <row r="448">
      <c r="A448">
        <f>HYPERLINK("https://mathstats.uncg.edu/sites/pauli/congruence/csg3.html#group12I3", "12I³")</f>
        <v/>
      </c>
      <c r="B448" t="n">
        <v>3</v>
      </c>
      <c r="C448" t="inlineStr"/>
      <c r="D448" t="inlineStr">
        <is>
          <t>72</t>
        </is>
      </c>
      <c r="E448" t="inlineStr">
        <is>
          <t>1</t>
        </is>
      </c>
      <c r="F448" t="inlineStr">
        <is>
          <t>18</t>
        </is>
      </c>
      <c r="G448" t="inlineStr">
        <is>
          <t>4</t>
        </is>
      </c>
      <c r="H448" t="inlineStr">
        <is>
          <t>0</t>
        </is>
      </c>
      <c r="I448" t="inlineStr">
        <is>
          <t>12⁶</t>
        </is>
      </c>
      <c r="J448" t="n">
        <v>6</v>
      </c>
      <c r="K448" t="inlineStr">
        <is>
          <t>1², 2⁴, 4²</t>
        </is>
      </c>
      <c r="L448" t="inlineStr">
        <is>
          <t>12L¹, 12M¹</t>
        </is>
      </c>
      <c r="M448" t="inlineStr">
        <is>
          <t>12D⁵, 12C⁷, 12D⁷, 24O⁷, 24P⁷, 24O⁹, 24N⁹, 36C¹², 36H¹³, 36M¹⁵</t>
        </is>
      </c>
      <c r="N448" t="inlineStr">
        <is>
          <t>12C⁰, 12C¹, 4C⁰, 6G⁰, 3C⁰, 1A⁰, 12M¹, 2B⁰, 3A⁰, 12L¹, 6D⁰</t>
        </is>
      </c>
      <c r="O448" t="inlineStr">
        <is>
          <t>48O¹⁷, 48N¹⁷, 36H¹³, 24R¹³, 48AI¹⁷, 36M¹⁵, 24AA¹⁷, 24I¹⁷, 24L¹⁵, 24C¹⁵, 48AJ¹⁷, 24O⁹, 24AI¹⁷, 24F¹⁵, 12A¹¹, 12A¹³, 24D¹⁷, 24K¹⁹, 36C¹², 48BT²¹, 24U¹⁵, 24E¹⁷, 24P⁷, 48AC²¹, 24T¹³, 24O⁷, 48X¹⁹, 24U¹³, 12D⁵, 24H¹⁷, 48AF¹⁹, 48BB¹⁹, 24N¹⁷, 48AG¹⁹, 48AB²¹, 24J¹⁹, 48W¹⁹, 24J¹⁵, 36D²³, 12D⁷, 24AE¹⁷, 24Y¹⁷, 12C⁷, 24N⁹</t>
        </is>
      </c>
    </row>
    <row r="449">
      <c r="A449">
        <f>HYPERLINK("https://mathstats.uncg.edu/sites/pauli/congruence/csg3.html#group12J3", "12J³")</f>
        <v/>
      </c>
      <c r="B449" t="n">
        <v>3</v>
      </c>
      <c r="C449" t="inlineStr"/>
      <c r="D449" t="inlineStr">
        <is>
          <t>72</t>
        </is>
      </c>
      <c r="E449" t="inlineStr">
        <is>
          <t>1</t>
        </is>
      </c>
      <c r="F449" t="inlineStr">
        <is>
          <t>18</t>
        </is>
      </c>
      <c r="G449" t="inlineStr">
        <is>
          <t>4</t>
        </is>
      </c>
      <c r="H449" t="inlineStr">
        <is>
          <t>0</t>
        </is>
      </c>
      <c r="I449" t="inlineStr">
        <is>
          <t>12⁶</t>
        </is>
      </c>
      <c r="J449" t="n">
        <v>6</v>
      </c>
      <c r="K449" t="inlineStr">
        <is>
          <t>1², 2⁴, 4²</t>
        </is>
      </c>
      <c r="L449" t="inlineStr">
        <is>
          <t>12G¹, 12J¹, 12L¹, 12M¹</t>
        </is>
      </c>
      <c r="M449" t="inlineStr">
        <is>
          <t>12D⁵, 12B⁷, 12C⁷, 24Q⁷, 24R⁷, 24X⁷, 24Y⁷, 24P⁹, 24R⁹, 24V⁹, 24Y⁹, 36D¹², 36I¹³, 36N¹⁵</t>
        </is>
      </c>
      <c r="N449" t="inlineStr">
        <is>
          <t>12G¹, 12C⁰, 4C⁰, 6G⁰, 12M¹, 2B⁰, 1A⁰, 12L¹, 12A⁰, 12C¹, 4A⁰, 3C⁰, 12J¹, 4F⁰, 3A⁰, 6D⁰</t>
        </is>
      </c>
      <c r="O449" t="inlineStr">
        <is>
          <t>48BM¹⁷, 24R¹³, 24X⁷, 36D¹², 24M¹⁹, 24AA¹⁷, 48AI¹⁹, 48AK¹⁷, 24L¹⁵, 24C¹⁵, 24B¹⁹, 12A¹¹, 24AB¹⁷, 48AF²¹, 24R⁷, 48AZ²¹, 12A¹³, 48Z¹⁹, 48AE¹⁷, 24O¹⁹, 24B¹⁵, 24D¹⁷, 12B⁷, 24Y⁹, 24AH¹⁷, 48Q¹⁷, 24AC¹⁷, 24E¹⁷, 24AD¹⁷, 24A¹⁵, 24P⁹, 24AG¹⁷, 36N¹⁵, 24T¹³, 48AD²¹, 36I¹³, 24G¹⁷, 48AL¹⁹, 24U¹³, 12D⁵, 24N¹⁵, 48BL¹⁷, 24J¹⁷, 48P¹⁷, 48AL¹⁷, 24Q⁷, 24N¹⁹, 24N¹⁷, 24J¹⁹, 48BW²¹, 48AH¹⁹, 24R⁹, 36D²³, 24AF¹⁷, 48AF¹⁷, 48V¹⁹, 48BA²¹, 24V⁹, 24C¹⁹, 48BK¹⁷, 24AE¹⁷, 48BJ¹⁷, 48BI¹⁷, 12C⁷, 24Q¹⁹, 48BY²¹, 48AM¹⁹, 24Y⁷, 24M¹⁵</t>
        </is>
      </c>
    </row>
    <row r="450">
      <c r="A450">
        <f>HYPERLINK("https://mathstats.uncg.edu/sites/pauli/congruence/csg3.html#group12K3", "12K³")</f>
        <v/>
      </c>
      <c r="B450" t="n">
        <v>3</v>
      </c>
      <c r="C450" t="inlineStr"/>
      <c r="D450" t="inlineStr">
        <is>
          <t>96</t>
        </is>
      </c>
      <c r="E450" t="inlineStr">
        <is>
          <t>1</t>
        </is>
      </c>
      <c r="F450" t="inlineStr">
        <is>
          <t>4</t>
        </is>
      </c>
      <c r="G450" t="inlineStr">
        <is>
          <t>0</t>
        </is>
      </c>
      <c r="H450" t="inlineStr">
        <is>
          <t>0</t>
        </is>
      </c>
      <c r="I450" t="inlineStr">
        <is>
          <t>4⁶, 12⁶</t>
        </is>
      </c>
      <c r="J450" t="n">
        <v>12</v>
      </c>
      <c r="K450" t="inlineStr">
        <is>
          <t>1², 2¹</t>
        </is>
      </c>
      <c r="L450" t="inlineStr">
        <is>
          <t>4G⁰, 12I¹, 12P¹, 12G²</t>
        </is>
      </c>
      <c r="M450" t="inlineStr">
        <is>
          <t>12E⁵, 24AF⁷, 24AG⁷, 24AC⁹, 24AF⁹, 24A¹¹, 24B¹¹, 12A¹³, 36T¹³, 36A¹⁹, 36B¹⁹</t>
        </is>
      </c>
      <c r="N450" t="inlineStr">
        <is>
          <t>2A⁰, 3B⁰, 12I¹, 12F¹, 6I⁰, 4C⁰, 6C⁰, 4G⁰, 2B⁰, 4E⁰, 12P¹, 4B⁰, 1A⁰, 4A⁰, 4D⁰, 12A¹, 12G², 4F⁰, 6F⁰, 2C⁰, 12E⁰</t>
        </is>
      </c>
      <c r="O450" t="inlineStr">
        <is>
          <t>48CE²¹, 24AT¹⁷, 24AF⁷, 24F²¹, 48BO¹⁹, 24B²¹, 24E²¹, 24AG⁷, 24A²¹, 24AB¹³, 24A¹¹, 36B¹⁹, 48CB²¹, 12E⁵, 24AN¹⁷, 24D²¹, 48CD²¹, 24AP¹⁷, 12A¹³, 48BP¹⁹, 24B¹¹, 36A¹⁹, 36T¹³, 48CF²¹, 24AC⁹, 24C²¹, 24G²¹, 24AF⁹, 24AO¹⁷</t>
        </is>
      </c>
    </row>
    <row r="451">
      <c r="A451">
        <f>HYPERLINK("https://mathstats.uncg.edu/sites/pauli/congruence/csg3.html#group12L3", "12L³")</f>
        <v/>
      </c>
      <c r="B451" t="n">
        <v>3</v>
      </c>
      <c r="C451" t="inlineStr"/>
      <c r="D451" t="inlineStr">
        <is>
          <t>96</t>
        </is>
      </c>
      <c r="E451" t="inlineStr">
        <is>
          <t>1</t>
        </is>
      </c>
      <c r="F451" t="inlineStr">
        <is>
          <t>12</t>
        </is>
      </c>
      <c r="G451" t="inlineStr">
        <is>
          <t>0</t>
        </is>
      </c>
      <c r="H451" t="inlineStr">
        <is>
          <t>0</t>
        </is>
      </c>
      <c r="I451" t="inlineStr">
        <is>
          <t>4⁶, 12⁶</t>
        </is>
      </c>
      <c r="J451" t="n">
        <v>12</v>
      </c>
      <c r="K451" t="inlineStr">
        <is>
          <t>1⁶, 2³</t>
        </is>
      </c>
      <c r="L451" t="inlineStr">
        <is>
          <t>12I⁰, 12P¹, 12F²</t>
        </is>
      </c>
      <c r="M451" t="inlineStr">
        <is>
          <t>12E⁵, 24AL⁷, 24AE⁹, 24AD⁹, 12B¹³, 36U¹³, 36D¹⁹, 36C¹⁹</t>
        </is>
      </c>
      <c r="N451" t="inlineStr">
        <is>
          <t>3B⁰, 2A⁰, 6I⁰, 12F¹, 6C⁰, 12I⁰, 4C⁰, 2B⁰, 4E⁰, 12P¹, 4B⁰, 1A⁰, 12F², 6F⁰, 2C⁰, 12E⁰, 12B⁰</t>
        </is>
      </c>
      <c r="O451" t="inlineStr">
        <is>
          <t>48CA²¹, 24AE⁹, 36U¹³, 48CJ²¹, 24AL⁷, 24AP¹⁷, 48CC²¹, 24B²¹, 24AR¹⁷, 12B¹³, 36D¹⁹, 24AD⁹, 24AS¹⁷, 24AB¹³, 12E⁵, 36C¹⁹</t>
        </is>
      </c>
    </row>
    <row r="452">
      <c r="A452">
        <f>HYPERLINK("https://mathstats.uncg.edu/sites/pauli/congruence/csg3.html#group12M3", "12M³")</f>
        <v/>
      </c>
      <c r="B452" t="n">
        <v>3</v>
      </c>
      <c r="C452" t="inlineStr"/>
      <c r="D452" t="inlineStr">
        <is>
          <t>96</t>
        </is>
      </c>
      <c r="E452" t="inlineStr">
        <is>
          <t>1</t>
        </is>
      </c>
      <c r="F452" t="inlineStr">
        <is>
          <t>24</t>
        </is>
      </c>
      <c r="G452" t="inlineStr">
        <is>
          <t>8</t>
        </is>
      </c>
      <c r="H452" t="inlineStr">
        <is>
          <t>0</t>
        </is>
      </c>
      <c r="I452" t="inlineStr">
        <is>
          <t>12⁸</t>
        </is>
      </c>
      <c r="J452" t="n">
        <v>8</v>
      </c>
      <c r="K452" t="inlineStr">
        <is>
          <t>4⁶</t>
        </is>
      </c>
      <c r="L452" t="inlineStr">
        <is>
          <t>12D¹, 12Q¹</t>
        </is>
      </c>
      <c r="M452" t="inlineStr">
        <is>
          <t>12A⁹, 12A¹¹, 24K¹¹, 36P¹⁵, 36Q¹⁵, 36R¹⁵, 36S¹⁵, 36T¹⁵, 36K¹⁹, 36L¹⁹, 24K²¹</t>
        </is>
      </c>
      <c r="N452" t="inlineStr">
        <is>
          <t>12G¹, 12D¹, 12A⁰, 6B⁰, 6E⁰, 4A⁰, 12F⁰, 12Q¹, 3C⁰, 3A⁰, 1A⁰</t>
        </is>
      </c>
      <c r="O452" t="inlineStr">
        <is>
          <t>24K¹¹, 36S¹⁵, 36P¹⁵, 24K²¹, 36T¹⁵, 36Q¹⁵, 36K¹⁹, 36L¹⁹, 36R¹⁵, 12A¹¹, 12A⁹</t>
        </is>
      </c>
    </row>
    <row r="453">
      <c r="A453">
        <f>HYPERLINK("https://mathstats.uncg.edu/sites/pauli/congruence/csg3.html#group12N3", "12N³")</f>
        <v/>
      </c>
      <c r="B453" t="n">
        <v>3</v>
      </c>
      <c r="C453" t="inlineStr"/>
      <c r="D453" t="inlineStr">
        <is>
          <t>144</t>
        </is>
      </c>
      <c r="E453" t="inlineStr">
        <is>
          <t>1</t>
        </is>
      </c>
      <c r="F453" t="inlineStr">
        <is>
          <t>3</t>
        </is>
      </c>
      <c r="G453" t="inlineStr">
        <is>
          <t>0</t>
        </is>
      </c>
      <c r="H453" t="inlineStr">
        <is>
          <t>0</t>
        </is>
      </c>
      <c r="I453" t="inlineStr">
        <is>
          <t>6¹⁶, 12⁴</t>
        </is>
      </c>
      <c r="J453" t="n">
        <v>20</v>
      </c>
      <c r="K453" t="inlineStr">
        <is>
          <t>1³</t>
        </is>
      </c>
      <c r="L453" t="inlineStr">
        <is>
          <t>12I⁰, 6F¹, 12U¹</t>
        </is>
      </c>
      <c r="M453" t="inlineStr">
        <is>
          <t>12B⁹, 12B¹³, 36I¹⁷, 36K²²</t>
        </is>
      </c>
      <c r="N453" t="inlineStr">
        <is>
          <t>2A⁰, 6C¹, 12I⁰, 6G⁰, 2B⁰, 1A⁰, 6B¹, 3C⁰, 6K⁰, 6A¹, 6H⁰, 3A⁰, 6F⁰, 6E¹, 3B⁰, 12U¹, 6B⁰, 6I⁰, 6F¹, 6C⁰, 6D¹, 6A⁰, 6E⁰, 6L⁰, 6J⁰, 3D⁰, 2C⁰, 6D⁰</t>
        </is>
      </c>
      <c r="O453" t="inlineStr">
        <is>
          <t>36I¹⁷, 12B¹³, 12B⁹, 36K²²</t>
        </is>
      </c>
    </row>
    <row r="454">
      <c r="A454">
        <f>HYPERLINK("https://mathstats.uncg.edu/sites/pauli/congruence/csg3.html#group12O3", "12O³")</f>
        <v/>
      </c>
      <c r="B454" t="n">
        <v>3</v>
      </c>
      <c r="C454" t="inlineStr"/>
      <c r="D454" t="inlineStr">
        <is>
          <t>144</t>
        </is>
      </c>
      <c r="E454" t="inlineStr">
        <is>
          <t>1</t>
        </is>
      </c>
      <c r="F454" t="inlineStr">
        <is>
          <t>6</t>
        </is>
      </c>
      <c r="G454" t="inlineStr">
        <is>
          <t>0</t>
        </is>
      </c>
      <c r="H454" t="inlineStr">
        <is>
          <t>0</t>
        </is>
      </c>
      <c r="I454" t="inlineStr">
        <is>
          <t>3⁸, 6⁴, 12⁸</t>
        </is>
      </c>
      <c r="J454" t="n">
        <v>20</v>
      </c>
      <c r="K454" t="inlineStr">
        <is>
          <t>1⁴, 2¹</t>
        </is>
      </c>
      <c r="L454" t="inlineStr">
        <is>
          <t>12J⁰, 12S¹</t>
        </is>
      </c>
      <c r="M454" t="inlineStr">
        <is>
          <t>12B⁹, 24AP⁹, 24L¹³, 36K¹⁷, 36L²²</t>
        </is>
      </c>
      <c r="N454" t="inlineStr">
        <is>
          <t>3B⁰, 12K¹, 12J⁰, 6G⁰, 12S¹, 2B⁰, 4B⁰, 1A⁰, 3D⁰, 12G⁰, 6D⁰, 3C⁰, 6K⁰, 12B¹, 12D⁰, 3A⁰, 6F⁰, 12E⁰</t>
        </is>
      </c>
      <c r="O454" t="inlineStr">
        <is>
          <t>36L²², 24L¹³, 36K¹⁷, 12B⁹, 24AP⁹</t>
        </is>
      </c>
    </row>
    <row r="455">
      <c r="A455">
        <f>HYPERLINK("https://mathstats.uncg.edu/sites/pauli/congruence/csg3.html#group12P3", "12P³")</f>
        <v/>
      </c>
      <c r="B455" t="n">
        <v>3</v>
      </c>
      <c r="C455" t="inlineStr"/>
      <c r="D455" t="inlineStr">
        <is>
          <t>144</t>
        </is>
      </c>
      <c r="E455" t="inlineStr">
        <is>
          <t>1</t>
        </is>
      </c>
      <c r="F455" t="inlineStr">
        <is>
          <t>18</t>
        </is>
      </c>
      <c r="G455" t="inlineStr">
        <is>
          <t>8</t>
        </is>
      </c>
      <c r="H455" t="inlineStr">
        <is>
          <t>0</t>
        </is>
      </c>
      <c r="I455" t="inlineStr">
        <is>
          <t>6⁸, 12⁸</t>
        </is>
      </c>
      <c r="J455" t="n">
        <v>16</v>
      </c>
      <c r="K455" t="inlineStr">
        <is>
          <t>2⁷, 4¹</t>
        </is>
      </c>
      <c r="L455" t="inlineStr">
        <is>
          <t>12T¹</t>
        </is>
      </c>
      <c r="M455" t="inlineStr">
        <is>
          <t>12B⁹, 12A¹¹, 24N¹¹, 24S¹³, 24O¹⁷, 36U¹⁹, 36A²³</t>
        </is>
      </c>
      <c r="N455" t="inlineStr">
        <is>
          <t>12T¹, 6B⁰, 12C⁰, 3A⁰, 4C⁰, 6G⁰, 2B⁰, 12N¹, 1A⁰, 12L¹, 12G⁰, 12C¹, 6E⁰, 6L⁰, 3C⁰, 12D⁰, 6H⁰, 12H⁰, 6D⁰</t>
        </is>
      </c>
      <c r="O455" t="inlineStr">
        <is>
          <t>24N¹¹, 24S¹³, 36U¹⁹, 24O¹⁷, 12B⁹, 36A²³, 12A¹¹</t>
        </is>
      </c>
    </row>
    <row r="456">
      <c r="A456">
        <f>HYPERLINK("https://mathstats.uncg.edu/sites/pauli/congruence/csg3.html#group13A3", "13A³")</f>
        <v/>
      </c>
      <c r="B456" t="n">
        <v>3</v>
      </c>
      <c r="C456" t="inlineStr"/>
      <c r="D456" t="inlineStr">
        <is>
          <t>78</t>
        </is>
      </c>
      <c r="E456" t="inlineStr">
        <is>
          <t>1</t>
        </is>
      </c>
      <c r="F456" t="inlineStr">
        <is>
          <t>78</t>
        </is>
      </c>
      <c r="G456" t="inlineStr">
        <is>
          <t>6</t>
        </is>
      </c>
      <c r="H456" t="inlineStr">
        <is>
          <t>0</t>
        </is>
      </c>
      <c r="I456" t="inlineStr">
        <is>
          <t>13⁶</t>
        </is>
      </c>
      <c r="J456" t="n">
        <v>6</v>
      </c>
      <c r="K456" t="inlineStr">
        <is>
          <t>6¹, 12⁶</t>
        </is>
      </c>
      <c r="L456" t="inlineStr">
        <is>
          <t>1A⁰</t>
        </is>
      </c>
      <c r="M456" t="inlineStr">
        <is>
          <t>13A⁸, 26A⁸, 26A¹¹, 26A¹³, 39A¹³, 39A²¹, 52A²¹, 13A²⁴</t>
        </is>
      </c>
      <c r="N456" t="inlineStr">
        <is>
          <t>1A⁰</t>
        </is>
      </c>
      <c r="O456" t="inlineStr">
        <is>
          <t>52A²¹, 26A¹³, 52B²¹, 26A⁸, 26A¹¹, 39A²¹, 13A⁸, 26A²¹, 39A¹³, 13A²⁴</t>
        </is>
      </c>
    </row>
    <row r="457">
      <c r="A457">
        <f>HYPERLINK("https://mathstats.uncg.edu/sites/pauli/congruence/csg3.html#group13B3", "13B³")</f>
        <v/>
      </c>
      <c r="B457" t="n">
        <v>3</v>
      </c>
      <c r="C457" t="inlineStr"/>
      <c r="D457" t="inlineStr">
        <is>
          <t>91</t>
        </is>
      </c>
      <c r="E457" t="inlineStr">
        <is>
          <t>1</t>
        </is>
      </c>
      <c r="F457" t="inlineStr">
        <is>
          <t>91</t>
        </is>
      </c>
      <c r="G457" t="inlineStr">
        <is>
          <t>3</t>
        </is>
      </c>
      <c r="H457" t="inlineStr">
        <is>
          <t>4</t>
        </is>
      </c>
      <c r="I457" t="inlineStr">
        <is>
          <t>13⁷</t>
        </is>
      </c>
      <c r="J457" t="n">
        <v>7</v>
      </c>
      <c r="K457" t="inlineStr">
        <is>
          <t>3¹, 4¹, 12⁷</t>
        </is>
      </c>
      <c r="L457" t="inlineStr">
        <is>
          <t>1A⁰</t>
        </is>
      </c>
      <c r="M457" t="inlineStr">
        <is>
          <t>26A¹⁰, 13A¹¹, 13A¹⁶, 26A¹⁶, 39B¹⁶, 39A¹⁸, 39A²³</t>
        </is>
      </c>
      <c r="N457" t="inlineStr">
        <is>
          <t>1A⁰</t>
        </is>
      </c>
      <c r="O457" t="inlineStr">
        <is>
          <t>13A¹¹, 26A¹⁰, 26A¹⁶, 39A²³, 13A¹⁶, 39B¹⁶, 39A¹⁸, 13A²⁴</t>
        </is>
      </c>
    </row>
    <row r="458">
      <c r="A458">
        <f>HYPERLINK("https://mathstats.uncg.edu/sites/pauli/congruence/csg3.html#group13C3", "13C³")</f>
        <v/>
      </c>
      <c r="B458" t="n">
        <v>3</v>
      </c>
      <c r="C458" t="inlineStr"/>
      <c r="D458" t="inlineStr">
        <is>
          <t>91</t>
        </is>
      </c>
      <c r="E458" t="inlineStr">
        <is>
          <t>1</t>
        </is>
      </c>
      <c r="F458" t="inlineStr">
        <is>
          <t>91</t>
        </is>
      </c>
      <c r="G458" t="inlineStr">
        <is>
          <t>7</t>
        </is>
      </c>
      <c r="H458" t="inlineStr">
        <is>
          <t>1</t>
        </is>
      </c>
      <c r="I458" t="inlineStr">
        <is>
          <t>13⁷</t>
        </is>
      </c>
      <c r="J458" t="n">
        <v>7</v>
      </c>
      <c r="K458" t="inlineStr">
        <is>
          <t>1¹, 6¹, 12⁷</t>
        </is>
      </c>
      <c r="L458" t="inlineStr">
        <is>
          <t>1A⁰</t>
        </is>
      </c>
      <c r="M458" t="inlineStr">
        <is>
          <t>13A⁷, 13B⁷, 13B⁸, 26C⁹, 26B¹⁰, 26C¹⁰, 13A¹¹, 26A¹², 26A¹⁵, 39A¹⁵, 39A²⁴, 52A²⁴</t>
        </is>
      </c>
      <c r="N458" t="inlineStr">
        <is>
          <t>1A⁰</t>
        </is>
      </c>
      <c r="O458" t="inlineStr">
        <is>
          <t>26A²³, 26C²³, 13A¹⁶, 13A⁷, 39A¹⁵, 39A²⁴, 26A¹², 26A²⁰, 52A²⁴, 13B⁷, 26C¹⁰, 13B⁸, 26C⁹, 26B¹⁰, 26A²², 13A¹¹, 26B²⁰, 26B²³, 26A¹⁵, 13A²⁴</t>
        </is>
      </c>
    </row>
    <row r="459">
      <c r="A459">
        <f>HYPERLINK("https://mathstats.uncg.edu/sites/pauli/congruence/csg3.html#group14A3", "14A³")</f>
        <v/>
      </c>
      <c r="B459" t="n">
        <v>3</v>
      </c>
      <c r="C459" t="inlineStr"/>
      <c r="D459" t="inlineStr">
        <is>
          <t>42</t>
        </is>
      </c>
      <c r="E459" t="inlineStr">
        <is>
          <t>1</t>
        </is>
      </c>
      <c r="F459" t="inlineStr">
        <is>
          <t>21</t>
        </is>
      </c>
      <c r="G459" t="inlineStr">
        <is>
          <t>0</t>
        </is>
      </c>
      <c r="H459" t="inlineStr">
        <is>
          <t>0</t>
        </is>
      </c>
      <c r="I459" t="inlineStr">
        <is>
          <t>14³</t>
        </is>
      </c>
      <c r="J459" t="n">
        <v>3</v>
      </c>
      <c r="K459" t="inlineStr">
        <is>
          <t>3¹, 6³</t>
        </is>
      </c>
      <c r="L459" t="inlineStr">
        <is>
          <t>7D⁰, 14A¹</t>
        </is>
      </c>
      <c r="M459" t="inlineStr">
        <is>
          <t>14B⁵, 14C⁵, 14A⁷, 42A¹⁰, 42B¹⁰, 28A¹², 42C¹², 70A¹⁷, 70A¹⁹, 98A²⁴</t>
        </is>
      </c>
      <c r="N459" t="inlineStr">
        <is>
          <t>2A⁰, 7A⁰, 7D⁰, 1A⁰, 14A¹</t>
        </is>
      </c>
      <c r="O459" t="inlineStr">
        <is>
          <t>42E²³, 28B¹⁶, 14A¹⁷, 42D¹⁹, 42M¹⁹, 42C¹⁹, 28B²³, 14C⁵, 98A²⁴, 14B⁵, 28A¹², 14C¹³, 14A⁹, 28C¹⁶, 28D²³, 14A⁷, 42H¹⁹, 42B¹⁰, 14A¹³, 42A¹⁰, 42B¹⁹, 70A¹⁷, 70A¹⁹, 42E¹⁹, 42D²³, 28F¹⁶, 42C¹², 42F¹⁹</t>
        </is>
      </c>
    </row>
    <row r="460">
      <c r="A460">
        <f>HYPERLINK("https://mathstats.uncg.edu/sites/pauli/congruence/csg3.html#group14B3", "14B³")</f>
        <v/>
      </c>
      <c r="B460" t="n">
        <v>3</v>
      </c>
      <c r="C460" t="inlineStr"/>
      <c r="D460" t="inlineStr">
        <is>
          <t>42</t>
        </is>
      </c>
      <c r="E460" t="inlineStr">
        <is>
          <t>2</t>
        </is>
      </c>
      <c r="F460" t="inlineStr">
        <is>
          <t>7</t>
        </is>
      </c>
      <c r="G460" t="inlineStr">
        <is>
          <t>0</t>
        </is>
      </c>
      <c r="H460" t="inlineStr">
        <is>
          <t>0</t>
        </is>
      </c>
      <c r="I460" t="inlineStr">
        <is>
          <t>14³</t>
        </is>
      </c>
      <c r="J460" t="n">
        <v>3</v>
      </c>
      <c r="K460" t="inlineStr">
        <is>
          <t>2¹, 6²</t>
        </is>
      </c>
      <c r="L460" t="inlineStr">
        <is>
          <t>2C⁰, 14A¹, 14B¹</t>
        </is>
      </c>
      <c r="M460" t="inlineStr">
        <is>
          <t>14D⁵, 28B⁶, 28C⁶, 14A⁷, 14B⁹, 42C¹⁰, 42D¹², 70C¹⁷, 70B¹⁹</t>
        </is>
      </c>
      <c r="N460" t="inlineStr">
        <is>
          <t>2A⁰, 14B¹, 14A¹, 2B⁰, 1A⁰, 2C⁰, 7A⁰</t>
        </is>
      </c>
      <c r="O460" t="inlineStr">
        <is>
          <t>56D¹³, 28B¹⁶, 28B⁶, 84H²⁰, 28B¹², 56I¹², 56D²⁴, 56F²³, 84B²⁴, 70B¹⁹, 56G²⁴, 42C¹⁰, 56H¹², 84F²⁰, 56C¹³, 84A²⁴, 56B²⁴, 28F¹⁶, 28C²³, 28C⁶, 112A²⁴, 42G¹⁹, 42K¹⁹, 56F²⁴, 56A¹², 14D⁵, 84B²⁰, 42F²³, 56B¹², 70C¹⁷, 28D²¹, 28C¹¹, 14C¹³, 28C¹⁶, 56A²⁴, 42L¹⁹, 56A²³, 14A⁷, 14A¹³, 28C²¹, 42I¹⁹, 84C²⁰, 42D¹², 56C²⁴, 14B⁹, 28C¹², 112B²⁴, 14B¹⁷</t>
        </is>
      </c>
    </row>
    <row r="461">
      <c r="A461">
        <f>HYPERLINK("https://mathstats.uncg.edu/sites/pauli/congruence/csg3.html#group14C3", "14C³")</f>
        <v/>
      </c>
      <c r="B461" t="n">
        <v>3</v>
      </c>
      <c r="C461" t="inlineStr"/>
      <c r="D461" t="inlineStr">
        <is>
          <t>56</t>
        </is>
      </c>
      <c r="E461" t="inlineStr">
        <is>
          <t>1</t>
        </is>
      </c>
      <c r="F461" t="inlineStr">
        <is>
          <t>28</t>
        </is>
      </c>
      <c r="G461" t="inlineStr">
        <is>
          <t>0</t>
        </is>
      </c>
      <c r="H461" t="inlineStr">
        <is>
          <t>2</t>
        </is>
      </c>
      <c r="I461" t="inlineStr">
        <is>
          <t>14⁴</t>
        </is>
      </c>
      <c r="J461" t="n">
        <v>4</v>
      </c>
      <c r="K461" t="inlineStr">
        <is>
          <t>1¹, 3¹, 6⁴</t>
        </is>
      </c>
      <c r="L461" t="inlineStr">
        <is>
          <t>7F⁰, 14A¹</t>
        </is>
      </c>
      <c r="M461" t="inlineStr">
        <is>
          <t>14E⁵, 14A⁹, 14B⁹, 42A¹², 42A¹³, 28A¹⁵, 42B¹⁵, 70A²¹, 98B²⁴</t>
        </is>
      </c>
      <c r="N461" t="inlineStr">
        <is>
          <t>7F⁰, 2A⁰, 7A⁰, 1A⁰, 14A¹</t>
        </is>
      </c>
      <c r="O461" t="inlineStr">
        <is>
          <t>14B¹⁷, 98B²⁴, 42B¹⁵, 14A¹⁷, 42A²⁴, 28A¹⁵, 28D²¹, 14A⁹, 42A²³, 28C²¹, 14E⁵, 70A²¹, 42B²³, 42A¹², 14B⁹, 42A¹³, 14A¹⁵, 28A¹³</t>
        </is>
      </c>
    </row>
    <row r="462">
      <c r="A462">
        <f>HYPERLINK("https://mathstats.uncg.edu/sites/pauli/congruence/csg3.html#group14D3", "14D³")</f>
        <v/>
      </c>
      <c r="B462" t="n">
        <v>3</v>
      </c>
      <c r="C462" t="inlineStr"/>
      <c r="D462" t="inlineStr">
        <is>
          <t>84</t>
        </is>
      </c>
      <c r="E462" t="inlineStr">
        <is>
          <t>1</t>
        </is>
      </c>
      <c r="F462" t="inlineStr">
        <is>
          <t>84</t>
        </is>
      </c>
      <c r="G462" t="inlineStr">
        <is>
          <t>4</t>
        </is>
      </c>
      <c r="H462" t="inlineStr">
        <is>
          <t>0</t>
        </is>
      </c>
      <c r="I462" t="inlineStr">
        <is>
          <t>7⁴, 14⁴</t>
        </is>
      </c>
      <c r="J462" t="n">
        <v>8</v>
      </c>
      <c r="K462" t="inlineStr">
        <is>
          <t>1³, 3³, 6¹²</t>
        </is>
      </c>
      <c r="L462" t="inlineStr">
        <is>
          <t>7F⁰, 14B¹</t>
        </is>
      </c>
      <c r="M462" t="inlineStr">
        <is>
          <t>14C⁷, 14D⁷, 28E⁷, 14B⁹, 14C⁹, 28A⁹, 28B⁹, 28A¹¹, 42D¹⁵, 42C²¹</t>
        </is>
      </c>
      <c r="N462" t="inlineStr">
        <is>
          <t>7F⁰, 2B⁰, 14B¹, 1A⁰, 7A⁰</t>
        </is>
      </c>
      <c r="O462" t="inlineStr">
        <is>
          <t>56H²¹, 56E¹⁷, 28J²¹, 56C²¹, 14D⁷, 28B¹⁷, 28E²³, 42D¹⁵, 28B²¹, 28A¹¹, 14A²³, 42C²¹, 56B²¹, 28A¹⁷, 28E²¹, 28E⁷, 14C⁹, 28B⁹, 56G²¹, 14C⁷, 56E²¹, 28D²¹, 28H²¹, 28C²¹, 56F²¹, 28C¹⁷, 56A²¹, 14A¹⁹, 28I²¹, 56D²¹, 14B⁹, 14B¹⁷, 28G²¹, 28D¹⁷, 56F¹⁷, 28A⁹</t>
        </is>
      </c>
    </row>
    <row r="463">
      <c r="A463">
        <f>HYPERLINK("https://mathstats.uncg.edu/sites/pauli/congruence/csg3.html#group14E3", "14E³")</f>
        <v/>
      </c>
      <c r="B463" t="n">
        <v>3</v>
      </c>
      <c r="C463" t="inlineStr"/>
      <c r="D463" t="inlineStr">
        <is>
          <t>84</t>
        </is>
      </c>
      <c r="E463" t="inlineStr">
        <is>
          <t>2</t>
        </is>
      </c>
      <c r="F463" t="inlineStr">
        <is>
          <t>14</t>
        </is>
      </c>
      <c r="G463" t="inlineStr">
        <is>
          <t>0</t>
        </is>
      </c>
      <c r="H463" t="inlineStr">
        <is>
          <t>6</t>
        </is>
      </c>
      <c r="I463" t="inlineStr">
        <is>
          <t>14⁶</t>
        </is>
      </c>
      <c r="J463" t="n">
        <v>6</v>
      </c>
      <c r="K463" t="inlineStr">
        <is>
          <t>2², 6⁴</t>
        </is>
      </c>
      <c r="L463" t="inlineStr">
        <is>
          <t>14D¹, 14F¹</t>
        </is>
      </c>
      <c r="M463" t="inlineStr">
        <is>
          <t>14C¹³, 14A¹⁵, 42B¹⁶, 42J¹⁹, 28K²¹, 28L²¹, 42D²¹</t>
        </is>
      </c>
      <c r="N463" t="inlineStr">
        <is>
          <t>2A⁰, 14A⁰, 14F¹, 7C⁰, 14A¹, 1A⁰, 14D¹, 7A⁰</t>
        </is>
      </c>
      <c r="O463" t="inlineStr">
        <is>
          <t>28K²¹, 14C¹³, 14A¹⁵, 28L²¹, 42D²¹, 42B¹⁶, 42J¹⁹</t>
        </is>
      </c>
    </row>
    <row r="464">
      <c r="A464">
        <f>HYPERLINK("https://mathstats.uncg.edu/sites/pauli/congruence/csg3.html#group14F3", "14F³")</f>
        <v/>
      </c>
      <c r="B464" t="n">
        <v>3</v>
      </c>
      <c r="C464" t="inlineStr"/>
      <c r="D464" t="inlineStr">
        <is>
          <t>84</t>
        </is>
      </c>
      <c r="E464" t="inlineStr">
        <is>
          <t>2</t>
        </is>
      </c>
      <c r="F464" t="inlineStr">
        <is>
          <t>21</t>
        </is>
      </c>
      <c r="G464" t="inlineStr">
        <is>
          <t>8</t>
        </is>
      </c>
      <c r="H464" t="inlineStr">
        <is>
          <t>0</t>
        </is>
      </c>
      <c r="I464" t="inlineStr">
        <is>
          <t>14⁶</t>
        </is>
      </c>
      <c r="J464" t="n">
        <v>6</v>
      </c>
      <c r="K464" t="inlineStr">
        <is>
          <t>6⁷</t>
        </is>
      </c>
      <c r="L464" t="inlineStr">
        <is>
          <t>7G⁰, 14E¹, 14B²</t>
        </is>
      </c>
      <c r="M464" t="inlineStr">
        <is>
          <t>14B⁷, 14A⁹, 14A¹¹, 42J¹³, 28C¹⁹, 42I²³</t>
        </is>
      </c>
      <c r="N464" t="inlineStr">
        <is>
          <t>14A⁰, 14E¹, 14B², 7D⁰, 7C⁰, 7G⁰, 1A⁰, 7A⁰</t>
        </is>
      </c>
      <c r="O464" t="inlineStr">
        <is>
          <t>14A¹¹, 14A²³, 14B⁷, 14A¹⁷, 28C¹⁹, 42I²³, 28A²¹, 14A⁹, 42J¹³</t>
        </is>
      </c>
    </row>
    <row r="465">
      <c r="A465">
        <f>HYPERLINK("https://mathstats.uncg.edu/sites/pauli/congruence/csg3.html#group15A3", "15A³")</f>
        <v/>
      </c>
      <c r="B465" t="n">
        <v>3</v>
      </c>
      <c r="C465" t="inlineStr"/>
      <c r="D465" t="inlineStr">
        <is>
          <t>60</t>
        </is>
      </c>
      <c r="E465" t="inlineStr">
        <is>
          <t>1</t>
        </is>
      </c>
      <c r="F465" t="inlineStr">
        <is>
          <t>20</t>
        </is>
      </c>
      <c r="G465" t="inlineStr">
        <is>
          <t>0</t>
        </is>
      </c>
      <c r="H465" t="inlineStr">
        <is>
          <t>0</t>
        </is>
      </c>
      <c r="I465" t="inlineStr">
        <is>
          <t>5³, 15³</t>
        </is>
      </c>
      <c r="J465" t="n">
        <v>6</v>
      </c>
      <c r="K465" t="inlineStr">
        <is>
          <t>1², 2¹, 4², 8¹</t>
        </is>
      </c>
      <c r="L465" t="inlineStr">
        <is>
          <t>5E⁰, 15B¹</t>
        </is>
      </c>
      <c r="M465" t="inlineStr">
        <is>
          <t>15B⁵, 30A⁸, 30D⁸, 15B¹⁰, 30F¹⁰, 45B¹⁰, 45A¹³, 45B¹³, 60D¹⁸, 75B¹⁹</t>
        </is>
      </c>
      <c r="N465" t="inlineStr">
        <is>
          <t>5E⁰, 15B¹, 5A⁰, 3B⁰, 1A⁰</t>
        </is>
      </c>
      <c r="O465" t="inlineStr">
        <is>
          <t>30A²², 60D²², 75B¹⁹, 30D⁸, 45B¹⁰, 30F¹⁰, 30C²², 15B⁹, 15B¹⁰, 60D¹⁸, 30C¹⁵, 45A¹³, 45H¹⁹, 15B¹⁷, 30B¹⁹, 30A⁸, 60A¹⁸, 30B¹⁵, 60C¹⁸, 15B¹⁹, 60A²², 15B⁵, 45B¹³</t>
        </is>
      </c>
    </row>
    <row r="466">
      <c r="A466">
        <f>HYPERLINK("https://mathstats.uncg.edu/sites/pauli/congruence/csg3.html#group15B3", "15B³")</f>
        <v/>
      </c>
      <c r="B466" t="n">
        <v>3</v>
      </c>
      <c r="C466" t="inlineStr"/>
      <c r="D466" t="inlineStr">
        <is>
          <t>60</t>
        </is>
      </c>
      <c r="E466" t="inlineStr">
        <is>
          <t>1</t>
        </is>
      </c>
      <c r="F466" t="inlineStr">
        <is>
          <t>20</t>
        </is>
      </c>
      <c r="G466" t="inlineStr">
        <is>
          <t>0</t>
        </is>
      </c>
      <c r="H466" t="inlineStr">
        <is>
          <t>3</t>
        </is>
      </c>
      <c r="I466" t="inlineStr">
        <is>
          <t>15⁴</t>
        </is>
      </c>
      <c r="J466" t="n">
        <v>4</v>
      </c>
      <c r="K466" t="inlineStr">
        <is>
          <t>4¹, 8²</t>
        </is>
      </c>
      <c r="L466" t="inlineStr">
        <is>
          <t>5F⁰, 15A⁰</t>
        </is>
      </c>
      <c r="M466" t="inlineStr">
        <is>
          <t>30H⁷, 15A¹⁰, 15A¹², 30F¹², 60F¹⁸, 75A¹⁹</t>
        </is>
      </c>
      <c r="N466" t="inlineStr">
        <is>
          <t>5F⁰, 5A⁰, 1A⁰, 5C⁰, 15A⁰</t>
        </is>
      </c>
      <c r="O466" t="inlineStr">
        <is>
          <t>15A¹⁰, 30B²², 30H⁷, 30F¹², 15A¹⁹, 60Q¹⁵, 15A¹², 60F¹⁸, 15A²³, 75A¹⁹</t>
        </is>
      </c>
    </row>
    <row r="467">
      <c r="A467">
        <f>HYPERLINK("https://mathstats.uncg.edu/sites/pauli/congruence/csg3.html#group15C3", "15C³")</f>
        <v/>
      </c>
      <c r="B467" t="n">
        <v>3</v>
      </c>
      <c r="C467" t="inlineStr"/>
      <c r="D467" t="inlineStr">
        <is>
          <t>60</t>
        </is>
      </c>
      <c r="E467" t="inlineStr">
        <is>
          <t>1</t>
        </is>
      </c>
      <c r="F467" t="inlineStr">
        <is>
          <t>30</t>
        </is>
      </c>
      <c r="G467" t="inlineStr">
        <is>
          <t>4</t>
        </is>
      </c>
      <c r="H467" t="inlineStr">
        <is>
          <t>0</t>
        </is>
      </c>
      <c r="I467" t="inlineStr">
        <is>
          <t>15⁴</t>
        </is>
      </c>
      <c r="J467" t="n">
        <v>4</v>
      </c>
      <c r="K467" t="inlineStr">
        <is>
          <t>2¹, 4³, 8²</t>
        </is>
      </c>
      <c r="L467" t="inlineStr">
        <is>
          <t>3C⁰, 15D¹</t>
        </is>
      </c>
      <c r="M467" t="inlineStr">
        <is>
          <t>15A⁵, 15A⁷, 15B⁷, 30I⁷, 30J⁷, 15A⁹, 30C⁹, 30E⁹, 30C¹¹, 45A¹¹, 45E¹¹, 45J¹³, 60I¹⁷, 75A²³</t>
        </is>
      </c>
      <c r="N467" t="inlineStr">
        <is>
          <t>3C⁰, 15D¹, 3A⁰, 1A⁰, 5C⁰</t>
        </is>
      </c>
      <c r="O467" t="inlineStr">
        <is>
          <t>60E²³, 15B⁷, 45C²³, 45A²³, 15A¹⁹, 30B¹⁷, 15A⁵, 60C¹⁷, 60K¹⁷, 30G²³, 30J⁷, 60I¹⁷, 45E¹¹, 30E¹⁷, 15A⁹, 90D²³, 15A¹¹, 15A¹⁷, 45D²¹, 60J¹⁷, 45J¹³, 30C⁹, 30A²³, 30B²³, 30E⁹, 30I⁷, 30I²³, 60D²³, 15A⁷, 30F²³, 45B²¹, 60D¹⁷, 45C²¹, 30H²³, 30C¹¹, 45A¹¹, 30M¹³, 30D¹⁵, 30D¹⁷, 15A¹³, 75A²³, 15B¹⁹, 30C²³, 90C²³, 30C¹⁷, 30C²¹, 30A¹⁷</t>
        </is>
      </c>
    </row>
    <row r="468">
      <c r="A468">
        <f>HYPERLINK("https://mathstats.uncg.edu/sites/pauli/congruence/csg3.html#group15D3", "15D³")</f>
        <v/>
      </c>
      <c r="B468" t="n">
        <v>3</v>
      </c>
      <c r="C468" t="inlineStr"/>
      <c r="D468" t="inlineStr">
        <is>
          <t>60</t>
        </is>
      </c>
      <c r="E468" t="inlineStr">
        <is>
          <t>2</t>
        </is>
      </c>
      <c r="F468" t="inlineStr">
        <is>
          <t>20</t>
        </is>
      </c>
      <c r="G468" t="inlineStr">
        <is>
          <t>0</t>
        </is>
      </c>
      <c r="H468" t="inlineStr">
        <is>
          <t>3</t>
        </is>
      </c>
      <c r="I468" t="inlineStr">
        <is>
          <t>15⁴</t>
        </is>
      </c>
      <c r="J468" t="n">
        <v>4</v>
      </c>
      <c r="K468" t="inlineStr">
        <is>
          <t>2², 4¹, 8⁴</t>
        </is>
      </c>
      <c r="L468" t="inlineStr">
        <is>
          <t>15A⁰, 15B¹</t>
        </is>
      </c>
      <c r="M468" t="inlineStr">
        <is>
          <t>30M⁷, 15B¹⁰, 45C¹⁰, 15A¹², 30H¹², 45G¹³, 45H¹³, 60I¹⁸</t>
        </is>
      </c>
      <c r="N468" t="inlineStr">
        <is>
          <t>15B¹, 3B⁰, 5A⁰, 1A⁰, 15A⁰</t>
        </is>
      </c>
      <c r="O468" t="inlineStr">
        <is>
          <t>45G¹³, 90K²², 30D²², 30H¹², 45H¹³, 60Y¹⁵, 60I¹⁸, 15A¹², 15B¹⁹, 30M⁷, 45C¹⁰, 15B¹⁰, 15A²³</t>
        </is>
      </c>
    </row>
    <row r="469">
      <c r="A469">
        <f>HYPERLINK("https://mathstats.uncg.edu/sites/pauli/congruence/csg3.html#group15E3", "15E³")</f>
        <v/>
      </c>
      <c r="B469" t="n">
        <v>3</v>
      </c>
      <c r="C469" t="inlineStr"/>
      <c r="D469" t="inlineStr">
        <is>
          <t>72</t>
        </is>
      </c>
      <c r="E469" t="inlineStr">
        <is>
          <t>1</t>
        </is>
      </c>
      <c r="F469" t="inlineStr">
        <is>
          <t>6</t>
        </is>
      </c>
      <c r="G469" t="inlineStr">
        <is>
          <t>0</t>
        </is>
      </c>
      <c r="H469" t="inlineStr">
        <is>
          <t>0</t>
        </is>
      </c>
      <c r="I469" t="inlineStr">
        <is>
          <t>3⁴, 15⁴</t>
        </is>
      </c>
      <c r="J469" t="n">
        <v>8</v>
      </c>
      <c r="K469" t="inlineStr">
        <is>
          <t>1², 4¹</t>
        </is>
      </c>
      <c r="L469" t="inlineStr">
        <is>
          <t>3D⁰, 15C¹, 15E¹</t>
        </is>
      </c>
      <c r="M469" t="inlineStr">
        <is>
          <t>15C⁵, 30G⁹, 30H⁹, 30G¹¹, 45F¹¹, 45K¹³, 45A¹⁵, 15B¹⁹, 75D¹⁹, 60E²¹</t>
        </is>
      </c>
      <c r="N469" t="inlineStr">
        <is>
          <t>15C¹, 3B⁰, 15B⁰, 15E¹, 5B⁰, 3C⁰, 3A⁰, 1A⁰, 3D⁰</t>
        </is>
      </c>
      <c r="O469" t="inlineStr">
        <is>
          <t>30G¹¹, 60B²¹, 45E²¹, 45F¹¹, 60A²¹, 30G⁹, 45K¹³, 75D¹⁹, 15C⁵, 30H¹⁷, 45A¹⁵, 15B¹⁹, 60E²¹, 30G²¹, 30H⁹, 30G¹⁷, 60Q²¹, 15C⁹</t>
        </is>
      </c>
    </row>
    <row r="470">
      <c r="A470">
        <f>HYPERLINK("https://mathstats.uncg.edu/sites/pauli/congruence/csg3.html#group15F3", "15F³")</f>
        <v/>
      </c>
      <c r="B470" t="n">
        <v>3</v>
      </c>
      <c r="C470" t="inlineStr"/>
      <c r="D470" t="inlineStr">
        <is>
          <t>72</t>
        </is>
      </c>
      <c r="E470" t="inlineStr">
        <is>
          <t>1</t>
        </is>
      </c>
      <c r="F470" t="inlineStr">
        <is>
          <t>18</t>
        </is>
      </c>
      <c r="G470" t="inlineStr">
        <is>
          <t>0</t>
        </is>
      </c>
      <c r="H470" t="inlineStr">
        <is>
          <t>0</t>
        </is>
      </c>
      <c r="I470" t="inlineStr">
        <is>
          <t>3⁴, 15⁴</t>
        </is>
      </c>
      <c r="J470" t="n">
        <v>8</v>
      </c>
      <c r="K470" t="inlineStr">
        <is>
          <t>1², 2², 4¹, 8¹</t>
        </is>
      </c>
      <c r="L470" t="inlineStr">
        <is>
          <t>15C⁰, 15E¹, 15B²</t>
        </is>
      </c>
      <c r="M470" t="inlineStr">
        <is>
          <t>15C⁵, 30J⁹, 30K⁹, 30H¹¹, 45H¹¹, 45B¹⁵, 45C¹⁵, 15A¹⁹, 75C¹⁹, 60L²¹</t>
        </is>
      </c>
      <c r="N470" t="inlineStr">
        <is>
          <t>15B⁰, 15B², 5B⁰, 5D⁰, 3C⁰, 15C⁰, 3A⁰, 1A⁰, 15E¹</t>
        </is>
      </c>
      <c r="O470" t="inlineStr">
        <is>
          <t>45E²¹, 15A¹⁹, 60L²¹, 75C¹⁹, 30H¹¹, 60D²¹, 45C¹⁵, 60G²¹, 15C⁵, 30J⁹, 45H¹¹, 30H¹⁷, 30K⁹, 45B¹⁵, 30G¹⁷, 30G²¹, 60C²¹, 15C⁹</t>
        </is>
      </c>
    </row>
    <row r="471">
      <c r="A471">
        <f>HYPERLINK("https://mathstats.uncg.edu/sites/pauli/congruence/csg3.html#group15G3", "15G³")</f>
        <v/>
      </c>
      <c r="B471" t="n">
        <v>3</v>
      </c>
      <c r="C471" t="inlineStr"/>
      <c r="D471" t="inlineStr">
        <is>
          <t>80</t>
        </is>
      </c>
      <c r="E471" t="inlineStr">
        <is>
          <t>1</t>
        </is>
      </c>
      <c r="F471" t="inlineStr">
        <is>
          <t>40</t>
        </is>
      </c>
      <c r="G471" t="inlineStr">
        <is>
          <t>0</t>
        </is>
      </c>
      <c r="H471" t="inlineStr">
        <is>
          <t>2</t>
        </is>
      </c>
      <c r="I471" t="inlineStr">
        <is>
          <t>5⁴, 15⁴</t>
        </is>
      </c>
      <c r="J471" t="n">
        <v>8</v>
      </c>
      <c r="K471" t="inlineStr">
        <is>
          <t>2², 4⁵, 8²</t>
        </is>
      </c>
      <c r="L471" t="inlineStr">
        <is>
          <t>5F⁰, 15B¹, 15C²</t>
        </is>
      </c>
      <c r="M471" t="inlineStr">
        <is>
          <t>15D⁵, 15B⁹, 30M⁹, 30N⁹, 15A¹², 45H¹², 15A¹³, 30N¹³, 45O¹³, 45D¹⁵, 45A¹⁶, 45A¹⁷, 45B¹⁷, 60C²³</t>
        </is>
      </c>
      <c r="N471" t="inlineStr">
        <is>
          <t>3B⁰, 5A⁰, 5C⁰, 15B¹, 5F⁰, 15C², 1A⁰</t>
        </is>
      </c>
      <c r="O471" t="inlineStr">
        <is>
          <t>30K¹⁷, 30M⁹, 60C²³, 60R²¹, 15B⁹, 45B¹⁷, 45D¹⁵, 15A²³, 15B¹⁷, 45A¹⁶, 60S²¹, 45H¹², 15A¹³, 15D⁵, 15A¹², 30N¹³, 45E²³, 45O¹³, 30N⁹, 45A¹⁷</t>
        </is>
      </c>
    </row>
    <row r="472">
      <c r="A472">
        <f>HYPERLINK("https://mathstats.uncg.edu/sites/pauli/congruence/csg3.html#group15H3", "15H³")</f>
        <v/>
      </c>
      <c r="B472" t="n">
        <v>3</v>
      </c>
      <c r="C472" t="inlineStr"/>
      <c r="D472" t="inlineStr">
        <is>
          <t>90</t>
        </is>
      </c>
      <c r="E472" t="inlineStr">
        <is>
          <t>1</t>
        </is>
      </c>
      <c r="F472" t="inlineStr">
        <is>
          <t>45</t>
        </is>
      </c>
      <c r="G472" t="inlineStr">
        <is>
          <t>10</t>
        </is>
      </c>
      <c r="H472" t="inlineStr">
        <is>
          <t>0</t>
        </is>
      </c>
      <c r="I472" t="inlineStr">
        <is>
          <t>15⁶</t>
        </is>
      </c>
      <c r="J472" t="n">
        <v>6</v>
      </c>
      <c r="K472" t="inlineStr">
        <is>
          <t>1¹, 2², 4⁴, 8³</t>
        </is>
      </c>
      <c r="L472" t="inlineStr">
        <is>
          <t>15F¹</t>
        </is>
      </c>
      <c r="M472" t="inlineStr">
        <is>
          <t>15C⁷, 15A⁸, 15B⁸, 15A⁹, 30O⁹, 30D¹⁰, 30E¹⁰, 30I¹⁰, 30E¹¹, 30G¹³, 30F¹⁵, 45D¹⁶, 45C¹⁷, 60J²³</t>
        </is>
      </c>
      <c r="N472" t="inlineStr">
        <is>
          <t>15F¹, 5E⁰, 5A⁰, 3A⁰, 1A⁰, 15A¹, 15A⁰</t>
        </is>
      </c>
      <c r="O472" t="inlineStr">
        <is>
          <t>15C⁷, 15A⁸, 30I¹⁰, 15A¹⁹, 30B²¹, 30E¹⁰, 15A¹⁶, 30E²³, 30E¹¹, 45D¹⁶, 60J²³, 30O⁹, 30D¹⁰, 30D²³, 15A⁹, 30F²¹, 30G¹³, 15A¹⁷, 30A²¹, 15B¹⁹, 30C²³, 30J²³, 30B²³, 15B⁸, 45C¹⁷, 30F¹⁵, 30E²²</t>
        </is>
      </c>
    </row>
    <row r="473">
      <c r="A473">
        <f>HYPERLINK("https://mathstats.uncg.edu/sites/pauli/congruence/csg3.html#group15I3", "15I³")</f>
        <v/>
      </c>
      <c r="B473" t="n">
        <v>3</v>
      </c>
      <c r="C473" t="inlineStr"/>
      <c r="D473" t="inlineStr">
        <is>
          <t>144</t>
        </is>
      </c>
      <c r="E473" t="inlineStr">
        <is>
          <t>1</t>
        </is>
      </c>
      <c r="F473" t="inlineStr">
        <is>
          <t>36</t>
        </is>
      </c>
      <c r="G473" t="inlineStr">
        <is>
          <t>8</t>
        </is>
      </c>
      <c r="H473" t="inlineStr">
        <is>
          <t>0</t>
        </is>
      </c>
      <c r="I473" t="inlineStr">
        <is>
          <t>3⁸, 15⁸</t>
        </is>
      </c>
      <c r="J473" t="n">
        <v>16</v>
      </c>
      <c r="K473" t="inlineStr">
        <is>
          <t>2⁶, 8³</t>
        </is>
      </c>
      <c r="L473" t="inlineStr">
        <is>
          <t>15H¹</t>
        </is>
      </c>
      <c r="M473" t="inlineStr">
        <is>
          <t>15C⁹, 30Q¹³, 30I¹⁷, 30C¹⁹, 45I¹⁹, 45D²³</t>
        </is>
      </c>
      <c r="N473" t="inlineStr">
        <is>
          <t>15B⁰, 15E¹, 5B⁰, 3C⁰, 3A⁰, 15H¹, 1A⁰, 15C⁰</t>
        </is>
      </c>
      <c r="O473" t="inlineStr">
        <is>
          <t>45I¹⁹, 45D²³, 30Q¹³, 30I¹⁷, 30C¹⁹, 15C⁹</t>
        </is>
      </c>
    </row>
    <row r="474">
      <c r="A474">
        <f>HYPERLINK("https://mathstats.uncg.edu/sites/pauli/congruence/csg3.html#group16A3", "16A³")</f>
        <v/>
      </c>
      <c r="B474" t="n">
        <v>3</v>
      </c>
      <c r="C474" t="inlineStr"/>
      <c r="D474" t="inlineStr">
        <is>
          <t>48</t>
        </is>
      </c>
      <c r="E474" t="inlineStr">
        <is>
          <t>1</t>
        </is>
      </c>
      <c r="F474" t="inlineStr">
        <is>
          <t>3</t>
        </is>
      </c>
      <c r="G474" t="inlineStr">
        <is>
          <t>0</t>
        </is>
      </c>
      <c r="H474" t="inlineStr">
        <is>
          <t>0</t>
        </is>
      </c>
      <c r="I474" t="inlineStr">
        <is>
          <t>8², 16²</t>
        </is>
      </c>
      <c r="J474" t="n">
        <v>4</v>
      </c>
      <c r="K474" t="inlineStr">
        <is>
          <t>1³</t>
        </is>
      </c>
      <c r="L474" t="inlineStr">
        <is>
          <t>8B¹, 16B¹</t>
        </is>
      </c>
      <c r="M474" t="inlineStr">
        <is>
          <t>16B⁵, 16C⁵, 32F⁷, 48A¹¹, 48B¹³, 80A¹⁹, 80D²¹</t>
        </is>
      </c>
      <c r="N474" t="inlineStr">
        <is>
          <t>2A⁰, 8A¹, 4C⁰, 8B⁰, 16B¹, 2B⁰, 8B¹, 4E⁰, 4B⁰, 1A⁰, 2C⁰</t>
        </is>
      </c>
      <c r="O474" t="inlineStr">
        <is>
          <t>32B¹³, 16C⁹, 32F⁷, 48B¹³, 16C⁵, 96O²³, 48I²¹, 80A¹⁹, 16A²¹, 32A²¹, 32L¹³, 48R²¹, 32B²¹, 96F²³, 16A¹⁷, 16B¹⁷, 16C²¹, 32Q²¹, 16F⁹, 16B⁵, 48A¹¹, 48P²¹, 16B⁹, 32E¹³, 32E²¹, 48AI²¹, 80D²¹, 32D¹³, 32A¹³, 48F²¹, 16E⁹, 16E²¹</t>
        </is>
      </c>
    </row>
    <row r="475">
      <c r="A475">
        <f>HYPERLINK("https://mathstats.uncg.edu/sites/pauli/congruence/csg3.html#group16B3", "16B³")</f>
        <v/>
      </c>
      <c r="B475" t="n">
        <v>3</v>
      </c>
      <c r="C475" t="inlineStr"/>
      <c r="D475" t="inlineStr">
        <is>
          <t>48</t>
        </is>
      </c>
      <c r="E475" t="inlineStr">
        <is>
          <t>1</t>
        </is>
      </c>
      <c r="F475" t="inlineStr">
        <is>
          <t>3</t>
        </is>
      </c>
      <c r="G475" t="inlineStr">
        <is>
          <t>0</t>
        </is>
      </c>
      <c r="H475" t="inlineStr">
        <is>
          <t>0</t>
        </is>
      </c>
      <c r="I475" t="inlineStr">
        <is>
          <t>8², 16²</t>
        </is>
      </c>
      <c r="J475" t="n">
        <v>4</v>
      </c>
      <c r="K475" t="inlineStr">
        <is>
          <t>1³</t>
        </is>
      </c>
      <c r="L475" t="inlineStr">
        <is>
          <t>16B⁰, 8B¹, 16A²</t>
        </is>
      </c>
      <c r="M475" t="inlineStr">
        <is>
          <t>16B⁵, 16D⁵, 32G⁷, 48B¹¹, 48D¹³, 80B¹⁹, 80I²¹</t>
        </is>
      </c>
      <c r="N475" t="inlineStr">
        <is>
          <t>2A⁰, 8A¹, 4C⁰, 8B⁰, 2B⁰, 8B¹, 4E⁰, 4B⁰, 1A⁰, 16A², 16B⁰, 2C⁰</t>
        </is>
      </c>
      <c r="O475" t="inlineStr">
        <is>
          <t>32B¹³, 32G⁷, 16C⁹, 16D⁵, 48AK²¹, 48D¹³, 16A²¹, 32A²¹, 48S²¹, 32B²¹, 16A¹⁷, 16B¹⁷, 16C²¹, 16G⁹, 32G¹³, 16B⁵, 48B¹¹, 48N²¹, 32A¹³, 16B⁹, 96P²³, 32H¹³, 32M¹³, 32E²¹, 80I²¹, 32R²¹, 48J²¹, 96G²³, 80B¹⁹, 48F²¹, 16E⁹, 16E²¹</t>
        </is>
      </c>
    </row>
    <row r="476">
      <c r="A476">
        <f>HYPERLINK("https://mathstats.uncg.edu/sites/pauli/congruence/csg3.html#group16C3", "16C³")</f>
        <v/>
      </c>
      <c r="B476" t="n">
        <v>3</v>
      </c>
      <c r="C476" t="inlineStr"/>
      <c r="D476" t="inlineStr">
        <is>
          <t>48</t>
        </is>
      </c>
      <c r="E476" t="inlineStr">
        <is>
          <t>1</t>
        </is>
      </c>
      <c r="F476" t="inlineStr">
        <is>
          <t>6</t>
        </is>
      </c>
      <c r="G476" t="inlineStr">
        <is>
          <t>0</t>
        </is>
      </c>
      <c r="H476" t="inlineStr">
        <is>
          <t>0</t>
        </is>
      </c>
      <c r="I476" t="inlineStr">
        <is>
          <t>8², 16²</t>
        </is>
      </c>
      <c r="J476" t="n">
        <v>4</v>
      </c>
      <c r="K476" t="inlineStr">
        <is>
          <t>1², 2²</t>
        </is>
      </c>
      <c r="L476" t="inlineStr">
        <is>
          <t>8H⁰, 16B¹, 16A²</t>
        </is>
      </c>
      <c r="M476" t="inlineStr">
        <is>
          <t>16B⁵, 16E⁵, 16F⁵, 16G⁵, 48C¹¹, 48H¹³, 80C¹⁹, 80O²¹</t>
        </is>
      </c>
      <c r="N476" t="inlineStr">
        <is>
          <t>8H⁰, 8D⁰, 4A⁰, 4C⁰, 8B⁰, 16B¹, 2B⁰, 4F⁰, 1A⁰, 16A²</t>
        </is>
      </c>
      <c r="O476" t="inlineStr">
        <is>
          <t>32B¹³, 16F⁵, 16A²¹, 80O²¹, 32A²¹, 32D¹¹, 32B²¹, 48H¹³, 16A¹⁷, 16B¹⁷, 48U²¹, 64B²³, 48AF²¹, 48AE²¹, 32Q¹³, 48F²¹, 48V²¹, 32P²¹, 16B¹¹, 16C⁹, 32C¹¹, 48AS²¹, 16G⁵, 48T²¹, 80C¹⁹, 16C²¹, 16B⁵, 16F²¹, 32G²³, 16B⁹, 48AX²¹, 48C¹¹, 32E²¹, 16H⁹, 48AR²¹, 16C¹¹, 32A¹³, 16E⁵, 16E⁹, 16E²¹</t>
        </is>
      </c>
    </row>
    <row r="477">
      <c r="A477">
        <f>HYPERLINK("https://mathstats.uncg.edu/sites/pauli/congruence/csg3.html#group16D3", "16D³")</f>
        <v/>
      </c>
      <c r="B477" t="n">
        <v>3</v>
      </c>
      <c r="C477" t="inlineStr"/>
      <c r="D477" t="inlineStr">
        <is>
          <t>48</t>
        </is>
      </c>
      <c r="E477" t="inlineStr">
        <is>
          <t>1</t>
        </is>
      </c>
      <c r="F477" t="inlineStr">
        <is>
          <t>6</t>
        </is>
      </c>
      <c r="G477" t="inlineStr">
        <is>
          <t>0</t>
        </is>
      </c>
      <c r="H477" t="inlineStr">
        <is>
          <t>0</t>
        </is>
      </c>
      <c r="I477" t="inlineStr">
        <is>
          <t>8², 16²</t>
        </is>
      </c>
      <c r="J477" t="n">
        <v>4</v>
      </c>
      <c r="K477" t="inlineStr">
        <is>
          <t>1⁴, 2¹</t>
        </is>
      </c>
      <c r="L477" t="inlineStr">
        <is>
          <t>8B¹, 16D¹, 16B²</t>
        </is>
      </c>
      <c r="M477" t="inlineStr">
        <is>
          <t>16A⁵, 16C⁵, 16D⁵, 32B⁷, 32C⁷, 32E⁷, 32D⁷, 48D¹¹, 48J¹³, 80F¹⁹, 80Q²¹</t>
        </is>
      </c>
      <c r="N477" t="inlineStr">
        <is>
          <t>2A⁰, 16D¹, 16B², 8A¹, 4C⁰, 8B⁰, 2B⁰, 8B¹, 4E⁰, 4B⁰, 1A⁰, 2C⁰</t>
        </is>
      </c>
      <c r="O477" t="inlineStr">
        <is>
          <t>16D⁹, 96I²³, 16D⁵, 16C⁵, 48I²¹, 48J¹³, 32E⁷, 64A¹⁵, 32L¹³, 96K²³, 64F¹⁵, 16A¹⁷, 16B¹⁷, 32C¹³, 16F⁹, 32E¹³, 48D¹¹, 48AN²¹, 96D²³, 32R²¹, 48J²¹, 80Q²¹, 96C²³, 32F¹³, 32D²¹, 96J²³, 64E¹⁵, 16D²¹, 96E²³, 32C⁷, 80F¹⁹, 64D¹⁵, 32G¹³, 16C²¹, 16G⁹, 32F²¹, 64B¹⁵, 32H¹³, 48AJ²¹, 16A⁹, 32M¹³, 16A⁵, 32D⁷, 32D¹³, 48E²¹, 48AM²¹, 32B⁷, 96B²³, 64C¹⁵, 48AP²¹, 96L²³, 16E⁹, 32Q²¹</t>
        </is>
      </c>
    </row>
    <row r="478">
      <c r="A478">
        <f>HYPERLINK("https://mathstats.uncg.edu/sites/pauli/congruence/csg3.html#group16E3", "16E³")</f>
        <v/>
      </c>
      <c r="B478" t="n">
        <v>3</v>
      </c>
      <c r="C478" t="inlineStr"/>
      <c r="D478" t="inlineStr">
        <is>
          <t>48</t>
        </is>
      </c>
      <c r="E478" t="inlineStr">
        <is>
          <t>1</t>
        </is>
      </c>
      <c r="F478" t="inlineStr">
        <is>
          <t>12</t>
        </is>
      </c>
      <c r="G478" t="inlineStr">
        <is>
          <t>0</t>
        </is>
      </c>
      <c r="H478" t="inlineStr">
        <is>
          <t>0</t>
        </is>
      </c>
      <c r="I478" t="inlineStr">
        <is>
          <t>8², 16²</t>
        </is>
      </c>
      <c r="J478" t="n">
        <v>4</v>
      </c>
      <c r="K478" t="inlineStr">
        <is>
          <t>2⁶</t>
        </is>
      </c>
      <c r="L478" t="inlineStr">
        <is>
          <t>8C¹, 16B²</t>
        </is>
      </c>
      <c r="M478" t="inlineStr">
        <is>
          <t>16A⁵, 16H⁵, 32K⁷, 48J¹¹, 48L¹³, 80G¹⁹, 80T²¹</t>
        </is>
      </c>
      <c r="N478" t="inlineStr">
        <is>
          <t>16B², 8C¹, 8A¹, 8D⁰, 4A⁰, 4C⁰, 2B⁰, 4F⁰, 1A⁰</t>
        </is>
      </c>
      <c r="O478" t="inlineStr">
        <is>
          <t>16D⁹, 48J¹¹, 16H⁵, 48AQ²¹, 48AY²¹, 32K⁷, 16D²¹, 32H¹¹, 16A¹⁷, 32C¹³, 96AC²³, 16C²¹, 32F²¹, 80G¹⁹, 16B¹⁷, 48AZ²¹, 64A²³, 16A⁹, 32F²³, 48BN²¹, 16A⁵, 48E²¹, 32P¹³, 80T²¹, 16E⁹, 48L¹³, 96AD²³, 32F¹³, 64K¹⁵, 32D²¹, 16D¹¹, 64L¹⁵</t>
        </is>
      </c>
    </row>
    <row r="479">
      <c r="A479">
        <f>HYPERLINK("https://mathstats.uncg.edu/sites/pauli/congruence/csg3.html#group16F3", "16F³")</f>
        <v/>
      </c>
      <c r="B479" t="n">
        <v>3</v>
      </c>
      <c r="C479" t="inlineStr"/>
      <c r="D479" t="inlineStr">
        <is>
          <t>48</t>
        </is>
      </c>
      <c r="E479" t="inlineStr">
        <is>
          <t>1</t>
        </is>
      </c>
      <c r="F479" t="inlineStr">
        <is>
          <t>12</t>
        </is>
      </c>
      <c r="G479" t="inlineStr">
        <is>
          <t>0</t>
        </is>
      </c>
      <c r="H479" t="inlineStr">
        <is>
          <t>0</t>
        </is>
      </c>
      <c r="I479" t="inlineStr">
        <is>
          <t>8², 16²</t>
        </is>
      </c>
      <c r="J479" t="n">
        <v>4</v>
      </c>
      <c r="K479" t="inlineStr">
        <is>
          <t>1⁴, 2², 4¹</t>
        </is>
      </c>
      <c r="L479" t="inlineStr">
        <is>
          <t>8L⁰, 16D¹, 16A²</t>
        </is>
      </c>
      <c r="M479" t="inlineStr">
        <is>
          <t>16D⁵, 16G⁵, 32I⁷, 32J⁷, 48K¹¹, 48P¹³, 80H¹⁹, 80AB²¹</t>
        </is>
      </c>
      <c r="N479" t="inlineStr">
        <is>
          <t>8B⁰, 8L⁰, 2B⁰, 16D¹, 1A⁰, 4C⁰, 16A²</t>
        </is>
      </c>
      <c r="O479" t="inlineStr">
        <is>
          <t>48BU²¹, 32P²¹, 16D⁵, 48P¹³, 48K¹¹, 96M²³, 16G⁵, 32J⁷, 80AB²¹, 16A¹⁷, 16B¹⁷, 32G¹³, 16G⁹, 64I¹⁵, 96N²³, 32H¹³, 48BG²¹, 32I⁷, 16F²¹, 32M¹³, 32Q¹³, 48BF²¹, 16H⁹, 32R²¹, 96U²³, 80H¹⁹, 48J²¹, 96V²³, 64J¹⁵, 64H¹⁵, 16E⁹, 48V²¹, 64G¹⁵</t>
        </is>
      </c>
    </row>
    <row r="480">
      <c r="A480">
        <f>HYPERLINK("https://mathstats.uncg.edu/sites/pauli/congruence/csg3.html#group16G3", "16G³")</f>
        <v/>
      </c>
      <c r="B480" t="n">
        <v>3</v>
      </c>
      <c r="C480" t="inlineStr"/>
      <c r="D480" t="inlineStr">
        <is>
          <t>48</t>
        </is>
      </c>
      <c r="E480" t="inlineStr">
        <is>
          <t>2</t>
        </is>
      </c>
      <c r="F480" t="inlineStr">
        <is>
          <t>24</t>
        </is>
      </c>
      <c r="G480" t="inlineStr">
        <is>
          <t>2</t>
        </is>
      </c>
      <c r="H480" t="inlineStr">
        <is>
          <t>0</t>
        </is>
      </c>
      <c r="I480" t="inlineStr">
        <is>
          <t>16³</t>
        </is>
      </c>
      <c r="J480" t="n">
        <v>3</v>
      </c>
      <c r="K480" t="inlineStr">
        <is>
          <t>8⁶</t>
        </is>
      </c>
      <c r="L480" t="inlineStr">
        <is>
          <t>16A⁰, 8D¹</t>
        </is>
      </c>
      <c r="M480" t="inlineStr">
        <is>
          <t>16J⁵, 16A⁶, 16B⁶, 48F¹⁰, 48A¹⁴, 80K¹⁹, 80AG²¹</t>
        </is>
      </c>
      <c r="N480" t="inlineStr">
        <is>
          <t>16A⁰, 4A⁰, 4C⁰, 8A⁰, 2B⁰, 4F⁰, 1A⁰, 8D¹</t>
        </is>
      </c>
      <c r="O480" t="inlineStr">
        <is>
          <t>48I²⁰, 48BX²¹, 16B⁶, 16A¹¹, 48T¹⁹, 16A¹⁹, 32C²⁴, 16D²¹, 48H²⁰, 80AG²¹, 32X²¹, 48A¹⁴, 48F¹⁰, 80K¹⁹, 16C¹⁰, 32D²⁴, 16A⁶, 32I²¹, 16B¹¹, 48A²², 16E²¹, 16F²¹, 32G²³, 16B¹⁰, 32F²³, 48C²², 32A²³, 16B²¹, 48BY²¹, 16J⁵, 16I⁹, 16D¹¹</t>
        </is>
      </c>
    </row>
    <row r="481">
      <c r="A481">
        <f>HYPERLINK("https://mathstats.uncg.edu/sites/pauli/congruence/csg3.html#group16H3", "16H³")</f>
        <v/>
      </c>
      <c r="B481" t="n">
        <v>3</v>
      </c>
      <c r="C481" t="inlineStr"/>
      <c r="D481" t="inlineStr">
        <is>
          <t>96</t>
        </is>
      </c>
      <c r="E481" t="inlineStr">
        <is>
          <t>1</t>
        </is>
      </c>
      <c r="F481" t="inlineStr">
        <is>
          <t>3</t>
        </is>
      </c>
      <c r="G481" t="inlineStr">
        <is>
          <t>0</t>
        </is>
      </c>
      <c r="H481" t="inlineStr">
        <is>
          <t>0</t>
        </is>
      </c>
      <c r="I481" t="inlineStr">
        <is>
          <t>4⁸, 16⁴</t>
        </is>
      </c>
      <c r="J481" t="n">
        <v>12</v>
      </c>
      <c r="K481" t="inlineStr">
        <is>
          <t>1³</t>
        </is>
      </c>
      <c r="L481" t="inlineStr">
        <is>
          <t>8F¹, 16E¹, 16H¹</t>
        </is>
      </c>
      <c r="M481" t="inlineStr">
        <is>
          <t>16M⁵, 16A⁹, 16C⁹, 32B⁹, 32A⁹, 48A¹⁹, 48CE²¹</t>
        </is>
      </c>
      <c r="N481" t="inlineStr">
        <is>
          <t>2A⁰, 8A¹, 8D⁰, 16E¹, 4C⁰, 8B⁰, 4G⁰, 2B⁰, 8B¹, 8C⁰, 4E⁰, 4B⁰, 8F¹, 1A⁰, 16A¹, 8H⁰, 8C¹, 8G⁰, 4A⁰, 4D⁰, 16C⁰, 4F⁰, 16H¹, 2C⁰</t>
        </is>
      </c>
      <c r="O481" t="inlineStr">
        <is>
          <t>48CE²¹, 16C⁹, 16M⁵, 64F²¹, 32A⁹, 32C²¹, 32A²¹, 32A¹⁷, 32B²¹, 16A¹⁷, 48A¹⁹, 16C²¹, 32F²¹, 32T¹³, 16A⁹, 32B⁹, 16C¹³, 64D²¹, 16E²¹</t>
        </is>
      </c>
    </row>
    <row r="482">
      <c r="A482">
        <f>HYPERLINK("https://mathstats.uncg.edu/sites/pauli/congruence/csg3.html#group16I3", "16I³")</f>
        <v/>
      </c>
      <c r="B482" t="n">
        <v>3</v>
      </c>
      <c r="C482" t="inlineStr"/>
      <c r="D482" t="inlineStr">
        <is>
          <t>96</t>
        </is>
      </c>
      <c r="E482" t="inlineStr">
        <is>
          <t>1</t>
        </is>
      </c>
      <c r="F482" t="inlineStr">
        <is>
          <t>3</t>
        </is>
      </c>
      <c r="G482" t="inlineStr">
        <is>
          <t>0</t>
        </is>
      </c>
      <c r="H482" t="inlineStr">
        <is>
          <t>0</t>
        </is>
      </c>
      <c r="I482" t="inlineStr">
        <is>
          <t>4⁸, 16⁴</t>
        </is>
      </c>
      <c r="J482" t="n">
        <v>12</v>
      </c>
      <c r="K482" t="inlineStr">
        <is>
          <t>1³</t>
        </is>
      </c>
      <c r="L482" t="inlineStr">
        <is>
          <t>16G⁰, 8F¹, 16I¹, 16C², 16D²</t>
        </is>
      </c>
      <c r="M482" t="inlineStr">
        <is>
          <t>16M⁵, 32L⁷, 16B⁹, 16D⁹, 32A¹¹, 48B¹⁹, 48CF²¹</t>
        </is>
      </c>
      <c r="N482" t="inlineStr">
        <is>
          <t>16D², 16G⁰, 2A⁰, 8A¹, 16C², 16I¹, 8D⁰, 4C⁰, 8B⁰, 4G⁰, 2B⁰, 8C⁰, 4E⁰, 8B¹, 4B⁰, 8F¹, 1A⁰, 8H⁰, 16E⁰, 8C¹, 8G⁰, 4A⁰, 4D⁰, 16C¹, 16D⁰, 4F⁰, 2C⁰</t>
        </is>
      </c>
      <c r="O482" t="inlineStr">
        <is>
          <t>16D⁹, 16A²¹, 16M⁵, 16D²¹, 32C²¹, 32A¹⁷, 16A¹⁷, 16C²¹, 32T¹³, 16B⁹, 48B¹⁹, 32E²¹, 48CF²¹, 16C¹³, 32D²¹, 32A¹¹, 32L⁷, 64A¹⁹</t>
        </is>
      </c>
    </row>
    <row r="483">
      <c r="A483">
        <f>HYPERLINK("https://mathstats.uncg.edu/sites/pauli/congruence/csg3.html#group16J3", "16J³")</f>
        <v/>
      </c>
      <c r="B483" t="n">
        <v>3</v>
      </c>
      <c r="C483" t="inlineStr"/>
      <c r="D483" t="inlineStr">
        <is>
          <t>96</t>
        </is>
      </c>
      <c r="E483" t="inlineStr">
        <is>
          <t>1</t>
        </is>
      </c>
      <c r="F483" t="inlineStr">
        <is>
          <t>6</t>
        </is>
      </c>
      <c r="G483" t="inlineStr">
        <is>
          <t>0</t>
        </is>
      </c>
      <c r="H483" t="inlineStr">
        <is>
          <t>0</t>
        </is>
      </c>
      <c r="I483" t="inlineStr">
        <is>
          <t>4⁸, 16⁴</t>
        </is>
      </c>
      <c r="J483" t="n">
        <v>12</v>
      </c>
      <c r="K483" t="inlineStr">
        <is>
          <t>1⁴, 2¹</t>
        </is>
      </c>
      <c r="L483" t="inlineStr">
        <is>
          <t>8O⁰, 16E¹, 16C²</t>
        </is>
      </c>
      <c r="M483" t="inlineStr">
        <is>
          <t>16M⁵, 16C⁷, 32D⁹, 32C⁹, 32B¹¹, 48C¹⁹, 48CK²¹</t>
        </is>
      </c>
      <c r="N483" t="inlineStr">
        <is>
          <t>2A⁰, 16C², 8D⁰, 16E¹, 4C⁰, 16A¹, 8C⁰, 4E⁰, 2B⁰, 8I⁰, 4B⁰, 1A⁰, 8G⁰, 16C⁰, 16C¹, 8J⁰, 2C⁰, 8O⁰</t>
        </is>
      </c>
      <c r="O483" t="inlineStr">
        <is>
          <t>32C⁹, 32G²¹, 16M⁵, 64A²¹, 32C²¹, 32D⁹, 64E²¹, 32B¹¹, 16C⁷, 32A¹⁷, 32H²¹, 16A¹⁷, 64B²¹, 32T¹³, 32C¹⁹, 48C¹⁹, 48CK²¹, 16C¹³</t>
        </is>
      </c>
    </row>
    <row r="484">
      <c r="A484">
        <f>HYPERLINK("https://mathstats.uncg.edu/sites/pauli/congruence/csg3.html#group16K3", "16K³")</f>
        <v/>
      </c>
      <c r="B484" t="n">
        <v>3</v>
      </c>
      <c r="C484" t="inlineStr"/>
      <c r="D484" t="inlineStr">
        <is>
          <t>96</t>
        </is>
      </c>
      <c r="E484" t="inlineStr">
        <is>
          <t>1</t>
        </is>
      </c>
      <c r="F484" t="inlineStr">
        <is>
          <t>12</t>
        </is>
      </c>
      <c r="G484" t="inlineStr">
        <is>
          <t>8</t>
        </is>
      </c>
      <c r="H484" t="inlineStr">
        <is>
          <t>0</t>
        </is>
      </c>
      <c r="I484" t="inlineStr">
        <is>
          <t>8⁴, 16⁴</t>
        </is>
      </c>
      <c r="J484" t="n">
        <v>8</v>
      </c>
      <c r="K484" t="inlineStr">
        <is>
          <t>2², 4²</t>
        </is>
      </c>
      <c r="L484" t="inlineStr">
        <is>
          <t>8H¹, 16F¹, 16H¹</t>
        </is>
      </c>
      <c r="M484" t="inlineStr">
        <is>
          <t>16D⁷, 16C⁹, 16I⁹, 16J⁹, 32F⁹, 32K⁹, 32L⁹, 32E¹¹, 32I¹³, 48H¹⁵</t>
        </is>
      </c>
      <c r="N484" t="inlineStr">
        <is>
          <t>8H⁰, 16B⁰, 8D⁰, 4A⁰, 8K⁰, 4C⁰, 8B⁰, 8A⁰, 16B¹, 1A⁰, 2B⁰, 4F⁰, 16F¹, 16H¹, 8D¹, 8H¹</t>
        </is>
      </c>
      <c r="O484" t="inlineStr">
        <is>
          <t>16C⁹, 16B¹⁹, 16A¹⁹, 32F⁹, 32D¹⁹, 32M²¹, 32B²³, 48H¹⁵, 32A²¹, 32X²¹, 32B²¹, 32I²¹, 16J⁹, 16A¹⁷, 32K⁹, 32I¹³, 32E¹¹, 32E²³, 64G²¹, 16A¹⁵, 32E¹⁹, 32A²³, 16D⁷, 32J²¹, 32W²¹, 32L⁹, 16I⁹, 16E²¹</t>
        </is>
      </c>
    </row>
    <row r="485">
      <c r="A485">
        <f>HYPERLINK("https://mathstats.uncg.edu/sites/pauli/congruence/csg3.html#group16L3", "16L³")</f>
        <v/>
      </c>
      <c r="B485" t="n">
        <v>3</v>
      </c>
      <c r="C485" t="inlineStr"/>
      <c r="D485" t="inlineStr">
        <is>
          <t>96</t>
        </is>
      </c>
      <c r="E485" t="inlineStr">
        <is>
          <t>1</t>
        </is>
      </c>
      <c r="F485" t="inlineStr">
        <is>
          <t>12</t>
        </is>
      </c>
      <c r="G485" t="inlineStr">
        <is>
          <t>8</t>
        </is>
      </c>
      <c r="H485" t="inlineStr">
        <is>
          <t>0</t>
        </is>
      </c>
      <c r="I485" t="inlineStr">
        <is>
          <t>8⁴, 16⁴</t>
        </is>
      </c>
      <c r="J485" t="n">
        <v>8</v>
      </c>
      <c r="K485" t="inlineStr">
        <is>
          <t>1², 2¹, 4²</t>
        </is>
      </c>
      <c r="L485" t="inlineStr">
        <is>
          <t>8I¹, 16F¹, 16I¹</t>
        </is>
      </c>
      <c r="M485" t="inlineStr">
        <is>
          <t>16D⁷, 16B⁹, 16K⁹, 16L⁹, 32G⁹, 32M⁹, 32N⁹, 32F¹¹, 32J¹³, 48I¹⁵</t>
        </is>
      </c>
      <c r="N485" t="inlineStr">
        <is>
          <t>8H⁰, 16B⁰, 16E⁰, 8F⁰, 16I¹, 8D⁰, 4A⁰, 8I¹, 16C¹, 4C⁰, 8B⁰, 16B¹, 2B⁰, 4F⁰, 16F¹, 1A⁰</t>
        </is>
      </c>
      <c r="O485" t="inlineStr">
        <is>
          <t>32C²³, 16B¹⁹, 16A¹⁹, 32D¹⁹, 32M⁹, 32M²¹, 16A²¹, 64Q²¹, 16K⁹, 32J¹³, 32G⁹, 32F¹¹, 16L⁹, 16A¹⁷, 48I¹⁵, 16C²¹, 32K²¹, 32L²¹, 32E²³, 16B⁹, 16A¹⁵, 32E²¹, 32E¹⁹, 64P²¹, 16D⁷, 32N⁹, 32D²³, 64H²¹</t>
        </is>
      </c>
    </row>
    <row r="486">
      <c r="A486">
        <f>HYPERLINK("https://mathstats.uncg.edu/sites/pauli/congruence/csg3.html#group16M3", "16M³")</f>
        <v/>
      </c>
      <c r="B486" t="n">
        <v>3</v>
      </c>
      <c r="C486" t="inlineStr"/>
      <c r="D486" t="inlineStr">
        <is>
          <t>96</t>
        </is>
      </c>
      <c r="E486" t="inlineStr">
        <is>
          <t>1</t>
        </is>
      </c>
      <c r="F486" t="inlineStr">
        <is>
          <t>12</t>
        </is>
      </c>
      <c r="G486" t="inlineStr">
        <is>
          <t>8</t>
        </is>
      </c>
      <c r="H486" t="inlineStr">
        <is>
          <t>0</t>
        </is>
      </c>
      <c r="I486" t="inlineStr">
        <is>
          <t>8⁴, 16⁴</t>
        </is>
      </c>
      <c r="J486" t="n">
        <v>8</v>
      </c>
      <c r="K486" t="inlineStr">
        <is>
          <t>2⁶</t>
        </is>
      </c>
      <c r="L486" t="inlineStr">
        <is>
          <t>8P⁰, 16F¹, 16J¹, 16E², 16F²</t>
        </is>
      </c>
      <c r="M486" t="inlineStr">
        <is>
          <t>16D⁷, 16E⁷, 16E⁹, 32H⁹, 32G¹¹, 32K¹¹, 32K¹³, 48J¹⁵</t>
        </is>
      </c>
      <c r="N486" t="inlineStr">
        <is>
          <t>8D⁰, 4C⁰, 8B⁰, 16B¹, 8L⁰, 2B⁰, 16J¹, 1A⁰, 16E², 16B⁰, 8H⁰, 16D¹, 16F², 4A⁰, 4F⁰, 16F¹, 8P⁰</t>
        </is>
      </c>
      <c r="O486" t="inlineStr">
        <is>
          <t>32H²³, 32K¹³, 64I²¹, 32H⁹, 32K¹¹, 16B¹⁹, 16A¹⁹, 32D¹⁹, 32M²¹, 48J¹⁵, 16E⁷, 32Y²¹, 16A¹⁷, 16B¹⁷, 32E²³, 16A¹⁵, 32E¹⁹, 16D⁷, 32G¹¹, 16E⁹</t>
        </is>
      </c>
    </row>
    <row r="487">
      <c r="A487">
        <f>HYPERLINK("https://mathstats.uncg.edu/sites/pauli/congruence/csg3.html#group16N3", "16N³")</f>
        <v/>
      </c>
      <c r="B487" t="n">
        <v>3</v>
      </c>
      <c r="C487" t="inlineStr"/>
      <c r="D487" t="inlineStr">
        <is>
          <t>96</t>
        </is>
      </c>
      <c r="E487" t="inlineStr">
        <is>
          <t>1</t>
        </is>
      </c>
      <c r="F487" t="inlineStr">
        <is>
          <t>24</t>
        </is>
      </c>
      <c r="G487" t="inlineStr">
        <is>
          <t>0</t>
        </is>
      </c>
      <c r="H487" t="inlineStr">
        <is>
          <t>0</t>
        </is>
      </c>
      <c r="I487" t="inlineStr">
        <is>
          <t>2⁴, 4², 8², 16⁴</t>
        </is>
      </c>
      <c r="J487" t="n">
        <v>12</v>
      </c>
      <c r="K487" t="inlineStr">
        <is>
          <t>1⁴, 2², 4², 8¹</t>
        </is>
      </c>
      <c r="L487" t="inlineStr">
        <is>
          <t>16G¹</t>
        </is>
      </c>
      <c r="M487" t="inlineStr">
        <is>
          <t>16N⁵, 32I⁹, 32J⁹, 48Q¹⁹, 48CM²¹</t>
        </is>
      </c>
      <c r="N487" t="inlineStr">
        <is>
          <t>16G¹, 16D⁰, 16A¹, 8C⁰, 2B⁰, 8I⁰, 4B⁰, 1A⁰</t>
        </is>
      </c>
      <c r="O487" t="inlineStr">
        <is>
          <t>32D¹⁷, 32O²¹, 32B¹⁷, 16N⁵, 32J⁹, 48CM²¹, 64N²¹, 16C¹³, 32N²¹, 32I⁹, 64O²¹, 32U¹³, 48Q¹⁹</t>
        </is>
      </c>
    </row>
    <row r="488">
      <c r="A488">
        <f>HYPERLINK("https://mathstats.uncg.edu/sites/pauli/congruence/csg3.html#group16O3", "16O³")</f>
        <v/>
      </c>
      <c r="B488" t="n">
        <v>3</v>
      </c>
      <c r="C488" t="inlineStr"/>
      <c r="D488" t="inlineStr">
        <is>
          <t>96</t>
        </is>
      </c>
      <c r="E488" t="inlineStr">
        <is>
          <t>1</t>
        </is>
      </c>
      <c r="F488" t="inlineStr">
        <is>
          <t>24</t>
        </is>
      </c>
      <c r="G488" t="inlineStr">
        <is>
          <t>0</t>
        </is>
      </c>
      <c r="H488" t="inlineStr">
        <is>
          <t>0</t>
        </is>
      </c>
      <c r="I488" t="inlineStr">
        <is>
          <t>4⁴, 8⁶, 16²</t>
        </is>
      </c>
      <c r="J488" t="n">
        <v>12</v>
      </c>
      <c r="K488" t="inlineStr">
        <is>
          <t>1⁸, 2⁴, 4²</t>
        </is>
      </c>
      <c r="L488" t="inlineStr">
        <is>
          <t>8G¹</t>
        </is>
      </c>
      <c r="M488" t="inlineStr">
        <is>
          <t>16O⁵, 16F⁹, 16G⁹, 48R¹⁹, 48CQ²¹</t>
        </is>
      </c>
      <c r="N488" t="inlineStr">
        <is>
          <t>2A⁰, 8A¹, 8G¹, 4C⁰, 8B⁰, 8L⁰, 2B⁰, 8B¹, 4E⁰, 4B⁰, 1A⁰, 2C⁰, 8J⁰</t>
        </is>
      </c>
      <c r="O488" t="inlineStr">
        <is>
          <t>16G⁹, 16F⁹, 32E¹⁷, 16B¹³, 16O⁵, 48R¹⁹, 48CQ²¹, 32R²¹, 16C¹³, 32Q²¹, 16B¹⁷</t>
        </is>
      </c>
    </row>
    <row r="489">
      <c r="A489">
        <f>HYPERLINK("https://mathstats.uncg.edu/sites/pauli/congruence/csg3.html#group16P3", "16P³")</f>
        <v/>
      </c>
      <c r="B489" t="n">
        <v>3</v>
      </c>
      <c r="C489" t="inlineStr"/>
      <c r="D489" t="inlineStr">
        <is>
          <t>96</t>
        </is>
      </c>
      <c r="E489" t="inlineStr">
        <is>
          <t>1</t>
        </is>
      </c>
      <c r="F489" t="inlineStr">
        <is>
          <t>24</t>
        </is>
      </c>
      <c r="G489" t="inlineStr">
        <is>
          <t>4</t>
        </is>
      </c>
      <c r="H489" t="inlineStr">
        <is>
          <t>0</t>
        </is>
      </c>
      <c r="I489" t="inlineStr">
        <is>
          <t>8⁸, 16²</t>
        </is>
      </c>
      <c r="J489" t="n">
        <v>10</v>
      </c>
      <c r="K489" t="inlineStr">
        <is>
          <t>4², 8²</t>
        </is>
      </c>
      <c r="L489" t="inlineStr">
        <is>
          <t>8H¹</t>
        </is>
      </c>
      <c r="M489" t="inlineStr">
        <is>
          <t>16C⁶, 16B⁷, 16I⁹, 32Q⁹, 32R⁹, 16A¹⁰, 16B¹¹, 48S¹⁷, 48B²³</t>
        </is>
      </c>
      <c r="N489" t="inlineStr">
        <is>
          <t>8H⁰, 8D⁰, 4A⁰, 8K⁰, 4C⁰, 8B⁰, 8A⁰, 2B⁰, 4F⁰, 1A⁰, 8D¹, 8H¹</t>
        </is>
      </c>
      <c r="O489" t="inlineStr">
        <is>
          <t>32A²², 16A¹⁹, 16D²¹, 32B¹⁸, 16B⁷, 32R⁹, 32X²¹, 32I²¹, 16A¹⁰, 48B²³, 48S¹⁷, 16E²¹, 32G²³, 32B²², 16F²¹, 32A²⁴, 16B¹³, 32Q⁹, 32A²³, 32B²⁴, 32A¹⁸, 32A¹⁹, 16C⁶, 16I⁹, 16B¹¹</t>
        </is>
      </c>
    </row>
    <row r="490">
      <c r="A490">
        <f>HYPERLINK("https://mathstats.uncg.edu/sites/pauli/congruence/csg3.html#group16Q3", "16Q³")</f>
        <v/>
      </c>
      <c r="B490" t="n">
        <v>3</v>
      </c>
      <c r="C490" t="inlineStr"/>
      <c r="D490" t="inlineStr">
        <is>
          <t>96</t>
        </is>
      </c>
      <c r="E490" t="inlineStr">
        <is>
          <t>1</t>
        </is>
      </c>
      <c r="F490" t="inlineStr">
        <is>
          <t>24</t>
        </is>
      </c>
      <c r="G490" t="inlineStr">
        <is>
          <t>4</t>
        </is>
      </c>
      <c r="H490" t="inlineStr">
        <is>
          <t>0</t>
        </is>
      </c>
      <c r="I490" t="inlineStr">
        <is>
          <t>8⁸, 16²</t>
        </is>
      </c>
      <c r="J490" t="n">
        <v>10</v>
      </c>
      <c r="K490" t="inlineStr">
        <is>
          <t>4², 8²</t>
        </is>
      </c>
      <c r="L490" t="inlineStr">
        <is>
          <t>8H¹, 16K¹, 16L¹</t>
        </is>
      </c>
      <c r="M490" t="inlineStr">
        <is>
          <t>16C⁶, 16B⁷, 16J⁹, 16B¹⁰, 16C¹¹, 48T¹⁷, 48C²³</t>
        </is>
      </c>
      <c r="N490" t="inlineStr">
        <is>
          <t>8H⁰, 16L¹, 8H¹, 8D⁰, 8K⁰, 4A⁰, 4C⁰, 8B⁰, 8A⁰, 2B⁰, 4F⁰, 1A⁰, 8D¹, 16K¹</t>
        </is>
      </c>
      <c r="O490" t="inlineStr">
        <is>
          <t>16A¹⁹, 32C²⁴, 16D²¹, 32B¹⁸, 32B²³, 16B⁷, 32D²⁴, 48C²³, 16J⁹, 16F²¹, 16B¹⁰, 16B¹³, 32W²¹, 48T¹⁷, 32A¹⁸, 16C¹¹, 32A¹⁹, 16C⁶, 32J²¹, 16E²¹</t>
        </is>
      </c>
    </row>
    <row r="491">
      <c r="A491">
        <f>HYPERLINK("https://mathstats.uncg.edu/sites/pauli/congruence/csg3.html#group16R3", "16R³")</f>
        <v/>
      </c>
      <c r="B491" t="n">
        <v>3</v>
      </c>
      <c r="C491" t="inlineStr"/>
      <c r="D491" t="inlineStr">
        <is>
          <t>96</t>
        </is>
      </c>
      <c r="E491" t="inlineStr">
        <is>
          <t>1</t>
        </is>
      </c>
      <c r="F491" t="inlineStr">
        <is>
          <t>24</t>
        </is>
      </c>
      <c r="G491" t="inlineStr">
        <is>
          <t>8</t>
        </is>
      </c>
      <c r="H491" t="inlineStr">
        <is>
          <t>0</t>
        </is>
      </c>
      <c r="I491" t="inlineStr">
        <is>
          <t>8⁴, 16⁴</t>
        </is>
      </c>
      <c r="J491" t="n">
        <v>8</v>
      </c>
      <c r="K491" t="inlineStr">
        <is>
          <t>2⁸, 8¹</t>
        </is>
      </c>
      <c r="L491" t="inlineStr">
        <is>
          <t>16J¹</t>
        </is>
      </c>
      <c r="M491" t="inlineStr">
        <is>
          <t>16E⁷, 16G⁹, 32O⁹, 32I¹¹, 32N¹³, 48L¹⁵</t>
        </is>
      </c>
      <c r="N491" t="inlineStr">
        <is>
          <t>16B⁰, 16D¹, 4C⁰, 8B⁰, 8L⁰, 2B⁰, 16J¹, 1A⁰</t>
        </is>
      </c>
      <c r="O491" t="inlineStr">
        <is>
          <t>32H²³, 16G⁹, 32I¹¹, 32N¹³, 16A¹⁵, 32S²¹, 32R²¹, 48L¹⁵, 16E⁷, 32O⁹, 64L²¹, 32T²¹, 32Y²¹, 16B¹⁷</t>
        </is>
      </c>
    </row>
    <row r="492">
      <c r="A492">
        <f>HYPERLINK("https://mathstats.uncg.edu/sites/pauli/congruence/csg3.html#group16S3", "16S³")</f>
        <v/>
      </c>
      <c r="B492" t="n">
        <v>3</v>
      </c>
      <c r="C492" t="inlineStr"/>
      <c r="D492" t="inlineStr">
        <is>
          <t>96</t>
        </is>
      </c>
      <c r="E492" t="inlineStr">
        <is>
          <t>1</t>
        </is>
      </c>
      <c r="F492" t="inlineStr">
        <is>
          <t>24</t>
        </is>
      </c>
      <c r="G492" t="inlineStr">
        <is>
          <t>8</t>
        </is>
      </c>
      <c r="H492" t="inlineStr">
        <is>
          <t>0</t>
        </is>
      </c>
      <c r="I492" t="inlineStr">
        <is>
          <t>8⁴, 16⁴</t>
        </is>
      </c>
      <c r="J492" t="n">
        <v>8</v>
      </c>
      <c r="K492" t="inlineStr">
        <is>
          <t>2⁸, 8¹</t>
        </is>
      </c>
      <c r="L492" t="inlineStr">
        <is>
          <t>16J¹</t>
        </is>
      </c>
      <c r="M492" t="inlineStr">
        <is>
          <t>16E⁷, 16G⁹, 32P⁹, 32J¹¹, 32O¹³, 48M¹⁵</t>
        </is>
      </c>
      <c r="N492" t="inlineStr">
        <is>
          <t>16B⁰, 16D¹, 4C⁰, 8B⁰, 8L⁰, 2B⁰, 16J¹, 1A⁰</t>
        </is>
      </c>
      <c r="O492" t="inlineStr">
        <is>
          <t>32H²³, 16G⁹, 32P⁹, 48M¹⁵, 16A¹⁵, 32U²¹, 64M²¹, 32R²¹, 32O¹³, 16E⁷, 32V²¹, 32Y²¹, 32J¹¹, 16B¹⁷</t>
        </is>
      </c>
    </row>
    <row r="493">
      <c r="A493">
        <f>HYPERLINK("https://mathstats.uncg.edu/sites/pauli/congruence/csg3.html#group18A3", "18A³")</f>
        <v/>
      </c>
      <c r="B493" t="n">
        <v>3</v>
      </c>
      <c r="C493" t="inlineStr"/>
      <c r="D493" t="inlineStr">
        <is>
          <t>36</t>
        </is>
      </c>
      <c r="E493" t="inlineStr">
        <is>
          <t>1</t>
        </is>
      </c>
      <c r="F493" t="inlineStr">
        <is>
          <t>3</t>
        </is>
      </c>
      <c r="G493" t="inlineStr">
        <is>
          <t>0</t>
        </is>
      </c>
      <c r="H493" t="inlineStr">
        <is>
          <t>0</t>
        </is>
      </c>
      <c r="I493" t="inlineStr">
        <is>
          <t>18²</t>
        </is>
      </c>
      <c r="J493" t="n">
        <v>2</v>
      </c>
      <c r="K493" t="inlineStr">
        <is>
          <t>1¹, 2¹</t>
        </is>
      </c>
      <c r="L493" t="inlineStr">
        <is>
          <t>9D⁰, 6B¹, 18A¹, 18A²</t>
        </is>
      </c>
      <c r="M493" t="inlineStr">
        <is>
          <t>18A⁵, 18A⁷, 18B⁷, 18F⁷, 36D¹¹, 90A¹⁵, 90B¹⁷, 126A²¹, 126B²³</t>
        </is>
      </c>
      <c r="N493" t="inlineStr">
        <is>
          <t>2A⁰, 6B⁰, 9D⁰, 6B¹, 9A⁰, 3C⁰, 6A¹, 18A², 3A⁰, 1A⁰, 18A¹</t>
        </is>
      </c>
      <c r="O493" t="inlineStr">
        <is>
          <t>126A²¹, 18A⁷, 90B¹⁷, 126B²³, 18C¹³, 72A²³, 18A⁵, 36C¹⁵, 18B¹⁹, 18E¹⁹, 18B⁷, 90A¹⁵, 36D¹⁵, 54I²², 18H¹³, 72B²³, 36A¹¹, 18F¹³, 36A²¹, 18A¹³, 36D¹¹, 18F⁷, 18B¹³, 18A¹⁹</t>
        </is>
      </c>
    </row>
    <row r="494">
      <c r="A494">
        <f>HYPERLINK("https://mathstats.uncg.edu/sites/pauli/congruence/csg3.html#group18B3", "18B³")</f>
        <v/>
      </c>
      <c r="B494" t="n">
        <v>3</v>
      </c>
      <c r="C494" t="inlineStr"/>
      <c r="D494" t="inlineStr">
        <is>
          <t>36</t>
        </is>
      </c>
      <c r="E494" t="inlineStr">
        <is>
          <t>1</t>
        </is>
      </c>
      <c r="F494" t="inlineStr">
        <is>
          <t>6</t>
        </is>
      </c>
      <c r="G494" t="inlineStr">
        <is>
          <t>0</t>
        </is>
      </c>
      <c r="H494" t="inlineStr">
        <is>
          <t>0</t>
        </is>
      </c>
      <c r="I494" t="inlineStr">
        <is>
          <t>18²</t>
        </is>
      </c>
      <c r="J494" t="n">
        <v>2</v>
      </c>
      <c r="K494" t="inlineStr">
        <is>
          <t>2³</t>
        </is>
      </c>
      <c r="L494" t="inlineStr">
        <is>
          <t>6B¹, 18B¹</t>
        </is>
      </c>
      <c r="M494" t="inlineStr">
        <is>
          <t>18B⁵, 18A⁷, 18D⁷, 18G⁷, 36E¹¹, 90C¹⁵, 90C¹⁷, 126B²¹, 126E²³</t>
        </is>
      </c>
      <c r="N494" t="inlineStr">
        <is>
          <t>2A⁰, 6B⁰, 6B¹, 18B¹, 3C⁰, 6A¹, 3A⁰, 1A⁰</t>
        </is>
      </c>
      <c r="O494" t="inlineStr">
        <is>
          <t>18A⁷, 36B²¹, 18G⁷, 126E²³, 126B²¹, 36C¹⁵, 18E¹⁹, 36D¹⁵, 18G¹³, 90C¹⁷, 18H¹³, 18D⁷, 90C¹⁵, 72C²³, 72D²³, 18D¹⁹, 18B⁵, 18B¹³, 36E¹¹, 18E¹³, 18A¹⁹, 18D¹³, 36B¹¹</t>
        </is>
      </c>
    </row>
    <row r="495">
      <c r="A495">
        <f>HYPERLINK("https://mathstats.uncg.edu/sites/pauli/congruence/csg3.html#group18C3", "18C³")</f>
        <v/>
      </c>
      <c r="B495" t="n">
        <v>3</v>
      </c>
      <c r="C495" t="inlineStr"/>
      <c r="D495" t="inlineStr">
        <is>
          <t>36</t>
        </is>
      </c>
      <c r="E495" t="inlineStr">
        <is>
          <t>2</t>
        </is>
      </c>
      <c r="F495" t="inlineStr">
        <is>
          <t>9</t>
        </is>
      </c>
      <c r="G495" t="inlineStr">
        <is>
          <t>0</t>
        </is>
      </c>
      <c r="H495" t="inlineStr">
        <is>
          <t>0</t>
        </is>
      </c>
      <c r="I495" t="inlineStr">
        <is>
          <t>18²</t>
        </is>
      </c>
      <c r="J495" t="n">
        <v>2</v>
      </c>
      <c r="K495" t="inlineStr">
        <is>
          <t>2³, 6²</t>
        </is>
      </c>
      <c r="L495" t="inlineStr">
        <is>
          <t>18A⁰, 6B¹, 9B¹, 18A²</t>
        </is>
      </c>
      <c r="M495" t="inlineStr">
        <is>
          <t>18A⁵, 18C⁷, 18E⁷, 18F⁷, 18G⁷, 36F¹¹, 90F¹⁵, 90K¹⁷, 126G²¹, 126H²¹, 126H²³</t>
        </is>
      </c>
      <c r="N495" t="inlineStr">
        <is>
          <t>2A⁰, 6B⁰, 6B¹, 9B¹, 9A⁰, 3C⁰, 6A¹, 18A², 3A⁰, 1A⁰, 18A⁰</t>
        </is>
      </c>
      <c r="O495" t="inlineStr">
        <is>
          <t>36K¹⁵, 36F¹¹, 126G²¹, 18E⁷, 18G⁷, 18C¹³, 90K¹⁷, 18A⁵, 18B¹⁹, 18E¹⁹, 18C⁷, 18H¹³, 36A¹¹, 126H²¹, 72H²³, 72G²³, 90F¹⁵, 126H²³, 36A²¹, 18F¹³, 18D¹⁹, 18A¹³, 54H²², 18C¹⁹, 18F⁷, 18B¹³, 36J¹⁵</t>
        </is>
      </c>
    </row>
    <row r="496">
      <c r="A496">
        <f>HYPERLINK("https://mathstats.uncg.edu/sites/pauli/congruence/csg3.html#group18D3", "18D³")</f>
        <v/>
      </c>
      <c r="B496" t="n">
        <v>3</v>
      </c>
      <c r="C496" t="inlineStr"/>
      <c r="D496" t="inlineStr">
        <is>
          <t>54</t>
        </is>
      </c>
      <c r="E496" t="inlineStr">
        <is>
          <t>1</t>
        </is>
      </c>
      <c r="F496" t="inlineStr">
        <is>
          <t>27</t>
        </is>
      </c>
      <c r="G496" t="inlineStr">
        <is>
          <t>4</t>
        </is>
      </c>
      <c r="H496" t="inlineStr">
        <is>
          <t>0</t>
        </is>
      </c>
      <c r="I496" t="inlineStr">
        <is>
          <t>18³</t>
        </is>
      </c>
      <c r="J496" t="n">
        <v>3</v>
      </c>
      <c r="K496" t="inlineStr">
        <is>
          <t>1³, 2³, 6³</t>
        </is>
      </c>
      <c r="L496" t="inlineStr">
        <is>
          <t>6H⁰, 18A¹, 18B¹, 18E¹</t>
        </is>
      </c>
      <c r="M496" t="inlineStr">
        <is>
          <t>18D⁶, 36C⁶, 18A⁷, 36G⁷, 18B⁸, 36C⁸, 90A²¹, 90A²³</t>
        </is>
      </c>
      <c r="N496" t="inlineStr">
        <is>
          <t>6B⁰, 6H⁰, 9A⁰, 18B¹, 2B⁰, 18E¹, 3A⁰, 1A⁰, 18A¹, 6D⁰</t>
        </is>
      </c>
      <c r="O496" t="inlineStr">
        <is>
          <t>18A⁷, 72B¹⁴, 36C⁸, 36S¹³, 36I¹⁵, 36D¹⁵, 18A¹⁸, 36D²¹, 72I¹³, 72D¹⁷, 36A¹⁴, 18A¹⁹, 36L¹⁵, 72C¹⁴, 18B⁸, 36G⁷, 72Q¹⁵, 90A²¹, 72S¹⁶, 36C¹⁵, 18E¹⁹, 90A²³, 36B¹⁸, 36P¹³, 18D⁶, 18G¹⁶, 36B¹⁴, 72C¹⁶, 36C⁶, 36I²², 36T¹⁹, 18B¹³, 72D¹⁶</t>
        </is>
      </c>
    </row>
    <row r="497">
      <c r="A497">
        <f>HYPERLINK("https://mathstats.uncg.edu/sites/pauli/congruence/csg3.html#group18E3", "18E³")</f>
        <v/>
      </c>
      <c r="B497" t="n">
        <v>3</v>
      </c>
      <c r="C497" t="inlineStr"/>
      <c r="D497" t="inlineStr">
        <is>
          <t>54</t>
        </is>
      </c>
      <c r="E497" t="inlineStr">
        <is>
          <t>2</t>
        </is>
      </c>
      <c r="F497" t="inlineStr">
        <is>
          <t>27</t>
        </is>
      </c>
      <c r="G497" t="inlineStr">
        <is>
          <t>2</t>
        </is>
      </c>
      <c r="H497" t="inlineStr">
        <is>
          <t>0</t>
        </is>
      </c>
      <c r="I497" t="inlineStr">
        <is>
          <t>9², 18²</t>
        </is>
      </c>
      <c r="J497" t="n">
        <v>4</v>
      </c>
      <c r="K497" t="inlineStr">
        <is>
          <t>2⁹, 6⁶</t>
        </is>
      </c>
      <c r="L497" t="inlineStr">
        <is>
          <t>6G⁰, 9B¹, 18E¹</t>
        </is>
      </c>
      <c r="M497" t="inlineStr">
        <is>
          <t>18A⁶, 18D⁶, 36H⁶, 18E⁷, 18M⁷, 36D⁷, 36E⁷, 18A⁸, 36E⁸, 90B²¹, 90B²³</t>
        </is>
      </c>
      <c r="N497" t="inlineStr">
        <is>
          <t>9A⁰, 6G⁰, 3C⁰, 2B⁰, 18E¹, 3A⁰, 1A⁰, 9B¹, 6D⁰</t>
        </is>
      </c>
      <c r="O497" t="inlineStr">
        <is>
          <t>36E⁸, 72V¹⁵, 36K¹⁵, 72I¹⁷, 18E⁷, 36S¹³, 90B²¹, 36I¹⁵, 36A¹⁵, 36M¹⁵, 72U¹⁵, 36A¹⁸, 18A¹⁸, 72T¹⁵, 18B¹⁶, 36H⁶, 36R¹⁹, 36C¹³, 72J¹⁷, 36E⁷, 36L¹⁵, 18C¹⁹, 72S¹⁵, 36J¹⁵, 36N¹⁵, 18M⁷, 18E¹⁹, 18A¹⁶, 36D⁷, 36C²², 36P¹³, 18A⁸, 18D⁶, 72O¹⁵, 18G¹⁶, 72R¹⁵, 72L¹³, 72N¹⁵, 18A⁶, 36Q¹⁹, 36O¹⁹, 36H²², 18B¹³, 90B²³, 36I¹⁶, 18A²², 36C²¹</t>
        </is>
      </c>
    </row>
    <row r="498">
      <c r="A498">
        <f>HYPERLINK("https://mathstats.uncg.edu/sites/pauli/congruence/csg3.html#group18F3", "18F³")</f>
        <v/>
      </c>
      <c r="B498" t="n">
        <v>3</v>
      </c>
      <c r="C498" t="inlineStr"/>
      <c r="D498" t="inlineStr">
        <is>
          <t>72</t>
        </is>
      </c>
      <c r="E498" t="inlineStr">
        <is>
          <t>1</t>
        </is>
      </c>
      <c r="F498" t="inlineStr">
        <is>
          <t>6</t>
        </is>
      </c>
      <c r="G498" t="inlineStr">
        <is>
          <t>0</t>
        </is>
      </c>
      <c r="H498" t="inlineStr">
        <is>
          <t>0</t>
        </is>
      </c>
      <c r="I498" t="inlineStr">
        <is>
          <t>6⁶, 18²</t>
        </is>
      </c>
      <c r="J498" t="n">
        <v>8</v>
      </c>
      <c r="K498" t="inlineStr">
        <is>
          <t>1², 2²</t>
        </is>
      </c>
      <c r="L498" t="inlineStr">
        <is>
          <t>9H⁰, 6D¹, 18F¹, 18F²</t>
        </is>
      </c>
      <c r="M498" t="inlineStr">
        <is>
          <t>18N⁷, 36A⁹, 18D¹⁰, 18K¹⁰, 18A¹³, 18C¹³, 18D¹³, 18E¹³, 36C¹⁷</t>
        </is>
      </c>
      <c r="N498" t="inlineStr">
        <is>
          <t>18F², 2A⁰, 3B⁰, 6B⁰, 6C⁰, 9E⁰, 1A⁰, 6D¹, 6E⁰, 6B¹, 3C⁰, 6A¹, 18F¹, 9H⁰, 3A⁰, 3D⁰</t>
        </is>
      </c>
      <c r="O498" t="inlineStr">
        <is>
          <t>36C¹⁷, 18N⁷, 36E²¹, 36A⁹, 18K¹⁰, 18C¹³, 36I¹⁷, 18A¹³, 18D¹⁰, 18E¹³, 18D¹³</t>
        </is>
      </c>
    </row>
    <row r="499">
      <c r="A499">
        <f>HYPERLINK("https://mathstats.uncg.edu/sites/pauli/congruence/csg3.html#group18G3", "18G³")</f>
        <v/>
      </c>
      <c r="B499" t="n">
        <v>3</v>
      </c>
      <c r="C499" t="inlineStr"/>
      <c r="D499" t="inlineStr">
        <is>
          <t>72</t>
        </is>
      </c>
      <c r="E499" t="inlineStr">
        <is>
          <t>1</t>
        </is>
      </c>
      <c r="F499" t="inlineStr">
        <is>
          <t>12</t>
        </is>
      </c>
      <c r="G499" t="inlineStr">
        <is>
          <t>0</t>
        </is>
      </c>
      <c r="H499" t="inlineStr">
        <is>
          <t>0</t>
        </is>
      </c>
      <c r="I499" t="inlineStr">
        <is>
          <t>2³, 6², 18³</t>
        </is>
      </c>
      <c r="J499" t="n">
        <v>8</v>
      </c>
      <c r="K499" t="inlineStr">
        <is>
          <t>1², 2², 6¹</t>
        </is>
      </c>
      <c r="L499" t="inlineStr">
        <is>
          <t>9I⁰, 18C¹</t>
        </is>
      </c>
      <c r="M499" t="inlineStr">
        <is>
          <t>18O⁷, 36B⁹, 18D¹⁰, 18I¹⁰, 54B¹⁰, 54D¹⁰, 54C¹³, 54D¹³, 54F¹³, 54G¹³, 36D¹⁷</t>
        </is>
      </c>
      <c r="N499" t="inlineStr">
        <is>
          <t>3B⁰, 2A⁰, 18C¹, 6C⁰, 9I⁰, 9B⁰, 1A⁰</t>
        </is>
      </c>
      <c r="O499" t="inlineStr">
        <is>
          <t>18I¹⁰, 18O⁷, 54D¹³, 54C¹³, 54G¹³, 36J¹⁷, 36F²¹, 18D¹⁰, 36B⁹, 36D¹⁷, 54F¹³, 54D¹⁰, 54B¹⁰</t>
        </is>
      </c>
    </row>
    <row r="500">
      <c r="A500">
        <f>HYPERLINK("https://mathstats.uncg.edu/sites/pauli/congruence/csg3.html#group18H3", "18H³")</f>
        <v/>
      </c>
      <c r="B500" t="n">
        <v>3</v>
      </c>
      <c r="C500" t="inlineStr"/>
      <c r="D500" t="inlineStr">
        <is>
          <t>72</t>
        </is>
      </c>
      <c r="E500" t="inlineStr">
        <is>
          <t>1</t>
        </is>
      </c>
      <c r="F500" t="inlineStr">
        <is>
          <t>12</t>
        </is>
      </c>
      <c r="G500" t="inlineStr">
        <is>
          <t>0</t>
        </is>
      </c>
      <c r="H500" t="inlineStr">
        <is>
          <t>0</t>
        </is>
      </c>
      <c r="I500" t="inlineStr">
        <is>
          <t>6⁶, 18²</t>
        </is>
      </c>
      <c r="J500" t="n">
        <v>8</v>
      </c>
      <c r="K500" t="inlineStr">
        <is>
          <t>1², 2⁵</t>
        </is>
      </c>
      <c r="L500" t="inlineStr">
        <is>
          <t>6D¹, 18G¹</t>
        </is>
      </c>
      <c r="M500" t="inlineStr">
        <is>
          <t>18N⁷, 36E⁹, 18F¹⁰, 18K¹⁰, 18E¹³, 18F¹³, 18G¹³, 18H¹³, 36E¹⁷</t>
        </is>
      </c>
      <c r="N500" t="inlineStr">
        <is>
          <t>3B⁰, 2A⁰, 6B⁰, 6C⁰, 1A⁰, 6D¹, 6E⁰, 6B¹, 3C⁰, 6A¹, 18G¹, 3A⁰, 3D⁰</t>
        </is>
      </c>
      <c r="O500" t="inlineStr">
        <is>
          <t>18N⁷, 36E²¹, 18K¹⁰, 36E¹⁷, 18F¹³, 36I¹⁷, 18E¹³, 18G¹³, 36E⁹, 18H¹³, 18F¹⁰</t>
        </is>
      </c>
    </row>
    <row r="501">
      <c r="A501">
        <f>HYPERLINK("https://mathstats.uncg.edu/sites/pauli/congruence/csg3.html#group18I3", "18I³")</f>
        <v/>
      </c>
      <c r="B501" t="n">
        <v>3</v>
      </c>
      <c r="C501" t="inlineStr"/>
      <c r="D501" t="inlineStr">
        <is>
          <t>72</t>
        </is>
      </c>
      <c r="E501" t="inlineStr">
        <is>
          <t>1</t>
        </is>
      </c>
      <c r="F501" t="inlineStr">
        <is>
          <t>24</t>
        </is>
      </c>
      <c r="G501" t="inlineStr">
        <is>
          <t>0</t>
        </is>
      </c>
      <c r="H501" t="inlineStr">
        <is>
          <t>0</t>
        </is>
      </c>
      <c r="I501" t="inlineStr">
        <is>
          <t>2³, 6², 18³</t>
        </is>
      </c>
      <c r="J501" t="n">
        <v>8</v>
      </c>
      <c r="K501" t="inlineStr">
        <is>
          <t>1⁴, 2⁴, 6²</t>
        </is>
      </c>
      <c r="L501" t="inlineStr">
        <is>
          <t>18C¹</t>
        </is>
      </c>
      <c r="M501" t="inlineStr">
        <is>
          <t>18O⁷, 36F⁹, 18F¹⁰, 18I¹⁰, 54E¹⁰, 54H¹⁰, 54L¹³, 54M¹³, 54Q¹³, 54R¹³, 36G¹⁷</t>
        </is>
      </c>
      <c r="N501" t="inlineStr">
        <is>
          <t>3B⁰, 9B⁰, 2A⁰, 1A⁰, 18C¹, 6C⁰</t>
        </is>
      </c>
      <c r="O501" t="inlineStr">
        <is>
          <t>54H¹⁰, 36F⁹, 18O⁷, 18I¹⁰, 54Q¹³, 54E¹⁰, 54M¹³, 36J¹⁷, 54L¹³, 36F²¹, 36G¹⁷, 54R¹³, 18F¹⁰</t>
        </is>
      </c>
    </row>
    <row r="502">
      <c r="A502">
        <f>HYPERLINK("https://mathstats.uncg.edu/sites/pauli/congruence/csg3.html#group18J3", "18J³")</f>
        <v/>
      </c>
      <c r="B502" t="n">
        <v>3</v>
      </c>
      <c r="C502" t="inlineStr"/>
      <c r="D502" t="inlineStr">
        <is>
          <t>81</t>
        </is>
      </c>
      <c r="E502" t="inlineStr">
        <is>
          <t>1</t>
        </is>
      </c>
      <c r="F502" t="inlineStr">
        <is>
          <t>81</t>
        </is>
      </c>
      <c r="G502" t="inlineStr">
        <is>
          <t>7</t>
        </is>
      </c>
      <c r="H502" t="inlineStr">
        <is>
          <t>0</t>
        </is>
      </c>
      <c r="I502" t="inlineStr">
        <is>
          <t>9³, 18³</t>
        </is>
      </c>
      <c r="J502" t="n">
        <v>6</v>
      </c>
      <c r="K502" t="inlineStr">
        <is>
          <t>3³, 6¹²</t>
        </is>
      </c>
      <c r="L502" t="inlineStr">
        <is>
          <t>9G⁰, 18E¹</t>
        </is>
      </c>
      <c r="M502" t="inlineStr">
        <is>
          <t>18K⁷, 18M⁷, 36L⁷, 18A⁸, 18B⁸, 36L⁸, 36M⁸, 18C¹⁰, 18L¹⁰, 36N¹⁰, 36P¹⁰, 36G¹¹, 54A¹⁵</t>
        </is>
      </c>
      <c r="N502" t="inlineStr">
        <is>
          <t>9A⁰, 9G⁰, 2B⁰, 18E¹, 3A⁰, 1A⁰, 6D⁰</t>
        </is>
      </c>
      <c r="O502" t="inlineStr">
        <is>
          <t>72W¹⁹, 36N¹⁰, 36L⁸, 72G²², 36A¹⁸, 36D²¹, 18A¹⁸, 36P¹⁰, 36S¹⁹, 36E²², 36R¹⁹, 18B⁸, 18C¹⁹, 36I¹⁶, 72F²⁰, 72J²², 18K⁷, 36F²², 72D²⁰, 18M⁷, 36C²⁰, 18E¹⁹, 18A¹⁶, 36C²¹, 36H¹⁶, 36C²², 36B¹⁸, 72E²⁰, 36L⁷, 36M⁸, 18A⁸, 36A²⁰, 18L¹⁰, 18G¹⁶, 36J²², 54A¹⁵, 36O¹⁹, 36Q¹⁹, 72K²², 72X²¹, 72E¹⁸, 36I²², 36G¹¹, 36H²², 36T¹⁹, 72H²², 36D²², 36B²⁰, 18A²², 72A²⁴, 18C¹⁰</t>
        </is>
      </c>
    </row>
    <row r="503">
      <c r="A503">
        <f>HYPERLINK("https://mathstats.uncg.edu/sites/pauli/congruence/csg3.html#group18K3", "18K³")</f>
        <v/>
      </c>
      <c r="B503" t="n">
        <v>3</v>
      </c>
      <c r="C503" t="inlineStr"/>
      <c r="D503" t="inlineStr">
        <is>
          <t>108</t>
        </is>
      </c>
      <c r="E503" t="inlineStr">
        <is>
          <t>1</t>
        </is>
      </c>
      <c r="F503" t="inlineStr">
        <is>
          <t>54</t>
        </is>
      </c>
      <c r="G503" t="inlineStr">
        <is>
          <t>4</t>
        </is>
      </c>
      <c r="H503" t="inlineStr">
        <is>
          <t>0</t>
        </is>
      </c>
      <c r="I503" t="inlineStr">
        <is>
          <t>6⁹, 18³</t>
        </is>
      </c>
      <c r="J503" t="n">
        <v>12</v>
      </c>
      <c r="K503" t="inlineStr">
        <is>
          <t>1³, 2³, 3³, 6⁶</t>
        </is>
      </c>
      <c r="L503" t="inlineStr">
        <is>
          <t>6L⁰, 18F¹, 18G¹, 18I¹</t>
        </is>
      </c>
      <c r="M503" t="inlineStr">
        <is>
          <t>18N⁷, 36N⁸, 36O⁸, 36P⁹, 36L¹¹, 36A¹², 36B¹², 18D¹⁶, 18A¹⁸</t>
        </is>
      </c>
      <c r="N503" t="inlineStr">
        <is>
          <t>6B⁰, 9E⁰, 6E⁰, 6L⁰, 18I¹, 6G⁰, 3C⁰, 2B⁰, 18G¹, 18F¹, 6H⁰, 3A⁰, 1A⁰, 6D⁰</t>
        </is>
      </c>
      <c r="O503" t="inlineStr">
        <is>
          <t>18N⁷, 36L¹¹, 36E²¹, 36I¹⁷, 18A¹⁸, 36B²³, 36P⁹, 36A¹², 36B¹², 36D²³, 72J²³, 18D¹⁶, 72K²³, 36N⁸, 72I²³, 36O⁸, 36U¹⁹, 36C²³</t>
        </is>
      </c>
    </row>
    <row r="504">
      <c r="A504">
        <f>HYPERLINK("https://mathstats.uncg.edu/sites/pauli/congruence/csg3.html#group20A3", "20A³")</f>
        <v/>
      </c>
      <c r="B504" t="n">
        <v>3</v>
      </c>
      <c r="C504" t="inlineStr"/>
      <c r="D504" t="inlineStr">
        <is>
          <t>48</t>
        </is>
      </c>
      <c r="E504" t="inlineStr">
        <is>
          <t>1</t>
        </is>
      </c>
      <c r="F504" t="inlineStr">
        <is>
          <t>6</t>
        </is>
      </c>
      <c r="G504" t="inlineStr">
        <is>
          <t>0</t>
        </is>
      </c>
      <c r="H504" t="inlineStr">
        <is>
          <t>0</t>
        </is>
      </c>
      <c r="I504" t="inlineStr">
        <is>
          <t>4², 20²</t>
        </is>
      </c>
      <c r="J504" t="n">
        <v>4</v>
      </c>
      <c r="K504" t="inlineStr">
        <is>
          <t>1², 4¹</t>
        </is>
      </c>
      <c r="L504" t="inlineStr">
        <is>
          <t>10D¹, 20C¹</t>
        </is>
      </c>
      <c r="M504" t="inlineStr">
        <is>
          <t>20J⁷, 20E⁹, 60A¹¹, 60B¹¹, 60I¹³, 20A¹⁵, 100A¹⁵, 100C¹⁹, 100B¹⁹, 100D¹⁹, 100A¹⁹</t>
        </is>
      </c>
      <c r="N504" t="inlineStr">
        <is>
          <t>2A⁰, 20C¹, 5B⁰, 5D⁰, 10A¹, 10D¹, 1A⁰, 10B⁰</t>
        </is>
      </c>
      <c r="O504" t="inlineStr">
        <is>
          <t>20E⁹, 60A¹¹, 100B¹⁹, 20A¹⁵, 60B¹¹, 100A¹⁹, 20J⁷, 100D¹⁹, 60I¹³, 100C¹⁹, 60D²¹, 20F¹³, 100A¹⁵</t>
        </is>
      </c>
    </row>
    <row r="505">
      <c r="A505">
        <f>HYPERLINK("https://mathstats.uncg.edu/sites/pauli/congruence/csg3.html#group20B3", "20B³")</f>
        <v/>
      </c>
      <c r="B505" t="n">
        <v>3</v>
      </c>
      <c r="C505" t="inlineStr"/>
      <c r="D505" t="inlineStr">
        <is>
          <t>48</t>
        </is>
      </c>
      <c r="E505" t="inlineStr">
        <is>
          <t>1</t>
        </is>
      </c>
      <c r="F505" t="inlineStr">
        <is>
          <t>24</t>
        </is>
      </c>
      <c r="G505" t="inlineStr">
        <is>
          <t>0</t>
        </is>
      </c>
      <c r="H505" t="inlineStr">
        <is>
          <t>0</t>
        </is>
      </c>
      <c r="I505" t="inlineStr">
        <is>
          <t>4², 20²</t>
        </is>
      </c>
      <c r="J505" t="n">
        <v>4</v>
      </c>
      <c r="K505" t="inlineStr">
        <is>
          <t>2⁴, 8²</t>
        </is>
      </c>
      <c r="L505" t="inlineStr">
        <is>
          <t>5D⁰, 20B¹</t>
        </is>
      </c>
      <c r="M505" t="inlineStr">
        <is>
          <t>20D⁵, 20M⁷, 40C⁷, 60D¹¹, 40D¹³, 60K¹³, 20B¹⁵, 100B¹⁵, 100E¹⁹, 100F¹⁹, 100G¹⁹, 100H¹⁹</t>
        </is>
      </c>
      <c r="N505" t="inlineStr">
        <is>
          <t>5B⁰, 5D⁰, 1A⁰, 4A⁰, 20B¹</t>
        </is>
      </c>
      <c r="O505" t="inlineStr">
        <is>
          <t>60D¹¹, 40AB¹⁷, 20M⁷, 100G¹⁹, 40C⁷, 40AA¹⁷, 60N²¹, 60K¹³, 120J²³, 20E¹³, 100E¹⁹, 100F¹⁹, 60L²¹, 20B¹⁵, 40H¹⁹, 60H²¹, 100B¹⁵, 20E⁹, 100H¹⁹, 40AC¹⁵, 60F²¹, 120I²³, 40C¹³, 80D¹⁵, 20D⁵, 40B¹³, 40D¹³</t>
        </is>
      </c>
    </row>
    <row r="506">
      <c r="A506">
        <f>HYPERLINK("https://mathstats.uncg.edu/sites/pauli/congruence/csg3.html#group20C3", "20C³")</f>
        <v/>
      </c>
      <c r="B506" t="n">
        <v>3</v>
      </c>
      <c r="C506" t="inlineStr"/>
      <c r="D506" t="inlineStr">
        <is>
          <t>48</t>
        </is>
      </c>
      <c r="E506" t="inlineStr">
        <is>
          <t>1</t>
        </is>
      </c>
      <c r="F506" t="inlineStr">
        <is>
          <t>24</t>
        </is>
      </c>
      <c r="G506" t="inlineStr">
        <is>
          <t>0</t>
        </is>
      </c>
      <c r="H506" t="inlineStr">
        <is>
          <t>0</t>
        </is>
      </c>
      <c r="I506" t="inlineStr">
        <is>
          <t>4², 20²</t>
        </is>
      </c>
      <c r="J506" t="n">
        <v>4</v>
      </c>
      <c r="K506" t="inlineStr">
        <is>
          <t>2⁴, 8²</t>
        </is>
      </c>
      <c r="L506" t="inlineStr">
        <is>
          <t>4D⁰, 10A¹, 20B¹</t>
        </is>
      </c>
      <c r="M506" t="inlineStr">
        <is>
          <t>20D⁵, 20K⁷, 40A⁷, 40B⁷, 60E¹¹, 60F¹¹, 40E¹³, 60M¹³, 20F¹⁵, 100C¹⁵, 100L¹⁹, 100J¹⁹, 100I¹⁹, 100K¹⁹</t>
        </is>
      </c>
      <c r="N506" t="inlineStr">
        <is>
          <t>2A⁰, 4A⁰, 4D⁰, 5B⁰, 10A¹, 1A⁰, 20B¹</t>
        </is>
      </c>
      <c r="O506" t="inlineStr">
        <is>
          <t>60E¹¹, 20F¹⁵, 80C¹⁵, 20E¹³, 40X¹⁷, 40V¹⁵, 40A¹⁹, 60M¹³, 120C²³, 60H²¹, 120B²³, 20E⁹, 100I¹⁹, 20K⁷, 100L¹⁹, 80A¹⁵, 120F²³, 60F²¹, 60M²¹, 100K¹⁹, 40E¹³, 120D²³, 40B¹³, 120A²³, 40U¹⁷, 60F¹¹, 80B¹⁵, 120E²³, 40A⁷, 40U¹⁵, 60O²¹, 100C¹⁵, 100J¹⁹, 40B⁷, 40C¹³, 20D⁵, 40B¹⁹</t>
        </is>
      </c>
    </row>
    <row r="507">
      <c r="A507">
        <f>HYPERLINK("https://mathstats.uncg.edu/sites/pauli/congruence/csg3.html#group20D3", "20D³")</f>
        <v/>
      </c>
      <c r="B507" t="n">
        <v>3</v>
      </c>
      <c r="C507" t="inlineStr"/>
      <c r="D507" t="inlineStr">
        <is>
          <t>60</t>
        </is>
      </c>
      <c r="E507" t="inlineStr">
        <is>
          <t>1</t>
        </is>
      </c>
      <c r="F507" t="inlineStr">
        <is>
          <t>20</t>
        </is>
      </c>
      <c r="G507" t="inlineStr">
        <is>
          <t>6</t>
        </is>
      </c>
      <c r="H507" t="inlineStr">
        <is>
          <t>0</t>
        </is>
      </c>
      <c r="I507" t="inlineStr">
        <is>
          <t>20³</t>
        </is>
      </c>
      <c r="J507" t="n">
        <v>3</v>
      </c>
      <c r="K507" t="inlineStr">
        <is>
          <t>2², 8²</t>
        </is>
      </c>
      <c r="L507" t="inlineStr">
        <is>
          <t>5E⁰, 20A¹</t>
        </is>
      </c>
      <c r="M507" t="inlineStr">
        <is>
          <t>20B⁶, 20F⁷, 20B⁸, 40G⁸, 40H⁸, 20B¹⁰, 60B¹⁰, 40K¹⁵, 60D¹⁸, 100M¹⁹</t>
        </is>
      </c>
      <c r="N507" t="inlineStr">
        <is>
          <t>5E⁰, 5A⁰, 20A¹, 1A⁰, 4A⁰</t>
        </is>
      </c>
      <c r="O507" t="inlineStr">
        <is>
          <t>40F²², 20F¹⁵, 40G²³, 40A²⁴, 20C²¹, 40G⁸, 40D¹⁶, 20B⁶, 40M²², 60B²², 40K¹⁵, 100M¹⁹, 40R¹⁷, 20B¹⁵, 20F⁷, 60D¹⁸, 60J²³, 20B⁸, 20B²⁰, 40B²², 20A²², 60A²⁴, 80D¹⁸, 20B¹³, 60B¹⁰, 40D¹⁸, 40S¹⁷, 40B¹⁸, 40H⁸, 80F¹⁸, 60C²², 20B¹⁰, 40E¹⁶</t>
        </is>
      </c>
    </row>
    <row r="508">
      <c r="A508">
        <f>HYPERLINK("https://mathstats.uncg.edu/sites/pauli/congruence/csg3.html#group20E3", "20E³")</f>
        <v/>
      </c>
      <c r="B508" t="n">
        <v>3</v>
      </c>
      <c r="C508" t="inlineStr"/>
      <c r="D508" t="inlineStr">
        <is>
          <t>60</t>
        </is>
      </c>
      <c r="E508" t="inlineStr">
        <is>
          <t>1</t>
        </is>
      </c>
      <c r="F508" t="inlineStr">
        <is>
          <t>30</t>
        </is>
      </c>
      <c r="G508" t="inlineStr">
        <is>
          <t>0</t>
        </is>
      </c>
      <c r="H508" t="inlineStr">
        <is>
          <t>0</t>
        </is>
      </c>
      <c r="I508" t="inlineStr">
        <is>
          <t>5⁴, 20²</t>
        </is>
      </c>
      <c r="J508" t="n">
        <v>6</v>
      </c>
      <c r="K508" t="inlineStr">
        <is>
          <t>2³, 4⁶</t>
        </is>
      </c>
      <c r="L508" t="inlineStr">
        <is>
          <t>4B⁰, 10F¹</t>
        </is>
      </c>
      <c r="M508" t="inlineStr">
        <is>
          <t>20E⁵, 20A⁷, 20C⁷, 20P⁷, 40F⁷, 40G⁷, 60A¹³, 60V¹⁵, 100A²³</t>
        </is>
      </c>
      <c r="N508" t="inlineStr">
        <is>
          <t>2B⁰, 4B⁰, 1A⁰, 5C⁰, 10F¹</t>
        </is>
      </c>
      <c r="O508" t="inlineStr">
        <is>
          <t>100A²³, 20H¹⁵, 40G⁷, 60A¹³, 60V¹⁵, 80I¹⁵, 40E¹⁵, 40I¹⁷, 80E¹⁷, 40F⁷, 20A¹³, 20D¹⁹, 80S¹⁷, 20P⁷, 40N¹⁵, 20E⁵, 40M¹⁵, 80H¹⁵, 80J¹⁵, 20C¹¹, 40C¹⁷, 20D¹⁵, 80M¹⁵, 20E¹⁵, 80D¹⁷, 40L¹⁵, 40B¹⁵, 40J¹¹, 40C¹⁵, 40M¹⁹, 20B¹⁹, 20G¹³, 40O¹⁵, 40L¹⁹, 80G¹⁵, 20A⁷, 40G¹³, 20C⁷, 40A¹⁵, 40D¹⁷</t>
        </is>
      </c>
    </row>
    <row r="509">
      <c r="A509">
        <f>HYPERLINK("https://mathstats.uncg.edu/sites/pauli/congruence/csg3.html#group20F3", "20F³")</f>
        <v/>
      </c>
      <c r="B509" t="n">
        <v>3</v>
      </c>
      <c r="C509" t="inlineStr"/>
      <c r="D509" t="inlineStr">
        <is>
          <t>60</t>
        </is>
      </c>
      <c r="E509" t="inlineStr">
        <is>
          <t>1</t>
        </is>
      </c>
      <c r="F509" t="inlineStr">
        <is>
          <t>30</t>
        </is>
      </c>
      <c r="G509" t="inlineStr">
        <is>
          <t>4</t>
        </is>
      </c>
      <c r="H509" t="inlineStr">
        <is>
          <t>0</t>
        </is>
      </c>
      <c r="I509" t="inlineStr">
        <is>
          <t>10², 20²</t>
        </is>
      </c>
      <c r="J509" t="n">
        <v>4</v>
      </c>
      <c r="K509" t="inlineStr">
        <is>
          <t>2³, 4⁶</t>
        </is>
      </c>
      <c r="L509" t="inlineStr">
        <is>
          <t>4C⁰, 10F¹</t>
        </is>
      </c>
      <c r="M509" t="inlineStr">
        <is>
          <t>20F⁵, 20C⁷, 20D⁷, 20G⁷, 20H⁷, 40D⁷, 40E⁷, 40H⁷, 40I⁷, 20B⁹, 40C⁹, 40D⁹, 60L¹¹, 60G¹⁷, 100B²³</t>
        </is>
      </c>
      <c r="N509" t="inlineStr">
        <is>
          <t>5C⁰, 2B⁰, 1A⁰, 4C⁰, 10F¹</t>
        </is>
      </c>
      <c r="O509" t="inlineStr">
        <is>
          <t>20B¹⁷, 20D⁷, 20A¹⁹, 40I⁷, 40J¹⁷, 80E¹⁵, 40H¹⁵, 80H¹⁷, 40D¹⁷, 40P¹⁵, 40I¹⁵, 20F⁵, 20G⁷, 40P¹⁷, 20D¹¹, 40M¹⁷, 80I¹⁹, 80R¹⁷, 20B²¹, 80T¹⁷, 40C¹⁷, 20D¹⁵, 20B⁹, 40D⁹, 80O¹⁷, 20G¹⁵, 40H¹³, 40R¹⁵, 40Q¹⁵, 20D¹³, 80P¹⁷, 80K¹⁵, 20C⁷, 80N¹⁷, 40D²³, 40E¹⁷, 20C²¹, 100B²³, 80F¹⁵, 40F¹⁷, 40I²¹, 40Q¹⁷, 120M²³, 40G¹⁵, 20A¹³, 40L¹⁷, 20D¹⁹, 20H⁷, 80M¹⁷, 60I²³, 40H⁷, 80Q¹⁷, 40C⁹, 40I¹³, 40D⁷, 120N²³, 40N¹⁵, 80J¹⁹, 20C¹³, 60G¹⁷, 40F¹⁵, 20E¹⁵, 40B¹⁷, 40H²¹, 40B¹⁵, 40C¹⁵, 80L¹⁵, 80I¹⁷, 40E⁷, 40O¹⁵, 40S¹⁵, 40D¹⁵, 80D¹⁹, 60L¹¹, 60G²³, 40K¹⁷, 40C²³, 40J¹⁵, 40F¹³, 80E¹⁹, 60U²¹</t>
        </is>
      </c>
    </row>
    <row r="510">
      <c r="A510">
        <f>HYPERLINK("https://mathstats.uncg.edu/sites/pauli/congruence/csg3.html#group20G3", "20G³")</f>
        <v/>
      </c>
      <c r="B510" t="n">
        <v>3</v>
      </c>
      <c r="C510" t="inlineStr"/>
      <c r="D510" t="inlineStr">
        <is>
          <t>72</t>
        </is>
      </c>
      <c r="E510" t="inlineStr">
        <is>
          <t>1</t>
        </is>
      </c>
      <c r="F510" t="inlineStr">
        <is>
          <t>18</t>
        </is>
      </c>
      <c r="G510" t="inlineStr">
        <is>
          <t>0</t>
        </is>
      </c>
      <c r="H510" t="inlineStr">
        <is>
          <t>0</t>
        </is>
      </c>
      <c r="I510" t="inlineStr">
        <is>
          <t>2², 4², 10², 20²</t>
        </is>
      </c>
      <c r="J510" t="n">
        <v>8</v>
      </c>
      <c r="K510" t="inlineStr">
        <is>
          <t>1⁶, 4³</t>
        </is>
      </c>
      <c r="L510" t="inlineStr">
        <is>
          <t>10F⁰, 20E¹, 20C²</t>
        </is>
      </c>
      <c r="M510" t="inlineStr">
        <is>
          <t>20I⁵, 20M⁷, 40N⁷, 40H⁹, 40G⁹, 60A¹⁵, 60Q¹⁷, 20A¹⁹, 100N¹⁹</t>
        </is>
      </c>
      <c r="N510" t="inlineStr">
        <is>
          <t>20E¹, 4C⁰, 5B⁰, 10C⁰, 5D⁰, 10F⁰, 2B⁰, 1A⁰, 20C²</t>
        </is>
      </c>
      <c r="O510" t="inlineStr">
        <is>
          <t>80N²¹, 20A¹⁹, 40AB¹⁷, 20M⁷, 80B²¹, 40R¹³, 80J²¹, 80F²¹, 20I⁵, 40AA¹⁷, 40H⁹, 20E¹³, 40AF¹⁷, 40K¹³, 80AA²¹, 80Z²¹, 40Y¹⁷, 40H¹⁹, 20F¹³, 80H²¹, 40N⁷, 40J¹³, 40T¹⁷, 60A¹⁵, 80A²¹, 40AC¹⁵, 60Q¹⁷, 40AG¹⁷, 80U¹⁵, 20F⁹, 40Q¹³, 100N¹⁹, 80O¹⁹, 40G⁹</t>
        </is>
      </c>
    </row>
    <row r="511">
      <c r="A511">
        <f>HYPERLINK("https://mathstats.uncg.edu/sites/pauli/congruence/csg3.html#group20H3", "20H³")</f>
        <v/>
      </c>
      <c r="B511" t="n">
        <v>3</v>
      </c>
      <c r="C511" t="inlineStr"/>
      <c r="D511" t="inlineStr">
        <is>
          <t>72</t>
        </is>
      </c>
      <c r="E511" t="inlineStr">
        <is>
          <t>1</t>
        </is>
      </c>
      <c r="F511" t="inlineStr">
        <is>
          <t>18</t>
        </is>
      </c>
      <c r="G511" t="inlineStr">
        <is>
          <t>0</t>
        </is>
      </c>
      <c r="H511" t="inlineStr">
        <is>
          <t>0</t>
        </is>
      </c>
      <c r="I511" t="inlineStr">
        <is>
          <t>2², 4², 10², 20²</t>
        </is>
      </c>
      <c r="J511" t="n">
        <v>8</v>
      </c>
      <c r="K511" t="inlineStr">
        <is>
          <t>1⁶, 4³</t>
        </is>
      </c>
      <c r="L511" t="inlineStr">
        <is>
          <t>10G⁰, 20D¹, 20C²</t>
        </is>
      </c>
      <c r="M511" t="inlineStr">
        <is>
          <t>20I⁵, 20N⁷, 40O⁷, 40L⁹, 60B¹⁵, 60R¹⁷, 20B¹⁹, 100O¹⁹</t>
        </is>
      </c>
      <c r="N511" t="inlineStr">
        <is>
          <t>10G⁰, 5B⁰, 10C⁰, 20D¹, 2B⁰, 4B⁰, 1A⁰, 20C², 10B⁰</t>
        </is>
      </c>
      <c r="O511" t="inlineStr">
        <is>
          <t>100O¹⁹, 40R¹³, 20I⁵, 40O⁷, 20E¹³, 40AS¹⁷, 40K¹³, 40AA¹⁵, 40Y¹⁷, 40L⁹, 20F¹³, 80Y¹⁷, 40J¹³, 80X¹⁷, 20B¹⁹, 40T¹⁷, 60B¹⁵, 80BE¹⁷, 40Z¹⁵, 20N⁷, 80T¹⁹, 60R¹⁷, 20F⁹, 80V¹⁵, 40Q¹³</t>
        </is>
      </c>
    </row>
    <row r="512">
      <c r="A512">
        <f>HYPERLINK("https://mathstats.uncg.edu/sites/pauli/congruence/csg3.html#group20I3", "20I³")</f>
        <v/>
      </c>
      <c r="B512" t="n">
        <v>3</v>
      </c>
      <c r="C512" t="inlineStr"/>
      <c r="D512" t="inlineStr">
        <is>
          <t>72</t>
        </is>
      </c>
      <c r="E512" t="inlineStr">
        <is>
          <t>1</t>
        </is>
      </c>
      <c r="F512" t="inlineStr">
        <is>
          <t>18</t>
        </is>
      </c>
      <c r="G512" t="inlineStr">
        <is>
          <t>0</t>
        </is>
      </c>
      <c r="H512" t="inlineStr">
        <is>
          <t>0</t>
        </is>
      </c>
      <c r="I512" t="inlineStr">
        <is>
          <t>2², 4², 10², 20²</t>
        </is>
      </c>
      <c r="J512" t="n">
        <v>8</v>
      </c>
      <c r="K512" t="inlineStr">
        <is>
          <t>1⁶, 4³</t>
        </is>
      </c>
      <c r="L512" t="inlineStr">
        <is>
          <t>20A⁰, 10G¹, 20C²</t>
        </is>
      </c>
      <c r="M512" t="inlineStr">
        <is>
          <t>20I⁵, 20L⁷, 40AC⁷, 40K⁹, 60C¹⁵, 60S¹⁷, 20C¹⁹, 100P¹⁹</t>
        </is>
      </c>
      <c r="N512" t="inlineStr">
        <is>
          <t>2A⁰, 20A⁰, 5B⁰, 10C⁰, 10A¹, 2B⁰, 1A⁰, 2C⁰, 20C², 10G¹</t>
        </is>
      </c>
      <c r="O512" t="inlineStr">
        <is>
          <t>20L⁷, 40Y¹⁵, 40R¹³, 40K⁹, 20I⁵, 20C¹⁹, 40AD¹⁵, 20E¹³, 40AC⁷, 40V¹⁷, 60C¹⁵, 100P¹⁹, 40K¹³, 40Y¹⁷, 40Q¹³, 20F¹³, 40J¹³, 40T¹⁷, 40C¹⁹, 20F⁹, 40AR¹⁷, 60S¹⁷, 40W¹⁷</t>
        </is>
      </c>
    </row>
    <row r="513">
      <c r="A513">
        <f>HYPERLINK("https://mathstats.uncg.edu/sites/pauli/congruence/csg3.html#group20J3", "20J³")</f>
        <v/>
      </c>
      <c r="B513" t="n">
        <v>3</v>
      </c>
      <c r="C513" t="inlineStr"/>
      <c r="D513" t="inlineStr">
        <is>
          <t>72</t>
        </is>
      </c>
      <c r="E513" t="inlineStr">
        <is>
          <t>1</t>
        </is>
      </c>
      <c r="F513" t="inlineStr">
        <is>
          <t>18</t>
        </is>
      </c>
      <c r="G513" t="inlineStr">
        <is>
          <t>0</t>
        </is>
      </c>
      <c r="H513" t="inlineStr">
        <is>
          <t>0</t>
        </is>
      </c>
      <c r="I513" t="inlineStr">
        <is>
          <t>2², 4², 10², 20²</t>
        </is>
      </c>
      <c r="J513" t="n">
        <v>8</v>
      </c>
      <c r="K513" t="inlineStr">
        <is>
          <t>1⁶, 4³</t>
        </is>
      </c>
      <c r="L513" t="inlineStr">
        <is>
          <t>4E⁰, 10G¹, 20D¹, 20E¹</t>
        </is>
      </c>
      <c r="M513" t="inlineStr">
        <is>
          <t>20I⁵, 20K⁷, 20L⁷, 40L⁷, 40M⁷, 40W⁷, 40X⁷, 40I⁹, 40J⁹, 60D¹⁵, 60T¹⁷, 20D¹⁹, 100Q¹⁹</t>
        </is>
      </c>
      <c r="N513" t="inlineStr">
        <is>
          <t>20E¹, 2A⁰, 4C⁰, 5B⁰, 10C⁰, 10A¹, 20D¹, 4E⁰, 2B⁰, 4B⁰, 1A⁰, 2C⁰, 10G¹</t>
        </is>
      </c>
      <c r="O513" t="inlineStr">
        <is>
          <t>60T¹⁷, 20L⁷, 40L⁷, 40Y¹⁵, 40R¹³, 20I⁵, 20E¹³, 40K¹³, 40X⁷, 40X¹⁷, 40V¹⁵, 40I⁹, 40Y¹⁷, 40AE¹⁷, 40A¹⁹, 20F¹³, 40T¹⁷, 80AD²¹, 20K⁷, 20D¹⁹, 40C¹⁹, 40X¹⁵, 80W¹⁷, 80BD¹⁷, 80I²¹, 80C²¹, 80AC²¹, 80O¹⁵, 40AR¹⁷, 80M¹⁹, 40Q¹³, 80Q²¹, 40W¹⁷, 80G²¹, 40AH¹⁷, 80P²¹, 80R²¹, 40W⁷, 40AD¹⁵, 40V¹⁷, 40AB¹⁵, 40U¹⁷, 40J⁹, 40W¹⁵, 80P¹⁵, 40U¹⁵, 40J¹³, 80N¹⁹, 40AD¹⁷, 80L¹⁹, 40M⁷, 60D¹⁵, 80D²¹, 20F⁹, 100Q¹⁹, 80Z¹⁷, 40B¹⁹, 80N¹⁵</t>
        </is>
      </c>
    </row>
    <row r="514">
      <c r="A514">
        <f>HYPERLINK("https://mathstats.uncg.edu/sites/pauli/congruence/csg3.html#group20K3", "20K³")</f>
        <v/>
      </c>
      <c r="B514" t="n">
        <v>3</v>
      </c>
      <c r="C514" t="inlineStr"/>
      <c r="D514" t="inlineStr">
        <is>
          <t>72</t>
        </is>
      </c>
      <c r="E514" t="inlineStr">
        <is>
          <t>1</t>
        </is>
      </c>
      <c r="F514" t="inlineStr">
        <is>
          <t>36</t>
        </is>
      </c>
      <c r="G514" t="inlineStr">
        <is>
          <t>4</t>
        </is>
      </c>
      <c r="H514" t="inlineStr">
        <is>
          <t>0</t>
        </is>
      </c>
      <c r="I514" t="inlineStr">
        <is>
          <t>4³, 20³</t>
        </is>
      </c>
      <c r="J514" t="n">
        <v>6</v>
      </c>
      <c r="K514" t="inlineStr">
        <is>
          <t>1⁴, 2⁴, 4², 8²</t>
        </is>
      </c>
      <c r="L514" t="inlineStr">
        <is>
          <t>20E¹</t>
        </is>
      </c>
      <c r="M514" t="inlineStr">
        <is>
          <t>20J⁵, 20L⁷, 20M⁷, 40Q⁷, 40P⁷, 40N⁹, 40M⁹, 60O¹³, 60M¹⁹, 20B²¹, 100A²¹</t>
        </is>
      </c>
      <c r="N514" t="inlineStr">
        <is>
          <t>5B⁰, 20E¹, 10C⁰, 2B⁰, 1A⁰, 4C⁰</t>
        </is>
      </c>
      <c r="O514" t="inlineStr">
        <is>
          <t>40M¹³, 20L⁷, 40Y¹⁵, 40AB¹⁷, 40Q⁷, 40N⁹, 40AI¹⁷, 20J⁵, 60M¹⁹, 20E¹³, 80AA¹⁹, 20E¹¹, 80X¹⁹, 80AO¹⁷, 40P⁷, 80AB¹⁷, 80W¹⁹, 40C¹⁹, 100A²¹, 40AC¹⁵, 60O¹³, 40AR¹⁷, 40S¹³, 80L²¹, 40T¹³, 40W¹⁷, 40AG¹⁵, 40AT¹⁷, 20B²¹, 20M⁷, 40AA¹⁷, 40AD¹⁵, 40Z¹⁷, 40V¹⁷, 80K²¹, 80AE²¹, 80R¹⁹, 40M⁹, 40H¹⁹, 40AI¹⁵, 80AC¹⁷, 80P¹⁹, 80AP¹⁷, 40AN¹⁷</t>
        </is>
      </c>
    </row>
    <row r="515">
      <c r="A515">
        <f>HYPERLINK("https://mathstats.uncg.edu/sites/pauli/congruence/csg3.html#group20L3", "20L³")</f>
        <v/>
      </c>
      <c r="B515" t="n">
        <v>3</v>
      </c>
      <c r="C515" t="inlineStr"/>
      <c r="D515" t="inlineStr">
        <is>
          <t>72</t>
        </is>
      </c>
      <c r="E515" t="inlineStr">
        <is>
          <t>1</t>
        </is>
      </c>
      <c r="F515" t="inlineStr">
        <is>
          <t>36</t>
        </is>
      </c>
      <c r="G515" t="inlineStr">
        <is>
          <t>4</t>
        </is>
      </c>
      <c r="H515" t="inlineStr">
        <is>
          <t>0</t>
        </is>
      </c>
      <c r="I515" t="inlineStr">
        <is>
          <t>4³, 20³</t>
        </is>
      </c>
      <c r="J515" t="n">
        <v>6</v>
      </c>
      <c r="K515" t="inlineStr">
        <is>
          <t>1⁴, 2⁴, 4², 8²</t>
        </is>
      </c>
      <c r="L515" t="inlineStr">
        <is>
          <t>4F⁰, 20B¹, 20E¹</t>
        </is>
      </c>
      <c r="M515" t="inlineStr">
        <is>
          <t>20J⁵, 20K⁷, 20M⁷, 40R⁷, 40S⁷, 40Y⁷, 40Z⁷, 40O⁹, 40P⁹, 40Q⁹, 40R⁹, 60P¹³, 60N¹⁹, 20C²¹, 100B²¹</t>
        </is>
      </c>
      <c r="N515" t="inlineStr">
        <is>
          <t>20E¹, 4A⁰, 4C⁰, 5B⁰, 10C⁰, 2B⁰, 4F⁰, 1A⁰, 20B¹</t>
        </is>
      </c>
      <c r="O515" t="inlineStr">
        <is>
          <t>40M¹³, 40AO¹⁷, 40AB¹⁷, 40F¹⁹, 40AK¹⁷, 40AP¹⁷, 20C²¹, 80BF¹⁷, 20J⁵, 40D¹⁹, 80M²¹, 80O²¹, 20E¹³, 80AR¹⁷, 80S¹⁹, 40X¹⁷, 20E¹¹, 40V¹⁵, 40AL¹⁷, 80AF²¹, 80AZ¹⁷, 80AL¹⁷, 40A¹⁹, 40AJ¹⁷, 40AM¹⁷, 40S⁷, 40P⁹, 100B²¹, 20K⁷, 80BA¹⁷, 40AC¹⁵, 80V¹⁹, 40Z⁷, 40AF¹⁵, 40S¹³, 40T¹³, 40AG¹⁵, 40E¹⁹, 80AE¹⁷, 20M⁷, 40AE¹⁵, 40O⁹, 40AA¹⁷, 80U¹⁹, 80AK¹⁷, 40Z¹⁷, 40G¹⁹, 80AG²¹, 80AD¹⁷, 40U¹⁷, 80Z¹⁹, 80Y¹⁹, 80Q¹⁹, 60P¹³, 80BB¹⁷, 40H¹⁹, 80AY¹⁷, 40U¹⁵, 80AQ¹⁷, 40Q⁹, 60N¹⁹, 40AN¹⁷, 40R⁷, 40Y⁷, 80T²¹, 40R⁹, 80S²¹, 40B¹⁹, 40AI¹⁷</t>
        </is>
      </c>
    </row>
    <row r="516">
      <c r="A516">
        <f>HYPERLINK("https://mathstats.uncg.edu/sites/pauli/congruence/csg3.html#group20M3", "20M³")</f>
        <v/>
      </c>
      <c r="B516" t="n">
        <v>3</v>
      </c>
      <c r="C516" t="inlineStr"/>
      <c r="D516" t="inlineStr">
        <is>
          <t>72</t>
        </is>
      </c>
      <c r="E516" t="inlineStr">
        <is>
          <t>2</t>
        </is>
      </c>
      <c r="F516" t="inlineStr">
        <is>
          <t>18</t>
        </is>
      </c>
      <c r="G516" t="inlineStr">
        <is>
          <t>4</t>
        </is>
      </c>
      <c r="H516" t="inlineStr">
        <is>
          <t>0</t>
        </is>
      </c>
      <c r="I516" t="inlineStr">
        <is>
          <t>4³, 20³</t>
        </is>
      </c>
      <c r="J516" t="n">
        <v>6</v>
      </c>
      <c r="K516" t="inlineStr">
        <is>
          <t>2⁶, 8³</t>
        </is>
      </c>
      <c r="L516" t="inlineStr">
        <is>
          <t>10G⁰, 20C¹</t>
        </is>
      </c>
      <c r="M516" t="inlineStr">
        <is>
          <t>20K⁵, 20J⁷, 20N⁷, 60AB¹³, 60O¹⁹, 20A²¹, 100C²¹</t>
        </is>
      </c>
      <c r="N516" t="inlineStr">
        <is>
          <t>20C¹, 10G⁰, 5B⁰, 10C⁰, 2B⁰, 1A⁰, 10B⁰</t>
        </is>
      </c>
      <c r="O516" t="inlineStr">
        <is>
          <t>60O¹⁹, 60AB¹³, 40AQ¹⁷, 20K⁵, 20N⁷, 40W¹³, 40AS¹⁷, 20J⁷, 100C²¹, 20E¹¹, 20A²¹, 40AH¹⁵, 20F¹³</t>
        </is>
      </c>
    </row>
    <row r="517">
      <c r="A517">
        <f>HYPERLINK("https://mathstats.uncg.edu/sites/pauli/congruence/csg3.html#group20N3", "20N³")</f>
        <v/>
      </c>
      <c r="B517" t="n">
        <v>3</v>
      </c>
      <c r="C517" t="inlineStr"/>
      <c r="D517" t="inlineStr">
        <is>
          <t>80</t>
        </is>
      </c>
      <c r="E517" t="inlineStr">
        <is>
          <t>1</t>
        </is>
      </c>
      <c r="F517" t="inlineStr">
        <is>
          <t>10</t>
        </is>
      </c>
      <c r="G517" t="inlineStr">
        <is>
          <t>0</t>
        </is>
      </c>
      <c r="H517" t="inlineStr">
        <is>
          <t>8</t>
        </is>
      </c>
      <c r="I517" t="inlineStr">
        <is>
          <t>20⁴</t>
        </is>
      </c>
      <c r="J517" t="n">
        <v>4</v>
      </c>
      <c r="K517" t="inlineStr">
        <is>
          <t>2¹, 4²</t>
        </is>
      </c>
      <c r="L517" t="inlineStr">
        <is>
          <t>10H¹, 20F¹</t>
        </is>
      </c>
      <c r="M517" t="inlineStr">
        <is>
          <t>20A¹¹, 20A¹⁵, 20C¹⁵, 60P¹⁵, 60Q¹⁵, 20A¹⁷, 60A¹⁷, 60B¹⁹, 100R¹⁹, 60R²¹</t>
        </is>
      </c>
      <c r="N517" t="inlineStr">
        <is>
          <t>10H¹, 2A⁰, 5A⁰, 10A⁰, 10D⁰, 5F⁰, 10C¹, 1A⁰, 5C⁰, 20F¹</t>
        </is>
      </c>
      <c r="O517" t="inlineStr">
        <is>
          <t>20A¹⁷, 60A¹⁷, 60Q¹⁵, 20A¹⁵, 60R²¹, 60P¹⁵, 20A¹¹, 100R¹⁹, 60B¹⁹, 20C¹⁵</t>
        </is>
      </c>
    </row>
    <row r="518">
      <c r="A518">
        <f>HYPERLINK("https://mathstats.uncg.edu/sites/pauli/congruence/csg3.html#group20O3", "20O³")</f>
        <v/>
      </c>
      <c r="B518" t="n">
        <v>3</v>
      </c>
      <c r="C518" t="inlineStr"/>
      <c r="D518" t="inlineStr">
        <is>
          <t>80</t>
        </is>
      </c>
      <c r="E518" t="inlineStr">
        <is>
          <t>1</t>
        </is>
      </c>
      <c r="F518" t="inlineStr">
        <is>
          <t>40</t>
        </is>
      </c>
      <c r="G518" t="inlineStr">
        <is>
          <t>8</t>
        </is>
      </c>
      <c r="H518" t="inlineStr">
        <is>
          <t>2</t>
        </is>
      </c>
      <c r="I518" t="inlineStr">
        <is>
          <t>20⁴</t>
        </is>
      </c>
      <c r="J518" t="n">
        <v>4</v>
      </c>
      <c r="K518" t="inlineStr">
        <is>
          <t>4², 8⁴</t>
        </is>
      </c>
      <c r="L518" t="inlineStr">
        <is>
          <t>10D⁰, 20E²</t>
        </is>
      </c>
      <c r="M518" t="inlineStr">
        <is>
          <t>20O⁷, 20A⁹, 40S⁹, 40T⁹, 40U⁹, 20A¹², 20B¹³, 20C¹³, 60AH¹³, 40I¹⁹, 60A²³</t>
        </is>
      </c>
      <c r="N518" t="inlineStr">
        <is>
          <t>1A⁰, 4A⁰, 5C⁰, 20E², 10D⁰</t>
        </is>
      </c>
      <c r="O518" t="inlineStr">
        <is>
          <t>40B²¹, 20A¹⁷, 40S⁹, 20C¹³, 60AH¹³, 80AI²¹, 60A²³, 20A¹², 40U⁹, 40A²¹, 40I¹⁹, 20B¹³, 40K¹⁹, 40J¹⁹, 20A⁹, 80AH²¹, 20O⁷, 40T⁹</t>
        </is>
      </c>
    </row>
    <row r="519">
      <c r="A519">
        <f>HYPERLINK("https://mathstats.uncg.edu/sites/pauli/congruence/csg3.html#group20P3", "20P³")</f>
        <v/>
      </c>
      <c r="B519" t="n">
        <v>3</v>
      </c>
      <c r="C519" t="inlineStr"/>
      <c r="D519" t="inlineStr">
        <is>
          <t>90</t>
        </is>
      </c>
      <c r="E519" t="inlineStr">
        <is>
          <t>1</t>
        </is>
      </c>
      <c r="F519" t="inlineStr">
        <is>
          <t>45</t>
        </is>
      </c>
      <c r="G519" t="inlineStr">
        <is>
          <t>4</t>
        </is>
      </c>
      <c r="H519" t="inlineStr">
        <is>
          <t>0</t>
        </is>
      </c>
      <c r="I519" t="inlineStr">
        <is>
          <t>5⁶, 20³</t>
        </is>
      </c>
      <c r="J519" t="n">
        <v>9</v>
      </c>
      <c r="K519" t="inlineStr">
        <is>
          <t>1³, 2³, 4⁹</t>
        </is>
      </c>
      <c r="L519" t="inlineStr">
        <is>
          <t>10I¹</t>
        </is>
      </c>
      <c r="M519" t="inlineStr">
        <is>
          <t>20D⁶, 20P⁷, 20C⁸, 20C⁹, 20D⁹, 20D¹⁰, 60F¹⁶, 60D²²</t>
        </is>
      </c>
      <c r="N519" t="inlineStr">
        <is>
          <t>5E⁰, 5A⁰, 2B⁰, 10I¹, 1A⁰, 10B¹</t>
        </is>
      </c>
      <c r="O519" t="inlineStr">
        <is>
          <t>20D⁹, 20B¹⁷, 60D²², 20B²², 40A²⁰, 40E²⁴, 20C¹⁹, 20C²², 60F¹⁶, 40F²⁴, 20A²⁰, 40AJ¹⁵, 20B²⁰, 40E²³, 20C⁸, 20C⁹, 40F²³, 40F²¹, 40M¹⁹, 20D⁶, 20B¹⁹, 20G¹³, 20D¹⁹, 40L¹⁹, 20D¹⁰, 40G²¹, 40B²⁰, 20P⁷</t>
        </is>
      </c>
    </row>
    <row r="520">
      <c r="A520">
        <f>HYPERLINK("https://mathstats.uncg.edu/sites/pauli/congruence/csg3.html#group20Q3", "20Q³")</f>
        <v/>
      </c>
      <c r="B520" t="n">
        <v>3</v>
      </c>
      <c r="C520" t="inlineStr"/>
      <c r="D520" t="inlineStr">
        <is>
          <t>96</t>
        </is>
      </c>
      <c r="E520" t="inlineStr">
        <is>
          <t>2</t>
        </is>
      </c>
      <c r="F520" t="inlineStr">
        <is>
          <t>24</t>
        </is>
      </c>
      <c r="G520" t="inlineStr">
        <is>
          <t>8</t>
        </is>
      </c>
      <c r="H520" t="inlineStr">
        <is>
          <t>0</t>
        </is>
      </c>
      <c r="I520" t="inlineStr">
        <is>
          <t>4⁴, 20⁴</t>
        </is>
      </c>
      <c r="J520" t="n">
        <v>8</v>
      </c>
      <c r="K520" t="inlineStr">
        <is>
          <t>2⁸, 8⁴</t>
        </is>
      </c>
      <c r="L520" t="inlineStr">
        <is>
          <t>20C¹, 20G¹</t>
        </is>
      </c>
      <c r="M520" t="inlineStr">
        <is>
          <t>20E⁹, 20E¹¹, 40F¹¹, 40G¹¹, 60AE¹⁵, 40L²¹</t>
        </is>
      </c>
      <c r="N520" t="inlineStr">
        <is>
          <t>20C¹, 4A⁰, 20G¹, 5B⁰, 1A⁰, 20B¹, 10B⁰</t>
        </is>
      </c>
      <c r="O520" t="inlineStr">
        <is>
          <t>20E¹¹, 20E⁹, 40G¹¹, 60AE¹⁵, 40F¹¹, 40L²¹</t>
        </is>
      </c>
    </row>
    <row r="521">
      <c r="A521">
        <f>HYPERLINK("https://mathstats.uncg.edu/sites/pauli/congruence/csg3.html#group20R3", "20R³")</f>
        <v/>
      </c>
      <c r="B521" t="n">
        <v>3</v>
      </c>
      <c r="C521" t="inlineStr"/>
      <c r="D521" t="inlineStr">
        <is>
          <t>144</t>
        </is>
      </c>
      <c r="E521" t="inlineStr">
        <is>
          <t>1</t>
        </is>
      </c>
      <c r="F521" t="inlineStr">
        <is>
          <t>18</t>
        </is>
      </c>
      <c r="G521" t="inlineStr">
        <is>
          <t>0</t>
        </is>
      </c>
      <c r="H521" t="inlineStr">
        <is>
          <t>0</t>
        </is>
      </c>
      <c r="I521" t="inlineStr">
        <is>
          <t>2⁸, 4², 10⁸, 20²</t>
        </is>
      </c>
      <c r="J521" t="n">
        <v>20</v>
      </c>
      <c r="K521" t="inlineStr">
        <is>
          <t>1⁶, 4³</t>
        </is>
      </c>
      <c r="L521" t="inlineStr">
        <is>
          <t>10K¹, 20J¹</t>
        </is>
      </c>
      <c r="M521" t="inlineStr">
        <is>
          <t>20F⁹, 20F¹³</t>
        </is>
      </c>
      <c r="N521" t="inlineStr">
        <is>
          <t>2A⁰, 10G⁰, 5B⁰, 10A¹, 5D⁰, 2B⁰, 10D¹, 1A⁰, 20J¹, 10F⁰, 10B⁰, 10C⁰, 10K¹, 2C⁰, 10G¹</t>
        </is>
      </c>
      <c r="O521" t="inlineStr">
        <is>
          <t>20F⁹, 20F¹³</t>
        </is>
      </c>
    </row>
    <row r="522">
      <c r="A522">
        <f>HYPERLINK("https://mathstats.uncg.edu/sites/pauli/congruence/csg3.html#group20S3", "20S³")</f>
        <v/>
      </c>
      <c r="B522" t="n">
        <v>3</v>
      </c>
      <c r="C522" t="inlineStr">
        <is>
          <t>Γ₁(20)</t>
        </is>
      </c>
      <c r="D522" t="inlineStr">
        <is>
          <t>144</t>
        </is>
      </c>
      <c r="E522" t="inlineStr">
        <is>
          <t>1</t>
        </is>
      </c>
      <c r="F522" t="inlineStr">
        <is>
          <t>36</t>
        </is>
      </c>
      <c r="G522" t="inlineStr">
        <is>
          <t>0</t>
        </is>
      </c>
      <c r="H522" t="inlineStr">
        <is>
          <t>0</t>
        </is>
      </c>
      <c r="I522" t="inlineStr">
        <is>
          <t>1⁴, 2², 4⁴, 5⁴, 10², 20⁴</t>
        </is>
      </c>
      <c r="J522" t="n">
        <v>20</v>
      </c>
      <c r="K522" t="inlineStr">
        <is>
          <t>1⁸, 2², 4⁴, 8¹</t>
        </is>
      </c>
      <c r="L522" t="inlineStr">
        <is>
          <t>20H¹</t>
        </is>
      </c>
      <c r="M522" t="inlineStr">
        <is>
          <t>20F⁹, 40W⁹, 40L¹³</t>
        </is>
      </c>
      <c r="N522" t="inlineStr">
        <is>
          <t>20A⁰, 5B⁰, 10C⁰, 5D⁰, 20D¹, 2B⁰, 20H¹, 4B⁰, 1A⁰, 10F⁰</t>
        </is>
      </c>
      <c r="O522" t="inlineStr">
        <is>
          <t>40W⁹, 20F⁹, 40L¹³</t>
        </is>
      </c>
    </row>
    <row r="523">
      <c r="A523">
        <f>HYPERLINK("https://mathstats.uncg.edu/sites/pauli/congruence/csg3.html#group20T3", "20T³")</f>
        <v/>
      </c>
      <c r="B523" t="n">
        <v>3</v>
      </c>
      <c r="C523" t="inlineStr"/>
      <c r="D523" t="inlineStr">
        <is>
          <t>144</t>
        </is>
      </c>
      <c r="E523" t="inlineStr">
        <is>
          <t>1</t>
        </is>
      </c>
      <c r="F523" t="inlineStr">
        <is>
          <t>36</t>
        </is>
      </c>
      <c r="G523" t="inlineStr">
        <is>
          <t>8</t>
        </is>
      </c>
      <c r="H523" t="inlineStr">
        <is>
          <t>0</t>
        </is>
      </c>
      <c r="I523" t="inlineStr">
        <is>
          <t>2⁴, 4⁴, 10⁴, 20⁴</t>
        </is>
      </c>
      <c r="J523" t="n">
        <v>16</v>
      </c>
      <c r="K523" t="inlineStr">
        <is>
          <t>1⁸, 2², 4⁴, 8¹</t>
        </is>
      </c>
      <c r="L523" t="inlineStr">
        <is>
          <t>20I¹</t>
        </is>
      </c>
      <c r="M523" t="inlineStr">
        <is>
          <t>20F⁹, 20E¹¹, 40K¹¹, 40N¹³, 40AC¹⁷, 60N²³</t>
        </is>
      </c>
      <c r="N523" t="inlineStr">
        <is>
          <t>20E¹, 20A⁰, 10G⁰, 20I¹, 4C⁰, 5B⁰, 10C⁰, 2B⁰, 1A⁰, 10B⁰</t>
        </is>
      </c>
      <c r="O523" t="inlineStr">
        <is>
          <t>40AC¹⁷, 20E¹¹, 20F⁹, 40K¹¹, 60N²³, 40N¹³</t>
        </is>
      </c>
    </row>
    <row r="524">
      <c r="A524">
        <f>HYPERLINK("https://mathstats.uncg.edu/sites/pauli/congruence/csg3.html#group21A3", "21A³")</f>
        <v/>
      </c>
      <c r="B524" t="n">
        <v>3</v>
      </c>
      <c r="C524" t="inlineStr"/>
      <c r="D524" t="inlineStr">
        <is>
          <t>48</t>
        </is>
      </c>
      <c r="E524" t="inlineStr">
        <is>
          <t>1</t>
        </is>
      </c>
      <c r="F524" t="inlineStr">
        <is>
          <t>24</t>
        </is>
      </c>
      <c r="G524" t="inlineStr">
        <is>
          <t>0</t>
        </is>
      </c>
      <c r="H524" t="inlineStr">
        <is>
          <t>0</t>
        </is>
      </c>
      <c r="I524" t="inlineStr">
        <is>
          <t>3², 21²</t>
        </is>
      </c>
      <c r="J524" t="n">
        <v>4</v>
      </c>
      <c r="K524" t="inlineStr">
        <is>
          <t>1², 2², 6¹, 12¹</t>
        </is>
      </c>
      <c r="L524" t="inlineStr">
        <is>
          <t>3C⁰, 21A²</t>
        </is>
      </c>
      <c r="M524" t="inlineStr">
        <is>
          <t>21C⁵, 21B⁷, 42D⁷, 42E⁷, 42A⁹, 63C⁹, 63A¹¹, 63B¹¹, 63C¹¹, 84F¹⁵, 105B¹⁹, 21B²¹, 105D²¹, 147A²¹</t>
        </is>
      </c>
      <c r="N524" t="inlineStr">
        <is>
          <t>3C⁰, 21A², 3A⁰, 1A⁰, 7B⁰</t>
        </is>
      </c>
      <c r="O524" t="inlineStr">
        <is>
          <t>42Q¹⁹, 42D⁷, 21B²¹, 63O¹⁹, 126C²³, 42O¹⁹, 84B²¹, 126N²¹, 42P¹⁹, 42I¹⁷, 63C⁹, 42A⁹, 126A²³, 126L²¹, 126D²³, 126G²³, 63B¹¹, 126H²³, 105D²¹, 126I²³, 63H¹⁷, 84B¹⁵, 84A¹⁵, 84D²¹, 42R¹⁹, 147A²¹, 84F¹⁵, 42E⁷, 42F¹³, 126F²³, 84D¹⁵, 42N¹⁹, 63I¹⁹, 126B²³, 42G¹³, 126E²³, 63B²¹, 84K¹⁹, 84J¹⁹, 21B⁷, 21C⁵, 105B¹⁹, 21D⁹, 63D¹⁷, 63A¹¹, 63A²¹, 63C¹¹, 21C¹³, 126M²¹</t>
        </is>
      </c>
    </row>
    <row r="525">
      <c r="A525">
        <f>HYPERLINK("https://mathstats.uncg.edu/sites/pauli/congruence/csg3.html#group21B3", "21B³")</f>
        <v/>
      </c>
      <c r="B525" t="n">
        <v>3</v>
      </c>
      <c r="C525" t="inlineStr"/>
      <c r="D525" t="inlineStr">
        <is>
          <t>56</t>
        </is>
      </c>
      <c r="E525" t="inlineStr">
        <is>
          <t>2</t>
        </is>
      </c>
      <c r="F525" t="inlineStr">
        <is>
          <t>28</t>
        </is>
      </c>
      <c r="G525" t="inlineStr">
        <is>
          <t>0</t>
        </is>
      </c>
      <c r="H525" t="inlineStr">
        <is>
          <t>2</t>
        </is>
      </c>
      <c r="I525" t="inlineStr">
        <is>
          <t>7², 21²</t>
        </is>
      </c>
      <c r="J525" t="n">
        <v>4</v>
      </c>
      <c r="K525" t="inlineStr">
        <is>
          <t>2², 4¹, 6⁴, 12²</t>
        </is>
      </c>
      <c r="L525" t="inlineStr">
        <is>
          <t>7C⁰, 21B²</t>
        </is>
      </c>
      <c r="M525" t="inlineStr">
        <is>
          <t>42F⁷, 21C⁹, 21B¹⁰, 63A¹⁰, 21B¹¹, 21C¹¹, 42C¹¹, 63D¹¹, 63E¹¹, 63A¹², 63A¹³, 63B¹³, 84B¹⁷, 105A²¹</t>
        </is>
      </c>
      <c r="N525" t="inlineStr">
        <is>
          <t>3B⁰, 21B², 1A⁰, 7C⁰, 7A⁰</t>
        </is>
      </c>
      <c r="O525" t="inlineStr">
        <is>
          <t>21C²¹, 42E²³, 21B¹¹, 126J²³, 126A²⁴, 21A¹⁷, 63A¹⁰, 63A¹³, 42B²⁴, 42F²³, 42F⁷, 42C¹¹, 84G¹⁵, 21B¹⁰, 126L²³, 63A¹², 42D²¹, 42I²³, 63E¹¹, 42H²³, 84B¹⁷, 63D¹¹, 21C⁹, 126K²³, 84B²³, 21C¹¹, 63B¹³, 105A²¹, 42G²³</t>
        </is>
      </c>
    </row>
    <row r="526">
      <c r="A526">
        <f>HYPERLINK("https://mathstats.uncg.edu/sites/pauli/congruence/csg3.html#group21C3", "21C³")</f>
        <v/>
      </c>
      <c r="B526" t="n">
        <v>3</v>
      </c>
      <c r="C526" t="inlineStr"/>
      <c r="D526" t="inlineStr">
        <is>
          <t>84</t>
        </is>
      </c>
      <c r="E526" t="inlineStr">
        <is>
          <t>1</t>
        </is>
      </c>
      <c r="F526" t="inlineStr">
        <is>
          <t>28</t>
        </is>
      </c>
      <c r="G526" t="inlineStr">
        <is>
          <t>12</t>
        </is>
      </c>
      <c r="H526" t="inlineStr">
        <is>
          <t>0</t>
        </is>
      </c>
      <c r="I526" t="inlineStr">
        <is>
          <t>21⁴</t>
        </is>
      </c>
      <c r="J526" t="n">
        <v>4</v>
      </c>
      <c r="K526" t="inlineStr">
        <is>
          <t>1¹, 3¹, 6⁴</t>
        </is>
      </c>
      <c r="L526" t="inlineStr">
        <is>
          <t>7F⁰, 21A⁰</t>
        </is>
      </c>
      <c r="M526" t="inlineStr">
        <is>
          <t>21C⁷, 42N⁷, 21B⁹, 42B⁹, 21A¹¹, 42A¹¹, 21A¹³, 42A¹³, 42D¹⁵, 63A¹⁵, 84M²¹</t>
        </is>
      </c>
      <c r="N526" t="inlineStr">
        <is>
          <t>7F⁰, 21A⁰, 3A⁰, 1A⁰, 7A⁰</t>
        </is>
      </c>
      <c r="O526" t="inlineStr">
        <is>
          <t>21A¹³, 84L²¹, 21A²¹, 21B²¹, 21B¹⁷, 42B⁹, 21C⁷, 84M²¹, 42B²¹, 42D¹⁵, 84K²¹, 42A¹¹, 84J²¹, 42E²¹, 84I²¹, 63A¹⁵, 21A¹¹, 42A¹³, 42A²¹, 42K¹⁷, 21B⁹, 42N⁷</t>
        </is>
      </c>
    </row>
    <row r="527">
      <c r="A527">
        <f>HYPERLINK("https://mathstats.uncg.edu/sites/pauli/congruence/csg3.html#group21D3", "21D³")</f>
        <v/>
      </c>
      <c r="B527" t="n">
        <v>3</v>
      </c>
      <c r="C527" t="inlineStr"/>
      <c r="D527" t="inlineStr">
        <is>
          <t>96</t>
        </is>
      </c>
      <c r="E527" t="inlineStr">
        <is>
          <t>1</t>
        </is>
      </c>
      <c r="F527" t="inlineStr">
        <is>
          <t>32</t>
        </is>
      </c>
      <c r="G527" t="inlineStr">
        <is>
          <t>0</t>
        </is>
      </c>
      <c r="H527" t="inlineStr">
        <is>
          <t>0</t>
        </is>
      </c>
      <c r="I527" t="inlineStr">
        <is>
          <t>1³, 3³, 7³, 21³</t>
        </is>
      </c>
      <c r="J527" t="n">
        <v>12</v>
      </c>
      <c r="K527" t="inlineStr">
        <is>
          <t>1⁴, 2², 6², 12¹</t>
        </is>
      </c>
      <c r="L527" t="inlineStr">
        <is>
          <t>7E⁰, 21B¹</t>
        </is>
      </c>
      <c r="M527" t="inlineStr">
        <is>
          <t>21E⁵, 42E¹¹, 42F¹¹, 21C¹³, 42L¹³, 63E¹³, 63G¹⁹, 63H¹⁹</t>
        </is>
      </c>
      <c r="N527" t="inlineStr">
        <is>
          <t>3B⁰, 7E⁰, 21B¹, 1A⁰, 7B⁰</t>
        </is>
      </c>
      <c r="O527" t="inlineStr">
        <is>
          <t>63E¹³, 42L¹³, 42G²¹, 42E¹¹, 21E⁵, 42F¹¹, 21C¹³, 63G¹⁹, 63H¹⁹</t>
        </is>
      </c>
    </row>
    <row r="528">
      <c r="A528">
        <f>HYPERLINK("https://mathstats.uncg.edu/sites/pauli/congruence/csg3.html#group24A3", "24A³")</f>
        <v/>
      </c>
      <c r="B528" t="n">
        <v>3</v>
      </c>
      <c r="C528" t="inlineStr"/>
      <c r="D528" t="inlineStr">
        <is>
          <t>36</t>
        </is>
      </c>
      <c r="E528" t="inlineStr">
        <is>
          <t>1</t>
        </is>
      </c>
      <c r="F528" t="inlineStr">
        <is>
          <t>3</t>
        </is>
      </c>
      <c r="G528" t="inlineStr">
        <is>
          <t>0</t>
        </is>
      </c>
      <c r="H528" t="inlineStr">
        <is>
          <t>0</t>
        </is>
      </c>
      <c r="I528" t="inlineStr">
        <is>
          <t>12¹, 24¹</t>
        </is>
      </c>
      <c r="J528" t="n">
        <v>2</v>
      </c>
      <c r="K528" t="inlineStr">
        <is>
          <t>1³</t>
        </is>
      </c>
      <c r="L528" t="inlineStr">
        <is>
          <t>12C⁰, 8A¹</t>
        </is>
      </c>
      <c r="M528" t="inlineStr">
        <is>
          <t>24A⁵, 24B⁵, 24D⁵, 24E⁵, 24G⁵, 48B⁶, 48C⁶, 72A⁹, 120A¹⁵, 120B¹⁷, 168A²¹, 168B²³</t>
        </is>
      </c>
      <c r="N528" t="inlineStr">
        <is>
          <t>8A¹, 12C⁰, 4C⁰, 2B⁰, 3A⁰, 1A⁰, 6D⁰</t>
        </is>
      </c>
      <c r="O528" t="inlineStr">
        <is>
          <t>24C¹⁰, 72A⁹, 48I²¹, 96O²³, 48AY²¹, 48T¹¹, 24A⁵, 96AG²³, 48R¹¹, 24M¹⁹, 48D¹⁰, 24I¹⁷, 120B¹⁷, 96B¹², 48AH²¹, 96B²⁰, 48B⁶, 48Z¹⁹, 48O²¹, 48A²¹, 96S²³, 48AN²¹, 48J²¹, 24K¹⁷, 48BS²¹, 96B²², 48N¹¹, 24E¹⁰, 48I¹¹, 72L¹⁷, 48AK²¹, 96E²³, 48X²¹, 24S⁹, 48BK²¹, 24J¹⁷, 48AT²¹, 96AE²³, 96AA²³, 48B²¹, 48A¹¹, 96P²³, 48V¹¹, 48AM²¹, 24G¹⁹, 48Q²¹, 48BQ²¹, 24C⁹, 96C¹², 96Z²³, 48AV²¹, 48BE²¹, 48Y¹⁹, 48R¹⁹, 24M⁹, 48S²¹, 24F¹⁷, 48A¹⁹, 96X²³, 48P¹¹, 72D¹⁷, 48B¹¹, 48C⁶, 48D¹¹, 96T²³, 72J¹⁷, 48G²¹, 48C²², 96D²³, 48BT²¹, 96G²³, 48BV²¹, 96C²³, 48BR²¹, 96J²³, 24U¹⁷, 48G¹⁹, 168B²³, 24N¹⁷, 24O¹⁷, 96Y²³, 144D¹⁸, 48N²¹, 48B¹⁹, 96D¹², 72F¹⁷, 48K²¹, 72I¹⁵, 72G¹⁷, 96AH²³, 48AP²¹, 96AD²³, 24N⁹, 24C¹⁷, 48AG²¹, 24L¹⁹, 48U¹¹, 24F⁹, 48AO²¹, 24B⁵, 24P¹⁹, 48M¹¹, 48R²¹, 96K²³, 48L²¹, 48BL²¹, 48AQ¹⁹, 48B²⁰, 48D²², 72C¹⁷, 48AZ²¹, 48A²⁰, 96AB²³, 48F²¹, 144B¹⁸, 48AR¹⁹, 24A¹⁹, 96A²⁰, 48J¹¹, 96Q²³, 24Q¹⁷, 24B⁹, 48BJ²¹, 24R⁹, 48AL²¹, 96AC²³, 24D⁹, 48V¹⁹, 96AF²³, 48AJ²¹, 24T¹⁷, 48BA²¹, 120A¹⁵, 96R²³, 24Q¹⁹, 96B²³, 24E⁹, 72H¹⁷, 96I²³, 48O¹¹, 48AQ²¹, 72B¹⁷, 24E⁵, 24F¹⁹, 24Q⁹, 96W²³, 48P²¹, 24R¹⁹, 24M¹⁷, 48BN²¹, 48AI²¹, 24J⁹, 48U¹⁹, 24E¹⁷, 96D²², 24G⁵, 48F¹¹, 24V¹⁷, 24B¹⁷, 168A²¹, 96F²³, 96A¹², 24D⁵, 144C¹⁸, 48E²¹, 48D¹⁹, 48C¹⁰, 48BM²¹, 96L²³, 48S¹¹, 24D¹⁹</t>
        </is>
      </c>
    </row>
    <row r="529">
      <c r="A529">
        <f>HYPERLINK("https://mathstats.uncg.edu/sites/pauli/congruence/csg3.html#group24B3", "24B³")</f>
        <v/>
      </c>
      <c r="B529" t="n">
        <v>3</v>
      </c>
      <c r="C529" t="inlineStr"/>
      <c r="D529" t="inlineStr">
        <is>
          <t>48</t>
        </is>
      </c>
      <c r="E529" t="inlineStr">
        <is>
          <t>1</t>
        </is>
      </c>
      <c r="F529" t="inlineStr">
        <is>
          <t>12</t>
        </is>
      </c>
      <c r="G529" t="inlineStr">
        <is>
          <t>0</t>
        </is>
      </c>
      <c r="H529" t="inlineStr">
        <is>
          <t>0</t>
        </is>
      </c>
      <c r="I529" t="inlineStr">
        <is>
          <t>4¹, 8¹, 12¹, 24¹</t>
        </is>
      </c>
      <c r="J529" t="n">
        <v>4</v>
      </c>
      <c r="K529" t="inlineStr">
        <is>
          <t>1⁶, 2³</t>
        </is>
      </c>
      <c r="L529" t="inlineStr">
        <is>
          <t>8B⁰, 12F¹</t>
        </is>
      </c>
      <c r="M529" t="inlineStr">
        <is>
          <t>24I⁵, 24J⁵, 24N⁵, 48C⁷, 48D⁷, 48F⁷, 48G⁷, 24A⁹, 72B⁹, 72A¹¹, 72B¹¹, 120A¹⁹, 120C²¹</t>
        </is>
      </c>
      <c r="N529" t="inlineStr">
        <is>
          <t>3B⁰, 12F¹, 4C⁰, 8B⁰, 6F⁰, 2B⁰, 1A⁰</t>
        </is>
      </c>
      <c r="O529" t="inlineStr">
        <is>
          <t>72F²¹, 96AI²³, 48P¹³, 24N⁵, 24AH⁹, 72E²¹, 48H²¹, 24AD⁹, 144C²¹, 72B⁹, 96A¹⁵, 24L¹⁷, 24D²¹, 24F¹¹, 24A⁹, 24AP¹⁷, 24AJ⁹, 48G⁷, 48Z¹¹, 48CF²¹, 48CO²¹, 72C²¹, 48O¹³, 120A¹⁹, 24AO¹⁷, 48CE²¹, 144N²³, 96I¹⁵, 120C²¹, 144M²³, 48D⁷, 48I¹³, 48CD²¹, 48B²³, 96B¹⁵, 48D²¹, 24G²¹, 96AL²³, 144H²³, 24I¹¹, 24F²¹, 144E²³, 24AG⁹, 48J¹³, 72D²¹, 24AQ¹⁷, 48CP²¹, 24A²¹, 72Q¹⁷, 48T¹³, 48CB²¹, 96C¹⁵, 48C²³, 48H¹³, 72U¹⁷, 96J¹⁵, 48C²¹, 144L²³, 72N¹⁷, 96D¹⁵, 144K²³, 24D¹⁷, 144K²¹, 48F⁷, 96G¹⁵, 48G¹³, 48C⁷, 24AB⁹, 48B¹³, 48AA¹¹, 48D¹³, 48K¹³, 24AS¹⁷, 72K²¹, 24AN¹⁷, 24J²¹, 144F²³, 48W²¹, 24I⁵, 144J²¹, 144D²¹, 96H¹⁵, 72A¹¹, 48A¹³, 72L²¹, 48C¹³, 48CQ²¹, 144G²³, 24J⁵, 24C¹⁷, 24AF⁹, 72B¹¹</t>
        </is>
      </c>
    </row>
    <row r="530">
      <c r="A530">
        <f>HYPERLINK("https://mathstats.uncg.edu/sites/pauli/congruence/csg3.html#group24C3", "24C³")</f>
        <v/>
      </c>
      <c r="B530" t="n">
        <v>3</v>
      </c>
      <c r="C530" t="inlineStr"/>
      <c r="D530" t="inlineStr">
        <is>
          <t>48</t>
        </is>
      </c>
      <c r="E530" t="inlineStr">
        <is>
          <t>1</t>
        </is>
      </c>
      <c r="F530" t="inlineStr">
        <is>
          <t>12</t>
        </is>
      </c>
      <c r="G530" t="inlineStr">
        <is>
          <t>0</t>
        </is>
      </c>
      <c r="H530" t="inlineStr">
        <is>
          <t>0</t>
        </is>
      </c>
      <c r="I530" t="inlineStr">
        <is>
          <t>4¹, 8¹, 12¹, 24¹</t>
        </is>
      </c>
      <c r="J530" t="n">
        <v>4</v>
      </c>
      <c r="K530" t="inlineStr">
        <is>
          <t>1⁶, 2³</t>
        </is>
      </c>
      <c r="L530" t="inlineStr">
        <is>
          <t>8A¹, 12F¹</t>
        </is>
      </c>
      <c r="M530" t="inlineStr">
        <is>
          <t>24I⁵, 24K⁵, 24M⁵, 48A⁷, 48B⁷, 48E⁷, 48H⁷, 24B⁹, 72C⁹, 72C¹¹, 72D¹¹, 120B¹⁹, 120D²¹</t>
        </is>
      </c>
      <c r="N530" t="inlineStr">
        <is>
          <t>6F⁰, 3B⁰, 2B⁰, 8A¹, 1A⁰, 12F¹, 4C⁰</t>
        </is>
      </c>
      <c r="O530" t="inlineStr">
        <is>
          <t>48H⁷, 48A⁷, 24AH⁹, 24AD⁹, 72H²¹, 96E¹⁵, 144O²³, 24D²¹, 24AP¹⁷, 48A²¹, 48A²³, 48CF²¹, 48S¹³, 72C²¹, 96AJ²³, 48L¹³, 24K¹⁷, 144D²³, 24AO¹⁷, 48CE²¹, 72G²¹, 96F¹⁵, 144A²³, 72C¹¹, 48X²¹, 24B⁹, 48Y¹¹, 144I²³, 96AK²³, 48F¹³, 48B²¹, 48I¹³, 48E⁷, 48CD²¹, 144B²³, 24M⁵, 24AI⁹, 144C²³, 48CN²¹, 48E¹³, 24G²¹, 144A²¹, 24F²¹, 24AG⁹, 48J¹³, 72I²¹, 72D²¹, 24AQ¹⁷, 48CP²¹, 144I²¹, 24A²¹, 48CB²¹, 48M¹³, 72N¹⁷, 24G¹¹, 48G²¹, 72C⁹, 120D²¹, 24E¹⁷, 144J²³, 48AB¹¹, 24AB⁹, 72T¹⁷, 48N¹³, 72J²¹, 48B⁷, 24K⁵, 24H¹¹, 48B¹³, 48D¹³, 120B¹⁹, 48D²³, 96K¹⁵, 24AS¹⁷, 24AN¹⁷, 24I⁵, 144L²¹, 96L¹⁵, 72D¹¹, 48A¹³, 72R¹⁷, 48C¹³, 48CQ²¹, 144B²¹, 144P²³, 24C¹⁷, 24AF⁹, 24I²¹</t>
        </is>
      </c>
    </row>
    <row r="531">
      <c r="A531">
        <f>HYPERLINK("https://mathstats.uncg.edu/sites/pauli/congruence/csg3.html#group24D3", "24D³")</f>
        <v/>
      </c>
      <c r="B531" t="n">
        <v>3</v>
      </c>
      <c r="C531" t="inlineStr"/>
      <c r="D531" t="inlineStr">
        <is>
          <t>48</t>
        </is>
      </c>
      <c r="E531" t="inlineStr">
        <is>
          <t>2</t>
        </is>
      </c>
      <c r="F531" t="inlineStr">
        <is>
          <t>12</t>
        </is>
      </c>
      <c r="G531" t="inlineStr">
        <is>
          <t>4</t>
        </is>
      </c>
      <c r="H531" t="inlineStr">
        <is>
          <t>0</t>
        </is>
      </c>
      <c r="I531" t="inlineStr">
        <is>
          <t>24²</t>
        </is>
      </c>
      <c r="J531" t="n">
        <v>2</v>
      </c>
      <c r="K531" t="inlineStr">
        <is>
          <t>4², 8²</t>
        </is>
      </c>
      <c r="L531" t="inlineStr">
        <is>
          <t>12G¹, 24B¹</t>
        </is>
      </c>
      <c r="M531" t="inlineStr">
        <is>
          <t>24P⁵, 24A⁷, 24D⁷, 24V⁹, 72F⁹, 72J¹⁰, 24L¹¹, 72E¹¹, 72F¹¹, 120C¹⁹, 120H²¹</t>
        </is>
      </c>
      <c r="N531" t="inlineStr">
        <is>
          <t>12G¹, 3C⁰, 24B¹, 12A⁰, 3A⁰, 1A⁰, 4A⁰</t>
        </is>
      </c>
      <c r="O531" t="inlineStr">
        <is>
          <t>24L¹¹, 72O²¹, 48D¹⁵, 72E¹¹, 24M¹⁹, 24D⁷, 72F²³, 72C²², 72J¹⁰, 24B¹⁹, 72Q²¹, 72G²³, 72M²¹, 48C¹⁵, 120H²¹, 24O¹⁹, 24AC¹⁷, 24AD¹⁷, 24P⁵, 72F¹¹, 72A²³, 72F⁹, 72T¹⁹, 24B¹³, 48Q¹³, 24A⁷, 24J¹⁹, 72T²¹, 48R¹³, 24K¹¹, 72U²¹, 24M²¹, 120C¹⁹, 24V⁹, 72P²¹, 24AE¹⁷, 72D²³, 72V¹⁹, 72W¹⁷</t>
        </is>
      </c>
    </row>
    <row r="532">
      <c r="A532">
        <f>HYPERLINK("https://mathstats.uncg.edu/sites/pauli/congruence/csg3.html#group24E3", "24E³")</f>
        <v/>
      </c>
      <c r="B532" t="n">
        <v>3</v>
      </c>
      <c r="C532" t="inlineStr"/>
      <c r="D532" t="inlineStr">
        <is>
          <t>48</t>
        </is>
      </c>
      <c r="E532" t="inlineStr">
        <is>
          <t>2</t>
        </is>
      </c>
      <c r="F532" t="inlineStr">
        <is>
          <t>12</t>
        </is>
      </c>
      <c r="G532" t="inlineStr">
        <is>
          <t>4</t>
        </is>
      </c>
      <c r="H532" t="inlineStr">
        <is>
          <t>0</t>
        </is>
      </c>
      <c r="I532" t="inlineStr">
        <is>
          <t>24²</t>
        </is>
      </c>
      <c r="J532" t="n">
        <v>2</v>
      </c>
      <c r="K532" t="inlineStr">
        <is>
          <t>4², 8²</t>
        </is>
      </c>
      <c r="L532" t="inlineStr">
        <is>
          <t>12G¹, 24A¹, 24B¹</t>
        </is>
      </c>
      <c r="M532" t="inlineStr">
        <is>
          <t>24P⁵, 24B⁷, 24D⁷, 48I⁷, 48J⁷, 24Y⁹, 72G⁹, 72K¹⁰, 24M¹¹, 72G¹¹, 72H¹¹, 120D¹⁹, 120L²¹</t>
        </is>
      </c>
      <c r="N532" t="inlineStr">
        <is>
          <t>12G¹, 12A⁰, 24A¹, 4A⁰, 8A⁰, 3C⁰, 24B¹, 3A⁰, 1A⁰</t>
        </is>
      </c>
      <c r="O532" t="inlineStr">
        <is>
          <t>48I⁷, 72O²¹, 48D¹⁵, 24D⁷, 144K²², 72F²³, 72C²², 72H¹¹, 144Q²³, 144M²¹, 48A¹⁵, 144R²³, 72H²³, 24AB¹⁷, 72Q²¹, 48B¹⁵, 72C²³, 24Y⁹, 120D¹⁹, 120L²¹, 24P⁵, 72G¹¹, 72T¹⁹, 24B¹³, 72N²¹, 48Q¹³, 24N¹⁹, 24M¹¹, 48BW²¹, 24J¹⁹, 72B²³, 72T²¹, 144T²³, 48R¹³, 24K¹¹, 24AF¹⁷, 72U²¹, 72K¹⁰, 144N²¹, 48J⁷, 144L²², 72P²¹, 24C¹⁹, 24M²¹, 24AE¹⁷, 48BY²¹, 144S²³, 24Q¹⁹, 72G⁹, 72V¹⁹, 72W¹⁷, 24B⁷</t>
        </is>
      </c>
    </row>
    <row r="533">
      <c r="A533">
        <f>HYPERLINK("https://mathstats.uncg.edu/sites/pauli/congruence/csg3.html#group24F3", "24F³")</f>
        <v/>
      </c>
      <c r="B533" t="n">
        <v>3</v>
      </c>
      <c r="C533" t="inlineStr"/>
      <c r="D533" t="inlineStr">
        <is>
          <t>64</t>
        </is>
      </c>
      <c r="E533" t="inlineStr">
        <is>
          <t>1</t>
        </is>
      </c>
      <c r="F533" t="inlineStr">
        <is>
          <t>16</t>
        </is>
      </c>
      <c r="G533" t="inlineStr">
        <is>
          <t>0</t>
        </is>
      </c>
      <c r="H533" t="inlineStr">
        <is>
          <t>4</t>
        </is>
      </c>
      <c r="I533" t="inlineStr">
        <is>
          <t>8², 24²</t>
        </is>
      </c>
      <c r="J533" t="n">
        <v>4</v>
      </c>
      <c r="K533" t="inlineStr">
        <is>
          <t>2⁴, 4²</t>
        </is>
      </c>
      <c r="L533" t="inlineStr">
        <is>
          <t>12I¹</t>
        </is>
      </c>
      <c r="M533" t="inlineStr">
        <is>
          <t>24Q⁵, 24A¹¹, 24E¹¹, 72I¹¹, 72K¹¹, 24A¹³, 24H¹³, 72A¹³, 72C¹³, 72A¹⁵, 72C¹⁵, 120K²³</t>
        </is>
      </c>
      <c r="N533" t="inlineStr">
        <is>
          <t>2A⁰, 3B⁰, 12I¹, 4A⁰, 4D⁰, 12A¹, 6C⁰, 1A⁰</t>
        </is>
      </c>
      <c r="O533" t="inlineStr">
        <is>
          <t>72Z²¹, 72A¹⁵, 72Y²¹, 24H¹³, 24B²¹, 24E²¹, 24A¹³, 72C¹⁵, 24A¹¹, 72K¹¹, 72I¹¹, 24E¹¹, 24D²¹, 48U¹³, 24H²¹, 72C¹³, 120K²³, 24Q⁵, 72A¹³</t>
        </is>
      </c>
    </row>
    <row r="534">
      <c r="A534">
        <f>HYPERLINK("https://mathstats.uncg.edu/sites/pauli/congruence/csg3.html#group24G3", "24G³")</f>
        <v/>
      </c>
      <c r="B534" t="n">
        <v>3</v>
      </c>
      <c r="C534" t="inlineStr"/>
      <c r="D534" t="inlineStr">
        <is>
          <t>64</t>
        </is>
      </c>
      <c r="E534" t="inlineStr">
        <is>
          <t>1</t>
        </is>
      </c>
      <c r="F534" t="inlineStr">
        <is>
          <t>16</t>
        </is>
      </c>
      <c r="G534" t="inlineStr">
        <is>
          <t>0</t>
        </is>
      </c>
      <c r="H534" t="inlineStr">
        <is>
          <t>4</t>
        </is>
      </c>
      <c r="I534" t="inlineStr">
        <is>
          <t>8², 24²</t>
        </is>
      </c>
      <c r="J534" t="n">
        <v>4</v>
      </c>
      <c r="K534" t="inlineStr">
        <is>
          <t>2⁴, 4²</t>
        </is>
      </c>
      <c r="L534" t="inlineStr">
        <is>
          <t>8E⁰, 12I¹, 24A²</t>
        </is>
      </c>
      <c r="M534" t="inlineStr">
        <is>
          <t>24Q⁵, 48K⁷, 48L⁷, 24B¹¹, 24D¹¹, 72J¹¹, 72L¹¹, 24B¹³, 24I¹³, 72B¹³, 72D¹³, 72B¹⁵, 72D¹⁵, 120L²³</t>
        </is>
      </c>
      <c r="N534" t="inlineStr">
        <is>
          <t>2A⁰, 3B⁰, 12I¹, 24A², 4A⁰, 4D⁰, 12A¹, 6C⁰, 8A⁰, 8E⁰, 1A⁰</t>
        </is>
      </c>
      <c r="O534" t="inlineStr">
        <is>
          <t>72B¹³, 72Z²¹, 120L²³, 48K⁷, 144V²³, 72Y²¹, 24B¹³, 72J¹¹, 24B²¹, 72L¹¹, 24D¹¹, 48L⁷, 48U¹³, 24H²¹, 72B¹⁵, 24B¹¹, 72D¹⁵, 144U²³, 24G²¹, 24Q⁵, 72D¹³, 24C²¹, 24I¹³</t>
        </is>
      </c>
    </row>
    <row r="535">
      <c r="A535">
        <f>HYPERLINK("https://mathstats.uncg.edu/sites/pauli/congruence/csg3.html#group24H3", "24H³")</f>
        <v/>
      </c>
      <c r="B535" t="n">
        <v>3</v>
      </c>
      <c r="C535" t="inlineStr"/>
      <c r="D535" t="inlineStr">
        <is>
          <t>72</t>
        </is>
      </c>
      <c r="E535" t="inlineStr">
        <is>
          <t>1</t>
        </is>
      </c>
      <c r="F535" t="inlineStr">
        <is>
          <t>9</t>
        </is>
      </c>
      <c r="G535" t="inlineStr">
        <is>
          <t>8</t>
        </is>
      </c>
      <c r="H535" t="inlineStr">
        <is>
          <t>0</t>
        </is>
      </c>
      <c r="I535" t="inlineStr">
        <is>
          <t>12², 24²</t>
        </is>
      </c>
      <c r="J535" t="n">
        <v>4</v>
      </c>
      <c r="K535" t="inlineStr">
        <is>
          <t>1³, 2³</t>
        </is>
      </c>
      <c r="L535" t="inlineStr">
        <is>
          <t>12L¹, 24D¹</t>
        </is>
      </c>
      <c r="M535" t="inlineStr">
        <is>
          <t>24S⁵, 24Q⁷, 24P⁷, 24B⁹, 24G⁹, 48H⁹, 48I⁹, 48V⁹, 72M¹¹, 72J¹³, 72N¹⁵</t>
        </is>
      </c>
      <c r="N535" t="inlineStr">
        <is>
          <t>12C⁰, 12C¹, 4C⁰, 24D¹, 6G⁰, 3C⁰, 1A⁰, 2B⁰, 3A⁰, 12L¹, 6D⁰</t>
        </is>
      </c>
      <c r="O535" t="inlineStr">
        <is>
          <t>24S¹³, 48BM¹⁷, 24R¹³, 48AI¹⁹, 48AI¹⁷, 24G⁹, 72M¹¹, 48AJ¹⁷, 24AI¹⁷, 24AB¹⁷, 24Z¹⁷, 48AU²¹, 48Y²¹, 48A²¹, 48G²¹, 24S⁵, 24Q¹³, 24E¹⁷, 24K¹⁷, 24AC¹⁷, 48AV¹⁷, 48V⁹, 48M²¹, 24P⁷, 48Z²¹, 24Y¹³, 48R¹⁷, 48M¹⁷, 24G¹⁷, 48X²¹, 24H¹⁷, 24B⁹, 48AF¹⁹, 48I⁹, 48AG¹⁹, 48AH¹⁹, 72J¹³, 72AA²¹, 48B²¹, 72N¹⁵, 48H⁹, 24W¹³, 48X¹³, 48L¹⁷, 24Q⁷, 24C¹⁷, 48AR¹⁷</t>
        </is>
      </c>
    </row>
    <row r="536">
      <c r="A536">
        <f>HYPERLINK("https://mathstats.uncg.edu/sites/pauli/congruence/csg3.html#group24I3", "24I³")</f>
        <v/>
      </c>
      <c r="B536" t="n">
        <v>3</v>
      </c>
      <c r="C536" t="inlineStr"/>
      <c r="D536" t="inlineStr">
        <is>
          <t>72</t>
        </is>
      </c>
      <c r="E536" t="inlineStr">
        <is>
          <t>1</t>
        </is>
      </c>
      <c r="F536" t="inlineStr">
        <is>
          <t>9</t>
        </is>
      </c>
      <c r="G536" t="inlineStr">
        <is>
          <t>8</t>
        </is>
      </c>
      <c r="H536" t="inlineStr">
        <is>
          <t>0</t>
        </is>
      </c>
      <c r="I536" t="inlineStr">
        <is>
          <t>12², 24²</t>
        </is>
      </c>
      <c r="J536" t="n">
        <v>4</v>
      </c>
      <c r="K536" t="inlineStr">
        <is>
          <t>1³, 2³</t>
        </is>
      </c>
      <c r="L536" t="inlineStr">
        <is>
          <t>24A⁰, 12L¹, 24C²</t>
        </is>
      </c>
      <c r="M536" t="inlineStr">
        <is>
          <t>24S⁵, 24O⁷, 24R⁷, 24Z⁷, 24AA⁷, 48M⁷, 48N⁷, 24A⁹, 24J⁹, 48J⁹, 48M⁹, 48W⁹, 48Z⁹, 48E¹¹, 48H¹¹, 72N¹¹, 72K¹³, 72O¹⁵</t>
        </is>
      </c>
      <c r="N536" t="inlineStr">
        <is>
          <t>12C⁰, 12C¹, 24A⁰, 4C⁰, 8B⁰, 6G⁰, 3C⁰, 1A⁰, 2B⁰, 24C², 3A⁰, 12L¹, 6D⁰</t>
        </is>
      </c>
      <c r="O536" t="inlineStr">
        <is>
          <t>48AO²¹, 96Y²¹, 72K¹³, 24AA⁷, 48BE¹⁹, 96AJ¹⁹, 48O¹⁷, 48M⁹, 24R¹³, 96AG²¹, 48H²¹, 24I¹⁷, 48AK¹⁷, 96AN²¹, 96AO²¹, 24L¹⁷, 24R⁷, 24A⁹, 48O²¹, 144W²³, 48AE¹⁷, 24Q¹³, 48Q¹⁷, 24AD¹⁷, 72N¹¹, 24AG¹⁷, 48AC²¹, 48AD²¹, 24Y¹³, 96AH²¹, 48R¹⁷, 48M¹⁷, 48AL¹⁹, 24N¹⁵, 96AF²¹, 24J¹⁷, 48P¹⁷, 24M¹⁵, 48AB²¹, 48BD²¹, 48BC²¹, 48AR¹⁷, 72AA²¹, 48BG²¹, 48AF¹⁷, 144X²³, 48BD¹⁹, 24T¹⁷, 48D²¹, 48L¹⁷, 24S¹³, 96AI¹⁹, 48Z⁹, 48N¹⁷, 48BG¹⁹, 48S²¹, 48E¹¹, 48H¹¹, 96AM²¹, 96AE²¹, 48AF²¹, 48C²¹, 48M⁷, 96P¹⁷, 48P²¹, 24D¹⁷, 96AP²¹, 24S⁵, 24J⁹, 24AH¹⁷, 48W⁹, 24U¹⁵, 48AY¹⁷, 48AV¹⁷, 48M²¹, 48AW¹⁷, 24V¹⁷, 24O⁷, 48BC¹⁹, 24Z⁷, 48J⁹, 48AL¹⁷, 48BB¹⁹, 96Q¹⁷, 48AX¹⁷, 48W²¹, 72O¹⁵, 24AF¹⁷, 48BB²¹, 48N⁷, 48K²¹, 24W¹³, 48X¹³, 48AZ¹⁷, 48AP²¹, 48AM¹⁹, 24C¹⁷, 96AA²¹</t>
        </is>
      </c>
    </row>
    <row r="537">
      <c r="A537">
        <f>HYPERLINK("https://mathstats.uncg.edu/sites/pauli/congruence/csg3.html#group24J3", "24J³")</f>
        <v/>
      </c>
      <c r="B537" t="n">
        <v>3</v>
      </c>
      <c r="C537" t="inlineStr"/>
      <c r="D537" t="inlineStr">
        <is>
          <t>72</t>
        </is>
      </c>
      <c r="E537" t="inlineStr">
        <is>
          <t>1</t>
        </is>
      </c>
      <c r="F537" t="inlineStr">
        <is>
          <t>12</t>
        </is>
      </c>
      <c r="G537" t="inlineStr">
        <is>
          <t>6</t>
        </is>
      </c>
      <c r="H537" t="inlineStr">
        <is>
          <t>0</t>
        </is>
      </c>
      <c r="I537" t="inlineStr">
        <is>
          <t>12⁴, 24¹</t>
        </is>
      </c>
      <c r="J537" t="n">
        <v>5</v>
      </c>
      <c r="K537" t="inlineStr">
        <is>
          <t>2², 4²</t>
        </is>
      </c>
      <c r="L537" t="inlineStr">
        <is>
          <t>8K⁰, 12J¹</t>
        </is>
      </c>
      <c r="M537" t="inlineStr">
        <is>
          <t>24F⁶, 24K⁷, 24Y⁷, 24A⁸, 24K⁸, 48G⁸, 48H⁸, 48U⁸, 48V⁸, 24W⁹, 24C¹⁰, 72F¹⁴</t>
        </is>
      </c>
      <c r="N537" t="inlineStr">
        <is>
          <t>12C⁰, 4C⁰, 2B⁰, 1A⁰, 8K⁰, 12A⁰, 4A⁰, 12J¹, 4F⁰, 3A⁰, 6D⁰</t>
        </is>
      </c>
      <c r="O537" t="inlineStr">
        <is>
          <t>24C¹⁰, 48AU¹⁹, 48K¹⁸, 24P¹⁹, 48AQ²¹, 24A¹⁶, 48C¹⁶, 24F⁶, 72F¹⁴, 48B¹⁶, 48B²⁰, 48BL²¹, 48S¹⁹, 48D²², 24C¹⁵, 48L¹⁸, 48R¹⁸, 48D¹⁶, 48AT¹⁹, 24B¹⁵, 24O¹⁹, 24P¹⁵, 48C²², 48AS¹⁹, 48A²⁰, 48BO¹⁷, 24AC¹⁷, 24K⁷, 48E¹⁸, 24W¹⁷, 48BL¹⁹, 48BN¹⁷, 48T¹⁹, 48AM¹⁷, 24B¹⁷, 48E¹⁶, 24A⁸, 48H¹⁵, 48B¹⁸, 24U¹³, 48U⁸, 48BL¹⁷, 24H¹⁹, 48H⁸, 24W⁹, 48T²¹, 48V⁸, 48AV¹⁹, 48S¹⁷, 24AF¹⁷, 24C¹⁶, 24K⁸, 48J¹⁸, 24AL¹⁷, 48BK¹⁷, 48BJ¹⁷, 48BI¹⁷, 48G⁸, 48T¹⁷, 48AB¹⁹, 24Q¹⁹, 48G¹⁸, 24Y⁷, 24D¹⁹</t>
        </is>
      </c>
    </row>
    <row r="538">
      <c r="A538">
        <f>HYPERLINK("https://mathstats.uncg.edu/sites/pauli/congruence/csg3.html#group24K3", "24K³")</f>
        <v/>
      </c>
      <c r="B538" t="n">
        <v>3</v>
      </c>
      <c r="C538" t="inlineStr"/>
      <c r="D538" t="inlineStr">
        <is>
          <t>72</t>
        </is>
      </c>
      <c r="E538" t="inlineStr">
        <is>
          <t>1</t>
        </is>
      </c>
      <c r="F538" t="inlineStr">
        <is>
          <t>18</t>
        </is>
      </c>
      <c r="G538" t="inlineStr">
        <is>
          <t>0</t>
        </is>
      </c>
      <c r="H538" t="inlineStr">
        <is>
          <t>0</t>
        </is>
      </c>
      <c r="I538" t="inlineStr">
        <is>
          <t>3⁴, 6², 24²</t>
        </is>
      </c>
      <c r="J538" t="n">
        <v>8</v>
      </c>
      <c r="K538" t="inlineStr">
        <is>
          <t>1⁴, 2⁵, 4¹</t>
        </is>
      </c>
      <c r="L538" t="inlineStr">
        <is>
          <t>12K¹, 24D²</t>
        </is>
      </c>
      <c r="M538" t="inlineStr">
        <is>
          <t>24R⁵, 24I⁷, 24N⁷, 48W⁷, 48N⁹, 72P¹¹, 72F¹⁵, 72R¹⁵</t>
        </is>
      </c>
      <c r="N538" t="inlineStr">
        <is>
          <t>12K¹, 4B⁰, 24D², 6G⁰, 3C⁰, 12B¹, 2B⁰, 12D⁰, 3A⁰, 1A⁰, 6D⁰</t>
        </is>
      </c>
      <c r="O538" t="inlineStr">
        <is>
          <t>48V¹⁷, 48K¹⁵, 48W⁷, 24N¹³, 48K¹⁹, 72AB²¹, 24N⁷, 48N⁹, 72F¹⁵, 24X¹⁷, 24G¹⁷, 24H¹⁵, 24I¹⁷, 24K¹³, 48G¹⁷, 48F¹⁷, 48AA¹⁹, 48W¹³, 72R¹⁵, 48U¹⁷, 24G¹⁵, 48B¹⁷, 24L¹³, 48Y¹³, 24I¹⁵, 48C¹⁷, 48R¹⁵, 48V¹³, 24R⁵, 24I⁷, 72P¹¹, 48Z¹³, 24M¹³, 24AP⁹</t>
        </is>
      </c>
    </row>
    <row r="539">
      <c r="A539">
        <f>HYPERLINK("https://mathstats.uncg.edu/sites/pauli/congruence/csg3.html#group24L3", "24L³")</f>
        <v/>
      </c>
      <c r="B539" t="n">
        <v>3</v>
      </c>
      <c r="C539" t="inlineStr"/>
      <c r="D539" t="inlineStr">
        <is>
          <t>72</t>
        </is>
      </c>
      <c r="E539" t="inlineStr">
        <is>
          <t>1</t>
        </is>
      </c>
      <c r="F539" t="inlineStr">
        <is>
          <t>18</t>
        </is>
      </c>
      <c r="G539" t="inlineStr">
        <is>
          <t>0</t>
        </is>
      </c>
      <c r="H539" t="inlineStr">
        <is>
          <t>0</t>
        </is>
      </c>
      <c r="I539" t="inlineStr">
        <is>
          <t>3⁴, 6², 24²</t>
        </is>
      </c>
      <c r="J539" t="n">
        <v>8</v>
      </c>
      <c r="K539" t="inlineStr">
        <is>
          <t>1⁴, 2⁵, 4¹</t>
        </is>
      </c>
      <c r="L539" t="inlineStr">
        <is>
          <t>12K¹, 24B², 24D²</t>
        </is>
      </c>
      <c r="M539" t="inlineStr">
        <is>
          <t>24R⁵, 24J⁷, 24N⁷, 24T⁷, 24U⁷, 48Q⁷, 48R⁷, 48X⁷, 48Y⁷, 48C⁹, 48D⁹, 72Q¹¹, 72G¹⁵, 72S¹⁵</t>
        </is>
      </c>
      <c r="N539" t="inlineStr">
        <is>
          <t>24B², 12K¹, 4B⁰, 24D², 6G⁰, 3C⁰, 12B¹, 2B⁰, 8C⁰, 12D⁰, 3A⁰, 1A⁰, 6D⁰</t>
        </is>
      </c>
      <c r="O539" t="inlineStr">
        <is>
          <t>24T⁷, 72Q¹¹, 48Q¹⁵, 72AB²¹, 96S²¹, 24J⁷, 48G¹⁷, 48Y¹⁷, 48W¹³, 48AA¹⁹, 48E¹⁷, 96G²¹, 24G¹⁵, 48E¹⁵, 48V¹³, 24R⁵, 24AP⁹, 96I¹⁷, 48F¹⁵, 24N¹³, 48K¹⁷, 24J¹⁷, 24K¹³, 96N¹⁹, 96M²¹, 96F²¹, 48AB¹⁷, 96J²¹, 48C⁹, 48Y¹³, 48F¹⁹, 48E¹⁹, 24M¹³, 48O¹⁵, 48P¹⁵, 72G¹⁵, 48V¹⁷, 48Z¹⁷, 24X¹⁷, 96N²¹, 24H¹⁵, 48AA¹⁷, 96I²¹, 96S¹⁷, 48Y⁷, 96P¹⁵, 48R⁷, 48Z¹³, 24D¹⁵, 72S¹⁵, 96J¹⁷, 96F¹⁹, 48X⁷, 24U⁷, 96AB²¹, 24N⁷, 24H¹⁷, 96D¹⁹, 48D⁹, 96M¹⁵, 48F¹⁷, 48Q⁷, 24L¹³, 48B¹⁷, 48C¹⁷, 48N¹⁵, 96N¹⁵, 48R¹⁵, 24E¹⁵, 96P²¹</t>
        </is>
      </c>
    </row>
    <row r="540">
      <c r="A540">
        <f>HYPERLINK("https://mathstats.uncg.edu/sites/pauli/congruence/csg3.html#group24M3", "24M³")</f>
        <v/>
      </c>
      <c r="B540" t="n">
        <v>3</v>
      </c>
      <c r="C540" t="inlineStr"/>
      <c r="D540" t="inlineStr">
        <is>
          <t>72</t>
        </is>
      </c>
      <c r="E540" t="inlineStr">
        <is>
          <t>1</t>
        </is>
      </c>
      <c r="F540" t="inlineStr">
        <is>
          <t>18</t>
        </is>
      </c>
      <c r="G540" t="inlineStr">
        <is>
          <t>4</t>
        </is>
      </c>
      <c r="H540" t="inlineStr">
        <is>
          <t>0</t>
        </is>
      </c>
      <c r="I540" t="inlineStr">
        <is>
          <t>6⁴, 24²</t>
        </is>
      </c>
      <c r="J540" t="n">
        <v>6</v>
      </c>
      <c r="K540" t="inlineStr">
        <is>
          <t>2³, 4³</t>
        </is>
      </c>
      <c r="L540" t="inlineStr">
        <is>
          <t>12G⁰</t>
        </is>
      </c>
      <c r="M540" t="inlineStr">
        <is>
          <t>24T⁵, 24G⁷, 24M⁷, 72D¹², 72E¹², 72F¹³, 72T¹⁵</t>
        </is>
      </c>
      <c r="N540" t="inlineStr">
        <is>
          <t>12G⁰, 6G⁰, 3C⁰, 2B⁰, 12D⁰, 3A⁰, 1A⁰, 6D⁰</t>
        </is>
      </c>
      <c r="O540" t="inlineStr">
        <is>
          <t>72E¹², 24M⁷, 72J²³, 24L¹³, 72F¹³, 72I²³, 24T⁵, 24M¹⁷, 24J¹³, 72D¹², 24Y¹⁷, 24N¹¹, 24G⁷, 24Q¹³, 24L¹⁵, 72T¹⁵</t>
        </is>
      </c>
    </row>
    <row r="541">
      <c r="A541">
        <f>HYPERLINK("https://mathstats.uncg.edu/sites/pauli/congruence/csg3.html#group24N3", "24N³")</f>
        <v/>
      </c>
      <c r="B541" t="n">
        <v>3</v>
      </c>
      <c r="C541" t="inlineStr"/>
      <c r="D541" t="inlineStr">
        <is>
          <t>72</t>
        </is>
      </c>
      <c r="E541" t="inlineStr">
        <is>
          <t>1</t>
        </is>
      </c>
      <c r="F541" t="inlineStr">
        <is>
          <t>18</t>
        </is>
      </c>
      <c r="G541" t="inlineStr">
        <is>
          <t>4</t>
        </is>
      </c>
      <c r="H541" t="inlineStr">
        <is>
          <t>0</t>
        </is>
      </c>
      <c r="I541" t="inlineStr">
        <is>
          <t>6⁴, 24²</t>
        </is>
      </c>
      <c r="J541" t="n">
        <v>6</v>
      </c>
      <c r="K541" t="inlineStr">
        <is>
          <t>1², 2⁴, 4²</t>
        </is>
      </c>
      <c r="L541" t="inlineStr">
        <is>
          <t>12L¹, 24E¹</t>
        </is>
      </c>
      <c r="M541" t="inlineStr">
        <is>
          <t>24U⁵, 24H⁷, 24I⁷, 24O⁷, 24Q⁷, 24P⁹, 24N⁹, 72H¹², 72G¹³, 72U¹⁵</t>
        </is>
      </c>
      <c r="N541" t="inlineStr">
        <is>
          <t>24E¹, 12C⁰, 12C¹, 4C⁰, 6G⁰, 3C⁰, 1A⁰, 2B⁰, 3A⁰, 12L¹, 6D⁰</t>
        </is>
      </c>
      <c r="O541" t="inlineStr">
        <is>
          <t>48BM¹⁷, 48O¹⁷, 48N¹⁷, 24R¹³, 48AI¹⁹, 24N¹¹, 72U¹⁵, 24I¹⁷, 24AB¹⁷, 48J¹⁹, 48U¹⁷, 24K¹⁵, 48AG¹⁷, 24U⁵, 24D¹⁷, 24I⁷, 72H¹², 48BT²¹, 24O¹⁹, 24U¹⁵, 24E¹⁷, 24AC¹⁷, 24P⁹, 48K¹⁵, 48AC²¹, 48G¹⁵, 24O⁷, 48K¹⁹, 24G¹⁷, 48AH¹⁷, 48BB¹⁹, 24N¹⁹, 24K¹³, 48AD¹³, 24N¹⁷, 48AB²¹, 48AH¹⁹, 24I¹⁵, 72K²³, 48AC¹³, 72G¹³, 24H⁷, 24N⁹, 24Q⁷</t>
        </is>
      </c>
    </row>
    <row r="542">
      <c r="A542">
        <f>HYPERLINK("https://mathstats.uncg.edu/sites/pauli/congruence/csg3.html#group24O3", "24O³")</f>
        <v/>
      </c>
      <c r="B542" t="n">
        <v>3</v>
      </c>
      <c r="C542" t="inlineStr"/>
      <c r="D542" t="inlineStr">
        <is>
          <t>72</t>
        </is>
      </c>
      <c r="E542" t="inlineStr">
        <is>
          <t>1</t>
        </is>
      </c>
      <c r="F542" t="inlineStr">
        <is>
          <t>18</t>
        </is>
      </c>
      <c r="G542" t="inlineStr">
        <is>
          <t>4</t>
        </is>
      </c>
      <c r="H542" t="inlineStr">
        <is>
          <t>0</t>
        </is>
      </c>
      <c r="I542" t="inlineStr">
        <is>
          <t>6⁴, 24²</t>
        </is>
      </c>
      <c r="J542" t="n">
        <v>6</v>
      </c>
      <c r="K542" t="inlineStr">
        <is>
          <t>1², 2⁴, 4²</t>
        </is>
      </c>
      <c r="L542" t="inlineStr">
        <is>
          <t>12L¹, 24C¹, 24E¹</t>
        </is>
      </c>
      <c r="M542" t="inlineStr">
        <is>
          <t>24U⁵, 24H⁷, 24J⁷, 24P⁷, 24R⁷, 48Z⁷, 48AA⁷, 24O⁹, 24R⁹, 48R⁹, 48S⁹, 72I¹², 72H¹³, 72V¹⁵</t>
        </is>
      </c>
      <c r="N542" t="inlineStr">
        <is>
          <t>24E¹, 12C⁰, 12C¹, 8D⁰, 4C⁰, 24C¹, 6G⁰, 1A⁰, 2B⁰, 3C⁰, 3A⁰, 12L¹, 6D⁰</t>
        </is>
      </c>
      <c r="O542" t="inlineStr">
        <is>
          <t>24R¹³, 48AI¹⁷, 24M¹⁹, 24J⁷, 48AK¹⁷, 72H¹³, 24O⁹, 96AU²¹, 24AI¹⁷, 24R⁷, 48AZ²¹, 48Z¹⁹, 48E¹⁵, 48S⁹, 48AE¹⁷, 24K¹⁵, 48AG¹⁷, 48Q¹⁷, 24AD¹⁷, 24AG¹⁷, 48AD²¹, 48F¹⁵, 48K¹⁷, 48AL¹⁹, 96W¹⁷, 24N¹⁵, 48AH¹⁷, 24J¹⁷, 48P¹⁷, 24K¹³, 48AG¹⁹, 24R⁹, 72I¹², 48AF¹⁷, 48F¹⁹, 48V¹⁹, 48AC¹³, 48E¹⁹, 96V¹⁷, 48BA²¹, 24Q¹⁹, 96T¹⁷, 72V¹⁵, 96U¹⁷, 24N¹¹, 48AJ¹⁷, 96AV²¹, 48J¹⁹, 48AF²¹, 24U⁵, 24D¹⁷, 24D¹⁵, 24AH¹⁷, 24E¹⁷, 48R⁹, 24P⁷, 48G¹⁵, 48X¹⁹, 24H¹⁷, 48AF¹⁹, 48AL¹⁷, 48AD¹³, 48Z⁷, 24N¹⁷, 48W¹⁹, 24AF¹⁷, 72K²³, 24E¹⁵, 48AA⁷, 24H⁷, 48AM¹⁹, 48E¹⁷, 24M¹⁵</t>
        </is>
      </c>
    </row>
    <row r="543">
      <c r="A543">
        <f>HYPERLINK("https://mathstats.uncg.edu/sites/pauli/congruence/csg3.html#group24P3", "24P³")</f>
        <v/>
      </c>
      <c r="B543" t="n">
        <v>3</v>
      </c>
      <c r="C543" t="inlineStr"/>
      <c r="D543" t="inlineStr">
        <is>
          <t>72</t>
        </is>
      </c>
      <c r="E543" t="inlineStr">
        <is>
          <t>1</t>
        </is>
      </c>
      <c r="F543" t="inlineStr">
        <is>
          <t>18</t>
        </is>
      </c>
      <c r="G543" t="inlineStr">
        <is>
          <t>8</t>
        </is>
      </c>
      <c r="H543" t="inlineStr">
        <is>
          <t>0</t>
        </is>
      </c>
      <c r="I543" t="inlineStr">
        <is>
          <t>12², 24²</t>
        </is>
      </c>
      <c r="J543" t="n">
        <v>4</v>
      </c>
      <c r="K543" t="inlineStr">
        <is>
          <t>1², 2⁴, 4²</t>
        </is>
      </c>
      <c r="L543" t="inlineStr">
        <is>
          <t>12J¹, 24D¹, 24E¹</t>
        </is>
      </c>
      <c r="M543" t="inlineStr">
        <is>
          <t>24W⁵, 24Q⁷, 24AE⁷, 24K⁸, 24L⁸, 24P⁸, 24H⁹, 24R⁹, 72M¹³, 72J¹⁵</t>
        </is>
      </c>
      <c r="N543" t="inlineStr">
        <is>
          <t>24E¹, 12A⁰, 12C⁰, 4A⁰, 4C⁰, 24D¹, 12J¹, 2B⁰, 4F⁰, 3A⁰, 1A⁰, 6D⁰</t>
        </is>
      </c>
      <c r="O543" t="inlineStr">
        <is>
          <t>48K¹⁸, 48BM¹⁷, 48U¹⁵, 24R¹³, 48AI¹⁹, 24V¹³, 24M¹⁹, 24F¹⁹, 24W⁵, 24AB¹⁷, 48V¹⁵, 24Q¹⁵, 48AS¹⁷, 48BM¹⁹, 48AE²¹, 48AZ²¹, 48BR¹⁷, 48Z¹⁹, 24AE⁷, 24E¹⁹, 24P¹⁵, 24I¹⁹, 24X¹³, 24E¹⁷, 24AC¹⁷, 24W¹⁷, 24H⁹, 24G¹⁷, 48H²⁰, 24J¹⁷, 24H¹⁹, 24S¹⁹, 24P⁸, 24AK¹⁷, 24N¹⁷, 24Q⁷, 72M¹³, 48C²⁰, 24R⁹, 24O¹⁵, 48AH¹⁹, 48CI¹⁷, 48S¹⁵, 72J¹⁵, 48T¹⁵, 48V¹⁹, 24R¹⁷, 24K⁸, 24AL¹⁷, 24L⁸, 48J¹⁸, 48AQ¹⁷, 48AB¹³, 48BA²¹, 24Q¹⁹, 24R¹⁵, 48D²⁰, 48R¹⁸</t>
        </is>
      </c>
    </row>
    <row r="544">
      <c r="A544">
        <f>HYPERLINK("https://mathstats.uncg.edu/sites/pauli/congruence/csg3.html#group24Q3", "24Q³")</f>
        <v/>
      </c>
      <c r="B544" t="n">
        <v>3</v>
      </c>
      <c r="C544" t="inlineStr"/>
      <c r="D544" t="inlineStr">
        <is>
          <t>72</t>
        </is>
      </c>
      <c r="E544" t="inlineStr">
        <is>
          <t>1</t>
        </is>
      </c>
      <c r="F544" t="inlineStr">
        <is>
          <t>18</t>
        </is>
      </c>
      <c r="G544" t="inlineStr">
        <is>
          <t>8</t>
        </is>
      </c>
      <c r="H544" t="inlineStr">
        <is>
          <t>0</t>
        </is>
      </c>
      <c r="I544" t="inlineStr">
        <is>
          <t>12², 24²</t>
        </is>
      </c>
      <c r="J544" t="n">
        <v>4</v>
      </c>
      <c r="K544" t="inlineStr">
        <is>
          <t>1², 2⁴, 4²</t>
        </is>
      </c>
      <c r="L544" t="inlineStr">
        <is>
          <t>12M¹, 24C¹, 24D¹</t>
        </is>
      </c>
      <c r="M544" t="inlineStr">
        <is>
          <t>24W⁵, 24P⁷, 24AD⁷, 48P⁸, 48Q⁸, 48Z⁸, 24I⁹, 24R⁹, 72N¹³, 72K¹⁵</t>
        </is>
      </c>
      <c r="N544" t="inlineStr">
        <is>
          <t>12C⁰, 8D⁰, 4C⁰, 24D¹, 24C¹, 12M¹, 2B⁰, 3A⁰, 1A⁰, 6D⁰</t>
        </is>
      </c>
      <c r="O544" t="inlineStr">
        <is>
          <t>48U¹⁵, 48Z⁸, 24R¹³, 48AI¹⁷, 24V¹³, 24M¹⁹, 24W⁵, 48AJ¹⁷, 96D²⁰, 24AI¹⁷, 48V¹⁵, 72K¹⁵, 48P¹⁹, 24Q¹⁵, 48AW¹⁹, 48AE²¹, 48AZ²¹, 48Z¹⁹, 48BR¹⁷, 24P¹⁵, 24P¹⁷, 24X¹³, 24E¹⁷, 96C²⁰, 72N¹³, 24AD⁷, 96F¹⁸, 96G¹⁸, 24P⁷, 24AM¹⁷, 24H¹⁷, 48I¹⁹, 48AF¹⁹, 24J¹⁷, 48L¹⁹, 48P⁸, 48Q⁸, 24N¹⁷, 48AG¹⁹, 24S¹⁷, 48S¹⁵, 24R⁹, 24O¹⁵, 96E¹⁸, 48T¹⁵, 48BV¹⁷, 48V¹⁹, 48BN¹⁹, 24I⁹, 48AQ¹⁷, 48BA²¹, 48AB¹³, 96M²⁰, 24R¹⁵, 24Q¹⁹, 48BU¹⁷, 48AS¹⁷, 48H¹⁹</t>
        </is>
      </c>
    </row>
    <row r="545">
      <c r="A545">
        <f>HYPERLINK("https://mathstats.uncg.edu/sites/pauli/congruence/csg3.html#group24R3", "24R³")</f>
        <v/>
      </c>
      <c r="B545" t="n">
        <v>3</v>
      </c>
      <c r="C545" t="inlineStr"/>
      <c r="D545" t="inlineStr">
        <is>
          <t>72</t>
        </is>
      </c>
      <c r="E545" t="inlineStr">
        <is>
          <t>1</t>
        </is>
      </c>
      <c r="F545" t="inlineStr">
        <is>
          <t>36</t>
        </is>
      </c>
      <c r="G545" t="inlineStr">
        <is>
          <t>6</t>
        </is>
      </c>
      <c r="H545" t="inlineStr">
        <is>
          <t>0</t>
        </is>
      </c>
      <c r="I545" t="inlineStr">
        <is>
          <t>12⁴, 24¹</t>
        </is>
      </c>
      <c r="J545" t="n">
        <v>5</v>
      </c>
      <c r="K545" t="inlineStr">
        <is>
          <t>2², 4⁴, 8²</t>
        </is>
      </c>
      <c r="L545" t="inlineStr">
        <is>
          <t>12J¹</t>
        </is>
      </c>
      <c r="M545" t="inlineStr">
        <is>
          <t>24E⁶, 24F⁶, 24X⁷, 24Y⁷, 24AB⁷, 24C⁸, 24L⁸, 24P⁸, 24X⁹, 24AA⁹, 24E¹⁰, 72G¹⁴, 72J¹⁴</t>
        </is>
      </c>
      <c r="N545" t="inlineStr">
        <is>
          <t>12A⁰, 12C⁰, 4A⁰, 4C⁰, 12J¹, 2B⁰, 4F⁰, 3A⁰, 1A⁰, 6D⁰</t>
        </is>
      </c>
      <c r="O545" t="inlineStr">
        <is>
          <t>48BX²¹, 24P¹⁹, 24E¹⁶, 24B¹⁶, 24X⁷, 24F⁶, 24M¹⁹, 48C¹⁶, 48B¹⁶, 48BO²¹, 48J¹⁶, 24F¹⁷, 24C¹⁵, 48AN¹⁷, 24AB¹⁷, 48S¹⁸, 48BP²¹, 48D¹⁶, 24B¹⁵, 24O¹⁹, 48BN²¹, 24P¹⁵, 24I¹⁹, 72J¹⁴, 24D¹⁶, 24AA⁹, 24AB⁷, 48BV²¹, 24AC¹⁷, 48AC¹⁹, 24A¹⁵, 24AD¹⁷, 48O¹⁸, 24W¹⁷, 24E¹⁰, 48BW¹⁷, 24E⁶, 48E¹⁶, 48H²⁰, 24U¹³, 48BL¹⁷, 24S¹⁹, 24N¹⁹, 24P⁸, 24AK¹⁷, 48C²⁰, 24O¹⁵, 24AF¹⁷, 72G¹⁴, 24C⁸, 24R¹⁷, 24AL¹⁷, 24L⁸, 48AY¹⁹, 24X⁹, 48BK¹⁷, 48N¹⁸, 48AR²¹, 24Q¹⁹, 24G¹⁹, 48BJ¹⁷, 48BI¹⁷, 48D²⁰, 48BM²¹, 24L¹⁹, 24Y⁷, 48W¹⁵</t>
        </is>
      </c>
    </row>
    <row r="546">
      <c r="A546">
        <f>HYPERLINK("https://mathstats.uncg.edu/sites/pauli/congruence/csg3.html#group24S3", "24S³")</f>
        <v/>
      </c>
      <c r="B546" t="n">
        <v>3</v>
      </c>
      <c r="C546" t="inlineStr"/>
      <c r="D546" t="inlineStr">
        <is>
          <t>72</t>
        </is>
      </c>
      <c r="E546" t="inlineStr">
        <is>
          <t>2</t>
        </is>
      </c>
      <c r="F546" t="inlineStr">
        <is>
          <t>9</t>
        </is>
      </c>
      <c r="G546" t="inlineStr">
        <is>
          <t>8</t>
        </is>
      </c>
      <c r="H546" t="inlineStr">
        <is>
          <t>0</t>
        </is>
      </c>
      <c r="I546" t="inlineStr">
        <is>
          <t>12², 24²</t>
        </is>
      </c>
      <c r="J546" t="n">
        <v>4</v>
      </c>
      <c r="K546" t="inlineStr">
        <is>
          <t>2⁹</t>
        </is>
      </c>
      <c r="L546" t="inlineStr">
        <is>
          <t>12H⁰, 24D¹, 24C²</t>
        </is>
      </c>
      <c r="M546" t="inlineStr">
        <is>
          <t>24S⁵, 24AE⁷, 24AD⁷, 24E⁹, 24G⁹, 48AF⁹, 72R¹¹, 72P¹⁵, 72Q¹⁵</t>
        </is>
      </c>
      <c r="N546" t="inlineStr">
        <is>
          <t>6B⁰, 12C⁰, 3A⁰, 4C⁰, 24D¹, 2B⁰, 12D⁰, 24C², 6H⁰, 12H⁰, 1A⁰, 6D⁰</t>
        </is>
      </c>
      <c r="O546" t="inlineStr">
        <is>
          <t>24S¹³, 48AV²¹, 48AF⁹, 48BE²¹, 24R¹³, 24G⁹, 24Z¹⁷, 48BM¹⁹, 48AU²¹, 48Y²¹, 24AE⁷, 24M¹⁷, 24S⁵, 24Q¹³, 48AV¹⁷, 72Q¹⁵, 24AD⁷, 48M²¹, 72P¹⁵, 24Y¹³, 48R¹⁷, 48Z²¹, 48M¹⁷, 72R¹¹, 24AM¹⁷, 24G¹⁷, 24H¹⁷, 24AK¹⁷, 24N¹⁷, 24O¹⁷, 48CI¹⁷, 72AA²¹, 48BV¹⁷, 48BN¹⁹, 24AL¹⁷, 24W¹³, 48X¹³, 48L¹⁷, 48BU¹⁷, 24C¹⁷, 24E⁹, 48AR¹⁷</t>
        </is>
      </c>
    </row>
    <row r="547">
      <c r="A547">
        <f>HYPERLINK("https://mathstats.uncg.edu/sites/pauli/congruence/csg3.html#group24T3", "24T³")</f>
        <v/>
      </c>
      <c r="B547" t="n">
        <v>3</v>
      </c>
      <c r="C547" t="inlineStr"/>
      <c r="D547" t="inlineStr">
        <is>
          <t>72</t>
        </is>
      </c>
      <c r="E547" t="inlineStr">
        <is>
          <t>2</t>
        </is>
      </c>
      <c r="F547" t="inlineStr">
        <is>
          <t>18</t>
        </is>
      </c>
      <c r="G547" t="inlineStr">
        <is>
          <t>8</t>
        </is>
      </c>
      <c r="H547" t="inlineStr">
        <is>
          <t>0</t>
        </is>
      </c>
      <c r="I547" t="inlineStr">
        <is>
          <t>12², 24²</t>
        </is>
      </c>
      <c r="J547" t="n">
        <v>4</v>
      </c>
      <c r="K547" t="inlineStr">
        <is>
          <t>2⁶, 4⁶</t>
        </is>
      </c>
      <c r="L547" t="inlineStr">
        <is>
          <t>12M¹, 24D¹, 24E¹</t>
        </is>
      </c>
      <c r="M547" t="inlineStr">
        <is>
          <t>24V⁵, 24Q⁷, 24P⁷, 24AE⁷, 24AD⁷, 24N⁹, 24Z⁹, 72O¹³, 72P¹³, 72W¹⁵</t>
        </is>
      </c>
      <c r="N547" t="inlineStr">
        <is>
          <t>24E¹, 12C⁰, 4C⁰, 24D¹, 12M¹, 2B⁰, 3A⁰, 1A⁰, 6D⁰</t>
        </is>
      </c>
      <c r="O547" t="inlineStr">
        <is>
          <t>24T¹⁵, 48AA¹³, 48BM¹⁷, 24R¹³, 72P¹³, 48AI¹⁷, 48AI¹⁹, 24I¹⁷, 24AJ¹⁷, 72O¹³, 48AJ¹⁷, 24AI¹⁷, 24AA¹³, 24AB¹⁷, 24V⁵, 48BM¹⁹, 24AE⁷, 72W¹⁵, 48AB¹⁵, 48BT²¹, 24E¹⁷, 24AC¹⁷, 24S¹⁵, 24AD⁷, 24P⁷, 48AA²¹, 48BD¹⁷, 24AM¹⁷, 24G¹⁷, 24H¹⁷, 48AF¹⁹, 24AK¹⁷, 24N¹⁷, 48AG¹⁹, 48AH¹⁹, 48CI¹⁷, 48BQ¹⁷, 48BV¹⁷, 48BC¹⁷, 48BN¹⁹, 24AL¹⁷, 48AC¹⁵, 24Z⁹, 48BU¹⁷, 24N⁹, 24Q⁷, 24Z¹³</t>
        </is>
      </c>
    </row>
    <row r="548">
      <c r="A548">
        <f>HYPERLINK("https://mathstats.uncg.edu/sites/pauli/congruence/csg3.html#group24U3", "24U³")</f>
        <v/>
      </c>
      <c r="B548" t="n">
        <v>3</v>
      </c>
      <c r="C548" t="inlineStr"/>
      <c r="D548" t="inlineStr">
        <is>
          <t>96</t>
        </is>
      </c>
      <c r="E548" t="inlineStr">
        <is>
          <t>1</t>
        </is>
      </c>
      <c r="F548" t="inlineStr">
        <is>
          <t>12</t>
        </is>
      </c>
      <c r="G548" t="inlineStr">
        <is>
          <t>0</t>
        </is>
      </c>
      <c r="H548" t="inlineStr">
        <is>
          <t>0</t>
        </is>
      </c>
      <c r="I548" t="inlineStr">
        <is>
          <t>2⁴, 6⁴, 8², 24²</t>
        </is>
      </c>
      <c r="J548" t="n">
        <v>12</v>
      </c>
      <c r="K548" t="inlineStr">
        <is>
          <t>1⁶, 2³</t>
        </is>
      </c>
      <c r="L548" t="inlineStr">
        <is>
          <t>24B⁰, 12P¹, 24F²</t>
        </is>
      </c>
      <c r="M548" t="inlineStr">
        <is>
          <t>24Z⁵, 24AK⁷, 24AC⁹, 24AD⁹, 24J¹³, 72Q¹³, 72A¹⁹, 72B¹⁹</t>
        </is>
      </c>
      <c r="N548" t="inlineStr">
        <is>
          <t>3B⁰, 2A⁰, 6I⁰, 12F¹, 6C⁰, 4C⁰, 2B⁰, 4E⁰, 12P¹, 4B⁰, 1A⁰, 24B⁰, 24F², 6F⁰, 2C⁰, 12E⁰</t>
        </is>
      </c>
      <c r="O548" t="inlineStr">
        <is>
          <t>24AK⁷, 72A¹⁹, 24AT¹⁷, 24F²¹, 48AG¹³, 24E²¹, 72B¹⁹, 24AS¹⁷, 24AD⁹, 24Z⁵, 24AP¹⁷, 48BZ²¹, 24J¹³, 48CN¹⁷, 24AC¹³, 72Q¹³, 24AC⁹, 24C²¹</t>
        </is>
      </c>
    </row>
    <row r="549">
      <c r="A549">
        <f>HYPERLINK("https://mathstats.uncg.edu/sites/pauli/congruence/csg3.html#group24V3", "24V³")</f>
        <v/>
      </c>
      <c r="B549" t="n">
        <v>3</v>
      </c>
      <c r="C549" t="inlineStr"/>
      <c r="D549" t="inlineStr">
        <is>
          <t>96</t>
        </is>
      </c>
      <c r="E549" t="inlineStr">
        <is>
          <t>1</t>
        </is>
      </c>
      <c r="F549" t="inlineStr">
        <is>
          <t>12</t>
        </is>
      </c>
      <c r="G549" t="inlineStr">
        <is>
          <t>0</t>
        </is>
      </c>
      <c r="H549" t="inlineStr">
        <is>
          <t>0</t>
        </is>
      </c>
      <c r="I549" t="inlineStr">
        <is>
          <t>2⁴, 6⁴, 8², 24²</t>
        </is>
      </c>
      <c r="J549" t="n">
        <v>12</v>
      </c>
      <c r="K549" t="inlineStr">
        <is>
          <t>1⁶, 2³</t>
        </is>
      </c>
      <c r="L549" t="inlineStr">
        <is>
          <t>8G⁰, 12P¹, 24G¹, 24I²</t>
        </is>
      </c>
      <c r="M549" t="inlineStr">
        <is>
          <t>24Z⁵, 24AH⁷, 24AI⁷, 48AK⁷, 48AL⁷, 24AE⁹, 24AF⁹, 48AH⁹, 48AK⁹, 48W¹¹, 48X¹¹, 24K¹³, 72R¹³, 72D¹⁹, 72C¹⁹</t>
        </is>
      </c>
      <c r="N549" t="inlineStr">
        <is>
          <t>2A⁰, 3B⁰, 8D⁰, 12F¹, 6I⁰, 24G¹, 4C⁰, 6C⁰, 8C⁰, 4E⁰, 2B⁰, 12P¹, 4B⁰, 1A⁰, 24I², 8G⁰, 6F⁰, 2C⁰, 12E⁰</t>
        </is>
      </c>
      <c r="O549" t="inlineStr">
        <is>
          <t>24AE⁹, 24F²¹, 48AG¹³, 48BS¹⁹, 48CC²¹, 24AH⁷, 72C¹⁹, 96BD¹⁹, 24A²¹, 96BC¹⁹, 48CB²¹, 48CK¹⁷, 48CG²¹, 24D²¹, 24Z⁵, 48AL⁷, 48AH⁹, 24AP¹⁷, 48BZ²¹, 96AZ²¹, 48CF²¹, 24AR¹⁷, 48CL¹⁷, 48CK²¹, 48AK⁹, 72R¹³, 48CA²¹, 24AO¹⁷, 48CE²¹, 96BA²¹, 96BF²¹, 48CJ¹⁷, 48BT¹⁹, 24K¹³, 72D¹⁹, 48CI²¹, 24AN¹⁷, 96BD²¹, 48CD²¹, 48AK⁷, 48CM¹⁷, 48CH²¹, 48W¹¹, 24G²¹, 48X¹¹, 48CN¹⁷, 24AC¹³, 48CJ²¹, 24AI⁷, 24AF⁹</t>
        </is>
      </c>
    </row>
    <row r="550">
      <c r="A550">
        <f>HYPERLINK("https://mathstats.uncg.edu/sites/pauli/congruence/csg3.html#group24W3", "24W³")</f>
        <v/>
      </c>
      <c r="B550" t="n">
        <v>3</v>
      </c>
      <c r="C550" t="inlineStr"/>
      <c r="D550" t="inlineStr">
        <is>
          <t>96</t>
        </is>
      </c>
      <c r="E550" t="inlineStr">
        <is>
          <t>1</t>
        </is>
      </c>
      <c r="F550" t="inlineStr">
        <is>
          <t>24</t>
        </is>
      </c>
      <c r="G550" t="inlineStr">
        <is>
          <t>0</t>
        </is>
      </c>
      <c r="H550" t="inlineStr">
        <is>
          <t>0</t>
        </is>
      </c>
      <c r="I550" t="inlineStr">
        <is>
          <t>2⁴, 6⁴, 8², 24²</t>
        </is>
      </c>
      <c r="J550" t="n">
        <v>12</v>
      </c>
      <c r="K550" t="inlineStr">
        <is>
          <t>1⁸, 2⁶, 4¹</t>
        </is>
      </c>
      <c r="L550" t="inlineStr">
        <is>
          <t>12J⁰, 24G¹, 24F²</t>
        </is>
      </c>
      <c r="M550" t="inlineStr">
        <is>
          <t>24Z⁵, 24AJ⁷, 48AQ⁷, 48AJ⁹, 48AI⁹, 24L¹³, 72S¹³, 72E¹⁹, 72F¹⁹</t>
        </is>
      </c>
      <c r="N550" t="inlineStr">
        <is>
          <t>3B⁰, 4B⁰, 24G¹, 12J⁰, 1A⁰, 2B⁰, 8C⁰, 24F², 6F⁰, 12E⁰</t>
        </is>
      </c>
      <c r="O550" t="inlineStr">
        <is>
          <t>72S¹³, 96BC²¹, 48AG¹³, 96BJ²¹, 48AJ⁹, 48CP¹⁷, 24Z⁵, 24L¹³, 48CQ¹⁷, 24AP¹⁷, 48BZ²¹, 48AQ⁷, 72E¹⁹, 72F¹⁹, 48AI⁹, 96BE²¹, 48CN¹⁷, 24AJ⁷, 24AC¹³</t>
        </is>
      </c>
    </row>
    <row r="551">
      <c r="A551">
        <f>HYPERLINK("https://mathstats.uncg.edu/sites/pauli/congruence/csg3.html#group24X3", "24X³")</f>
        <v/>
      </c>
      <c r="B551" t="n">
        <v>3</v>
      </c>
      <c r="C551" t="inlineStr"/>
      <c r="D551" t="inlineStr">
        <is>
          <t>96</t>
        </is>
      </c>
      <c r="E551" t="inlineStr">
        <is>
          <t>1</t>
        </is>
      </c>
      <c r="F551" t="inlineStr">
        <is>
          <t>48</t>
        </is>
      </c>
      <c r="G551" t="inlineStr">
        <is>
          <t>0</t>
        </is>
      </c>
      <c r="H551" t="inlineStr">
        <is>
          <t>0</t>
        </is>
      </c>
      <c r="I551" t="inlineStr">
        <is>
          <t>1², 2¹, 3², 4¹, 6¹, 8², 12¹, 24²</t>
        </is>
      </c>
      <c r="J551" t="n">
        <v>12</v>
      </c>
      <c r="K551" t="inlineStr">
        <is>
          <t>1⁸, 2⁸, 4⁴, 8¹</t>
        </is>
      </c>
      <c r="L551" t="inlineStr">
        <is>
          <t>24G¹</t>
        </is>
      </c>
      <c r="M551" t="inlineStr">
        <is>
          <t>24AA⁵, 24AH⁷, 24AJ⁷, 48AN⁷, 48AM⁷, 48AM⁹, 48AL⁹, 24M¹³, 72T¹³, 72G¹⁹, 72H¹⁹</t>
        </is>
      </c>
      <c r="N551" t="inlineStr">
        <is>
          <t>3B⁰, 24G¹, 1A⁰, 8C⁰, 2B⁰, 4B⁰, 6F⁰, 12E⁰</t>
        </is>
      </c>
      <c r="O551" t="inlineStr">
        <is>
          <t>72H¹⁹, 48AL⁹, 96AJ¹⁷, 96AI¹⁷, 48CO¹⁷, 96BH²¹, 24AA⁵, 48AH¹³, 48CJ¹⁷, 24AH⁷, 48CP¹⁷, 48AM⁹, 48CK¹⁷, 24AN¹⁷, 48CG²¹, 72T¹³, 48AN⁷, 48CQ¹⁷, 24AC¹³, 48CH²¹, 48AM⁷, 24M¹³, 24AR¹⁷, 24AJ⁷, 96BG²¹, 72G¹⁹</t>
        </is>
      </c>
    </row>
    <row r="552">
      <c r="A552">
        <f>HYPERLINK("https://mathstats.uncg.edu/sites/pauli/congruence/csg3.html#group24Y3", "24Y³")</f>
        <v/>
      </c>
      <c r="B552" t="n">
        <v>3</v>
      </c>
      <c r="C552" t="inlineStr"/>
      <c r="D552" t="inlineStr">
        <is>
          <t>96</t>
        </is>
      </c>
      <c r="E552" t="inlineStr">
        <is>
          <t>1</t>
        </is>
      </c>
      <c r="F552" t="inlineStr">
        <is>
          <t>48</t>
        </is>
      </c>
      <c r="G552" t="inlineStr">
        <is>
          <t>0</t>
        </is>
      </c>
      <c r="H552" t="inlineStr">
        <is>
          <t>0</t>
        </is>
      </c>
      <c r="I552" t="inlineStr">
        <is>
          <t>1², 2¹, 3², 4¹, 6¹, 8², 12¹, 24²</t>
        </is>
      </c>
      <c r="J552" t="n">
        <v>12</v>
      </c>
      <c r="K552" t="inlineStr">
        <is>
          <t>1⁸, 2⁸, 4⁴, 8¹</t>
        </is>
      </c>
      <c r="L552" t="inlineStr">
        <is>
          <t>8I⁰, 24G¹</t>
        </is>
      </c>
      <c r="M552" t="inlineStr">
        <is>
          <t>24AA⁵, 24AI⁷, 24AJ⁷, 48AO⁷, 48AP⁷, 48AN⁹, 48AO⁹, 24N¹³, 72U¹³, 72I¹⁹, 72J¹⁹</t>
        </is>
      </c>
      <c r="N552" t="inlineStr">
        <is>
          <t>3B⁰, 24G¹, 1A⁰, 8C⁰, 2B⁰, 8I⁰, 4B⁰, 6F⁰, 12E⁰</t>
        </is>
      </c>
      <c r="O552" t="inlineStr">
        <is>
          <t>48BS¹⁹, 24AA⁵, 72U¹³, 72J¹⁹, 96BE¹⁹, 24AR¹⁷, 48CL¹⁷, 48CK²¹, 48AO⁹, 24AO¹⁷, 96BL²¹, 48CO¹⁷, 96BK²¹, 24N¹³, 96BI²¹, 48AH¹³, 48BR¹⁹, 48CM²¹, 48BT¹⁹, 48AO⁷, 96AK¹⁷, 96AL¹⁷, 48CP¹⁷, 96BF¹⁹, 96BM²¹, 48CI²¹, 48BQ¹⁹, 48CM¹⁷, 48CQ¹⁷, 48CL²¹, 48AN⁹, 72I¹⁹, 24AJ⁷, 24AC¹³, 48AP⁷, 24AI⁷</t>
        </is>
      </c>
    </row>
    <row r="553">
      <c r="A553">
        <f>HYPERLINK("https://mathstats.uncg.edu/sites/pauli/congruence/csg3.html#group24Z3", "24Z³")</f>
        <v/>
      </c>
      <c r="B553" t="n">
        <v>3</v>
      </c>
      <c r="C553" t="inlineStr"/>
      <c r="D553" t="inlineStr">
        <is>
          <t>96</t>
        </is>
      </c>
      <c r="E553" t="inlineStr">
        <is>
          <t>1</t>
        </is>
      </c>
      <c r="F553" t="inlineStr">
        <is>
          <t>48</t>
        </is>
      </c>
      <c r="G553" t="inlineStr">
        <is>
          <t>0</t>
        </is>
      </c>
      <c r="H553" t="inlineStr">
        <is>
          <t>0</t>
        </is>
      </c>
      <c r="I553" t="inlineStr">
        <is>
          <t>2², 4³, 6², 8¹, 12³, 24¹</t>
        </is>
      </c>
      <c r="J553" t="n">
        <v>12</v>
      </c>
      <c r="K553" t="inlineStr">
        <is>
          <t>1¹⁶, 2¹², 4²</t>
        </is>
      </c>
      <c r="L553" t="inlineStr">
        <is>
          <t>12P¹</t>
        </is>
      </c>
      <c r="M553" t="inlineStr">
        <is>
          <t>24AB⁵, 24AF⁷, 24AH⁷, 24AK⁷, 24AL⁷, 24AG⁹, 24AK⁹, 24O¹³, 72V¹³, 72L¹⁹, 72K¹⁹</t>
        </is>
      </c>
      <c r="N553" t="inlineStr">
        <is>
          <t>3B⁰, 2A⁰, 6I⁰, 12F¹, 6C⁰, 4C⁰, 1A⁰, 2B⁰, 4E⁰, 12P¹, 4B⁰, 6F⁰, 2C⁰, 12E⁰</t>
        </is>
      </c>
      <c r="O553" t="inlineStr">
        <is>
          <t>24AK⁷, 24AT¹⁷, 24AF⁷, 24AG⁹, 48CJ¹⁷, 24AQ¹⁷, 24AH⁷, 24AB⁵, 24AS¹⁷, 24AB¹³, 72V¹³, 48CK¹⁷, 24AN¹⁷, 48CG²¹, 24D²¹, 72L¹⁹, 48CH²¹, 24AL⁷, 24C²¹, 24AR¹⁷, 24O¹³, 24AC¹³, 24AK⁹, 72K¹⁹</t>
        </is>
      </c>
    </row>
    <row r="554">
      <c r="A554">
        <f>HYPERLINK("https://mathstats.uncg.edu/sites/pauli/congruence/csg3.html#group24AA3", "24AA³")</f>
        <v/>
      </c>
      <c r="B554" t="n">
        <v>3</v>
      </c>
      <c r="C554" t="inlineStr"/>
      <c r="D554" t="inlineStr">
        <is>
          <t>96</t>
        </is>
      </c>
      <c r="E554" t="inlineStr">
        <is>
          <t>1</t>
        </is>
      </c>
      <c r="F554" t="inlineStr">
        <is>
          <t>48</t>
        </is>
      </c>
      <c r="G554" t="inlineStr">
        <is>
          <t>0</t>
        </is>
      </c>
      <c r="H554" t="inlineStr">
        <is>
          <t>0</t>
        </is>
      </c>
      <c r="I554" t="inlineStr">
        <is>
          <t>2², 4³, 6², 8¹, 12³, 24¹</t>
        </is>
      </c>
      <c r="J554" t="n">
        <v>12</v>
      </c>
      <c r="K554" t="inlineStr">
        <is>
          <t>1¹⁶, 2¹², 4²</t>
        </is>
      </c>
      <c r="L554" t="inlineStr">
        <is>
          <t>8J⁰, 12P¹</t>
        </is>
      </c>
      <c r="M554" t="inlineStr">
        <is>
          <t>24AB⁵, 24AG⁷, 24AI⁷, 24AK⁷, 24AL⁷, 24AH⁹, 24AK⁹, 24P¹³, 72W¹³, 72N¹⁹, 72M¹⁹</t>
        </is>
      </c>
      <c r="N554" t="inlineStr">
        <is>
          <t>2A⁰, 3B⁰, 6I⁰, 12F¹, 4C⁰, 6C⁰, 2B⁰, 4E⁰, 12P¹, 4B⁰, 1A⁰, 6F⁰, 8J⁰, 2C⁰, 12E⁰</t>
        </is>
      </c>
      <c r="O554" t="inlineStr">
        <is>
          <t>24AK⁷, 24AT¹⁷, 48BO¹⁹, 48BS¹⁹, 24E²¹, 24AH⁹, 24AG⁷, 72M¹⁹, 24AQ¹⁷, 24AB⁵, 24AS¹⁷, 24AB¹³, 48CP²¹, 48BT¹⁹, 48CI²¹, 72W¹³, 72N¹⁹, 48CM¹⁷, 24AL⁷, 48BP¹⁹, 24G²¹, 24AR¹⁷, 48CQ²¹, 48CL¹⁷, 48CK²¹, 24P¹³, 24AC¹³, 24AK⁹, 24AI⁷, 24AO¹⁷</t>
        </is>
      </c>
    </row>
    <row r="555">
      <c r="A555">
        <f>HYPERLINK("https://mathstats.uncg.edu/sites/pauli/congruence/csg3.html#group24AB3", "24AB³")</f>
        <v/>
      </c>
      <c r="B555" t="n">
        <v>3</v>
      </c>
      <c r="C555" t="inlineStr"/>
      <c r="D555" t="inlineStr">
        <is>
          <t>96</t>
        </is>
      </c>
      <c r="E555" t="inlineStr">
        <is>
          <t>1</t>
        </is>
      </c>
      <c r="F555" t="inlineStr">
        <is>
          <t>48</t>
        </is>
      </c>
      <c r="G555" t="inlineStr">
        <is>
          <t>16</t>
        </is>
      </c>
      <c r="H555" t="inlineStr">
        <is>
          <t>0</t>
        </is>
      </c>
      <c r="I555" t="inlineStr">
        <is>
          <t>24⁴</t>
        </is>
      </c>
      <c r="J555" t="n">
        <v>4</v>
      </c>
      <c r="K555" t="inlineStr">
        <is>
          <t>4⁴, 8⁴</t>
        </is>
      </c>
      <c r="L555" t="inlineStr">
        <is>
          <t>12F⁰, 24F¹</t>
        </is>
      </c>
      <c r="M555" t="inlineStr">
        <is>
          <t>24AL⁹, 24AM⁹, 24AN⁹, 24AO⁹, 24F¹³, 24R¹⁵, 72Z¹⁵, 72P¹⁹, 72R¹⁹, 48CR²¹</t>
        </is>
      </c>
      <c r="N555" t="inlineStr">
        <is>
          <t>24F¹, 12A⁰, 6B⁰, 8F⁰, 4A⁰, 12F⁰, 3A⁰, 1A⁰</t>
        </is>
      </c>
      <c r="O555" t="inlineStr">
        <is>
          <t>24AM⁹, 48CR²¹, 24AL⁹, 24AO⁹, 72R¹⁹, 24M²¹, 24K²¹, 24AN⁹, 72P¹⁹, 24R¹⁵, 72Z¹⁵, 24L²¹, 24F¹³</t>
        </is>
      </c>
    </row>
    <row r="556">
      <c r="A556">
        <f>HYPERLINK("https://mathstats.uncg.edu/sites/pauli/congruence/csg3.html#group24AC3", "24AC³")</f>
        <v/>
      </c>
      <c r="B556" t="n">
        <v>3</v>
      </c>
      <c r="C556" t="inlineStr"/>
      <c r="D556" t="inlineStr">
        <is>
          <t>144</t>
        </is>
      </c>
      <c r="E556" t="inlineStr">
        <is>
          <t>1</t>
        </is>
      </c>
      <c r="F556" t="inlineStr">
        <is>
          <t>3</t>
        </is>
      </c>
      <c r="G556" t="inlineStr">
        <is>
          <t>0</t>
        </is>
      </c>
      <c r="H556" t="inlineStr">
        <is>
          <t>0</t>
        </is>
      </c>
      <c r="I556" t="inlineStr">
        <is>
          <t>3¹⁶, 24⁴</t>
        </is>
      </c>
      <c r="J556" t="n">
        <v>20</v>
      </c>
      <c r="K556" t="inlineStr">
        <is>
          <t>1³</t>
        </is>
      </c>
      <c r="L556" t="inlineStr">
        <is>
          <t>24B⁰, 12S¹, 24I¹</t>
        </is>
      </c>
      <c r="M556" t="inlineStr">
        <is>
          <t>24AP⁹, 24J¹³, 72X¹⁷, 72L²²</t>
        </is>
      </c>
      <c r="N556" t="inlineStr">
        <is>
          <t>3B⁰, 24I¹, 12K¹, 6G⁰, 12S¹, 2B⁰, 4B⁰, 1A⁰, 3D⁰, 12G⁰, 24B⁰, 6D⁰, 3C⁰, 6K⁰, 12B¹, 12D⁰, 3A⁰, 6F⁰, 12E⁰</t>
        </is>
      </c>
      <c r="O556" t="inlineStr">
        <is>
          <t>72L²², 72X¹⁷, 24J¹³, 24AP⁹</t>
        </is>
      </c>
    </row>
    <row r="557">
      <c r="A557">
        <f>HYPERLINK("https://mathstats.uncg.edu/sites/pauli/congruence/csg3.html#group26A3", "26A³")</f>
        <v/>
      </c>
      <c r="B557" t="n">
        <v>3</v>
      </c>
      <c r="C557" t="inlineStr"/>
      <c r="D557" t="inlineStr">
        <is>
          <t>84</t>
        </is>
      </c>
      <c r="E557" t="inlineStr">
        <is>
          <t>1</t>
        </is>
      </c>
      <c r="F557" t="inlineStr">
        <is>
          <t>28</t>
        </is>
      </c>
      <c r="G557" t="inlineStr">
        <is>
          <t>0</t>
        </is>
      </c>
      <c r="H557" t="inlineStr">
        <is>
          <t>6</t>
        </is>
      </c>
      <c r="I557" t="inlineStr">
        <is>
          <t>2³, 26³</t>
        </is>
      </c>
      <c r="J557" t="n">
        <v>6</v>
      </c>
      <c r="K557" t="inlineStr">
        <is>
          <t>1⁴, 12²</t>
        </is>
      </c>
      <c r="L557" t="inlineStr">
        <is>
          <t>26A¹</t>
        </is>
      </c>
      <c r="M557" t="inlineStr">
        <is>
          <t>26C⁵, 26B¹³, 78D¹⁶, 78D¹⁹, 52E²¹, 78B²¹</t>
        </is>
      </c>
      <c r="N557" t="inlineStr">
        <is>
          <t>13A⁰, 2A⁰, 1A⁰, 26A¹</t>
        </is>
      </c>
      <c r="O557" t="inlineStr">
        <is>
          <t>78D¹⁶, 78B²¹, 52A¹⁵, 26C⁵, 26B¹³, 78D¹⁹, 52E²¹</t>
        </is>
      </c>
    </row>
    <row r="558">
      <c r="A558">
        <f>HYPERLINK("https://mathstats.uncg.edu/sites/pauli/congruence/csg3.html#group27A3", "27A³")</f>
        <v/>
      </c>
      <c r="B558" t="n">
        <v>3</v>
      </c>
      <c r="C558" t="inlineStr"/>
      <c r="D558" t="inlineStr">
        <is>
          <t>36</t>
        </is>
      </c>
      <c r="E558" t="inlineStr">
        <is>
          <t>1</t>
        </is>
      </c>
      <c r="F558" t="inlineStr">
        <is>
          <t>12</t>
        </is>
      </c>
      <c r="G558" t="inlineStr">
        <is>
          <t>0</t>
        </is>
      </c>
      <c r="H558" t="inlineStr">
        <is>
          <t>0</t>
        </is>
      </c>
      <c r="I558" t="inlineStr">
        <is>
          <t>9¹, 27¹</t>
        </is>
      </c>
      <c r="J558" t="n">
        <v>2</v>
      </c>
      <c r="K558" t="inlineStr">
        <is>
          <t>1², 2², 6¹</t>
        </is>
      </c>
      <c r="L558" t="inlineStr">
        <is>
          <t>9C⁰</t>
        </is>
      </c>
      <c r="M558" t="inlineStr">
        <is>
          <t>54A⁶, 27B⁷, 27C⁷, 27D⁷, 54C⁸, 108B¹², 135A¹⁵, 135C¹⁷, 189A²¹, 189A²³</t>
        </is>
      </c>
      <c r="N558" t="inlineStr">
        <is>
          <t>3B⁰, 1A⁰, 9C⁰</t>
        </is>
      </c>
      <c r="O558" t="inlineStr">
        <is>
          <t>108C¹⁷, 27B⁷, 108C¹⁶, 54E¹⁶, 54A⁶, 27E¹⁹, 27C⁷, 108A²³, 54G¹⁶, 216A²⁴, 54C¹⁶, 54J¹⁶, 108B¹², 54P¹⁶, 135C¹⁷, 135A¹⁵, 54C²², 189A²¹, 27C¹⁹, 27D¹⁹, 189A²³, 54B¹⁶, 27B¹⁹, 54C⁸, 27D⁷, 54D²², 108A¹², 54M¹⁶, 54E²²</t>
        </is>
      </c>
    </row>
    <row r="559">
      <c r="A559">
        <f>HYPERLINK("https://mathstats.uncg.edu/sites/pauli/congruence/csg3.html#group27B3", "27B³")</f>
        <v/>
      </c>
      <c r="B559" t="n">
        <v>3</v>
      </c>
      <c r="C559" t="inlineStr"/>
      <c r="D559" t="inlineStr">
        <is>
          <t>81</t>
        </is>
      </c>
      <c r="E559" t="inlineStr">
        <is>
          <t>2</t>
        </is>
      </c>
      <c r="F559" t="inlineStr">
        <is>
          <t>81</t>
        </is>
      </c>
      <c r="G559" t="inlineStr">
        <is>
          <t>13</t>
        </is>
      </c>
      <c r="H559" t="inlineStr">
        <is>
          <t>0</t>
        </is>
      </c>
      <c r="I559" t="inlineStr">
        <is>
          <t>27³</t>
        </is>
      </c>
      <c r="J559" t="n">
        <v>3</v>
      </c>
      <c r="K559" t="inlineStr">
        <is>
          <t>6⁹, 18⁶</t>
        </is>
      </c>
      <c r="L559" t="inlineStr">
        <is>
          <t>9G⁰</t>
        </is>
      </c>
      <c r="M559" t="inlineStr">
        <is>
          <t>27H⁷, 54A⁷, 54D⁸, 27A¹⁰, 27A¹¹, 54A¹¹, 27A¹², 27A¹³, 54A¹³, 54A¹⁵, 108B²⁰</t>
        </is>
      </c>
      <c r="N559" t="inlineStr">
        <is>
          <t>3A⁰, 1A⁰, 9A⁰, 9G⁰</t>
        </is>
      </c>
      <c r="O559" t="inlineStr">
        <is>
          <t>27A¹⁰, 54A¹³, 54A¹⁵, 27A¹³, 27A¹¹, 54V¹⁶, 27B²², 54J²², 54D⁸, 54A⁷, 108B²⁰, 27A¹², 27H⁷, 54A¹¹, 54A²⁴</t>
        </is>
      </c>
    </row>
    <row r="560">
      <c r="A560">
        <f>HYPERLINK("https://mathstats.uncg.edu/sites/pauli/congruence/csg3.html#group27C3", "27C³")</f>
        <v/>
      </c>
      <c r="B560" t="n">
        <v>3</v>
      </c>
      <c r="C560" t="inlineStr"/>
      <c r="D560" t="inlineStr">
        <is>
          <t>108</t>
        </is>
      </c>
      <c r="E560" t="inlineStr">
        <is>
          <t>1</t>
        </is>
      </c>
      <c r="F560" t="inlineStr">
        <is>
          <t>36</t>
        </is>
      </c>
      <c r="G560" t="inlineStr">
        <is>
          <t>0</t>
        </is>
      </c>
      <c r="H560" t="inlineStr">
        <is>
          <t>3</t>
        </is>
      </c>
      <c r="I560" t="inlineStr">
        <is>
          <t>3⁹, 27³</t>
        </is>
      </c>
      <c r="J560" t="n">
        <v>12</v>
      </c>
      <c r="K560" t="inlineStr">
        <is>
          <t>3², 6⁵</t>
        </is>
      </c>
      <c r="L560" t="inlineStr">
        <is>
          <t>9J⁰</t>
        </is>
      </c>
      <c r="M560" t="inlineStr">
        <is>
          <t>27B¹⁰, 54C¹¹, 27E¹⁶, 54U¹⁶, 27D¹⁹, 27C¹⁹</t>
        </is>
      </c>
      <c r="N560" t="inlineStr">
        <is>
          <t>3B⁰, 1A⁰, 9J⁰, 9C⁰</t>
        </is>
      </c>
      <c r="O560" t="inlineStr">
        <is>
          <t>54C¹¹, 27B¹⁰, 27D¹⁹, 27E¹⁶, 54U¹⁶, 27C¹⁹</t>
        </is>
      </c>
    </row>
    <row r="561">
      <c r="A561">
        <f>HYPERLINK("https://mathstats.uncg.edu/sites/pauli/congruence/csg3.html#group28A3", "28A³")</f>
        <v/>
      </c>
      <c r="B561" t="n">
        <v>3</v>
      </c>
      <c r="C561" t="inlineStr"/>
      <c r="D561" t="inlineStr">
        <is>
          <t>42</t>
        </is>
      </c>
      <c r="E561" t="inlineStr">
        <is>
          <t>2</t>
        </is>
      </c>
      <c r="F561" t="inlineStr">
        <is>
          <t>21</t>
        </is>
      </c>
      <c r="G561" t="inlineStr">
        <is>
          <t>0</t>
        </is>
      </c>
      <c r="H561" t="inlineStr">
        <is>
          <t>0</t>
        </is>
      </c>
      <c r="I561" t="inlineStr">
        <is>
          <t>7², 28¹</t>
        </is>
      </c>
      <c r="J561" t="n">
        <v>3</v>
      </c>
      <c r="K561" t="inlineStr">
        <is>
          <t>2³, 6⁶</t>
        </is>
      </c>
      <c r="L561" t="inlineStr">
        <is>
          <t>4B⁰, 14B¹</t>
        </is>
      </c>
      <c r="M561" t="inlineStr">
        <is>
          <t>28A⁵, 28A⁶, 28C⁶, 56B⁶, 56C⁶, 28B⁷, 28A⁹, 84A¹⁰, 84B¹², 140A¹⁷, 140B¹⁹</t>
        </is>
      </c>
      <c r="N561" t="inlineStr">
        <is>
          <t>2B⁰, 4B⁰, 14B¹, 1A⁰, 7A⁰</t>
        </is>
      </c>
      <c r="O561" t="inlineStr">
        <is>
          <t>140A¹⁷, 168B²⁰, 56C⁶, 28B¹², 84C¹⁹, 28D¹³, 56B¹⁶, 56H¹², 28B²¹, 56G²⁴, 28C¹³, 56E²⁴, 112D²⁴, 168C²⁰, 28C²³, 28A¹⁷, 224B²⁴, 112F²³, 56E²³, 84A¹⁹, 56A¹², 84A¹⁰, 84A²⁰, 56E²¹, 28D²¹, 28C¹⁶, 28C¹¹, 28A⁵, 28A¹⁶, 112E¹², 56F²¹, 56B⁶, 56D¹⁶, 28A⁶, 56C²⁴, 112F²⁴, 28B⁷, 112B²⁴, 28C¹², 140B¹⁹, 84D²⁴, 112G²⁴, 28A⁹, 56D¹³, 28E¹⁶, 84B¹², 56D²⁴, 56I¹², 56F²³, 168A²⁰, 168D²⁰, 84C²⁴, 112A¹³, 56C¹³, 168B²⁴, 56F¹², 56B²⁴, 56C¹², 112E²⁴, 28C⁶, 112A²⁴, 112C¹², 112D¹², 84E²⁰, 84D¹⁹, 56F²⁴, 112C²⁴, 56B¹², 84B¹⁹, 56G¹², 56A¹⁶, 56A²⁴, 112B¹³, 56B¹¹, 56A²³, 84C²⁰, 168A²⁴, 112B¹², 112B²³, 224A²⁴, 84B²³, 84G²⁰</t>
        </is>
      </c>
    </row>
    <row r="562">
      <c r="A562">
        <f>HYPERLINK("https://mathstats.uncg.edu/sites/pauli/congruence/csg3.html#group28B3", "28B³")</f>
        <v/>
      </c>
      <c r="B562" t="n">
        <v>3</v>
      </c>
      <c r="C562" t="inlineStr"/>
      <c r="D562" t="inlineStr">
        <is>
          <t>42</t>
        </is>
      </c>
      <c r="E562" t="inlineStr">
        <is>
          <t>2</t>
        </is>
      </c>
      <c r="F562" t="inlineStr">
        <is>
          <t>21</t>
        </is>
      </c>
      <c r="G562" t="inlineStr">
        <is>
          <t>2</t>
        </is>
      </c>
      <c r="H562" t="inlineStr">
        <is>
          <t>0</t>
        </is>
      </c>
      <c r="I562" t="inlineStr">
        <is>
          <t>14¹, 28¹</t>
        </is>
      </c>
      <c r="J562" t="n">
        <v>2</v>
      </c>
      <c r="K562" t="inlineStr">
        <is>
          <t>2³, 6⁶</t>
        </is>
      </c>
      <c r="L562" t="inlineStr">
        <is>
          <t>14B¹</t>
        </is>
      </c>
      <c r="M562" t="inlineStr">
        <is>
          <t>28B⁵, 28A⁶, 28B⁶, 28C⁷, 84B⁹, 28A¹¹, 84B¹³, 140B¹⁷, 140C¹⁹</t>
        </is>
      </c>
      <c r="N562" t="inlineStr">
        <is>
          <t>14B¹, 1A⁰, 2B⁰, 7A⁰</t>
        </is>
      </c>
      <c r="O562" t="inlineStr">
        <is>
          <t>28E¹⁶, 84F¹⁸, 28B⁶, 56F²³, 84E¹⁹, 56D²³, 28E¹³, 28B¹⁴, 56G²³, 56G²⁴, 28B²¹, 28A¹¹, 140C¹⁹, 56E²⁴, 56C¹², 84B¹³, 84B⁹, 140B¹⁷, 28F¹⁶, 28C²³, 28G¹⁵, 84D¹⁷, 28C⁷, 28C¹⁵, 112A²³, 28E²¹, 56A¹¹, 56C¹¹, 84A²⁰, 84D¹⁸, 28A¹⁴, 56B¹³, 84E¹⁷, 84B²⁰, 28C¹¹, 28B⁵, 56A²³, 28C²¹, 112G²³, 28D¹¹, 56H²³, 28A⁶, 28C¹², 84G¹⁹, 112G²⁴</t>
        </is>
      </c>
    </row>
    <row r="563">
      <c r="A563">
        <f>HYPERLINK("https://mathstats.uncg.edu/sites/pauli/congruence/csg3.html#group28C3", "28C³")</f>
        <v/>
      </c>
      <c r="B563" t="n">
        <v>3</v>
      </c>
      <c r="C563" t="inlineStr"/>
      <c r="D563" t="inlineStr">
        <is>
          <t>48</t>
        </is>
      </c>
      <c r="E563" t="inlineStr">
        <is>
          <t>1</t>
        </is>
      </c>
      <c r="F563" t="inlineStr">
        <is>
          <t>24</t>
        </is>
      </c>
      <c r="G563" t="inlineStr">
        <is>
          <t>0</t>
        </is>
      </c>
      <c r="H563" t="inlineStr">
        <is>
          <t>0</t>
        </is>
      </c>
      <c r="I563" t="inlineStr">
        <is>
          <t>2¹, 4¹, 14¹, 28¹</t>
        </is>
      </c>
      <c r="J563" t="n">
        <v>4</v>
      </c>
      <c r="K563" t="inlineStr">
        <is>
          <t>1⁶, 6³</t>
        </is>
      </c>
      <c r="L563" t="inlineStr">
        <is>
          <t>4C⁰, 14C¹</t>
        </is>
      </c>
      <c r="M563" t="inlineStr">
        <is>
          <t>28E⁵, 28G⁶, 56E⁶, 28D⁷, 56B⁷, 56C⁷, 84A¹¹, 84C¹¹, 84G¹³, 140A¹⁹, 28E²¹, 140C²¹, 196A²¹</t>
        </is>
      </c>
      <c r="N563" t="inlineStr">
        <is>
          <t>2B⁰, 1A⁰, 7B⁰, 4C⁰, 14C¹</t>
        </is>
      </c>
      <c r="O563" t="inlineStr">
        <is>
          <t>168D²³, 112P²³, 84C²¹, 140A¹⁹, 112D¹⁴, 112H¹⁵, 56O²³, 56Q²³, 56L¹², 112F¹⁵, 56P²³, 28G⁶, 28M²¹, 56B¹⁹, 56M¹¹, 196A²¹, 56B⁷, 56Q¹¹, 28E⁵, 84C¹¹, 56C¹⁹, 84J²², 168C²³, 84D²¹, 56N²¹, 168F²², 56L¹³, 56R¹¹, 56C⁷, 84A¹¹, 140C²¹, 56K¹³, 56J¹³, 56I¹³, 168B²², 28E²¹, 168F²³, 112O²³, 28F¹¹, 84A²¹, 168B²³, 84I²², 56L¹¹, 168A²³, 56W²³, 112E¹⁵, 112C¹⁵, 84L²², 168E²³, 112A¹⁵, 56A¹⁴, 56F¹⁶, 56L²¹, 168D²², 112G¹⁵, 28E¹¹, 112D¹⁵, 28F⁹, 28H¹⁶, 56G¹³, 84G²¹, 28F¹³, 56R²³, 28D⁷, 112B¹⁵, 56V²³, 56E⁶, 84G¹³, 56H¹³, 112H¹²</t>
        </is>
      </c>
    </row>
    <row r="564">
      <c r="A564">
        <f>HYPERLINK("https://mathstats.uncg.edu/sites/pauli/congruence/csg3.html#group28D3", "28D³")</f>
        <v/>
      </c>
      <c r="B564" t="n">
        <v>3</v>
      </c>
      <c r="C564" t="inlineStr"/>
      <c r="D564" t="inlineStr">
        <is>
          <t>56</t>
        </is>
      </c>
      <c r="E564" t="inlineStr">
        <is>
          <t>2</t>
        </is>
      </c>
      <c r="F564" t="inlineStr">
        <is>
          <t>28</t>
        </is>
      </c>
      <c r="G564" t="inlineStr">
        <is>
          <t>4</t>
        </is>
      </c>
      <c r="H564" t="inlineStr">
        <is>
          <t>2</t>
        </is>
      </c>
      <c r="I564" t="inlineStr">
        <is>
          <t>28²</t>
        </is>
      </c>
      <c r="J564" t="n">
        <v>2</v>
      </c>
      <c r="K564" t="inlineStr">
        <is>
          <t>4², 12⁴</t>
        </is>
      </c>
      <c r="L564" t="inlineStr">
        <is>
          <t>7C⁰, 28A¹</t>
        </is>
      </c>
      <c r="M564" t="inlineStr">
        <is>
          <t>28A⁷, 56E⁷, 56D⁷, 28C⁹, 84E¹⁰, 28D¹¹, 84D¹¹, 28B¹⁵, 56D¹⁵, 84B¹⁷, 140A²¹</t>
        </is>
      </c>
      <c r="N564" t="inlineStr">
        <is>
          <t>28A¹, 1A⁰, 4A⁰, 7C⁰, 7A⁰</t>
        </is>
      </c>
      <c r="O564" t="inlineStr">
        <is>
          <t>112J¹⁵, 56B²³, 28F²¹, 56D²³, 56K²³, 84D¹¹, 56D¹⁵, 56G²³, 140A²¹, 84E¹⁰, 56A¹⁵, 28D²³, 28D¹¹, 28B¹⁵, 56L²³, 56E⁷, 84B¹⁷, 28C¹⁹, 56D⁷, 84E²³, 28A⁷, 168H²³, 28C²³, 56C²³, 168G²³, 112I¹⁵, 28C⁹, 28K²¹</t>
        </is>
      </c>
    </row>
    <row r="565">
      <c r="A565">
        <f>HYPERLINK("https://mathstats.uncg.edu/sites/pauli/congruence/csg3.html#group28E3", "28E³")</f>
        <v/>
      </c>
      <c r="B565" t="n">
        <v>3</v>
      </c>
      <c r="C565" t="inlineStr"/>
      <c r="D565" t="inlineStr">
        <is>
          <t>64</t>
        </is>
      </c>
      <c r="E565" t="inlineStr">
        <is>
          <t>1</t>
        </is>
      </c>
      <c r="F565" t="inlineStr">
        <is>
          <t>32</t>
        </is>
      </c>
      <c r="G565" t="inlineStr">
        <is>
          <t>0</t>
        </is>
      </c>
      <c r="H565" t="inlineStr">
        <is>
          <t>4</t>
        </is>
      </c>
      <c r="I565" t="inlineStr">
        <is>
          <t>4², 28²</t>
        </is>
      </c>
      <c r="J565" t="n">
        <v>4</v>
      </c>
      <c r="K565" t="inlineStr">
        <is>
          <t>2⁴, 12²</t>
        </is>
      </c>
      <c r="L565" t="inlineStr">
        <is>
          <t>4D⁰, 14B⁰, 28A²</t>
        </is>
      </c>
      <c r="M565" t="inlineStr">
        <is>
          <t>28I⁵, 56F⁷, 56G⁷, 28G⁹, 28E¹¹, 28G¹¹, 84E¹³, 84I¹³, 84B¹⁴, 84C¹⁵, 56C¹⁷, 84Q¹⁷, 140C²³</t>
        </is>
      </c>
      <c r="N565" t="inlineStr">
        <is>
          <t>2A⁰, 4A⁰, 4D⁰, 7B⁰, 14B⁰, 1A⁰, 28A²</t>
        </is>
      </c>
      <c r="O565" t="inlineStr">
        <is>
          <t>56N¹³, 28N²¹, 56F⁷, 84B¹⁴, 112L¹⁵, 112K¹⁵, 56O²³, 140C²³, 84I¹³, 56P²³, 28I⁵, 28M²¹, 56G⁷, 28G⁹, 84C¹⁵, 28E¹¹, 28E¹⁷, 56T²³, 56S²³, 84Q¹⁷, 84E¹³, 28G¹¹, 56C¹⁷</t>
        </is>
      </c>
    </row>
    <row r="566">
      <c r="A566">
        <f>HYPERLINK("https://mathstats.uncg.edu/sites/pauli/congruence/csg3.html#group30A3", "30A³")</f>
        <v/>
      </c>
      <c r="B566" t="n">
        <v>3</v>
      </c>
      <c r="C566" t="inlineStr"/>
      <c r="D566" t="inlineStr">
        <is>
          <t>30</t>
        </is>
      </c>
      <c r="E566" t="inlineStr">
        <is>
          <t>1</t>
        </is>
      </c>
      <c r="F566" t="inlineStr">
        <is>
          <t>5</t>
        </is>
      </c>
      <c r="G566" t="inlineStr">
        <is>
          <t>0</t>
        </is>
      </c>
      <c r="H566" t="inlineStr">
        <is>
          <t>0</t>
        </is>
      </c>
      <c r="I566" t="inlineStr">
        <is>
          <t>30¹</t>
        </is>
      </c>
      <c r="J566" t="n">
        <v>1</v>
      </c>
      <c r="K566" t="inlineStr">
        <is>
          <t>1¹, 4¹</t>
        </is>
      </c>
      <c r="L566" t="inlineStr">
        <is>
          <t>10A⁰, 6A¹, 15A¹</t>
        </is>
      </c>
      <c r="M566" t="inlineStr">
        <is>
          <t>30B⁵, 30A⁷, 30B⁷, 30D⁷, 90A⁸, 30B⁹, 60A¹⁰, 210A¹⁸, 210A²⁰</t>
        </is>
      </c>
      <c r="N566" t="inlineStr">
        <is>
          <t>2A⁰, 5A⁰, 10A⁰, 6A¹, 3A⁰, 1A⁰, 15A¹</t>
        </is>
      </c>
      <c r="O566" t="inlineStr">
        <is>
          <t>60E¹⁴, 60A¹⁴, 90B¹⁵, 30F¹³, 30B⁷, 90A⁸, 30D¹³, 30B⁵, 30E¹⁷, 60D¹⁹, 30C¹³, 90D¹⁵, 60A¹⁰, 210A¹⁸, 90C²², 30A⁹, 60G¹⁹, 30B¹³, 120A²⁰, 90B²², 120B²⁰, 30A⁷, 90A²², 30A¹⁹, 30B⁹, 90C¹⁴, 210A²⁰, 90A¹⁵, 60B¹⁹, 30G¹³, 90C¹⁵, 90F¹⁵, 60A¹⁹, 30D⁷, 90D²²</t>
        </is>
      </c>
    </row>
    <row r="567">
      <c r="A567">
        <f>HYPERLINK("https://mathstats.uncg.edu/sites/pauli/congruence/csg3.html#group30B3", "30B³")</f>
        <v/>
      </c>
      <c r="B567" t="n">
        <v>3</v>
      </c>
      <c r="C567" t="inlineStr"/>
      <c r="D567" t="inlineStr">
        <is>
          <t>36</t>
        </is>
      </c>
      <c r="E567" t="inlineStr">
        <is>
          <t>1</t>
        </is>
      </c>
      <c r="F567" t="inlineStr">
        <is>
          <t>6</t>
        </is>
      </c>
      <c r="G567" t="inlineStr">
        <is>
          <t>0</t>
        </is>
      </c>
      <c r="H567" t="inlineStr">
        <is>
          <t>0</t>
        </is>
      </c>
      <c r="I567" t="inlineStr">
        <is>
          <t>6¹, 30¹</t>
        </is>
      </c>
      <c r="J567" t="n">
        <v>2</v>
      </c>
      <c r="K567" t="inlineStr">
        <is>
          <t>1², 4¹</t>
        </is>
      </c>
      <c r="L567" t="inlineStr">
        <is>
          <t>15B⁰, 6A¹, 10A¹</t>
        </is>
      </c>
      <c r="M567" t="inlineStr">
        <is>
          <t>30C⁵, 30F⁵, 30H⁵, 30F⁷, 90A⁹, 60E¹¹, 30D¹³, 150A¹³, 150D¹⁵, 150B¹⁵, 150A¹⁵, 150C¹⁵, 210A²¹, 210B²³</t>
        </is>
      </c>
      <c r="N567" t="inlineStr">
        <is>
          <t>2A⁰, 15B⁰, 5B⁰, 10A¹, 6A¹, 3A⁰, 1A⁰</t>
        </is>
      </c>
      <c r="O567" t="inlineStr">
        <is>
          <t>60E¹¹, 30C⁵, 210B²³, 60C¹¹, 90J¹⁵, 60A¹¹, 90K¹⁷, 90A⁹, 150A¹³, 30D¹³, 60C¹⁵, 60N¹⁵, 60A²¹, 90C¹⁷, 30F⁵, 120B²³, 150A¹⁵, 120F²³, 30K⁹, 60F²¹, 30I⁹, 210A²¹, 30H⁹, 150B¹⁵, 60M²¹, 30J¹³, 30H¹³, 30I¹⁷, 90D¹⁷, 60B²¹, 90B¹⁷, 120A²³, 90E¹⁷, 60D²¹, 60L¹⁵, 30I¹³, 120E²³, 30H⁵, 60O²¹, 30F⁷, 60D¹⁵, 30H¹⁷, 150D¹⁵, 150C¹⁵, 60C²¹, 90H¹⁷</t>
        </is>
      </c>
    </row>
    <row r="568">
      <c r="A568">
        <f>HYPERLINK("https://mathstats.uncg.edu/sites/pauli/congruence/csg3.html#group30C3", "30C³")</f>
        <v/>
      </c>
      <c r="B568" t="n">
        <v>3</v>
      </c>
      <c r="C568" t="inlineStr"/>
      <c r="D568" t="inlineStr">
        <is>
          <t>36</t>
        </is>
      </c>
      <c r="E568" t="inlineStr">
        <is>
          <t>1</t>
        </is>
      </c>
      <c r="F568" t="inlineStr">
        <is>
          <t>12</t>
        </is>
      </c>
      <c r="G568" t="inlineStr">
        <is>
          <t>0</t>
        </is>
      </c>
      <c r="H568" t="inlineStr">
        <is>
          <t>0</t>
        </is>
      </c>
      <c r="I568" t="inlineStr">
        <is>
          <t>6¹, 30¹</t>
        </is>
      </c>
      <c r="J568" t="n">
        <v>2</v>
      </c>
      <c r="K568" t="inlineStr">
        <is>
          <t>2², 8¹</t>
        </is>
      </c>
      <c r="L568" t="inlineStr">
        <is>
          <t>6A⁰, 10A¹</t>
        </is>
      </c>
      <c r="M568" t="inlineStr">
        <is>
          <t>30D⁵, 30F⁷, 30L⁹, 60F¹¹, 60G¹¹, 30E¹³, 150B¹³, 150H¹⁵, 150F¹⁵, 150E¹⁵, 150G¹⁵, 210B²¹, 210C²³</t>
        </is>
      </c>
      <c r="N568" t="inlineStr">
        <is>
          <t>5B⁰, 2A⁰, 10A¹, 6A⁰, 1A⁰</t>
        </is>
      </c>
      <c r="O568" t="inlineStr">
        <is>
          <t>120D²³, 150H¹⁵, 60I²¹, 120H²³, 210C²³, 30J¹⁷, 60B¹¹, 60C¹⁵, 60N¹⁵, 60G¹¹, 60F¹¹, 60P²¹, 150E¹⁵, 60L¹⁵, 30I¹³, 60J²¹, 150F¹⁵, 120C²³, 60H²¹, 210B²¹, 30D⁵, 120G²³, 30F⁷, 30E¹³, 60D¹⁵, 30L⁹, 150G¹⁵, 30J¹³, 30H¹³, 150B¹³</t>
        </is>
      </c>
    </row>
    <row r="569">
      <c r="A569">
        <f>HYPERLINK("https://mathstats.uncg.edu/sites/pauli/congruence/csg3.html#group30D3", "30D³")</f>
        <v/>
      </c>
      <c r="B569" t="n">
        <v>3</v>
      </c>
      <c r="C569" t="inlineStr"/>
      <c r="D569" t="inlineStr">
        <is>
          <t>45</t>
        </is>
      </c>
      <c r="E569" t="inlineStr">
        <is>
          <t>1</t>
        </is>
      </c>
      <c r="F569" t="inlineStr">
        <is>
          <t>15</t>
        </is>
      </c>
      <c r="G569" t="inlineStr">
        <is>
          <t>3</t>
        </is>
      </c>
      <c r="H569" t="inlineStr">
        <is>
          <t>0</t>
        </is>
      </c>
      <c r="I569" t="inlineStr">
        <is>
          <t>15¹, 30¹</t>
        </is>
      </c>
      <c r="J569" t="n">
        <v>2</v>
      </c>
      <c r="K569" t="inlineStr">
        <is>
          <t>1³, 4³</t>
        </is>
      </c>
      <c r="L569" t="inlineStr">
        <is>
          <t>6D⁰, 10B¹, 15A¹</t>
        </is>
      </c>
      <c r="M569" t="inlineStr">
        <is>
          <t>30A⁶, 30B⁶, 60B⁶, 60C⁶, 30B⁷, 30P⁷, 60A⁷, 60B⁷, 90D¹⁰, 30B¹², 210A²⁴</t>
        </is>
      </c>
      <c r="N569" t="inlineStr">
        <is>
          <t>5A⁰, 15A¹, 10B¹, 2B⁰, 3A⁰, 1A⁰, 6D⁰</t>
        </is>
      </c>
      <c r="O569" t="inlineStr">
        <is>
          <t>60H¹³, 30C¹⁶, 60E¹⁴, 60A¹⁴, 90B²¹, 90D¹⁰, 30F¹⁷, 60I¹⁹, 90D²⁰, 60D¹³, 30E¹², 30B⁷, 60J¹⁹, 30B⁶, 120A¹³, 30A¹², 60J¹⁸, 180G²⁰, 180F²⁰, 210A²⁴, 30P⁷, 30C¹³, 180A²¹, 90G¹⁹, 60H¹⁹, 60C¹³, 60B¹³, 30A⁶, 30B¹⁶, 60B¹², 180B²¹, 120B¹³, 120C¹³, 30D¹⁶, 90B²², 60M¹⁷, 60C¹⁴, 60C⁶, 90A²¹, 30A¹⁹, 60D¹⁶, 60B⁶, 60B⁷, 60F¹⁶, 30B¹², 180A²², 30F²³, 90A²⁰, 240B²⁴, 60A⁷, 180B²², 120B¹⁴, 120C¹⁴, 120A¹⁴, 60C¹², 120A¹⁵, 90B²⁰, 60E¹⁶, 60D¹⁴, 30E¹⁶, 60F¹³, 30F¹⁵, 120B¹²</t>
        </is>
      </c>
    </row>
    <row r="570">
      <c r="A570">
        <f>HYPERLINK("https://mathstats.uncg.edu/sites/pauli/congruence/csg3.html#group30E3", "30E³")</f>
        <v/>
      </c>
      <c r="B570" t="n">
        <v>3</v>
      </c>
      <c r="C570" t="inlineStr"/>
      <c r="D570" t="inlineStr">
        <is>
          <t>45</t>
        </is>
      </c>
      <c r="E570" t="inlineStr">
        <is>
          <t>2</t>
        </is>
      </c>
      <c r="F570" t="inlineStr">
        <is>
          <t>15</t>
        </is>
      </c>
      <c r="G570" t="inlineStr">
        <is>
          <t>3</t>
        </is>
      </c>
      <c r="H570" t="inlineStr">
        <is>
          <t>0</t>
        </is>
      </c>
      <c r="I570" t="inlineStr">
        <is>
          <t>15¹, 30¹</t>
        </is>
      </c>
      <c r="J570" t="n">
        <v>2</v>
      </c>
      <c r="K570" t="inlineStr">
        <is>
          <t>2³, 8³</t>
        </is>
      </c>
      <c r="L570" t="inlineStr">
        <is>
          <t>15A⁰, 10B¹</t>
        </is>
      </c>
      <c r="M570" t="inlineStr">
        <is>
          <t>60D⁶, 30E⁷, 30P⁷, 60C⁷, 30F¹¹, 30F¹², 30H¹², 210B²⁴, 210C²⁴</t>
        </is>
      </c>
      <c r="N570" t="inlineStr">
        <is>
          <t>5A⁰, 2B⁰, 1A⁰, 10B¹, 15A⁰</t>
        </is>
      </c>
      <c r="O570" t="inlineStr">
        <is>
          <t>30D¹⁶, 30C¹⁶, 60M¹⁷, 30G²², 60D⁶, 30A²⁴, 60B²⁴, 30F¹², 30F¹⁵, 30A¹⁹, 60D¹⁶, 240C²⁴, 30F¹⁷, 60I¹⁹, 120B¹⁵, 60F¹⁶, 210B²⁴, 60J¹⁹, 60J¹⁸, 120C¹², 30P⁷, 30F¹¹, 30H¹², 30E⁷, 60H¹⁹, 120D¹⁴, 60F¹⁴, 30B¹⁶, 60E¹⁶, 60G¹³, 30E¹⁶, 120D¹³, 210C²⁴, 60C⁷</t>
        </is>
      </c>
    </row>
    <row r="571">
      <c r="A571">
        <f>HYPERLINK("https://mathstats.uncg.edu/sites/pauli/congruence/csg3.html#group30F3", "30F³")</f>
        <v/>
      </c>
      <c r="B571" t="n">
        <v>3</v>
      </c>
      <c r="C571" t="inlineStr"/>
      <c r="D571" t="inlineStr">
        <is>
          <t>48</t>
        </is>
      </c>
      <c r="E571" t="inlineStr">
        <is>
          <t>1</t>
        </is>
      </c>
      <c r="F571" t="inlineStr">
        <is>
          <t>24</t>
        </is>
      </c>
      <c r="G571" t="inlineStr">
        <is>
          <t>0</t>
        </is>
      </c>
      <c r="H571" t="inlineStr">
        <is>
          <t>0</t>
        </is>
      </c>
      <c r="I571" t="inlineStr">
        <is>
          <t>2¹, 6¹, 10¹, 30¹</t>
        </is>
      </c>
      <c r="J571" t="n">
        <v>4</v>
      </c>
      <c r="K571" t="inlineStr">
        <is>
          <t>1⁴, 2², 4², 8¹</t>
        </is>
      </c>
      <c r="L571" t="inlineStr">
        <is>
          <t>10B⁰, 15C¹</t>
        </is>
      </c>
      <c r="M571" t="inlineStr">
        <is>
          <t>30N⁵, 30S⁷, 60G⁷, 30G⁹, 90D⁹, 90A¹¹, 90B¹¹, 60L¹³, 30B¹⁵, 150I¹⁵, 150C¹⁹, 150B¹⁹, 150D¹⁹, 150A¹⁹</t>
        </is>
      </c>
      <c r="N571" t="inlineStr">
        <is>
          <t>5B⁰, 15C¹, 3B⁰, 1A⁰, 10B⁰</t>
        </is>
      </c>
      <c r="O571" t="inlineStr">
        <is>
          <t>150A¹⁹, 60O¹⁹, 60AF¹⁵, 90A¹¹, 180K²³, 90R¹⁷, 30S⁷, 150I¹⁵, 60J¹³, 90D⁹, 150D¹⁹, 60R¹⁷, 60Q²¹, 180H²¹, 90E²¹, 30J¹⁷, 30P¹³, 30N⁵, 30G⁹, 60L¹³, 90B¹¹, 60G⁷, 90F²¹, 150C¹⁹, 180L²³, 30B¹⁵, 90G²¹, 30H¹⁷, 150B¹⁹, 60P¹⁷, 60I¹³, 90S¹⁷, 90H²¹, 30P⁹</t>
        </is>
      </c>
    </row>
    <row r="572">
      <c r="A572">
        <f>HYPERLINK("https://mathstats.uncg.edu/sites/pauli/congruence/csg3.html#group30G3", "30G³")</f>
        <v/>
      </c>
      <c r="B572" t="n">
        <v>3</v>
      </c>
      <c r="C572" t="inlineStr"/>
      <c r="D572" t="inlineStr">
        <is>
          <t>48</t>
        </is>
      </c>
      <c r="E572" t="inlineStr">
        <is>
          <t>1</t>
        </is>
      </c>
      <c r="F572" t="inlineStr">
        <is>
          <t>24</t>
        </is>
      </c>
      <c r="G572" t="inlineStr">
        <is>
          <t>0</t>
        </is>
      </c>
      <c r="H572" t="inlineStr">
        <is>
          <t>0</t>
        </is>
      </c>
      <c r="I572" t="inlineStr">
        <is>
          <t>2¹, 6¹, 10¹, 30¹</t>
        </is>
      </c>
      <c r="J572" t="n">
        <v>4</v>
      </c>
      <c r="K572" t="inlineStr">
        <is>
          <t>1⁴, 2², 4², 8¹</t>
        </is>
      </c>
      <c r="L572" t="inlineStr">
        <is>
          <t>6C⁰, 10A¹, 15C¹</t>
        </is>
      </c>
      <c r="M572" t="inlineStr">
        <is>
          <t>30N⁵, 30Q⁷, 60D⁷, 60E⁷, 30H⁹, 30L⁹, 90E⁹, 90F⁹, 90C¹¹, 90D¹¹, 90E¹¹, 90F¹¹, 60M¹³, 30C¹⁵, 150J¹⁵, 150H¹⁹, 150F¹⁹, 150E¹⁹, 150G¹⁹</t>
        </is>
      </c>
      <c r="N572" t="inlineStr">
        <is>
          <t>15C¹, 3B⁰, 2A⁰, 6C⁰, 5B⁰, 10A¹, 1A⁰</t>
        </is>
      </c>
      <c r="O572" t="inlineStr">
        <is>
          <t>30Q⁷, 60T¹⁷, 150H¹⁹, 90D¹¹, 180F²¹, 60L¹⁹, 90F¹¹, 60A²¹, 90R¹⁷, 180A²³, 60M¹³, 150E¹⁹, 60K¹⁹, 180D²¹, 180C²³, 60AA¹⁵, 60E⁷, 60J¹³, 150J¹⁵, 30H⁹, 180C²¹, 180E²¹, 60S¹⁷, 90E²¹, 60AB¹⁵, 60B²¹, 90E¹¹, 90F⁹, 30J¹⁷, 30P¹³, 30N⁵, 90C¹¹, 180D²³, 30P⁹, 90E⁹, 180H²³, 30C¹⁵, 60D⁷, 150F¹⁹, 90F²¹, 60J²¹, 180G²³, 180E²³, 180B²³, 30L⁹, 30H¹⁷, 90G²¹, 150G¹⁹, 60I¹³, 60I²¹, 90S¹⁷, 90H²¹, 180F²³</t>
        </is>
      </c>
    </row>
    <row r="573">
      <c r="A573">
        <f>HYPERLINK("https://mathstats.uncg.edu/sites/pauli/congruence/csg3.html#group30H3", "30H³")</f>
        <v/>
      </c>
      <c r="B573" t="n">
        <v>3</v>
      </c>
      <c r="C573" t="inlineStr"/>
      <c r="D573" t="inlineStr">
        <is>
          <t>60</t>
        </is>
      </c>
      <c r="E573" t="inlineStr">
        <is>
          <t>1</t>
        </is>
      </c>
      <c r="F573" t="inlineStr">
        <is>
          <t>30</t>
        </is>
      </c>
      <c r="G573" t="inlineStr">
        <is>
          <t>8</t>
        </is>
      </c>
      <c r="H573" t="inlineStr">
        <is>
          <t>0</t>
        </is>
      </c>
      <c r="I573" t="inlineStr">
        <is>
          <t>30²</t>
        </is>
      </c>
      <c r="J573" t="n">
        <v>2</v>
      </c>
      <c r="K573" t="inlineStr">
        <is>
          <t>2¹, 4³, 8²</t>
        </is>
      </c>
      <c r="L573" t="inlineStr">
        <is>
          <t>6B⁰, 15D¹</t>
        </is>
      </c>
      <c r="M573" t="inlineStr">
        <is>
          <t>30Q⁵, 30I⁷, 30N⁷, 30E⁹, 30F⁹, 30B¹¹, 30D¹¹, 90G¹¹, 90B¹³, 90D¹³, 60X¹⁵, 150A²³</t>
        </is>
      </c>
      <c r="N573" t="inlineStr">
        <is>
          <t>15D¹, 1A⁰, 6B⁰, 3A⁰, 5C⁰</t>
        </is>
      </c>
      <c r="O573" t="inlineStr">
        <is>
          <t>30B¹⁷, 60C¹⁷, 60S¹⁵, 30G²³, 30E¹⁷, 150A²³, 30E²¹, 30K²³, 90B¹³, 60I²³, 30N⁷, 90F²³, 30B²³, 30B¹¹, 30E⁹, 30D¹¹, 60R¹⁵, 30I⁷, 30B²¹, 30D²¹, 60Z¹⁵, 60D¹⁷, 60H²³, 90M²¹, 30Q⁵, 60X¹⁵, 30M¹³, 90D¹³, 30D¹⁷, 30J²³, 90C²³, 30C¹⁷, 90G¹¹, 30F⁹</t>
        </is>
      </c>
    </row>
    <row r="574">
      <c r="A574">
        <f>HYPERLINK("https://mathstats.uncg.edu/sites/pauli/congruence/csg3.html#group30I3", "30I³")</f>
        <v/>
      </c>
      <c r="B574" t="n">
        <v>3</v>
      </c>
      <c r="C574" t="inlineStr"/>
      <c r="D574" t="inlineStr">
        <is>
          <t>72</t>
        </is>
      </c>
      <c r="E574" t="inlineStr">
        <is>
          <t>1</t>
        </is>
      </c>
      <c r="F574" t="inlineStr">
        <is>
          <t>18</t>
        </is>
      </c>
      <c r="G574" t="inlineStr">
        <is>
          <t>8</t>
        </is>
      </c>
      <c r="H574" t="inlineStr">
        <is>
          <t>0</t>
        </is>
      </c>
      <c r="I574" t="inlineStr">
        <is>
          <t>6², 30²</t>
        </is>
      </c>
      <c r="J574" t="n">
        <v>4</v>
      </c>
      <c r="K574" t="inlineStr">
        <is>
          <t>1², 2², 4¹, 8¹</t>
        </is>
      </c>
      <c r="L574" t="inlineStr">
        <is>
          <t>6E⁰, 15E¹, 30C¹</t>
        </is>
      </c>
      <c r="M574" t="inlineStr">
        <is>
          <t>30R⁵, 30H⁹, 30J⁹, 60E⁹, 60F⁹, 30I¹¹, 90H¹¹, 90G¹³, 90I¹³, 90N¹⁵, 90P¹⁵, 60V¹⁷, 30B²³, 150B²³</t>
        </is>
      </c>
      <c r="N574" t="inlineStr">
        <is>
          <t>15B⁰, 6B⁰, 6E⁰, 30C¹, 5B⁰, 3C⁰, 3A⁰, 1A⁰, 15E¹</t>
        </is>
      </c>
      <c r="O574" t="inlineStr">
        <is>
          <t>60B²¹, 90N¹⁵, 30H²¹, 60F⁹, 90P¹⁵, 60A²¹, 30Q¹³, 60E⁹, 60G²¹, 90G¹³, 30R⁵, 60V¹⁷, 90N²¹, 30J⁹, 150B²³, 90I¹³, 90H¹¹, 30H¹⁷, 60N¹⁷, 60X¹⁷, 30H⁹, 30B²³, 30I¹¹</t>
        </is>
      </c>
    </row>
    <row r="575">
      <c r="A575">
        <f>HYPERLINK("https://mathstats.uncg.edu/sites/pauli/congruence/csg3.html#group30J3", "30J³")</f>
        <v/>
      </c>
      <c r="B575" t="n">
        <v>3</v>
      </c>
      <c r="C575" t="inlineStr"/>
      <c r="D575" t="inlineStr">
        <is>
          <t>72</t>
        </is>
      </c>
      <c r="E575" t="inlineStr">
        <is>
          <t>1</t>
        </is>
      </c>
      <c r="F575" t="inlineStr">
        <is>
          <t>18</t>
        </is>
      </c>
      <c r="G575" t="inlineStr">
        <is>
          <t>8</t>
        </is>
      </c>
      <c r="H575" t="inlineStr">
        <is>
          <t>0</t>
        </is>
      </c>
      <c r="I575" t="inlineStr">
        <is>
          <t>6², 30²</t>
        </is>
      </c>
      <c r="J575" t="n">
        <v>4</v>
      </c>
      <c r="K575" t="inlineStr">
        <is>
          <t>1², 2², 4¹, 8¹</t>
        </is>
      </c>
      <c r="L575" t="inlineStr">
        <is>
          <t>30A⁰, 15E¹, 30C²</t>
        </is>
      </c>
      <c r="M575" t="inlineStr">
        <is>
          <t>30R⁵, 30G⁹, 30K⁹, 60K⁹, 60L⁹, 30J¹¹, 90I¹¹, 90F¹³, 90K¹⁵, 60W¹⁷, 30C²³, 150C²³</t>
        </is>
      </c>
      <c r="N575" t="inlineStr">
        <is>
          <t>30A⁰, 15B⁰, 5B⁰, 3C⁰, 10B⁰, 3A⁰, 1A⁰, 15E¹, 30C²</t>
        </is>
      </c>
      <c r="O575" t="inlineStr">
        <is>
          <t>30J¹¹, 60L⁹, 30H²¹, 90K¹⁵, 90F¹³, 30Q¹³, 30G⁹, 60D²¹, 30R⁵, 60W¹⁷, 90N²¹, 60K⁹, 30H¹⁷, 30K⁹, 90I¹¹, 150C²³, 60N¹⁷, 30C²³, 60Q²¹, 60X¹⁷, 60C²¹</t>
        </is>
      </c>
    </row>
    <row r="576">
      <c r="A576">
        <f>HYPERLINK("https://mathstats.uncg.edu/sites/pauli/congruence/csg3.html#group30K3", "30K³")</f>
        <v/>
      </c>
      <c r="B576" t="n">
        <v>3</v>
      </c>
      <c r="C576" t="inlineStr">
        <is>
          <t>Γ₀(30)</t>
        </is>
      </c>
      <c r="D576" t="inlineStr">
        <is>
          <t>72</t>
        </is>
      </c>
      <c r="E576" t="inlineStr">
        <is>
          <t>1</t>
        </is>
      </c>
      <c r="F576" t="inlineStr">
        <is>
          <t>72</t>
        </is>
      </c>
      <c r="G576" t="inlineStr">
        <is>
          <t>0</t>
        </is>
      </c>
      <c r="H576" t="inlineStr">
        <is>
          <t>0</t>
        </is>
      </c>
      <c r="I576" t="inlineStr">
        <is>
          <t>1¹, 2¹, 3¹, 5¹, 6¹, 10¹, 15¹, 30¹</t>
        </is>
      </c>
      <c r="J576" t="n">
        <v>8</v>
      </c>
      <c r="K576" t="inlineStr">
        <is>
          <t>1¹², 2⁶, 4⁶, 8³</t>
        </is>
      </c>
      <c r="L576" t="inlineStr">
        <is>
          <t>6F⁰, 10C⁰, 15C¹</t>
        </is>
      </c>
      <c r="M576" t="inlineStr">
        <is>
          <t>30S⁵, 30Q⁷, 30S⁷, 60O⁷, 60P⁷, 60G⁹, 60H⁹, 30G¹¹, 90J¹¹, 90G¹⁵, 90H¹⁵, 30B¹⁹, 150I¹⁹</t>
        </is>
      </c>
      <c r="N576" t="inlineStr">
        <is>
          <t>15C¹, 3B⁰, 5B⁰, 10C⁰, 6F⁰, 2B⁰, 1A⁰</t>
        </is>
      </c>
      <c r="O576" t="inlineStr">
        <is>
          <t>30Q⁷, 60T¹⁷, 30S⁹, 60O¹⁹, 90G¹⁵, 60AF¹⁵, 60L¹⁹, 60M¹⁹, 60AC¹⁵, 60O⁷, 30S⁷, 120F¹⁹, 90J¹¹, 60K¹⁹, 60AI¹³, 90H¹⁵, 60AA¹⁵, 120B²¹, 60AD¹⁵, 120M¹⁵, 120O¹⁷, 60R¹⁷, 30S⁵, 30G²¹, 120D²¹, 60S¹⁷, 60AJ¹³, 90O²¹, 120L¹⁹, 30G¹¹, 60AB¹⁵, 120E²¹, 120K¹⁹, 30P¹³, 60O¹⁷, 120C²¹, 60G⁹, 120M¹⁹, 150I¹⁹, 30B¹⁹, 30R¹³, 120L¹⁵, 120E¹⁹, 120K¹⁵, 120F²¹, 60N¹⁹, 60Q¹⁷, 60P¹⁷, 60P⁷, 60H⁹, 120N¹⁷, 120A²¹</t>
        </is>
      </c>
    </row>
    <row r="577">
      <c r="A577">
        <f>HYPERLINK("https://mathstats.uncg.edu/sites/pauli/congruence/csg3.html#group30L3", "30L³")</f>
        <v/>
      </c>
      <c r="B577" t="n">
        <v>3</v>
      </c>
      <c r="C577" t="inlineStr"/>
      <c r="D577" t="inlineStr">
        <is>
          <t>72</t>
        </is>
      </c>
      <c r="E577" t="inlineStr">
        <is>
          <t>2</t>
        </is>
      </c>
      <c r="F577" t="inlineStr">
        <is>
          <t>18</t>
        </is>
      </c>
      <c r="G577" t="inlineStr">
        <is>
          <t>8</t>
        </is>
      </c>
      <c r="H577" t="inlineStr">
        <is>
          <t>0</t>
        </is>
      </c>
      <c r="I577" t="inlineStr">
        <is>
          <t>6², 30²</t>
        </is>
      </c>
      <c r="J577" t="n">
        <v>4</v>
      </c>
      <c r="K577" t="inlineStr">
        <is>
          <t>2⁶, 8³</t>
        </is>
      </c>
      <c r="L577" t="inlineStr">
        <is>
          <t>15C⁰, 30C¹, 30C²</t>
        </is>
      </c>
      <c r="M577" t="inlineStr">
        <is>
          <t>30R⁵, 30I⁹, 30J⁹, 30K¹¹, 90K¹¹, 90L¹⁵, 90M¹⁵, 90O¹⁵, 60Y¹⁷, 30J²³, 150D²³</t>
        </is>
      </c>
      <c r="N577" t="inlineStr">
        <is>
          <t>15B⁰, 6B⁰, 5B⁰, 15C⁰, 3A⁰, 1A⁰, 30C¹, 30C²</t>
        </is>
      </c>
      <c r="O577" t="inlineStr">
        <is>
          <t>90M¹⁵, 30H²¹, 90O¹⁵, 90L¹⁵, 60Y¹⁷, 30Q¹³, 90K¹¹, 60G²¹, 30R⁵, 90N²¹, 30J⁹, 30H¹⁷, 60N¹⁷, 30I⁹, 30K¹¹, 150D²³, 30J²³, 60X¹⁷, 30I¹⁷</t>
        </is>
      </c>
    </row>
    <row r="578">
      <c r="A578">
        <f>HYPERLINK("https://mathstats.uncg.edu/sites/pauli/congruence/csg3.html#group32A3", "32A³")</f>
        <v/>
      </c>
      <c r="B578" t="n">
        <v>3</v>
      </c>
      <c r="C578" t="inlineStr"/>
      <c r="D578" t="inlineStr">
        <is>
          <t>48</t>
        </is>
      </c>
      <c r="E578" t="inlineStr">
        <is>
          <t>1</t>
        </is>
      </c>
      <c r="F578" t="inlineStr">
        <is>
          <t>6</t>
        </is>
      </c>
      <c r="G578" t="inlineStr">
        <is>
          <t>0</t>
        </is>
      </c>
      <c r="H578" t="inlineStr">
        <is>
          <t>0</t>
        </is>
      </c>
      <c r="I578" t="inlineStr">
        <is>
          <t>4², 8¹, 32¹</t>
        </is>
      </c>
      <c r="J578" t="n">
        <v>4</v>
      </c>
      <c r="K578" t="inlineStr">
        <is>
          <t>1⁴, 2¹</t>
        </is>
      </c>
      <c r="L578" t="inlineStr">
        <is>
          <t>16A¹</t>
        </is>
      </c>
      <c r="M578" t="inlineStr">
        <is>
          <t>32B⁵, 32C⁵, 64E⁷, 96A¹¹, 96C¹³, 160A¹⁹, 160C²¹</t>
        </is>
      </c>
      <c r="N578" t="inlineStr">
        <is>
          <t>16A¹, 8C⁰, 2B⁰, 4B⁰, 1A⁰</t>
        </is>
      </c>
      <c r="O578" t="inlineStr">
        <is>
          <t>96K²¹, 96C¹³, 32B¹⁷, 32C⁹, 192K²³, 192E²³, 96A¹¹, 96B²¹, 32G²¹, 96C²¹, 64A²¹, 96U²¹, 32A¹⁷, 32B²¹, 96I²¹, 64I¹³, 32E⁹, 64B²¹, 32F²¹, 32C⁵, 64E¹³, 64A¹³, 32B⁵, 160C²¹, 64F¹³, 160A¹⁹, 64N²¹, 32B⁹, 32N²¹, 64D²¹, 32I⁹, 64E⁷, 64B¹³</t>
        </is>
      </c>
    </row>
    <row r="579">
      <c r="A579">
        <f>HYPERLINK("https://mathstats.uncg.edu/sites/pauli/congruence/csg3.html#group32B3", "32B³")</f>
        <v/>
      </c>
      <c r="B579" t="n">
        <v>3</v>
      </c>
      <c r="C579" t="inlineStr"/>
      <c r="D579" t="inlineStr">
        <is>
          <t>48</t>
        </is>
      </c>
      <c r="E579" t="inlineStr">
        <is>
          <t>1</t>
        </is>
      </c>
      <c r="F579" t="inlineStr">
        <is>
          <t>6</t>
        </is>
      </c>
      <c r="G579" t="inlineStr">
        <is>
          <t>0</t>
        </is>
      </c>
      <c r="H579" t="inlineStr">
        <is>
          <t>0</t>
        </is>
      </c>
      <c r="I579" t="inlineStr">
        <is>
          <t>4², 8¹, 32¹</t>
        </is>
      </c>
      <c r="J579" t="n">
        <v>4</v>
      </c>
      <c r="K579" t="inlineStr">
        <is>
          <t>1⁴, 2¹</t>
        </is>
      </c>
      <c r="L579" t="inlineStr">
        <is>
          <t>16A¹</t>
        </is>
      </c>
      <c r="M579" t="inlineStr">
        <is>
          <t>32B⁵, 32D⁵, 64F⁷, 96B¹¹, 96D¹³, 160B¹⁹, 160D²¹</t>
        </is>
      </c>
      <c r="N579" t="inlineStr">
        <is>
          <t>16A¹, 8C⁰, 2B⁰, 4B⁰, 1A⁰</t>
        </is>
      </c>
      <c r="O579" t="inlineStr">
        <is>
          <t>96D²¹, 64J¹³, 32C⁹, 32B¹⁷, 96B²¹, 32G²¹, 192F²³, 64A²¹, 64G¹³, 32A¹⁷, 32B²¹, 64B²¹, 64F⁷, 96V²¹, 32F²¹, 32O²¹, 64H¹³, 96J²¹, 64A¹³, 64O²¹, 32B⁵, 96L²¹, 32J⁹, 192L²³, 96B¹¹, 32D⁵, 32B⁹, 64D²¹, 160B¹⁹, 96D¹³, 160D²¹, 32E⁹, 64B¹³</t>
        </is>
      </c>
    </row>
    <row r="580">
      <c r="A580">
        <f>HYPERLINK("https://mathstats.uncg.edu/sites/pauli/congruence/csg3.html#group32C3", "32C³")</f>
        <v/>
      </c>
      <c r="B580" t="n">
        <v>3</v>
      </c>
      <c r="C580" t="inlineStr"/>
      <c r="D580" t="inlineStr">
        <is>
          <t>48</t>
        </is>
      </c>
      <c r="E580" t="inlineStr">
        <is>
          <t>1</t>
        </is>
      </c>
      <c r="F580" t="inlineStr">
        <is>
          <t>12</t>
        </is>
      </c>
      <c r="G580" t="inlineStr">
        <is>
          <t>0</t>
        </is>
      </c>
      <c r="H580" t="inlineStr">
        <is>
          <t>0</t>
        </is>
      </c>
      <c r="I580" t="inlineStr">
        <is>
          <t>4², 8¹, 32¹</t>
        </is>
      </c>
      <c r="J580" t="n">
        <v>4</v>
      </c>
      <c r="K580" t="inlineStr">
        <is>
          <t>1⁴, 2², 4¹</t>
        </is>
      </c>
      <c r="L580" t="inlineStr">
        <is>
          <t>16A¹</t>
        </is>
      </c>
      <c r="M580" t="inlineStr">
        <is>
          <t>32A⁵, 32C⁵, 32D⁵, 64A⁷, 64B⁷, 64D⁷, 64C⁷, 96C¹¹, 96F¹³, 160C¹⁹, 160F²¹</t>
        </is>
      </c>
      <c r="N580" t="inlineStr">
        <is>
          <t>16A¹, 8C⁰, 2B⁰, 4B⁰, 1A⁰</t>
        </is>
      </c>
      <c r="O580" t="inlineStr">
        <is>
          <t>128D¹⁵, 96D²¹, 96X²¹, 128F¹⁵, 96A²¹, 64F²¹, 32A²¹, 96S²¹, 32D⁹, 192J²³, 32A¹⁷, 64I¹³, 64H¹³, 64C¹³, 96T²¹, 192G²³, 128B¹⁵, 64E¹³, 96W²¹, 64C⁷, 64F¹³, 32D⁵, 64D⁷, 32A⁵, 160C¹⁹, 192I²³, 96F¹³, 192A²³, 160F²¹, 64B⁷, 64A⁷, 32E⁹, 96C¹¹, 32B¹⁷, 64D¹³, 64J¹³, 128H¹⁵, 128A¹⁵, 96C²¹, 32A⁹, 64G¹³, 64E²¹, 32H²¹, 192H²³, 32O²¹, 32F²¹, 192D²³, 32C⁵, 32J⁹, 128G¹⁵, 64N²¹, 128E¹⁵, 32N²¹, 192B²³, 32I⁹, 128C¹⁵, 64O²¹, 192C²³</t>
        </is>
      </c>
    </row>
    <row r="581">
      <c r="A581">
        <f>HYPERLINK("https://mathstats.uncg.edu/sites/pauli/congruence/csg3.html#group32D3", "32D³")</f>
        <v/>
      </c>
      <c r="B581" t="n">
        <v>3</v>
      </c>
      <c r="C581" t="inlineStr"/>
      <c r="D581" t="inlineStr">
        <is>
          <t>48</t>
        </is>
      </c>
      <c r="E581" t="inlineStr">
        <is>
          <t>1</t>
        </is>
      </c>
      <c r="F581" t="inlineStr">
        <is>
          <t>12</t>
        </is>
      </c>
      <c r="G581" t="inlineStr">
        <is>
          <t>4</t>
        </is>
      </c>
      <c r="H581" t="inlineStr">
        <is>
          <t>0</t>
        </is>
      </c>
      <c r="I581" t="inlineStr">
        <is>
          <t>16¹, 32¹</t>
        </is>
      </c>
      <c r="J581" t="n">
        <v>2</v>
      </c>
      <c r="K581" t="inlineStr">
        <is>
          <t>2⁶</t>
        </is>
      </c>
      <c r="L581" t="inlineStr">
        <is>
          <t>16B⁰</t>
        </is>
      </c>
      <c r="M581" t="inlineStr">
        <is>
          <t>32G⁵, 32L⁵, 32A⁷, 32G⁷, 32H⁷, 96B⁹, 96D¹⁵, 160D¹⁹, 160H²¹</t>
        </is>
      </c>
      <c r="N581" t="inlineStr">
        <is>
          <t>16B⁰, 8B⁰, 2B⁰, 1A⁰, 4C⁰</t>
        </is>
      </c>
      <c r="O581" t="inlineStr">
        <is>
          <t>32B¹³, 32L⁵, 32G⁷, 32A⁷, 32K¹³, 64I²¹, 32C²³, 96B⁹, 32M²¹, 32B²³, 96Z²¹, 32G⁵, 32J¹³, 96AT²¹, 96D¹⁷, 32F¹¹, 32Y²¹, 32J¹¹, 96H²³, 32E¹¹, 96D¹⁵, 160H²¹, 96AB¹⁷, 32A²³, 32H⁷, 96G²³, 96V¹⁹, 96A²³, 160D¹⁹, 32I¹¹, 32H⁹, 32N¹³, 32O¹³, 32I¹³, 96U¹⁹, 96AY¹⁹, 32M¹³, 32D²³, 96AA²¹</t>
        </is>
      </c>
    </row>
    <row r="582">
      <c r="A582">
        <f>HYPERLINK("https://mathstats.uncg.edu/sites/pauli/congruence/csg3.html#group32E3", "32E³")</f>
        <v/>
      </c>
      <c r="B582" t="n">
        <v>3</v>
      </c>
      <c r="C582" t="inlineStr"/>
      <c r="D582" t="inlineStr">
        <is>
          <t>48</t>
        </is>
      </c>
      <c r="E582" t="inlineStr">
        <is>
          <t>1</t>
        </is>
      </c>
      <c r="F582" t="inlineStr">
        <is>
          <t>24</t>
        </is>
      </c>
      <c r="G582" t="inlineStr">
        <is>
          <t>4</t>
        </is>
      </c>
      <c r="H582" t="inlineStr">
        <is>
          <t>0</t>
        </is>
      </c>
      <c r="I582" t="inlineStr">
        <is>
          <t>16¹, 32¹</t>
        </is>
      </c>
      <c r="J582" t="n">
        <v>2</v>
      </c>
      <c r="K582" t="inlineStr">
        <is>
          <t>2⁸, 8¹</t>
        </is>
      </c>
      <c r="L582" t="inlineStr">
        <is>
          <t>16D¹</t>
        </is>
      </c>
      <c r="M582" t="inlineStr">
        <is>
          <t>32J⁵, 32C⁶, 32E⁶, 32B⁷, 32I⁷, 64G⁷, 64H⁷, 96C⁹, 96G¹⁵, 160E¹⁹, 160M²¹</t>
        </is>
      </c>
      <c r="N582" t="inlineStr">
        <is>
          <t>8B⁰, 2B⁰, 16D¹, 1A⁰, 4C⁰</t>
        </is>
      </c>
      <c r="O582" t="inlineStr">
        <is>
          <t>64M¹³, 32J⁵, 64E¹⁴, 96AI²¹, 96AO¹⁹, 64A¹⁵, 64H⁷, 64P¹³, 32Y²¹, 96AM²¹, 32C¹³, 192J²¹, 96R²⁰, 32C¹², 32I⁷, 160M²¹, 64A¹⁴, 32Q¹³, 64C¹⁴, 192I²¹, 64D¹⁴, 64M²¹, 96AK¹⁹, 96G¹⁵, 64L¹³, 64H¹⁵, 160E¹⁹, 64B¹⁴, 64G¹⁵, 32H²³, 32I¹¹, 32K¹¹, 96I²⁰, 64F¹⁴, 96M²³, 32U²¹, 32A¹², 32O¹³, 32D²⁴, 96G¹⁷, 192E²¹, 64G⁷, 32G¹³, 64B¹⁵, 32P⁹, 32E⁶, 32C⁶, 32E²³, 32A²⁴, 96G²⁰, 32D¹³, 192F²¹, 32B⁷, 96C⁹, 32V²¹, 96B²³, 96V²⁰, 64Q¹³</t>
        </is>
      </c>
    </row>
    <row r="583">
      <c r="A583">
        <f>HYPERLINK("https://mathstats.uncg.edu/sites/pauli/congruence/csg3.html#group32F3", "32F³")</f>
        <v/>
      </c>
      <c r="B583" t="n">
        <v>3</v>
      </c>
      <c r="C583" t="inlineStr"/>
      <c r="D583" t="inlineStr">
        <is>
          <t>48</t>
        </is>
      </c>
      <c r="E583" t="inlineStr">
        <is>
          <t>1</t>
        </is>
      </c>
      <c r="F583" t="inlineStr">
        <is>
          <t>24</t>
        </is>
      </c>
      <c r="G583" t="inlineStr">
        <is>
          <t>4</t>
        </is>
      </c>
      <c r="H583" t="inlineStr">
        <is>
          <t>0</t>
        </is>
      </c>
      <c r="I583" t="inlineStr">
        <is>
          <t>16¹, 32¹</t>
        </is>
      </c>
      <c r="J583" t="n">
        <v>2</v>
      </c>
      <c r="K583" t="inlineStr">
        <is>
          <t>2⁸, 8¹</t>
        </is>
      </c>
      <c r="L583" t="inlineStr">
        <is>
          <t>16D¹</t>
        </is>
      </c>
      <c r="M583" t="inlineStr">
        <is>
          <t>32J⁵, 32D⁶, 32F⁶, 32D⁷, 32I⁷, 96D⁹, 96H¹⁵, 160F¹⁹, 160N²¹</t>
        </is>
      </c>
      <c r="N583" t="inlineStr">
        <is>
          <t>8B⁰, 2B⁰, 16D¹, 1A⁰, 4C⁰</t>
        </is>
      </c>
      <c r="O583" t="inlineStr">
        <is>
          <t>64M¹³, 32F⁶, 32J⁵, 64G¹⁴, 96AN²¹, 64P¹³, 32Y²¹, 96AJ²¹, 32C¹², 32I⁷, 160N²¹, 32E¹³, 32Q¹³, 64H¹⁴, 64M²¹, 96D²³, 160F¹⁹, 96S²⁰, 64L¹³, 32F¹³, 64H¹⁵, 64G¹⁵, 32H²³, 32I¹¹, 96H²⁰, 32K¹¹, 32C²⁴, 64E¹⁵, 32D⁶, 96M²³, 32U²¹, 32O¹³, 96AP¹⁹, 96W²⁰, 96G¹⁷, 32G¹³, 32P⁹, 32E²³, 96AL¹⁹, 96D⁹, 96H¹⁵, 96J²⁰, 32B¹², 32D⁷, 32B²⁴, 32V²¹, 64Q¹³</t>
        </is>
      </c>
    </row>
    <row r="584">
      <c r="A584">
        <f>HYPERLINK("https://mathstats.uncg.edu/sites/pauli/congruence/csg3.html#group32G3", "32G³")</f>
        <v/>
      </c>
      <c r="B584" t="n">
        <v>3</v>
      </c>
      <c r="C584" t="inlineStr"/>
      <c r="D584" t="inlineStr">
        <is>
          <t>48</t>
        </is>
      </c>
      <c r="E584" t="inlineStr">
        <is>
          <t>1</t>
        </is>
      </c>
      <c r="F584" t="inlineStr">
        <is>
          <t>24</t>
        </is>
      </c>
      <c r="G584" t="inlineStr">
        <is>
          <t>4</t>
        </is>
      </c>
      <c r="H584" t="inlineStr">
        <is>
          <t>0</t>
        </is>
      </c>
      <c r="I584" t="inlineStr">
        <is>
          <t>16¹, 32¹</t>
        </is>
      </c>
      <c r="J584" t="n">
        <v>2</v>
      </c>
      <c r="K584" t="inlineStr">
        <is>
          <t>2⁸, 8¹</t>
        </is>
      </c>
      <c r="L584" t="inlineStr">
        <is>
          <t>16D¹</t>
        </is>
      </c>
      <c r="M584" t="inlineStr">
        <is>
          <t>32K⁵, 32C⁶, 32F⁶, 32C⁷, 32J⁷, 64I⁷, 64J⁷, 96E⁹, 96I¹⁵, 160G¹⁹, 160O²¹</t>
        </is>
      </c>
      <c r="N584" t="inlineStr">
        <is>
          <t>8B⁰, 2B⁰, 16D¹, 1A⁰, 4C⁰</t>
        </is>
      </c>
      <c r="O584" t="inlineStr">
        <is>
          <t>32F⁶, 32K⁵, 96H¹⁷, 32S²¹, 32J⁷, 192H²¹, 64G¹⁴, 96AO²¹, 32Y²¹, 32C¹³, 32J¹¹, 96N²³, 32C¹², 32E¹³, 64A¹⁴, 32Q¹³, 64H¹⁴, 96AK²¹, 64C¹⁴, 64D¹⁴, 64S¹³, 192G²¹, 64R¹³, 64L²¹, 96C²³, 64I⁷, 96T²⁰, 64B¹⁴, 32H²³, 192K²¹, 160O²¹, 96I¹⁵, 32K¹¹, 32N¹³, 96AM¹⁹, 32A¹², 32C⁷, 192L²¹, 32D²⁴, 32O⁹, 64D¹⁵, 96E⁹, 160G¹⁹, 96X²⁰, 64I¹⁵, 96AQ¹⁹, 32H¹³, 32A²⁴, 32C⁶, 32E²³, 96G²⁰, 64J⁷, 64O¹³, 64J¹⁵, 64C¹⁵, 32T²¹, 96J²⁰, 64N¹³</t>
        </is>
      </c>
    </row>
    <row r="585">
      <c r="A585">
        <f>HYPERLINK("https://mathstats.uncg.edu/sites/pauli/congruence/csg3.html#group32H3", "32H³")</f>
        <v/>
      </c>
      <c r="B585" t="n">
        <v>3</v>
      </c>
      <c r="C585" t="inlineStr"/>
      <c r="D585" t="inlineStr">
        <is>
          <t>48</t>
        </is>
      </c>
      <c r="E585" t="inlineStr">
        <is>
          <t>1</t>
        </is>
      </c>
      <c r="F585" t="inlineStr">
        <is>
          <t>24</t>
        </is>
      </c>
      <c r="G585" t="inlineStr">
        <is>
          <t>4</t>
        </is>
      </c>
      <c r="H585" t="inlineStr">
        <is>
          <t>0</t>
        </is>
      </c>
      <c r="I585" t="inlineStr">
        <is>
          <t>16¹, 32¹</t>
        </is>
      </c>
      <c r="J585" t="n">
        <v>2</v>
      </c>
      <c r="K585" t="inlineStr">
        <is>
          <t>2⁸, 8¹</t>
        </is>
      </c>
      <c r="L585" t="inlineStr">
        <is>
          <t>16D¹</t>
        </is>
      </c>
      <c r="M585" t="inlineStr">
        <is>
          <t>32K⁵, 32D⁶, 32E⁶, 32E⁷, 32J⁷, 96F⁹, 96J¹⁵, 160H¹⁹, 160P²¹</t>
        </is>
      </c>
      <c r="N585" t="inlineStr">
        <is>
          <t>8B⁰, 2B⁰, 16D¹, 1A⁰, 4C⁰</t>
        </is>
      </c>
      <c r="O585" t="inlineStr">
        <is>
          <t>32K⁵, 96F⁹, 64E¹⁴, 32E⁷, 96H¹⁷, 32S²¹, 32J⁷, 64F¹⁵, 32Y²¹, 32J¹¹, 96J¹⁵, 160H¹⁹, 96N²³, 32C¹², 96U²⁰, 32Q¹³, 96AP²¹, 64S¹³, 64R¹³, 64L²¹, 160P²¹, 32F¹³, 32H²³, 96H²⁰, 32K¹¹, 96I²⁰, 32N¹³, 32C²⁴, 32D⁶, 64F¹⁴, 96E²³, 32O⁹, 96Y²⁰, 96AN¹⁹, 96AL²¹, 64I¹⁵, 32H¹³, 32E⁶, 32E²³, 32B¹², 64O¹³, 32D¹³, 32B²⁴, 64J¹⁵, 32T²¹, 64N¹³, 96AR¹⁹</t>
        </is>
      </c>
    </row>
    <row r="586">
      <c r="A586">
        <f>HYPERLINK("https://mathstats.uncg.edu/sites/pauli/congruence/csg3.html#group32I3", "32I³")</f>
        <v/>
      </c>
      <c r="B586" t="n">
        <v>3</v>
      </c>
      <c r="C586" t="inlineStr"/>
      <c r="D586" t="inlineStr">
        <is>
          <t>48</t>
        </is>
      </c>
      <c r="E586" t="inlineStr">
        <is>
          <t>2</t>
        </is>
      </c>
      <c r="F586" t="inlineStr">
        <is>
          <t>24</t>
        </is>
      </c>
      <c r="G586" t="inlineStr">
        <is>
          <t>2</t>
        </is>
      </c>
      <c r="H586" t="inlineStr">
        <is>
          <t>0</t>
        </is>
      </c>
      <c r="I586" t="inlineStr">
        <is>
          <t>8², 32¹</t>
        </is>
      </c>
      <c r="J586" t="n">
        <v>3</v>
      </c>
      <c r="K586" t="inlineStr">
        <is>
          <t>2², 4³, 8⁴</t>
        </is>
      </c>
      <c r="L586" t="inlineStr">
        <is>
          <t>16C¹</t>
        </is>
      </c>
      <c r="M586" t="inlineStr">
        <is>
          <t>32H⁵, 32A⁶, 32B⁶, 96C¹⁰, 96A¹⁴, 160I¹⁹, 160U²¹</t>
        </is>
      </c>
      <c r="N586" t="inlineStr">
        <is>
          <t>1A⁰, 2B⁰, 8D⁰, 16C¹, 4C⁰</t>
        </is>
      </c>
      <c r="O586" t="inlineStr">
        <is>
          <t>96L²⁰, 32M⁹, 64Q²¹, 32B¹¹, 96AV²¹, 64B²³, 64A²³, 32A¹⁰, 32E¹⁹, 96A²², 32A¹¹, 32P²¹, 96B²², 96C¹⁰, 96L¹⁹, 32C¹¹, 32G²¹, 32C²¹, 32H⁵, 32H¹¹, 96A¹⁴, 32D²⁴, 32A⁶, 32H²¹, 32K²¹, 32C¹⁰, 96AW²¹, 32E²¹, 32B²⁴, 96M²⁰, 160U²¹, 32B⁶, 32D²¹, 32D²³, 160I¹⁹</t>
        </is>
      </c>
    </row>
    <row r="587">
      <c r="A587">
        <f>HYPERLINK("https://mathstats.uncg.edu/sites/pauli/congruence/csg3.html#group32J3", "32J³")</f>
        <v/>
      </c>
      <c r="B587" t="n">
        <v>3</v>
      </c>
      <c r="C587" t="inlineStr"/>
      <c r="D587" t="inlineStr">
        <is>
          <t>96</t>
        </is>
      </c>
      <c r="E587" t="inlineStr">
        <is>
          <t>1</t>
        </is>
      </c>
      <c r="F587" t="inlineStr">
        <is>
          <t>6</t>
        </is>
      </c>
      <c r="G587" t="inlineStr">
        <is>
          <t>0</t>
        </is>
      </c>
      <c r="H587" t="inlineStr">
        <is>
          <t>0</t>
        </is>
      </c>
      <c r="I587" t="inlineStr">
        <is>
          <t>2⁸, 8², 32²</t>
        </is>
      </c>
      <c r="J587" t="n">
        <v>12</v>
      </c>
      <c r="K587" t="inlineStr">
        <is>
          <t>1⁴, 2¹</t>
        </is>
      </c>
      <c r="L587" t="inlineStr">
        <is>
          <t>16E¹, 32A¹</t>
        </is>
      </c>
      <c r="M587" t="inlineStr">
        <is>
          <t>32M⁵, 32A⁹, 32C⁹, 64C⁹, 64B⁹, 96A¹⁹, 96BA²¹</t>
        </is>
      </c>
      <c r="N587" t="inlineStr">
        <is>
          <t>2A⁰, 32A¹, 8G⁰, 8D⁰, 16E¹, 16C⁰, 4C⁰, 16A¹, 8C⁰, 4E⁰, 2B⁰, 4B⁰, 1A⁰, 2C⁰</t>
        </is>
      </c>
      <c r="O587" t="inlineStr">
        <is>
          <t>64C⁹, 32C⁹, 64V¹³, 96BA²¹, 32G²¹, 64F²¹, 32A⁹, 64A²¹, 64C²¹, 32A²¹, 128D²¹, 32A¹⁷, 32M⁵, 64B²¹, 32F²¹, 64A¹⁷, 128F²¹, 96A¹⁹, 32U¹³, 64B⁹</t>
        </is>
      </c>
    </row>
    <row r="588">
      <c r="A588">
        <f>HYPERLINK("https://mathstats.uncg.edu/sites/pauli/congruence/csg3.html#group32K3", "32K³")</f>
        <v/>
      </c>
      <c r="B588" t="n">
        <v>3</v>
      </c>
      <c r="C588" t="inlineStr"/>
      <c r="D588" t="inlineStr">
        <is>
          <t>96</t>
        </is>
      </c>
      <c r="E588" t="inlineStr">
        <is>
          <t>1</t>
        </is>
      </c>
      <c r="F588" t="inlineStr">
        <is>
          <t>6</t>
        </is>
      </c>
      <c r="G588" t="inlineStr">
        <is>
          <t>0</t>
        </is>
      </c>
      <c r="H588" t="inlineStr">
        <is>
          <t>0</t>
        </is>
      </c>
      <c r="I588" t="inlineStr">
        <is>
          <t>2⁸, 8², 32²</t>
        </is>
      </c>
      <c r="J588" t="n">
        <v>12</v>
      </c>
      <c r="K588" t="inlineStr">
        <is>
          <t>1⁴, 2¹</t>
        </is>
      </c>
      <c r="L588" t="inlineStr">
        <is>
          <t>32A⁰, 16E¹, 32A²</t>
        </is>
      </c>
      <c r="M588" t="inlineStr">
        <is>
          <t>32M⁵, 64K⁷, 32B⁹, 32D⁹, 64A¹¹, 96B¹⁹, 96BF²¹</t>
        </is>
      </c>
      <c r="N588" t="inlineStr">
        <is>
          <t>2A⁰, 8D⁰, 16E¹, 4C⁰, 16A¹, 8C⁰, 2B⁰, 4E⁰, 4B⁰, 1A⁰, 8G⁰, 16C⁰, 32A⁰, 32A², 2C⁰</t>
        </is>
      </c>
      <c r="O588" t="inlineStr">
        <is>
          <t>64V¹³, 96BF²¹, 64C²¹, 32D⁹, 64E²¹, 32H²¹, 32A¹⁷, 32B²¹, 128A¹⁹, 32M⁵, 32F²¹, 64A¹⁷, 64K⁷, 32B⁹, 64D²¹, 96B¹⁹, 64A¹¹, 32U¹³</t>
        </is>
      </c>
    </row>
    <row r="589">
      <c r="A589">
        <f>HYPERLINK("https://mathstats.uncg.edu/sites/pauli/congruence/csg3.html#group32L3", "32L³")</f>
        <v/>
      </c>
      <c r="B589" t="n">
        <v>3</v>
      </c>
      <c r="C589" t="inlineStr"/>
      <c r="D589" t="inlineStr">
        <is>
          <t>96</t>
        </is>
      </c>
      <c r="E589" t="inlineStr">
        <is>
          <t>1</t>
        </is>
      </c>
      <c r="F589" t="inlineStr">
        <is>
          <t>6</t>
        </is>
      </c>
      <c r="G589" t="inlineStr">
        <is>
          <t>16</t>
        </is>
      </c>
      <c r="H589" t="inlineStr">
        <is>
          <t>0</t>
        </is>
      </c>
      <c r="I589" t="inlineStr">
        <is>
          <t>16², 32²</t>
        </is>
      </c>
      <c r="J589" t="n">
        <v>4</v>
      </c>
      <c r="K589" t="inlineStr">
        <is>
          <t>1², 2²</t>
        </is>
      </c>
      <c r="L589" t="inlineStr">
        <is>
          <t>16F¹, 32B¹</t>
        </is>
      </c>
      <c r="M589" t="inlineStr">
        <is>
          <t>32F⁹, 32G⁹, 32H⁹, 64F⁹, 96I¹¹, 32B¹³, 64K¹³</t>
        </is>
      </c>
      <c r="N589" t="inlineStr">
        <is>
          <t>8D⁰, 4C⁰, 8B⁰, 16B¹, 2B⁰, 1A⁰, 16B⁰, 8H⁰, 4A⁰, 32B¹, 4F⁰, 16F¹</t>
        </is>
      </c>
      <c r="O589" t="inlineStr">
        <is>
          <t>32B¹³, 64I²¹, 32H⁹, 32F⁹, 32M²¹, 64F⁹, 32G⁹, 32I²¹, 32Y²¹, 32K²¹, 32L²¹, 64K¹³, 64G²¹, 96I¹¹, 64H²¹, 32J²¹</t>
        </is>
      </c>
    </row>
    <row r="590">
      <c r="A590">
        <f>HYPERLINK("https://mathstats.uncg.edu/sites/pauli/congruence/csg3.html#group32M3", "32M³")</f>
        <v/>
      </c>
      <c r="B590" t="n">
        <v>3</v>
      </c>
      <c r="C590" t="inlineStr"/>
      <c r="D590" t="inlineStr">
        <is>
          <t>96</t>
        </is>
      </c>
      <c r="E590" t="inlineStr">
        <is>
          <t>1</t>
        </is>
      </c>
      <c r="F590" t="inlineStr">
        <is>
          <t>12</t>
        </is>
      </c>
      <c r="G590" t="inlineStr">
        <is>
          <t>0</t>
        </is>
      </c>
      <c r="H590" t="inlineStr">
        <is>
          <t>0</t>
        </is>
      </c>
      <c r="I590" t="inlineStr">
        <is>
          <t>2⁸, 8², 32²</t>
        </is>
      </c>
      <c r="J590" t="n">
        <v>12</v>
      </c>
      <c r="K590" t="inlineStr">
        <is>
          <t>1⁴, 2², 4¹</t>
        </is>
      </c>
      <c r="L590" t="inlineStr">
        <is>
          <t>16H⁰, 32A¹, 32A²</t>
        </is>
      </c>
      <c r="M590" t="inlineStr">
        <is>
          <t>32M⁵, 32M⁷, 64E⁹, 64D⁹, 64B¹¹, 96C¹⁹, 96BK²¹</t>
        </is>
      </c>
      <c r="N590" t="inlineStr">
        <is>
          <t>32A¹, 16C⁰, 16D⁰, 32A², 8C⁰, 2B⁰, 8I⁰, 4B⁰, 1A⁰, 16H⁰</t>
        </is>
      </c>
      <c r="O590" t="inlineStr">
        <is>
          <t>96C¹⁹, 64V¹³, 96BK²¹, 64D⁹, 64C²¹, 64B¹¹, 32M⁷, 64J²¹, 64B¹⁹, 32A¹⁷, 32M⁵, 128E²¹, 64E⁹, 64A¹⁷, 128C²¹, 32B¹⁹, 64K²¹, 32U¹³, 128B²¹</t>
        </is>
      </c>
    </row>
    <row r="591">
      <c r="A591">
        <f>HYPERLINK("https://mathstats.uncg.edu/sites/pauli/congruence/csg3.html#group32N3", "32N³")</f>
        <v/>
      </c>
      <c r="B591" t="n">
        <v>3</v>
      </c>
      <c r="C591" t="inlineStr"/>
      <c r="D591" t="inlineStr">
        <is>
          <t>96</t>
        </is>
      </c>
      <c r="E591" t="inlineStr">
        <is>
          <t>1</t>
        </is>
      </c>
      <c r="F591" t="inlineStr">
        <is>
          <t>12</t>
        </is>
      </c>
      <c r="G591" t="inlineStr">
        <is>
          <t>16</t>
        </is>
      </c>
      <c r="H591" t="inlineStr">
        <is>
          <t>0</t>
        </is>
      </c>
      <c r="I591" t="inlineStr">
        <is>
          <t>16², 32²</t>
        </is>
      </c>
      <c r="J591" t="n">
        <v>4</v>
      </c>
      <c r="K591" t="inlineStr">
        <is>
          <t>1⁴, 2², 4¹</t>
        </is>
      </c>
      <c r="L591" t="inlineStr">
        <is>
          <t>16J¹, 32B¹</t>
        </is>
      </c>
      <c r="M591" t="inlineStr">
        <is>
          <t>32H⁹, 32O⁹, 32P⁹, 64I⁹, 96J¹¹, 32M¹³, 64T¹³</t>
        </is>
      </c>
      <c r="N591" t="inlineStr">
        <is>
          <t>16B⁰, 16D¹, 4C⁰, 8B⁰, 8L⁰, 32B¹, 2B⁰, 16J¹, 1A⁰</t>
        </is>
      </c>
      <c r="O591" t="inlineStr">
        <is>
          <t>32P⁹, 64I²¹, 32H⁹, 64I⁹, 32M¹³, 32M²¹, 32U²¹, 64M²¹, 32S²¹, 32V²¹, 32O⁹, 96J¹¹, 64L²¹, 32T²¹, 32Y²¹, 64T¹³</t>
        </is>
      </c>
    </row>
    <row r="592">
      <c r="A592">
        <f>HYPERLINK("https://mathstats.uncg.edu/sites/pauli/congruence/csg3.html#group32O3", "32O³")</f>
        <v/>
      </c>
      <c r="B592" t="n">
        <v>3</v>
      </c>
      <c r="C592" t="inlineStr"/>
      <c r="D592" t="inlineStr">
        <is>
          <t>96</t>
        </is>
      </c>
      <c r="E592" t="inlineStr">
        <is>
          <t>1</t>
        </is>
      </c>
      <c r="F592" t="inlineStr">
        <is>
          <t>24</t>
        </is>
      </c>
      <c r="G592" t="inlineStr">
        <is>
          <t>0</t>
        </is>
      </c>
      <c r="H592" t="inlineStr">
        <is>
          <t>0</t>
        </is>
      </c>
      <c r="I592" t="inlineStr">
        <is>
          <t>2⁴, 4⁶, 32²</t>
        </is>
      </c>
      <c r="J592" t="n">
        <v>12</v>
      </c>
      <c r="K592" t="inlineStr">
        <is>
          <t>1⁴, 2², 4², 8¹</t>
        </is>
      </c>
      <c r="L592" t="inlineStr">
        <is>
          <t>16G¹</t>
        </is>
      </c>
      <c r="M592" t="inlineStr">
        <is>
          <t>32N⁵, 32I⁹, 32J⁹, 96K¹⁹, 96BM²¹</t>
        </is>
      </c>
      <c r="N592" t="inlineStr">
        <is>
          <t>16G¹, 16D⁰, 16A¹, 8C⁰, 2B⁰, 8I⁰, 4B⁰, 1A⁰</t>
        </is>
      </c>
      <c r="O592" t="inlineStr">
        <is>
          <t>32O²¹, 32B¹⁷, 32T¹³, 32N⁵, 32J⁹, 96K¹⁹, 64N²¹, 64D¹⁷, 32N²¹, 96BM²¹, 32I⁹, 64O²¹, 32U¹³</t>
        </is>
      </c>
    </row>
    <row r="593">
      <c r="A593">
        <f>HYPERLINK("https://mathstats.uncg.edu/sites/pauli/congruence/csg3.html#group32P3", "32P³")</f>
        <v/>
      </c>
      <c r="B593" t="n">
        <v>3</v>
      </c>
      <c r="C593" t="inlineStr"/>
      <c r="D593" t="inlineStr">
        <is>
          <t>96</t>
        </is>
      </c>
      <c r="E593" t="inlineStr">
        <is>
          <t>1</t>
        </is>
      </c>
      <c r="F593" t="inlineStr">
        <is>
          <t>24</t>
        </is>
      </c>
      <c r="G593" t="inlineStr">
        <is>
          <t>4</t>
        </is>
      </c>
      <c r="H593" t="inlineStr">
        <is>
          <t>0</t>
        </is>
      </c>
      <c r="I593" t="inlineStr">
        <is>
          <t>4⁸, 32²</t>
        </is>
      </c>
      <c r="J593" t="n">
        <v>10</v>
      </c>
      <c r="K593" t="inlineStr">
        <is>
          <t>1², 2¹, 4¹, 8²</t>
        </is>
      </c>
      <c r="L593" t="inlineStr">
        <is>
          <t>16I¹</t>
        </is>
      </c>
      <c r="M593" t="inlineStr">
        <is>
          <t>32H⁶, 32L⁷, 32M⁹, 64G⁹, 64H⁹, 32B¹⁰, 32C¹¹, 96E¹⁷, 96AI²³</t>
        </is>
      </c>
      <c r="N593" t="inlineStr">
        <is>
          <t>8H⁰, 16E⁰, 16I¹, 8D⁰, 4A⁰, 16C¹, 4C⁰, 8B⁰, 2B⁰, 4F⁰, 1A⁰</t>
        </is>
      </c>
      <c r="O593" t="inlineStr">
        <is>
          <t>64G⁹, 96AI²³, 32C¹¹, 32D²³, 32M⁹, 32C²⁴, 64Q²¹, 64B¹⁸, 64A²², 64A¹⁹, 32D²¹, 32K²¹, 96E¹⁷, 64B²³, 32T¹³, 32A²⁴, 64A¹⁸, 32B¹⁰, 32E²¹, 32E¹⁹, 64H⁹, 64B²², 32H⁶, 32L⁷, 32P²¹</t>
        </is>
      </c>
    </row>
    <row r="594">
      <c r="A594">
        <f>HYPERLINK("https://mathstats.uncg.edu/sites/pauli/congruence/csg3.html#group32Q3", "32Q³")</f>
        <v/>
      </c>
      <c r="B594" t="n">
        <v>3</v>
      </c>
      <c r="C594" t="inlineStr"/>
      <c r="D594" t="inlineStr">
        <is>
          <t>96</t>
        </is>
      </c>
      <c r="E594" t="inlineStr">
        <is>
          <t>1</t>
        </is>
      </c>
      <c r="F594" t="inlineStr">
        <is>
          <t>24</t>
        </is>
      </c>
      <c r="G594" t="inlineStr">
        <is>
          <t>4</t>
        </is>
      </c>
      <c r="H594" t="inlineStr">
        <is>
          <t>0</t>
        </is>
      </c>
      <c r="I594" t="inlineStr">
        <is>
          <t>4⁸, 32²</t>
        </is>
      </c>
      <c r="J594" t="n">
        <v>10</v>
      </c>
      <c r="K594" t="inlineStr">
        <is>
          <t>2⁴, 8²</t>
        </is>
      </c>
      <c r="L594" t="inlineStr">
        <is>
          <t>16I¹, 32C¹, 32D¹</t>
        </is>
      </c>
      <c r="M594" t="inlineStr">
        <is>
          <t>32H⁶, 32L⁷, 32N⁹, 32C¹⁰, 32D¹¹, 96F¹⁷, 96AL²³</t>
        </is>
      </c>
      <c r="N594" t="inlineStr">
        <is>
          <t>8H⁰, 16E⁰, 32C¹, 16I¹, 8D⁰, 4A⁰, 16C¹, 4C⁰, 8B⁰, 32D¹, 2B⁰, 4F⁰, 1A⁰</t>
        </is>
      </c>
      <c r="O594" t="inlineStr">
        <is>
          <t>32C²³, 64B¹⁸, 32D¹¹, 96F¹⁷, 32D²⁴, 96AL²³, 64A¹⁹, 32D²¹, 32L²¹, 32T¹³, 32C¹⁰, 64A¹⁸, 32E²¹, 32E¹⁹, 64P²¹, 32B²⁴, 32H⁶, 32N⁹, 32L⁷, 32P²¹</t>
        </is>
      </c>
    </row>
    <row r="595">
      <c r="A595">
        <f>HYPERLINK("https://mathstats.uncg.edu/sites/pauli/congruence/csg3.html#group33A3", "33A³")</f>
        <v/>
      </c>
      <c r="B595" t="n">
        <v>3</v>
      </c>
      <c r="C595" t="inlineStr"/>
      <c r="D595" t="inlineStr">
        <is>
          <t>36</t>
        </is>
      </c>
      <c r="E595" t="inlineStr">
        <is>
          <t>1</t>
        </is>
      </c>
      <c r="F595" t="inlineStr">
        <is>
          <t>12</t>
        </is>
      </c>
      <c r="G595" t="inlineStr">
        <is>
          <t>0</t>
        </is>
      </c>
      <c r="H595" t="inlineStr">
        <is>
          <t>0</t>
        </is>
      </c>
      <c r="I595" t="inlineStr">
        <is>
          <t>3¹, 33¹</t>
        </is>
      </c>
      <c r="J595" t="n">
        <v>2</v>
      </c>
      <c r="K595" t="inlineStr">
        <is>
          <t>1², 10¹</t>
        </is>
      </c>
      <c r="L595" t="inlineStr">
        <is>
          <t>3A⁰, 11A¹</t>
        </is>
      </c>
      <c r="M595" t="inlineStr">
        <is>
          <t>33A⁵, 66B⁶, 66D⁶, 66A⁸, 99A⁹, 33A¹¹, 132D¹², 165A¹⁵, 165A¹⁷, 231A²¹, 231A²³</t>
        </is>
      </c>
      <c r="N595" t="inlineStr">
        <is>
          <t>3A⁰, 1A⁰, 11A¹</t>
        </is>
      </c>
      <c r="O595" t="inlineStr">
        <is>
          <t>66A⁸, 66D⁶, 66B¹¹, 132B¹⁷, 165A¹⁵, 66B²¹, 99A⁹, 264A²⁴, 198D¹⁸, 198C¹⁸, 198A¹⁸, 165A¹⁷, 231A²³, 33A⁵, 132B¹⁶, 33B¹⁷, 66B⁶, 33A⁹, 66C¹⁶, 198B¹⁸, 132A²³, 132A¹⁷, 33A¹¹, 99B¹⁷, 66A¹⁵, 264B²⁴, 99C¹⁵, 33B²¹, 132F²³, 231A²¹, 132D¹², 132C¹², 66C²¹, 132B²³, 132G²³, 132A¹², 132C²³, 66C¹¹, 99A¹⁷, 132D²³, 66B¹⁶, 132C¹⁶</t>
        </is>
      </c>
    </row>
    <row r="596">
      <c r="A596">
        <f>HYPERLINK("https://mathstats.uncg.edu/sites/pauli/congruence/csg3.html#group33B3", "33B³")</f>
        <v/>
      </c>
      <c r="B596" t="n">
        <v>3</v>
      </c>
      <c r="C596" t="inlineStr"/>
      <c r="D596" t="inlineStr">
        <is>
          <t>44</t>
        </is>
      </c>
      <c r="E596" t="inlineStr">
        <is>
          <t>2</t>
        </is>
      </c>
      <c r="F596" t="inlineStr">
        <is>
          <t>44</t>
        </is>
      </c>
      <c r="G596" t="inlineStr">
        <is>
          <t>0</t>
        </is>
      </c>
      <c r="H596" t="inlineStr">
        <is>
          <t>2</t>
        </is>
      </c>
      <c r="I596" t="inlineStr">
        <is>
          <t>11¹, 33¹</t>
        </is>
      </c>
      <c r="J596" t="n">
        <v>2</v>
      </c>
      <c r="K596" t="inlineStr">
        <is>
          <t>2², 4¹, 10⁴, 20²</t>
        </is>
      </c>
      <c r="L596" t="inlineStr">
        <is>
          <t>3B⁰, 11A⁰</t>
        </is>
      </c>
      <c r="M596" t="inlineStr">
        <is>
          <t>66E⁶, 99B⁹, 33A¹⁰, 66A¹⁰, 99A¹⁰, 99A¹¹, 33A¹³, 132A¹⁴, 33A¹⁷, 165B¹⁷, 165A²¹</t>
        </is>
      </c>
      <c r="N596" t="inlineStr">
        <is>
          <t>11A⁰, 3B⁰, 1A⁰</t>
        </is>
      </c>
      <c r="O596" t="inlineStr">
        <is>
          <t>66A²⁰, 66A¹⁹, 198B²², 99B⁹, 66E⁶, 198A²¹, 198A¹⁹, 99A¹¹, 66A¹⁰, 198A²⁰, 132A¹⁴, 132E¹², 33A¹⁷, 198A²², 165B¹⁷, 99A¹⁰, 165A²¹, 33A¹⁰, 198E¹⁸, 132A²¹, 66A²¹, 33A¹³, 132B²⁰</t>
        </is>
      </c>
    </row>
    <row r="597">
      <c r="A597">
        <f>HYPERLINK("https://mathstats.uncg.edu/sites/pauli/congruence/csg3.html#group33C3", "33C³")</f>
        <v/>
      </c>
      <c r="B597" t="n">
        <v>3</v>
      </c>
      <c r="C597" t="inlineStr">
        <is>
          <t>Γ₀(33)</t>
        </is>
      </c>
      <c r="D597" t="inlineStr">
        <is>
          <t>48</t>
        </is>
      </c>
      <c r="E597" t="inlineStr">
        <is>
          <t>1</t>
        </is>
      </c>
      <c r="F597" t="inlineStr">
        <is>
          <t>48</t>
        </is>
      </c>
      <c r="G597" t="inlineStr">
        <is>
          <t>0</t>
        </is>
      </c>
      <c r="H597" t="inlineStr">
        <is>
          <t>0</t>
        </is>
      </c>
      <c r="I597" t="inlineStr">
        <is>
          <t>1¹, 3¹, 11¹, 33¹</t>
        </is>
      </c>
      <c r="J597" t="n">
        <v>4</v>
      </c>
      <c r="K597" t="inlineStr">
        <is>
          <t>1⁴, 2², 10², 20¹</t>
        </is>
      </c>
      <c r="L597" t="inlineStr">
        <is>
          <t>3B⁰, 11A¹</t>
        </is>
      </c>
      <c r="M597" t="inlineStr">
        <is>
          <t>33B⁵, 66A⁷, 66B⁷, 33A⁹, 66A⁹, 99C⁹, 33B¹¹, 99B¹¹, 99C¹¹, 132C¹⁵, 165A¹⁹, 165B²¹</t>
        </is>
      </c>
      <c r="N597" t="inlineStr">
        <is>
          <t>3B⁰, 1A⁰, 11A¹</t>
        </is>
      </c>
      <c r="O597" t="inlineStr">
        <is>
          <t>66A¹⁷, 132B¹⁵, 66B²¹, 198E²³, 132A¹⁵, 198D²³, 132C¹⁵, 165A¹⁹, 99B²¹, 66A⁹, 132D¹⁹, 99C¹¹, 33B¹⁷, 33A⁹, 198C²¹, 198B²¹, 33C²¹, 33B⁵, 99C¹⁷, 198B²³, 132B²¹, 198C²³, 198D²¹, 99B¹¹, 66C²¹, 66A⁷, 66C¹⁹, 66D²¹, 99A²¹, 198F²³, 132C¹⁹, 132C²¹, 33B¹¹, 165B²¹, 99C⁹, 198A²³, 66B¹⁹, 66A¹³, 66B⁷</t>
        </is>
      </c>
    </row>
    <row r="598">
      <c r="A598">
        <f>HYPERLINK("https://mathstats.uncg.edu/sites/pauli/congruence/csg3.html#group34A3", "34A³")</f>
        <v/>
      </c>
      <c r="B598" t="n">
        <v>3</v>
      </c>
      <c r="C598" t="inlineStr"/>
      <c r="D598" t="inlineStr">
        <is>
          <t>36</t>
        </is>
      </c>
      <c r="E598" t="inlineStr">
        <is>
          <t>1</t>
        </is>
      </c>
      <c r="F598" t="inlineStr">
        <is>
          <t>18</t>
        </is>
      </c>
      <c r="G598" t="inlineStr">
        <is>
          <t>0</t>
        </is>
      </c>
      <c r="H598" t="inlineStr">
        <is>
          <t>0</t>
        </is>
      </c>
      <c r="I598" t="inlineStr">
        <is>
          <t>2¹, 34¹</t>
        </is>
      </c>
      <c r="J598" t="n">
        <v>2</v>
      </c>
      <c r="K598" t="inlineStr">
        <is>
          <t>1², 16¹</t>
        </is>
      </c>
      <c r="L598" t="inlineStr">
        <is>
          <t>17A¹</t>
        </is>
      </c>
      <c r="M598" t="inlineStr">
        <is>
          <t>34B⁵, 34B⁷, 102A⁹, 68A¹¹, 102A¹¹, 170A¹⁵, 170A¹⁷, 238A²¹, 238A²³</t>
        </is>
      </c>
      <c r="N598" t="inlineStr">
        <is>
          <t>1A⁰, 17A¹</t>
        </is>
      </c>
      <c r="O598" t="inlineStr">
        <is>
          <t>170A¹⁵, 102A⁹, 136C²³, 68C¹⁵, 68B¹⁵, 102B²¹, 204D²³, 68B²¹, 170A¹⁷, 34C¹³, 102E¹⁷, 102F¹⁷, 102B¹⁷, 102A¹¹, 34B⁵, 34B⁷, 68A¹¹, 34A⁹, 34A¹⁷, 102C¹⁷, 238A²¹, 238A²³</t>
        </is>
      </c>
    </row>
    <row r="599">
      <c r="A599">
        <f>HYPERLINK("https://mathstats.uncg.edu/sites/pauli/congruence/csg3.html#group34B3", "34B³")</f>
        <v/>
      </c>
      <c r="B599" t="n">
        <v>3</v>
      </c>
      <c r="C599" t="inlineStr"/>
      <c r="D599" t="inlineStr">
        <is>
          <t>36</t>
        </is>
      </c>
      <c r="E599" t="inlineStr">
        <is>
          <t>1</t>
        </is>
      </c>
      <c r="F599" t="inlineStr">
        <is>
          <t>18</t>
        </is>
      </c>
      <c r="G599" t="inlineStr">
        <is>
          <t>0</t>
        </is>
      </c>
      <c r="H599" t="inlineStr">
        <is>
          <t>0</t>
        </is>
      </c>
      <c r="I599" t="inlineStr">
        <is>
          <t>2¹, 34¹</t>
        </is>
      </c>
      <c r="J599" t="n">
        <v>2</v>
      </c>
      <c r="K599" t="inlineStr">
        <is>
          <t>1², 16¹</t>
        </is>
      </c>
      <c r="L599" t="inlineStr">
        <is>
          <t>2A⁰, 17A¹</t>
        </is>
      </c>
      <c r="M599" t="inlineStr">
        <is>
          <t>34B⁵, 34A⁷, 102B⁹, 102C⁹, 68B¹¹, 102B¹¹, 170B¹⁵, 170B¹⁷, 238B²¹, 238B²³</t>
        </is>
      </c>
      <c r="N599" t="inlineStr">
        <is>
          <t>2A⁰, 1A⁰, 17A¹</t>
        </is>
      </c>
      <c r="O599" t="inlineStr">
        <is>
          <t>102C⁹, 170B¹⁷, 34A⁷, 238B²³, 102B⁹, 102D¹⁷, 102B¹¹, 204A²³, 136B²³, 102B²¹, 136A²³, 68B²¹, 68D¹⁵, 34C¹³, 238B²¹, 102B¹⁷, 68A¹⁵, 34B⁵, 102G¹⁷, 34A⁹, 34A¹⁷, 102C¹⁷, 204B²³, 68B¹¹, 170B¹⁵</t>
        </is>
      </c>
    </row>
    <row r="600">
      <c r="A600">
        <f>HYPERLINK("https://mathstats.uncg.edu/sites/pauli/congruence/csg3.html#group34C3", "34C³")</f>
        <v/>
      </c>
      <c r="B600" t="n">
        <v>3</v>
      </c>
      <c r="C600" t="inlineStr">
        <is>
          <t>Γ₀(34)</t>
        </is>
      </c>
      <c r="D600" t="inlineStr">
        <is>
          <t>54</t>
        </is>
      </c>
      <c r="E600" t="inlineStr">
        <is>
          <t>1</t>
        </is>
      </c>
      <c r="F600" t="inlineStr">
        <is>
          <t>54</t>
        </is>
      </c>
      <c r="G600" t="inlineStr">
        <is>
          <t>2</t>
        </is>
      </c>
      <c r="H600" t="inlineStr">
        <is>
          <t>0</t>
        </is>
      </c>
      <c r="I600" t="inlineStr">
        <is>
          <t>1¹, 2¹, 17¹, 34¹</t>
        </is>
      </c>
      <c r="J600" t="n">
        <v>4</v>
      </c>
      <c r="K600" t="inlineStr">
        <is>
          <t>1⁶, 16³</t>
        </is>
      </c>
      <c r="L600" t="inlineStr">
        <is>
          <t>2B⁰, 17A¹</t>
        </is>
      </c>
      <c r="M600" t="inlineStr">
        <is>
          <t>34C⁵, 34A⁷, 34B⁷, 68A⁷, 68B⁷, 68C⁷, 68D⁷, 102C¹¹, 102C¹⁵, 170A²¹, 170A²³</t>
        </is>
      </c>
      <c r="N600" t="inlineStr">
        <is>
          <t>1A⁰, 17A¹, 2B⁰</t>
        </is>
      </c>
      <c r="O600" t="inlineStr">
        <is>
          <t>204H²³, 34A⁷, 34C⁵, 136B¹⁷, 68C¹⁵, 68C²¹, 68F¹⁵, 68D⁷, 102C¹¹, 68D¹³, 136F¹⁵, 68D¹⁵, 34C¹³, 102C¹⁵, 136A¹⁵, 136G¹⁵, 136C¹⁵, 68A¹⁵, 34B²¹, 34A²¹, 204G²³, 136D¹⁵, 68B⁷, 170A²³, 102D²³, 102A²³, 68B¹³, 34B⁹, 136B¹⁵, 204E²³, 204F²³, 34D¹³, 102B²³, 68B¹⁵, 68C⁷, 68E¹⁵, 68C¹³, 102C²³, 136A¹⁷, 136E¹⁵, 68A⁷, 136C¹⁷, 34B⁷, 170A²¹, 102C²¹, 68A¹³</t>
        </is>
      </c>
    </row>
    <row r="601">
      <c r="A601">
        <f>HYPERLINK("https://mathstats.uncg.edu/sites/pauli/congruence/csg3.html#group35A3", "35A³")</f>
        <v/>
      </c>
      <c r="B601" t="n">
        <v>3</v>
      </c>
      <c r="C601" t="inlineStr">
        <is>
          <t>Γ₀(35)</t>
        </is>
      </c>
      <c r="D601" t="inlineStr">
        <is>
          <t>48</t>
        </is>
      </c>
      <c r="E601" t="inlineStr">
        <is>
          <t>1</t>
        </is>
      </c>
      <c r="F601" t="inlineStr">
        <is>
          <t>48</t>
        </is>
      </c>
      <c r="G601" t="inlineStr">
        <is>
          <t>0</t>
        </is>
      </c>
      <c r="H601" t="inlineStr">
        <is>
          <t>0</t>
        </is>
      </c>
      <c r="I601" t="inlineStr">
        <is>
          <t>1¹, 5¹, 7¹, 35¹</t>
        </is>
      </c>
      <c r="J601" t="n">
        <v>4</v>
      </c>
      <c r="K601" t="inlineStr">
        <is>
          <t>1⁴, 4², 6², 24¹</t>
        </is>
      </c>
      <c r="L601" t="inlineStr">
        <is>
          <t>5B⁰, 7B⁰</t>
        </is>
      </c>
      <c r="M601" t="inlineStr">
        <is>
          <t>35C⁵, 35B⁷, 70B⁷, 70C⁷, 70D⁹, 105B¹¹, 105C¹¹, 105B¹³, 35C¹⁵, 140C¹⁵, 175A¹⁵, 175C¹⁹, 175B¹⁹, 175D¹⁹, 175A¹⁹, 35B²¹, 245A²¹</t>
        </is>
      </c>
      <c r="N601" t="inlineStr">
        <is>
          <t>5B⁰, 1A⁰, 7B⁰</t>
        </is>
      </c>
      <c r="O601" t="inlineStr">
        <is>
          <t>175A¹⁵, 210B²³, 35B⁷, 210C²³, 70J¹⁷, 140B¹⁵, 70E¹⁹, 140B²¹, 175C¹⁹, 70E¹³, 70D⁹, 245A²¹, 70F¹⁹, 210A²³, 210F²³, 105D²¹, 140A¹⁵, 175D¹⁹, 70I¹⁹, 70B⁷, 105B¹¹, 105B¹³, 140C²¹, 35D¹³, 35C¹⁵, 105C²¹, 140I¹⁹, 70F¹³, 105C¹¹, 210G²³, 140D¹⁵, 35E⁹, 210D²³, 175B¹⁹, 140C¹⁵, 105E²¹, 210E²³, 35C⁵, 140H¹⁹, 105B²¹, 210H²³, 175A¹⁹, 70C⁷, 35B²¹, 70H¹⁹, 70G¹⁹</t>
        </is>
      </c>
    </row>
    <row r="602">
      <c r="A602">
        <f>HYPERLINK("https://mathstats.uncg.edu/sites/pauli/congruence/csg3.html#group36A3", "36A³")</f>
        <v/>
      </c>
      <c r="B602" t="n">
        <v>3</v>
      </c>
      <c r="C602" t="inlineStr"/>
      <c r="D602" t="inlineStr">
        <is>
          <t>48</t>
        </is>
      </c>
      <c r="E602" t="inlineStr">
        <is>
          <t>1</t>
        </is>
      </c>
      <c r="F602" t="inlineStr">
        <is>
          <t>4</t>
        </is>
      </c>
      <c r="G602" t="inlineStr">
        <is>
          <t>0</t>
        </is>
      </c>
      <c r="H602" t="inlineStr">
        <is>
          <t>0</t>
        </is>
      </c>
      <c r="I602" t="inlineStr">
        <is>
          <t>4³, 36¹</t>
        </is>
      </c>
      <c r="J602" t="n">
        <v>4</v>
      </c>
      <c r="K602" t="inlineStr">
        <is>
          <t>1², 2¹</t>
        </is>
      </c>
      <c r="L602" t="inlineStr">
        <is>
          <t>12B⁰, 18C¹</t>
        </is>
      </c>
      <c r="M602" t="inlineStr">
        <is>
          <t>36H⁷, 36B⁹, 36F⁹, 36M⁹, 108A⁹, 108B⁹, 36C¹⁰, 36E¹⁰, 108A¹⁰, 108B¹⁰, 108A¹¹, 108B¹¹, 180A¹⁹, 180D²¹</t>
        </is>
      </c>
      <c r="N602" t="inlineStr">
        <is>
          <t>3B⁰, 9B⁰, 2A⁰, 1A⁰, 18C¹, 6C⁰, 12B⁰</t>
        </is>
      </c>
      <c r="O602" t="inlineStr">
        <is>
          <t>108B⁹, 108A¹⁰, 108B¹⁰, 36F⁹, 36U¹³, 108A¹¹, 36E¹⁰, 108A⁹, 36B⁹, 36H⁷, 180A¹⁹, 108B¹¹, 36M⁹, 36C¹⁰, 180D²¹</t>
        </is>
      </c>
    </row>
    <row r="603">
      <c r="A603">
        <f>HYPERLINK("https://mathstats.uncg.edu/sites/pauli/congruence/csg3.html#group36B3", "36B³")</f>
        <v/>
      </c>
      <c r="B603" t="n">
        <v>3</v>
      </c>
      <c r="C603" t="inlineStr"/>
      <c r="D603" t="inlineStr">
        <is>
          <t>48</t>
        </is>
      </c>
      <c r="E603" t="inlineStr">
        <is>
          <t>1</t>
        </is>
      </c>
      <c r="F603" t="inlineStr">
        <is>
          <t>16</t>
        </is>
      </c>
      <c r="G603" t="inlineStr">
        <is>
          <t>0</t>
        </is>
      </c>
      <c r="H603" t="inlineStr">
        <is>
          <t>0</t>
        </is>
      </c>
      <c r="I603" t="inlineStr">
        <is>
          <t>4³, 36¹</t>
        </is>
      </c>
      <c r="J603" t="n">
        <v>4</v>
      </c>
      <c r="K603" t="inlineStr">
        <is>
          <t>2⁴, 4²</t>
        </is>
      </c>
      <c r="L603" t="inlineStr">
        <is>
          <t>9B⁰, 12A¹</t>
        </is>
      </c>
      <c r="M603" t="inlineStr">
        <is>
          <t>36F⁵, 36I⁷, 72A⁷, 36H⁹, 108C⁹, 36H¹⁰, 108D¹⁰, 108C¹¹, 72E¹³, 180B¹⁹, 180G²¹</t>
        </is>
      </c>
      <c r="N603" t="inlineStr">
        <is>
          <t>3B⁰, 9B⁰, 1A⁰, 4A⁰, 12A¹</t>
        </is>
      </c>
      <c r="O603" t="inlineStr">
        <is>
          <t>36H¹⁰, 72Q¹⁷, 108C⁹, 72C²², 36I⁷, 72A⁷, 216A²², 144A¹⁵, 180G²¹, 108C¹⁹, 36D¹⁷, 108D¹⁷, 36F⁵, 36M⁹, 36H⁹, 72E¹³, 108E¹⁷, 108D¹⁰, 216A²¹, 108A¹⁹, 36G¹⁷, 36G¹⁹, 72Y¹⁵, 180B¹⁹, 108A²¹, 216A²³, 72R²¹, 108C²¹, 36E¹⁹, 72R¹⁷, 36T¹³, 72O¹⁹, 108C¹¹, 72B¹³, 72A¹³</t>
        </is>
      </c>
    </row>
    <row r="604">
      <c r="A604">
        <f>HYPERLINK("https://mathstats.uncg.edu/sites/pauli/congruence/csg3.html#group36C3", "36C³")</f>
        <v/>
      </c>
      <c r="B604" t="n">
        <v>3</v>
      </c>
      <c r="C604" t="inlineStr"/>
      <c r="D604" t="inlineStr">
        <is>
          <t>48</t>
        </is>
      </c>
      <c r="E604" t="inlineStr">
        <is>
          <t>1</t>
        </is>
      </c>
      <c r="F604" t="inlineStr">
        <is>
          <t>16</t>
        </is>
      </c>
      <c r="G604" t="inlineStr">
        <is>
          <t>0</t>
        </is>
      </c>
      <c r="H604" t="inlineStr">
        <is>
          <t>3</t>
        </is>
      </c>
      <c r="I604" t="inlineStr">
        <is>
          <t>12¹, 36¹</t>
        </is>
      </c>
      <c r="J604" t="n">
        <v>2</v>
      </c>
      <c r="K604" t="inlineStr">
        <is>
          <t>2⁴, 4²</t>
        </is>
      </c>
      <c r="L604" t="inlineStr">
        <is>
          <t>9C⁰, 12A¹</t>
        </is>
      </c>
      <c r="M604" t="inlineStr">
        <is>
          <t>36G⁵, 72A⁶, 36I⁹, 36H¹⁰, 36J¹⁰, 108E¹⁰, 108D¹¹, 108B¹², 72A¹⁴, 180A¹⁸, 180I²³</t>
        </is>
      </c>
      <c r="N604" t="inlineStr">
        <is>
          <t>3B⁰, 9C⁰, 1A⁰, 4A⁰, 12A¹</t>
        </is>
      </c>
      <c r="O604" t="inlineStr">
        <is>
          <t>36J¹⁰, 72A²⁰, 36H¹⁰, 36H¹⁷, 180A¹⁸, 72J¹¹, 108E¹⁰, 72E²¹, 72A¹⁴, 36G⁵, 108B¹², 72C²², 216B²², 36A¹⁹, 36F¹⁶, 36I⁹, 108B²¹, 72G²¹, 72A⁶, 72C²⁰, 144V²³, 72Y²¹, 72A²², 108A²³, 108D¹¹, 216A²⁴, 72I¹¹, 108A²², 36F¹⁷, 144A¹², 216A²⁰, 108A²⁰, 36E¹⁹, 144U²³, 36N⁹, 180I²³, 108D²¹, 108B¹⁹</t>
        </is>
      </c>
    </row>
    <row r="605">
      <c r="A605">
        <f>HYPERLINK("https://mathstats.uncg.edu/sites/pauli/congruence/csg3.html#group36D3", "36D³")</f>
        <v/>
      </c>
      <c r="B605" t="n">
        <v>3</v>
      </c>
      <c r="C605" t="inlineStr"/>
      <c r="D605" t="inlineStr">
        <is>
          <t>54</t>
        </is>
      </c>
      <c r="E605" t="inlineStr">
        <is>
          <t>1</t>
        </is>
      </c>
      <c r="F605" t="inlineStr">
        <is>
          <t>27</t>
        </is>
      </c>
      <c r="G605" t="inlineStr">
        <is>
          <t>4</t>
        </is>
      </c>
      <c r="H605" t="inlineStr">
        <is>
          <t>0</t>
        </is>
      </c>
      <c r="I605" t="inlineStr">
        <is>
          <t>9², 36¹</t>
        </is>
      </c>
      <c r="J605" t="n">
        <v>3</v>
      </c>
      <c r="K605" t="inlineStr">
        <is>
          <t>1³, 2³, 6³</t>
        </is>
      </c>
      <c r="L605" t="inlineStr">
        <is>
          <t>12D⁰, 18E¹</t>
        </is>
      </c>
      <c r="M605" t="inlineStr">
        <is>
          <t>36C⁶, 36H⁶, 36C⁷, 36F⁷, 36D⁸, 36M⁸, 180A²¹, 180M²³</t>
        </is>
      </c>
      <c r="N605" t="inlineStr">
        <is>
          <t>9A⁰, 2B⁰, 12D⁰, 18E¹, 3A⁰, 1A⁰, 6D⁰</t>
        </is>
      </c>
      <c r="O605" t="inlineStr">
        <is>
          <t>72G¹⁵, 72B¹⁴, 72R¹⁶, 72F¹⁵, 36A¹⁸, 36D¹⁵, 36D²¹, 72T¹⁵, 36H⁶, 180A²¹, 72I¹³, 36B¹⁵, 72D¹⁷, 36S¹⁹, 36A¹⁴, 36C¹³, 72C¹⁴, 36J¹⁵, 72Q¹⁵, 36F⁷, 36D⁸, 36B¹⁸, 36M⁸, 36P¹³, 72L¹³, 36B¹⁴, 36C⁷, 36B¹⁶, 36J²², 36Q¹⁹, 36C⁶, 36C¹⁶, 180M²³, 36M¹⁹, 36I¹⁶</t>
        </is>
      </c>
    </row>
    <row r="606">
      <c r="A606">
        <f>HYPERLINK("https://mathstats.uncg.edu/sites/pauli/congruence/csg3.html#group36E3", "36E³")</f>
        <v/>
      </c>
      <c r="B606" t="n">
        <v>3</v>
      </c>
      <c r="C606" t="inlineStr"/>
      <c r="D606" t="inlineStr">
        <is>
          <t>54</t>
        </is>
      </c>
      <c r="E606" t="inlineStr">
        <is>
          <t>1</t>
        </is>
      </c>
      <c r="F606" t="inlineStr">
        <is>
          <t>27</t>
        </is>
      </c>
      <c r="G606" t="inlineStr">
        <is>
          <t>6</t>
        </is>
      </c>
      <c r="H606" t="inlineStr">
        <is>
          <t>0</t>
        </is>
      </c>
      <c r="I606" t="inlineStr">
        <is>
          <t>18¹, 36¹</t>
        </is>
      </c>
      <c r="J606" t="n">
        <v>2</v>
      </c>
      <c r="K606" t="inlineStr">
        <is>
          <t>1³, 2³, 6³</t>
        </is>
      </c>
      <c r="L606" t="inlineStr">
        <is>
          <t>12C¹, 18E¹</t>
        </is>
      </c>
      <c r="M606" t="inlineStr">
        <is>
          <t>36H⁵, 36K⁵, 36C⁸, 36D⁸, 36E⁸, 36P¹⁰, 180B²¹, 180N²³</t>
        </is>
      </c>
      <c r="N606" t="inlineStr">
        <is>
          <t>2B⁰, 9A⁰, 18E¹, 3A⁰, 1A⁰, 6D⁰, 12C¹</t>
        </is>
      </c>
      <c r="O606" t="inlineStr">
        <is>
          <t>36E⁸, 36C⁸, 36I¹⁵, 36H¹³, 36A¹⁵, 36D¹⁵, 72B¹⁷, 72H¹³, 72M¹¹, 36N¹⁹, 36P¹⁰, 36S¹⁹, 72K¹⁴, 144W²³, 36R¹⁹, 36A²³, 180B²¹, 36J¹⁵, 72N¹¹, 36I¹³, 36K⁵, 36O⁹, 36H⁵, 36C²², 36D⁸, 72A¹⁷, 180N²³, 72AA²¹, 36J²², 36B¹⁶, 144X²³, 72C¹⁶, 36I²², 36H²², 36T¹⁹, 36C¹⁶, 72G¹³, 72D¹⁶</t>
        </is>
      </c>
    </row>
    <row r="607">
      <c r="A607">
        <f>HYPERLINK("https://mathstats.uncg.edu/sites/pauli/congruence/csg3.html#group36F3", "36F³")</f>
        <v/>
      </c>
      <c r="B607" t="n">
        <v>3</v>
      </c>
      <c r="C607" t="inlineStr"/>
      <c r="D607" t="inlineStr">
        <is>
          <t>72</t>
        </is>
      </c>
      <c r="E607" t="inlineStr">
        <is>
          <t>1</t>
        </is>
      </c>
      <c r="F607" t="inlineStr">
        <is>
          <t>6</t>
        </is>
      </c>
      <c r="G607" t="inlineStr">
        <is>
          <t>12</t>
        </is>
      </c>
      <c r="H607" t="inlineStr">
        <is>
          <t>0</t>
        </is>
      </c>
      <c r="I607" t="inlineStr">
        <is>
          <t>36²</t>
        </is>
      </c>
      <c r="J607" t="n">
        <v>2</v>
      </c>
      <c r="K607" t="inlineStr">
        <is>
          <t>2¹, 4¹</t>
        </is>
      </c>
      <c r="L607" t="inlineStr">
        <is>
          <t>18D⁰, 12D¹</t>
        </is>
      </c>
      <c r="M607" t="inlineStr">
        <is>
          <t>36A¹¹, 36E¹³, 36F¹³, 36G¹³, 36L¹³, 36M¹³, 36O¹³, 36Q¹³, 36P¹⁵</t>
        </is>
      </c>
      <c r="N607" t="inlineStr">
        <is>
          <t>12D¹, 6B⁰, 9D⁰, 18D⁰, 6E⁰, 9A⁰, 3C⁰, 3A⁰, 1A⁰, 18A⁰</t>
        </is>
      </c>
      <c r="O607" t="inlineStr">
        <is>
          <t>36F¹³, 36E¹³, 36P¹⁵, 36M¹³, 36L¹³, 36Q¹³, 36G¹³, 36O¹³, 36A¹¹</t>
        </is>
      </c>
    </row>
    <row r="608">
      <c r="A608">
        <f>HYPERLINK("https://mathstats.uncg.edu/sites/pauli/congruence/csg3.html#group36G3", "36G³")</f>
        <v/>
      </c>
      <c r="B608" t="n">
        <v>3</v>
      </c>
      <c r="C608" t="inlineStr"/>
      <c r="D608" t="inlineStr">
        <is>
          <t>72</t>
        </is>
      </c>
      <c r="E608" t="inlineStr">
        <is>
          <t>1</t>
        </is>
      </c>
      <c r="F608" t="inlineStr">
        <is>
          <t>12</t>
        </is>
      </c>
      <c r="G608" t="inlineStr">
        <is>
          <t>0</t>
        </is>
      </c>
      <c r="H608" t="inlineStr">
        <is>
          <t>0</t>
        </is>
      </c>
      <c r="I608" t="inlineStr">
        <is>
          <t>2³, 4³, 18¹, 36¹</t>
        </is>
      </c>
      <c r="J608" t="n">
        <v>8</v>
      </c>
      <c r="K608" t="inlineStr">
        <is>
          <t>1⁶, 2³</t>
        </is>
      </c>
      <c r="L608" t="inlineStr">
        <is>
          <t>18E⁰, 12F¹</t>
        </is>
      </c>
      <c r="M608" t="inlineStr">
        <is>
          <t>36L⁵, 36I⁷, 72D⁷, 72B⁹, 72C⁹, 36K¹¹, 108E¹¹, 36D¹³, 108A¹³, 108A¹⁵</t>
        </is>
      </c>
      <c r="N608" t="inlineStr">
        <is>
          <t>3B⁰, 18E⁰, 12F¹, 4C⁰, 9B⁰, 1A⁰, 2B⁰, 6F⁰</t>
        </is>
      </c>
      <c r="O608" t="inlineStr">
        <is>
          <t>144A²¹, 36F²¹, 72Q¹⁷, 144I²¹, 108E¹¹, 108E²¹, 72B⁹, 144E¹⁵, 144C²¹, 72W¹³, 36I⁷, 72U¹⁷, 36U¹³, 72N¹⁷, 72C⁹, 72D⁷, 144K²¹, 72R¹³, 72T¹⁷, 36L⁵, 72M¹⁷, 144I¹⁹, 36D¹³, 72V¹³, 72Y¹⁵, 108A¹³, 144L²¹, 144J²¹, 36Q⁹, 72R¹⁷, 36K¹¹, 36T¹³, 72O¹⁹, 144B²¹, 72Q¹³, 108A¹⁵, 144D²¹</t>
        </is>
      </c>
    </row>
    <row r="609">
      <c r="A609">
        <f>HYPERLINK("https://mathstats.uncg.edu/sites/pauli/congruence/csg3.html#group36H3", "36H³")</f>
        <v/>
      </c>
      <c r="B609" t="n">
        <v>3</v>
      </c>
      <c r="C609" t="inlineStr"/>
      <c r="D609" t="inlineStr">
        <is>
          <t>72</t>
        </is>
      </c>
      <c r="E609" t="inlineStr">
        <is>
          <t>1</t>
        </is>
      </c>
      <c r="F609" t="inlineStr">
        <is>
          <t>12</t>
        </is>
      </c>
      <c r="G609" t="inlineStr">
        <is>
          <t>12</t>
        </is>
      </c>
      <c r="H609" t="inlineStr">
        <is>
          <t>0</t>
        </is>
      </c>
      <c r="I609" t="inlineStr">
        <is>
          <t>36²</t>
        </is>
      </c>
      <c r="J609" t="n">
        <v>2</v>
      </c>
      <c r="K609" t="inlineStr">
        <is>
          <t>2², 4²</t>
        </is>
      </c>
      <c r="L609" t="inlineStr">
        <is>
          <t>9D⁰, 12G¹, 36A¹</t>
        </is>
      </c>
      <c r="M609" t="inlineStr">
        <is>
          <t>36M⁵, 72G⁹, 72F⁹, 36C¹¹, 36D¹¹, 36I¹³, 36N¹³, 36R¹³, 72V¹⁷</t>
        </is>
      </c>
      <c r="N609" t="inlineStr">
        <is>
          <t>12G¹, 36A¹, 12A⁰, 9D⁰, 4A⁰, 9A⁰, 3C⁰, 3A⁰, 1A⁰</t>
        </is>
      </c>
      <c r="O609" t="inlineStr">
        <is>
          <t>36C¹¹, 72V¹⁷, 36I¹³, 72A²³, 72F⁹, 36P¹⁵, 72B²³, 72F²³, 72S¹⁷, 144M²¹, 144N²¹, 36A²¹, 36M⁵, 36D¹¹, 36N¹³, 72G⁹, 72W¹⁷, 36R¹³</t>
        </is>
      </c>
    </row>
    <row r="610">
      <c r="A610">
        <f>HYPERLINK("https://mathstats.uncg.edu/sites/pauli/congruence/csg3.html#group36I3", "36I³")</f>
        <v/>
      </c>
      <c r="B610" t="n">
        <v>3</v>
      </c>
      <c r="C610" t="inlineStr"/>
      <c r="D610" t="inlineStr">
        <is>
          <t>108</t>
        </is>
      </c>
      <c r="E610" t="inlineStr">
        <is>
          <t>1</t>
        </is>
      </c>
      <c r="F610" t="inlineStr">
        <is>
          <t>54</t>
        </is>
      </c>
      <c r="G610" t="inlineStr">
        <is>
          <t>4</t>
        </is>
      </c>
      <c r="H610" t="inlineStr">
        <is>
          <t>0</t>
        </is>
      </c>
      <c r="I610" t="inlineStr">
        <is>
          <t>3⁶, 9², 12³, 36¹</t>
        </is>
      </c>
      <c r="J610" t="n">
        <v>12</v>
      </c>
      <c r="K610" t="inlineStr">
        <is>
          <t>1³, 2³, 3³, 6⁶</t>
        </is>
      </c>
      <c r="L610" t="inlineStr">
        <is>
          <t>12G⁰, 18I¹</t>
        </is>
      </c>
      <c r="M610" t="inlineStr">
        <is>
          <t>36N⁷, 72L⁸, 72M⁸, 36P⁹, 36M¹¹, 72D¹², 72E¹², 36G¹⁶, 36A¹⁸</t>
        </is>
      </c>
      <c r="N610" t="inlineStr">
        <is>
          <t>12G⁰, 18I¹, 6G⁰, 3C⁰, 2B⁰, 12D⁰, 9E⁰, 3A⁰, 1A⁰, 6D⁰</t>
        </is>
      </c>
      <c r="O610" t="inlineStr">
        <is>
          <t>36E²¹, 36N⁷, 72AB²¹, 72M⁸, 72X¹⁷, 72D¹², 36A¹⁸, 36K¹⁷, 36P⁹, 36B²³, 72L⁸, 72E¹², 36D²³, 72J²³, 36G¹⁶, 36M¹¹, 72K²³, 72I²³, 36U¹⁹, 36C²³</t>
        </is>
      </c>
    </row>
    <row r="611">
      <c r="A611">
        <f>HYPERLINK("https://mathstats.uncg.edu/sites/pauli/congruence/csg3.html#group36J3", "36J³")</f>
        <v/>
      </c>
      <c r="B611" t="n">
        <v>3</v>
      </c>
      <c r="C611" t="inlineStr"/>
      <c r="D611" t="inlineStr">
        <is>
          <t>144</t>
        </is>
      </c>
      <c r="E611" t="inlineStr">
        <is>
          <t>1</t>
        </is>
      </c>
      <c r="F611" t="inlineStr">
        <is>
          <t>12</t>
        </is>
      </c>
      <c r="G611" t="inlineStr">
        <is>
          <t>0</t>
        </is>
      </c>
      <c r="H611" t="inlineStr">
        <is>
          <t>0</t>
        </is>
      </c>
      <c r="I611" t="inlineStr">
        <is>
          <t>2¹², 4³, 18⁴, 36¹</t>
        </is>
      </c>
      <c r="J611" t="n">
        <v>20</v>
      </c>
      <c r="K611" t="inlineStr">
        <is>
          <t>1⁶, 2³</t>
        </is>
      </c>
      <c r="L611" t="inlineStr">
        <is>
          <t>12I⁰, 18J¹</t>
        </is>
      </c>
      <c r="M611" t="inlineStr">
        <is>
          <t>36Q⁹, 36U¹³, 36J¹⁷, 108F¹⁷, 36K²², 108E²²</t>
        </is>
      </c>
      <c r="N611" t="inlineStr">
        <is>
          <t>18C⁰, 3B⁰, 2A⁰, 18E⁰, 6I⁰, 18C¹, 6C⁰, 12I⁰, 9B⁰, 1A⁰, 2B⁰, 18J¹, 6F⁰, 2C⁰</t>
        </is>
      </c>
      <c r="O611" t="inlineStr">
        <is>
          <t>36U¹³, 36K²², 108F¹⁷, 36Q⁹, 36J¹⁷, 108E²²</t>
        </is>
      </c>
    </row>
    <row r="612">
      <c r="A612">
        <f>HYPERLINK("https://mathstats.uncg.edu/sites/pauli/congruence/csg3.html#group36K3", "36K³")</f>
        <v/>
      </c>
      <c r="B612" t="n">
        <v>3</v>
      </c>
      <c r="C612" t="inlineStr"/>
      <c r="D612" t="inlineStr">
        <is>
          <t>144</t>
        </is>
      </c>
      <c r="E612" t="inlineStr">
        <is>
          <t>1</t>
        </is>
      </c>
      <c r="F612" t="inlineStr">
        <is>
          <t>24</t>
        </is>
      </c>
      <c r="G612" t="inlineStr">
        <is>
          <t>0</t>
        </is>
      </c>
      <c r="H612" t="inlineStr">
        <is>
          <t>0</t>
        </is>
      </c>
      <c r="I612" t="inlineStr">
        <is>
          <t>1⁶, 2³, 4⁶, 9², 18¹, 36²</t>
        </is>
      </c>
      <c r="J612" t="n">
        <v>20</v>
      </c>
      <c r="K612" t="inlineStr">
        <is>
          <t>1⁸, 2⁶, 4¹</t>
        </is>
      </c>
      <c r="L612" t="inlineStr">
        <is>
          <t>12J⁰, 36C¹</t>
        </is>
      </c>
      <c r="M612" t="inlineStr">
        <is>
          <t>36Q⁹, 72I⁹, 72S¹³, 36L¹⁷, 108G¹⁷, 36L²², 108F²²</t>
        </is>
      </c>
      <c r="N612" t="inlineStr">
        <is>
          <t>3B⁰, 18E⁰, 12J⁰, 9B⁰, 1A⁰, 2B⁰, 36C¹, 4B⁰, 6F⁰, 12E⁰</t>
        </is>
      </c>
      <c r="O612" t="inlineStr">
        <is>
          <t>36Q⁹, 72S¹³, 108G¹⁷, 36L²², 72I⁹, 108F²², 36L¹⁷</t>
        </is>
      </c>
    </row>
    <row r="613">
      <c r="A613">
        <f>HYPERLINK("https://mathstats.uncg.edu/sites/pauli/congruence/csg3.html#group39A3", "39A³")</f>
        <v/>
      </c>
      <c r="B613" t="n">
        <v>3</v>
      </c>
      <c r="C613" t="inlineStr">
        <is>
          <t>Γ₀(39)</t>
        </is>
      </c>
      <c r="D613" t="inlineStr">
        <is>
          <t>56</t>
        </is>
      </c>
      <c r="E613" t="inlineStr">
        <is>
          <t>1</t>
        </is>
      </c>
      <c r="F613" t="inlineStr">
        <is>
          <t>56</t>
        </is>
      </c>
      <c r="G613" t="inlineStr">
        <is>
          <t>0</t>
        </is>
      </c>
      <c r="H613" t="inlineStr">
        <is>
          <t>2</t>
        </is>
      </c>
      <c r="I613" t="inlineStr">
        <is>
          <t>1¹, 3¹, 13¹, 39¹</t>
        </is>
      </c>
      <c r="J613" t="n">
        <v>4</v>
      </c>
      <c r="K613" t="inlineStr">
        <is>
          <t>1⁴, 2², 12², 24¹</t>
        </is>
      </c>
      <c r="L613" t="inlineStr">
        <is>
          <t>3B⁰, 13A⁰</t>
        </is>
      </c>
      <c r="M613" t="inlineStr">
        <is>
          <t>39B⁵, 78B⁷, 78C⁷, 39B⁹, 39A¹⁰, 117A¹⁰, 39A¹¹, 78C¹¹, 117A¹¹, 117B¹¹, 117A¹², 117A¹³, 117B¹³, 156A¹⁷, 195A²¹</t>
        </is>
      </c>
      <c r="N613" t="inlineStr">
        <is>
          <t>13A⁰, 3B⁰, 1A⁰</t>
        </is>
      </c>
      <c r="O613" t="inlineStr">
        <is>
          <t>117A¹¹, 39B²¹, 156C²³, 156A¹⁵, 39A¹⁷, 78C⁷, 39B⁹, 117A²¹, 78B⁷, 117B²¹, 234C²³, 78C²¹, 78H²³, 78F²³, 234A²³, 39B¹⁹, 78A²³, 117B¹¹, 39A¹⁰, 117A²³, 234E²³, 78G²³, 78B²³, 117B¹⁹, 39C⁹, 117A¹³, 78C¹¹, 156B¹⁵, 39B⁵, 78G¹³, 156D²³, 234B²³, 78B²¹, 78F¹³, 156C¹⁵, 78E²³, 78C²³, 39A¹¹, 117A¹², 195A²¹, 78A²⁴, 156A¹⁷, 117B¹³, 234A²⁴, 234D²³, 117A¹⁰</t>
        </is>
      </c>
    </row>
    <row r="614">
      <c r="A614">
        <f>HYPERLINK("https://mathstats.uncg.edu/sites/pauli/congruence/csg3.html#group40A3", "40A³")</f>
        <v/>
      </c>
      <c r="B614" t="n">
        <v>3</v>
      </c>
      <c r="C614" t="inlineStr"/>
      <c r="D614" t="inlineStr">
        <is>
          <t>48</t>
        </is>
      </c>
      <c r="E614" t="inlineStr">
        <is>
          <t>2</t>
        </is>
      </c>
      <c r="F614" t="inlineStr">
        <is>
          <t>24</t>
        </is>
      </c>
      <c r="G614" t="inlineStr">
        <is>
          <t>4</t>
        </is>
      </c>
      <c r="H614" t="inlineStr">
        <is>
          <t>0</t>
        </is>
      </c>
      <c r="I614" t="inlineStr">
        <is>
          <t>8¹, 40¹</t>
        </is>
      </c>
      <c r="J614" t="n">
        <v>2</v>
      </c>
      <c r="K614" t="inlineStr">
        <is>
          <t>4⁴, 16²</t>
        </is>
      </c>
      <c r="L614" t="inlineStr">
        <is>
          <t>20B¹</t>
        </is>
      </c>
      <c r="M614" t="inlineStr">
        <is>
          <t>40J⁵, 40A⁷, 40C⁷, 40Q⁹, 120C⁹, 40H¹¹, 120C¹⁵, 40R¹⁷, 200A¹⁷, 200C¹⁹, 200B¹⁹, 200D¹⁹, 200A¹⁹</t>
        </is>
      </c>
      <c r="N614" t="inlineStr">
        <is>
          <t>5B⁰, 1A⁰, 4A⁰, 20B¹</t>
        </is>
      </c>
      <c r="O614" t="inlineStr">
        <is>
          <t>200A¹⁹, 80C¹⁵, 40F¹⁹, 40G¹¹, 40AK¹⁷, 40AL¹⁷, 40R¹⁷, 40A¹⁹, 120C²³, 120P¹⁷, 120C¹⁵, 200D¹⁹, 40J⁵, 120N¹⁹, 120I²³, 80B¹³, 200A¹⁷, 120K²¹, 120I²¹, 40E¹⁹, 40H¹¹, 40C⁷, 80A¹³, 120A²³, 120P¹⁹, 120C⁹, 40M²¹, 40H¹⁹, 40A⁷, 200B¹⁹, 200C¹⁹, 40Q⁹, 40C¹³, 40F¹¹, 80D¹⁵, 40AN¹⁷</t>
        </is>
      </c>
    </row>
    <row r="615">
      <c r="A615">
        <f>HYPERLINK("https://mathstats.uncg.edu/sites/pauli/congruence/csg3.html#group40B3", "40B³")</f>
        <v/>
      </c>
      <c r="B615" t="n">
        <v>3</v>
      </c>
      <c r="C615" t="inlineStr"/>
      <c r="D615" t="inlineStr">
        <is>
          <t>48</t>
        </is>
      </c>
      <c r="E615" t="inlineStr">
        <is>
          <t>2</t>
        </is>
      </c>
      <c r="F615" t="inlineStr">
        <is>
          <t>24</t>
        </is>
      </c>
      <c r="G615" t="inlineStr">
        <is>
          <t>4</t>
        </is>
      </c>
      <c r="H615" t="inlineStr">
        <is>
          <t>0</t>
        </is>
      </c>
      <c r="I615" t="inlineStr">
        <is>
          <t>8¹, 40¹</t>
        </is>
      </c>
      <c r="J615" t="n">
        <v>2</v>
      </c>
      <c r="K615" t="inlineStr">
        <is>
          <t>4⁴, 16²</t>
        </is>
      </c>
      <c r="L615" t="inlineStr">
        <is>
          <t>8A⁰, 20B¹</t>
        </is>
      </c>
      <c r="M615" t="inlineStr">
        <is>
          <t>40J⁵, 40B⁷, 40C⁷, 80A⁷, 80B⁷, 40R⁹, 120D⁹, 40I¹¹, 120D¹⁵, 40S¹⁷, 200B¹⁷, 200G¹⁹, 200F¹⁹, 200H¹⁹, 200E¹⁹</t>
        </is>
      </c>
      <c r="N615" t="inlineStr">
        <is>
          <t>8A⁰, 5B⁰, 1A⁰, 4A⁰, 20B¹</t>
        </is>
      </c>
      <c r="O615" t="inlineStr">
        <is>
          <t>40G¹¹, 80B⁷, 40D¹⁹, 200E¹⁹, 240C²¹, 240A²¹, 80AF²¹, 200F¹⁹, 40AJ¹⁷, 40AM¹⁷, 120O¹⁹, 120B²³, 120P¹⁷, 240B²¹, 80A¹⁵, 40J⁵, 40S¹⁷, 120I²³, 200G¹⁹, 200H¹⁹, 80B¹³, 120L²¹, 120D²³, 240D²¹, 40C⁷, 80A¹³, 80AG²¹, 40G¹⁹, 120Q¹⁹, 120D¹⁵, 120D⁹, 80B¹⁵, 40H¹⁹, 40M²¹, 80A⁷, 40I¹¹, 200B¹⁷, 40B⁷, 40C¹³, 40F¹¹, 80D¹⁵, 120J²¹, 40R⁹, 40B¹⁹, 40AN¹⁷</t>
        </is>
      </c>
    </row>
    <row r="616">
      <c r="A616">
        <f>HYPERLINK("https://mathstats.uncg.edu/sites/pauli/congruence/csg3.html#group40C3", "40C³")</f>
        <v/>
      </c>
      <c r="B616" t="n">
        <v>3</v>
      </c>
      <c r="C616" t="inlineStr"/>
      <c r="D616" t="inlineStr">
        <is>
          <t>72</t>
        </is>
      </c>
      <c r="E616" t="inlineStr">
        <is>
          <t>1</t>
        </is>
      </c>
      <c r="F616" t="inlineStr">
        <is>
          <t>18</t>
        </is>
      </c>
      <c r="G616" t="inlineStr">
        <is>
          <t>8</t>
        </is>
      </c>
      <c r="H616" t="inlineStr">
        <is>
          <t>0</t>
        </is>
      </c>
      <c r="I616" t="inlineStr">
        <is>
          <t>4¹, 8¹, 20¹, 40¹</t>
        </is>
      </c>
      <c r="J616" t="n">
        <v>4</v>
      </c>
      <c r="K616" t="inlineStr">
        <is>
          <t>1⁶, 4³</t>
        </is>
      </c>
      <c r="L616" t="inlineStr">
        <is>
          <t>20E¹</t>
        </is>
      </c>
      <c r="M616" t="inlineStr">
        <is>
          <t>40L⁵, 40R⁷, 40P⁷, 40G⁹, 40I⁹, 80M⁹, 80N⁹, 80P⁹, 120A¹¹, 120A²¹, 40C²³, 200A²³</t>
        </is>
      </c>
      <c r="N616" t="inlineStr">
        <is>
          <t>5B⁰, 20E¹, 10C⁰, 2B⁰, 1A⁰, 4C⁰</t>
        </is>
      </c>
      <c r="O616" t="inlineStr">
        <is>
          <t>40M¹³, 80AA¹⁷, 40AB¹⁷, 40AK¹⁷, 80BF¹⁷, 80J²¹, 80Z²¹, 80X¹⁹, 40I⁹, 80N⁹, 40Y¹⁷, 80AO¹⁷, 40AJ¹⁷, 120O²¹, 40P⁷, 40V¹³, 80AD²¹, 200A²³, 80W¹⁹, 80A²¹, 80AC²¹, 40L⁵, 80BC¹⁷, 40W¹⁷, 80C¹³, 80AS¹⁷, 120A¹¹, 80P⁹, 40AH¹⁷, 80B²¹, 40N¹³, 40AT¹⁷, 80R²¹, 40U¹³, 40AF¹⁷, 40U¹⁷, 80Z¹⁹, 80Y¹⁹, 80AT¹⁷, 80M⁹, 120A²¹, 40W¹³, 80E²¹, 40R⁷, 80AF¹⁷, 40C²³, 80AP¹⁷, 40G⁹</t>
        </is>
      </c>
    </row>
    <row r="617">
      <c r="A617">
        <f>HYPERLINK("https://mathstats.uncg.edu/sites/pauli/congruence/csg3.html#group40D3", "40D³")</f>
        <v/>
      </c>
      <c r="B617" t="n">
        <v>3</v>
      </c>
      <c r="C617" t="inlineStr"/>
      <c r="D617" t="inlineStr">
        <is>
          <t>72</t>
        </is>
      </c>
      <c r="E617" t="inlineStr">
        <is>
          <t>1</t>
        </is>
      </c>
      <c r="F617" t="inlineStr">
        <is>
          <t>18</t>
        </is>
      </c>
      <c r="G617" t="inlineStr">
        <is>
          <t>8</t>
        </is>
      </c>
      <c r="H617" t="inlineStr">
        <is>
          <t>0</t>
        </is>
      </c>
      <c r="I617" t="inlineStr">
        <is>
          <t>4¹, 8¹, 20¹, 40¹</t>
        </is>
      </c>
      <c r="J617" t="n">
        <v>4</v>
      </c>
      <c r="K617" t="inlineStr">
        <is>
          <t>1⁶, 4³</t>
        </is>
      </c>
      <c r="L617" t="inlineStr">
        <is>
          <t>8B⁰, 20E¹</t>
        </is>
      </c>
      <c r="M617" t="inlineStr">
        <is>
          <t>40L⁵, 40Q⁷, 40S⁷, 40AA⁷, 40AB⁷, 80C⁷, 80D⁷, 40H⁹, 40J⁹, 80G⁹, 80H⁹, 80K⁹, 80L⁹, 80A¹¹, 80B¹¹, 120B¹¹, 120C²¹, 40D²³, 200B²³</t>
        </is>
      </c>
      <c r="N617" t="inlineStr">
        <is>
          <t>20E¹, 4C⁰, 8B⁰, 5B⁰, 10C⁰, 2B⁰, 1A⁰</t>
        </is>
      </c>
      <c r="O617" t="inlineStr">
        <is>
          <t>40M¹³, 80AA¹⁷, 80AC¹⁹, 80AX¹⁷, 40Q⁷, 80M²¹, 80F²¹, 80AA¹⁹, 40X¹⁷, 40AL¹⁷, 80AA²¹, 120B¹¹, 80AB²¹, 160I²¹, 120O²¹, 160J²¹, 80L⁹, 80AB¹⁷, 160N²¹, 160M²¹, 80B¹¹, 80I²¹, 80C²¹, 80A¹¹, 80AU¹⁷, 80Q²¹, 40AF¹⁵, 40L⁵, 160P²¹, 80L²¹, 80X²¹, 80G²¹, 80AE¹⁷, 160G¹⁷, 40U¹³, 160K²¹, 40H⁹, 80K⁹, 120C²¹, 80AT¹⁷, 160N¹⁹, 240A²³, 80AW¹⁷, 80D⁷, 40W¹³, 80H⁹, 80E²¹, 80AF¹⁷, 160M¹⁹, 40D²³, 80G⁹, 40AO¹⁷, 40AP¹⁷, 80AV¹⁷, 80AE¹⁹, 80AD¹⁹, 80O²¹, 80C⁷, 80AL¹⁷, 40Y¹⁷, 40AE¹⁷, 40AM¹⁷, 40S⁷, 80W²¹, 40V¹³, 160G²¹, 200B²³, 160H²¹, 80V¹⁹, 80AB¹⁹, 160L²¹, 240B²³, 80BC¹⁷, 80AS¹⁷, 80C¹³, 40N¹³, 80N²¹, 40AE¹⁵, 160O²¹, 80P²¹, 80U¹⁹, 40AA¹⁷, 40V¹⁷, 80AD¹⁷, 80V²¹, 40J⁹, 80K²¹, 40AB⁷, 80H²¹, 40AD¹⁷, 40AA⁷, 40AI¹⁵, 80AQ¹⁷, 160H¹⁷, 80AC¹⁷, 80D²¹, 40AG¹⁷, 80AK¹⁷, 80AR¹⁷</t>
        </is>
      </c>
    </row>
    <row r="618">
      <c r="A618">
        <f>HYPERLINK("https://mathstats.uncg.edu/sites/pauli/congruence/csg3.html#group40E3", "40E³")</f>
        <v/>
      </c>
      <c r="B618" t="n">
        <v>3</v>
      </c>
      <c r="C618" t="inlineStr"/>
      <c r="D618" t="inlineStr">
        <is>
          <t>72</t>
        </is>
      </c>
      <c r="E618" t="inlineStr">
        <is>
          <t>1</t>
        </is>
      </c>
      <c r="F618" t="inlineStr">
        <is>
          <t>36</t>
        </is>
      </c>
      <c r="G618" t="inlineStr">
        <is>
          <t>0</t>
        </is>
      </c>
      <c r="H618" t="inlineStr">
        <is>
          <t>0</t>
        </is>
      </c>
      <c r="I618" t="inlineStr">
        <is>
          <t>1², 2¹, 5², 8¹, 10¹, 40¹</t>
        </is>
      </c>
      <c r="J618" t="n">
        <v>8</v>
      </c>
      <c r="K618" t="inlineStr">
        <is>
          <t>1⁸, 2², 4⁴, 8¹</t>
        </is>
      </c>
      <c r="L618" t="inlineStr">
        <is>
          <t>20D¹</t>
        </is>
      </c>
      <c r="M618" t="inlineStr">
        <is>
          <t>40M⁵, 40L⁷, 40O⁷, 80K⁷, 80O⁹, 120E¹⁵, 120N¹⁷, 40L¹⁹, 200I¹⁹</t>
        </is>
      </c>
      <c r="N618" t="inlineStr">
        <is>
          <t>5B⁰, 10C⁰, 20D¹, 2B⁰, 4B⁰, 1A⁰</t>
        </is>
      </c>
      <c r="O618" t="inlineStr">
        <is>
          <t>80G¹³, 40L⁷, 120E¹⁵, 40O⁷, 40W⁹, 40AA¹⁵, 40K¹³, 40V¹⁷, 40AB¹⁵, 40U¹⁷, 40AS¹⁷, 200I¹⁹, 40P¹³, 80Y¹⁷, 80X¹⁷, 80P¹⁵, 40L¹³, 80N¹⁹, 80BE¹⁷, 80F¹³, 40Z¹⁵, 40L¹⁹, 40O¹³, 40M⁵, 80D¹³, 80O⁹, 80BD¹⁷, 80T¹⁹, 80V¹⁷, 80E¹³, 80V¹⁵, 80K⁷, 120N¹⁷, 80U¹⁷</t>
        </is>
      </c>
    </row>
    <row r="619">
      <c r="A619">
        <f>HYPERLINK("https://mathstats.uncg.edu/sites/pauli/congruence/csg3.html#group40F3", "40F³")</f>
        <v/>
      </c>
      <c r="B619" t="n">
        <v>3</v>
      </c>
      <c r="C619" t="inlineStr">
        <is>
          <t>Γ₀(40)</t>
        </is>
      </c>
      <c r="D619" t="inlineStr">
        <is>
          <t>72</t>
        </is>
      </c>
      <c r="E619" t="inlineStr">
        <is>
          <t>1</t>
        </is>
      </c>
      <c r="F619" t="inlineStr">
        <is>
          <t>36</t>
        </is>
      </c>
      <c r="G619" t="inlineStr">
        <is>
          <t>0</t>
        </is>
      </c>
      <c r="H619" t="inlineStr">
        <is>
          <t>0</t>
        </is>
      </c>
      <c r="I619" t="inlineStr">
        <is>
          <t>1², 2¹, 5², 8¹, 10¹, 40¹</t>
        </is>
      </c>
      <c r="J619" t="n">
        <v>8</v>
      </c>
      <c r="K619" t="inlineStr">
        <is>
          <t>1⁸, 2², 4⁴, 8¹</t>
        </is>
      </c>
      <c r="L619" t="inlineStr">
        <is>
          <t>8C⁰, 20D¹</t>
        </is>
      </c>
      <c r="M619" t="inlineStr">
        <is>
          <t>40M⁵, 40M⁷, 40O⁷, 40U⁷, 40V⁷, 80E⁷, 80F⁷, 80G⁷, 80H⁷, 80E⁹, 80F⁹, 120F¹⁵, 120O¹⁷, 40M¹⁹, 200J¹⁹</t>
        </is>
      </c>
      <c r="N619" t="inlineStr">
        <is>
          <t>5B⁰, 10C⁰, 20D¹, 8C⁰, 2B⁰, 4B⁰, 1A⁰</t>
        </is>
      </c>
      <c r="O619" t="inlineStr">
        <is>
          <t>80G¹³, 80F⁷, 160R²¹, 40K¹³, 40X¹⁷, 80X¹⁷, 40Z¹⁵, 40M⁵, 160J¹⁹, 80Q¹⁵, 200J¹⁹, 80M¹⁹, 160A²¹, 160A¹⁵, 40W⁹, 40AA¹⁵, 80H⁷, 160L¹⁹, 40W¹⁵, 120F¹⁵, 160B²¹, 80Y¹⁷, 80E⁹, 160B¹⁵, 40M⁷, 40O¹³, 80E¹³, 80Z¹⁷, 80U¹⁷, 160C¹⁵, 80S¹⁵, 80T¹⁵, 40AS¹⁷, 40P¹³, 160K¹⁹, 160Q²¹, 40L¹³, 160E²¹, 160S²¹, 80AJ¹⁷, 120O¹⁷, 80V¹⁷, 40X¹⁵, 80W¹⁷, 80E⁷, 80AG¹⁷, 80O¹⁵, 160F²¹, 40W¹⁷, 40U⁷, 40O⁷, 80AI¹⁷, 80F⁹, 160E¹⁷, 160M¹⁷, 80G⁷, 40V⁷, 80AH¹⁷, 40M¹⁹, 80BE¹⁷, 80F¹³, 80L¹⁹, 80D¹³, 80T¹⁹, 160C²¹, 160F¹⁷, 80R¹⁵, 80V¹⁵, 160D²¹, 80N¹⁵</t>
        </is>
      </c>
    </row>
    <row r="620">
      <c r="A620">
        <f>HYPERLINK("https://mathstats.uncg.edu/sites/pauli/congruence/csg3.html#group40G3", "40G³")</f>
        <v/>
      </c>
      <c r="B620" t="n">
        <v>3</v>
      </c>
      <c r="C620" t="inlineStr"/>
      <c r="D620" t="inlineStr">
        <is>
          <t>72</t>
        </is>
      </c>
      <c r="E620" t="inlineStr">
        <is>
          <t>1</t>
        </is>
      </c>
      <c r="F620" t="inlineStr">
        <is>
          <t>36</t>
        </is>
      </c>
      <c r="G620" t="inlineStr">
        <is>
          <t>4</t>
        </is>
      </c>
      <c r="H620" t="inlineStr">
        <is>
          <t>0</t>
        </is>
      </c>
      <c r="I620" t="inlineStr">
        <is>
          <t>2², 8¹, 10², 40¹</t>
        </is>
      </c>
      <c r="J620" t="n">
        <v>6</v>
      </c>
      <c r="K620" t="inlineStr">
        <is>
          <t>1⁴, 2⁴, 4², 8²</t>
        </is>
      </c>
      <c r="L620" t="inlineStr">
        <is>
          <t>20E¹</t>
        </is>
      </c>
      <c r="M620" t="inlineStr">
        <is>
          <t>40N⁵, 40L⁷, 40N⁷, 40R⁷, 40Q⁷, 40O⁹, 40M⁹, 120E¹³, 120K¹⁹, 40H²¹, 200A²¹</t>
        </is>
      </c>
      <c r="N620" t="inlineStr">
        <is>
          <t>5B⁰, 20E¹, 10C⁰, 2B⁰, 1A⁰, 4C⁰</t>
        </is>
      </c>
      <c r="O620" t="inlineStr">
        <is>
          <t>40M¹³, 80AN¹⁷, 40L⁷, 40AB¹⁷, 40F¹⁹, 40Q⁷, 40AK¹⁷, 80BF¹⁷, 40D¹⁹, 80AM¹⁷, 40K¹³, 80AA¹⁹, 200A²¹, 40AJ¹⁷, 40N⁷, 80AB¹⁷, 80H¹³, 80BD¹⁷, 80I¹³, 80L²¹, 80O¹⁹, 40O⁹, 120K¹⁹, 40AA¹⁷, 40K¹¹, 40Z¹⁷, 40V¹⁷, 40AB¹⁵, 40U¹⁷, 80Z¹⁹, 80K²¹, 80Y¹⁹, 80AE²¹, 40H²¹, 40M⁹, 120E¹³, 80P¹⁵, 80N¹⁹, 40AI¹⁵, 80AC¹⁷, 40R⁷, 80U¹⁵, 40N⁵, 40AH¹⁵</t>
        </is>
      </c>
    </row>
    <row r="621">
      <c r="A621">
        <f>HYPERLINK("https://mathstats.uncg.edu/sites/pauli/congruence/csg3.html#group40H3", "40H³")</f>
        <v/>
      </c>
      <c r="B621" t="n">
        <v>3</v>
      </c>
      <c r="C621" t="inlineStr"/>
      <c r="D621" t="inlineStr">
        <is>
          <t>72</t>
        </is>
      </c>
      <c r="E621" t="inlineStr">
        <is>
          <t>1</t>
        </is>
      </c>
      <c r="F621" t="inlineStr">
        <is>
          <t>36</t>
        </is>
      </c>
      <c r="G621" t="inlineStr">
        <is>
          <t>4</t>
        </is>
      </c>
      <c r="H621" t="inlineStr">
        <is>
          <t>0</t>
        </is>
      </c>
      <c r="I621" t="inlineStr">
        <is>
          <t>2², 8¹, 10², 40¹</t>
        </is>
      </c>
      <c r="J621" t="n">
        <v>6</v>
      </c>
      <c r="K621" t="inlineStr">
        <is>
          <t>1⁴, 2⁴, 4², 8²</t>
        </is>
      </c>
      <c r="L621" t="inlineStr">
        <is>
          <t>8D⁰, 20E¹</t>
        </is>
      </c>
      <c r="M621" t="inlineStr">
        <is>
          <t>40N⁵, 40M⁷, 40N⁷, 40P⁷, 40S⁷, 80I⁷, 80J⁷, 40N⁹, 40P⁹, 80I⁹, 80J⁹, 120F¹³, 120L¹⁹, 40I²¹, 200B²¹</t>
        </is>
      </c>
      <c r="N621" t="inlineStr">
        <is>
          <t>5B⁰, 20E¹, 10C⁰, 1A⁰, 2B⁰, 8D⁰, 4C⁰</t>
        </is>
      </c>
      <c r="O621" t="inlineStr">
        <is>
          <t>80AN¹⁷, 80I⁹, 40M¹³, 160I¹⁷, 80M²¹, 80AM¹⁷, 40K¹³, 40X¹⁷, 40AL¹⁷, 40P⁷, 80W¹⁹, 120F¹³, 80I¹³, 80M¹⁹, 40AF¹⁵, 80O¹⁹, 80AE¹⁷, 40K¹¹, 40Z¹⁷, 200B²¹, 40W¹⁵, 80R¹⁹, 80AP¹⁷, 40M⁷, 80P¹⁹, 80T²¹, 160U²¹, 40N⁵, 80Z¹⁷, 40AH¹⁵, 40AO¹⁷, 40AB¹⁷, 40AP¹⁷, 40N⁹, 80S¹⁹, 80O²¹, 80J⁷, 80AL¹⁷, 80X¹⁹, 40I²¹, 80AO¹⁷, 40AM¹⁷, 40S⁷, 40P⁹, 160T²¹, 40N⁷, 160L¹⁷, 80H¹³, 80I⁷, 40X¹⁵, 80W¹⁷, 80V¹⁹, 80O¹⁵, 40W¹⁷, 120L¹⁹, 40AT¹⁷, 40E¹⁹, 40AE¹⁵, 80U¹⁹, 40AA¹⁷, 80J⁹, 40G¹⁹, 80AD¹⁷, 80Q¹⁹, 80AQ¹⁷, 80L¹⁹, 160K¹⁷, 160J¹⁷, 80U¹⁵, 80S²¹, 80AK¹⁷, 80N¹⁵, 80AR¹⁷</t>
        </is>
      </c>
    </row>
    <row r="622">
      <c r="A622">
        <f>HYPERLINK("https://mathstats.uncg.edu/sites/pauli/congruence/csg3.html#group40I3", "40I³")</f>
        <v/>
      </c>
      <c r="B622" t="n">
        <v>3</v>
      </c>
      <c r="C622" t="inlineStr"/>
      <c r="D622" t="inlineStr">
        <is>
          <t>72</t>
        </is>
      </c>
      <c r="E622" t="inlineStr">
        <is>
          <t>2</t>
        </is>
      </c>
      <c r="F622" t="inlineStr">
        <is>
          <t>18</t>
        </is>
      </c>
      <c r="G622" t="inlineStr">
        <is>
          <t>4</t>
        </is>
      </c>
      <c r="H622" t="inlineStr">
        <is>
          <t>0</t>
        </is>
      </c>
      <c r="I622" t="inlineStr">
        <is>
          <t>2², 8¹, 10², 40¹</t>
        </is>
      </c>
      <c r="J622" t="n">
        <v>6</v>
      </c>
      <c r="K622" t="inlineStr">
        <is>
          <t>2⁶, 8³</t>
        </is>
      </c>
      <c r="L622" t="inlineStr">
        <is>
          <t>20A⁰</t>
        </is>
      </c>
      <c r="M622" t="inlineStr">
        <is>
          <t>40O⁵, 40K⁷, 40AC⁷, 120K¹³, 120M¹⁹, 40G²¹, 200C²¹</t>
        </is>
      </c>
      <c r="N622" t="inlineStr">
        <is>
          <t>5B⁰, 10C⁰, 20A⁰, 2B⁰, 1A⁰</t>
        </is>
      </c>
      <c r="O622" t="inlineStr">
        <is>
          <t>40J¹³, 40AQ¹⁷, 120K¹³, 40W¹³, 40O⁵, 40K¹¹, 40K⁷, 40AC⁷, 40G²¹, 120M¹⁹, 40AR¹⁷, 200C²¹, 40AG¹⁵, 40L¹³</t>
        </is>
      </c>
    </row>
    <row r="623">
      <c r="A623">
        <f>HYPERLINK("https://mathstats.uncg.edu/sites/pauli/congruence/csg3.html#group40J3", "40J³")</f>
        <v/>
      </c>
      <c r="B623" t="n">
        <v>3</v>
      </c>
      <c r="C623" t="inlineStr"/>
      <c r="D623" t="inlineStr">
        <is>
          <t>144</t>
        </is>
      </c>
      <c r="E623" t="inlineStr">
        <is>
          <t>1</t>
        </is>
      </c>
      <c r="F623" t="inlineStr">
        <is>
          <t>18</t>
        </is>
      </c>
      <c r="G623" t="inlineStr">
        <is>
          <t>0</t>
        </is>
      </c>
      <c r="H623" t="inlineStr">
        <is>
          <t>0</t>
        </is>
      </c>
      <c r="I623" t="inlineStr">
        <is>
          <t>1⁸, 5⁸, 8², 40²</t>
        </is>
      </c>
      <c r="J623" t="n">
        <v>20</v>
      </c>
      <c r="K623" t="inlineStr">
        <is>
          <t>1⁶, 4³</t>
        </is>
      </c>
      <c r="L623" t="inlineStr">
        <is>
          <t>20H¹, 40A¹</t>
        </is>
      </c>
      <c r="M623" t="inlineStr">
        <is>
          <t>40W⁹, 40J¹³</t>
        </is>
      </c>
      <c r="N623" t="inlineStr">
        <is>
          <t>20A⁰, 40A¹, 5B⁰, 10C⁰, 5D⁰, 2B⁰, 20D¹, 20H¹, 4B⁰, 1A⁰, 10F⁰</t>
        </is>
      </c>
      <c r="O623" t="inlineStr">
        <is>
          <t>40J¹³, 40W⁹</t>
        </is>
      </c>
    </row>
    <row r="624">
      <c r="A624">
        <f>HYPERLINK("https://mathstats.uncg.edu/sites/pauli/congruence/csg3.html#group41A3", "41A³")</f>
        <v/>
      </c>
      <c r="B624" t="n">
        <v>3</v>
      </c>
      <c r="C624" t="inlineStr">
        <is>
          <t>Γ₀(41)</t>
        </is>
      </c>
      <c r="D624" t="inlineStr">
        <is>
          <t>42</t>
        </is>
      </c>
      <c r="E624" t="inlineStr">
        <is>
          <t>1</t>
        </is>
      </c>
      <c r="F624" t="inlineStr">
        <is>
          <t>42</t>
        </is>
      </c>
      <c r="G624" t="inlineStr">
        <is>
          <t>2</t>
        </is>
      </c>
      <c r="H624" t="inlineStr">
        <is>
          <t>0</t>
        </is>
      </c>
      <c r="I624" t="inlineStr">
        <is>
          <t>1¹, 41¹</t>
        </is>
      </c>
      <c r="J624" t="n">
        <v>2</v>
      </c>
      <c r="K624" t="inlineStr">
        <is>
          <t>1², 40¹</t>
        </is>
      </c>
      <c r="L624" t="inlineStr">
        <is>
          <t>1A⁰</t>
        </is>
      </c>
      <c r="M624" t="inlineStr">
        <is>
          <t>41A⁵, 82A⁷, 82B⁷, 82A⁹, 123A⁹, 41B¹¹, 123A¹³, 164A¹³, 205A¹⁷, 205A¹⁹, 287A²³</t>
        </is>
      </c>
      <c r="N624" t="inlineStr">
        <is>
          <t>1A⁰</t>
        </is>
      </c>
      <c r="O624" t="inlineStr">
        <is>
          <t>123A¹⁷, 246A¹⁹, 205A¹⁷, 41A²¹, 41B¹¹, 164B¹⁹, 41A⁵, 123A⁹, 246B¹⁹, 82A¹⁹, 82B⁷, 164C¹⁹, 82B¹⁹, 123B¹⁹, 123A¹⁹, 164A¹³, 41A¹¹, 205A¹⁹, 164D¹⁹, 246C²¹, 82A¹¹, 82A¹⁷, 123A¹³, 82A¹³, 82A⁹, 82A⁷, 246B²¹, 246A²¹, 164A¹⁹, 287A²³</t>
        </is>
      </c>
    </row>
    <row r="625">
      <c r="A625">
        <f>HYPERLINK("https://mathstats.uncg.edu/sites/pauli/congruence/csg3.html#group42A3", "42A³")</f>
        <v/>
      </c>
      <c r="B625" t="n">
        <v>3</v>
      </c>
      <c r="C625" t="inlineStr"/>
      <c r="D625" t="inlineStr">
        <is>
          <t>42</t>
        </is>
      </c>
      <c r="E625" t="inlineStr">
        <is>
          <t>2</t>
        </is>
      </c>
      <c r="F625" t="inlineStr">
        <is>
          <t>14</t>
        </is>
      </c>
      <c r="G625" t="inlineStr">
        <is>
          <t>0</t>
        </is>
      </c>
      <c r="H625" t="inlineStr">
        <is>
          <t>3</t>
        </is>
      </c>
      <c r="I625" t="inlineStr">
        <is>
          <t>42¹</t>
        </is>
      </c>
      <c r="J625" t="n">
        <v>1</v>
      </c>
      <c r="K625" t="inlineStr">
        <is>
          <t>4¹, 12²</t>
        </is>
      </c>
      <c r="L625" t="inlineStr">
        <is>
          <t>6A⁰, 14A¹</t>
        </is>
      </c>
      <c r="M625" t="inlineStr">
        <is>
          <t>42D⁵, 42B¹⁰, 42C¹⁰, 42A¹², 42E¹², 84A¹³, 84D¹³, 210C¹⁶, 210B²¹</t>
        </is>
      </c>
      <c r="N625" t="inlineStr">
        <is>
          <t>2A⁰, 6A⁰, 7A⁰, 1A⁰, 14A¹</t>
        </is>
      </c>
      <c r="O625" t="inlineStr">
        <is>
          <t>84H²⁰, 42C¹⁹, 84B²⁰, 42E¹², 42L¹⁹, 42A²³, 42B¹⁶, 42H¹⁹, 42C¹⁰, 42B¹⁰, 84D¹³, 210B²¹, 42H²³, 84F²⁰, 210C¹⁶, 42A¹², 84A¹³, 84C²⁰, 42D⁵, 42G¹⁹, 42K¹⁹</t>
        </is>
      </c>
    </row>
    <row r="626">
      <c r="A626">
        <f>HYPERLINK("https://mathstats.uncg.edu/sites/pauli/congruence/csg3.html#group42B3", "42B³")</f>
        <v/>
      </c>
      <c r="B626" t="n">
        <v>3</v>
      </c>
      <c r="C626" t="inlineStr"/>
      <c r="D626" t="inlineStr">
        <is>
          <t>48</t>
        </is>
      </c>
      <c r="E626" t="inlineStr">
        <is>
          <t>2</t>
        </is>
      </c>
      <c r="F626" t="inlineStr">
        <is>
          <t>16</t>
        </is>
      </c>
      <c r="G626" t="inlineStr">
        <is>
          <t>0</t>
        </is>
      </c>
      <c r="H626" t="inlineStr">
        <is>
          <t>3</t>
        </is>
      </c>
      <c r="I626" t="inlineStr">
        <is>
          <t>6¹, 42¹</t>
        </is>
      </c>
      <c r="J626" t="n">
        <v>2</v>
      </c>
      <c r="K626" t="inlineStr">
        <is>
          <t>2⁴, 12²</t>
        </is>
      </c>
      <c r="L626" t="inlineStr">
        <is>
          <t>14B⁰</t>
        </is>
      </c>
      <c r="M626" t="inlineStr">
        <is>
          <t>84A⁶, 42M⁷, 42F¹⁰, 42G¹⁰, 42J¹⁰, 42H¹², 84B¹⁴, 210E¹⁸, 210H²³, 42A²⁴, 294A²⁴</t>
        </is>
      </c>
      <c r="N626" t="inlineStr">
        <is>
          <t>2A⁰, 1A⁰, 7B⁰, 14B⁰</t>
        </is>
      </c>
      <c r="O626" t="inlineStr">
        <is>
          <t>42Q¹⁹, 42J¹⁰, 42G¹⁰, 84B¹⁴, 84K¹⁶, 42A²⁴, 42M⁷, 84A⁶, 84K²², 84D²², 42M²³, 84H²², 84G²¹, 42H¹², 84M²⁰, 294A²⁴, 42F¹⁰, 84C²², 210H²³, 210E¹⁸</t>
        </is>
      </c>
    </row>
    <row r="627">
      <c r="A627">
        <f>HYPERLINK("https://mathstats.uncg.edu/sites/pauli/congruence/csg3.html#group42C3", "42C³")</f>
        <v/>
      </c>
      <c r="B627" t="n">
        <v>3</v>
      </c>
      <c r="C627" t="inlineStr"/>
      <c r="D627" t="inlineStr">
        <is>
          <t>63</t>
        </is>
      </c>
      <c r="E627" t="inlineStr">
        <is>
          <t>2</t>
        </is>
      </c>
      <c r="F627" t="inlineStr">
        <is>
          <t>21</t>
        </is>
      </c>
      <c r="G627" t="inlineStr">
        <is>
          <t>9</t>
        </is>
      </c>
      <c r="H627" t="inlineStr">
        <is>
          <t>0</t>
        </is>
      </c>
      <c r="I627" t="inlineStr">
        <is>
          <t>21¹, 42¹</t>
        </is>
      </c>
      <c r="J627" t="n">
        <v>2</v>
      </c>
      <c r="K627" t="inlineStr">
        <is>
          <t>2³, 6⁶</t>
        </is>
      </c>
      <c r="L627" t="inlineStr">
        <is>
          <t>6D⁰, 21A⁰, 14B¹</t>
        </is>
      </c>
      <c r="M627" t="inlineStr">
        <is>
          <t>84B⁶, 42I⁷, 42K⁷, 42L⁷, 84B⁷, 84C⁷, 42A⁸, 42C⁸, 42D⁸, 84F⁸, 84G⁸, 84B⁹, 84C⁹, 42C¹⁰, 42K¹⁰, 84A¹⁰, 126H¹², 42D¹⁵, 210A²⁴</t>
        </is>
      </c>
      <c r="N627" t="inlineStr">
        <is>
          <t>14B¹, 21A⁰, 2B⁰, 3A⁰, 1A⁰, 6D⁰, 7A⁰</t>
        </is>
      </c>
      <c r="O627" t="inlineStr">
        <is>
          <t>84M²², 168B²⁰, 336I²⁴, 84K¹⁷, 84F¹⁶, 168E¹⁶, 84C¹⁹, 42F¹⁷, 42K¹⁰, 42D²⁴, 84M¹⁷, 84G¹⁷, 84I¹⁹, 84N¹⁷, 84H¹⁹, 42H¹⁵, 84D¹⁶, 42I⁷, 84I¹⁷, 84F²⁰, 42H¹⁶, 84G¹⁸, 168F¹⁶, 126H¹², 168C²⁰, 42I¹⁶, 84A¹⁶, 168E¹⁸, 42B²², 168F¹⁸, 84A¹⁹, 84J¹⁷, 84A¹⁰, 84A²⁰, 252G²⁴, 84B²⁰, 84C¹⁴, 42K⁷, 84F¹⁹, 84C¹⁸, 84J¹⁶, 84B¹⁶, 84C¹⁶, 42C¹⁷, 42G¹⁷, 42A²², 84L¹⁷, 168A¹⁷, 84F¹⁷, 84D²⁰, 84F²³, 84E¹⁶, 168D¹⁶, 42B¹⁸, 42L²³, 84G¹⁹, 84H¹⁶, 168C¹⁶, 84D¹⁴, 84F¹⁸, 84H²⁰, 84E¹⁹, 168A¹², 168A²⁰, 42C²⁴, 168D²⁰, 42A⁸, 84F⁸, 84C⁹, 42D¹⁵, 42C¹⁰, 210A²⁴, 84B¹⁸, 42K²³, 84E²⁴, 84C⁷, 42C¹⁶, 84B⁹, 84D¹⁷, 42G¹⁹, 42K¹⁹, 84B⁶, 84D¹⁹, 168B¹⁵, 84H¹⁸, 84H¹⁷, 168A¹⁵, 84E²⁰, 42C²², 42D⁸, 84D¹⁸, 42E¹⁶, 168G¹⁶, 84E¹⁸, 84G⁸, 84G¹⁶, 84I¹⁶, 168A²¹, 84H¹⁵, 42L¹⁹, 84I¹⁵, 42C¹⁸, 84B⁷, 84C²⁰, 42L⁷, 42C⁸, 84N²², 84A¹⁸, 84G²⁰</t>
        </is>
      </c>
    </row>
    <row r="628">
      <c r="A628">
        <f>HYPERLINK("https://mathstats.uncg.edu/sites/pauli/congruence/csg3.html#group42D3", "42D³")</f>
        <v/>
      </c>
      <c r="B628" t="n">
        <v>3</v>
      </c>
      <c r="C628" t="inlineStr"/>
      <c r="D628" t="inlineStr">
        <is>
          <t>64</t>
        </is>
      </c>
      <c r="E628" t="inlineStr">
        <is>
          <t>1</t>
        </is>
      </c>
      <c r="F628" t="inlineStr">
        <is>
          <t>32</t>
        </is>
      </c>
      <c r="G628" t="inlineStr">
        <is>
          <t>0</t>
        </is>
      </c>
      <c r="H628" t="inlineStr">
        <is>
          <t>4</t>
        </is>
      </c>
      <c r="I628" t="inlineStr">
        <is>
          <t>2¹, 6¹, 14¹, 42¹</t>
        </is>
      </c>
      <c r="J628" t="n">
        <v>4</v>
      </c>
      <c r="K628" t="inlineStr">
        <is>
          <t>1⁴, 2², 6², 12¹</t>
        </is>
      </c>
      <c r="L628" t="inlineStr">
        <is>
          <t>21B¹</t>
        </is>
      </c>
      <c r="M628" t="inlineStr">
        <is>
          <t>42I⁵, 42E¹¹, 42I¹¹, 42J¹¹, 126B¹¹, 126E¹¹, 42F¹³, 126D¹³, 126G¹³, 126A¹⁵, 126D¹⁵, 84P¹⁷, 210I²³</t>
        </is>
      </c>
      <c r="N628" t="inlineStr">
        <is>
          <t>3B⁰, 1A⁰, 7B⁰, 21B¹</t>
        </is>
      </c>
      <c r="O628" t="inlineStr">
        <is>
          <t>126D¹⁵, 42I⁵, 42H²¹, 126A¹⁵, 42L¹⁷, 126T²¹, 42E¹¹, 42J²¹, 126U²¹, 126G¹³, 42I²¹, 84K¹³, 126D¹³, 126S²¹, 42I¹¹, 42J¹¹, 126E¹¹, 210I²³, 42M²³, 42G²¹, 126M²³, 126B¹¹, 84P¹⁷, 42F¹³</t>
        </is>
      </c>
    </row>
    <row r="629">
      <c r="A629">
        <f>HYPERLINK("https://mathstats.uncg.edu/sites/pauli/congruence/csg3.html#group42E3", "42E³")</f>
        <v/>
      </c>
      <c r="B629" t="n">
        <v>3</v>
      </c>
      <c r="C629" t="inlineStr"/>
      <c r="D629" t="inlineStr">
        <is>
          <t>64</t>
        </is>
      </c>
      <c r="E629" t="inlineStr">
        <is>
          <t>1</t>
        </is>
      </c>
      <c r="F629" t="inlineStr">
        <is>
          <t>32</t>
        </is>
      </c>
      <c r="G629" t="inlineStr">
        <is>
          <t>0</t>
        </is>
      </c>
      <c r="H629" t="inlineStr">
        <is>
          <t>4</t>
        </is>
      </c>
      <c r="I629" t="inlineStr">
        <is>
          <t>2¹, 6¹, 14¹, 42¹</t>
        </is>
      </c>
      <c r="J629" t="n">
        <v>4</v>
      </c>
      <c r="K629" t="inlineStr">
        <is>
          <t>1⁴, 2², 6², 12¹</t>
        </is>
      </c>
      <c r="L629" t="inlineStr">
        <is>
          <t>6C⁰, 14B⁰, 21B¹</t>
        </is>
      </c>
      <c r="M629" t="inlineStr">
        <is>
          <t>42I⁵, 84D⁷, 84E⁷, 42D⁹, 42F¹¹, 42G¹¹, 42H¹¹, 42K¹¹, 126C¹¹, 126D¹¹, 126F¹¹, 42H¹², 126I¹², 42G¹³, 126E¹³, 126F¹³, 126H¹³, 126I¹³, 126D¹⁴, 126B¹⁵, 126C¹⁵, 126E¹⁵, 84Q¹⁷, 210J²³</t>
        </is>
      </c>
      <c r="N629" t="inlineStr">
        <is>
          <t>3B⁰, 2A⁰, 21B¹, 7B⁰, 6C⁰, 14B⁰, 1A⁰</t>
        </is>
      </c>
      <c r="O629" t="inlineStr">
        <is>
          <t>252B²³, 42H¹¹, 42L¹⁷, 126I¹³, 126U²¹, 42F¹¹, 42I²¹, 84K¹³, 126D¹⁴, 84D⁷, 126S²¹, 210J²³, 42D⁹, 126F¹³, 84H²³, 126C¹⁵, 126M²³, 42G¹¹, 126E¹⁵, 42H²¹, 42I⁵, 126F¹¹, 84G²³, 84J²³, 42G¹³, 126T²¹, 126B¹⁵, 42J²¹, 42K¹¹, 126H¹³, 84E⁷, 126E¹³, 252A²³, 126D¹¹, 84I²³, 42M²³, 42G²¹, 42H¹², 84Q¹⁷, 126C¹¹, 126I¹²</t>
        </is>
      </c>
    </row>
    <row r="630">
      <c r="A630">
        <f>HYPERLINK("https://mathstats.uncg.edu/sites/pauli/congruence/csg3.html#group42F3", "42F³")</f>
        <v/>
      </c>
      <c r="B630" t="n">
        <v>3</v>
      </c>
      <c r="C630" t="inlineStr"/>
      <c r="D630" t="inlineStr">
        <is>
          <t>84</t>
        </is>
      </c>
      <c r="E630" t="inlineStr">
        <is>
          <t>2</t>
        </is>
      </c>
      <c r="F630" t="inlineStr">
        <is>
          <t>21</t>
        </is>
      </c>
      <c r="G630" t="inlineStr">
        <is>
          <t>16</t>
        </is>
      </c>
      <c r="H630" t="inlineStr">
        <is>
          <t>0</t>
        </is>
      </c>
      <c r="I630" t="inlineStr">
        <is>
          <t>42²</t>
        </is>
      </c>
      <c r="J630" t="n">
        <v>2</v>
      </c>
      <c r="K630" t="inlineStr">
        <is>
          <t>2¹, 4¹, 6², 12²</t>
        </is>
      </c>
      <c r="L630" t="inlineStr">
        <is>
          <t>21D¹, 42A¹, 42B¹</t>
        </is>
      </c>
      <c r="M630" t="inlineStr">
        <is>
          <t>42C⁹, 42E¹³, 126J¹³, 126K¹³, 42G¹⁵, 42H¹⁵, 42I¹⁵, 42K¹⁷, 126B¹⁷, 126F¹⁷, 126G¹⁷, 126I¹⁷, 84L¹⁹</t>
        </is>
      </c>
      <c r="N630" t="inlineStr">
        <is>
          <t>14A⁰, 6B⁰, 42A¹, 21D¹, 21A⁰, 42B¹, 3A⁰, 1A⁰, 7A⁰</t>
        </is>
      </c>
      <c r="O630" t="inlineStr">
        <is>
          <t>126J¹³, 126I¹⁷, 42H¹⁵, 84A²³, 42C⁹, 42G¹⁵, 126K¹³, 42I¹⁵, 126B¹⁷, 126F¹⁷, 42K¹⁷, 126G¹⁷, 84L¹⁹, 42E¹³</t>
        </is>
      </c>
    </row>
    <row r="631">
      <c r="A631">
        <f>HYPERLINK("https://mathstats.uncg.edu/sites/pauli/congruence/csg3.html#group43A3", "43A³")</f>
        <v/>
      </c>
      <c r="B631" t="n">
        <v>3</v>
      </c>
      <c r="C631" t="inlineStr">
        <is>
          <t>Γ₀(43)</t>
        </is>
      </c>
      <c r="D631" t="inlineStr">
        <is>
          <t>44</t>
        </is>
      </c>
      <c r="E631" t="inlineStr">
        <is>
          <t>1</t>
        </is>
      </c>
      <c r="F631" t="inlineStr">
        <is>
          <t>44</t>
        </is>
      </c>
      <c r="G631" t="inlineStr">
        <is>
          <t>0</t>
        </is>
      </c>
      <c r="H631" t="inlineStr">
        <is>
          <t>2</t>
        </is>
      </c>
      <c r="I631" t="inlineStr">
        <is>
          <t>1¹, 43¹</t>
        </is>
      </c>
      <c r="J631" t="n">
        <v>2</v>
      </c>
      <c r="K631" t="inlineStr">
        <is>
          <t>1², 42¹</t>
        </is>
      </c>
      <c r="L631" t="inlineStr">
        <is>
          <t>1A⁰</t>
        </is>
      </c>
      <c r="M631" t="inlineStr">
        <is>
          <t>86A⁶, 43A⁹, 86A¹⁰, 129A¹⁰, 129A¹¹, 129A¹³, 172A¹⁴, 43A¹⁵, 215A¹⁷, 215A²¹</t>
        </is>
      </c>
      <c r="N631" t="inlineStr">
        <is>
          <t>1A⁰</t>
        </is>
      </c>
      <c r="O631" t="inlineStr">
        <is>
          <t>43A¹⁵, 129A²¹, 258A²¹, 86A¹⁸, 129A¹¹, 215A²¹, 258B²⁰, 86B²⁰, 86A¹⁰, 172A²⁰, 258A²², 43A⁹, 172A¹⁴, 172A¹², 172A²¹, 258B²², 86A⁶, 129A¹⁰, 86A²⁰, 258A²⁰, 129A¹³, 215A¹⁷</t>
        </is>
      </c>
    </row>
    <row r="632">
      <c r="A632">
        <f>HYPERLINK("https://mathstats.uncg.edu/sites/pauli/congruence/csg3.html#group45A3", "45A³")</f>
        <v/>
      </c>
      <c r="B632" t="n">
        <v>3</v>
      </c>
      <c r="C632" t="inlineStr"/>
      <c r="D632" t="inlineStr">
        <is>
          <t>45</t>
        </is>
      </c>
      <c r="E632" t="inlineStr">
        <is>
          <t>1</t>
        </is>
      </c>
      <c r="F632" t="inlineStr">
        <is>
          <t>45</t>
        </is>
      </c>
      <c r="G632" t="inlineStr">
        <is>
          <t>5</t>
        </is>
      </c>
      <c r="H632" t="inlineStr">
        <is>
          <t>0</t>
        </is>
      </c>
      <c r="I632" t="inlineStr">
        <is>
          <t>45¹</t>
        </is>
      </c>
      <c r="J632" t="n">
        <v>1</v>
      </c>
      <c r="K632" t="inlineStr">
        <is>
          <t>1¹, 2¹, 4¹, 6¹, 8¹, 24¹</t>
        </is>
      </c>
      <c r="L632" t="inlineStr">
        <is>
          <t>9A⁰, 15A¹</t>
        </is>
      </c>
      <c r="M632" t="inlineStr">
        <is>
          <t>45A⁶, 90A⁶, 45A⁷, 45D⁷, 90A⁷, 90A⁸, 45B⁹, 90D¹⁰, 180A¹³, 45C¹⁴, 315A²³</t>
        </is>
      </c>
      <c r="N632" t="inlineStr">
        <is>
          <t>5A⁰, 9A⁰, 3A⁰, 1A⁰, 15A¹</t>
        </is>
      </c>
      <c r="O632" t="inlineStr">
        <is>
          <t>45A²⁰, 45A⁶, 90B²¹, 90D¹⁰, 90D²⁰, 45A¹⁴, 90A⁸, 90A¹², 45D⁷, 180F²⁰, 90C²⁰, 90E²⁰, 45E¹⁹, 180G²⁰, 180A²¹, 90I¹⁹, 90C²², 90F¹⁹, 180B²¹, 315A²³, 45A¹⁸, 45B¹⁶, 90B²², 90A⁶, 45A¹⁹, 180A¹³, 90A²¹, 45A⁷, 90A²², 90B¹⁶, 45B¹⁹, 90A¹⁵, 180A²², 45D¹⁶, 90A²⁰, 90C¹⁸, 90P¹⁷, 180B²², 90D¹⁹, 90A⁷, 90F¹⁵, 45C¹⁹, 90D²², 45B⁹, 45C¹⁷, 45C¹⁴, 90D¹⁴</t>
        </is>
      </c>
    </row>
    <row r="633">
      <c r="A633">
        <f>HYPERLINK("https://mathstats.uncg.edu/sites/pauli/congruence/csg3.html#group45B3", "45B³")</f>
        <v/>
      </c>
      <c r="B633" t="n">
        <v>3</v>
      </c>
      <c r="C633" t="inlineStr"/>
      <c r="D633" t="inlineStr">
        <is>
          <t>60</t>
        </is>
      </c>
      <c r="E633" t="inlineStr">
        <is>
          <t>1</t>
        </is>
      </c>
      <c r="F633" t="inlineStr">
        <is>
          <t>20</t>
        </is>
      </c>
      <c r="G633" t="inlineStr">
        <is>
          <t>0</t>
        </is>
      </c>
      <c r="H633" t="inlineStr">
        <is>
          <t>6</t>
        </is>
      </c>
      <c r="I633" t="inlineStr">
        <is>
          <t>15¹, 45¹</t>
        </is>
      </c>
      <c r="J633" t="n">
        <v>2</v>
      </c>
      <c r="K633" t="inlineStr">
        <is>
          <t>1², 2¹, 4², 8¹</t>
        </is>
      </c>
      <c r="L633" t="inlineStr">
        <is>
          <t>9C⁰, 15B¹</t>
        </is>
      </c>
      <c r="M633" t="inlineStr">
        <is>
          <t>90C⁶, 45C¹⁰, 45B¹¹, 45C¹¹, 45D¹¹, 135A¹¹, 135C¹², 45A¹³, 45C¹³, 135B¹³, 135D¹³, 90A¹⁴, 135C¹⁴, 45D¹⁵, 135A¹⁵, 180A¹⁸</t>
        </is>
      </c>
      <c r="N633" t="inlineStr">
        <is>
          <t>15B¹, 3B⁰, 5A⁰, 9C⁰, 1A⁰</t>
        </is>
      </c>
      <c r="O633" t="inlineStr">
        <is>
          <t>135C¹², 90K²², 135A¹¹, 90H²⁴, 45B¹¹, 135D¹³, 180A¹⁸, 90F²⁴, 270B²⁴, 135B¹³, 270A²², 90D²⁴, 45D¹⁵, 270A²⁴, 45A¹³, 90I²⁴, 135A¹⁵, 90A¹⁴, 90G²⁴, 45C¹¹, 90I²², 90C⁶, 45D¹¹, 135C¹⁴, 90E²⁴, 45C¹⁰, 45C¹³, 180A¹², 90J²²</t>
        </is>
      </c>
    </row>
    <row r="634">
      <c r="A634">
        <f>HYPERLINK("https://mathstats.uncg.edu/sites/pauli/congruence/csg3.html#group45C3", "45C³")</f>
        <v/>
      </c>
      <c r="B634" t="n">
        <v>3</v>
      </c>
      <c r="C634" t="inlineStr"/>
      <c r="D634" t="inlineStr">
        <is>
          <t>60</t>
        </is>
      </c>
      <c r="E634" t="inlineStr">
        <is>
          <t>2</t>
        </is>
      </c>
      <c r="F634" t="inlineStr">
        <is>
          <t>20</t>
        </is>
      </c>
      <c r="G634" t="inlineStr">
        <is>
          <t>0</t>
        </is>
      </c>
      <c r="H634" t="inlineStr">
        <is>
          <t>3</t>
        </is>
      </c>
      <c r="I634" t="inlineStr">
        <is>
          <t>5³, 45¹</t>
        </is>
      </c>
      <c r="J634" t="n">
        <v>4</v>
      </c>
      <c r="K634" t="inlineStr">
        <is>
          <t>2², 4¹, 8⁴</t>
        </is>
      </c>
      <c r="L634" t="inlineStr">
        <is>
          <t>15B¹</t>
        </is>
      </c>
      <c r="M634" t="inlineStr">
        <is>
          <t>90F⁷, 45B¹⁰, 45C¹⁰, 45H¹², 90E¹², 45G¹³, 45I¹³, 180C¹⁸</t>
        </is>
      </c>
      <c r="N634" t="inlineStr">
        <is>
          <t>3B⁰, 15B¹, 1A⁰, 5A⁰</t>
        </is>
      </c>
      <c r="O634" t="inlineStr">
        <is>
          <t>45G¹³, 45H¹², 90K²², 180B¹⁵, 180C¹⁸, 45B¹⁰, 90L²², 45I¹³, 45C¹⁰, 90E¹², 45E²³, 90F⁷, 45H¹⁹</t>
        </is>
      </c>
    </row>
    <row r="635">
      <c r="A635">
        <f>HYPERLINK("https://mathstats.uncg.edu/sites/pauli/congruence/csg3.html#group45D3", "45D³")</f>
        <v/>
      </c>
      <c r="B635" t="n">
        <v>3</v>
      </c>
      <c r="C635" t="inlineStr">
        <is>
          <t>Γ₀(45)</t>
        </is>
      </c>
      <c r="D635" t="inlineStr">
        <is>
          <t>72</t>
        </is>
      </c>
      <c r="E635" t="inlineStr">
        <is>
          <t>1</t>
        </is>
      </c>
      <c r="F635" t="inlineStr">
        <is>
          <t>24</t>
        </is>
      </c>
      <c r="G635" t="inlineStr">
        <is>
          <t>0</t>
        </is>
      </c>
      <c r="H635" t="inlineStr">
        <is>
          <t>0</t>
        </is>
      </c>
      <c r="I635" t="inlineStr">
        <is>
          <t>1³, 5³, 9¹, 45¹</t>
        </is>
      </c>
      <c r="J635" t="n">
        <v>8</v>
      </c>
      <c r="K635" t="inlineStr">
        <is>
          <t>1⁴, 2², 4², 8¹</t>
        </is>
      </c>
      <c r="L635" t="inlineStr">
        <is>
          <t>9B⁰, 15C¹</t>
        </is>
      </c>
      <c r="M635" t="inlineStr">
        <is>
          <t>45H⁵, 90D⁹, 90E⁹, 45G¹¹, 90J¹¹, 135B¹¹, 45K¹³, 135E¹³, 135B¹⁵, 45H¹⁹, 225A¹⁹, 180G²¹</t>
        </is>
      </c>
      <c r="N635" t="inlineStr">
        <is>
          <t>5B⁰, 3B⁰, 9B⁰, 15C¹, 1A⁰</t>
        </is>
      </c>
      <c r="O635" t="inlineStr">
        <is>
          <t>135A²¹, 45F²¹, 90Q¹⁷, 90E⁹, 90R¹⁷, 45K¹³, 45G⁹, 45H¹⁹, 225A¹⁹, 135B¹¹, 90J¹¹, 180D²¹, 135B¹⁵, 135E¹³, 180G²¹, 90D⁹, 45H⁵, 45G¹¹, 180C²¹, 180H²¹, 90O²¹</t>
        </is>
      </c>
    </row>
    <row r="636">
      <c r="A636">
        <f>HYPERLINK("https://mathstats.uncg.edu/sites/pauli/congruence/csg3.html#group48A3", "48A³")</f>
        <v/>
      </c>
      <c r="B636" t="n">
        <v>3</v>
      </c>
      <c r="C636" t="inlineStr"/>
      <c r="D636" t="inlineStr">
        <is>
          <t>48</t>
        </is>
      </c>
      <c r="E636" t="inlineStr">
        <is>
          <t>2</t>
        </is>
      </c>
      <c r="F636" t="inlineStr">
        <is>
          <t>8</t>
        </is>
      </c>
      <c r="G636" t="inlineStr">
        <is>
          <t>6</t>
        </is>
      </c>
      <c r="H636" t="inlineStr">
        <is>
          <t>0</t>
        </is>
      </c>
      <c r="I636" t="inlineStr">
        <is>
          <t>48¹</t>
        </is>
      </c>
      <c r="J636" t="n">
        <v>1</v>
      </c>
      <c r="K636" t="inlineStr">
        <is>
          <t>8²</t>
        </is>
      </c>
      <c r="L636" t="inlineStr">
        <is>
          <t>16A⁰, 24A¹</t>
        </is>
      </c>
      <c r="M636" t="inlineStr">
        <is>
          <t>48H⁶, 48J⁷, 48A⁸, 48F¹⁰, 144A¹⁰, 48A¹², 240A¹⁹, 240B²¹, 336C²⁴, 336D²⁴</t>
        </is>
      </c>
      <c r="N636" t="inlineStr">
        <is>
          <t>8A⁰, 12A⁰, 24A¹, 16A⁰, 3A⁰, 1A⁰, 4A⁰</t>
        </is>
      </c>
      <c r="O636" t="inlineStr">
        <is>
          <t>48I²⁰, 48A⁸, 48BX²¹, 144N²², 48T¹⁹, 48A¹², 48D¹⁵, 144F²⁰, 48H²⁰, 48H⁶, 48F¹⁰, 336D²⁴, 144A²⁴, 144T²³, 144J²², 336C²⁴, 144A¹⁰, 48A²², 48R¹³, 144N²¹, 240B²¹, 48B¹⁵, 48J⁷, 144E²⁰, 144L²², 48C²², 240A¹⁹, 144S²³, 48BY²¹</t>
        </is>
      </c>
    </row>
    <row r="637">
      <c r="A637">
        <f>HYPERLINK("https://mathstats.uncg.edu/sites/pauli/congruence/csg3.html#group48B3", "48B³")</f>
        <v/>
      </c>
      <c r="B637" t="n">
        <v>3</v>
      </c>
      <c r="C637" t="inlineStr"/>
      <c r="D637" t="inlineStr">
        <is>
          <t>48</t>
        </is>
      </c>
      <c r="E637" t="inlineStr">
        <is>
          <t>2</t>
        </is>
      </c>
      <c r="F637" t="inlineStr">
        <is>
          <t>24</t>
        </is>
      </c>
      <c r="G637" t="inlineStr">
        <is>
          <t>6</t>
        </is>
      </c>
      <c r="H637" t="inlineStr">
        <is>
          <t>0</t>
        </is>
      </c>
      <c r="I637" t="inlineStr">
        <is>
          <t>48¹</t>
        </is>
      </c>
      <c r="J637" t="n">
        <v>1</v>
      </c>
      <c r="K637" t="inlineStr">
        <is>
          <t>8², 16²</t>
        </is>
      </c>
      <c r="L637" t="inlineStr">
        <is>
          <t>24A¹</t>
        </is>
      </c>
      <c r="M637" t="inlineStr">
        <is>
          <t>48G⁶, 48H⁶, 48I⁷, 48J⁷, 48B⁸, 48G¹⁰, 144B¹⁰, 144C¹⁰, 144D¹⁰, 48B¹², 240B¹⁹, 240D²¹, 336G²⁴, 336H²⁴</t>
        </is>
      </c>
      <c r="N637" t="inlineStr">
        <is>
          <t>8A⁰, 12A⁰, 24A¹, 3A⁰, 1A⁰, 4A⁰</t>
        </is>
      </c>
      <c r="O637" t="inlineStr">
        <is>
          <t>48I⁷, 48I²⁰, 48BX²¹, 144N²², 48D¹⁵, 144F²⁰, 48G²⁰, 144B¹⁰, 48BO²¹, 336G²⁴, 144K²², 336H²⁴, 48D²², 144J²², 144Q²³, 144R²³, 144M²¹, 48A¹⁵, 48B¹², 144D²⁰, 48BP²¹, 48B¹⁵, 144E²⁰, 144M²², 144B²⁴, 240D²¹, 144C¹⁰, 144D¹⁰, 48H²⁰, 48H⁶, 240B¹⁹, 48B²², 48BW²¹, 144I²², 48G⁶, 144C²⁰, 48G¹⁰, 144T²³, 48C²⁰, 48AV¹⁹, 48R¹³, 144N²¹, 48J⁷, 144L²², 144C²⁴, 48BY²¹, 144S²³, 48D²⁰, 48B⁸</t>
        </is>
      </c>
    </row>
    <row r="638">
      <c r="A638">
        <f>HYPERLINK("https://mathstats.uncg.edu/sites/pauli/congruence/csg3.html#group48C3", "48C³")</f>
        <v/>
      </c>
      <c r="B638" t="n">
        <v>3</v>
      </c>
      <c r="C638" t="inlineStr"/>
      <c r="D638" t="inlineStr">
        <is>
          <t>72</t>
        </is>
      </c>
      <c r="E638" t="inlineStr">
        <is>
          <t>1</t>
        </is>
      </c>
      <c r="F638" t="inlineStr">
        <is>
          <t>6</t>
        </is>
      </c>
      <c r="G638" t="inlineStr">
        <is>
          <t>12</t>
        </is>
      </c>
      <c r="H638" t="inlineStr">
        <is>
          <t>0</t>
        </is>
      </c>
      <c r="I638" t="inlineStr">
        <is>
          <t>24¹, 48¹</t>
        </is>
      </c>
      <c r="J638" t="n">
        <v>2</v>
      </c>
      <c r="K638" t="inlineStr">
        <is>
          <t>1², 2²</t>
        </is>
      </c>
      <c r="L638" t="inlineStr">
        <is>
          <t>24A⁰, 16B¹</t>
        </is>
      </c>
      <c r="M638" t="inlineStr">
        <is>
          <t>48E⁵, 48T⁷, 48V⁷, 48X⁸, 48AC⁸, 48L⁹, 48M⁹, 48A¹¹, 48C¹¹, 144A¹³</t>
        </is>
      </c>
      <c r="N638" t="inlineStr">
        <is>
          <t>12C⁰, 24A⁰, 4C⁰, 8B⁰, 16B¹, 2B⁰, 3A⁰, 1A⁰, 6D⁰</t>
        </is>
      </c>
      <c r="O638" t="inlineStr">
        <is>
          <t>96O²³, 48X⁸, 96B¹⁷, 48O¹⁷, 48I²¹, 48M⁹, 48BG¹⁹, 48H²¹, 48R²¹, 96D¹⁷, 48AN¹⁹, 48T⁷, 48BB¹⁷, 48U²¹, 48CA¹⁷, 48AE²¹, 48AF²¹, 48P²¹, 96C¹⁷, 96O¹⁵, 48AI²¹, 48X¹⁵, 48AC⁸, 96I¹¹, 48Q¹⁷, 96A²³, 48F²¹, 48V²¹, 96N¹⁷, 48E⁵, 96R¹⁷, 48AC²¹, 96I²⁰, 96Q²⁰, 48BY¹⁷, 48BC¹⁹, 48M¹⁷, 48AS²¹, 48J¹⁵, 48H¹⁵, 48AO¹⁹, 96J¹⁹, 144A¹³, 48Y¹⁵, 48T²¹, 96O¹⁷, 96F²³, 96P²⁰, 48I¹⁵, 48V⁷, 48BQ¹⁷, 48L⁹, 48A¹¹, 48BA¹⁷, 48AX²¹, 48AB¹³, 48AR²¹, 48BF¹⁹, 48CB¹⁷, 96J²⁰, 48C¹¹, 48W¹⁵</t>
        </is>
      </c>
    </row>
    <row r="639">
      <c r="A639">
        <f>HYPERLINK("https://mathstats.uncg.edu/sites/pauli/congruence/csg3.html#group48D3", "48D³")</f>
        <v/>
      </c>
      <c r="B639" t="n">
        <v>3</v>
      </c>
      <c r="C639" t="inlineStr"/>
      <c r="D639" t="inlineStr">
        <is>
          <t>72</t>
        </is>
      </c>
      <c r="E639" t="inlineStr">
        <is>
          <t>1</t>
        </is>
      </c>
      <c r="F639" t="inlineStr">
        <is>
          <t>12</t>
        </is>
      </c>
      <c r="G639" t="inlineStr">
        <is>
          <t>6</t>
        </is>
      </c>
      <c r="H639" t="inlineStr">
        <is>
          <t>0</t>
        </is>
      </c>
      <c r="I639" t="inlineStr">
        <is>
          <t>6⁴, 48¹</t>
        </is>
      </c>
      <c r="J639" t="n">
        <v>5</v>
      </c>
      <c r="K639" t="inlineStr">
        <is>
          <t>1², 2¹, 4²</t>
        </is>
      </c>
      <c r="L639" t="inlineStr">
        <is>
          <t>16E⁰, 24C¹</t>
        </is>
      </c>
      <c r="M639" t="inlineStr">
        <is>
          <t>48J⁶, 48P⁷, 48AA⁷, 48C⁸, 48P⁸, 96C⁸, 96D⁸, 96E⁸, 96F⁸, 48T⁹, 48C¹⁰, 144B¹⁴</t>
        </is>
      </c>
      <c r="N639" t="inlineStr">
        <is>
          <t>16E⁰, 12C⁰, 8D⁰, 4C⁰, 24C¹, 2B⁰, 3A⁰, 1A⁰, 6D⁰</t>
        </is>
      </c>
      <c r="O639" t="inlineStr">
        <is>
          <t>96U¹⁷, 96B¹⁶, 96AC¹⁹, 48AQ²¹, 48Y¹⁹, 96A¹⁸, 48P⁷, 96C¹⁶, 96D⁸, 48D¹⁷, 96F¹⁷, 48A¹⁶, 96AB¹⁹, 48AJ¹⁷, 48V¹⁵, 96X¹⁷, 96B²⁰, 48U²¹, 48AA⁷, 48Z¹⁹, 48AP¹⁷, 96D²², 96B²², 96F¹⁸, 48E¹⁸, 96G¹⁸, 96L¹⁹, 48T⁹, 96A²⁰, 96C¹⁸, 48F¹⁵, 48G¹⁵, 48X¹⁹, 96W¹⁷, 144B¹⁴, 48AL¹⁷, 48P⁸, 96E⁸, 48AD¹³, 96M¹⁹, 48I¹⁵, 96E¹⁷, 96E¹⁸, 96F⁸, 48BV¹⁷, 96AD¹⁹, 96A¹⁶, 48B¹⁹, 48J⁶, 96C⁸, 96D¹⁶, 96Y¹⁷, 96V¹⁷, 48C⁸, 96AA¹⁹, 48H¹⁶, 48N¹⁸, 48AE¹⁹, 48C¹⁰, 96AZ¹⁹, 48BM²¹, 48I¹⁷, 48H¹⁹, 96T¹⁷</t>
        </is>
      </c>
    </row>
    <row r="640">
      <c r="A640">
        <f>HYPERLINK("https://mathstats.uncg.edu/sites/pauli/congruence/csg3.html#group48E3", "48E³")</f>
        <v/>
      </c>
      <c r="B640" t="n">
        <v>3</v>
      </c>
      <c r="C640" t="inlineStr"/>
      <c r="D640" t="inlineStr">
        <is>
          <t>72</t>
        </is>
      </c>
      <c r="E640" t="inlineStr">
        <is>
          <t>1</t>
        </is>
      </c>
      <c r="F640" t="inlineStr">
        <is>
          <t>12</t>
        </is>
      </c>
      <c r="G640" t="inlineStr">
        <is>
          <t>12</t>
        </is>
      </c>
      <c r="H640" t="inlineStr">
        <is>
          <t>0</t>
        </is>
      </c>
      <c r="I640" t="inlineStr">
        <is>
          <t>24¹, 48¹</t>
        </is>
      </c>
      <c r="J640" t="n">
        <v>2</v>
      </c>
      <c r="K640" t="inlineStr">
        <is>
          <t>1⁴, 2², 4¹</t>
        </is>
      </c>
      <c r="L640" t="inlineStr">
        <is>
          <t>24A⁰, 16D¹</t>
        </is>
      </c>
      <c r="M640" t="inlineStr">
        <is>
          <t>48F⁵, 48AE⁷, 48AG⁷, 48F⁸, 48X⁸, 48AB⁸, 48AD⁸, 48Y⁹, 48Z⁹, 96C⁹, 96F⁹, 96E⁹, 96D⁹, 96H⁹, 96I⁹, 96J⁹, 96K⁹, 48D¹¹, 48K¹¹, 144C¹³</t>
        </is>
      </c>
      <c r="N640" t="inlineStr">
        <is>
          <t>16D¹, 12C⁰, 24A⁰, 4C⁰, 8B⁰, 2B⁰, 3A⁰, 1A⁰, 6D⁰</t>
        </is>
      </c>
      <c r="O640" t="inlineStr">
        <is>
          <t>96AH¹⁹, 48I²¹, 96AE¹⁹, 96N²⁰, 96AG²¹, 192H²¹, 48CE¹⁷, 48CA¹⁷, 48M¹⁵, 192I²¹, 48BF²¹, 48AN²¹, 96AK¹⁹, 48J²¹, 96S²⁰, 48V²¹, 48E¹⁸, 48AG⁷, 48O¹⁸, 96H²⁰, 48K¹¹, 48AL¹⁹, 96E²³, 96AF²¹, 48L¹⁵, 96Z²⁰, 48BC²¹, 96Z¹⁷, 96BB¹⁹, 48F¹⁸, 48BC¹⁷, 48BD¹⁹, 48AM²¹, 48BH¹⁹, 96V²⁰, 96S¹⁵, 48CB¹⁷, 48BF¹⁷, 48AU¹⁷, 48CF¹⁷, 48BG¹⁹, 96AD²⁰, 96AE²¹, 192J²¹, 96I⁹, 96AY²¹, 48D¹¹, 96AP²¹, 96D²³, 48Q¹⁸, 96C²³, 48AV¹⁷, 48CC¹⁷, 96T²⁰, 48BU²¹, 96J²³, 48BD¹⁷, 48J¹⁵, 96AM¹⁹, 96Y²⁰, 96W²⁰, 48AE¹⁵, 48AD⁸, 48AX¹⁷, 48Y⁹, 96AQ¹⁹, 96AL¹⁹, 96G²⁰, 96D⁹, 48BE¹⁷, 48AF¹³, 192F²¹, 96H⁹, 96AF¹⁹, 96O²⁰, 48AZ¹⁷, 48BF¹⁹, 48AP²¹, 48AF¹⁵, 96AE¹⁷, 96AB¹⁷, 96AF²⁰, 48AB⁸, 96AI²¹, 96AA¹⁷, 96AG²⁰, 96AN²¹, 96K²³, 96J⁹, 96AC²⁰, 96AO²¹, 96H²³, 96R²⁰, 96BA¹⁹, 96AA²⁰, 96AB²⁰, 192G²¹, 96V²³, 96J¹¹, 96I²⁰, 96Q²⁰, 96AH²¹, 192E²¹, 96E⁹, 48AD¹⁵, 96AL²¹, 96X²⁰, 48BG²¹, 96AG¹⁹, 48AJ²¹, 96K⁹, 96W¹⁹, 96B²³, 48AS¹⁷, 96J²⁰, 96AO¹⁹, 96AR¹⁹, 96I²³, 48AK¹⁹, 48F⁸, 144C¹³, 48X⁸, 96F⁹, 48Z⁹, 96H¹⁷, 96AJ²¹, 96AM²¹, 96AX²¹, 96N²³, 96U²⁰, 96AK²¹, 48F⁵, 192K²¹, 96M²³, 48BB¹⁹, 192L²¹, 96AP¹⁹, 96P²⁰, 96G¹⁷, 96AN¹⁹, 48W²¹, 48E²¹, 96AE²⁰, 96U²³, 96C⁹, 48AE⁷, 48BI¹⁹, 96L²³</t>
        </is>
      </c>
    </row>
    <row r="641">
      <c r="A641">
        <f>HYPERLINK("https://mathstats.uncg.edu/sites/pauli/congruence/csg3.html#group48F3", "48F³")</f>
        <v/>
      </c>
      <c r="B641" t="n">
        <v>3</v>
      </c>
      <c r="C641" t="inlineStr"/>
      <c r="D641" t="inlineStr">
        <is>
          <t>72</t>
        </is>
      </c>
      <c r="E641" t="inlineStr">
        <is>
          <t>1</t>
        </is>
      </c>
      <c r="F641" t="inlineStr">
        <is>
          <t>18</t>
        </is>
      </c>
      <c r="G641" t="inlineStr">
        <is>
          <t>12</t>
        </is>
      </c>
      <c r="H641" t="inlineStr">
        <is>
          <t>0</t>
        </is>
      </c>
      <c r="I641" t="inlineStr">
        <is>
          <t>24¹, 48¹</t>
        </is>
      </c>
      <c r="J641" t="n">
        <v>2</v>
      </c>
      <c r="K641" t="inlineStr">
        <is>
          <t>1², 2⁴, 4²</t>
        </is>
      </c>
      <c r="L641" t="inlineStr">
        <is>
          <t>24A⁰</t>
        </is>
      </c>
      <c r="M641" t="inlineStr">
        <is>
          <t>48G⁵, 48S⁷, 48T⁷, 48U⁷, 48AI⁷, 48AA⁸, 48AD⁸, 48AE⁸, 48AF⁸, 48J⁹, 48K⁹, 48M⁹, 48AB⁹, 48F¹¹, 48L¹¹, 144B¹³, 144E¹³</t>
        </is>
      </c>
      <c r="N641" t="inlineStr">
        <is>
          <t>12C⁰, 24A⁰, 4C⁰, 8B⁰, 2B⁰, 3A⁰, 1A⁰, 6D⁰</t>
        </is>
      </c>
      <c r="O641" t="inlineStr">
        <is>
          <t>96R¹⁵, 48AA¹³, 48BE¹⁹, 48O¹⁷, 48M⁹, 144B¹³, 48BJ¹⁹, 96AG²⁰, 48H²¹, 96Z²¹, 48BK¹⁹, 48S⁷, 48CE¹⁷, 48T⁷, 48AH²¹, 96G¹³, 48CA¹⁷, 48AE²¹, 48BI²¹, 48Z¹⁵, 48BX¹⁷, 48Q¹⁷, 48BS²¹, 48CH¹⁷, 48AI⁷, 48AA²¹, 48AT¹⁷, 48AD²¹, 48AC²¹, 48CG¹⁷, 48AM¹⁷, 48BY¹⁷, 48BW¹⁷, 48M¹⁷, 48K⁹, 48P¹⁷, 48AB²¹, 48AZ¹⁹, 96X²⁰, 48BA¹⁹, 48AJ²¹, 48BD¹⁹, 48BH²¹, 48AY¹⁹, 48BH¹⁹, 144E¹³, 48BG¹⁷, 48Q²¹, 48BQ²¹, 96V²⁰, 48AN¹⁷, 48AA⁸, 48BH¹⁷, 48U⁷, 48BF¹⁷, 48AK¹⁹, 48AU¹⁷, 48AF⁸, 48CF¹⁷, 48N¹⁷, 48BG¹⁹, 96AD²⁰, 48AO¹⁷, 48AE⁸, 96Q¹⁵, 48AF²¹, 48P²¹, 48BR¹⁷, 48AP¹⁷, 48AB⁹, 96V¹⁹, 48AC¹⁹, 48AD¹⁹, 48F¹¹, 48BU²¹, 48BC¹⁹, 48J⁹, 48AA¹⁵, 96W²⁰, 48G⁵, 96Y²⁰, 48AD⁸, 48BQ¹⁷, 48N²¹, 48BZ¹⁷, 48L¹¹, 96T¹⁹, 48BE¹⁷, 48K²¹, 48AJ¹⁹, 96AE²⁰, 48AB¹³, 48AE¹⁹, 48AB¹⁹, 96AD¹⁷, 48BI¹⁹, 48AF¹⁵, 96AF²⁰</t>
        </is>
      </c>
    </row>
    <row r="642">
      <c r="A642">
        <f>HYPERLINK("https://mathstats.uncg.edu/sites/pauli/congruence/csg3.html#group48G3", "48G³")</f>
        <v/>
      </c>
      <c r="B642" t="n">
        <v>3</v>
      </c>
      <c r="C642" t="inlineStr"/>
      <c r="D642" t="inlineStr">
        <is>
          <t>72</t>
        </is>
      </c>
      <c r="E642" t="inlineStr">
        <is>
          <t>1</t>
        </is>
      </c>
      <c r="F642" t="inlineStr">
        <is>
          <t>36</t>
        </is>
      </c>
      <c r="G642" t="inlineStr">
        <is>
          <t>6</t>
        </is>
      </c>
      <c r="H642" t="inlineStr">
        <is>
          <t>0</t>
        </is>
      </c>
      <c r="I642" t="inlineStr">
        <is>
          <t>6⁴, 48¹</t>
        </is>
      </c>
      <c r="J642" t="n">
        <v>5</v>
      </c>
      <c r="K642" t="inlineStr">
        <is>
          <t>1², 2³, 4³, 8²</t>
        </is>
      </c>
      <c r="L642" t="inlineStr">
        <is>
          <t>24C¹</t>
        </is>
      </c>
      <c r="M642" t="inlineStr">
        <is>
          <t>48I⁶, 48J⁶, 48Z⁷, 48AA⁷, 48AC⁷, 48D⁸, 48Q⁸, 48Z⁸, 48U⁹, 48AD⁹, 48D¹⁰, 144C¹⁴, 144D¹⁴</t>
        </is>
      </c>
      <c r="N642" t="inlineStr">
        <is>
          <t>12C⁰, 8D⁰, 4C⁰, 24C¹, 2B⁰, 3A⁰, 1A⁰, 6D⁰</t>
        </is>
      </c>
      <c r="O642" t="inlineStr">
        <is>
          <t>96U¹⁷, 48AD⁹, 96AC²¹, 96B¹⁶, 48AC⁷, 48U¹⁵, 48Y¹⁹, 48Z⁸, 96C¹⁶, 48AI¹⁷, 48D¹⁰, 96AD²¹, 48AO¹⁷, 48AK¹⁷, 48BL²¹, 48AJ¹⁷, 48L¹⁸, 48S¹⁸, 48V¹⁵, 96D²⁰, 48AW¹⁹, 48J¹⁷, 48Z¹⁹, 48BP¹⁷, 48E¹⁵, 48BN²¹, 144C¹⁴, 48BX¹⁷, 48X¹⁵, 48U¹⁹, 48BV²¹, 96C²⁰, 48O¹⁸, 48AD¹⁹, 48H¹⁷, 48G¹⁵, 96E¹⁶, 48F¹⁵, 48G¹⁹, 48I⁶, 48X¹⁹, 48AS²¹, 48G¹⁶, 48U⁹, 144D¹⁴, 96W¹⁷, 48AL¹⁷, 48I¹⁹, 48AD¹³, 48Q⁸, 48Z⁷, 48AZ¹⁹, 48W¹⁹, 48F¹⁶, 48I¹⁶, 48BV¹⁷, 48V¹⁹, 96A¹⁶, 96AW²¹, 48J⁶, 96V¹⁷, 48D⁸, 96D¹⁶, 96M²⁰, 48BU¹⁷, 48AA⁷, 96T¹⁷</t>
        </is>
      </c>
    </row>
    <row r="643">
      <c r="A643">
        <f>HYPERLINK("https://mathstats.uncg.edu/sites/pauli/congruence/csg3.html#group48H3", "48H³")</f>
        <v/>
      </c>
      <c r="B643" t="n">
        <v>3</v>
      </c>
      <c r="C643" t="inlineStr"/>
      <c r="D643" t="inlineStr">
        <is>
          <t>72</t>
        </is>
      </c>
      <c r="E643" t="inlineStr">
        <is>
          <t>1</t>
        </is>
      </c>
      <c r="F643" t="inlineStr">
        <is>
          <t>36</t>
        </is>
      </c>
      <c r="G643" t="inlineStr">
        <is>
          <t>12</t>
        </is>
      </c>
      <c r="H643" t="inlineStr">
        <is>
          <t>0</t>
        </is>
      </c>
      <c r="I643" t="inlineStr">
        <is>
          <t>24¹, 48¹</t>
        </is>
      </c>
      <c r="J643" t="n">
        <v>2</v>
      </c>
      <c r="K643" t="inlineStr">
        <is>
          <t>1⁴, 2⁶, 4³, 8¹</t>
        </is>
      </c>
      <c r="L643" t="inlineStr">
        <is>
          <t>24A⁰</t>
        </is>
      </c>
      <c r="M643" t="inlineStr">
        <is>
          <t>48H⁵, 48AD⁷, 48AE⁷, 48AF⁷, 48AJ⁷, 48R⁸, 48S⁸, 48T⁸, 48AA⁸, 48AB⁸, 48AC⁸, 48AE⁸, 48AF⁸, 48W⁹, 48X⁹, 48Z⁹, 48AE⁹, 48M¹¹, 48Q¹¹, 144D¹³, 144F¹³</t>
        </is>
      </c>
      <c r="N643" t="inlineStr">
        <is>
          <t>12C⁰, 24A⁰, 4C⁰, 8B⁰, 2B⁰, 3A⁰, 1A⁰, 6D⁰</t>
        </is>
      </c>
      <c r="O643" t="inlineStr">
        <is>
          <t>48AB⁸, 48AO²¹, 48M¹¹, 96AU¹⁹, 96AH¹⁹, 48BE¹⁹, 48R⁸, 96AE¹⁹, 48BJ¹⁹, 96AG²¹, 96AN²¹, 48L²¹, 48BK¹⁹, 96AC²⁰, 96AO²¹, 48S⁸, 48L¹⁸, 48CE¹⁷, 48M¹⁸, 48AH²¹, 48AN¹⁹, 96T¹⁵, 96R²⁰, 48CA¹⁷, 48BI²¹, 48Z¹⁵, 48BF²¹, 96AA²⁰, 96AB²⁰, 48X⁹, 48AN²¹, 48BI¹⁹, 48AM¹⁹, 96AK¹⁹, 96S²⁰, 48AC⁸, 96W¹⁵, 48BS²¹, 48CH¹⁷, 48AT¹⁷, 96AH²¹, 48AK²¹, 48BY¹⁷, 48CG¹⁷, 48CD¹⁷, 96H¹³, 48AL¹⁹, 48T⁸, 96AF²¹, 48AJ⁷, 48H⁵, 96Y¹⁹, 48Y¹⁵, 96Z²⁰, 48BC²¹, 48BD²¹, 48AD⁷, 48AL²¹, 48AE¹³, 96X¹⁹, 48BG²¹, 96AS¹⁹, 96AY¹⁹, 48BC¹⁷, 48BA¹⁹, 48BD¹⁹, 48AX²¹, 48BH²¹, 48AQ¹⁷, 96AG¹⁹, 144F¹³, 48AE⁹, 48BH¹⁹, 48N¹⁸, 48BG¹⁷, 48AS¹⁷, 48CB¹⁷, 48BH¹⁷, 48AA⁸, 96U¹⁵, 48BF¹⁷, 48AW²¹, 48AF⁸, 48CF¹⁷, 48Z⁹, 48BG¹⁹, 96AT²¹, 48AE⁸, 96AM²¹, 48S¹⁸, 96AE²¹, 48T¹⁸, 48BB¹⁷, 96AG¹⁷, 96U²⁰, 96AP²¹, 48AI²¹, 144D¹³, 48W⁹, 48BR²¹, 48AY¹⁷, 48AV¹⁷, 48CC¹⁷, 96T²⁰, 96AF¹⁷, 48P¹⁸, 48BU²¹, 48AW¹⁷, 48BD¹⁷, 48BC¹⁹, 48AA¹⁵, 48AO¹⁹, 96AT¹⁹, 96AM¹⁹, 48BB¹⁹, 48AF⁷, 96AN¹⁹, 96AV¹⁹, 48AX¹⁷, 48W²¹, 48BA¹⁷, 48BZ¹⁷, 96AL¹⁹, 48BB²¹, 48BE¹⁷, 48AJ¹⁹, 48AF¹³, 96AF¹⁹, 48Q¹¹, 48AP²¹, 48AZ¹⁷, 48AE⁷, 48BF¹⁹, 48AG²¹, 48AF¹⁵</t>
        </is>
      </c>
    </row>
    <row r="644">
      <c r="A644">
        <f>HYPERLINK("https://mathstats.uncg.edu/sites/pauli/congruence/csg3.html#group48I3", "48I³")</f>
        <v/>
      </c>
      <c r="B644" t="n">
        <v>3</v>
      </c>
      <c r="C644" t="inlineStr"/>
      <c r="D644" t="inlineStr">
        <is>
          <t>96</t>
        </is>
      </c>
      <c r="E644" t="inlineStr">
        <is>
          <t>1</t>
        </is>
      </c>
      <c r="F644" t="inlineStr">
        <is>
          <t>24</t>
        </is>
      </c>
      <c r="G644" t="inlineStr">
        <is>
          <t>0</t>
        </is>
      </c>
      <c r="H644" t="inlineStr">
        <is>
          <t>0</t>
        </is>
      </c>
      <c r="I644" t="inlineStr">
        <is>
          <t>1⁴, 3⁴, 4¹, 12¹, 16¹, 48¹</t>
        </is>
      </c>
      <c r="J644" t="n">
        <v>12</v>
      </c>
      <c r="K644" t="inlineStr">
        <is>
          <t>1⁸, 2⁶, 4¹</t>
        </is>
      </c>
      <c r="L644" t="inlineStr">
        <is>
          <t>24G¹</t>
        </is>
      </c>
      <c r="M644" t="inlineStr">
        <is>
          <t>48I⁵, 48AO⁷, 48AM⁷, 48AH⁹, 48AI⁹, 48V¹³, 144G¹³, 144A¹⁹, 144B¹⁹</t>
        </is>
      </c>
      <c r="N644" t="inlineStr">
        <is>
          <t>3B⁰, 24G¹, 1A⁰, 8C⁰, 2B⁰, 4B⁰, 6F⁰, 12E⁰</t>
        </is>
      </c>
      <c r="O644" t="inlineStr">
        <is>
          <t>144A¹⁹, 96I¹³, 48I⁵, 48AH¹³, 48AO⁷, 96AH¹⁷, 48CK¹⁷, 48CI²¹, 48CG²¹, 48CD²¹, 48CQ¹⁷, 48AH⁹, 144G¹³, 48AM⁷, 48AI⁹, 48V¹³, 144B¹⁹, 48CL¹⁷, 48CN¹⁷, 96BB²¹, 48CJ²¹</t>
        </is>
      </c>
    </row>
    <row r="645">
      <c r="A645">
        <f>HYPERLINK("https://mathstats.uncg.edu/sites/pauli/congruence/csg3.html#group48J3", "48J³")</f>
        <v/>
      </c>
      <c r="B645" t="n">
        <v>3</v>
      </c>
      <c r="C645" t="inlineStr">
        <is>
          <t>Γ₀(48)</t>
        </is>
      </c>
      <c r="D645" t="inlineStr">
        <is>
          <t>96</t>
        </is>
      </c>
      <c r="E645" t="inlineStr">
        <is>
          <t>1</t>
        </is>
      </c>
      <c r="F645" t="inlineStr">
        <is>
          <t>24</t>
        </is>
      </c>
      <c r="G645" t="inlineStr">
        <is>
          <t>0</t>
        </is>
      </c>
      <c r="H645" t="inlineStr">
        <is>
          <t>0</t>
        </is>
      </c>
      <c r="I645" t="inlineStr">
        <is>
          <t>1⁴, 3⁴, 4¹, 12¹, 16¹, 48¹</t>
        </is>
      </c>
      <c r="J645" t="n">
        <v>12</v>
      </c>
      <c r="K645" t="inlineStr">
        <is>
          <t>1⁸, 2⁶, 4¹</t>
        </is>
      </c>
      <c r="L645" t="inlineStr">
        <is>
          <t>16C⁰, 24G¹</t>
        </is>
      </c>
      <c r="M645" t="inlineStr">
        <is>
          <t>48I⁵, 48AN⁷, 48AP⁷, 96B⁷, 96C⁷, 48AJ⁹, 48AK⁹, 96L⁹, 96M⁹, 96G¹¹, 96H¹¹, 48W¹³, 144H¹³, 144C¹⁹, 144D¹⁹</t>
        </is>
      </c>
      <c r="N645" t="inlineStr">
        <is>
          <t>3B⁰, 16C⁰, 24G¹, 6F⁰, 8C⁰, 2B⁰, 4B⁰, 1A⁰, 12E⁰</t>
        </is>
      </c>
      <c r="O645" t="inlineStr">
        <is>
          <t>96C⁷, 192P²¹, 96M⁹, 96AJ¹⁷, 96AI¹⁷, 96BH²¹, 48AJ⁹, 96L⁹, 192E¹⁹, 96AH¹⁷, 96G¹¹, 48W¹³, 96H¹¹, 144D¹⁹, 96BE¹⁹, 48AN⁷, 96AZ²¹, 192M²¹, 48CK²¹, 48AK⁹, 192F¹⁹, 96BG²¹, 48CE²¹, 144H¹³, 96I¹³, 48I⁵, 96BK²¹, 96BJ²¹, 96BA²¹, 96BF²¹, 48AH¹³, 192N²¹, 96BC²¹, 48CJ¹⁷, 96BI²¹, 48BR¹⁹, 96AK¹⁷, 96AL¹⁷, 96BF¹⁹, 48CP¹⁷, 96B⁷, 96BD²¹, 48BQ¹⁹, 48CM¹⁷, 144C¹⁹, 48CH²¹, 192O²¹, 96BE²¹, 96BB²¹, 48CN¹⁷, 48CJ²¹, 48AP⁷</t>
        </is>
      </c>
    </row>
    <row r="646">
      <c r="A646">
        <f>HYPERLINK("https://mathstats.uncg.edu/sites/pauli/congruence/csg3.html#group48K3", "48K³")</f>
        <v/>
      </c>
      <c r="B646" t="n">
        <v>3</v>
      </c>
      <c r="C646" t="inlineStr"/>
      <c r="D646" t="inlineStr">
        <is>
          <t>96</t>
        </is>
      </c>
      <c r="E646" t="inlineStr">
        <is>
          <t>1</t>
        </is>
      </c>
      <c r="F646" t="inlineStr">
        <is>
          <t>48</t>
        </is>
      </c>
      <c r="G646" t="inlineStr">
        <is>
          <t>0</t>
        </is>
      </c>
      <c r="H646" t="inlineStr">
        <is>
          <t>0</t>
        </is>
      </c>
      <c r="I646" t="inlineStr">
        <is>
          <t>1², 2³, 3², 6³, 16¹, 48¹</t>
        </is>
      </c>
      <c r="J646" t="n">
        <v>12</v>
      </c>
      <c r="K646" t="inlineStr">
        <is>
          <t>1⁸, 2⁸, 4⁴, 8¹</t>
        </is>
      </c>
      <c r="L646" t="inlineStr">
        <is>
          <t>24G¹</t>
        </is>
      </c>
      <c r="M646" t="inlineStr">
        <is>
          <t>48J⁵, 48AK⁷, 48AO⁷, 48AN⁷, 48AQ⁷, 48AN⁹, 48AL⁹, 48Y¹³, 144I¹³, 144E¹⁹, 144F¹⁹</t>
        </is>
      </c>
      <c r="N646" t="inlineStr">
        <is>
          <t>3B⁰, 24G¹, 1A⁰, 8C⁰, 2B⁰, 4B⁰, 6F⁰, 12E⁰</t>
        </is>
      </c>
      <c r="O646" t="inlineStr">
        <is>
          <t>48AL⁹, 96AJ¹⁷, 96AI¹⁷, 48AG¹³, 96BH²¹, 48CO¹⁷, 48AH¹³, 48CJ¹⁷, 144E¹⁹, 48AO⁷, 48CB²¹, 48CP¹⁷, 144I¹³, 48AK⁷, 48AN⁷, 48CQ¹⁷, 48Y¹³, 48AQ⁷, 144F¹⁹, 48AN⁹, 48CL¹⁷, 48J⁵, 96BG²¹, 48CA²¹</t>
        </is>
      </c>
    </row>
    <row r="647">
      <c r="A647">
        <f>HYPERLINK("https://mathstats.uncg.edu/sites/pauli/congruence/csg3.html#group48L3", "48L³")</f>
        <v/>
      </c>
      <c r="B647" t="n">
        <v>3</v>
      </c>
      <c r="C647" t="inlineStr"/>
      <c r="D647" t="inlineStr">
        <is>
          <t>96</t>
        </is>
      </c>
      <c r="E647" t="inlineStr">
        <is>
          <t>1</t>
        </is>
      </c>
      <c r="F647" t="inlineStr">
        <is>
          <t>48</t>
        </is>
      </c>
      <c r="G647" t="inlineStr">
        <is>
          <t>0</t>
        </is>
      </c>
      <c r="H647" t="inlineStr">
        <is>
          <t>0</t>
        </is>
      </c>
      <c r="I647" t="inlineStr">
        <is>
          <t>1², 2³, 3², 6³, 16¹, 48¹</t>
        </is>
      </c>
      <c r="J647" t="n">
        <v>12</v>
      </c>
      <c r="K647" t="inlineStr">
        <is>
          <t>1⁸, 2⁸, 4⁴, 8¹</t>
        </is>
      </c>
      <c r="L647" t="inlineStr">
        <is>
          <t>16D⁰, 24G¹</t>
        </is>
      </c>
      <c r="M647" t="inlineStr">
        <is>
          <t>48J⁵, 48AL⁷, 48AM⁷, 48AP⁷, 48AQ⁷, 48AM⁹, 48AO⁹, 48Z¹³, 144J¹³, 144G¹⁹, 144H¹⁹</t>
        </is>
      </c>
      <c r="N647" t="inlineStr">
        <is>
          <t>3B⁰, 16D⁰, 24G¹, 6F⁰, 8C⁰, 2B⁰, 4B⁰, 1A⁰, 12E⁰</t>
        </is>
      </c>
      <c r="O647" t="inlineStr">
        <is>
          <t>48J⁵, 96BL²¹, 48CO¹⁷, 96BK²¹, 48AG¹³, 144H¹⁹, 96BI²¹, 48AH¹³, 48CC²¹, 48BR¹⁹, 48CM²¹, 96BD¹⁹, 96AK¹⁷, 96AL¹⁷, 96BC¹⁹, 48CP¹⁷, 96BF¹⁹, 48AM⁹, 48CK¹⁷, 96BM²¹, 48BQ¹⁹, 48CM¹⁷, 48AL⁷, 48CQ¹⁷, 96BE¹⁹, 48AQ⁷, 144J¹³, 144G¹⁹, 48AM⁷, 48Z¹³, 48CF²¹, 48CL²¹, 48AO⁹, 48AP⁷</t>
        </is>
      </c>
    </row>
    <row r="648">
      <c r="A648">
        <f>HYPERLINK("https://mathstats.uncg.edu/sites/pauli/congruence/csg3.html#group48M3", "48M³")</f>
        <v/>
      </c>
      <c r="B648" t="n">
        <v>3</v>
      </c>
      <c r="C648" t="inlineStr"/>
      <c r="D648" t="inlineStr">
        <is>
          <t>144</t>
        </is>
      </c>
      <c r="E648" t="inlineStr">
        <is>
          <t>1</t>
        </is>
      </c>
      <c r="F648" t="inlineStr">
        <is>
          <t>9</t>
        </is>
      </c>
      <c r="G648" t="inlineStr">
        <is>
          <t>32</t>
        </is>
      </c>
      <c r="H648" t="inlineStr">
        <is>
          <t>0</t>
        </is>
      </c>
      <c r="I648" t="inlineStr">
        <is>
          <t>24², 48²</t>
        </is>
      </c>
      <c r="J648" t="n">
        <v>4</v>
      </c>
      <c r="K648" t="inlineStr">
        <is>
          <t>1³, 2³</t>
        </is>
      </c>
      <c r="L648" t="inlineStr">
        <is>
          <t>48A⁰, 24H¹, 48A²</t>
        </is>
      </c>
      <c r="M648" t="inlineStr">
        <is>
          <t>96K¹¹, 48X¹³, 48AA¹³, 48AB¹³, 48AE¹³, 48AF¹³, 96V¹⁵, 96U¹⁹, 144J¹⁹, 48S²¹</t>
        </is>
      </c>
      <c r="N648" t="inlineStr">
        <is>
          <t>6B⁰, 12C⁰, 4C⁰, 24D¹, 8B⁰, 48A⁰, 2B⁰, 12H⁰, 1A⁰, 16B⁰, 24A⁰, 48A², 12D⁰, 6H⁰, 3A⁰, 24H¹, 6D⁰</t>
        </is>
      </c>
      <c r="O648" t="inlineStr">
        <is>
          <t>48AE¹³, 96V¹⁵, 48AA¹³, 96U¹⁹, 96K¹¹, 48X¹³, 48AF¹³, 48AB¹³, 144J¹⁹, 48S²¹</t>
        </is>
      </c>
    </row>
    <row r="649">
      <c r="A649">
        <f>HYPERLINK("https://mathstats.uncg.edu/sites/pauli/congruence/csg3.html#group49A3", "49A³")</f>
        <v/>
      </c>
      <c r="B649" t="n">
        <v>3</v>
      </c>
      <c r="C649" t="inlineStr"/>
      <c r="D649" t="inlineStr">
        <is>
          <t>168</t>
        </is>
      </c>
      <c r="E649" t="inlineStr">
        <is>
          <t>1</t>
        </is>
      </c>
      <c r="F649" t="inlineStr">
        <is>
          <t>8</t>
        </is>
      </c>
      <c r="G649" t="inlineStr">
        <is>
          <t>0</t>
        </is>
      </c>
      <c r="H649" t="inlineStr">
        <is>
          <t>0</t>
        </is>
      </c>
      <c r="I649" t="inlineStr">
        <is>
          <t>1²¹, 49³</t>
        </is>
      </c>
      <c r="J649" t="n">
        <v>24</v>
      </c>
      <c r="K649" t="inlineStr">
        <is>
          <t>1², 6¹</t>
        </is>
      </c>
      <c r="L649" t="inlineStr">
        <is>
          <t>7E⁰, 49A¹</t>
        </is>
      </c>
      <c r="M649" t="inlineStr">
        <is>
          <t>98A¹⁷, 98A¹⁹</t>
        </is>
      </c>
      <c r="N649" t="inlineStr">
        <is>
          <t>49A¹, 7E⁰, 1A⁰, 7B⁰</t>
        </is>
      </c>
      <c r="O649" t="inlineStr">
        <is>
          <t>98A¹⁷, 98A¹⁹</t>
        </is>
      </c>
    </row>
    <row r="650">
      <c r="A650">
        <f>HYPERLINK("https://mathstats.uncg.edu/sites/pauli/congruence/csg3.html#group50A3", "50A³")</f>
        <v/>
      </c>
      <c r="B650" t="n">
        <v>3</v>
      </c>
      <c r="C650" t="inlineStr"/>
      <c r="D650" t="inlineStr">
        <is>
          <t>60</t>
        </is>
      </c>
      <c r="E650" t="inlineStr">
        <is>
          <t>1</t>
        </is>
      </c>
      <c r="F650" t="inlineStr">
        <is>
          <t>30</t>
        </is>
      </c>
      <c r="G650" t="inlineStr">
        <is>
          <t>0</t>
        </is>
      </c>
      <c r="H650" t="inlineStr">
        <is>
          <t>0</t>
        </is>
      </c>
      <c r="I650" t="inlineStr">
        <is>
          <t>2⁵, 50¹</t>
        </is>
      </c>
      <c r="J650" t="n">
        <v>6</v>
      </c>
      <c r="K650" t="inlineStr">
        <is>
          <t>1², 4², 20¹</t>
        </is>
      </c>
      <c r="L650" t="inlineStr">
        <is>
          <t>25A⁰, 10A¹</t>
        </is>
      </c>
      <c r="M650" t="inlineStr">
        <is>
          <t>50F⁵, 50C⁷, 150A¹³, 150B¹³, 100C¹⁵, 150J¹⁵, 50B¹⁹, 250A¹⁹, 250B¹⁹, 50E²¹, 250A²¹, 250A²³, 250B²³</t>
        </is>
      </c>
      <c r="N650" t="inlineStr">
        <is>
          <t>25A⁰, 5B⁰, 10A¹, 2A⁰, 1A⁰</t>
        </is>
      </c>
      <c r="O650" t="inlineStr">
        <is>
          <t>100A¹⁵, 50E²¹, 100C¹⁵, 250A²¹, 50B¹⁹, 50C⁷, 250A²³, 150A¹³, 150J¹⁵, 100P¹⁹, 50E¹³, 100Q¹⁹, 250B²³, 250B¹⁹, 250A¹⁹, 150B¹³, 50F⁵</t>
        </is>
      </c>
    </row>
    <row r="651">
      <c r="A651">
        <f>HYPERLINK("https://mathstats.uncg.edu/sites/pauli/congruence/csg3.html#group51A3", "51A³")</f>
        <v/>
      </c>
      <c r="B651" t="n">
        <v>3</v>
      </c>
      <c r="C651" t="inlineStr"/>
      <c r="D651" t="inlineStr">
        <is>
          <t>54</t>
        </is>
      </c>
      <c r="E651" t="inlineStr">
        <is>
          <t>1</t>
        </is>
      </c>
      <c r="F651" t="inlineStr">
        <is>
          <t>18</t>
        </is>
      </c>
      <c r="G651" t="inlineStr">
        <is>
          <t>6</t>
        </is>
      </c>
      <c r="H651" t="inlineStr">
        <is>
          <t>0</t>
        </is>
      </c>
      <c r="I651" t="inlineStr">
        <is>
          <t>3¹, 51¹</t>
        </is>
      </c>
      <c r="J651" t="n">
        <v>2</v>
      </c>
      <c r="K651" t="inlineStr">
        <is>
          <t>1², 16¹</t>
        </is>
      </c>
      <c r="L651" t="inlineStr">
        <is>
          <t>3A⁰, 17A¹</t>
        </is>
      </c>
      <c r="M651" t="inlineStr">
        <is>
          <t>51B⁵, 51A⁷, 51B⁷, 102A⁷, 102B⁷, 102A⁹, 102B⁹, 102C¹¹, 153A¹¹, 204A¹⁵, 255A²¹, 255A²³</t>
        </is>
      </c>
      <c r="N651" t="inlineStr">
        <is>
          <t>3A⁰, 1A⁰, 17A¹</t>
        </is>
      </c>
      <c r="O651" t="inlineStr">
        <is>
          <t>51A²¹, 153B²³, 204H²³, 102B¹³, 102A¹⁵, 153A¹¹, 102B⁷, 51B¹⁵, 255A²³, 102B⁹, 102D²¹, 102D¹⁷, 102A⁷, 102B¹⁵, 153A²¹, 102C¹¹, 102D¹⁵, 306A²³, 102F¹⁷, 51B⁷, 102G¹⁷, 51A¹³, 204A¹⁵, 51B⁵, 204G²³, 255A²¹, 153A²³, 153C²³, 102D²³, 51A¹⁵, 102A²³, 102A⁹, 204E²³, 204F²³, 306B²³, 102B²³, 102A¹⁷, 51B¹³, 102A¹³, 102C²³, 51B⁹, 51A⁷, 102E¹⁷, 102B¹⁷, 102C²¹</t>
        </is>
      </c>
    </row>
    <row r="652">
      <c r="A652">
        <f>HYPERLINK("https://mathstats.uncg.edu/sites/pauli/congruence/csg3.html#group52A3", "52A³")</f>
        <v/>
      </c>
      <c r="B652" t="n">
        <v>3</v>
      </c>
      <c r="C652" t="inlineStr"/>
      <c r="D652" t="inlineStr">
        <is>
          <t>56</t>
        </is>
      </c>
      <c r="E652" t="inlineStr">
        <is>
          <t>1</t>
        </is>
      </c>
      <c r="F652" t="inlineStr">
        <is>
          <t>56</t>
        </is>
      </c>
      <c r="G652" t="inlineStr">
        <is>
          <t>4</t>
        </is>
      </c>
      <c r="H652" t="inlineStr">
        <is>
          <t>2</t>
        </is>
      </c>
      <c r="I652" t="inlineStr">
        <is>
          <t>4¹, 52¹</t>
        </is>
      </c>
      <c r="J652" t="n">
        <v>2</v>
      </c>
      <c r="K652" t="inlineStr">
        <is>
          <t>2⁴, 24²</t>
        </is>
      </c>
      <c r="L652" t="inlineStr">
        <is>
          <t>4A⁰, 13A⁰</t>
        </is>
      </c>
      <c r="M652" t="inlineStr">
        <is>
          <t>52C⁵, 52A⁷, 52B⁷, 104A⁷, 104B⁷, 52C⁹, 156A¹⁰, 52F¹¹, 156A¹¹, 104C¹⁵, 156A¹⁷, 260A²¹</t>
        </is>
      </c>
      <c r="N652" t="inlineStr">
        <is>
          <t>13A⁰, 1A⁰, 4A⁰</t>
        </is>
      </c>
      <c r="O652" t="inlineStr">
        <is>
          <t>52A⁷, 104I²³, 104B¹⁵, 208B¹⁵, 52B⁷, 104O²³, 52C⁹, 104E¹³, 52D²¹, 52C²³, 156A²¹, 104C¹³, 312A²³, 52A¹³, 156F¹⁹, 52C⁵, 104C¹⁵, 52E²¹, 156E²³, 104T²³, 260A²¹, 52H¹¹, 52A¹⁷, 104B⁷, 104D¹³, 104U²³, 104A⁷, 208A¹⁵, 312B²³, 156A¹⁰, 104A¹⁵, 156A¹¹, 52F¹¹, 104H²³, 52E²³, 156F²³, 156A¹⁷, 104D¹⁵, 52G²³, 312C²³, 312D²³, 52F²³, 104P²³</t>
        </is>
      </c>
    </row>
    <row r="653">
      <c r="A653">
        <f>HYPERLINK("https://mathstats.uncg.edu/sites/pauli/congruence/csg3.html#group52B3", "52B³")</f>
        <v/>
      </c>
      <c r="B653" t="n">
        <v>3</v>
      </c>
      <c r="C653" t="inlineStr"/>
      <c r="D653" t="inlineStr">
        <is>
          <t>112</t>
        </is>
      </c>
      <c r="E653" t="inlineStr">
        <is>
          <t>1</t>
        </is>
      </c>
      <c r="F653" t="inlineStr">
        <is>
          <t>14</t>
        </is>
      </c>
      <c r="G653" t="inlineStr">
        <is>
          <t>0</t>
        </is>
      </c>
      <c r="H653" t="inlineStr">
        <is>
          <t>16</t>
        </is>
      </c>
      <c r="I653" t="inlineStr">
        <is>
          <t>4², 52²</t>
        </is>
      </c>
      <c r="J653" t="n">
        <v>4</v>
      </c>
      <c r="K653" t="inlineStr">
        <is>
          <t>1², 12¹</t>
        </is>
      </c>
      <c r="L653" t="inlineStr">
        <is>
          <t>26B¹, 52A¹</t>
        </is>
      </c>
      <c r="M653" t="inlineStr">
        <is>
          <t>52A¹⁵, 156D¹⁹, 156E¹⁹, 52A²³, 52B²³, 156G²³</t>
        </is>
      </c>
      <c r="N653" t="inlineStr">
        <is>
          <t>2A⁰, 26B¹, 26A¹, 13A⁰, 26A⁰, 13B⁰, 52A¹, 1A⁰</t>
        </is>
      </c>
      <c r="O653" t="inlineStr">
        <is>
          <t>52A²³, 52A¹⁵, 156G²³, 52B²³, 156E¹⁹, 156D¹⁹</t>
        </is>
      </c>
    </row>
    <row r="654">
      <c r="A654">
        <f>HYPERLINK("https://mathstats.uncg.edu/sites/pauli/congruence/csg3.html#group54A3", "54A³")</f>
        <v/>
      </c>
      <c r="B654" t="n">
        <v>3</v>
      </c>
      <c r="C654" t="inlineStr"/>
      <c r="D654" t="inlineStr">
        <is>
          <t>72</t>
        </is>
      </c>
      <c r="E654" t="inlineStr">
        <is>
          <t>1</t>
        </is>
      </c>
      <c r="F654" t="inlineStr">
        <is>
          <t>12</t>
        </is>
      </c>
      <c r="G654" t="inlineStr">
        <is>
          <t>0</t>
        </is>
      </c>
      <c r="H654" t="inlineStr">
        <is>
          <t>0</t>
        </is>
      </c>
      <c r="I654" t="inlineStr">
        <is>
          <t>2⁶, 6¹, 54¹</t>
        </is>
      </c>
      <c r="J654" t="n">
        <v>8</v>
      </c>
      <c r="K654" t="inlineStr">
        <is>
          <t>1², 2², 6¹</t>
        </is>
      </c>
      <c r="L654" t="inlineStr">
        <is>
          <t>27A⁰, 18C¹</t>
        </is>
      </c>
      <c r="M654" t="inlineStr">
        <is>
          <t>54B⁷, 108A⁹, 54B¹⁰, 54H¹⁰, 54C¹³, 54E¹³, 54H¹³, 54L¹³, 108D¹⁷</t>
        </is>
      </c>
      <c r="N654" t="inlineStr">
        <is>
          <t>3B⁰, 2A⁰, 18C¹, 6C⁰, 27A⁰, 9B⁰, 1A⁰</t>
        </is>
      </c>
      <c r="O654" t="inlineStr">
        <is>
          <t>108E²¹, 54H¹⁰, 54C¹³, 108A⁹, 54H¹³, 54L¹³, 54B⁷, 108D¹⁷, 108F¹⁷, 54B¹⁰, 54E¹³</t>
        </is>
      </c>
    </row>
    <row r="655">
      <c r="A655">
        <f>HYPERLINK("https://mathstats.uncg.edu/sites/pauli/congruence/csg3.html#group54B3", "54B³")</f>
        <v/>
      </c>
      <c r="B655" t="n">
        <v>3</v>
      </c>
      <c r="C655" t="inlineStr"/>
      <c r="D655" t="inlineStr">
        <is>
          <t>72</t>
        </is>
      </c>
      <c r="E655" t="inlineStr">
        <is>
          <t>1</t>
        </is>
      </c>
      <c r="F655" t="inlineStr">
        <is>
          <t>24</t>
        </is>
      </c>
      <c r="G655" t="inlineStr">
        <is>
          <t>0</t>
        </is>
      </c>
      <c r="H655" t="inlineStr">
        <is>
          <t>0</t>
        </is>
      </c>
      <c r="I655" t="inlineStr">
        <is>
          <t>2⁶, 6¹, 54¹</t>
        </is>
      </c>
      <c r="J655" t="n">
        <v>8</v>
      </c>
      <c r="K655" t="inlineStr">
        <is>
          <t>2⁶, 6²</t>
        </is>
      </c>
      <c r="L655" t="inlineStr">
        <is>
          <t>18C¹</t>
        </is>
      </c>
      <c r="M655" t="inlineStr">
        <is>
          <t>54B⁷, 108B⁹, 54D¹⁰, 54E¹⁰, 54H¹⁰, 54F¹³, 54I¹³, 54J¹³, 54K¹³, 54Q¹³, 108E¹⁷</t>
        </is>
      </c>
      <c r="N655" t="inlineStr">
        <is>
          <t>3B⁰, 9B⁰, 2A⁰, 1A⁰, 18C¹, 6C⁰</t>
        </is>
      </c>
      <c r="O655" t="inlineStr">
        <is>
          <t>108B⁹, 108E²¹, 54H¹⁰, 108E¹⁷, 54I¹³, 54Q¹³, 54E¹⁰, 54J¹³, 54B⁷, 54F¹³, 54D¹⁰, 108F¹⁷, 54K¹³</t>
        </is>
      </c>
    </row>
    <row r="656">
      <c r="A656">
        <f>HYPERLINK("https://mathstats.uncg.edu/sites/pauli/congruence/csg3.html#group54C3", "54C³")</f>
        <v/>
      </c>
      <c r="B656" t="n">
        <v>3</v>
      </c>
      <c r="C656" t="inlineStr"/>
      <c r="D656" t="inlineStr">
        <is>
          <t>72</t>
        </is>
      </c>
      <c r="E656" t="inlineStr">
        <is>
          <t>1</t>
        </is>
      </c>
      <c r="F656" t="inlineStr">
        <is>
          <t>24</t>
        </is>
      </c>
      <c r="G656" t="inlineStr">
        <is>
          <t>0</t>
        </is>
      </c>
      <c r="H656" t="inlineStr">
        <is>
          <t>9</t>
        </is>
      </c>
      <c r="I656" t="inlineStr">
        <is>
          <t>18¹, 54¹</t>
        </is>
      </c>
      <c r="J656" t="n">
        <v>2</v>
      </c>
      <c r="K656" t="inlineStr">
        <is>
          <t>2⁶, 6²</t>
        </is>
      </c>
      <c r="L656" t="inlineStr">
        <is>
          <t>18B⁰</t>
        </is>
      </c>
      <c r="M656" t="inlineStr">
        <is>
          <t>108A⁶, 54F¹⁰, 54G¹⁰, 54N¹³, 54O¹³, 54P¹³, 54T¹³, 54E¹⁶, 54K¹⁶, 54P¹⁶, 108A²⁰, 270A²⁴</t>
        </is>
      </c>
      <c r="N656" t="inlineStr">
        <is>
          <t>3B⁰, 2A⁰, 9C⁰, 1A⁰, 18B⁰, 6C⁰</t>
        </is>
      </c>
      <c r="O656" t="inlineStr">
        <is>
          <t>108D²², 54F¹⁰, 54G¹⁰, 108A⁶, 54T¹³, 54E¹⁶, 108A²⁰, 270A²⁴, 54N¹³, 54K¹⁶, 54P¹³, 54O¹³, 108C²², 54P¹⁶</t>
        </is>
      </c>
    </row>
    <row r="657">
      <c r="A657">
        <f>HYPERLINK("https://mathstats.uncg.edu/sites/pauli/congruence/csg3.html#group55A3", "55A³")</f>
        <v/>
      </c>
      <c r="B657" t="n">
        <v>3</v>
      </c>
      <c r="C657" t="inlineStr"/>
      <c r="D657" t="inlineStr">
        <is>
          <t>55</t>
        </is>
      </c>
      <c r="E657" t="inlineStr">
        <is>
          <t>2</t>
        </is>
      </c>
      <c r="F657" t="inlineStr">
        <is>
          <t>55</t>
        </is>
      </c>
      <c r="G657" t="inlineStr">
        <is>
          <t>3</t>
        </is>
      </c>
      <c r="H657" t="inlineStr">
        <is>
          <t>4</t>
        </is>
      </c>
      <c r="I657" t="inlineStr">
        <is>
          <t>55¹</t>
        </is>
      </c>
      <c r="J657" t="n">
        <v>1</v>
      </c>
      <c r="K657" t="inlineStr">
        <is>
          <t>2¹, 8¹, 10², 40²</t>
        </is>
      </c>
      <c r="L657" t="inlineStr">
        <is>
          <t>5A⁰, 11A⁰</t>
        </is>
      </c>
      <c r="M657" t="inlineStr">
        <is>
          <t>110A⁷, 165A¹⁰, 165B¹⁰, 55A¹¹, 165A¹², 110A¹³, 55A¹⁶, 220A¹⁶, 165B¹⁷, 55A¹⁸, 55A²⁴</t>
        </is>
      </c>
      <c r="N657" t="inlineStr">
        <is>
          <t>11A⁰, 1A⁰, 5A⁰</t>
        </is>
      </c>
      <c r="O657" t="inlineStr">
        <is>
          <t>55B²⁴, 110A²⁴, 330C²⁴, 165B¹⁰, 330B²⁴, 165B¹⁷, 55A¹⁶, 110A²³, 55A¹⁸, 55A¹¹, 110A⁷, 330A²⁴, 55A²⁴, 220A¹⁶, 165A¹⁰, 110A¹³, 165A¹²</t>
        </is>
      </c>
    </row>
    <row r="658">
      <c r="A658">
        <f>HYPERLINK("https://mathstats.uncg.edu/sites/pauli/congruence/csg3.html#group56A3", "56A³")</f>
        <v/>
      </c>
      <c r="B658" t="n">
        <v>3</v>
      </c>
      <c r="C658" t="inlineStr"/>
      <c r="D658" t="inlineStr">
        <is>
          <t>56</t>
        </is>
      </c>
      <c r="E658" t="inlineStr">
        <is>
          <t>2</t>
        </is>
      </c>
      <c r="F658" t="inlineStr">
        <is>
          <t>28</t>
        </is>
      </c>
      <c r="G658" t="inlineStr">
        <is>
          <t>6</t>
        </is>
      </c>
      <c r="H658" t="inlineStr">
        <is>
          <t>2</t>
        </is>
      </c>
      <c r="I658" t="inlineStr">
        <is>
          <t>56¹</t>
        </is>
      </c>
      <c r="J658" t="n">
        <v>1</v>
      </c>
      <c r="K658" t="inlineStr">
        <is>
          <t>8², 24⁴</t>
        </is>
      </c>
      <c r="L658" t="inlineStr">
        <is>
          <t>28A¹</t>
        </is>
      </c>
      <c r="M658" t="inlineStr">
        <is>
          <t>56F⁶, 56D⁷, 56A⁸, 168A¹⁰, 56J¹¹, 56J¹², 56C¹⁴, 56B¹⁵, 168A¹⁸, 280A²¹</t>
        </is>
      </c>
      <c r="N658" t="inlineStr">
        <is>
          <t>28A¹, 1A⁰, 4A⁰, 7A⁰</t>
        </is>
      </c>
      <c r="O658" t="inlineStr">
        <is>
          <t>280A²¹, 56M²⁴, 168K²², 56I²⁴, 168A¹⁸, 56A²², 56B²³, 56A⁸, 56J²⁴, 56J¹², 56K²³, 168C²⁴, 56I²³, 56K²², 56A¹⁵, 56K²⁴, 56J¹¹, 56D⁷, 168I²³, 56C¹⁴, 168A¹⁰, 56B¹⁵, 168G²², 112E¹⁴, 168G²³, 112I¹⁵, 56F⁶</t>
        </is>
      </c>
    </row>
    <row r="659">
      <c r="A659">
        <f>HYPERLINK("https://mathstats.uncg.edu/sites/pauli/congruence/csg3.html#group56B3", "56B³")</f>
        <v/>
      </c>
      <c r="B659" t="n">
        <v>3</v>
      </c>
      <c r="C659" t="inlineStr"/>
      <c r="D659" t="inlineStr">
        <is>
          <t>56</t>
        </is>
      </c>
      <c r="E659" t="inlineStr">
        <is>
          <t>2</t>
        </is>
      </c>
      <c r="F659" t="inlineStr">
        <is>
          <t>28</t>
        </is>
      </c>
      <c r="G659" t="inlineStr">
        <is>
          <t>6</t>
        </is>
      </c>
      <c r="H659" t="inlineStr">
        <is>
          <t>2</t>
        </is>
      </c>
      <c r="I659" t="inlineStr">
        <is>
          <t>56¹</t>
        </is>
      </c>
      <c r="J659" t="n">
        <v>1</v>
      </c>
      <c r="K659" t="inlineStr">
        <is>
          <t>8², 24⁴</t>
        </is>
      </c>
      <c r="L659" t="inlineStr">
        <is>
          <t>28A¹</t>
        </is>
      </c>
      <c r="M659" t="inlineStr">
        <is>
          <t>56G⁶, 56E⁷, 56A⁸, 168B¹⁰, 56K¹¹, 56J¹², 56D¹⁴, 56B¹⁵, 168B¹⁸, 280B²¹</t>
        </is>
      </c>
      <c r="N659" t="inlineStr">
        <is>
          <t>28A¹, 1A⁰, 4A⁰, 7A⁰</t>
        </is>
      </c>
      <c r="O659" t="inlineStr">
        <is>
          <t>112J¹⁵, 112F¹⁴, 56A⁸, 56J²⁴, 56D¹⁴, 168B¹⁰, 56J¹², 56I²³, 168D²⁴, 56B²², 56G⁶, 168J²³, 56A¹⁵, 56L²³, 56E⁷, 280B²¹, 168L²², 56K¹¹, 56N²⁴, 168B¹⁸, 56B¹⁵, 168H²³, 56L²², 56C²³, 56I²⁴, 168H²², 56L²⁴</t>
        </is>
      </c>
    </row>
    <row r="660">
      <c r="A660">
        <f>HYPERLINK("https://mathstats.uncg.edu/sites/pauli/congruence/csg3.html#group56C3", "56C³")</f>
        <v/>
      </c>
      <c r="B660" t="n">
        <v>3</v>
      </c>
      <c r="C660" t="inlineStr"/>
      <c r="D660" t="inlineStr">
        <is>
          <t>56</t>
        </is>
      </c>
      <c r="E660" t="inlineStr">
        <is>
          <t>2</t>
        </is>
      </c>
      <c r="F660" t="inlineStr">
        <is>
          <t>28</t>
        </is>
      </c>
      <c r="G660" t="inlineStr">
        <is>
          <t>6</t>
        </is>
      </c>
      <c r="H660" t="inlineStr">
        <is>
          <t>2</t>
        </is>
      </c>
      <c r="I660" t="inlineStr">
        <is>
          <t>56¹</t>
        </is>
      </c>
      <c r="J660" t="n">
        <v>1</v>
      </c>
      <c r="K660" t="inlineStr">
        <is>
          <t>8², 24⁴</t>
        </is>
      </c>
      <c r="L660" t="inlineStr">
        <is>
          <t>8A⁰, 28A¹</t>
        </is>
      </c>
      <c r="M660" t="inlineStr">
        <is>
          <t>56F⁶, 56E⁷, 112A⁷, 112C⁷, 56B⁸, 168C¹⁰, 56I¹¹, 56K¹², 56E¹⁴, 56C¹⁵, 168C¹⁸, 280C²¹</t>
        </is>
      </c>
      <c r="N660" t="inlineStr">
        <is>
          <t>8A⁰, 28A¹, 1A⁰, 4A⁰, 7A⁰</t>
        </is>
      </c>
      <c r="O660" t="inlineStr">
        <is>
          <t>112J¹⁵, 56M²⁴, 112C⁷, 336A²⁴, 168C¹⁸, 336E²⁴, 56B²³, 56J²³, 56J²⁴, 280C²¹, 112A¹⁶, 56H²², 56E¹⁴, 56E⁷, 168C¹⁰, 56H²⁴, 56N²⁴, 56C¹⁵, 168G²², 56C²³, 112B¹⁶, 56F⁶, 112A⁷, 168E²⁴, 56I¹¹, 56K²², 56A¹⁵, 336C²⁴, 56B⁸, 168H²³, 112E¹⁴, 168Q²², 56K¹², 336G²⁴, 168K²³</t>
        </is>
      </c>
    </row>
    <row r="661">
      <c r="A661">
        <f>HYPERLINK("https://mathstats.uncg.edu/sites/pauli/congruence/csg3.html#group56D3", "56D³")</f>
        <v/>
      </c>
      <c r="B661" t="n">
        <v>3</v>
      </c>
      <c r="C661" t="inlineStr"/>
      <c r="D661" t="inlineStr">
        <is>
          <t>56</t>
        </is>
      </c>
      <c r="E661" t="inlineStr">
        <is>
          <t>2</t>
        </is>
      </c>
      <c r="F661" t="inlineStr">
        <is>
          <t>28</t>
        </is>
      </c>
      <c r="G661" t="inlineStr">
        <is>
          <t>6</t>
        </is>
      </c>
      <c r="H661" t="inlineStr">
        <is>
          <t>2</t>
        </is>
      </c>
      <c r="I661" t="inlineStr">
        <is>
          <t>56¹</t>
        </is>
      </c>
      <c r="J661" t="n">
        <v>1</v>
      </c>
      <c r="K661" t="inlineStr">
        <is>
          <t>8², 24⁴</t>
        </is>
      </c>
      <c r="L661" t="inlineStr">
        <is>
          <t>8A⁰, 28A¹</t>
        </is>
      </c>
      <c r="M661" t="inlineStr">
        <is>
          <t>56G⁶, 56D⁷, 112B⁷, 112D⁷, 56B⁸, 168D¹⁰, 56I¹¹, 56K¹², 56F¹⁴, 56C¹⁵, 168D¹⁸, 280D²¹</t>
        </is>
      </c>
      <c r="N661" t="inlineStr">
        <is>
          <t>8A⁰, 28A¹, 1A⁰, 4A⁰, 7A⁰</t>
        </is>
      </c>
      <c r="O661" t="inlineStr">
        <is>
          <t>56M²⁴, 56J²³, 56B²³, 56J²⁴, 112A¹⁶, 56H²², 336H²⁴, 56F¹⁴, 168F²⁴, 56H²⁴, 336F²⁴, 56D⁷, 56N²⁴, 56C¹⁵, 56L²², 168D¹⁰, 56C²³, 168G²³, 168R²², 112I¹⁵, 168H²², 112B¹⁶, 280D²¹, 168D¹⁸, 56I¹¹, 112F¹⁴, 336B²⁴, 336D²⁴, 56G⁶, 56A¹⁵, 112B⁷, 168L²³, 56B⁸, 112D⁷, 56K¹²</t>
        </is>
      </c>
    </row>
    <row r="662">
      <c r="A662">
        <f>HYPERLINK("https://mathstats.uncg.edu/sites/pauli/congruence/csg3.html#group60A3", "60A³")</f>
        <v/>
      </c>
      <c r="B662" t="n">
        <v>3</v>
      </c>
      <c r="C662" t="inlineStr"/>
      <c r="D662" t="inlineStr">
        <is>
          <t>60</t>
        </is>
      </c>
      <c r="E662" t="inlineStr">
        <is>
          <t>2</t>
        </is>
      </c>
      <c r="F662" t="inlineStr">
        <is>
          <t>20</t>
        </is>
      </c>
      <c r="G662" t="inlineStr">
        <is>
          <t>6</t>
        </is>
      </c>
      <c r="H662" t="inlineStr">
        <is>
          <t>3</t>
        </is>
      </c>
      <c r="I662" t="inlineStr">
        <is>
          <t>60¹</t>
        </is>
      </c>
      <c r="J662" t="n">
        <v>1</v>
      </c>
      <c r="K662" t="inlineStr">
        <is>
          <t>4², 16²</t>
        </is>
      </c>
      <c r="L662" t="inlineStr">
        <is>
          <t>15A⁰, 20A¹</t>
        </is>
      </c>
      <c r="M662" t="inlineStr">
        <is>
          <t>120A⁷, 120B⁷, 60F⁸, 60B¹⁰, 60G¹³, 60C¹⁶, 120E¹⁶, 60F¹⁸, 60I¹⁸</t>
        </is>
      </c>
      <c r="N662" t="inlineStr">
        <is>
          <t>20A¹, 5A⁰, 1A⁰, 4A⁰, 15A⁰</t>
        </is>
      </c>
      <c r="O662" t="inlineStr">
        <is>
          <t>240B¹⁵, 120A⁷, 60A²⁴, 60B¹⁰, 60F⁸, 120B⁷, 240A¹⁵, 60C¹⁶, 60I¹⁸, 120E¹⁶, 60B²², 120D¹⁶, 60G¹³, 60F¹⁸, 60C²², 60J²³</t>
        </is>
      </c>
    </row>
    <row r="663">
      <c r="A663">
        <f>HYPERLINK("https://mathstats.uncg.edu/sites/pauli/congruence/csg3.html#group60B3", "60B³")</f>
        <v/>
      </c>
      <c r="B663" t="n">
        <v>3</v>
      </c>
      <c r="C663" t="inlineStr"/>
      <c r="D663" t="inlineStr">
        <is>
          <t>72</t>
        </is>
      </c>
      <c r="E663" t="inlineStr">
        <is>
          <t>1</t>
        </is>
      </c>
      <c r="F663" t="inlineStr">
        <is>
          <t>24</t>
        </is>
      </c>
      <c r="G663" t="inlineStr">
        <is>
          <t>12</t>
        </is>
      </c>
      <c r="H663" t="inlineStr">
        <is>
          <t>0</t>
        </is>
      </c>
      <c r="I663" t="inlineStr">
        <is>
          <t>12¹, 60¹</t>
        </is>
      </c>
      <c r="J663" t="n">
        <v>2</v>
      </c>
      <c r="K663" t="inlineStr">
        <is>
          <t>2⁴, 8²</t>
        </is>
      </c>
      <c r="L663" t="inlineStr">
        <is>
          <t>12A⁰, 15B⁰, 20B¹</t>
        </is>
      </c>
      <c r="M663" t="inlineStr">
        <is>
          <t>60C⁵, 60Q⁷, 60R⁷, 60I⁹, 60J⁹, 120C⁹, 120D⁹, 120E⁹, 120F⁹, 60D¹¹, 60E¹¹, 60P¹³, 180B¹³, 120M¹⁷</t>
        </is>
      </c>
      <c r="N663" t="inlineStr">
        <is>
          <t>15B⁰, 12A⁰, 4A⁰, 5B⁰, 3A⁰, 1A⁰, 20B¹</t>
        </is>
      </c>
      <c r="O663" t="inlineStr">
        <is>
          <t>60E¹¹, 60J⁹, 60N²¹, 120J¹⁷, 60R⁷, 240C²¹, 60Y¹⁷, 60L²¹, 60AE¹⁵, 240A²¹, 120K¹⁷, 60I⁹, 120O¹⁹, 120B²³, 60W¹⁷, 120P¹⁷, 240B²¹, 60AG¹⁵, 120N¹⁹, 120F²³, 120S¹⁹, 120H²¹, 60F²¹, 120I²³, 120N²¹, 120R¹⁹, 60M²¹, 60V¹⁷, 120G¹⁹, 120L²¹, 120K²¹, 120I²¹, 120G²¹, 120Q¹⁷, 120I¹⁹, 60D¹¹, 240D²¹, 60C⁵, 120H¹⁹, 120M¹⁷, 120J²³, 60K²¹, 120A²³, 120E⁹, 60AK¹³, 120Q¹⁹, 60P¹³, 120D⁹, 120C⁹, 120E²³, 180B¹³, 120M²¹, 120L¹⁷, 120F⁹, 60U¹⁷, 60Q⁷, 120I¹⁷, 60E²¹, 120J¹⁹, 120P¹⁹, 120J²¹, 60O²¹</t>
        </is>
      </c>
    </row>
    <row r="664">
      <c r="A664">
        <f>HYPERLINK("https://mathstats.uncg.edu/sites/pauli/congruence/csg3.html#group60C3", "60C³")</f>
        <v/>
      </c>
      <c r="B664" t="n">
        <v>3</v>
      </c>
      <c r="C664" t="inlineStr"/>
      <c r="D664" t="inlineStr">
        <is>
          <t>72</t>
        </is>
      </c>
      <c r="E664" t="inlineStr">
        <is>
          <t>2</t>
        </is>
      </c>
      <c r="F664" t="inlineStr">
        <is>
          <t>6</t>
        </is>
      </c>
      <c r="G664" t="inlineStr">
        <is>
          <t>12</t>
        </is>
      </c>
      <c r="H664" t="inlineStr">
        <is>
          <t>0</t>
        </is>
      </c>
      <c r="I664" t="inlineStr">
        <is>
          <t>12¹, 60¹</t>
        </is>
      </c>
      <c r="J664" t="n">
        <v>2</v>
      </c>
      <c r="K664" t="inlineStr">
        <is>
          <t>2², 8¹</t>
        </is>
      </c>
      <c r="L664" t="inlineStr">
        <is>
          <t>30A⁰, 20C¹</t>
        </is>
      </c>
      <c r="M664" t="inlineStr">
        <is>
          <t>60S⁷, 60L⁹, 60A¹¹, 60AB¹³, 180C¹³, 60AE¹⁵</t>
        </is>
      </c>
      <c r="N664" t="inlineStr">
        <is>
          <t>30A⁰, 5B⁰, 20C¹, 15B⁰, 3A⁰, 1A⁰, 10B⁰</t>
        </is>
      </c>
      <c r="O664" t="inlineStr">
        <is>
          <t>60AB¹³, 60L⁹, 60A¹¹, 180C¹³, 60AE¹⁵, 60Q²¹, 60X¹⁷, 60D²¹, 60S⁷</t>
        </is>
      </c>
    </row>
    <row r="665">
      <c r="A665">
        <f>HYPERLINK("https://mathstats.uncg.edu/sites/pauli/congruence/csg3.html#group60D3", "60D³")</f>
        <v/>
      </c>
      <c r="B665" t="n">
        <v>3</v>
      </c>
      <c r="C665" t="inlineStr"/>
      <c r="D665" t="inlineStr">
        <is>
          <t>72</t>
        </is>
      </c>
      <c r="E665" t="inlineStr">
        <is>
          <t>2</t>
        </is>
      </c>
      <c r="F665" t="inlineStr">
        <is>
          <t>18</t>
        </is>
      </c>
      <c r="G665" t="inlineStr">
        <is>
          <t>12</t>
        </is>
      </c>
      <c r="H665" t="inlineStr">
        <is>
          <t>0</t>
        </is>
      </c>
      <c r="I665" t="inlineStr">
        <is>
          <t>12¹, 60¹</t>
        </is>
      </c>
      <c r="J665" t="n">
        <v>2</v>
      </c>
      <c r="K665" t="inlineStr">
        <is>
          <t>2², 4², 8¹, 16¹</t>
        </is>
      </c>
      <c r="L665" t="inlineStr">
        <is>
          <t>30A⁰</t>
        </is>
      </c>
      <c r="M665" t="inlineStr">
        <is>
          <t>60M⁷, 60N⁷, 60S⁷, 60K⁹, 60L⁹, 60C¹¹, 60AG¹³, 180D¹³, 180E¹³, 180F¹³, 60AG¹⁵</t>
        </is>
      </c>
      <c r="N665" t="inlineStr">
        <is>
          <t>30A⁰, 5B⁰, 15B⁰, 3A⁰, 1A⁰, 10B⁰</t>
        </is>
      </c>
      <c r="O665" t="inlineStr">
        <is>
          <t>60C¹¹, 60L⁹, 180E¹³, 60K⁹, 180F¹³, 60AG¹⁵, 60X¹⁷, 60N⁷, 60AG¹³, 60M⁷, 180D¹³, 60Q²¹, 60D²¹, 60C²¹, 60S⁷</t>
        </is>
      </c>
    </row>
    <row r="666">
      <c r="A666">
        <f>HYPERLINK("https://mathstats.uncg.edu/sites/pauli/congruence/csg3.html#group64A3", "64A³")</f>
        <v/>
      </c>
      <c r="B666" t="n">
        <v>3</v>
      </c>
      <c r="C666" t="inlineStr"/>
      <c r="D666" t="inlineStr">
        <is>
          <t>96</t>
        </is>
      </c>
      <c r="E666" t="inlineStr">
        <is>
          <t>1</t>
        </is>
      </c>
      <c r="F666" t="inlineStr">
        <is>
          <t>12</t>
        </is>
      </c>
      <c r="G666" t="inlineStr">
        <is>
          <t>0</t>
        </is>
      </c>
      <c r="H666" t="inlineStr">
        <is>
          <t>0</t>
        </is>
      </c>
      <c r="I666" t="inlineStr">
        <is>
          <t>1⁸, 4², 16¹, 64¹</t>
        </is>
      </c>
      <c r="J666" t="n">
        <v>12</v>
      </c>
      <c r="K666" t="inlineStr">
        <is>
          <t>1⁴, 2², 4¹</t>
        </is>
      </c>
      <c r="L666" t="inlineStr">
        <is>
          <t>32A¹</t>
        </is>
      </c>
      <c r="M666" t="inlineStr">
        <is>
          <t>64C⁵, 128A⁷, 64B⁹, 64D⁹, 128A¹¹, 192A¹⁹, 192O²¹</t>
        </is>
      </c>
      <c r="N666" t="inlineStr">
        <is>
          <t>8C⁰, 2B⁰, 32A¹, 4B⁰, 1A⁰, 16C⁰</t>
        </is>
      </c>
      <c r="O666" t="inlineStr">
        <is>
          <t>192A¹⁹, 64D⁹, 128A¹⁷, 64F²¹, 64A²¹, 64C⁵, 128A⁷, 128D²¹, 64J²¹, 128A¹¹, 256B¹⁹, 128E²¹, 256A¹⁹, 64A¹⁷, 64W¹³, 192O²¹, 128E¹³, 128A²¹, 64B⁹</t>
        </is>
      </c>
    </row>
    <row r="667">
      <c r="A667">
        <f>HYPERLINK("https://mathstats.uncg.edu/sites/pauli/congruence/csg3.html#group64B3", "64B³")</f>
        <v/>
      </c>
      <c r="B667" t="n">
        <v>3</v>
      </c>
      <c r="C667" t="inlineStr">
        <is>
          <t>Γ₀(64)</t>
        </is>
      </c>
      <c r="D667" t="inlineStr">
        <is>
          <t>96</t>
        </is>
      </c>
      <c r="E667" t="inlineStr">
        <is>
          <t>1</t>
        </is>
      </c>
      <c r="F667" t="inlineStr">
        <is>
          <t>12</t>
        </is>
      </c>
      <c r="G667" t="inlineStr">
        <is>
          <t>0</t>
        </is>
      </c>
      <c r="H667" t="inlineStr">
        <is>
          <t>0</t>
        </is>
      </c>
      <c r="I667" t="inlineStr">
        <is>
          <t>1⁸, 4², 16¹, 64¹</t>
        </is>
      </c>
      <c r="J667" t="n">
        <v>12</v>
      </c>
      <c r="K667" t="inlineStr">
        <is>
          <t>1⁴, 2², 4¹</t>
        </is>
      </c>
      <c r="L667" t="inlineStr">
        <is>
          <t>32A¹</t>
        </is>
      </c>
      <c r="M667" t="inlineStr">
        <is>
          <t>64C⁵, 64C⁹, 64E⁹, 128A⁹, 128B⁹, 192B¹⁹, 192P²¹</t>
        </is>
      </c>
      <c r="N667" t="inlineStr">
        <is>
          <t>8C⁰, 2B⁰, 32A¹, 4B⁰, 1A⁰, 16C⁰</t>
        </is>
      </c>
      <c r="O667" t="inlineStr">
        <is>
          <t>64C⁹, 256B²¹, 192P²¹, 128A¹⁷, 64F²¹, 64C⁵, 128B⁹, 64B²¹, 64E⁹, 64A¹⁷, 128C²¹, 64W¹³, 256A²¹, 128E¹³, 128A⁹, 128F²¹, 128A²¹, 64K²¹, 192B¹⁹, 128B²¹</t>
        </is>
      </c>
    </row>
    <row r="668">
      <c r="A668">
        <f>HYPERLINK("https://mathstats.uncg.edu/sites/pauli/congruence/csg3.html#group66A3", "66A³")</f>
        <v/>
      </c>
      <c r="B668" t="n">
        <v>3</v>
      </c>
      <c r="C668" t="inlineStr"/>
      <c r="D668" t="inlineStr">
        <is>
          <t>66</t>
        </is>
      </c>
      <c r="E668" t="inlineStr">
        <is>
          <t>2</t>
        </is>
      </c>
      <c r="F668" t="inlineStr">
        <is>
          <t>33</t>
        </is>
      </c>
      <c r="G668" t="inlineStr">
        <is>
          <t>12</t>
        </is>
      </c>
      <c r="H668" t="inlineStr">
        <is>
          <t>0</t>
        </is>
      </c>
      <c r="I668" t="inlineStr">
        <is>
          <t>66¹</t>
        </is>
      </c>
      <c r="J668" t="n">
        <v>1</v>
      </c>
      <c r="K668" t="inlineStr">
        <is>
          <t>2¹, 4¹, 10², 20²</t>
        </is>
      </c>
      <c r="L668" t="inlineStr">
        <is>
          <t>6B⁰, 33A¹</t>
        </is>
      </c>
      <c r="M668" t="inlineStr">
        <is>
          <t>66B⁸, 66A¹¹, 198A¹¹, 198B¹¹, 66B¹³, 198A¹⁴, 198B¹⁴, 132D¹⁶, 66A²³</t>
        </is>
      </c>
      <c r="N668" t="inlineStr">
        <is>
          <t>11A⁰, 6B⁰, 3A⁰, 1A⁰, 33A¹</t>
        </is>
      </c>
      <c r="O668" t="inlineStr">
        <is>
          <t>132D¹⁶, 66B¹³, 132A¹⁹, 198A¹⁴, 66A¹¹, 66B⁸, 198A¹¹, 198B¹¹, 198A²⁴, 66A²¹, 198B¹⁴, 66A²³</t>
        </is>
      </c>
    </row>
    <row r="669">
      <c r="A669">
        <f>HYPERLINK("https://mathstats.uncg.edu/sites/pauli/congruence/csg3.html#group72A3", "72A³")</f>
        <v/>
      </c>
      <c r="B669" t="n">
        <v>3</v>
      </c>
      <c r="C669" t="inlineStr"/>
      <c r="D669" t="inlineStr">
        <is>
          <t>144</t>
        </is>
      </c>
      <c r="E669" t="inlineStr">
        <is>
          <t>1</t>
        </is>
      </c>
      <c r="F669" t="inlineStr">
        <is>
          <t>12</t>
        </is>
      </c>
      <c r="G669" t="inlineStr">
        <is>
          <t>0</t>
        </is>
      </c>
      <c r="H669" t="inlineStr">
        <is>
          <t>0</t>
        </is>
      </c>
      <c r="I669" t="inlineStr">
        <is>
          <t>1¹², 8³, 9⁴, 72¹</t>
        </is>
      </c>
      <c r="J669" t="n">
        <v>20</v>
      </c>
      <c r="K669" t="inlineStr">
        <is>
          <t>1⁶, 2³</t>
        </is>
      </c>
      <c r="L669" t="inlineStr">
        <is>
          <t>24B⁰, 36C¹</t>
        </is>
      </c>
      <c r="M669" t="inlineStr">
        <is>
          <t>72I⁹, 72Q¹³, 72Y¹⁷, 216A¹⁷, 72L²², 216C²²</t>
        </is>
      </c>
      <c r="N669" t="inlineStr">
        <is>
          <t>3B⁰, 18E⁰, 24B⁰, 9B⁰, 1A⁰, 2B⁰, 36C¹, 4B⁰, 6F⁰, 12E⁰</t>
        </is>
      </c>
      <c r="O669" t="inlineStr">
        <is>
          <t>216C²², 72Y¹⁷, 216A¹⁷, 72L²², 72Q¹³, 72I⁹</t>
        </is>
      </c>
    </row>
    <row r="670">
      <c r="A670">
        <f>HYPERLINK("https://mathstats.uncg.edu/sites/pauli/congruence/csg3.html#group84A3", "84A³")</f>
        <v/>
      </c>
      <c r="B670" t="n">
        <v>3</v>
      </c>
      <c r="C670" t="inlineStr"/>
      <c r="D670" t="inlineStr">
        <is>
          <t>84</t>
        </is>
      </c>
      <c r="E670" t="inlineStr">
        <is>
          <t>2</t>
        </is>
      </c>
      <c r="F670" t="inlineStr">
        <is>
          <t>28</t>
        </is>
      </c>
      <c r="G670" t="inlineStr">
        <is>
          <t>18</t>
        </is>
      </c>
      <c r="H670" t="inlineStr">
        <is>
          <t>0</t>
        </is>
      </c>
      <c r="I670" t="inlineStr">
        <is>
          <t>84¹</t>
        </is>
      </c>
      <c r="J670" t="n">
        <v>1</v>
      </c>
      <c r="K670" t="inlineStr">
        <is>
          <t>4², 12⁴</t>
        </is>
      </c>
      <c r="L670" t="inlineStr">
        <is>
          <t>12A⁰, 21A⁰, 28A¹</t>
        </is>
      </c>
      <c r="M670" t="inlineStr">
        <is>
          <t>84H⁸, 84I⁸, 84E⁹, 84F¹⁰, 168A¹⁰, 168B¹⁰, 168C¹⁰, 168D¹⁰, 168E¹⁰, 168F¹⁰, 168G¹⁰, 168H¹⁰, 84D¹¹, 84G¹¹, 84J¹³, 84A¹⁴, 252A¹⁴, 84B¹⁶, 168C¹⁹, 84M²¹</t>
        </is>
      </c>
      <c r="N670" t="inlineStr">
        <is>
          <t>12A⁰, 4A⁰, 21A⁰, 3A⁰, 28A¹, 1A⁰, 7A⁰</t>
        </is>
      </c>
      <c r="O670" t="inlineStr">
        <is>
          <t>168O²³, 168N²², 336A²⁴, 168H²⁴, 336E²⁴, 168B¹⁰, 84G¹¹, 168C¹⁹, 168C²⁴, 84A¹⁴, 252A¹⁴, 84M²¹, 336H²⁴, 168G²⁴, 168M²³, 168F²⁴, 84P²¹, 168C¹⁰, 84H⁸, 168L²², 168I²⁴, 336F²⁴, 168I²³, 84O²¹, 84E²³, 168G²², 84E⁹, 168D¹⁰, 168R²², 168H²², 84J¹³, 168K²², 168E²⁴, 168P²², 84I⁸, 336B²⁴, 168I²², 168O²², 84D²³, 168J²⁴, 168D²⁴, 84D¹¹, 84C²³, 84B¹⁶, 168N²³, 168P²³, 168J²³, 336D²⁴, 168G¹⁰, 336C²⁴, 168F¹⁰, 84N²¹, 168L²³, 168E¹⁰, 168H¹⁰, 84F¹⁰, 168J²², 168M²², 168A¹⁰, 84L¹⁹, 168Q²², 336G²⁴, 168K²³</t>
        </is>
      </c>
    </row>
    <row r="671">
      <c r="A671">
        <f>HYPERLINK("https://mathstats.uncg.edu/sites/pauli/congruence/csg3.html#group96A3", "96A³")</f>
        <v/>
      </c>
      <c r="B671" t="n">
        <v>3</v>
      </c>
      <c r="C671" t="inlineStr"/>
      <c r="D671" t="inlineStr">
        <is>
          <t>144</t>
        </is>
      </c>
      <c r="E671" t="inlineStr">
        <is>
          <t>1</t>
        </is>
      </c>
      <c r="F671" t="inlineStr">
        <is>
          <t>12</t>
        </is>
      </c>
      <c r="G671" t="inlineStr">
        <is>
          <t>36</t>
        </is>
      </c>
      <c r="H671" t="inlineStr">
        <is>
          <t>0</t>
        </is>
      </c>
      <c r="I671" t="inlineStr">
        <is>
          <t>48¹, 96¹</t>
        </is>
      </c>
      <c r="J671" t="n">
        <v>2</v>
      </c>
      <c r="K671" t="inlineStr">
        <is>
          <t>2⁶</t>
        </is>
      </c>
      <c r="L671" t="inlineStr">
        <is>
          <t>48A⁰, 32B¹</t>
        </is>
      </c>
      <c r="M671" t="inlineStr">
        <is>
          <t>96I¹¹, 96J¹¹, 96K¹¹, 96G¹³, 96H¹³, 96R¹⁵, 96W¹⁵, 96D¹⁷, 96Q¹⁷, 96AB¹⁷, 288A²¹, 96G²³</t>
        </is>
      </c>
      <c r="N671" t="inlineStr">
        <is>
          <t>16B⁰, 12C⁰, 24A⁰, 4C⁰, 8B⁰, 48A⁰, 32B¹, 2B⁰, 3A⁰, 1A⁰, 6D⁰</t>
        </is>
      </c>
      <c r="O671" t="inlineStr">
        <is>
          <t>96R¹⁵, 96G¹³, 96D¹⁷, 96H¹³, 96K¹¹, 288A²¹, 96G²³, 96I¹¹, 96J¹¹, 96W¹⁵, 96Q¹⁷, 96AB¹⁷</t>
        </is>
      </c>
    </row>
    <row r="672">
      <c r="A672">
        <f>HYPERLINK("https://mathstats.uncg.edu/sites/pauli/congruence/csg4.html#group9A4", "9A⁴")</f>
        <v/>
      </c>
      <c r="B672" t="n">
        <v>4</v>
      </c>
      <c r="C672" t="inlineStr"/>
      <c r="D672" t="inlineStr">
        <is>
          <t>108</t>
        </is>
      </c>
      <c r="E672" t="inlineStr">
        <is>
          <t>1</t>
        </is>
      </c>
      <c r="F672" t="inlineStr">
        <is>
          <t>3</t>
        </is>
      </c>
      <c r="G672" t="inlineStr">
        <is>
          <t>0</t>
        </is>
      </c>
      <c r="H672" t="inlineStr">
        <is>
          <t>0</t>
        </is>
      </c>
      <c r="I672" t="inlineStr">
        <is>
          <t>9¹²</t>
        </is>
      </c>
      <c r="J672" t="n">
        <v>12</v>
      </c>
      <c r="K672" t="inlineStr">
        <is>
          <t>1¹, 2¹</t>
        </is>
      </c>
      <c r="L672" t="inlineStr">
        <is>
          <t>9H⁰, 9F¹, 9A², 9B²</t>
        </is>
      </c>
      <c r="M672" t="inlineStr">
        <is>
          <t>9A¹⁰, 18A¹³, 18A¹⁶, 27A¹⁶, 27B²²</t>
        </is>
      </c>
      <c r="N672" t="inlineStr">
        <is>
          <t>3B⁰, 9D⁰, 9A², 9A⁰, 9G⁰, 3C⁰, 9H⁰, 9B², 9E⁰, 3A⁰, 1A⁰, 9B¹, 3D⁰, 9F¹</t>
        </is>
      </c>
      <c r="O672" t="inlineStr">
        <is>
          <t>9A¹⁰, 18A¹³, 18A¹⁶, 27A¹⁶, 27B²²</t>
        </is>
      </c>
    </row>
    <row r="673">
      <c r="A673">
        <f>HYPERLINK("https://mathstats.uncg.edu/sites/pauli/congruence/csg4.html#group9B4", "9B⁴")</f>
        <v/>
      </c>
      <c r="B673" t="n">
        <v>4</v>
      </c>
      <c r="C673" t="inlineStr"/>
      <c r="D673" t="inlineStr">
        <is>
          <t>108</t>
        </is>
      </c>
      <c r="E673" t="inlineStr">
        <is>
          <t>1</t>
        </is>
      </c>
      <c r="F673" t="inlineStr">
        <is>
          <t>6</t>
        </is>
      </c>
      <c r="G673" t="inlineStr">
        <is>
          <t>0</t>
        </is>
      </c>
      <c r="H673" t="inlineStr">
        <is>
          <t>0</t>
        </is>
      </c>
      <c r="I673" t="inlineStr">
        <is>
          <t>9¹²</t>
        </is>
      </c>
      <c r="J673" t="n">
        <v>12</v>
      </c>
      <c r="K673" t="inlineStr">
        <is>
          <t>1², 2²</t>
        </is>
      </c>
      <c r="L673" t="inlineStr">
        <is>
          <t>9H⁰, 9C¹, 9E¹, 9A²</t>
        </is>
      </c>
      <c r="M673" t="inlineStr">
        <is>
          <t>9A¹⁰, 18C¹³, 18B¹⁶, 27B¹⁶, 27E¹⁹, 27A²²</t>
        </is>
      </c>
      <c r="N673" t="inlineStr">
        <is>
          <t>3B⁰, 9D⁰, 9A², 9A⁰, 9A¹, 9C⁰, 9B⁰, 3C⁰, 9E¹, 9C¹, 9H⁰, 9E⁰, 3A⁰, 1A⁰, 9B¹, 3D⁰</t>
        </is>
      </c>
      <c r="O673" t="inlineStr">
        <is>
          <t>9A¹⁰, 27A²², 18C¹³, 18B¹⁶, 27E¹⁹, 27B¹⁶</t>
        </is>
      </c>
    </row>
    <row r="674">
      <c r="A674">
        <f>HYPERLINK("https://mathstats.uncg.edu/sites/pauli/congruence/csg4.html#group9C4", "9C⁴")</f>
        <v/>
      </c>
      <c r="B674" t="n">
        <v>4</v>
      </c>
      <c r="C674" t="inlineStr"/>
      <c r="D674" t="inlineStr">
        <is>
          <t>162</t>
        </is>
      </c>
      <c r="E674" t="inlineStr">
        <is>
          <t>1</t>
        </is>
      </c>
      <c r="F674" t="inlineStr">
        <is>
          <t>27</t>
        </is>
      </c>
      <c r="G674" t="inlineStr">
        <is>
          <t>6</t>
        </is>
      </c>
      <c r="H674" t="inlineStr">
        <is>
          <t>0</t>
        </is>
      </c>
      <c r="I674" t="inlineStr">
        <is>
          <t>9¹⁸</t>
        </is>
      </c>
      <c r="J674" t="n">
        <v>18</v>
      </c>
      <c r="K674" t="inlineStr">
        <is>
          <t>3¹, 6⁴</t>
        </is>
      </c>
      <c r="L674" t="inlineStr">
        <is>
          <t>9E¹, 9F¹, 9G¹, 9B²</t>
        </is>
      </c>
      <c r="M674" t="inlineStr">
        <is>
          <t>9A¹⁰, 18C¹⁶, 18B¹⁹, 18A²², 27C²²</t>
        </is>
      </c>
      <c r="N674" t="inlineStr">
        <is>
          <t>9D⁰, 9A⁰, 9G⁰, 3C⁰, 9E¹, 9G¹, 9B², 9E⁰, 3A⁰, 9F⁰, 1A⁰, 9B¹, 9F¹</t>
        </is>
      </c>
      <c r="O674" t="inlineStr">
        <is>
          <t>18B¹⁹, 9A¹⁰, 27C²², 18C¹⁶, 18A²²</t>
        </is>
      </c>
    </row>
    <row r="675">
      <c r="A675">
        <f>HYPERLINK("https://mathstats.uncg.edu/sites/pauli/congruence/csg4.html#group10A4", "10A⁴")</f>
        <v/>
      </c>
      <c r="B675" t="n">
        <v>4</v>
      </c>
      <c r="C675" t="inlineStr"/>
      <c r="D675" t="inlineStr">
        <is>
          <t>90</t>
        </is>
      </c>
      <c r="E675" t="inlineStr">
        <is>
          <t>1</t>
        </is>
      </c>
      <c r="F675" t="inlineStr">
        <is>
          <t>5</t>
        </is>
      </c>
      <c r="G675" t="inlineStr">
        <is>
          <t>0</t>
        </is>
      </c>
      <c r="H675" t="inlineStr">
        <is>
          <t>0</t>
        </is>
      </c>
      <c r="I675" t="inlineStr">
        <is>
          <t>10⁹</t>
        </is>
      </c>
      <c r="J675" t="n">
        <v>9</v>
      </c>
      <c r="K675" t="inlineStr">
        <is>
          <t>1¹, 4¹</t>
        </is>
      </c>
      <c r="L675" t="inlineStr">
        <is>
          <t>10E⁰, 10I¹, 10A², 10B²</t>
        </is>
      </c>
      <c r="M675" t="inlineStr">
        <is>
          <t>10A⁷, 20A¹⁰, 20D¹⁰, 30A¹⁹, 30A²²</t>
        </is>
      </c>
      <c r="N675" t="inlineStr">
        <is>
          <t>2A⁰, 5A⁰, 10A², 10I¹, 10A⁰, 10E⁰, 10B¹, 5E⁰, 2B⁰, 10B², 1A⁰, 2C⁰</t>
        </is>
      </c>
      <c r="O675" t="inlineStr">
        <is>
          <t>30A²², 20A²², 20A¹⁰, 40C²², 10A¹³, 20B²², 20D¹⁹, 10A⁷, 30A¹⁹, 40L²², 20C²², 20C¹⁹, 20D¹⁰, 40A²², 40E²²</t>
        </is>
      </c>
    </row>
    <row r="676">
      <c r="A676">
        <f>HYPERLINK("https://mathstats.uncg.edu/sites/pauli/congruence/csg4.html#group10B4", "10B⁴")</f>
        <v/>
      </c>
      <c r="B676" t="n">
        <v>4</v>
      </c>
      <c r="C676" t="inlineStr"/>
      <c r="D676" t="inlineStr">
        <is>
          <t>180</t>
        </is>
      </c>
      <c r="E676" t="inlineStr">
        <is>
          <t>1</t>
        </is>
      </c>
      <c r="F676" t="inlineStr">
        <is>
          <t>3</t>
        </is>
      </c>
      <c r="G676" t="inlineStr">
        <is>
          <t>0</t>
        </is>
      </c>
      <c r="H676" t="inlineStr">
        <is>
          <t>0</t>
        </is>
      </c>
      <c r="I676" t="inlineStr">
        <is>
          <t>5¹², 10¹²</t>
        </is>
      </c>
      <c r="J676" t="n">
        <v>24</v>
      </c>
      <c r="K676" t="inlineStr">
        <is>
          <t>1³</t>
        </is>
      </c>
      <c r="L676" t="inlineStr">
        <is>
          <t>5H⁰, 10F⁰, 10D², 10F²</t>
        </is>
      </c>
      <c r="M676" t="inlineStr">
        <is>
          <t>10A¹³, 20G¹³, 20A¹⁹</t>
        </is>
      </c>
      <c r="N676" t="inlineStr">
        <is>
          <t>5A⁰, 10B¹, 5B⁰, 5F⁰, 5D⁰, 2B⁰, 1A⁰, 10D², 5H⁰, 10F⁰, 10F¹, 10I¹, 10F², 10C⁰, 5E⁰, 5C⁰, 5G⁰</t>
        </is>
      </c>
      <c r="O676" t="inlineStr">
        <is>
          <t>20A¹⁹, 10A¹³, 20G¹³</t>
        </is>
      </c>
    </row>
    <row r="677">
      <c r="A677">
        <f>HYPERLINK("https://mathstats.uncg.edu/sites/pauli/congruence/csg4.html#group11A4", "11A⁴")</f>
        <v/>
      </c>
      <c r="B677" t="n">
        <v>4</v>
      </c>
      <c r="C677" t="inlineStr"/>
      <c r="D677" t="inlineStr">
        <is>
          <t>110</t>
        </is>
      </c>
      <c r="E677" t="inlineStr">
        <is>
          <t>1</t>
        </is>
      </c>
      <c r="F677" t="inlineStr">
        <is>
          <t>55</t>
        </is>
      </c>
      <c r="G677" t="inlineStr">
        <is>
          <t>2</t>
        </is>
      </c>
      <c r="H677" t="inlineStr">
        <is>
          <t>2</t>
        </is>
      </c>
      <c r="I677" t="inlineStr">
        <is>
          <t>11¹⁰</t>
        </is>
      </c>
      <c r="J677" t="n">
        <v>10</v>
      </c>
      <c r="K677" t="inlineStr">
        <is>
          <t>5¹, 10⁵</t>
        </is>
      </c>
      <c r="L677" t="inlineStr">
        <is>
          <t>11C¹</t>
        </is>
      </c>
      <c r="M677" t="inlineStr">
        <is>
          <t>11A⁸, 11A¹², 22A¹², 22A¹³, 22A¹⁸, 33A²¹, 33A²²</t>
        </is>
      </c>
      <c r="N677" t="inlineStr">
        <is>
          <t>11C¹, 1A⁰</t>
        </is>
      </c>
      <c r="O677" t="inlineStr">
        <is>
          <t>22A¹², 11A⁸, 11A¹², 33A²², 33A²¹, 22A¹³, 22A¹⁸</t>
        </is>
      </c>
    </row>
    <row r="678">
      <c r="A678">
        <f>HYPERLINK("https://mathstats.uncg.edu/sites/pauli/congruence/csg4.html#group12A4", "12A⁴")</f>
        <v/>
      </c>
      <c r="B678" t="n">
        <v>4</v>
      </c>
      <c r="C678" t="inlineStr"/>
      <c r="D678" t="inlineStr">
        <is>
          <t>72</t>
        </is>
      </c>
      <c r="E678" t="inlineStr">
        <is>
          <t>1</t>
        </is>
      </c>
      <c r="F678" t="inlineStr">
        <is>
          <t>1</t>
        </is>
      </c>
      <c r="G678" t="inlineStr">
        <is>
          <t>0</t>
        </is>
      </c>
      <c r="H678" t="inlineStr">
        <is>
          <t>0</t>
        </is>
      </c>
      <c r="I678" t="inlineStr">
        <is>
          <t>12⁶</t>
        </is>
      </c>
      <c r="J678" t="n">
        <v>6</v>
      </c>
      <c r="K678" t="inlineStr">
        <is>
          <t>1¹</t>
        </is>
      </c>
      <c r="L678" t="inlineStr">
        <is>
          <t>4G⁰, 12E¹, 12J¹, 12A², 12B²</t>
        </is>
      </c>
      <c r="M678" t="inlineStr">
        <is>
          <t>12B⁷, 24A⁸, 24C⁸, 24C⁹, 24H⁹, 24A¹⁰, 24B¹⁰, 36A¹⁶</t>
        </is>
      </c>
      <c r="N678" t="inlineStr">
        <is>
          <t>2A⁰, 12C⁰, 6C¹, 12E¹, 12B², 4C⁰, 4G⁰, 2B⁰, 4E⁰, 4B⁰, 1A⁰, 12A⁰, 6A⁰, 4A⁰, 4D⁰, 12A², 12J¹, 6A¹, 12B¹, 4F⁰, 3A⁰, 2C⁰, 6D⁰</t>
        </is>
      </c>
      <c r="O678" t="inlineStr">
        <is>
          <t>24A¹⁰, 48L²¹, 24F¹⁹, 24F¹⁷, 24B¹⁹, 48A¹⁹, 48A²², 12A¹³, 24B¹⁵, 24E¹⁹, 12B⁷, 24I¹⁹, 24B¹⁰, 48F²¹, 24A¹⁵, 24W¹⁷, 24H⁹, 48G¹⁹, 24A¹⁹, 24B¹⁷, 24A⁸, 24G¹⁷, 48B¹⁸, 48B²², 24J¹⁷, 24H¹⁹, 24S¹⁹, 24C⁸, 48B¹⁹, 24R¹⁷, 36A¹⁶, 24C¹⁹, 48E²¹, 48D¹⁹, 24G¹⁹, 48Q²¹, 24C⁹, 48G¹⁸, 24D¹⁹</t>
        </is>
      </c>
    </row>
    <row r="679">
      <c r="A679">
        <f>HYPERLINK("https://mathstats.uncg.edu/sites/pauli/congruence/csg4.html#group12B4", "12B⁴")</f>
        <v/>
      </c>
      <c r="B679" t="n">
        <v>4</v>
      </c>
      <c r="C679" t="inlineStr"/>
      <c r="D679" t="inlineStr">
        <is>
          <t>72</t>
        </is>
      </c>
      <c r="E679" t="inlineStr">
        <is>
          <t>1</t>
        </is>
      </c>
      <c r="F679" t="inlineStr">
        <is>
          <t>6</t>
        </is>
      </c>
      <c r="G679" t="inlineStr">
        <is>
          <t>0</t>
        </is>
      </c>
      <c r="H679" t="inlineStr">
        <is>
          <t>0</t>
        </is>
      </c>
      <c r="I679" t="inlineStr">
        <is>
          <t>12⁶</t>
        </is>
      </c>
      <c r="J679" t="n">
        <v>6</v>
      </c>
      <c r="K679" t="inlineStr">
        <is>
          <t>2³</t>
        </is>
      </c>
      <c r="L679" t="inlineStr">
        <is>
          <t>12H¹, 12E²</t>
        </is>
      </c>
      <c r="M679" t="inlineStr">
        <is>
          <t>12D⁷, 24D¹⁰, 36C¹⁶</t>
        </is>
      </c>
      <c r="N679" t="inlineStr">
        <is>
          <t>2A⁰, 12H¹, 12C¹, 6A⁰, 6C¹, 12E², 2B⁰, 12D⁰, 6A¹, 3A⁰, 1A⁰, 2C⁰, 6D⁰</t>
        </is>
      </c>
      <c r="O679" t="inlineStr">
        <is>
          <t>24F¹⁵, 24J¹⁵, 12D⁷, 12A¹³, 24D¹⁰, 24K¹⁹, 24H¹⁷, 36C¹⁶, 24Y¹⁷, 24I¹⁷</t>
        </is>
      </c>
    </row>
    <row r="680">
      <c r="A680">
        <f>HYPERLINK("https://mathstats.uncg.edu/sites/pauli/congruence/csg4.html#group12C4", "12C⁴")</f>
        <v/>
      </c>
      <c r="B680" t="n">
        <v>4</v>
      </c>
      <c r="C680" t="inlineStr"/>
      <c r="D680" t="inlineStr">
        <is>
          <t>72</t>
        </is>
      </c>
      <c r="E680" t="inlineStr">
        <is>
          <t>1</t>
        </is>
      </c>
      <c r="F680" t="inlineStr">
        <is>
          <t>9</t>
        </is>
      </c>
      <c r="G680" t="inlineStr">
        <is>
          <t>0</t>
        </is>
      </c>
      <c r="H680" t="inlineStr">
        <is>
          <t>0</t>
        </is>
      </c>
      <c r="I680" t="inlineStr">
        <is>
          <t>12⁶</t>
        </is>
      </c>
      <c r="J680" t="n">
        <v>6</v>
      </c>
      <c r="K680" t="inlineStr">
        <is>
          <t>1³, 2³</t>
        </is>
      </c>
      <c r="L680" t="inlineStr">
        <is>
          <t>12M¹, 12B², 12E²</t>
        </is>
      </c>
      <c r="M680" t="inlineStr">
        <is>
          <t>12B⁷, 12D⁷, 24I⁸, 24J⁸, 24F⁹, 24I⁹, 24Z⁹, 36B¹⁶, 36E¹⁶</t>
        </is>
      </c>
      <c r="N680" t="inlineStr">
        <is>
          <t>2A⁰, 12C⁰, 6C¹, 4C⁰, 12B², 12E², 12M¹, 4E⁰, 2B⁰, 4B⁰, 1A⁰, 6A⁰, 12C¹, 12B¹, 6A¹, 12D⁰, 3A⁰, 2C⁰, 6D⁰</t>
        </is>
      </c>
      <c r="O680" t="inlineStr">
        <is>
          <t>24F⁹, 24I¹⁷, 48R²¹, 24AJ¹⁷, 24I⁸, 24B¹⁹, 36E¹⁶, 24F¹⁵, 48P¹⁹, 48AW¹⁹, 12A¹³, 24B¹⁵, 24J⁸, 12B⁷, 48AN²¹, 24K¹⁹, 24P¹⁷, 24A¹⁵, 24U¹⁷, 24G¹⁷, 24Q¹⁷, 24H¹⁷, 48I¹⁹, 24J¹⁷, 48L¹⁹, 24S¹⁷, 24J¹⁵, 48N²¹, 12D⁷, 36B¹⁶, 24I⁹, 24C¹⁹, 24Z⁹, 24Y¹⁷, 48BQ²¹, 48AG²¹, 48H¹⁹</t>
        </is>
      </c>
    </row>
    <row r="681">
      <c r="A681">
        <f>HYPERLINK("https://mathstats.uncg.edu/sites/pauli/congruence/csg4.html#group12D4", "12D⁴")</f>
        <v/>
      </c>
      <c r="B681" t="n">
        <v>4</v>
      </c>
      <c r="C681" t="inlineStr"/>
      <c r="D681" t="inlineStr">
        <is>
          <t>96</t>
        </is>
      </c>
      <c r="E681" t="inlineStr">
        <is>
          <t>1</t>
        </is>
      </c>
      <c r="F681" t="inlineStr">
        <is>
          <t>32</t>
        </is>
      </c>
      <c r="G681" t="inlineStr">
        <is>
          <t>0</t>
        </is>
      </c>
      <c r="H681" t="inlineStr">
        <is>
          <t>3</t>
        </is>
      </c>
      <c r="I681" t="inlineStr">
        <is>
          <t>12⁸</t>
        </is>
      </c>
      <c r="J681" t="n">
        <v>8</v>
      </c>
      <c r="K681" t="inlineStr">
        <is>
          <t>4⁸</t>
        </is>
      </c>
      <c r="L681" t="inlineStr">
        <is>
          <t>6J⁰, 12E¹, 12H¹, 12I¹</t>
        </is>
      </c>
      <c r="M681" t="inlineStr">
        <is>
          <t>12F⁷, 24D¹¹, 24E¹¹, 12A¹³, 36F¹⁶, 36G¹⁹, 36F¹⁹, 24A²⁴</t>
        </is>
      </c>
      <c r="N681" t="inlineStr">
        <is>
          <t>3B⁰, 2A⁰, 12I¹, 12H¹, 6A⁰, 4A⁰, 4D⁰, 12A¹, 6C⁰, 12E¹, 6J⁰, 1A⁰</t>
        </is>
      </c>
      <c r="O681" t="inlineStr">
        <is>
          <t>24H²¹, 12A¹³, 12F⁷, 36F¹⁹, 36F¹⁶, 36G¹⁹, 24D¹¹, 24E¹¹, 24A²⁴</t>
        </is>
      </c>
    </row>
    <row r="682">
      <c r="A682">
        <f>HYPERLINK("https://mathstats.uncg.edu/sites/pauli/congruence/csg4.html#group14A4", "14A⁴")</f>
        <v/>
      </c>
      <c r="B682" t="n">
        <v>4</v>
      </c>
      <c r="C682" t="inlineStr"/>
      <c r="D682" t="inlineStr">
        <is>
          <t>126</t>
        </is>
      </c>
      <c r="E682" t="inlineStr">
        <is>
          <t>2</t>
        </is>
      </c>
      <c r="F682" t="inlineStr">
        <is>
          <t>21</t>
        </is>
      </c>
      <c r="G682" t="inlineStr">
        <is>
          <t>6</t>
        </is>
      </c>
      <c r="H682" t="inlineStr">
        <is>
          <t>0</t>
        </is>
      </c>
      <c r="I682" t="inlineStr">
        <is>
          <t>7⁶, 14⁶</t>
        </is>
      </c>
      <c r="J682" t="n">
        <v>12</v>
      </c>
      <c r="K682" t="inlineStr">
        <is>
          <t>2³, 6⁶</t>
        </is>
      </c>
      <c r="L682" t="inlineStr">
        <is>
          <t>7G⁰, 14A², 14F²</t>
        </is>
      </c>
      <c r="M682" t="inlineStr">
        <is>
          <t>14C⁹, 14A¹¹, 28I¹¹, 14C¹³, 28D¹³, 28E¹³, 28G¹⁵, 42C²²</t>
        </is>
      </c>
      <c r="N682" t="inlineStr">
        <is>
          <t>14A², 7D⁰, 14B¹, 7C⁰, 14F², 2B⁰, 7G⁰, 1A⁰, 7A⁰</t>
        </is>
      </c>
      <c r="O682" t="inlineStr">
        <is>
          <t>14A¹¹, 14A²³, 42C²², 14C⁹, 14A¹⁹, 28I¹¹, 28G¹⁵, 14C¹³, 28E²³, 28E¹³, 28D¹³</t>
        </is>
      </c>
    </row>
    <row r="683">
      <c r="A683">
        <f>HYPERLINK("https://mathstats.uncg.edu/sites/pauli/congruence/csg4.html#group14B4", "14B⁴")</f>
        <v/>
      </c>
      <c r="B683" t="n">
        <v>4</v>
      </c>
      <c r="C683" t="inlineStr"/>
      <c r="D683" t="inlineStr">
        <is>
          <t>144</t>
        </is>
      </c>
      <c r="E683" t="inlineStr">
        <is>
          <t>1</t>
        </is>
      </c>
      <c r="F683" t="inlineStr">
        <is>
          <t>8</t>
        </is>
      </c>
      <c r="G683" t="inlineStr">
        <is>
          <t>0</t>
        </is>
      </c>
      <c r="H683" t="inlineStr">
        <is>
          <t>0</t>
        </is>
      </c>
      <c r="I683" t="inlineStr">
        <is>
          <t>2⁹, 14⁹</t>
        </is>
      </c>
      <c r="J683" t="n">
        <v>18</v>
      </c>
      <c r="K683" t="inlineStr">
        <is>
          <t>1², 6¹</t>
        </is>
      </c>
      <c r="L683" t="inlineStr">
        <is>
          <t>14C⁰, 14H¹, 14D², 14E²</t>
        </is>
      </c>
      <c r="M683" t="inlineStr">
        <is>
          <t>28C¹⁰, 28F¹³, 28G¹⁶</t>
        </is>
      </c>
      <c r="N683" t="inlineStr">
        <is>
          <t>2A⁰, 7B⁰, 14H¹, 14D², 14B⁰, 14C¹, 2B⁰, 7E⁰, 14E², 14C⁰, 1A⁰, 2C⁰</t>
        </is>
      </c>
      <c r="O683" t="inlineStr">
        <is>
          <t>28F¹³, 28G¹⁶, 28C¹⁰</t>
        </is>
      </c>
    </row>
    <row r="684">
      <c r="A684">
        <f>HYPERLINK("https://mathstats.uncg.edu/sites/pauli/congruence/csg4.html#group15A4", "15A⁴")</f>
        <v/>
      </c>
      <c r="B684" t="n">
        <v>4</v>
      </c>
      <c r="C684" t="inlineStr"/>
      <c r="D684" t="inlineStr">
        <is>
          <t>60</t>
        </is>
      </c>
      <c r="E684" t="inlineStr">
        <is>
          <t>1</t>
        </is>
      </c>
      <c r="F684" t="inlineStr">
        <is>
          <t>5</t>
        </is>
      </c>
      <c r="G684" t="inlineStr">
        <is>
          <t>0</t>
        </is>
      </c>
      <c r="H684" t="inlineStr">
        <is>
          <t>0</t>
        </is>
      </c>
      <c r="I684" t="inlineStr">
        <is>
          <t>15⁴</t>
        </is>
      </c>
      <c r="J684" t="n">
        <v>4</v>
      </c>
      <c r="K684" t="inlineStr">
        <is>
          <t>1¹, 4¹</t>
        </is>
      </c>
      <c r="L684" t="inlineStr">
        <is>
          <t>3D⁰, 15B¹, 15A²</t>
        </is>
      </c>
      <c r="M684" t="inlineStr">
        <is>
          <t>30A⁹, 15B¹⁰, 30A¹², 45A¹², 45E¹², 15A¹³, 45C¹³, 45I¹³, 45A¹⁴, 45B¹⁴, 60C¹⁹</t>
        </is>
      </c>
      <c r="N684" t="inlineStr">
        <is>
          <t>3B⁰, 5A⁰, 15A², 15B¹, 3C⁰, 1A⁰, 3A⁰, 3D⁰, 15A¹</t>
        </is>
      </c>
      <c r="O684" t="inlineStr">
        <is>
          <t>45B¹⁴, 60C¹⁹, 45E¹², 15A¹³, 60A¹⁹, 45I¹³, 45A¹⁴, 15B¹⁹, 45C¹³, 45A¹², 15B¹⁰, 30A⁹, 30A¹²</t>
        </is>
      </c>
    </row>
    <row r="685">
      <c r="A685">
        <f>HYPERLINK("https://mathstats.uncg.edu/sites/pauli/congruence/csg4.html#group15B4", "15B⁴")</f>
        <v/>
      </c>
      <c r="B685" t="n">
        <v>4</v>
      </c>
      <c r="C685" t="inlineStr"/>
      <c r="D685" t="inlineStr">
        <is>
          <t>60</t>
        </is>
      </c>
      <c r="E685" t="inlineStr">
        <is>
          <t>1</t>
        </is>
      </c>
      <c r="F685" t="inlineStr">
        <is>
          <t>10</t>
        </is>
      </c>
      <c r="G685" t="inlineStr">
        <is>
          <t>0</t>
        </is>
      </c>
      <c r="H685" t="inlineStr">
        <is>
          <t>0</t>
        </is>
      </c>
      <c r="I685" t="inlineStr">
        <is>
          <t>15⁴</t>
        </is>
      </c>
      <c r="J685" t="n">
        <v>4</v>
      </c>
      <c r="K685" t="inlineStr">
        <is>
          <t>2¹, 4²</t>
        </is>
      </c>
      <c r="L685" t="inlineStr">
        <is>
          <t>5F⁰, 15A¹, 15D¹</t>
        </is>
      </c>
      <c r="M685" t="inlineStr">
        <is>
          <t>15B⁷, 30B⁹, 30F⁹, 15A¹⁰, 30B¹², 45C¹⁴, 60F¹⁹, 75A²⁴</t>
        </is>
      </c>
      <c r="N685" t="inlineStr">
        <is>
          <t>15D¹, 5A⁰, 5C⁰, 5F⁰, 3A⁰, 1A⁰, 15A¹</t>
        </is>
      </c>
      <c r="O685" t="inlineStr">
        <is>
          <t>15A¹⁰, 60F¹⁹, 15B⁷, 45C²³, 30D¹⁷, 30B⁹, 15A¹⁹, 15A¹³, 75A²⁴, 60B¹⁹, 30B¹², 30F²³, 30F⁹, 45C¹⁴, 30E¹⁷, 60D¹⁹</t>
        </is>
      </c>
    </row>
    <row r="686">
      <c r="A686">
        <f>HYPERLINK("https://mathstats.uncg.edu/sites/pauli/congruence/csg4.html#group15C4", "15C⁴")</f>
        <v/>
      </c>
      <c r="B686" t="n">
        <v>4</v>
      </c>
      <c r="C686" t="inlineStr"/>
      <c r="D686" t="inlineStr">
        <is>
          <t>90</t>
        </is>
      </c>
      <c r="E686" t="inlineStr">
        <is>
          <t>1</t>
        </is>
      </c>
      <c r="F686" t="inlineStr">
        <is>
          <t>15</t>
        </is>
      </c>
      <c r="G686" t="inlineStr">
        <is>
          <t>6</t>
        </is>
      </c>
      <c r="H686" t="inlineStr">
        <is>
          <t>0</t>
        </is>
      </c>
      <c r="I686" t="inlineStr">
        <is>
          <t>15⁶</t>
        </is>
      </c>
      <c r="J686" t="n">
        <v>6</v>
      </c>
      <c r="K686" t="inlineStr">
        <is>
          <t>1¹, 2¹, 4¹, 8¹</t>
        </is>
      </c>
      <c r="L686" t="inlineStr">
        <is>
          <t>15F¹, 15A²</t>
        </is>
      </c>
      <c r="M686" t="inlineStr">
        <is>
          <t>15A⁸, 15A⁹, 15B¹⁰, 30A¹⁰, 30A¹¹, 30C¹², 30B¹³, 30B¹⁶, 45B¹⁶, 45C¹⁶, 45B¹⁹</t>
        </is>
      </c>
      <c r="N686" t="inlineStr">
        <is>
          <t>5A⁰, 15A², 15F¹, 5E⁰, 3C⁰, 3A⁰, 1A⁰, 15A¹, 15A⁰</t>
        </is>
      </c>
      <c r="O686" t="inlineStr">
        <is>
          <t>30B¹³, 15A⁸, 30A¹¹, 45B¹⁶, 30A¹⁰, 15A¹⁹, 45B¹⁹, 30E²³, 15B¹⁰, 45C¹⁶, 30D²³, 15A⁹, 15A¹⁷, 30C¹², 15B¹⁹, 30C²³, 30B¹⁶, 30B²³, 30A²¹</t>
        </is>
      </c>
    </row>
    <row r="687">
      <c r="A687">
        <f>HYPERLINK("https://mathstats.uncg.edu/sites/pauli/congruence/csg4.html#group15D4", "15D⁴")</f>
        <v/>
      </c>
      <c r="B687" t="n">
        <v>4</v>
      </c>
      <c r="C687" t="inlineStr"/>
      <c r="D687" t="inlineStr">
        <is>
          <t>90</t>
        </is>
      </c>
      <c r="E687" t="inlineStr">
        <is>
          <t>1</t>
        </is>
      </c>
      <c r="F687" t="inlineStr">
        <is>
          <t>15</t>
        </is>
      </c>
      <c r="G687" t="inlineStr">
        <is>
          <t>6</t>
        </is>
      </c>
      <c r="H687" t="inlineStr">
        <is>
          <t>0</t>
        </is>
      </c>
      <c r="I687" t="inlineStr">
        <is>
          <t>15⁶</t>
        </is>
      </c>
      <c r="J687" t="n">
        <v>6</v>
      </c>
      <c r="K687" t="inlineStr">
        <is>
          <t>1¹, 2¹, 4³</t>
        </is>
      </c>
      <c r="L687" t="inlineStr">
        <is>
          <t>5G⁰, 15B⁰, 15D¹, 15F¹</t>
        </is>
      </c>
      <c r="M687" t="inlineStr">
        <is>
          <t>15B⁸, 15A⁹, 15A¹⁰, 30B¹⁰, 30B¹¹, 30D¹², 30D¹³, 30C¹⁶, 45A¹⁸, 75B²⁴</t>
        </is>
      </c>
      <c r="N687" t="inlineStr">
        <is>
          <t>15D¹, 15B⁰, 5A⁰, 5C⁰, 15F¹, 5B⁰, 5E⁰, 3A⁰, 1A⁰, 5G⁰, 15A¹, 15A⁰</t>
        </is>
      </c>
      <c r="O687" t="inlineStr">
        <is>
          <t>45A¹⁸, 30C¹⁶, 15A¹⁹, 30B¹⁰, 30B²¹, 30D¹³, 15A⁹, 15A¹⁰, 15A¹⁷, 30D¹², 75B²⁴, 15B¹⁹, 30C²³, 30J²³, 30B²³, 15B⁸, 30B¹¹</t>
        </is>
      </c>
    </row>
    <row r="688">
      <c r="A688">
        <f>HYPERLINK("https://mathstats.uncg.edu/sites/pauli/congruence/csg4.html#group15E4", "15E⁴")</f>
        <v/>
      </c>
      <c r="B688" t="n">
        <v>4</v>
      </c>
      <c r="C688" t="inlineStr"/>
      <c r="D688" t="inlineStr">
        <is>
          <t>120</t>
        </is>
      </c>
      <c r="E688" t="inlineStr">
        <is>
          <t>2</t>
        </is>
      </c>
      <c r="F688" t="inlineStr">
        <is>
          <t>60</t>
        </is>
      </c>
      <c r="G688" t="inlineStr">
        <is>
          <t>4</t>
        </is>
      </c>
      <c r="H688" t="inlineStr">
        <is>
          <t>6</t>
        </is>
      </c>
      <c r="I688" t="inlineStr">
        <is>
          <t>15⁸</t>
        </is>
      </c>
      <c r="J688" t="n">
        <v>8</v>
      </c>
      <c r="K688" t="inlineStr">
        <is>
          <t>8¹⁵</t>
        </is>
      </c>
      <c r="L688" t="inlineStr">
        <is>
          <t>15E²</t>
        </is>
      </c>
      <c r="M688" t="inlineStr">
        <is>
          <t>30O¹³, 15A¹⁶, 30G²², 15A²³</t>
        </is>
      </c>
      <c r="N688" t="inlineStr">
        <is>
          <t>5A⁰, 15E², 1A⁰, 15A⁰</t>
        </is>
      </c>
      <c r="O688" t="inlineStr">
        <is>
          <t>30G²², 15A²³, 30O¹³, 15A¹⁶</t>
        </is>
      </c>
    </row>
    <row r="689">
      <c r="A689">
        <f>HYPERLINK("https://mathstats.uncg.edu/sites/pauli/congruence/csg4.html#group16A4", "16A⁴")</f>
        <v/>
      </c>
      <c r="B689" t="n">
        <v>4</v>
      </c>
      <c r="C689" t="inlineStr"/>
      <c r="D689" t="inlineStr">
        <is>
          <t>96</t>
        </is>
      </c>
      <c r="E689" t="inlineStr">
        <is>
          <t>1</t>
        </is>
      </c>
      <c r="F689" t="inlineStr">
        <is>
          <t>24</t>
        </is>
      </c>
      <c r="G689" t="inlineStr">
        <is>
          <t>0</t>
        </is>
      </c>
      <c r="H689" t="inlineStr">
        <is>
          <t>0</t>
        </is>
      </c>
      <c r="I689" t="inlineStr">
        <is>
          <t>8⁸, 16²</t>
        </is>
      </c>
      <c r="J689" t="n">
        <v>10</v>
      </c>
      <c r="K689" t="inlineStr">
        <is>
          <t>4², 8²</t>
        </is>
      </c>
      <c r="L689" t="inlineStr">
        <is>
          <t>16K¹, 16L¹, 8B²</t>
        </is>
      </c>
      <c r="M689" t="inlineStr">
        <is>
          <t>16B⁷, 16D¹¹, 48A²⁰, 48D²³</t>
        </is>
      </c>
      <c r="N689" t="inlineStr">
        <is>
          <t>16L¹, 8C¹, 8A¹, 8D⁰, 8K⁰, 4A⁰, 4C⁰, 8B², 8A⁰, 2B⁰, 4F⁰, 1A⁰, 8D¹, 16K¹</t>
        </is>
      </c>
      <c r="O689" t="inlineStr">
        <is>
          <t>16E²¹, 16B¹³, 16D²¹, 32F²³, 16B⁷, 48A²⁰, 48D²³, 32A¹⁹, 16D¹¹</t>
        </is>
      </c>
    </row>
    <row r="690">
      <c r="A690">
        <f>HYPERLINK("https://mathstats.uncg.edu/sites/pauli/congruence/csg4.html#group16B4", "16B⁴")</f>
        <v/>
      </c>
      <c r="B690" t="n">
        <v>4</v>
      </c>
      <c r="C690" t="inlineStr"/>
      <c r="D690" t="inlineStr">
        <is>
          <t>96</t>
        </is>
      </c>
      <c r="E690" t="inlineStr">
        <is>
          <t>1</t>
        </is>
      </c>
      <c r="F690" t="inlineStr">
        <is>
          <t>24</t>
        </is>
      </c>
      <c r="G690" t="inlineStr">
        <is>
          <t>4</t>
        </is>
      </c>
      <c r="H690" t="inlineStr">
        <is>
          <t>0</t>
        </is>
      </c>
      <c r="I690" t="inlineStr">
        <is>
          <t>8⁴, 16⁴</t>
        </is>
      </c>
      <c r="J690" t="n">
        <v>8</v>
      </c>
      <c r="K690" t="inlineStr">
        <is>
          <t>2², 4⁵</t>
        </is>
      </c>
      <c r="L690" t="inlineStr">
        <is>
          <t>8H¹, 16I¹, 16E²</t>
        </is>
      </c>
      <c r="M690" t="inlineStr">
        <is>
          <t>16D⁷, 16D⁹, 16H⁹, 16A¹⁰, 16B¹⁰, 32B¹⁰, 32C¹⁰, 32A¹², 32B¹², 48E¹⁸</t>
        </is>
      </c>
      <c r="N690" t="inlineStr">
        <is>
          <t>16I¹, 8D⁰, 4C⁰, 8B⁰, 8A⁰, 2B⁰, 1A⁰, 8K⁰, 8H¹, 16E², 8D¹, 8H⁰, 16E⁰, 16D¹, 4A⁰, 16C¹, 4F⁰</t>
        </is>
      </c>
      <c r="O690" t="inlineStr">
        <is>
          <t>48E¹⁸, 16D⁹, 32A²², 16A¹⁹, 16B¹⁹, 32D¹⁹, 32C²⁴, 32M²¹, 16D²¹, 32A¹², 64A²², 32D²⁴, 16A¹⁷, 16A¹⁰, 32C¹⁰, 16F²¹, 16B¹⁰, 32E²³, 32A²⁴, 32B¹², 32B¹⁰, 16A¹⁵, 32E¹⁹, 32B²², 16D⁷, 16H⁹, 32B²⁴, 64B²², 32D²¹, 32P²¹</t>
        </is>
      </c>
    </row>
    <row r="691">
      <c r="A691">
        <f>HYPERLINK("https://mathstats.uncg.edu/sites/pauli/congruence/csg4.html#group16C4", "16C⁴")</f>
        <v/>
      </c>
      <c r="B691" t="n">
        <v>4</v>
      </c>
      <c r="C691" t="inlineStr"/>
      <c r="D691" t="inlineStr">
        <is>
          <t>96</t>
        </is>
      </c>
      <c r="E691" t="inlineStr">
        <is>
          <t>1</t>
        </is>
      </c>
      <c r="F691" t="inlineStr">
        <is>
          <t>24</t>
        </is>
      </c>
      <c r="G691" t="inlineStr">
        <is>
          <t>4</t>
        </is>
      </c>
      <c r="H691" t="inlineStr">
        <is>
          <t>0</t>
        </is>
      </c>
      <c r="I691" t="inlineStr">
        <is>
          <t>8⁴, 16⁴</t>
        </is>
      </c>
      <c r="J691" t="n">
        <v>8</v>
      </c>
      <c r="K691" t="inlineStr">
        <is>
          <t>2², 4⁵</t>
        </is>
      </c>
      <c r="L691" t="inlineStr">
        <is>
          <t>8I¹, 16H¹, 16E²</t>
        </is>
      </c>
      <c r="M691" t="inlineStr">
        <is>
          <t>16D⁷, 16A⁹, 16H⁹, 32C¹², 48F¹⁸</t>
        </is>
      </c>
      <c r="N691" t="inlineStr">
        <is>
          <t>8H⁰, 8F⁰, 16D¹, 8D⁰, 4A⁰, 8I¹, 4C⁰, 8B⁰, 1A⁰, 2B⁰, 4F⁰, 16H¹, 16E²</t>
        </is>
      </c>
      <c r="O691" t="inlineStr">
        <is>
          <t>16C²¹, 32F²¹, 32C¹², 48F¹⁸, 32E²³, 16A⁹, 16B¹⁹, 16A¹⁹, 32D¹⁹, 32M²¹, 16A¹⁵, 32E¹⁹, 16D⁷, 16H⁹, 16F²¹, 32P²¹, 16A¹⁷</t>
        </is>
      </c>
    </row>
    <row r="692">
      <c r="A692">
        <f>HYPERLINK("https://mathstats.uncg.edu/sites/pauli/congruence/csg4.html#group17A4", "17A⁴")</f>
        <v/>
      </c>
      <c r="B692" t="n">
        <v>4</v>
      </c>
      <c r="C692" t="inlineStr"/>
      <c r="D692" t="inlineStr">
        <is>
          <t>102</t>
        </is>
      </c>
      <c r="E692" t="inlineStr">
        <is>
          <t>1</t>
        </is>
      </c>
      <c r="F692" t="inlineStr">
        <is>
          <t>102</t>
        </is>
      </c>
      <c r="G692" t="inlineStr">
        <is>
          <t>6</t>
        </is>
      </c>
      <c r="H692" t="inlineStr">
        <is>
          <t>3</t>
        </is>
      </c>
      <c r="I692" t="inlineStr">
        <is>
          <t>17⁶</t>
        </is>
      </c>
      <c r="J692" t="n">
        <v>6</v>
      </c>
      <c r="K692" t="inlineStr">
        <is>
          <t>4¹, 8¹, 16¹²</t>
        </is>
      </c>
      <c r="L692" t="inlineStr">
        <is>
          <t>1A⁰</t>
        </is>
      </c>
      <c r="M692" t="inlineStr">
        <is>
          <t>17A⁹, 34A¹¹, 34A¹³, 17B¹⁵, 34B¹⁹, 51A¹⁹, 17A²⁰</t>
        </is>
      </c>
      <c r="N692" t="inlineStr">
        <is>
          <t>1A⁰</t>
        </is>
      </c>
      <c r="O692" t="inlineStr">
        <is>
          <t>34B¹⁹, 34A¹¹, 51A¹⁹, 17A⁹, 34A¹³, 17A²⁰, 17B¹⁵</t>
        </is>
      </c>
    </row>
    <row r="693">
      <c r="A693">
        <f>HYPERLINK("https://mathstats.uncg.edu/sites/pauli/congruence/csg4.html#group17B4", "17B⁴")</f>
        <v/>
      </c>
      <c r="B693" t="n">
        <v>4</v>
      </c>
      <c r="C693" t="inlineStr"/>
      <c r="D693" t="inlineStr">
        <is>
          <t>102</t>
        </is>
      </c>
      <c r="E693" t="inlineStr">
        <is>
          <t>1</t>
        </is>
      </c>
      <c r="F693" t="inlineStr">
        <is>
          <t>102</t>
        </is>
      </c>
      <c r="G693" t="inlineStr">
        <is>
          <t>6</t>
        </is>
      </c>
      <c r="H693" t="inlineStr">
        <is>
          <t>3</t>
        </is>
      </c>
      <c r="I693" t="inlineStr">
        <is>
          <t>17⁶</t>
        </is>
      </c>
      <c r="J693" t="n">
        <v>6</v>
      </c>
      <c r="K693" t="inlineStr">
        <is>
          <t>4¹, 8¹, 16¹²</t>
        </is>
      </c>
      <c r="L693" t="inlineStr">
        <is>
          <t>1A⁰</t>
        </is>
      </c>
      <c r="M693" t="inlineStr">
        <is>
          <t>17B⁹, 34B¹¹, 34B¹³, 17C¹⁵, 34C¹⁹, 51B¹⁹, 17A²⁰</t>
        </is>
      </c>
      <c r="N693" t="inlineStr">
        <is>
          <t>1A⁰</t>
        </is>
      </c>
      <c r="O693" t="inlineStr">
        <is>
          <t>17C¹⁵, 34B¹¹, 17B⁹, 34B¹³, 34C¹⁹, 51B¹⁹, 17A²⁰</t>
        </is>
      </c>
    </row>
    <row r="694">
      <c r="A694">
        <f>HYPERLINK("https://mathstats.uncg.edu/sites/pauli/congruence/csg4.html#group18A4", "18A⁴")</f>
        <v/>
      </c>
      <c r="B694" t="n">
        <v>4</v>
      </c>
      <c r="C694" t="inlineStr"/>
      <c r="D694" t="inlineStr">
        <is>
          <t>54</t>
        </is>
      </c>
      <c r="E694" t="inlineStr">
        <is>
          <t>1</t>
        </is>
      </c>
      <c r="F694" t="inlineStr">
        <is>
          <t>9</t>
        </is>
      </c>
      <c r="G694" t="inlineStr">
        <is>
          <t>0</t>
        </is>
      </c>
      <c r="H694" t="inlineStr">
        <is>
          <t>0</t>
        </is>
      </c>
      <c r="I694" t="inlineStr">
        <is>
          <t>18³</t>
        </is>
      </c>
      <c r="J694" t="n">
        <v>3</v>
      </c>
      <c r="K694" t="inlineStr">
        <is>
          <t>1¹, 2¹, 6¹</t>
        </is>
      </c>
      <c r="L694" t="inlineStr">
        <is>
          <t>6C¹, 18E¹, 18A²</t>
        </is>
      </c>
      <c r="M694" t="inlineStr">
        <is>
          <t>18A⁷, 18E⁷, 36B⁸, 36D⁸, 36G⁸, 18C¹⁰, 90B²²</t>
        </is>
      </c>
      <c r="N694" t="inlineStr">
        <is>
          <t>2A⁰, 6A⁰, 9A⁰, 6C¹, 6A¹, 18A², 2B⁰, 18E¹, 3A⁰, 1A⁰, 2C⁰, 6D⁰</t>
        </is>
      </c>
      <c r="O694" t="inlineStr">
        <is>
          <t>90B²², 36K¹⁵, 18A⁷, 72G¹⁶, 72Q¹⁶, 72I¹⁶, 18E⁷, 36F²², 36C¹⁵, 18E¹⁹, 72B¹⁶, 36B⁸, 36D¹⁵, 72A¹⁶, 72K¹⁷, 36G⁸, 36D⁸, 36E¹⁶, 72E¹⁷, 72C¹⁷, 36B¹⁶, 36J²², 36A¹⁶, 36E²², 72H¹⁶, 36C¹⁶, 18B¹³, 18C¹⁹, 18A¹⁹, 36J¹⁵, 18C¹⁰</t>
        </is>
      </c>
    </row>
    <row r="695">
      <c r="A695">
        <f>HYPERLINK("https://mathstats.uncg.edu/sites/pauli/congruence/csg4.html#group18B4", "18B⁴")</f>
        <v/>
      </c>
      <c r="B695" t="n">
        <v>4</v>
      </c>
      <c r="C695" t="inlineStr"/>
      <c r="D695" t="inlineStr">
        <is>
          <t>54</t>
        </is>
      </c>
      <c r="E695" t="inlineStr">
        <is>
          <t>1</t>
        </is>
      </c>
      <c r="F695" t="inlineStr">
        <is>
          <t>27</t>
        </is>
      </c>
      <c r="G695" t="inlineStr">
        <is>
          <t>0</t>
        </is>
      </c>
      <c r="H695" t="inlineStr">
        <is>
          <t>0</t>
        </is>
      </c>
      <c r="I695" t="inlineStr">
        <is>
          <t>18³</t>
        </is>
      </c>
      <c r="J695" t="n">
        <v>3</v>
      </c>
      <c r="K695" t="inlineStr">
        <is>
          <t>3¹, 6⁴</t>
        </is>
      </c>
      <c r="L695" t="inlineStr">
        <is>
          <t>9G⁰, 18A²</t>
        </is>
      </c>
      <c r="M695" t="inlineStr">
        <is>
          <t>18C⁷, 18F⁷, 18B¹⁰, 18C¹⁰, 54A¹³, 36D¹⁶, 90D²²</t>
        </is>
      </c>
      <c r="N695" t="inlineStr">
        <is>
          <t>2A⁰, 6A¹, 18A², 9A⁰, 3A⁰, 1A⁰, 9G⁰</t>
        </is>
      </c>
      <c r="O695" t="inlineStr">
        <is>
          <t>36D¹⁶, 54A¹³, 36J²², 36E²², 36F²², 18B¹⁹, 18A¹³, 18E¹⁹, 90D²², 18F⁷, 18D¹⁹, 18C¹⁹, 54H²², 18C⁷, 18B¹⁰, 18C¹⁰</t>
        </is>
      </c>
    </row>
    <row r="696">
      <c r="A696">
        <f>HYPERLINK("https://mathstats.uncg.edu/sites/pauli/congruence/csg4.html#group18C4", "18C⁴")</f>
        <v/>
      </c>
      <c r="B696" t="n">
        <v>4</v>
      </c>
      <c r="C696" t="inlineStr"/>
      <c r="D696" t="inlineStr">
        <is>
          <t>72</t>
        </is>
      </c>
      <c r="E696" t="inlineStr">
        <is>
          <t>1</t>
        </is>
      </c>
      <c r="F696" t="inlineStr">
        <is>
          <t>4</t>
        </is>
      </c>
      <c r="G696" t="inlineStr">
        <is>
          <t>0</t>
        </is>
      </c>
      <c r="H696" t="inlineStr">
        <is>
          <t>0</t>
        </is>
      </c>
      <c r="I696" t="inlineStr">
        <is>
          <t>6³, 18³</t>
        </is>
      </c>
      <c r="J696" t="n">
        <v>6</v>
      </c>
      <c r="K696" t="inlineStr">
        <is>
          <t>1², 2¹</t>
        </is>
      </c>
      <c r="L696" t="inlineStr">
        <is>
          <t>6I⁰, 18B⁰, 18C², 18D²</t>
        </is>
      </c>
      <c r="M696" t="inlineStr">
        <is>
          <t>36H⁸, 36C⁹, 18E¹⁰, 18G¹⁰, 36A¹⁰, 54D¹⁶, 54E¹⁶, 54F¹⁶</t>
        </is>
      </c>
      <c r="N696" t="inlineStr">
        <is>
          <t>3B⁰, 2A⁰, 18B⁰, 6I⁰, 6C⁰, 6F⁰, 18D², 2B⁰, 9C⁰, 1A⁰, 2C⁰, 18C²</t>
        </is>
      </c>
      <c r="O696" t="inlineStr">
        <is>
          <t>72A¹⁹, 54E¹⁶, 18G¹⁰, 18E¹⁰, 72C¹⁹, 72M¹⁹, 72A²¹, 54D¹⁶, 36C¹⁹, 36C⁹, 36K²², 36H⁸, 36A¹⁰, 36N²², 54F¹⁶, 36A¹⁹, 72C²¹, 36A¹⁷, 72K¹⁹</t>
        </is>
      </c>
    </row>
    <row r="697">
      <c r="A697">
        <f>HYPERLINK("https://mathstats.uncg.edu/sites/pauli/congruence/csg4.html#group18D4", "18D⁴")</f>
        <v/>
      </c>
      <c r="B697" t="n">
        <v>4</v>
      </c>
      <c r="C697" t="inlineStr"/>
      <c r="D697" t="inlineStr">
        <is>
          <t>72</t>
        </is>
      </c>
      <c r="E697" t="inlineStr">
        <is>
          <t>1</t>
        </is>
      </c>
      <c r="F697" t="inlineStr">
        <is>
          <t>4</t>
        </is>
      </c>
      <c r="G697" t="inlineStr">
        <is>
          <t>0</t>
        </is>
      </c>
      <c r="H697" t="inlineStr">
        <is>
          <t>0</t>
        </is>
      </c>
      <c r="I697" t="inlineStr">
        <is>
          <t>6³, 18³</t>
        </is>
      </c>
      <c r="J697" t="n">
        <v>6</v>
      </c>
      <c r="K697" t="inlineStr">
        <is>
          <t>1², 2¹</t>
        </is>
      </c>
      <c r="L697" t="inlineStr">
        <is>
          <t>6I⁰, 18D¹, 18B², 18E²</t>
        </is>
      </c>
      <c r="M697" t="inlineStr">
        <is>
          <t>36I⁸, 36D⁹, 18E¹⁰, 18H¹⁰, 36B¹⁰</t>
        </is>
      </c>
      <c r="N697" t="inlineStr">
        <is>
          <t>3B⁰, 2A⁰, 18B², 6I⁰, 9A¹, 18E², 6F⁰, 6C⁰, 2B⁰, 1A⁰, 2C⁰, 18D¹</t>
        </is>
      </c>
      <c r="O697" t="inlineStr">
        <is>
          <t>36B¹⁰, 72N¹⁹, 36D⁹, 36K²², 72L¹⁹, 36B¹⁹, 18E¹⁰, 18H¹⁰, 72D²¹, 72B¹⁹, 36I⁸, 36D¹⁹, 36B¹⁷, 72D¹⁹, 72B²¹, 36O²²</t>
        </is>
      </c>
    </row>
    <row r="698">
      <c r="A698">
        <f>HYPERLINK("https://mathstats.uncg.edu/sites/pauli/congruence/csg4.html#group18E4", "18E⁴")</f>
        <v/>
      </c>
      <c r="B698" t="n">
        <v>4</v>
      </c>
      <c r="C698" t="inlineStr"/>
      <c r="D698" t="inlineStr">
        <is>
          <t>72</t>
        </is>
      </c>
      <c r="E698" t="inlineStr">
        <is>
          <t>1</t>
        </is>
      </c>
      <c r="F698" t="inlineStr">
        <is>
          <t>4</t>
        </is>
      </c>
      <c r="G698" t="inlineStr">
        <is>
          <t>0</t>
        </is>
      </c>
      <c r="H698" t="inlineStr">
        <is>
          <t>0</t>
        </is>
      </c>
      <c r="I698" t="inlineStr">
        <is>
          <t>6³, 18³</t>
        </is>
      </c>
      <c r="J698" t="n">
        <v>6</v>
      </c>
      <c r="K698" t="inlineStr">
        <is>
          <t>1², 2¹</t>
        </is>
      </c>
      <c r="L698" t="inlineStr">
        <is>
          <t>18B⁰, 6D¹, 9C¹, 18C¹, 18B²</t>
        </is>
      </c>
      <c r="M698" t="inlineStr">
        <is>
          <t>18D¹⁰, 18E¹⁰, 18F¹⁰, 36C¹⁰, 18C¹³, 18G¹³, 54E¹³, 54I¹³, 54A¹⁶, 54G¹⁶, 54H¹⁶, 54K¹⁶, 36E¹⁹</t>
        </is>
      </c>
      <c r="N698" t="inlineStr">
        <is>
          <t>3B⁰, 2A⁰, 6B⁰, 18B⁰, 6C⁰, 9B⁰, 9C⁰, 1A⁰, 18B², 6D¹, 6E⁰, 6B¹, 18C¹, 9A¹, 3C⁰, 9C¹, 6A¹, 3A⁰, 3D⁰</t>
        </is>
      </c>
      <c r="O698" t="inlineStr">
        <is>
          <t>54I¹³, 36K²², 18C¹³, 18E¹⁰, 36E¹⁹, 54H¹⁶, 18D¹⁰, 18G¹³, 54A¹⁶, 54G¹⁶, 54K¹⁶, 54E¹³, 36C¹⁰, 18F¹⁰</t>
        </is>
      </c>
    </row>
    <row r="699">
      <c r="A699">
        <f>HYPERLINK("https://mathstats.uncg.edu/sites/pauli/congruence/csg4.html#group18F4", "18F⁴")</f>
        <v/>
      </c>
      <c r="B699" t="n">
        <v>4</v>
      </c>
      <c r="C699" t="inlineStr"/>
      <c r="D699" t="inlineStr">
        <is>
          <t>72</t>
        </is>
      </c>
      <c r="E699" t="inlineStr">
        <is>
          <t>1</t>
        </is>
      </c>
      <c r="F699" t="inlineStr">
        <is>
          <t>8</t>
        </is>
      </c>
      <c r="G699" t="inlineStr">
        <is>
          <t>0</t>
        </is>
      </c>
      <c r="H699" t="inlineStr">
        <is>
          <t>0</t>
        </is>
      </c>
      <c r="I699" t="inlineStr">
        <is>
          <t>6³, 18³</t>
        </is>
      </c>
      <c r="J699" t="n">
        <v>6</v>
      </c>
      <c r="K699" t="inlineStr">
        <is>
          <t>2⁴</t>
        </is>
      </c>
      <c r="L699" t="inlineStr">
        <is>
          <t>6J⁰, 18C⁰, 18B², 18C²</t>
        </is>
      </c>
      <c r="M699" t="inlineStr">
        <is>
          <t>18E¹⁰, 18J¹⁰, 36D¹⁰, 36F¹⁹</t>
        </is>
      </c>
      <c r="N699" t="inlineStr">
        <is>
          <t>18C⁰, 3B⁰, 18B², 2A⁰, 6A⁰, 6C⁰, 9A¹, 6J⁰, 1A⁰, 18C²</t>
        </is>
      </c>
      <c r="O699" t="inlineStr">
        <is>
          <t>36D¹⁰, 18J¹⁰, 36K²², 18E¹⁰, 36F¹⁹</t>
        </is>
      </c>
    </row>
    <row r="700">
      <c r="A700">
        <f>HYPERLINK("https://mathstats.uncg.edu/sites/pauli/congruence/csg4.html#group18G4", "18G⁴")</f>
        <v/>
      </c>
      <c r="B700" t="n">
        <v>4</v>
      </c>
      <c r="C700" t="inlineStr"/>
      <c r="D700" t="inlineStr">
        <is>
          <t>72</t>
        </is>
      </c>
      <c r="E700" t="inlineStr">
        <is>
          <t>1</t>
        </is>
      </c>
      <c r="F700" t="inlineStr">
        <is>
          <t>8</t>
        </is>
      </c>
      <c r="G700" t="inlineStr">
        <is>
          <t>0</t>
        </is>
      </c>
      <c r="H700" t="inlineStr">
        <is>
          <t>0</t>
        </is>
      </c>
      <c r="I700" t="inlineStr">
        <is>
          <t>6³, 18³</t>
        </is>
      </c>
      <c r="J700" t="n">
        <v>6</v>
      </c>
      <c r="K700" t="inlineStr">
        <is>
          <t>2⁴</t>
        </is>
      </c>
      <c r="L700" t="inlineStr">
        <is>
          <t>6J⁰, 18C¹, 18D¹, 18C²</t>
        </is>
      </c>
      <c r="M700" t="inlineStr">
        <is>
          <t>18E¹⁰, 18I¹⁰, 36E¹⁰, 54H¹³, 54J¹³, 54K¹³, 36G¹⁹</t>
        </is>
      </c>
      <c r="N700" t="inlineStr">
        <is>
          <t>3B⁰, 2A⁰, 6A⁰, 18D¹, 18C¹, 6C⁰, 6J⁰, 9B⁰, 1A⁰, 18C²</t>
        </is>
      </c>
      <c r="O700" t="inlineStr">
        <is>
          <t>54H¹³, 18I¹⁰, 36G¹⁹, 54J¹³, 36K²², 18E¹⁰, 36E¹⁰, 54K¹³</t>
        </is>
      </c>
    </row>
    <row r="701">
      <c r="A701">
        <f>HYPERLINK("https://mathstats.uncg.edu/sites/pauli/congruence/csg4.html#group18H4", "18H⁴")</f>
        <v/>
      </c>
      <c r="B701" t="n">
        <v>4</v>
      </c>
      <c r="C701" t="inlineStr"/>
      <c r="D701" t="inlineStr">
        <is>
          <t>72</t>
        </is>
      </c>
      <c r="E701" t="inlineStr">
        <is>
          <t>1</t>
        </is>
      </c>
      <c r="F701" t="inlineStr">
        <is>
          <t>8</t>
        </is>
      </c>
      <c r="G701" t="inlineStr">
        <is>
          <t>0</t>
        </is>
      </c>
      <c r="H701" t="inlineStr">
        <is>
          <t>0</t>
        </is>
      </c>
      <c r="I701" t="inlineStr">
        <is>
          <t>6³, 18³</t>
        </is>
      </c>
      <c r="J701" t="n">
        <v>6</v>
      </c>
      <c r="K701" t="inlineStr">
        <is>
          <t>2⁴</t>
        </is>
      </c>
      <c r="L701" t="inlineStr">
        <is>
          <t>18C⁰, 6D¹, 18D¹, 18C²</t>
        </is>
      </c>
      <c r="M701" t="inlineStr">
        <is>
          <t>18E¹⁰, 18K¹⁰, 36F¹⁰, 18D¹³, 18F¹³, 18G¹³, 36H¹⁹</t>
        </is>
      </c>
      <c r="N701" t="inlineStr">
        <is>
          <t>3B⁰, 2A⁰, 6B⁰, 18D¹, 6C⁰, 1A⁰, 18C⁰, 6D¹, 6E⁰, 6B¹, 3C⁰, 6A¹, 3A⁰, 3D⁰, 18C²</t>
        </is>
      </c>
      <c r="O701" t="inlineStr">
        <is>
          <t>36H¹⁹, 18G¹³, 18K¹⁰, 18D¹³, 36K²², 18F¹³, 18E¹⁰, 36F¹⁰</t>
        </is>
      </c>
    </row>
    <row r="702">
      <c r="A702">
        <f>HYPERLINK("https://mathstats.uncg.edu/sites/pauli/congruence/csg4.html#group18I4", "18I⁴")</f>
        <v/>
      </c>
      <c r="B702" t="n">
        <v>4</v>
      </c>
      <c r="C702" t="inlineStr"/>
      <c r="D702" t="inlineStr">
        <is>
          <t>72</t>
        </is>
      </c>
      <c r="E702" t="inlineStr">
        <is>
          <t>1</t>
        </is>
      </c>
      <c r="F702" t="inlineStr">
        <is>
          <t>12</t>
        </is>
      </c>
      <c r="G702" t="inlineStr">
        <is>
          <t>0</t>
        </is>
      </c>
      <c r="H702" t="inlineStr">
        <is>
          <t>0</t>
        </is>
      </c>
      <c r="I702" t="inlineStr">
        <is>
          <t>6³, 18³</t>
        </is>
      </c>
      <c r="J702" t="n">
        <v>6</v>
      </c>
      <c r="K702" t="inlineStr">
        <is>
          <t>1², 2², 6¹</t>
        </is>
      </c>
      <c r="L702" t="inlineStr">
        <is>
          <t>9D¹, 18B²</t>
        </is>
      </c>
      <c r="M702" t="inlineStr">
        <is>
          <t>18D¹⁰, 18H¹⁰, 18J¹⁰, 36G¹⁰, 54N¹⁶, 54O¹⁶, 36I¹⁹</t>
        </is>
      </c>
      <c r="N702" t="inlineStr">
        <is>
          <t>3B⁰, 2A⁰, 18B², 9A¹, 6C⁰, 9D¹, 1A⁰</t>
        </is>
      </c>
      <c r="O702" t="inlineStr">
        <is>
          <t>36O²², 36I¹⁹, 18D¹⁰, 36G¹⁰, 54N¹⁶, 54O¹⁶, 18H¹⁰, 18J¹⁰</t>
        </is>
      </c>
    </row>
    <row r="703">
      <c r="A703">
        <f>HYPERLINK("https://mathstats.uncg.edu/sites/pauli/congruence/csg4.html#group18J4", "18J⁴")</f>
        <v/>
      </c>
      <c r="B703" t="n">
        <v>4</v>
      </c>
      <c r="C703" t="inlineStr"/>
      <c r="D703" t="inlineStr">
        <is>
          <t>72</t>
        </is>
      </c>
      <c r="E703" t="inlineStr">
        <is>
          <t>1</t>
        </is>
      </c>
      <c r="F703" t="inlineStr">
        <is>
          <t>24</t>
        </is>
      </c>
      <c r="G703" t="inlineStr">
        <is>
          <t>0</t>
        </is>
      </c>
      <c r="H703" t="inlineStr">
        <is>
          <t>0</t>
        </is>
      </c>
      <c r="I703" t="inlineStr">
        <is>
          <t>6³, 18³</t>
        </is>
      </c>
      <c r="J703" t="n">
        <v>6</v>
      </c>
      <c r="K703" t="inlineStr">
        <is>
          <t>1⁴, 2⁴, 6²</t>
        </is>
      </c>
      <c r="L703" t="inlineStr">
        <is>
          <t>18B²</t>
        </is>
      </c>
      <c r="M703" t="inlineStr">
        <is>
          <t>18F¹⁰, 18H¹⁰, 18J¹⁰, 36I¹⁰, 36J¹⁹</t>
        </is>
      </c>
      <c r="N703" t="inlineStr">
        <is>
          <t>3B⁰, 2A⁰, 18B², 9A¹, 1A⁰, 6C⁰</t>
        </is>
      </c>
      <c r="O703" t="inlineStr">
        <is>
          <t>36O²², 18J¹⁰, 36I¹⁰, 36J¹⁹, 18H¹⁰, 18F¹⁰</t>
        </is>
      </c>
    </row>
    <row r="704">
      <c r="A704">
        <f>HYPERLINK("https://mathstats.uncg.edu/sites/pauli/congruence/csg4.html#group18K4", "18K⁴")</f>
        <v/>
      </c>
      <c r="B704" t="n">
        <v>4</v>
      </c>
      <c r="C704" t="inlineStr"/>
      <c r="D704" t="inlineStr">
        <is>
          <t>81</t>
        </is>
      </c>
      <c r="E704" t="inlineStr">
        <is>
          <t>1</t>
        </is>
      </c>
      <c r="F704" t="inlineStr">
        <is>
          <t>81</t>
        </is>
      </c>
      <c r="G704" t="inlineStr">
        <is>
          <t>3</t>
        </is>
      </c>
      <c r="H704" t="inlineStr">
        <is>
          <t>0</t>
        </is>
      </c>
      <c r="I704" t="inlineStr">
        <is>
          <t>9³, 18³</t>
        </is>
      </c>
      <c r="J704" t="n">
        <v>6</v>
      </c>
      <c r="K704" t="inlineStr">
        <is>
          <t>3³, 6¹²</t>
        </is>
      </c>
      <c r="L704" t="inlineStr">
        <is>
          <t>2B⁰, 9F⁰</t>
        </is>
      </c>
      <c r="M704" t="inlineStr">
        <is>
          <t>18A¹⁰, 18L¹⁰, 36M¹⁰, 36O¹⁰, 18E¹⁶</t>
        </is>
      </c>
      <c r="N704" t="inlineStr">
        <is>
          <t>9F⁰, 1A⁰, 2B⁰</t>
        </is>
      </c>
      <c r="O704" t="inlineStr">
        <is>
          <t>18L¹⁰, 36B²², 36G²², 72I²², 18E¹⁶, 36O¹⁰, 18A¹⁰, 72F²², 18A²², 36M¹⁰, 72E²²</t>
        </is>
      </c>
    </row>
    <row r="705">
      <c r="A705">
        <f>HYPERLINK("https://mathstats.uncg.edu/sites/pauli/congruence/csg4.html#group18L4", "18L⁴")</f>
        <v/>
      </c>
      <c r="B705" t="n">
        <v>4</v>
      </c>
      <c r="C705" t="inlineStr"/>
      <c r="D705" t="inlineStr">
        <is>
          <t>108</t>
        </is>
      </c>
      <c r="E705" t="inlineStr">
        <is>
          <t>1</t>
        </is>
      </c>
      <c r="F705" t="inlineStr">
        <is>
          <t>9</t>
        </is>
      </c>
      <c r="G705" t="inlineStr">
        <is>
          <t>12</t>
        </is>
      </c>
      <c r="H705" t="inlineStr">
        <is>
          <t>0</t>
        </is>
      </c>
      <c r="I705" t="inlineStr">
        <is>
          <t>18⁶</t>
        </is>
      </c>
      <c r="J705" t="n">
        <v>6</v>
      </c>
      <c r="K705" t="inlineStr">
        <is>
          <t>1³, 2³</t>
        </is>
      </c>
      <c r="L705" t="inlineStr">
        <is>
          <t>6L⁰, 18D⁰, 18I², 18L²</t>
        </is>
      </c>
      <c r="M705" t="inlineStr">
        <is>
          <t>36O⁹, 36J¹¹, 18B¹³, 36G¹³, 36B¹⁵, 18D¹⁶, 18G¹⁶</t>
        </is>
      </c>
      <c r="N705" t="inlineStr">
        <is>
          <t>6B⁰, 6G⁰, 2B⁰, 1A⁰, 18A⁰, 18L², 9D⁰, 18D⁰, 6E⁰, 6L⁰, 9A⁰, 18E¹, 3C⁰, 6H⁰, 3A⁰, 18I², 6D⁰</t>
        </is>
      </c>
      <c r="O705" t="inlineStr">
        <is>
          <t>72AA²¹, 18G¹⁶, 36B¹⁵, 18D¹⁶, 36A²³, 36O⁹, 18B¹³, 36J¹¹, 36G¹³</t>
        </is>
      </c>
    </row>
    <row r="706">
      <c r="A706">
        <f>HYPERLINK("https://mathstats.uncg.edu/sites/pauli/congruence/csg4.html#group18M4", "18M⁴")</f>
        <v/>
      </c>
      <c r="B706" t="n">
        <v>4</v>
      </c>
      <c r="C706" t="inlineStr"/>
      <c r="D706" t="inlineStr">
        <is>
          <t>108</t>
        </is>
      </c>
      <c r="E706" t="inlineStr">
        <is>
          <t>1</t>
        </is>
      </c>
      <c r="F706" t="inlineStr">
        <is>
          <t>12</t>
        </is>
      </c>
      <c r="G706" t="inlineStr">
        <is>
          <t>0</t>
        </is>
      </c>
      <c r="H706" t="inlineStr">
        <is>
          <t>0</t>
        </is>
      </c>
      <c r="I706" t="inlineStr">
        <is>
          <t>3³, 6³, 9³, 18³</t>
        </is>
      </c>
      <c r="J706" t="n">
        <v>12</v>
      </c>
      <c r="K706" t="inlineStr">
        <is>
          <t>1⁶, 2³</t>
        </is>
      </c>
      <c r="L706" t="inlineStr">
        <is>
          <t>6K⁰, 18E⁰, 9C¹, 18D², 18E²</t>
        </is>
      </c>
      <c r="M706" t="inlineStr">
        <is>
          <t>18E¹⁰, 18M¹⁰, 36Q¹⁰, 36D¹³, 18B¹⁶, 54T¹⁶, 54A²², 54E²²</t>
        </is>
      </c>
      <c r="N706" t="inlineStr">
        <is>
          <t>3B⁰, 18E², 9B⁰, 18D², 6G⁰, 2B⁰, 9C⁰, 1A⁰, 3D⁰, 18E⁰, 9A¹, 3C⁰, 9C¹, 6K⁰, 3A⁰, 6F⁰, 6D⁰</t>
        </is>
      </c>
      <c r="O706" t="inlineStr">
        <is>
          <t>36L²², 36Q¹⁰, 54A²², 36K²², 18M¹⁰, 18E¹⁰, 54T¹⁶, 36D¹³, 72L²², 54E²², 18B¹⁶</t>
        </is>
      </c>
    </row>
    <row r="707">
      <c r="A707">
        <f>HYPERLINK("https://mathstats.uncg.edu/sites/pauli/congruence/csg4.html#group18N4", "18N⁴")</f>
        <v/>
      </c>
      <c r="B707" t="n">
        <v>4</v>
      </c>
      <c r="C707" t="inlineStr"/>
      <c r="D707" t="inlineStr">
        <is>
          <t>108</t>
        </is>
      </c>
      <c r="E707" t="inlineStr">
        <is>
          <t>1</t>
        </is>
      </c>
      <c r="F707" t="inlineStr">
        <is>
          <t>18</t>
        </is>
      </c>
      <c r="G707" t="inlineStr">
        <is>
          <t>0</t>
        </is>
      </c>
      <c r="H707" t="inlineStr">
        <is>
          <t>0</t>
        </is>
      </c>
      <c r="I707" t="inlineStr">
        <is>
          <t>6⁹, 18³</t>
        </is>
      </c>
      <c r="J707" t="n">
        <v>12</v>
      </c>
      <c r="K707" t="inlineStr">
        <is>
          <t>1¹, 2¹, 3¹, 6²</t>
        </is>
      </c>
      <c r="L707" t="inlineStr">
        <is>
          <t>6E¹, 18I¹, 18F²</t>
        </is>
      </c>
      <c r="M707" t="inlineStr">
        <is>
          <t>18N⁷, 36N¹¹, 36M¹¹, 18A¹⁹, 18C¹⁹</t>
        </is>
      </c>
      <c r="N707" t="inlineStr">
        <is>
          <t>6E¹, 18F², 2A⁰, 6B⁰, 18I¹, 6C¹, 6G⁰, 2B⁰, 9E⁰, 1A⁰, 6A⁰, 6B¹, 3C⁰, 6A¹, 6H⁰, 3A⁰, 2C⁰, 6D⁰</t>
        </is>
      </c>
      <c r="O707" t="inlineStr">
        <is>
          <t>36I¹⁷, 18N⁷, 36N¹¹, 18C¹⁹, 36E²¹, 36M¹¹, 18A¹⁹</t>
        </is>
      </c>
    </row>
    <row r="708">
      <c r="A708">
        <f>HYPERLINK("https://mathstats.uncg.edu/sites/pauli/congruence/csg4.html#group18O4", "18O⁴")</f>
        <v/>
      </c>
      <c r="B708" t="n">
        <v>4</v>
      </c>
      <c r="C708" t="inlineStr"/>
      <c r="D708" t="inlineStr">
        <is>
          <t>108</t>
        </is>
      </c>
      <c r="E708" t="inlineStr">
        <is>
          <t>1</t>
        </is>
      </c>
      <c r="F708" t="inlineStr">
        <is>
          <t>18</t>
        </is>
      </c>
      <c r="G708" t="inlineStr">
        <is>
          <t>12</t>
        </is>
      </c>
      <c r="H708" t="inlineStr">
        <is>
          <t>0</t>
        </is>
      </c>
      <c r="I708" t="inlineStr">
        <is>
          <t>18⁶</t>
        </is>
      </c>
      <c r="J708" t="n">
        <v>6</v>
      </c>
      <c r="K708" t="inlineStr">
        <is>
          <t>1¹, 2¹, 3¹, 6²</t>
        </is>
      </c>
      <c r="L708" t="inlineStr">
        <is>
          <t>18D⁰, 9E¹, 18F¹</t>
        </is>
      </c>
      <c r="M708" t="inlineStr">
        <is>
          <t>18C¹³, 36E¹³, 36F¹³, 18C¹⁶, 18D¹⁶, 18F¹⁶, 54Q¹⁶, 54A¹⁹, 54B¹⁹</t>
        </is>
      </c>
      <c r="N708" t="inlineStr">
        <is>
          <t>6B⁰, 9D⁰, 18D⁰, 6E⁰, 9A⁰, 3C⁰, 9E¹, 18F¹, 9E⁰, 3A⁰, 1A⁰, 18A⁰</t>
        </is>
      </c>
      <c r="O708" t="inlineStr">
        <is>
          <t>18F¹⁶, 36F¹³, 18D¹⁶, 18C¹⁶, 36E¹³, 18C¹³, 54A¹⁹, 54Q¹⁶, 54B¹⁹</t>
        </is>
      </c>
    </row>
    <row r="709">
      <c r="A709">
        <f>HYPERLINK("https://mathstats.uncg.edu/sites/pauli/congruence/csg4.html#group18P4", "18P⁴")</f>
        <v/>
      </c>
      <c r="B709" t="n">
        <v>4</v>
      </c>
      <c r="C709" t="inlineStr"/>
      <c r="D709" t="inlineStr">
        <is>
          <t>108</t>
        </is>
      </c>
      <c r="E709" t="inlineStr">
        <is>
          <t>1</t>
        </is>
      </c>
      <c r="F709" t="inlineStr">
        <is>
          <t>36</t>
        </is>
      </c>
      <c r="G709" t="inlineStr">
        <is>
          <t>0</t>
        </is>
      </c>
      <c r="H709" t="inlineStr">
        <is>
          <t>0</t>
        </is>
      </c>
      <c r="I709" t="inlineStr">
        <is>
          <t>3³, 6³, 9³, 18³</t>
        </is>
      </c>
      <c r="J709" t="n">
        <v>12</v>
      </c>
      <c r="K709" t="inlineStr">
        <is>
          <t>1⁶, 2⁶, 6³</t>
        </is>
      </c>
      <c r="L709" t="inlineStr">
        <is>
          <t>9J⁰, 18D²</t>
        </is>
      </c>
      <c r="M709" t="inlineStr">
        <is>
          <t>18G¹⁰, 18M¹⁰, 36R¹⁰, 36J¹³, 18E¹⁶, 54U¹⁶, 54B²², 54D²², 54C²², 54F²²</t>
        </is>
      </c>
      <c r="N709" t="inlineStr">
        <is>
          <t>6F⁰, 3B⁰, 18D², 9J⁰, 2B⁰, 9C⁰, 1A⁰</t>
        </is>
      </c>
      <c r="O709" t="inlineStr">
        <is>
          <t>36J¹³, 54C²², 36P²², 54U¹⁶, 54B²², 18M¹⁰, 18E¹⁶, 18G¹⁰, 36R¹⁰, 54F²², 54D²², 72M²², 36N²²</t>
        </is>
      </c>
    </row>
    <row r="710">
      <c r="A710">
        <f>HYPERLINK("https://mathstats.uncg.edu/sites/pauli/congruence/csg4.html#group18Q4", "18Q⁴")</f>
        <v/>
      </c>
      <c r="B710" t="n">
        <v>4</v>
      </c>
      <c r="C710" t="inlineStr"/>
      <c r="D710" t="inlineStr">
        <is>
          <t>108</t>
        </is>
      </c>
      <c r="E710" t="inlineStr">
        <is>
          <t>1</t>
        </is>
      </c>
      <c r="F710" t="inlineStr">
        <is>
          <t>36</t>
        </is>
      </c>
      <c r="G710" t="inlineStr">
        <is>
          <t>0</t>
        </is>
      </c>
      <c r="H710" t="inlineStr">
        <is>
          <t>0</t>
        </is>
      </c>
      <c r="I710" t="inlineStr">
        <is>
          <t>3³, 6³, 9³, 18³</t>
        </is>
      </c>
      <c r="J710" t="n">
        <v>12</v>
      </c>
      <c r="K710" t="inlineStr">
        <is>
          <t>1⁶, 2⁶, 6³</t>
        </is>
      </c>
      <c r="L710" t="inlineStr">
        <is>
          <t>9D¹, 18E²</t>
        </is>
      </c>
      <c r="M710" t="inlineStr">
        <is>
          <t>18H¹⁰, 18M¹⁰, 36S¹⁰, 36K¹³, 54G²²</t>
        </is>
      </c>
      <c r="N710" t="inlineStr">
        <is>
          <t>3B⁰, 9A¹, 18E², 6F⁰, 2B⁰, 9D¹, 1A⁰</t>
        </is>
      </c>
      <c r="O710" t="inlineStr">
        <is>
          <t>36Q²², 54G²², 72N²², 18M¹⁰, 36S¹⁰, 36K¹³, 18H¹⁰, 36O²²</t>
        </is>
      </c>
    </row>
    <row r="711">
      <c r="A711">
        <f>HYPERLINK("https://mathstats.uncg.edu/sites/pauli/congruence/csg4.html#group18R4", "18R⁴")</f>
        <v/>
      </c>
      <c r="B711" t="n">
        <v>4</v>
      </c>
      <c r="C711" t="inlineStr"/>
      <c r="D711" t="inlineStr">
        <is>
          <t>108</t>
        </is>
      </c>
      <c r="E711" t="inlineStr">
        <is>
          <t>1</t>
        </is>
      </c>
      <c r="F711" t="inlineStr">
        <is>
          <t>36</t>
        </is>
      </c>
      <c r="G711" t="inlineStr">
        <is>
          <t>12</t>
        </is>
      </c>
      <c r="H711" t="inlineStr">
        <is>
          <t>0</t>
        </is>
      </c>
      <c r="I711" t="inlineStr">
        <is>
          <t>18⁶</t>
        </is>
      </c>
      <c r="J711" t="n">
        <v>6</v>
      </c>
      <c r="K711" t="inlineStr">
        <is>
          <t>2³, 3², 6⁴</t>
        </is>
      </c>
      <c r="L711" t="inlineStr">
        <is>
          <t>18D⁰, 18G¹</t>
        </is>
      </c>
      <c r="M711" t="inlineStr">
        <is>
          <t>18F¹³, 36L¹³, 36M¹³, 18D¹⁶, 18F¹⁶, 18H¹⁶</t>
        </is>
      </c>
      <c r="N711" t="inlineStr">
        <is>
          <t>6B⁰, 9D⁰, 18D⁰, 6E⁰, 9A⁰, 3C⁰, 18G¹, 3A⁰, 1A⁰, 18A⁰</t>
        </is>
      </c>
      <c r="O711" t="inlineStr">
        <is>
          <t>36L¹³, 18F¹⁶, 18D¹⁶, 18F¹³, 36M¹³, 18H¹⁶</t>
        </is>
      </c>
    </row>
    <row r="712">
      <c r="A712">
        <f>HYPERLINK("https://mathstats.uncg.edu/sites/pauli/congruence/csg4.html#group18S4", "18S⁴")</f>
        <v/>
      </c>
      <c r="B712" t="n">
        <v>4</v>
      </c>
      <c r="C712" t="inlineStr"/>
      <c r="D712" t="inlineStr">
        <is>
          <t>108</t>
        </is>
      </c>
      <c r="E712" t="inlineStr">
        <is>
          <t>2</t>
        </is>
      </c>
      <c r="F712" t="inlineStr">
        <is>
          <t>9</t>
        </is>
      </c>
      <c r="G712" t="inlineStr">
        <is>
          <t>12</t>
        </is>
      </c>
      <c r="H712" t="inlineStr">
        <is>
          <t>0</t>
        </is>
      </c>
      <c r="I712" t="inlineStr">
        <is>
          <t>18⁶</t>
        </is>
      </c>
      <c r="J712" t="n">
        <v>6</v>
      </c>
      <c r="K712" t="inlineStr">
        <is>
          <t>2³, 6²</t>
        </is>
      </c>
      <c r="L712" t="inlineStr">
        <is>
          <t>18D⁰, 9F¹, 18H¹, 18G², 18K²</t>
        </is>
      </c>
      <c r="M712" t="inlineStr">
        <is>
          <t>18A¹³, 36O¹³, 18C¹⁶, 18G¹⁶, 18H¹⁶, 54V¹⁶, 54J²², 54K²²</t>
        </is>
      </c>
      <c r="N712" t="inlineStr">
        <is>
          <t>6B⁰, 18H¹, 9G⁰, 18K², 1A⁰, 18A⁰, 9B¹, 9D⁰, 18D⁰, 6E⁰, 9A⁰, 3C⁰, 18G², 3A⁰, 18A¹, 9F¹</t>
        </is>
      </c>
      <c r="O712" t="inlineStr">
        <is>
          <t>18G¹⁶, 18C¹⁶, 54V¹⁶, 18H¹⁶, 54K²², 54J²², 18A¹³, 36O¹³</t>
        </is>
      </c>
    </row>
    <row r="713">
      <c r="A713">
        <f>HYPERLINK("https://mathstats.uncg.edu/sites/pauli/congruence/csg4.html#group18T4", "18T⁴")</f>
        <v/>
      </c>
      <c r="B713" t="n">
        <v>4</v>
      </c>
      <c r="C713" t="inlineStr"/>
      <c r="D713" t="inlineStr">
        <is>
          <t>108</t>
        </is>
      </c>
      <c r="E713" t="inlineStr">
        <is>
          <t>2</t>
        </is>
      </c>
      <c r="F713" t="inlineStr">
        <is>
          <t>18</t>
        </is>
      </c>
      <c r="G713" t="inlineStr">
        <is>
          <t>12</t>
        </is>
      </c>
      <c r="H713" t="inlineStr">
        <is>
          <t>0</t>
        </is>
      </c>
      <c r="I713" t="inlineStr">
        <is>
          <t>18⁶</t>
        </is>
      </c>
      <c r="J713" t="n">
        <v>6</v>
      </c>
      <c r="K713" t="inlineStr">
        <is>
          <t>2⁶, 6⁴</t>
        </is>
      </c>
      <c r="L713" t="inlineStr">
        <is>
          <t>18D⁰, 18H², 18M²</t>
        </is>
      </c>
      <c r="M713" t="inlineStr">
        <is>
          <t>18H¹³, 36Q¹³, 18F¹⁶, 18G¹⁶, 18H¹⁶</t>
        </is>
      </c>
      <c r="N713" t="inlineStr">
        <is>
          <t>6B⁰, 3A⁰, 18D⁰, 18H², 6E⁰, 9D⁰, 9A⁰, 18B¹, 3C⁰, 18M², 1A⁰, 18A⁰</t>
        </is>
      </c>
      <c r="O713" t="inlineStr">
        <is>
          <t>36Q¹³, 18F¹⁶, 18G¹⁶, 18H¹³, 18H¹⁶</t>
        </is>
      </c>
    </row>
    <row r="714">
      <c r="A714">
        <f>HYPERLINK("https://mathstats.uncg.edu/sites/pauli/congruence/csg4.html#group20A4", "20A⁴")</f>
        <v/>
      </c>
      <c r="B714" t="n">
        <v>4</v>
      </c>
      <c r="C714" t="inlineStr"/>
      <c r="D714" t="inlineStr">
        <is>
          <t>60</t>
        </is>
      </c>
      <c r="E714" t="inlineStr">
        <is>
          <t>1</t>
        </is>
      </c>
      <c r="F714" t="inlineStr">
        <is>
          <t>15</t>
        </is>
      </c>
      <c r="G714" t="inlineStr">
        <is>
          <t>0</t>
        </is>
      </c>
      <c r="H714" t="inlineStr">
        <is>
          <t>0</t>
        </is>
      </c>
      <c r="I714" t="inlineStr">
        <is>
          <t>10², 20²</t>
        </is>
      </c>
      <c r="J714" t="n">
        <v>4</v>
      </c>
      <c r="K714" t="inlineStr">
        <is>
          <t>1³, 4³</t>
        </is>
      </c>
      <c r="L714" t="inlineStr">
        <is>
          <t>4E⁰, 10B², 20A², 20B²</t>
        </is>
      </c>
      <c r="M714" t="inlineStr">
        <is>
          <t>20A⁸, 40A⁸, 40D⁸, 40A⁹, 20A¹⁰, 20A¹³, 60A¹⁴, 60F¹⁴, 60B¹⁷</t>
        </is>
      </c>
      <c r="N714" t="inlineStr">
        <is>
          <t>20A², 2A⁰, 5A⁰, 10A⁰, 10B¹, 20B², 4C⁰, 2B⁰, 4E⁰, 10B², 4B⁰, 1A⁰, 2C⁰</t>
        </is>
      </c>
      <c r="O714" t="inlineStr">
        <is>
          <t>40C²², 60A¹⁴, 20C²², 80A¹⁹, 40D⁸, 40A²², 40B¹⁶, 40A⁸, 80F¹⁹, 80A¹⁶, 20A¹³, 20A²², 20A¹⁰, 40A⁹, 80A¹⁸, 20D¹⁹, 40A¹⁶, 60B¹⁷, 40L²², 60F¹⁴, 20A⁸, 40A¹⁷, 80B¹⁹, 40E²², 40G¹⁷, 80A¹⁷, 40A¹⁸</t>
        </is>
      </c>
    </row>
    <row r="715">
      <c r="A715">
        <f>HYPERLINK("https://mathstats.uncg.edu/sites/pauli/congruence/csg4.html#group20B4", "20B⁴")</f>
        <v/>
      </c>
      <c r="B715" t="n">
        <v>4</v>
      </c>
      <c r="C715" t="inlineStr"/>
      <c r="D715" t="inlineStr">
        <is>
          <t>60</t>
        </is>
      </c>
      <c r="E715" t="inlineStr">
        <is>
          <t>1</t>
        </is>
      </c>
      <c r="F715" t="inlineStr">
        <is>
          <t>30</t>
        </is>
      </c>
      <c r="G715" t="inlineStr">
        <is>
          <t>0</t>
        </is>
      </c>
      <c r="H715" t="inlineStr">
        <is>
          <t>0</t>
        </is>
      </c>
      <c r="I715" t="inlineStr">
        <is>
          <t>10², 20²</t>
        </is>
      </c>
      <c r="J715" t="n">
        <v>4</v>
      </c>
      <c r="K715" t="inlineStr">
        <is>
          <t>2³, 4⁶</t>
        </is>
      </c>
      <c r="L715" t="inlineStr">
        <is>
          <t>10F¹</t>
        </is>
      </c>
      <c r="M715" t="inlineStr">
        <is>
          <t>20A⁷, 20B⁷, 20D⁷, 20E¹⁰, 60B¹⁴, 60F¹⁷, 100A²⁴</t>
        </is>
      </c>
      <c r="N715" t="inlineStr">
        <is>
          <t>5C⁰, 1A⁰, 2B⁰, 10F¹</t>
        </is>
      </c>
      <c r="O715" t="inlineStr">
        <is>
          <t>20D⁷, 20A¹⁹, 20H¹⁵, 40E¹⁷, 20B⁷, 40H¹⁷, 20E¹⁰, 20C¹⁹, 40E¹⁵, 40I¹⁷, 20E¹⁵, 40F¹⁷, 20G¹⁵, 100A²⁴, 20A¹³, 20B¹⁹, 40D¹⁵, 20A⁷, 40T¹⁵, 60F¹⁷, 60B¹⁴</t>
        </is>
      </c>
    </row>
    <row r="716">
      <c r="A716">
        <f>HYPERLINK("https://mathstats.uncg.edu/sites/pauli/congruence/csg4.html#group20C4", "20C⁴")</f>
        <v/>
      </c>
      <c r="B716" t="n">
        <v>4</v>
      </c>
      <c r="C716" t="inlineStr"/>
      <c r="D716" t="inlineStr">
        <is>
          <t>60</t>
        </is>
      </c>
      <c r="E716" t="inlineStr">
        <is>
          <t>1</t>
        </is>
      </c>
      <c r="F716" t="inlineStr">
        <is>
          <t>30</t>
        </is>
      </c>
      <c r="G716" t="inlineStr">
        <is>
          <t>2</t>
        </is>
      </c>
      <c r="H716" t="inlineStr">
        <is>
          <t>0</t>
        </is>
      </c>
      <c r="I716" t="inlineStr">
        <is>
          <t>20³</t>
        </is>
      </c>
      <c r="J716" t="n">
        <v>3</v>
      </c>
      <c r="K716" t="inlineStr">
        <is>
          <t>1², 2², 4², 8²</t>
        </is>
      </c>
      <c r="L716" t="inlineStr">
        <is>
          <t>4F⁰, 20A¹, 20B²</t>
        </is>
      </c>
      <c r="M716" t="inlineStr">
        <is>
          <t>20A⁸, 40B⁸, 40E⁸, 40B⁹, 40E⁹, 20B¹⁰, 60B¹³, 60G¹³, 20G¹⁵, 60G¹⁸</t>
        </is>
      </c>
      <c r="N716" t="inlineStr">
        <is>
          <t>5A⁰, 4A⁰, 10B¹, 20B², 4C⁰, 20A¹, 2B⁰, 4F⁰, 1A⁰</t>
        </is>
      </c>
      <c r="O716" t="inlineStr">
        <is>
          <t>40B⁸, 20C²¹, 80G¹⁷, 80K¹⁷, 80K¹⁹, 40B²², 40E⁸, 40C¹⁸, 80F¹⁷, 60B¹³, 60G¹³, 40E⁹, 20B¹⁰, 40F²², 40C¹⁶, 40G²³, 40A²⁴, 80L¹⁷, 40B⁹, 40M²², 40O¹⁷, 80B¹⁷, 20G¹⁵, 20B²⁰, 80C¹⁹, 20A²², 80G¹⁹, 80B¹⁸, 40A¹⁶, 60G¹⁸, 40A¹⁷, 20A⁸, 40N¹⁷, 80C¹⁸, 40A¹⁸</t>
        </is>
      </c>
    </row>
    <row r="717">
      <c r="A717">
        <f>HYPERLINK("https://mathstats.uncg.edu/sites/pauli/congruence/csg4.html#group20D4", "20D⁴")</f>
        <v/>
      </c>
      <c r="B717" t="n">
        <v>4</v>
      </c>
      <c r="C717" t="inlineStr"/>
      <c r="D717" t="inlineStr">
        <is>
          <t>90</t>
        </is>
      </c>
      <c r="E717" t="inlineStr">
        <is>
          <t>1</t>
        </is>
      </c>
      <c r="F717" t="inlineStr">
        <is>
          <t>15</t>
        </is>
      </c>
      <c r="G717" t="inlineStr">
        <is>
          <t>0</t>
        </is>
      </c>
      <c r="H717" t="inlineStr">
        <is>
          <t>0</t>
        </is>
      </c>
      <c r="I717" t="inlineStr">
        <is>
          <t>5⁶, 20³</t>
        </is>
      </c>
      <c r="J717" t="n">
        <v>9</v>
      </c>
      <c r="K717" t="inlineStr">
        <is>
          <t>1³, 4³</t>
        </is>
      </c>
      <c r="L717" t="inlineStr">
        <is>
          <t>10I¹, 20A²</t>
        </is>
      </c>
      <c r="M717" t="inlineStr">
        <is>
          <t>20P⁷, 20A¹⁰, 20C¹⁰, 40D¹⁰, 40F¹⁰, 60H¹⁹, 60A²²</t>
        </is>
      </c>
      <c r="N717" t="inlineStr">
        <is>
          <t>20A², 5A⁰, 10I¹, 10B¹, 5E⁰, 2B⁰, 4B⁰, 1A⁰</t>
        </is>
      </c>
      <c r="O717" t="inlineStr">
        <is>
          <t>80C²², 40C²², 40I²², 20C²², 40A²², 80F²², 40H²², 40D²², 40M¹⁹, 20A²², 20A¹⁰, 20B¹⁹, 20G¹³, 20D¹⁹, 40L¹⁹, 60H¹⁹, 40K²², 20C¹⁰, 40L²², 80D²², 80G²², 20P⁷, 40E²², 40F¹⁰, 40D¹⁰, 60A²²</t>
        </is>
      </c>
    </row>
    <row r="718">
      <c r="A718">
        <f>HYPERLINK("https://mathstats.uncg.edu/sites/pauli/congruence/csg4.html#group20E4", "20E⁴")</f>
        <v/>
      </c>
      <c r="B718" t="n">
        <v>4</v>
      </c>
      <c r="C718" t="inlineStr"/>
      <c r="D718" t="inlineStr">
        <is>
          <t>90</t>
        </is>
      </c>
      <c r="E718" t="inlineStr">
        <is>
          <t>1</t>
        </is>
      </c>
      <c r="F718" t="inlineStr">
        <is>
          <t>15</t>
        </is>
      </c>
      <c r="G718" t="inlineStr">
        <is>
          <t>6</t>
        </is>
      </c>
      <c r="H718" t="inlineStr">
        <is>
          <t>0</t>
        </is>
      </c>
      <c r="I718" t="inlineStr">
        <is>
          <t>10³, 20³</t>
        </is>
      </c>
      <c r="J718" t="n">
        <v>6</v>
      </c>
      <c r="K718" t="inlineStr">
        <is>
          <t>1³, 4³</t>
        </is>
      </c>
      <c r="L718" t="inlineStr">
        <is>
          <t>10I¹, 20B²</t>
        </is>
      </c>
      <c r="M718" t="inlineStr">
        <is>
          <t>20C⁸, 20B⁹, 20A¹⁰, 20B¹⁰, 20F¹⁰, 40C¹⁰, 40E¹⁰, 40G¹⁰, 40E¹¹, 40A¹², 40A¹³, 60D¹⁶</t>
        </is>
      </c>
      <c r="N718" t="inlineStr">
        <is>
          <t>5A⁰, 10I¹, 10B¹, 20B², 4C⁰, 5E⁰, 2B⁰, 1A⁰</t>
        </is>
      </c>
      <c r="O718" t="inlineStr">
        <is>
          <t>20B¹⁷, 20A¹⁹, 40I²³, 20C²¹, 20C²², 40A²², 80A²⁴, 40I²¹, 20A²⁰, 40A¹³, 40D²⁴, 80H²², 40E¹¹, 40B²², 20F¹⁰, 20A¹⁰, 40E¹⁰, 40A¹², 20D¹⁹, 40J²², 40N²², 40B²⁰, 40E²², 20B¹⁰, 40G¹⁰, 80E²², 20B²¹, 40F²², 40C²², 40B²⁴, 40A²⁰, 40A²⁴, 80B²², 40G²³, 60D¹⁶, 40M²², 20B⁹, 40H²¹, 20B²⁰, 40E²³, 40G²², 20C⁸, 40F²³, 40F²¹, 20A²², 40C¹⁰, 40L²², 40J²³, 40C²⁴, 40H²³, 40C²³, 40D²³</t>
        </is>
      </c>
    </row>
    <row r="719">
      <c r="A719">
        <f>HYPERLINK("https://mathstats.uncg.edu/sites/pauli/congruence/csg4.html#group21A4", "21A⁴")</f>
        <v/>
      </c>
      <c r="B719" t="n">
        <v>4</v>
      </c>
      <c r="C719" t="inlineStr"/>
      <c r="D719" t="inlineStr">
        <is>
          <t>72</t>
        </is>
      </c>
      <c r="E719" t="inlineStr">
        <is>
          <t>1</t>
        </is>
      </c>
      <c r="F719" t="inlineStr">
        <is>
          <t>8</t>
        </is>
      </c>
      <c r="G719" t="inlineStr">
        <is>
          <t>0</t>
        </is>
      </c>
      <c r="H719" t="inlineStr">
        <is>
          <t>0</t>
        </is>
      </c>
      <c r="I719" t="inlineStr">
        <is>
          <t>3³, 21³</t>
        </is>
      </c>
      <c r="J719" t="n">
        <v>6</v>
      </c>
      <c r="K719" t="inlineStr">
        <is>
          <t>1², 6¹</t>
        </is>
      </c>
      <c r="L719" t="inlineStr">
        <is>
          <t>7E⁰, 21A¹, 21A²</t>
        </is>
      </c>
      <c r="M719" t="inlineStr">
        <is>
          <t>21B⁷, 42D¹⁰, 42H¹⁰, 42H¹³, 63A¹⁶, 84G²²</t>
        </is>
      </c>
      <c r="N719" t="inlineStr">
        <is>
          <t>7E⁰, 21A², 3A⁰, 1A⁰, 7B⁰, 21A¹</t>
        </is>
      </c>
      <c r="O719" t="inlineStr">
        <is>
          <t>42H¹³, 84E²², 42N¹⁹, 84B²², 42H¹⁰, 42O¹⁹, 42D¹⁰, 63A¹⁶, 21C¹³, 84G²², 21B⁷</t>
        </is>
      </c>
    </row>
    <row r="720">
      <c r="A720">
        <f>HYPERLINK("https://mathstats.uncg.edu/sites/pauli/congruence/csg4.html#group21B4", "21B⁴")</f>
        <v/>
      </c>
      <c r="B720" t="n">
        <v>4</v>
      </c>
      <c r="C720" t="inlineStr"/>
      <c r="D720" t="inlineStr">
        <is>
          <t>84</t>
        </is>
      </c>
      <c r="E720" t="inlineStr">
        <is>
          <t>2</t>
        </is>
      </c>
      <c r="F720" t="inlineStr">
        <is>
          <t>21</t>
        </is>
      </c>
      <c r="G720" t="inlineStr">
        <is>
          <t>8</t>
        </is>
      </c>
      <c r="H720" t="inlineStr">
        <is>
          <t>0</t>
        </is>
      </c>
      <c r="I720" t="inlineStr">
        <is>
          <t>21⁴</t>
        </is>
      </c>
      <c r="J720" t="n">
        <v>4</v>
      </c>
      <c r="K720" t="inlineStr">
        <is>
          <t>2¹, 4¹, 6², 12²</t>
        </is>
      </c>
      <c r="L720" t="inlineStr">
        <is>
          <t>21D¹, 21D²</t>
        </is>
      </c>
      <c r="M720" t="inlineStr">
        <is>
          <t>42C⁹, 21B¹¹, 42D¹³, 21A¹⁴, 63B¹⁴, 42C¹⁶, 63D¹⁶, 63E¹⁶, 21B¹⁷, 63C¹⁸, 63B¹⁸, 63F¹⁸, 63G¹⁸, 84C²³</t>
        </is>
      </c>
      <c r="N720" t="inlineStr">
        <is>
          <t>21A⁰, 3C⁰, 21D², 3A⁰, 1A⁰, 21D¹, 7A⁰</t>
        </is>
      </c>
      <c r="O720" t="inlineStr">
        <is>
          <t>63B¹⁴, 42D¹³, 21B¹¹, 21A¹⁴, 63B¹⁸, 63F¹⁸, 84A²³, 21B¹⁷, 42C⁹, 42C¹⁶, 63E¹⁶, 63C¹⁸, 84C²³, 63G¹⁸, 63D¹⁶</t>
        </is>
      </c>
    </row>
    <row r="721">
      <c r="A721">
        <f>HYPERLINK("https://mathstats.uncg.edu/sites/pauli/congruence/csg4.html#group21C4", "21C⁴")</f>
        <v/>
      </c>
      <c r="B721" t="n">
        <v>4</v>
      </c>
      <c r="C721" t="inlineStr"/>
      <c r="D721" t="inlineStr">
        <is>
          <t>96</t>
        </is>
      </c>
      <c r="E721" t="inlineStr">
        <is>
          <t>2</t>
        </is>
      </c>
      <c r="F721" t="inlineStr">
        <is>
          <t>32</t>
        </is>
      </c>
      <c r="G721" t="inlineStr">
        <is>
          <t>0</t>
        </is>
      </c>
      <c r="H721" t="inlineStr">
        <is>
          <t>3</t>
        </is>
      </c>
      <c r="I721" t="inlineStr">
        <is>
          <t>3⁴, 21⁴</t>
        </is>
      </c>
      <c r="J721" t="n">
        <v>8</v>
      </c>
      <c r="K721" t="inlineStr">
        <is>
          <t>2⁸, 12⁴</t>
        </is>
      </c>
      <c r="L721" t="inlineStr">
        <is>
          <t>21A¹, 21B¹</t>
        </is>
      </c>
      <c r="M721" t="inlineStr">
        <is>
          <t>21D⁷, 42J¹¹, 42K¹¹, 21C¹³, 63F¹⁶, 42J¹⁷, 63M¹⁹, 63N¹⁹</t>
        </is>
      </c>
      <c r="N721" t="inlineStr">
        <is>
          <t>3B⁰, 21B¹, 1A⁰, 7B⁰, 21A¹</t>
        </is>
      </c>
      <c r="O721" t="inlineStr">
        <is>
          <t>42J¹¹, 42J¹⁷, 21D⁷, 42J²¹, 63M¹⁹, 42K¹¹, 63N¹⁹, 21C¹³, 63F¹⁶</t>
        </is>
      </c>
    </row>
    <row r="722">
      <c r="A722">
        <f>HYPERLINK("https://mathstats.uncg.edu/sites/pauli/congruence/csg4.html#group21D4", "21D⁴")</f>
        <v/>
      </c>
      <c r="B722" t="n">
        <v>4</v>
      </c>
      <c r="C722" t="inlineStr"/>
      <c r="D722" t="inlineStr">
        <is>
          <t>126</t>
        </is>
      </c>
      <c r="E722" t="inlineStr">
        <is>
          <t>1</t>
        </is>
      </c>
      <c r="F722" t="inlineStr">
        <is>
          <t>63</t>
        </is>
      </c>
      <c r="G722" t="inlineStr">
        <is>
          <t>18</t>
        </is>
      </c>
      <c r="H722" t="inlineStr">
        <is>
          <t>0</t>
        </is>
      </c>
      <c r="I722" t="inlineStr">
        <is>
          <t>21⁶</t>
        </is>
      </c>
      <c r="J722" t="n">
        <v>6</v>
      </c>
      <c r="K722" t="inlineStr">
        <is>
          <t>3¹, 6⁴, 12³</t>
        </is>
      </c>
      <c r="L722" t="inlineStr">
        <is>
          <t>21E¹</t>
        </is>
      </c>
      <c r="M722" t="inlineStr">
        <is>
          <t>21D¹¹, 42L¹¹, 21A¹², 21B¹², 21C¹², 42B¹⁴, 42C¹⁴, 42D¹⁴, 21B¹⁵, 42E¹⁵, 42D¹⁹, 63D²¹, 42B²², 63B²⁴</t>
        </is>
      </c>
      <c r="N722" t="inlineStr">
        <is>
          <t>21A⁰, 1A⁰, 3A⁰, 21E¹, 7D⁰, 7A⁰</t>
        </is>
      </c>
      <c r="O722" t="inlineStr">
        <is>
          <t>63D²¹, 21C¹², 21B¹², 42E¹⁵, 42D¹⁹, 42B²², 21D¹¹, 21B¹⁵, 42L¹¹, 42C¹⁴, 63B²⁴, 21A¹², 42B¹⁴, 42D¹⁴</t>
        </is>
      </c>
    </row>
    <row r="723">
      <c r="A723">
        <f>HYPERLINK("https://mathstats.uncg.edu/sites/pauli/congruence/csg4.html#group21E4", "21E⁴")</f>
        <v/>
      </c>
      <c r="B723" t="n">
        <v>4</v>
      </c>
      <c r="C723" t="inlineStr"/>
      <c r="D723" t="inlineStr">
        <is>
          <t>126</t>
        </is>
      </c>
      <c r="E723" t="inlineStr">
        <is>
          <t>2</t>
        </is>
      </c>
      <c r="F723" t="inlineStr">
        <is>
          <t>7</t>
        </is>
      </c>
      <c r="G723" t="inlineStr">
        <is>
          <t>18</t>
        </is>
      </c>
      <c r="H723" t="inlineStr">
        <is>
          <t>0</t>
        </is>
      </c>
      <c r="I723" t="inlineStr">
        <is>
          <t>21⁶</t>
        </is>
      </c>
      <c r="J723" t="n">
        <v>6</v>
      </c>
      <c r="K723" t="inlineStr">
        <is>
          <t>2¹, 6²</t>
        </is>
      </c>
      <c r="L723" t="inlineStr">
        <is>
          <t>7G⁰, 21C¹, 21E¹, 21C²</t>
        </is>
      </c>
      <c r="M723" t="inlineStr">
        <is>
          <t>21D¹¹, 21A¹³, 21B¹³, 42I¹³, 42J¹³, 42F¹⁵, 42F¹⁹, 42C²², 63B²²</t>
        </is>
      </c>
      <c r="N723" t="inlineStr">
        <is>
          <t>7D⁰, 21E¹, 7C⁰, 21C¹, 21C², 21A⁰, 7G⁰, 3A⁰, 1A⁰, 7A⁰</t>
        </is>
      </c>
      <c r="O723" t="inlineStr">
        <is>
          <t>21A¹³, 42C²², 63B²², 42I¹³, 21D¹¹, 42F¹⁵, 42F¹⁹, 21B¹³, 42J¹³</t>
        </is>
      </c>
    </row>
    <row r="724">
      <c r="A724">
        <f>HYPERLINK("https://mathstats.uncg.edu/sites/pauli/congruence/csg4.html#group22A4", "22A⁴")</f>
        <v/>
      </c>
      <c r="B724" t="n">
        <v>4</v>
      </c>
      <c r="C724" t="inlineStr"/>
      <c r="D724" t="inlineStr">
        <is>
          <t>72</t>
        </is>
      </c>
      <c r="E724" t="inlineStr">
        <is>
          <t>1</t>
        </is>
      </c>
      <c r="F724" t="inlineStr">
        <is>
          <t>12</t>
        </is>
      </c>
      <c r="G724" t="inlineStr">
        <is>
          <t>0</t>
        </is>
      </c>
      <c r="H724" t="inlineStr">
        <is>
          <t>0</t>
        </is>
      </c>
      <c r="I724" t="inlineStr">
        <is>
          <t>2³, 22³</t>
        </is>
      </c>
      <c r="J724" t="n">
        <v>6</v>
      </c>
      <c r="K724" t="inlineStr">
        <is>
          <t>1², 10¹</t>
        </is>
      </c>
      <c r="L724" t="inlineStr">
        <is>
          <t>2C⁰, 22A², 22C²</t>
        </is>
      </c>
      <c r="M724" t="inlineStr">
        <is>
          <t>44A⁸, 44B⁹, 44B¹⁰, 22A¹⁶, 66B¹⁶, 66B¹⁹</t>
        </is>
      </c>
      <c r="N724" t="inlineStr">
        <is>
          <t>2A⁰, 11A¹, 22A², 2B⁰, 22C², 1A⁰, 2C⁰</t>
        </is>
      </c>
      <c r="O724" t="inlineStr">
        <is>
          <t>88B¹⁹, 88G¹⁹, 88C¹⁹, 88H¹⁹, 88C²¹, 44B⁹, 44D¹⁷, 44B¹⁰, 44A⁸, 22A¹⁶, 44B¹⁹, 44A¹⁹, 88D²¹, 66B¹⁶, 66B¹⁹</t>
        </is>
      </c>
    </row>
    <row r="725">
      <c r="A725">
        <f>HYPERLINK("https://mathstats.uncg.edu/sites/pauli/congruence/csg4.html#group22B4", "22B⁴")</f>
        <v/>
      </c>
      <c r="B725" t="n">
        <v>4</v>
      </c>
      <c r="C725" t="inlineStr"/>
      <c r="D725" t="inlineStr">
        <is>
          <t>110</t>
        </is>
      </c>
      <c r="E725" t="inlineStr">
        <is>
          <t>1</t>
        </is>
      </c>
      <c r="F725" t="inlineStr">
        <is>
          <t>55</t>
        </is>
      </c>
      <c r="G725" t="inlineStr">
        <is>
          <t>12</t>
        </is>
      </c>
      <c r="H725" t="inlineStr">
        <is>
          <t>2</t>
        </is>
      </c>
      <c r="I725" t="inlineStr">
        <is>
          <t>22⁵</t>
        </is>
      </c>
      <c r="J725" t="n">
        <v>5</v>
      </c>
      <c r="K725" t="inlineStr">
        <is>
          <t>5¹, 10⁵</t>
        </is>
      </c>
      <c r="L725" t="inlineStr">
        <is>
          <t>11C¹</t>
        </is>
      </c>
      <c r="M725" t="inlineStr">
        <is>
          <t>22B¹⁰, 22A¹³, 22C¹⁷, 66B¹⁷, 22B¹⁸, 22C¹⁸</t>
        </is>
      </c>
      <c r="N725" t="inlineStr">
        <is>
          <t>11C¹, 1A⁰</t>
        </is>
      </c>
      <c r="O725" t="inlineStr">
        <is>
          <t>22C¹⁸, 22B¹⁸, 66B¹⁷, 22C¹⁷, 22A¹³, 22B¹⁰</t>
        </is>
      </c>
    </row>
    <row r="726">
      <c r="A726">
        <f>HYPERLINK("https://mathstats.uncg.edu/sites/pauli/congruence/csg4.html#group24A4", "24A⁴")</f>
        <v/>
      </c>
      <c r="B726" t="n">
        <v>4</v>
      </c>
      <c r="C726" t="inlineStr"/>
      <c r="D726" t="inlineStr">
        <is>
          <t>48</t>
        </is>
      </c>
      <c r="E726" t="inlineStr">
        <is>
          <t>1</t>
        </is>
      </c>
      <c r="F726" t="inlineStr">
        <is>
          <t>4</t>
        </is>
      </c>
      <c r="G726" t="inlineStr">
        <is>
          <t>0</t>
        </is>
      </c>
      <c r="H726" t="inlineStr">
        <is>
          <t>0</t>
        </is>
      </c>
      <c r="I726" t="inlineStr">
        <is>
          <t>24²</t>
        </is>
      </c>
      <c r="J726" t="n">
        <v>2</v>
      </c>
      <c r="K726" t="inlineStr">
        <is>
          <t>2²</t>
        </is>
      </c>
      <c r="L726" t="inlineStr">
        <is>
          <t>8E⁰, 24A¹, 12A²</t>
        </is>
      </c>
      <c r="M726" t="inlineStr">
        <is>
          <t>24B⁷, 48A⁸, 48B⁸, 24A¹⁰, 72A¹², 24D¹³, 120A²⁰, 120B²³</t>
        </is>
      </c>
      <c r="N726" t="inlineStr">
        <is>
          <t>2A⁰, 12A⁰, 24A¹, 4A⁰, 4D⁰, 12A², 8A⁰, 8E⁰, 6A¹, 3A⁰, 1A⁰</t>
        </is>
      </c>
      <c r="O726" t="inlineStr">
        <is>
          <t>24A¹⁰, 48A⁸, 120A²⁰, 24B¹³, 72N²¹, 48B²², 24D¹³, 48B⁸, 72B²³, 144A²⁴, 120B²³, 48A²², 72H²³, 48A¹⁵, 48B¹⁵, 72C²³, 144C²⁴, 72A¹², 24C¹⁹, 24I¹⁹, 144B²⁴, 24D¹⁹, 24B⁷</t>
        </is>
      </c>
    </row>
    <row r="727">
      <c r="A727">
        <f>HYPERLINK("https://mathstats.uncg.edu/sites/pauli/congruence/csg4.html#group24B4", "24B⁴")</f>
        <v/>
      </c>
      <c r="B727" t="n">
        <v>4</v>
      </c>
      <c r="C727" t="inlineStr"/>
      <c r="D727" t="inlineStr">
        <is>
          <t>48</t>
        </is>
      </c>
      <c r="E727" t="inlineStr">
        <is>
          <t>1</t>
        </is>
      </c>
      <c r="F727" t="inlineStr">
        <is>
          <t>12</t>
        </is>
      </c>
      <c r="G727" t="inlineStr">
        <is>
          <t>0</t>
        </is>
      </c>
      <c r="H727" t="inlineStr">
        <is>
          <t>0</t>
        </is>
      </c>
      <c r="I727" t="inlineStr">
        <is>
          <t>24²</t>
        </is>
      </c>
      <c r="J727" t="n">
        <v>2</v>
      </c>
      <c r="K727" t="inlineStr">
        <is>
          <t>2², 4²</t>
        </is>
      </c>
      <c r="L727" t="inlineStr">
        <is>
          <t>24B¹, 12A²</t>
        </is>
      </c>
      <c r="M727" t="inlineStr">
        <is>
          <t>24A⁷, 24B⁷, 24B¹⁰, 72B¹², 72C¹², 24E¹³, 120B²⁰, 120F²³</t>
        </is>
      </c>
      <c r="N727" t="inlineStr">
        <is>
          <t>2A⁰, 12A⁰, 4A⁰, 4D⁰, 12A², 6A¹, 24B¹, 3A⁰, 1A⁰</t>
        </is>
      </c>
      <c r="O727" t="inlineStr">
        <is>
          <t>120B²⁰, 72A²³, 24B¹³, 72N²¹, 24E¹³, 24H¹⁹, 24S¹⁹, 24A⁷, 72B²³, 24B¹⁹, 72H²³, 48A¹⁵, 72G²³, 72M²¹, 48C¹⁵, 48B¹⁵, 72C²³, 120F²³, 24C¹⁹, 72D²³, 72B¹², 24B¹⁰, 24G¹⁹, 72C¹², 24B⁷</t>
        </is>
      </c>
    </row>
    <row r="728">
      <c r="A728">
        <f>HYPERLINK("https://mathstats.uncg.edu/sites/pauli/congruence/csg4.html#group24C4", "24C⁴")</f>
        <v/>
      </c>
      <c r="B728" t="n">
        <v>4</v>
      </c>
      <c r="C728" t="inlineStr"/>
      <c r="D728" t="inlineStr">
        <is>
          <t>64</t>
        </is>
      </c>
      <c r="E728" t="inlineStr">
        <is>
          <t>1</t>
        </is>
      </c>
      <c r="F728" t="inlineStr">
        <is>
          <t>64</t>
        </is>
      </c>
      <c r="G728" t="inlineStr">
        <is>
          <t>0</t>
        </is>
      </c>
      <c r="H728" t="inlineStr">
        <is>
          <t>1</t>
        </is>
      </c>
      <c r="I728" t="inlineStr">
        <is>
          <t>8², 24²</t>
        </is>
      </c>
      <c r="J728" t="n">
        <v>4</v>
      </c>
      <c r="K728" t="inlineStr">
        <is>
          <t>4⁸, 8⁴</t>
        </is>
      </c>
      <c r="L728" t="inlineStr">
        <is>
          <t>8F⁰, 12A¹</t>
        </is>
      </c>
      <c r="M728" t="inlineStr">
        <is>
          <t>24E⁷, 24F⁷, 24I¹¹, 24C¹³, 72E¹³, 72A¹⁴, 72E¹⁵, 48A¹⁸</t>
        </is>
      </c>
      <c r="N728" t="inlineStr">
        <is>
          <t>3B⁰, 8F⁰, 1A⁰, 4A⁰, 12A¹</t>
        </is>
      </c>
      <c r="O728" t="inlineStr">
        <is>
          <t>24I¹³, 72E¹³, 24I¹¹, 72E¹⁵, 48A¹⁷, 48A¹⁸, 24F⁷, 24H¹³, 24A²¹, 72A¹⁴, 72B²⁴, 24G¹³, 24A²⁴, 24C¹³, 24J²¹, 24E⁷</t>
        </is>
      </c>
    </row>
    <row r="729">
      <c r="A729">
        <f>HYPERLINK("https://mathstats.uncg.edu/sites/pauli/congruence/csg4.html#group24D4", "24D⁴")</f>
        <v/>
      </c>
      <c r="B729" t="n">
        <v>4</v>
      </c>
      <c r="C729" t="inlineStr"/>
      <c r="D729" t="inlineStr">
        <is>
          <t>72</t>
        </is>
      </c>
      <c r="E729" t="inlineStr">
        <is>
          <t>1</t>
        </is>
      </c>
      <c r="F729" t="inlineStr">
        <is>
          <t>3</t>
        </is>
      </c>
      <c r="G729" t="inlineStr">
        <is>
          <t>0</t>
        </is>
      </c>
      <c r="H729" t="inlineStr">
        <is>
          <t>0</t>
        </is>
      </c>
      <c r="I729" t="inlineStr">
        <is>
          <t>6⁴, 24²</t>
        </is>
      </c>
      <c r="J729" t="n">
        <v>6</v>
      </c>
      <c r="K729" t="inlineStr">
        <is>
          <t>1³</t>
        </is>
      </c>
      <c r="L729" t="inlineStr">
        <is>
          <t>8G⁰, 24C¹, 12B², 24B²</t>
        </is>
      </c>
      <c r="M729" t="inlineStr">
        <is>
          <t>24J⁷, 24B⁸, 24D⁸, 48C⁸, 48D⁸, 24C⁹, 24I⁹, 48A⁹, 48E⁹, 48A¹⁰, 48B¹⁰, 72A¹⁶</t>
        </is>
      </c>
      <c r="N729" t="inlineStr">
        <is>
          <t>2A⁰, 12C⁰, 8D⁰, 6C¹, 4C⁰, 12B², 2B⁰, 4E⁰, 8C⁰, 4B⁰, 1A⁰, 24B², 6A⁰, 8G⁰, 24C¹, 12B¹, 6A¹, 3A⁰, 2C⁰, 6D⁰</t>
        </is>
      </c>
      <c r="O729" t="inlineStr">
        <is>
          <t>48A¹⁰, 96A²¹, 96B²¹, 96A¹⁸, 48D¹⁷, 24J⁷, 72A¹⁶, 48L²¹, 48D¹⁸, 24F¹⁷, 24F¹⁹, 48A¹⁹, 48E¹⁷, 48P¹⁹, 24D¹⁹, 48AX¹⁹, 48AW¹⁹, 48J¹⁷, 48BP¹⁷, 48E¹⁵, 24P¹⁷, 24D¹⁵, 96A²², 96A¹⁹, 48F²¹, 48H¹⁷, 48E⁹, 48G¹⁹, 48F¹⁵, 24D⁸, 24B¹⁷, 96C¹⁸, 24A¹⁹, 48K¹⁷, 24B⁸, 96E²¹, 24H¹⁷, 48I¹⁹, 48H¹⁹, 48L¹⁹, 24J¹⁷, 48I¹⁸, 24K¹³, 48B¹⁰, 24E¹⁵, 24S¹⁷, 48M¹⁹, 48A⁹, 48O¹⁹, 48F¹⁹, 48B¹⁹, 96C²², 24I⁹, 48E¹⁹, 48D⁸, 96E¹⁹, 48E²¹, 48C⁸, 48D¹⁹, 48C¹⁹, 24G¹⁹, 48Q²¹, 24C⁹, 96B¹⁹, 48N¹⁹, 48I¹⁷, 96H¹⁹, 96H²¹</t>
        </is>
      </c>
    </row>
    <row r="730">
      <c r="A730">
        <f>HYPERLINK("https://mathstats.uncg.edu/sites/pauli/congruence/csg4.html#group24E4", "24E⁴")</f>
        <v/>
      </c>
      <c r="B730" t="n">
        <v>4</v>
      </c>
      <c r="C730" t="inlineStr"/>
      <c r="D730" t="inlineStr">
        <is>
          <t>72</t>
        </is>
      </c>
      <c r="E730" t="inlineStr">
        <is>
          <t>1</t>
        </is>
      </c>
      <c r="F730" t="inlineStr">
        <is>
          <t>9</t>
        </is>
      </c>
      <c r="G730" t="inlineStr">
        <is>
          <t>0</t>
        </is>
      </c>
      <c r="H730" t="inlineStr">
        <is>
          <t>0</t>
        </is>
      </c>
      <c r="I730" t="inlineStr">
        <is>
          <t>6⁴, 24²</t>
        </is>
      </c>
      <c r="J730" t="n">
        <v>6</v>
      </c>
      <c r="K730" t="inlineStr">
        <is>
          <t>1³, 2³</t>
        </is>
      </c>
      <c r="L730" t="inlineStr">
        <is>
          <t>24E¹, 12B², 24D²</t>
        </is>
      </c>
      <c r="M730" t="inlineStr">
        <is>
          <t>24I⁷, 24J⁷, 24G⁸, 24H⁸, 24F⁹, 24H⁹, 24Z⁹, 72B¹⁶, 72I¹⁶</t>
        </is>
      </c>
      <c r="N730" t="inlineStr">
        <is>
          <t>2A⁰, 24E¹, 12C⁰, 6C¹, 4C⁰, 12B², 2B⁰, 4E⁰, 4B⁰, 1A⁰, 6A⁰, 24D², 12B¹, 6A¹, 3A⁰, 2C⁰, 6D⁰</t>
        </is>
      </c>
      <c r="O730" t="inlineStr">
        <is>
          <t>24F⁹, 48BQ²¹, 72I¹⁶, 72B¹⁶, 24J⁷, 24I¹⁷, 48R²¹, 24AJ¹⁷, 24F¹⁹, 48U¹⁷, 48E¹⁵, 24H⁸, 24E¹⁹, 24D¹⁵, 48AN²¹, 24I⁷, 24I¹⁹, 24W¹⁷, 48K¹⁵, 24H⁹, 24U¹⁷, 48F¹⁵, 48K¹⁹, 48K¹⁷, 24G¹⁷, 24Q¹⁷, 24H¹⁷, 24J¹⁷, 24H¹⁹, 24S¹⁹, 24K¹³, 24G⁸, 48N²¹, 24I¹⁵, 48F¹⁹, 24R¹⁷, 48E¹⁹, 24Z⁹, 24E¹⁵, 48AG²¹, 48E¹⁷</t>
        </is>
      </c>
    </row>
    <row r="731">
      <c r="A731">
        <f>HYPERLINK("https://mathstats.uncg.edu/sites/pauli/congruence/csg4.html#group24F4", "24F⁴")</f>
        <v/>
      </c>
      <c r="B731" t="n">
        <v>4</v>
      </c>
      <c r="C731" t="inlineStr"/>
      <c r="D731" t="inlineStr">
        <is>
          <t>72</t>
        </is>
      </c>
      <c r="E731" t="inlineStr">
        <is>
          <t>1</t>
        </is>
      </c>
      <c r="F731" t="inlineStr">
        <is>
          <t>12</t>
        </is>
      </c>
      <c r="G731" t="inlineStr">
        <is>
          <t>0</t>
        </is>
      </c>
      <c r="H731" t="inlineStr">
        <is>
          <t>0</t>
        </is>
      </c>
      <c r="I731" t="inlineStr">
        <is>
          <t>3², 6¹, 12¹, 24²</t>
        </is>
      </c>
      <c r="J731" t="n">
        <v>6</v>
      </c>
      <c r="K731" t="inlineStr">
        <is>
          <t>1⁴, 2², 4¹</t>
        </is>
      </c>
      <c r="L731" t="inlineStr">
        <is>
          <t>8I⁰, 24B²</t>
        </is>
      </c>
      <c r="M731" t="inlineStr">
        <is>
          <t>24U⁷, 24B⁸, 24F⁸, 48E⁸, 48I⁸, 48B⁹, 48O⁹, 72E¹⁶</t>
        </is>
      </c>
      <c r="N731" t="inlineStr">
        <is>
          <t>24B², 4B⁰, 8C⁰, 12B¹, 8I⁰, 2B⁰, 3A⁰, 1A⁰, 6D⁰</t>
        </is>
      </c>
      <c r="O731" t="inlineStr">
        <is>
          <t>96D²¹, 48I⁸, 48AD¹⁷, 48B⁹, 48Q¹⁵, 48AP¹⁹, 48D¹⁷, 48C¹⁸, 24H¹⁵, 72E¹⁶, 96R²¹, 48BT¹⁷, 48AA¹⁷, 48Q¹⁹, 96A¹⁷, 96Z¹⁹, 48AC¹⁷, 48H¹⁸, 96B¹⁸, 48E⁸, 96P¹⁹, 48H¹⁷, 24U⁷, 96C¹⁹, 24B¹⁷, 24N¹³, 96K¹⁹, 24B⁸, 96C²¹, 96K¹⁷, 48I¹⁸, 96D¹⁸, 96Q²¹, 24S¹⁷, 48M¹⁹, 48AB¹⁷, 24F⁸, 48O⁹, 48C¹⁹, 24E¹⁵, 48P¹⁵, 48D¹⁸</t>
        </is>
      </c>
    </row>
    <row r="732">
      <c r="A732">
        <f>HYPERLINK("https://mathstats.uncg.edu/sites/pauli/congruence/csg4.html#group24G4", "24G⁴")</f>
        <v/>
      </c>
      <c r="B732" t="n">
        <v>4</v>
      </c>
      <c r="C732" t="inlineStr"/>
      <c r="D732" t="inlineStr">
        <is>
          <t>72</t>
        </is>
      </c>
      <c r="E732" t="inlineStr">
        <is>
          <t>1</t>
        </is>
      </c>
      <c r="F732" t="inlineStr">
        <is>
          <t>12</t>
        </is>
      </c>
      <c r="G732" t="inlineStr">
        <is>
          <t>0</t>
        </is>
      </c>
      <c r="H732" t="inlineStr">
        <is>
          <t>0</t>
        </is>
      </c>
      <c r="I732" t="inlineStr">
        <is>
          <t>6², 12³, 24¹</t>
        </is>
      </c>
      <c r="J732" t="n">
        <v>6</v>
      </c>
      <c r="K732" t="inlineStr">
        <is>
          <t>1⁸, 2²</t>
        </is>
      </c>
      <c r="L732" t="inlineStr">
        <is>
          <t>8J⁰, 12B²</t>
        </is>
      </c>
      <c r="M732" t="inlineStr">
        <is>
          <t>24W⁷, 24A⁸, 24B⁸, 24H⁸, 24J⁸, 24D⁹, 24U⁹, 72G¹⁶</t>
        </is>
      </c>
      <c r="N732" t="inlineStr">
        <is>
          <t>2A⁰, 12C⁰, 6C¹, 4C⁰, 12B², 2B⁰, 4E⁰, 4B⁰, 1A⁰, 6A⁰, 12B¹, 6A¹, 3A⁰, 8J⁰, 2C⁰, 6D⁰</t>
        </is>
      </c>
      <c r="O732" t="inlineStr">
        <is>
          <t>72G¹⁶, 48I²¹, 48D¹⁷, 48R¹⁹, 24AJ¹⁷, 48AH²¹, 24Z¹⁷, 24D¹⁹, 24H⁸, 24B¹⁵, 24J⁸, 48J²¹, 48AR¹⁹, 48H¹⁷, 24W¹⁷, 24U¹⁷, 24V¹⁷, 24B¹⁷, 24A⁸, 24B⁸, 48B¹⁸, 48I¹⁸, 24H¹⁹, 24P¹³, 24W⁷, 24S¹⁷, 48AL²¹, 24D⁹, 48M¹⁹, 24J¹⁵, 24I¹⁵, 24U⁹, 48C¹⁹, 24E¹⁵, 48G¹⁸, 48D¹⁸</t>
        </is>
      </c>
    </row>
    <row r="733">
      <c r="A733">
        <f>HYPERLINK("https://mathstats.uncg.edu/sites/pauli/congruence/csg4.html#group24H4", "24H⁴")</f>
        <v/>
      </c>
      <c r="B733" t="n">
        <v>4</v>
      </c>
      <c r="C733" t="inlineStr"/>
      <c r="D733" t="inlineStr">
        <is>
          <t>72</t>
        </is>
      </c>
      <c r="E733" t="inlineStr">
        <is>
          <t>1</t>
        </is>
      </c>
      <c r="F733" t="inlineStr">
        <is>
          <t>12</t>
        </is>
      </c>
      <c r="G733" t="inlineStr">
        <is>
          <t>6</t>
        </is>
      </c>
      <c r="H733" t="inlineStr">
        <is>
          <t>0</t>
        </is>
      </c>
      <c r="I733" t="inlineStr">
        <is>
          <t>24³</t>
        </is>
      </c>
      <c r="J733" t="n">
        <v>3</v>
      </c>
      <c r="K733" t="inlineStr">
        <is>
          <t>2², 4²</t>
        </is>
      </c>
      <c r="L733" t="inlineStr">
        <is>
          <t>8D¹, 12J¹, 24A¹</t>
        </is>
      </c>
      <c r="M733" t="inlineStr">
        <is>
          <t>24K⁷, 24L⁸, 24N⁸, 24X⁹, 24Y⁹, 24A¹⁰, 24C¹⁰, 48F¹⁰, 48G¹⁰, 72L¹⁵</t>
        </is>
      </c>
      <c r="N733" t="inlineStr">
        <is>
          <t>12A⁰, 24A¹, 12C⁰, 4A⁰, 4C⁰, 8A⁰, 12J¹, 2B⁰, 4F⁰, 3A⁰, 1A⁰, 8D¹, 6D⁰</t>
        </is>
      </c>
      <c r="O733" t="inlineStr">
        <is>
          <t>24A¹⁰, 24C¹⁰, 48AU¹⁹, 24P¹⁹, 48I²⁰, 48BX²¹, 48AQ²¹, 24A¹⁶, 48G²⁰, 48BO²¹, 48F¹⁰, 48B²⁰, 48BL²¹, 48S¹⁹, 48D²², 48L¹⁸, 24AB¹⁷, 48A²², 48BP²¹, 72L¹⁵, 24N⁸, 24P¹⁵, 48C²², 24Y⁹, 24I¹⁹, 48A²⁰, 48BO¹⁷, 24K⁷, 48E¹⁸, 48BN¹⁷, 48T¹⁹, 48AM¹⁷, 48H²⁰, 48H¹⁵, 48B²², 24N¹⁹, 48T²¹, 24AK¹⁷, 48BW²¹, 24J¹⁹, 48C²⁰, 48AV¹⁹, 48G¹⁰, 48S¹⁷, 24AF¹⁷, 24C¹⁶, 24L⁸, 24C¹⁹, 24X⁹, 24AE¹⁷, 48T¹⁷, 48AB¹⁹, 24Q¹⁹, 48BY²¹, 48D²⁰, 24D¹⁹</t>
        </is>
      </c>
    </row>
    <row r="734">
      <c r="A734">
        <f>HYPERLINK("https://mathstats.uncg.edu/sites/pauli/congruence/csg4.html#group24I4", "24I⁴")</f>
        <v/>
      </c>
      <c r="B734" t="n">
        <v>4</v>
      </c>
      <c r="C734" t="inlineStr"/>
      <c r="D734" t="inlineStr">
        <is>
          <t>72</t>
        </is>
      </c>
      <c r="E734" t="inlineStr">
        <is>
          <t>1</t>
        </is>
      </c>
      <c r="F734" t="inlineStr">
        <is>
          <t>18</t>
        </is>
      </c>
      <c r="G734" t="inlineStr">
        <is>
          <t>0</t>
        </is>
      </c>
      <c r="H734" t="inlineStr">
        <is>
          <t>0</t>
        </is>
      </c>
      <c r="I734" t="inlineStr">
        <is>
          <t>6⁴, 24²</t>
        </is>
      </c>
      <c r="J734" t="n">
        <v>6</v>
      </c>
      <c r="K734" t="inlineStr">
        <is>
          <t>2⁷, 4¹</t>
        </is>
      </c>
      <c r="L734" t="inlineStr">
        <is>
          <t>12D², 24D²</t>
        </is>
      </c>
      <c r="M734" t="inlineStr">
        <is>
          <t>24I⁷, 24N⁷, 48E¹⁰, 72C¹⁶, 72J¹⁶</t>
        </is>
      </c>
      <c r="N734" t="inlineStr">
        <is>
          <t>6B⁰, 12C¹, 4B⁰, 12D², 24D², 12B¹, 2B⁰, 6H⁰, 3A⁰, 1A⁰, 6D⁰</t>
        </is>
      </c>
      <c r="O734" t="inlineStr">
        <is>
          <t>48V¹⁷, 48K¹⁵, 48K¹⁹, 24N⁷, 24X¹⁷, 24G¹⁷, 24H¹⁵, 24I¹⁷, 24K¹³, 48G¹⁷, 72J¹⁶, 48F¹⁷, 48AA¹⁹, 48U¹⁷, 24G¹⁵, 24I¹⁵, 72C¹⁶, 48R¹⁵, 24I⁷, 48E¹⁰</t>
        </is>
      </c>
    </row>
    <row r="735">
      <c r="A735">
        <f>HYPERLINK("https://mathstats.uncg.edu/sites/pauli/congruence/csg4.html#group24J4", "24J⁴")</f>
        <v/>
      </c>
      <c r="B735" t="n">
        <v>4</v>
      </c>
      <c r="C735" t="inlineStr"/>
      <c r="D735" t="inlineStr">
        <is>
          <t>72</t>
        </is>
      </c>
      <c r="E735" t="inlineStr">
        <is>
          <t>1</t>
        </is>
      </c>
      <c r="F735" t="inlineStr">
        <is>
          <t>18</t>
        </is>
      </c>
      <c r="G735" t="inlineStr">
        <is>
          <t>0</t>
        </is>
      </c>
      <c r="H735" t="inlineStr">
        <is>
          <t>0</t>
        </is>
      </c>
      <c r="I735" t="inlineStr">
        <is>
          <t>6⁴, 24²</t>
        </is>
      </c>
      <c r="J735" t="n">
        <v>6</v>
      </c>
      <c r="K735" t="inlineStr">
        <is>
          <t>1⁴, 2⁵, 4¹</t>
        </is>
      </c>
      <c r="L735" t="inlineStr">
        <is>
          <t>12D², 24B², 24D²</t>
        </is>
      </c>
      <c r="M735" t="inlineStr">
        <is>
          <t>24J⁷, 24N⁷, 24E⁸, 24F⁸, 48L⁸, 48M⁸, 48F⁹, 48G⁹, 48AA⁹, 72D¹⁶, 72K¹⁶</t>
        </is>
      </c>
      <c r="N735" t="inlineStr">
        <is>
          <t>24B², 6B⁰, 12C¹, 4B⁰, 12D², 24D², 12B¹, 2B⁰, 8C⁰, 6H⁰, 3A⁰, 1A⁰, 6D⁰</t>
        </is>
      </c>
      <c r="O735" t="inlineStr">
        <is>
          <t>48V¹⁷, 96K²¹, 48W¹⁷, 48AD¹⁷, 96G¹⁹, 24X¹⁷, 24J⁷, 24H¹⁵, 48G¹⁷, 48BT¹⁷, 96I¹⁹, 48AA¹⁹, 96T²¹, 48AC¹⁷, 24G¹⁵, 96O²¹, 48L⁸, 96AQ²¹, 96L²¹, 72K¹⁶, 48E¹⁵, 24D¹⁵, 48M⁸, 24E⁸, 48G⁹, 48F⁹, 96S¹⁹, 48F¹⁵, 48K¹⁷, 24N⁷, 24H¹⁷, 24J¹⁷, 24K¹³, 96AW¹⁹, 48F¹⁷, 48AA⁹, 48X¹⁷, 48BS¹⁷, 48F¹⁹, 96O¹⁹, 48E¹⁹, 24F⁸, 48R¹⁵, 24E¹⁵, 72D¹⁶, 48E¹⁷</t>
        </is>
      </c>
    </row>
    <row r="736">
      <c r="A736">
        <f>HYPERLINK("https://mathstats.uncg.edu/sites/pauli/congruence/csg4.html#group24K4", "24K⁴")</f>
        <v/>
      </c>
      <c r="B736" t="n">
        <v>4</v>
      </c>
      <c r="C736" t="inlineStr"/>
      <c r="D736" t="inlineStr">
        <is>
          <t>72</t>
        </is>
      </c>
      <c r="E736" t="inlineStr">
        <is>
          <t>1</t>
        </is>
      </c>
      <c r="F736" t="inlineStr">
        <is>
          <t>18</t>
        </is>
      </c>
      <c r="G736" t="inlineStr">
        <is>
          <t>4</t>
        </is>
      </c>
      <c r="H736" t="inlineStr">
        <is>
          <t>0</t>
        </is>
      </c>
      <c r="I736" t="inlineStr">
        <is>
          <t>12², 24²</t>
        </is>
      </c>
      <c r="J736" t="n">
        <v>4</v>
      </c>
      <c r="K736" t="inlineStr">
        <is>
          <t>1², 2⁴, 4²</t>
        </is>
      </c>
      <c r="L736" t="inlineStr">
        <is>
          <t>12J¹, 24E¹, 24C²</t>
        </is>
      </c>
      <c r="M736" t="inlineStr">
        <is>
          <t>24R⁷, 24AE⁷, 24H⁹, 24P⁹, 24Q⁹, 24W⁹, 24X⁹, 24AA⁹, 72D¹⁴, 72L¹⁶</t>
        </is>
      </c>
      <c r="N736" t="inlineStr">
        <is>
          <t>24E¹, 12A⁰, 12C⁰, 4A⁰, 4C⁰, 12J¹, 2B⁰, 24C², 4F⁰, 3A⁰, 1A⁰, 6D⁰</t>
        </is>
      </c>
      <c r="O736" t="inlineStr">
        <is>
          <t>48BX²¹, 24P¹⁹, 48AY²¹, 48Y¹⁹, 24R¹³, 48BO²¹, 48AK¹⁷, 72D¹⁴, 24F¹⁹, 24Q⁹, 48AF²¹, 48BM¹⁹, 24R⁷, 48BP²¹, 48AT¹⁹, 24AE⁷, 48AE¹⁷, 24O¹⁹, 24E¹⁹, 24D¹⁷, 24I¹⁹, 48AS¹⁹, 48AM¹⁹, 24AA⁹, 24AH¹⁷, 48U¹⁹, 48Q¹⁷, 24AD¹⁷, 24P⁹, 24AG¹⁷, 24W¹⁷, 48BL¹⁹, 24H⁹, 48AD²¹, 24G¹⁷, 48AL¹⁹, 24N¹⁵, 24J¹⁷, 24W⁹, 72L¹⁶, 24H¹⁹, 24S¹⁹, 48AT²¹, 24N¹⁷, 48P¹⁷, 48AL¹⁷, 24AK¹⁷, 24N¹⁹, 48CI¹⁷, 24AF¹⁷, 48AF¹⁷, 24R¹⁷, 24AL¹⁷, 24X⁹, 24L¹⁹, 24M¹⁵</t>
        </is>
      </c>
    </row>
    <row r="737">
      <c r="A737">
        <f>HYPERLINK("https://mathstats.uncg.edu/sites/pauli/congruence/csg4.html#group24L4", "24L⁴")</f>
        <v/>
      </c>
      <c r="B737" t="n">
        <v>4</v>
      </c>
      <c r="C737" t="inlineStr"/>
      <c r="D737" t="inlineStr">
        <is>
          <t>72</t>
        </is>
      </c>
      <c r="E737" t="inlineStr">
        <is>
          <t>1</t>
        </is>
      </c>
      <c r="F737" t="inlineStr">
        <is>
          <t>18</t>
        </is>
      </c>
      <c r="G737" t="inlineStr">
        <is>
          <t>4</t>
        </is>
      </c>
      <c r="H737" t="inlineStr">
        <is>
          <t>0</t>
        </is>
      </c>
      <c r="I737" t="inlineStr">
        <is>
          <t>12², 24²</t>
        </is>
      </c>
      <c r="J737" t="n">
        <v>4</v>
      </c>
      <c r="K737" t="inlineStr">
        <is>
          <t>1², 2⁴, 4²</t>
        </is>
      </c>
      <c r="L737" t="inlineStr">
        <is>
          <t>12M¹, 24C¹, 24C²</t>
        </is>
      </c>
      <c r="M737" t="inlineStr">
        <is>
          <t>24R⁷, 24AD⁷, 24I⁹, 24O⁹, 24Q⁹, 48T⁹, 48U⁹, 48AD⁹, 72E¹⁴, 72M¹⁶</t>
        </is>
      </c>
      <c r="N737" t="inlineStr">
        <is>
          <t>12C⁰, 8D⁰, 4C⁰, 24C¹, 12M¹, 2B⁰, 24C², 3A⁰, 1A⁰, 6D⁰</t>
        </is>
      </c>
      <c r="O737" t="inlineStr">
        <is>
          <t>48AD⁹, 24P¹⁹, 96AC²¹, 72M¹⁶, 48AY²¹, 48Y¹⁹, 24R¹³, 96AD²¹, 48AK¹⁷, 96AB¹⁹, 24O⁹, 24Q⁹, 48P¹⁹, 48AF²¹, 48AW¹⁹, 24R⁷, 48AE¹⁷, 24D¹⁷, 24P¹⁷, 72E¹⁴, 48AM¹⁹, 24AH¹⁷, 48U¹⁹, 48Q¹⁷, 24AD¹⁷, 24AD⁷, 24AG¹⁷, 48T⁹, 48AD²¹, 48X¹⁹, 24AM¹⁷, 48AL¹⁹, 48U⁹, 24H¹⁷, 24N¹⁵, 24J¹⁷, 48AL¹⁷, 48P¹⁷, 48I¹⁹, 48L¹⁹, 24N¹⁷, 48AT²¹, 24S¹⁷, 48W¹⁹, 24AF¹⁷, 48BV¹⁷, 48AF¹⁷, 96AW²¹, 48BN¹⁹, 24I⁹, 96AA¹⁹, 48BU¹⁷, 96AZ¹⁹, 24L¹⁹, 48H¹⁹, 24M¹⁵</t>
        </is>
      </c>
    </row>
    <row r="738">
      <c r="A738">
        <f>HYPERLINK("https://mathstats.uncg.edu/sites/pauli/congruence/csg4.html#group24M4", "24M⁴")</f>
        <v/>
      </c>
      <c r="B738" t="n">
        <v>4</v>
      </c>
      <c r="C738" t="inlineStr"/>
      <c r="D738" t="inlineStr">
        <is>
          <t>72</t>
        </is>
      </c>
      <c r="E738" t="inlineStr">
        <is>
          <t>1</t>
        </is>
      </c>
      <c r="F738" t="inlineStr">
        <is>
          <t>36</t>
        </is>
      </c>
      <c r="G738" t="inlineStr">
        <is>
          <t>0</t>
        </is>
      </c>
      <c r="H738" t="inlineStr">
        <is>
          <t>0</t>
        </is>
      </c>
      <c r="I738" t="inlineStr">
        <is>
          <t>3², 6¹, 12¹, 24²</t>
        </is>
      </c>
      <c r="J738" t="n">
        <v>6</v>
      </c>
      <c r="K738" t="inlineStr">
        <is>
          <t>1⁴, 2⁶, 4³, 8¹</t>
        </is>
      </c>
      <c r="L738" t="inlineStr">
        <is>
          <t>24B²</t>
        </is>
      </c>
      <c r="M738" t="inlineStr">
        <is>
          <t>24T⁷, 24U⁷, 24D⁸, 24E⁸, 24F⁸, 48J⁸, 48K⁸, 48Y⁸, 48P⁹, 48Q⁹, 48AC⁹, 72F¹⁶, 72P¹⁶</t>
        </is>
      </c>
      <c r="N738" t="inlineStr">
        <is>
          <t>24B², 4B⁰, 8C⁰, 12B¹, 2B⁰, 3A⁰, 1A⁰, 6D⁰</t>
        </is>
      </c>
      <c r="O738" t="inlineStr">
        <is>
          <t>96X²¹, 48W¹⁷, 48AD¹⁷, 24T⁷, 72P¹⁶, 48Q⁹, 48Q¹⁵, 48Z¹⁷, 96Q¹⁹, 24H¹⁵, 96U²¹, 48Y¹⁷, 72F¹⁶, 96AS²¹, 48BT¹⁷, 48AA¹⁷, 24F¹⁷, 48AC⁹, 48AC¹⁷, 48AX¹⁹, 96W²¹, 48J¹⁷, 48BP¹⁷, 96L¹⁷, 24P¹⁷, 24D¹⁵, 24E⁸, 96M¹⁷, 48J⁸, 24U⁷, 24D⁸, 24N¹³, 96AX¹⁹, 48K⁸, 48Y⁸, 24S¹⁷, 96R¹⁹, 96V²¹, 48O¹⁹, 96AR²¹, 48AB¹⁷, 48P⁹, 48BS¹⁷, 48X¹⁷, 48N¹⁵, 24F⁸, 96AC¹⁷, 48O¹⁵, 24E¹⁵, 48P¹⁵, 48N¹⁹, 48I¹⁷</t>
        </is>
      </c>
    </row>
    <row r="739">
      <c r="A739">
        <f>HYPERLINK("https://mathstats.uncg.edu/sites/pauli/congruence/csg4.html#group24N4", "24N⁴")</f>
        <v/>
      </c>
      <c r="B739" t="n">
        <v>4</v>
      </c>
      <c r="C739" t="inlineStr"/>
      <c r="D739" t="inlineStr">
        <is>
          <t>72</t>
        </is>
      </c>
      <c r="E739" t="inlineStr">
        <is>
          <t>1</t>
        </is>
      </c>
      <c r="F739" t="inlineStr">
        <is>
          <t>36</t>
        </is>
      </c>
      <c r="G739" t="inlineStr">
        <is>
          <t>0</t>
        </is>
      </c>
      <c r="H739" t="inlineStr">
        <is>
          <t>0</t>
        </is>
      </c>
      <c r="I739" t="inlineStr">
        <is>
          <t>6², 12³, 24¹</t>
        </is>
      </c>
      <c r="J739" t="n">
        <v>6</v>
      </c>
      <c r="K739" t="inlineStr">
        <is>
          <t>1⁸, 2¹⁰, 4²</t>
        </is>
      </c>
      <c r="L739" t="inlineStr">
        <is>
          <t>12B²</t>
        </is>
      </c>
      <c r="M739" t="inlineStr">
        <is>
          <t>24V⁷, 24W⁷, 24C⁸, 24D⁸, 24G⁸, 24H⁸, 24I⁸, 24J⁸, 24S⁹, 24T⁹, 24U⁹, 72H¹⁶, 72Q¹⁶</t>
        </is>
      </c>
      <c r="N739" t="inlineStr">
        <is>
          <t>2A⁰, 12C⁰, 6A⁰, 3A⁰, 6C¹, 4C⁰, 12B², 12B¹, 4E⁰, 2B⁰, 6A¹, 4B⁰, 1A⁰, 2C⁰, 6D⁰</t>
        </is>
      </c>
      <c r="O739" t="inlineStr">
        <is>
          <t>24AJ¹⁷, 24F¹⁷, 24I⁸, 24Z¹⁷, 48AX¹⁹, 48J¹⁷, 48BP¹⁷, 24H⁸, 24B¹⁵, 72H¹⁶, 24J⁸, 24D¹⁵, 24P¹⁷, 24I¹⁹, 48AI²¹, 48BR²¹, 24A¹⁵, 48BS²¹, 24W¹⁷, 24U¹⁷, 24V¹⁷, 24D⁸, 72Q¹⁶, 48AK²¹, 24V⁷, 24S⁹, 24Q¹⁷, 24P¹³, 24S¹⁹, 24W⁷, 24S¹⁷, 24J¹⁵, 24G⁸, 48O¹⁹, 24I¹⁵, 24C⁸, 24U⁹, 48AJ²¹, 24R¹⁷, 24T¹⁷, 24T⁹, 48AM²¹, 24G¹⁹, 24E¹⁵, 48N¹⁹, 48I¹⁷</t>
        </is>
      </c>
    </row>
    <row r="740">
      <c r="A740">
        <f>HYPERLINK("https://mathstats.uncg.edu/sites/pauli/congruence/csg4.html#group24O4", "24O⁴")</f>
        <v/>
      </c>
      <c r="B740" t="n">
        <v>4</v>
      </c>
      <c r="C740" t="inlineStr"/>
      <c r="D740" t="inlineStr">
        <is>
          <t>72</t>
        </is>
      </c>
      <c r="E740" t="inlineStr">
        <is>
          <t>1</t>
        </is>
      </c>
      <c r="F740" t="inlineStr">
        <is>
          <t>36</t>
        </is>
      </c>
      <c r="G740" t="inlineStr">
        <is>
          <t>6</t>
        </is>
      </c>
      <c r="H740" t="inlineStr">
        <is>
          <t>0</t>
        </is>
      </c>
      <c r="I740" t="inlineStr">
        <is>
          <t>24³</t>
        </is>
      </c>
      <c r="J740" t="n">
        <v>3</v>
      </c>
      <c r="K740" t="inlineStr">
        <is>
          <t>2², 4⁴, 8²</t>
        </is>
      </c>
      <c r="L740" t="inlineStr">
        <is>
          <t>12J¹, 24B¹</t>
        </is>
      </c>
      <c r="M740" t="inlineStr">
        <is>
          <t>24AB⁷, 24K⁸, 24M⁸, 24N⁸, 24P⁸, 24V⁹, 24W⁹, 24Y⁹, 24AA⁹, 24B¹⁰, 24E¹⁰, 72M¹⁵, 72X¹⁵</t>
        </is>
      </c>
      <c r="N740" t="inlineStr">
        <is>
          <t>12A⁰, 12C⁰, 4A⁰, 4C⁰, 12J¹, 24B¹, 2B⁰, 4F⁰, 3A⁰, 1A⁰, 6D⁰</t>
        </is>
      </c>
      <c r="O740" t="inlineStr">
        <is>
          <t>48I²⁰, 48K¹⁸, 24P¹⁹, 24E¹⁶, 24B¹⁶, 48G²⁰, 24M¹⁹, 24M⁸, 24B¹⁹, 48AN¹⁷, 24AB¹⁷, 48S¹⁸, 48AT¹⁹, 24N⁸, 24P¹⁵, 48BN²¹, 24Y⁹, 24O¹⁹, 24D¹⁶, 24AA⁹, 24AB⁷, 24B¹⁰, 48BV²¹, 48AS¹⁹, 24AC¹⁷, 48AC¹⁹, 24AD¹⁷, 48O¹⁸, 48BL¹⁹, 24E¹⁰, 48BW¹⁷, 72X¹⁵, 48E²⁰, 24H¹⁹, 24W⁹, 24N¹⁹, 24P⁸, 24AK¹⁷, 48BW²¹, 24J¹⁹, 24S¹⁹, 24O¹⁵, 24AF¹⁷, 24K⁸, 24AL¹⁷, 24C¹⁹, 24V⁹, 24AE¹⁷, 72M¹⁵, 48J¹⁸, 48AY¹⁹, 24Q¹⁹, 24G¹⁹, 48BY²¹, 48N¹⁸, 48AR²¹, 48BM²¹, 24L¹⁹, 48R¹⁸, 48F²⁰, 48W¹⁵</t>
        </is>
      </c>
    </row>
    <row r="741">
      <c r="A741">
        <f>HYPERLINK("https://mathstats.uncg.edu/sites/pauli/congruence/csg4.html#group24P4", "24P⁴")</f>
        <v/>
      </c>
      <c r="B741" t="n">
        <v>4</v>
      </c>
      <c r="C741" t="inlineStr"/>
      <c r="D741" t="inlineStr">
        <is>
          <t>72</t>
        </is>
      </c>
      <c r="E741" t="inlineStr">
        <is>
          <t>2</t>
        </is>
      </c>
      <c r="F741" t="inlineStr">
        <is>
          <t>18</t>
        </is>
      </c>
      <c r="G741" t="inlineStr">
        <is>
          <t>4</t>
        </is>
      </c>
      <c r="H741" t="inlineStr">
        <is>
          <t>0</t>
        </is>
      </c>
      <c r="I741" t="inlineStr">
        <is>
          <t>12², 24²</t>
        </is>
      </c>
      <c r="J741" t="n">
        <v>4</v>
      </c>
      <c r="K741" t="inlineStr">
        <is>
          <t>2⁶, 4⁶</t>
        </is>
      </c>
      <c r="L741" t="inlineStr">
        <is>
          <t>12M¹, 24E¹, 24C²</t>
        </is>
      </c>
      <c r="M741" t="inlineStr">
        <is>
          <t>24O⁷, 24AE⁷, 24AD⁷, 24M⁹, 24P⁹, 24O⁹, 24Z⁹, 72H¹⁴, 72N¹⁶, 72O¹⁶</t>
        </is>
      </c>
      <c r="N741" t="inlineStr">
        <is>
          <t>24E¹, 12C⁰, 4C⁰, 12M¹, 2B⁰, 24C², 3A⁰, 1A⁰, 6D⁰</t>
        </is>
      </c>
      <c r="O741" t="inlineStr">
        <is>
          <t>48O¹⁷, 48N¹⁷, 24R¹³, 24M⁹, 72H¹⁴, 24I¹⁷, 24AJ¹⁷, 48AQ¹⁹, 24O⁹, 48BM¹⁹, 24R¹⁹, 24AE⁷, 72O¹⁶, 24O¹⁹, 24D¹⁷, 24U¹⁵, 24P⁹, 24AD⁷, 48AC²¹, 24O⁷, 48X¹⁹, 24AM¹⁷, 24G¹⁷, 24H¹⁷, 48BK²¹, 48BB¹⁹, 24N¹⁹, 24AK¹⁷, 24N¹⁷, 72N¹⁶, 48AB²¹, 48W¹⁹, 48CI¹⁷, 48BV¹⁷, 48BN¹⁹, 24AL¹⁷, 24Z⁹, 48BU¹⁷, 48BJ²¹</t>
        </is>
      </c>
    </row>
    <row r="742">
      <c r="A742">
        <f>HYPERLINK("https://mathstats.uncg.edu/sites/pauli/congruence/csg4.html#group24Q4", "24Q⁴")</f>
        <v/>
      </c>
      <c r="B742" t="n">
        <v>4</v>
      </c>
      <c r="C742" t="inlineStr"/>
      <c r="D742" t="inlineStr">
        <is>
          <t>72</t>
        </is>
      </c>
      <c r="E742" t="inlineStr">
        <is>
          <t>2</t>
        </is>
      </c>
      <c r="F742" t="inlineStr">
        <is>
          <t>36</t>
        </is>
      </c>
      <c r="G742" t="inlineStr">
        <is>
          <t>4</t>
        </is>
      </c>
      <c r="H742" t="inlineStr">
        <is>
          <t>0</t>
        </is>
      </c>
      <c r="I742" t="inlineStr">
        <is>
          <t>12², 24²</t>
        </is>
      </c>
      <c r="J742" t="n">
        <v>4</v>
      </c>
      <c r="K742" t="inlineStr">
        <is>
          <t>4¹⁸</t>
        </is>
      </c>
      <c r="L742" t="inlineStr">
        <is>
          <t>12N¹</t>
        </is>
      </c>
      <c r="M742" t="inlineStr">
        <is>
          <t>24S⁷, 24K⁹, 24L⁹, 72K¹⁴, 72R¹⁶, 72S¹⁶</t>
        </is>
      </c>
      <c r="N742" t="inlineStr">
        <is>
          <t>6B⁰, 12C¹, 6H⁰, 2B⁰, 12D⁰, 12N¹, 3A⁰, 1A⁰, 6D⁰</t>
        </is>
      </c>
      <c r="O742" t="inlineStr">
        <is>
          <t>24S¹³, 72R¹⁶, 72K¹⁴, 72S¹⁶, 24K¹⁵, 24X¹⁷, 24K⁹, 24Y¹⁷, 24L⁹, 24L¹⁵, 24A¹⁷, 24O¹⁷, 24S⁷</t>
        </is>
      </c>
    </row>
    <row r="743">
      <c r="A743">
        <f>HYPERLINK("https://mathstats.uncg.edu/sites/pauli/congruence/csg4.html#group24R4", "24R⁴")</f>
        <v/>
      </c>
      <c r="B743" t="n">
        <v>4</v>
      </c>
      <c r="C743" t="inlineStr"/>
      <c r="D743" t="inlineStr">
        <is>
          <t>96</t>
        </is>
      </c>
      <c r="E743" t="inlineStr">
        <is>
          <t>1</t>
        </is>
      </c>
      <c r="F743" t="inlineStr">
        <is>
          <t>48</t>
        </is>
      </c>
      <c r="G743" t="inlineStr">
        <is>
          <t>0</t>
        </is>
      </c>
      <c r="H743" t="inlineStr">
        <is>
          <t>0</t>
        </is>
      </c>
      <c r="I743" t="inlineStr">
        <is>
          <t>4⁴, 8¹, 12⁴, 24¹</t>
        </is>
      </c>
      <c r="J743" t="n">
        <v>10</v>
      </c>
      <c r="K743" t="inlineStr">
        <is>
          <t>2⁴, 4⁶, 8²</t>
        </is>
      </c>
      <c r="L743" t="inlineStr">
        <is>
          <t>8K⁰, 12G²</t>
        </is>
      </c>
      <c r="M743" t="inlineStr">
        <is>
          <t>24AG⁷, 48H¹⁰, 48I¹⁰, 24F¹¹, 24G¹¹, 24C¹⁵, 72Y¹⁵, 72A²⁰, 72B²⁰</t>
        </is>
      </c>
      <c r="N743" t="inlineStr">
        <is>
          <t>3B⁰, 12F¹, 4C⁰, 2B⁰, 1A⁰, 8K⁰, 4A⁰, 12A¹, 12G², 4F⁰, 6F⁰</t>
        </is>
      </c>
      <c r="O743" t="inlineStr">
        <is>
          <t>24AT¹⁷, 72A²⁰, 48BO¹⁹, 24E²¹, 24AG⁷, 48D²³, 24AB¹³, 48C²³, 72B²⁰, 72Y¹⁵, 24C¹⁵, 24F¹¹, 24J²¹, 48B²³, 24AO¹⁷, 48I¹⁰, 48H¹⁰, 48BP¹⁹, 24G¹¹, 48A²³, 24G²¹, 24I²¹</t>
        </is>
      </c>
    </row>
    <row r="744">
      <c r="A744">
        <f>HYPERLINK("https://mathstats.uncg.edu/sites/pauli/congruence/csg4.html#group24S4", "24S⁴")</f>
        <v/>
      </c>
      <c r="B744" t="n">
        <v>4</v>
      </c>
      <c r="C744" t="inlineStr"/>
      <c r="D744" t="inlineStr">
        <is>
          <t>96</t>
        </is>
      </c>
      <c r="E744" t="inlineStr">
        <is>
          <t>2</t>
        </is>
      </c>
      <c r="F744" t="inlineStr">
        <is>
          <t>16</t>
        </is>
      </c>
      <c r="G744" t="inlineStr">
        <is>
          <t>12</t>
        </is>
      </c>
      <c r="H744" t="inlineStr">
        <is>
          <t>0</t>
        </is>
      </c>
      <c r="I744" t="inlineStr">
        <is>
          <t>24⁴</t>
        </is>
      </c>
      <c r="J744" t="n">
        <v>4</v>
      </c>
      <c r="K744" t="inlineStr">
        <is>
          <t>4⁸</t>
        </is>
      </c>
      <c r="L744" t="inlineStr">
        <is>
          <t>8M⁰, 24A¹, 24F¹</t>
        </is>
      </c>
      <c r="M744" t="inlineStr">
        <is>
          <t>24AO⁹, 24M¹¹, 48A¹², 48B¹², 24D¹³, 24A¹⁶, 72A¹⁸, 48E²³</t>
        </is>
      </c>
      <c r="N744" t="inlineStr">
        <is>
          <t>24F¹, 8F⁰, 24A¹, 12A⁰, 3A⁰, 4A⁰, 8A⁰, 8M⁰, 1A⁰</t>
        </is>
      </c>
      <c r="O744" t="inlineStr">
        <is>
          <t>48B¹², 48E²³, 24AO⁹, 48A¹², 72A¹⁸, 24M²¹, 24A¹⁶, 24D¹³, 24M¹¹</t>
        </is>
      </c>
    </row>
    <row r="745">
      <c r="A745">
        <f>HYPERLINK("https://mathstats.uncg.edu/sites/pauli/congruence/csg4.html#group24T4", "24T⁴")</f>
        <v/>
      </c>
      <c r="B745" t="n">
        <v>4</v>
      </c>
      <c r="C745" t="inlineStr"/>
      <c r="D745" t="inlineStr">
        <is>
          <t>96</t>
        </is>
      </c>
      <c r="E745" t="inlineStr">
        <is>
          <t>2</t>
        </is>
      </c>
      <c r="F745" t="inlineStr">
        <is>
          <t>48</t>
        </is>
      </c>
      <c r="G745" t="inlineStr">
        <is>
          <t>12</t>
        </is>
      </c>
      <c r="H745" t="inlineStr">
        <is>
          <t>0</t>
        </is>
      </c>
      <c r="I745" t="inlineStr">
        <is>
          <t>24⁴</t>
        </is>
      </c>
      <c r="J745" t="n">
        <v>4</v>
      </c>
      <c r="K745" t="inlineStr">
        <is>
          <t>4⁸, 8⁸</t>
        </is>
      </c>
      <c r="L745" t="inlineStr">
        <is>
          <t>24B¹, 24F¹</t>
        </is>
      </c>
      <c r="M745" t="inlineStr">
        <is>
          <t>24AM⁹, 24AN⁹, 24AO⁹, 24L¹¹, 24M¹¹, 24E¹³, 24D¹⁶, 72B¹⁸, 72C¹⁸, 72D¹⁸, 48F²³</t>
        </is>
      </c>
      <c r="N745" t="inlineStr">
        <is>
          <t>24F¹, 24B¹, 12A⁰, 8F⁰, 3A⁰, 1A⁰, 4A⁰</t>
        </is>
      </c>
      <c r="O745" t="inlineStr">
        <is>
          <t>24AM⁹, 24L¹¹, 24AO⁹, 72D¹⁸, 24M²¹, 72C¹⁸, 24AN⁹, 24D¹⁶, 24E¹³, 24M¹¹, 48F²³, 72B¹⁸</t>
        </is>
      </c>
    </row>
    <row r="746">
      <c r="A746">
        <f>HYPERLINK("https://mathstats.uncg.edu/sites/pauli/congruence/csg4.html#group25A4", "25A⁴")</f>
        <v/>
      </c>
      <c r="B746" t="n">
        <v>4</v>
      </c>
      <c r="C746" t="inlineStr"/>
      <c r="D746" t="inlineStr">
        <is>
          <t>60</t>
        </is>
      </c>
      <c r="E746" t="inlineStr">
        <is>
          <t>1</t>
        </is>
      </c>
      <c r="F746" t="inlineStr">
        <is>
          <t>6</t>
        </is>
      </c>
      <c r="G746" t="inlineStr">
        <is>
          <t>0</t>
        </is>
      </c>
      <c r="H746" t="inlineStr">
        <is>
          <t>0</t>
        </is>
      </c>
      <c r="I746" t="inlineStr">
        <is>
          <t>5², 25²</t>
        </is>
      </c>
      <c r="J746" t="n">
        <v>4</v>
      </c>
      <c r="K746" t="inlineStr">
        <is>
          <t>2², 4²</t>
        </is>
      </c>
      <c r="L746" t="inlineStr">
        <is>
          <t>5D⁰, 25A²</t>
        </is>
      </c>
      <c r="M746" t="inlineStr">
        <is>
          <t>50A⁹, 50A¹², 75A¹⁴, 25A¹⁶, 25B¹⁶, 75A¹⁷, 100E¹⁹</t>
        </is>
      </c>
      <c r="N746" t="inlineStr">
        <is>
          <t>5B⁰, 5D⁰, 25A², 1A⁰</t>
        </is>
      </c>
      <c r="O746" t="inlineStr">
        <is>
          <t>50A⁹, 100E¹⁹, 75A¹⁴, 25B¹⁶, 50A¹², 75A¹⁷, 25A¹⁶, 100A¹⁹</t>
        </is>
      </c>
    </row>
    <row r="747">
      <c r="A747">
        <f>HYPERLINK("https://mathstats.uncg.edu/sites/pauli/congruence/csg4.html#group25B4", "25B⁴")</f>
        <v/>
      </c>
      <c r="B747" t="n">
        <v>4</v>
      </c>
      <c r="C747" t="inlineStr"/>
      <c r="D747" t="inlineStr">
        <is>
          <t>60</t>
        </is>
      </c>
      <c r="E747" t="inlineStr">
        <is>
          <t>1</t>
        </is>
      </c>
      <c r="F747" t="inlineStr">
        <is>
          <t>6</t>
        </is>
      </c>
      <c r="G747" t="inlineStr">
        <is>
          <t>0</t>
        </is>
      </c>
      <c r="H747" t="inlineStr">
        <is>
          <t>0</t>
        </is>
      </c>
      <c r="I747" t="inlineStr">
        <is>
          <t>5², 25²</t>
        </is>
      </c>
      <c r="J747" t="n">
        <v>4</v>
      </c>
      <c r="K747" t="inlineStr">
        <is>
          <t>2², 4²</t>
        </is>
      </c>
      <c r="L747" t="inlineStr">
        <is>
          <t>5D⁰, 25B²</t>
        </is>
      </c>
      <c r="M747" t="inlineStr">
        <is>
          <t>50B⁹, 50B¹², 75B¹⁴, 25A¹⁶, 25C¹⁶, 75B¹⁷, 100F¹⁹</t>
        </is>
      </c>
      <c r="N747" t="inlineStr">
        <is>
          <t>5B⁰, 5D⁰, 1A⁰, 25B²</t>
        </is>
      </c>
      <c r="O747" t="inlineStr">
        <is>
          <t>50B¹², 100F¹⁹, 50B⁹, 25C¹⁶, 75B¹⁴, 100B¹⁹, 75B¹⁷, 25A¹⁶</t>
        </is>
      </c>
    </row>
    <row r="748">
      <c r="A748">
        <f>HYPERLINK("https://mathstats.uncg.edu/sites/pauli/congruence/csg4.html#group25C4", "25C⁴")</f>
        <v/>
      </c>
      <c r="B748" t="n">
        <v>4</v>
      </c>
      <c r="C748" t="inlineStr"/>
      <c r="D748" t="inlineStr">
        <is>
          <t>60</t>
        </is>
      </c>
      <c r="E748" t="inlineStr">
        <is>
          <t>1</t>
        </is>
      </c>
      <c r="F748" t="inlineStr">
        <is>
          <t>6</t>
        </is>
      </c>
      <c r="G748" t="inlineStr">
        <is>
          <t>0</t>
        </is>
      </c>
      <c r="H748" t="inlineStr">
        <is>
          <t>0</t>
        </is>
      </c>
      <c r="I748" t="inlineStr">
        <is>
          <t>5², 25²</t>
        </is>
      </c>
      <c r="J748" t="n">
        <v>4</v>
      </c>
      <c r="K748" t="inlineStr">
        <is>
          <t>2², 4²</t>
        </is>
      </c>
      <c r="L748" t="inlineStr">
        <is>
          <t>5D⁰, 25C²</t>
        </is>
      </c>
      <c r="M748" t="inlineStr">
        <is>
          <t>50C⁹, 50C¹², 75C¹⁴, 25A¹⁶, 25D¹⁶, 75C¹⁷, 100G¹⁹</t>
        </is>
      </c>
      <c r="N748" t="inlineStr">
        <is>
          <t>5B⁰, 5D⁰, 1A⁰, 25C²</t>
        </is>
      </c>
      <c r="O748" t="inlineStr">
        <is>
          <t>75C¹⁴, 50C¹², 50C⁹, 100G¹⁹, 75C¹⁷, 100C¹⁹, 25D¹⁶, 25A¹⁶</t>
        </is>
      </c>
    </row>
    <row r="749">
      <c r="A749">
        <f>HYPERLINK("https://mathstats.uncg.edu/sites/pauli/congruence/csg4.html#group25D4", "25D⁴")</f>
        <v/>
      </c>
      <c r="B749" t="n">
        <v>4</v>
      </c>
      <c r="C749" t="inlineStr"/>
      <c r="D749" t="inlineStr">
        <is>
          <t>60</t>
        </is>
      </c>
      <c r="E749" t="inlineStr">
        <is>
          <t>1</t>
        </is>
      </c>
      <c r="F749" t="inlineStr">
        <is>
          <t>6</t>
        </is>
      </c>
      <c r="G749" t="inlineStr">
        <is>
          <t>0</t>
        </is>
      </c>
      <c r="H749" t="inlineStr">
        <is>
          <t>0</t>
        </is>
      </c>
      <c r="I749" t="inlineStr">
        <is>
          <t>5², 25²</t>
        </is>
      </c>
      <c r="J749" t="n">
        <v>4</v>
      </c>
      <c r="K749" t="inlineStr">
        <is>
          <t>2², 4²</t>
        </is>
      </c>
      <c r="L749" t="inlineStr">
        <is>
          <t>5D⁰, 25D²</t>
        </is>
      </c>
      <c r="M749" t="inlineStr">
        <is>
          <t>50D⁹, 50D¹², 75D¹⁴, 25A¹⁶, 25E¹⁶, 75D¹⁷, 100H¹⁹</t>
        </is>
      </c>
      <c r="N749" t="inlineStr">
        <is>
          <t>5B⁰, 5D⁰, 1A⁰, 25D²</t>
        </is>
      </c>
      <c r="O749" t="inlineStr">
        <is>
          <t>25E¹⁶, 100D¹⁹, 100H¹⁹, 50D⁹, 50D¹², 75D¹⁴, 75D¹⁷, 25A¹⁶</t>
        </is>
      </c>
    </row>
    <row r="750">
      <c r="A750">
        <f>HYPERLINK("https://mathstats.uncg.edu/sites/pauli/congruence/csg4.html#group25E4", "25E⁴")</f>
        <v/>
      </c>
      <c r="B750" t="n">
        <v>4</v>
      </c>
      <c r="C750" t="inlineStr"/>
      <c r="D750" t="inlineStr">
        <is>
          <t>100</t>
        </is>
      </c>
      <c r="E750" t="inlineStr">
        <is>
          <t>1</t>
        </is>
      </c>
      <c r="F750" t="inlineStr">
        <is>
          <t>10</t>
        </is>
      </c>
      <c r="G750" t="inlineStr">
        <is>
          <t>0</t>
        </is>
      </c>
      <c r="H750" t="inlineStr">
        <is>
          <t>10</t>
        </is>
      </c>
      <c r="I750" t="inlineStr">
        <is>
          <t>25⁴</t>
        </is>
      </c>
      <c r="J750" t="n">
        <v>4</v>
      </c>
      <c r="K750" t="inlineStr">
        <is>
          <t>2¹, 4²</t>
        </is>
      </c>
      <c r="L750" t="inlineStr">
        <is>
          <t>5F⁰, 25E²</t>
        </is>
      </c>
      <c r="M750" t="inlineStr">
        <is>
          <t>50F⁹, 75A¹⁹, 25A²⁰, 50A²², 75A²⁴</t>
        </is>
      </c>
      <c r="N750" t="inlineStr">
        <is>
          <t>5F⁰, 5A⁰, 1A⁰, 5C⁰, 25E²</t>
        </is>
      </c>
      <c r="O750" t="inlineStr">
        <is>
          <t>100R¹⁹, 50F⁹, 50A²², 25A²⁰, 75A¹⁹, 75A²⁴</t>
        </is>
      </c>
    </row>
    <row r="751">
      <c r="A751">
        <f>HYPERLINK("https://mathstats.uncg.edu/sites/pauli/congruence/csg4.html#group25F4", "25F⁴")</f>
        <v/>
      </c>
      <c r="B751" t="n">
        <v>4</v>
      </c>
      <c r="C751" t="inlineStr"/>
      <c r="D751" t="inlineStr">
        <is>
          <t>150</t>
        </is>
      </c>
      <c r="E751" t="inlineStr">
        <is>
          <t>1</t>
        </is>
      </c>
      <c r="F751" t="inlineStr">
        <is>
          <t>15</t>
        </is>
      </c>
      <c r="G751" t="inlineStr">
        <is>
          <t>10</t>
        </is>
      </c>
      <c r="H751" t="inlineStr">
        <is>
          <t>0</t>
        </is>
      </c>
      <c r="I751" t="inlineStr">
        <is>
          <t>5¹⁰, 25⁴</t>
        </is>
      </c>
      <c r="J751" t="n">
        <v>14</v>
      </c>
      <c r="K751" t="inlineStr">
        <is>
          <t>1¹, 2¹, 4³</t>
        </is>
      </c>
      <c r="L751" t="inlineStr">
        <is>
          <t>5G⁰, 25F²</t>
        </is>
      </c>
      <c r="M751" t="inlineStr">
        <is>
          <t>25A¹², 50A¹⁴, 50A¹⁹, 50D²², 75B²⁴</t>
        </is>
      </c>
      <c r="N751" t="inlineStr">
        <is>
          <t>25F², 5A⁰, 5C⁰, 5B⁰, 5E⁰, 1A⁰, 5G⁰</t>
        </is>
      </c>
      <c r="O751" t="inlineStr">
        <is>
          <t>50A¹⁴, 50A¹⁹, 50D²², 75B²⁴, 25A¹²</t>
        </is>
      </c>
    </row>
    <row r="752">
      <c r="A752">
        <f>HYPERLINK("https://mathstats.uncg.edu/sites/pauli/congruence/csg4.html#group25G4", "25G⁴")</f>
        <v/>
      </c>
      <c r="B752" t="n">
        <v>4</v>
      </c>
      <c r="C752" t="inlineStr"/>
      <c r="D752" t="inlineStr">
        <is>
          <t>150</t>
        </is>
      </c>
      <c r="E752" t="inlineStr">
        <is>
          <t>1</t>
        </is>
      </c>
      <c r="F752" t="inlineStr">
        <is>
          <t>30</t>
        </is>
      </c>
      <c r="G752" t="inlineStr">
        <is>
          <t>10</t>
        </is>
      </c>
      <c r="H752" t="inlineStr">
        <is>
          <t>0</t>
        </is>
      </c>
      <c r="I752" t="inlineStr">
        <is>
          <t>1⁵, 5⁴, 25⁵</t>
        </is>
      </c>
      <c r="J752" t="n">
        <v>14</v>
      </c>
      <c r="K752" t="inlineStr">
        <is>
          <t>1², 4², 20¹</t>
        </is>
      </c>
      <c r="L752" t="inlineStr">
        <is>
          <t>25A⁰</t>
        </is>
      </c>
      <c r="M752" t="inlineStr">
        <is>
          <t>25B¹², 50B¹⁴, 50B¹⁹, 50E²², 75C²⁴</t>
        </is>
      </c>
      <c r="N752" t="inlineStr">
        <is>
          <t>25A⁰, 5B⁰, 1A⁰</t>
        </is>
      </c>
      <c r="O752" t="inlineStr">
        <is>
          <t>25B¹², 50E²², 75C²⁴, 50B¹⁴, 50B¹⁹</t>
        </is>
      </c>
    </row>
    <row r="753">
      <c r="A753">
        <f>HYPERLINK("https://mathstats.uncg.edu/sites/pauli/congruence/csg4.html#group26A4", "26A⁴")</f>
        <v/>
      </c>
      <c r="B753" t="n">
        <v>4</v>
      </c>
      <c r="C753" t="inlineStr"/>
      <c r="D753" t="inlineStr">
        <is>
          <t>84</t>
        </is>
      </c>
      <c r="E753" t="inlineStr">
        <is>
          <t>1</t>
        </is>
      </c>
      <c r="F753" t="inlineStr">
        <is>
          <t>42</t>
        </is>
      </c>
      <c r="G753" t="inlineStr">
        <is>
          <t>0</t>
        </is>
      </c>
      <c r="H753" t="inlineStr">
        <is>
          <t>0</t>
        </is>
      </c>
      <c r="I753" t="inlineStr">
        <is>
          <t>1², 2², 13², 26²</t>
        </is>
      </c>
      <c r="J753" t="n">
        <v>8</v>
      </c>
      <c r="K753" t="inlineStr">
        <is>
          <t>1⁶, 12³</t>
        </is>
      </c>
      <c r="L753" t="inlineStr">
        <is>
          <t>13B⁰, 26A²</t>
        </is>
      </c>
      <c r="M753" t="inlineStr">
        <is>
          <t>26B⁹, 52A⁹, 26D¹⁰, 52A¹¹, 78A¹⁸, 78C¹⁸, 78C²¹</t>
        </is>
      </c>
      <c r="N753" t="inlineStr">
        <is>
          <t>13A⁰, 2B⁰, 13B⁰, 1A⁰, 26A²</t>
        </is>
      </c>
      <c r="O753" t="inlineStr">
        <is>
          <t>52B¹⁹, 104D²³, 52B²³, 26D¹⁰, 78A¹⁸, 26B⁹, 104A¹⁹, 52G²³, 52A⁹, 52C²¹, 52A¹⁹, 78C¹⁸, 104A²³, 78C²¹, 104B²¹, 52A¹¹</t>
        </is>
      </c>
    </row>
    <row r="754">
      <c r="A754">
        <f>HYPERLINK("https://mathstats.uncg.edu/sites/pauli/congruence/csg4.html#group26B4", "26B⁴")</f>
        <v/>
      </c>
      <c r="B754" t="n">
        <v>4</v>
      </c>
      <c r="C754" t="inlineStr"/>
      <c r="D754" t="inlineStr">
        <is>
          <t>84</t>
        </is>
      </c>
      <c r="E754" t="inlineStr">
        <is>
          <t>1</t>
        </is>
      </c>
      <c r="F754" t="inlineStr">
        <is>
          <t>42</t>
        </is>
      </c>
      <c r="G754" t="inlineStr">
        <is>
          <t>4</t>
        </is>
      </c>
      <c r="H754" t="inlineStr">
        <is>
          <t>0</t>
        </is>
      </c>
      <c r="I754" t="inlineStr">
        <is>
          <t>2³, 26³</t>
        </is>
      </c>
      <c r="J754" t="n">
        <v>6</v>
      </c>
      <c r="K754" t="inlineStr">
        <is>
          <t>1⁶, 12³</t>
        </is>
      </c>
      <c r="L754" t="inlineStr">
        <is>
          <t>26A⁰, 26A²</t>
        </is>
      </c>
      <c r="M754" t="inlineStr">
        <is>
          <t>26B⁹, 52B⁹, 52E⁹, 26E¹⁰, 52B¹¹, 52G¹¹, 78B¹⁶, 78E¹⁶, 78F²³</t>
        </is>
      </c>
      <c r="N754" t="inlineStr">
        <is>
          <t>13A⁰, 2B⁰, 26A⁰, 1A⁰, 26A²</t>
        </is>
      </c>
      <c r="O754" t="inlineStr">
        <is>
          <t>26E¹⁰, 78B¹⁶, 78E¹⁶, 52B¹¹, 104A²¹, 104J²³, 104E²³, 52A¹⁹, 52C¹⁹, 52E⁹, 52F²¹, 78F²³, 52D²¹, 104D²¹, 52B⁹, 104C²¹, 52B²³, 26B⁹, 52G¹¹, 52C²¹, 52H²³</t>
        </is>
      </c>
    </row>
    <row r="755">
      <c r="A755">
        <f>HYPERLINK("https://mathstats.uncg.edu/sites/pauli/congruence/csg4.html#group26C4", "26C⁴")</f>
        <v/>
      </c>
      <c r="B755" t="n">
        <v>4</v>
      </c>
      <c r="C755" t="inlineStr"/>
      <c r="D755" t="inlineStr">
        <is>
          <t>126</t>
        </is>
      </c>
      <c r="E755" t="inlineStr">
        <is>
          <t>1</t>
        </is>
      </c>
      <c r="F755" t="inlineStr">
        <is>
          <t>42</t>
        </is>
      </c>
      <c r="G755" t="inlineStr">
        <is>
          <t>6</t>
        </is>
      </c>
      <c r="H755" t="inlineStr">
        <is>
          <t>0</t>
        </is>
      </c>
      <c r="I755" t="inlineStr">
        <is>
          <t>1³, 2³, 13³, 26³</t>
        </is>
      </c>
      <c r="J755" t="n">
        <v>12</v>
      </c>
      <c r="K755" t="inlineStr">
        <is>
          <t>1⁶, 12³</t>
        </is>
      </c>
      <c r="L755" t="inlineStr">
        <is>
          <t>13C⁰, 26A²</t>
        </is>
      </c>
      <c r="M755" t="inlineStr">
        <is>
          <t>26D¹⁰, 26E¹⁰, 52A¹⁰, 26B¹³, 52B¹³, 52C¹³, 52A¹⁶, 78A²²</t>
        </is>
      </c>
      <c r="N755" t="inlineStr">
        <is>
          <t>13A⁰, 13C⁰, 2B⁰, 1A⁰, 26A²</t>
        </is>
      </c>
      <c r="O755" t="inlineStr">
        <is>
          <t>26E¹⁰, 78A²², 52A¹⁰, 26D¹⁰, 26B¹³, 52C¹³, 52A¹⁶, 52B¹³</t>
        </is>
      </c>
    </row>
    <row r="756">
      <c r="A756">
        <f>HYPERLINK("https://mathstats.uncg.edu/sites/pauli/congruence/csg4.html#group27A4", "27A⁴")</f>
        <v/>
      </c>
      <c r="B756" t="n">
        <v>4</v>
      </c>
      <c r="C756" t="inlineStr"/>
      <c r="D756" t="inlineStr">
        <is>
          <t>108</t>
        </is>
      </c>
      <c r="E756" t="inlineStr">
        <is>
          <t>1</t>
        </is>
      </c>
      <c r="F756" t="inlineStr">
        <is>
          <t>12</t>
        </is>
      </c>
      <c r="G756" t="inlineStr">
        <is>
          <t>0</t>
        </is>
      </c>
      <c r="H756" t="inlineStr">
        <is>
          <t>0</t>
        </is>
      </c>
      <c r="I756" t="inlineStr">
        <is>
          <t>3⁹, 27³</t>
        </is>
      </c>
      <c r="J756" t="n">
        <v>12</v>
      </c>
      <c r="K756" t="inlineStr">
        <is>
          <t>1², 2², 6¹</t>
        </is>
      </c>
      <c r="L756" t="inlineStr">
        <is>
          <t>9I⁰, 27A⁰, 27A²</t>
        </is>
      </c>
      <c r="M756" t="inlineStr">
        <is>
          <t>27B¹⁰, 54C¹³, 27C¹⁶, 54R¹⁶, 81B¹⁶, 81D²²</t>
        </is>
      </c>
      <c r="N756" t="inlineStr">
        <is>
          <t>9I⁰, 27A⁰, 3B⁰, 9B⁰, 27A², 1A⁰</t>
        </is>
      </c>
      <c r="O756" t="inlineStr">
        <is>
          <t>27B¹⁰, 54C¹³, 81D²², 54R¹⁶, 81B¹⁶, 27C¹⁶</t>
        </is>
      </c>
    </row>
    <row r="757">
      <c r="A757">
        <f>HYPERLINK("https://mathstats.uncg.edu/sites/pauli/congruence/csg4.html#group27B4", "27B⁴")</f>
        <v/>
      </c>
      <c r="B757" t="n">
        <v>4</v>
      </c>
      <c r="C757" t="inlineStr"/>
      <c r="D757" t="inlineStr">
        <is>
          <t>108</t>
        </is>
      </c>
      <c r="E757" t="inlineStr">
        <is>
          <t>1</t>
        </is>
      </c>
      <c r="F757" t="inlineStr">
        <is>
          <t>12</t>
        </is>
      </c>
      <c r="G757" t="inlineStr">
        <is>
          <t>0</t>
        </is>
      </c>
      <c r="H757" t="inlineStr">
        <is>
          <t>0</t>
        </is>
      </c>
      <c r="I757" t="inlineStr">
        <is>
          <t>3⁹, 27³</t>
        </is>
      </c>
      <c r="J757" t="n">
        <v>12</v>
      </c>
      <c r="K757" t="inlineStr">
        <is>
          <t>1², 2², 6¹</t>
        </is>
      </c>
      <c r="L757" t="inlineStr">
        <is>
          <t>9I⁰, 27A¹, 27A²</t>
        </is>
      </c>
      <c r="M757" t="inlineStr">
        <is>
          <t>27B¹⁰, 54D¹³, 27D¹⁶, 54S¹⁶, 81E¹⁹, 81B²²</t>
        </is>
      </c>
      <c r="N757" t="inlineStr">
        <is>
          <t>9I⁰, 3B⁰, 9B⁰, 27A¹, 27A², 1A⁰</t>
        </is>
      </c>
      <c r="O757" t="inlineStr">
        <is>
          <t>27B¹⁰, 81B²², 27D¹⁶, 54D¹³, 54S¹⁶, 81E¹⁹</t>
        </is>
      </c>
    </row>
    <row r="758">
      <c r="A758">
        <f>HYPERLINK("https://mathstats.uncg.edu/sites/pauli/congruence/csg4.html#group27C4", "27C⁴")</f>
        <v/>
      </c>
      <c r="B758" t="n">
        <v>4</v>
      </c>
      <c r="C758" t="inlineStr"/>
      <c r="D758" t="inlineStr">
        <is>
          <t>108</t>
        </is>
      </c>
      <c r="E758" t="inlineStr">
        <is>
          <t>1</t>
        </is>
      </c>
      <c r="F758" t="inlineStr">
        <is>
          <t>12</t>
        </is>
      </c>
      <c r="G758" t="inlineStr">
        <is>
          <t>0</t>
        </is>
      </c>
      <c r="H758" t="inlineStr">
        <is>
          <t>0</t>
        </is>
      </c>
      <c r="I758" t="inlineStr">
        <is>
          <t>3⁹, 27³</t>
        </is>
      </c>
      <c r="J758" t="n">
        <v>12</v>
      </c>
      <c r="K758" t="inlineStr">
        <is>
          <t>1², 2², 6¹</t>
        </is>
      </c>
      <c r="L758" t="inlineStr">
        <is>
          <t>27A⁰, 9C¹, 27A¹, 27A²</t>
        </is>
      </c>
      <c r="M758" t="inlineStr">
        <is>
          <t>27B¹⁰, 54E¹³, 54T¹⁶, 81A¹⁶, 27E¹⁹, 81C¹⁹, 81A²²</t>
        </is>
      </c>
      <c r="N758" t="inlineStr">
        <is>
          <t>3B⁰, 27A¹, 27A², 9A¹, 27A⁰, 9B⁰, 9C¹, 3C⁰, 9C⁰, 3A⁰, 1A⁰, 3D⁰</t>
        </is>
      </c>
      <c r="O758" t="inlineStr">
        <is>
          <t>27B¹⁰, 81C¹⁹, 54E¹³, 27E¹⁹, 81A²², 81A¹⁶, 54T¹⁶</t>
        </is>
      </c>
    </row>
    <row r="759">
      <c r="A759">
        <f>HYPERLINK("https://mathstats.uncg.edu/sites/pauli/congruence/csg4.html#group27D4", "27D⁴")</f>
        <v/>
      </c>
      <c r="B759" t="n">
        <v>4</v>
      </c>
      <c r="C759" t="inlineStr"/>
      <c r="D759" t="inlineStr">
        <is>
          <t>108</t>
        </is>
      </c>
      <c r="E759" t="inlineStr">
        <is>
          <t>1</t>
        </is>
      </c>
      <c r="F759" t="inlineStr">
        <is>
          <t>12</t>
        </is>
      </c>
      <c r="G759" t="inlineStr">
        <is>
          <t>0</t>
        </is>
      </c>
      <c r="H759" t="inlineStr">
        <is>
          <t>9</t>
        </is>
      </c>
      <c r="I759" t="inlineStr">
        <is>
          <t>9³, 27³</t>
        </is>
      </c>
      <c r="J759" t="n">
        <v>6</v>
      </c>
      <c r="K759" t="inlineStr">
        <is>
          <t>1², 2², 6¹</t>
        </is>
      </c>
      <c r="L759" t="inlineStr">
        <is>
          <t>9J⁰, 27B¹, 27B²</t>
        </is>
      </c>
      <c r="M759" t="inlineStr">
        <is>
          <t>54C¹⁰, 27E¹⁶, 27B¹⁹, 81D¹⁹, 54B²², 81C²²</t>
        </is>
      </c>
      <c r="N759" t="inlineStr">
        <is>
          <t>3B⁰, 27B¹, 9J⁰, 9C⁰, 27B², 1A⁰</t>
        </is>
      </c>
      <c r="O759" t="inlineStr">
        <is>
          <t>27B¹⁹, 27E¹⁶, 108B²², 54B²², 81C²², 54C¹⁰, 81D¹⁹</t>
        </is>
      </c>
    </row>
    <row r="760">
      <c r="A760">
        <f>HYPERLINK("https://mathstats.uncg.edu/sites/pauli/congruence/csg4.html#group28A4", "28A⁴")</f>
        <v/>
      </c>
      <c r="B760" t="n">
        <v>4</v>
      </c>
      <c r="C760" t="inlineStr"/>
      <c r="D760" t="inlineStr">
        <is>
          <t>56</t>
        </is>
      </c>
      <c r="E760" t="inlineStr">
        <is>
          <t>2</t>
        </is>
      </c>
      <c r="F760" t="inlineStr">
        <is>
          <t>28</t>
        </is>
      </c>
      <c r="G760" t="inlineStr">
        <is>
          <t>0</t>
        </is>
      </c>
      <c r="H760" t="inlineStr">
        <is>
          <t>2</t>
        </is>
      </c>
      <c r="I760" t="inlineStr">
        <is>
          <t>28²</t>
        </is>
      </c>
      <c r="J760" t="n">
        <v>2</v>
      </c>
      <c r="K760" t="inlineStr">
        <is>
          <t>4², 12⁴</t>
        </is>
      </c>
      <c r="L760" t="inlineStr">
        <is>
          <t>4D⁰, 14A¹, 28A¹</t>
        </is>
      </c>
      <c r="M760" t="inlineStr">
        <is>
          <t>28A⁷, 56A⁸, 56B⁸, 28A¹², 28B¹², 84A¹³, 84A¹⁴, 28A¹⁵, 56A¹⁷, 84C¹⁷, 140A²²</t>
        </is>
      </c>
      <c r="N760" t="inlineStr">
        <is>
          <t>2A⁰, 4A⁰, 4D⁰, 14A¹, 28A¹, 1A⁰, 7A⁰</t>
        </is>
      </c>
      <c r="O760" t="inlineStr">
        <is>
          <t>28B¹², 84C¹⁷, 28B²³, 140A²², 56A⁸, 28A¹⁵, 28A¹², 84A¹⁴, 112A¹⁶, 56A²⁴, 28D²³, 56A¹⁷, 56A¹⁵, 84A¹³, 56B²⁴, 56B⁸, 28A⁷, 28C²³, 112B¹⁶, 28K²¹</t>
        </is>
      </c>
    </row>
    <row r="761">
      <c r="A761">
        <f>HYPERLINK("https://mathstats.uncg.edu/sites/pauli/congruence/csg4.html#group28B4", "28B⁴")</f>
        <v/>
      </c>
      <c r="B761" t="n">
        <v>4</v>
      </c>
      <c r="C761" t="inlineStr"/>
      <c r="D761" t="inlineStr">
        <is>
          <t>84</t>
        </is>
      </c>
      <c r="E761" t="inlineStr">
        <is>
          <t>1</t>
        </is>
      </c>
      <c r="F761" t="inlineStr">
        <is>
          <t>84</t>
        </is>
      </c>
      <c r="G761" t="inlineStr">
        <is>
          <t>10</t>
        </is>
      </c>
      <c r="H761" t="inlineStr">
        <is>
          <t>0</t>
        </is>
      </c>
      <c r="I761" t="inlineStr">
        <is>
          <t>28³</t>
        </is>
      </c>
      <c r="J761" t="n">
        <v>3</v>
      </c>
      <c r="K761" t="inlineStr">
        <is>
          <t>6², 12⁶</t>
        </is>
      </c>
      <c r="L761" t="inlineStr">
        <is>
          <t>7D⁰, 28A¹</t>
        </is>
      </c>
      <c r="M761" t="inlineStr">
        <is>
          <t>28B⁸, 28C⁹, 28B¹⁰, 28B¹¹, 56H¹¹, 56I¹¹, 56J¹¹, 56K¹¹, 28A¹², 84J¹³, 28F¹⁵, 56I²¹</t>
        </is>
      </c>
      <c r="N761" t="inlineStr">
        <is>
          <t>7D⁰, 28A¹, 1A⁰, 4A⁰, 7A⁰</t>
        </is>
      </c>
      <c r="O761" t="inlineStr">
        <is>
          <t>56M²⁴, 84J¹³, 28B¹⁰, 56A²², 28B²³, 56B²³, 56I¹¹, 28F²¹, 28A¹², 56K²³, 56H²², 56B²², 28D²³, 56H¹¹, 56L²³, 56K²⁴, 56J¹¹, 28C¹⁹, 56K¹¹, 56N²⁴, 28B⁸, 28F¹⁵, 56C²³, 56I²¹, 28A²³, 28C⁹, 28B¹¹, 56L²⁴</t>
        </is>
      </c>
    </row>
    <row r="762">
      <c r="A762">
        <f>HYPERLINK("https://mathstats.uncg.edu/sites/pauli/congruence/csg4.html#group28C4", "28C⁴")</f>
        <v/>
      </c>
      <c r="B762" t="n">
        <v>4</v>
      </c>
      <c r="C762" t="inlineStr"/>
      <c r="D762" t="inlineStr">
        <is>
          <t>84</t>
        </is>
      </c>
      <c r="E762" t="inlineStr">
        <is>
          <t>2</t>
        </is>
      </c>
      <c r="F762" t="inlineStr">
        <is>
          <t>21</t>
        </is>
      </c>
      <c r="G762" t="inlineStr">
        <is>
          <t>8</t>
        </is>
      </c>
      <c r="H762" t="inlineStr">
        <is>
          <t>0</t>
        </is>
      </c>
      <c r="I762" t="inlineStr">
        <is>
          <t>14², 28²</t>
        </is>
      </c>
      <c r="J762" t="n">
        <v>4</v>
      </c>
      <c r="K762" t="inlineStr">
        <is>
          <t>2³, 6⁶</t>
        </is>
      </c>
      <c r="L762" t="inlineStr">
        <is>
          <t>14C², 28B², 28C²</t>
        </is>
      </c>
      <c r="M762" t="inlineStr">
        <is>
          <t>56B⁹, 28A¹⁰, 56A¹⁰, 28C¹¹, 56A¹³, 28C¹⁴, 84C¹⁴, 28D¹⁷</t>
        </is>
      </c>
      <c r="N762" t="inlineStr">
        <is>
          <t>28C², 14A⁰, 14B¹, 14C², 4C⁰, 2B⁰, 1A⁰, 28B², 7A⁰</t>
        </is>
      </c>
      <c r="O762" t="inlineStr">
        <is>
          <t>56J²¹, 112A²², 112H²⁴, 56C²², 56F²³, 112A¹⁹, 84C¹⁴, 56J²⁴, 28C¹¹, 28C¹⁴, 56B⁹, 56A¹⁰, 112L²³, 56A²³, 28A¹⁰, 112C²³, 56A¹³, 28C²³, 56K²¹, 28D¹⁷</t>
        </is>
      </c>
    </row>
    <row r="763">
      <c r="A763">
        <f>HYPERLINK("https://mathstats.uncg.edu/sites/pauli/congruence/csg4.html#group28D4", "28D⁴")</f>
        <v/>
      </c>
      <c r="B763" t="n">
        <v>4</v>
      </c>
      <c r="C763" t="inlineStr"/>
      <c r="D763" t="inlineStr">
        <is>
          <t>96</t>
        </is>
      </c>
      <c r="E763" t="inlineStr">
        <is>
          <t>1</t>
        </is>
      </c>
      <c r="F763" t="inlineStr">
        <is>
          <t>24</t>
        </is>
      </c>
      <c r="G763" t="inlineStr">
        <is>
          <t>0</t>
        </is>
      </c>
      <c r="H763" t="inlineStr">
        <is>
          <t>0</t>
        </is>
      </c>
      <c r="I763" t="inlineStr">
        <is>
          <t>2⁴, 4¹, 14⁴, 28¹</t>
        </is>
      </c>
      <c r="J763" t="n">
        <v>10</v>
      </c>
      <c r="K763" t="inlineStr">
        <is>
          <t>1⁶, 6³</t>
        </is>
      </c>
      <c r="L763" t="inlineStr">
        <is>
          <t>14E²</t>
        </is>
      </c>
      <c r="M763" t="inlineStr">
        <is>
          <t>28F⁹, 28C¹⁰, 28F¹¹, 84I²⁰, 84M²⁰, 84J²³</t>
        </is>
      </c>
      <c r="N763" t="inlineStr">
        <is>
          <t>2A⁰, 7B⁰, 14B⁰, 14C¹, 2B⁰, 14E², 1A⁰, 2C⁰</t>
        </is>
      </c>
      <c r="O763" t="inlineStr">
        <is>
          <t>56L²¹, 28F⁹, 84J²³, 28F¹¹, 56N²¹, 84M²⁰, 56W²³, 84I²⁰, 28M²¹, 28C¹⁰</t>
        </is>
      </c>
    </row>
    <row r="764">
      <c r="A764">
        <f>HYPERLINK("https://mathstats.uncg.edu/sites/pauli/congruence/csg4.html#group28E4", "28E⁴")</f>
        <v/>
      </c>
      <c r="B764" t="n">
        <v>4</v>
      </c>
      <c r="C764" t="inlineStr"/>
      <c r="D764" t="inlineStr">
        <is>
          <t>96</t>
        </is>
      </c>
      <c r="E764" t="inlineStr">
        <is>
          <t>1</t>
        </is>
      </c>
      <c r="F764" t="inlineStr">
        <is>
          <t>48</t>
        </is>
      </c>
      <c r="G764" t="inlineStr">
        <is>
          <t>0</t>
        </is>
      </c>
      <c r="H764" t="inlineStr">
        <is>
          <t>0</t>
        </is>
      </c>
      <c r="I764" t="inlineStr">
        <is>
          <t>1², 2¹, 4², 7², 14¹, 28²</t>
        </is>
      </c>
      <c r="J764" t="n">
        <v>10</v>
      </c>
      <c r="K764" t="inlineStr">
        <is>
          <t>1⁸, 2², 6⁴, 12¹</t>
        </is>
      </c>
      <c r="L764" t="inlineStr">
        <is>
          <t>28D²</t>
        </is>
      </c>
      <c r="M764" t="inlineStr">
        <is>
          <t>28F⁹, 56C⁹, 28D¹⁰, 56N¹¹, 84J²⁰, 84N²⁰, 84L²³</t>
        </is>
      </c>
      <c r="N764" t="inlineStr">
        <is>
          <t>2B⁰, 4B⁰, 1A⁰, 7B⁰, 28D², 14C¹</t>
        </is>
      </c>
      <c r="O764" t="inlineStr">
        <is>
          <t>84J²⁰, 56L²¹, 28M²¹, 56M²¹, 28F⁹, 84L²³, 56U²³, 28D¹⁰, 56N²¹, 112F²¹, 112E²¹, 112U²³, 56C⁹, 84N²⁰, 56N¹¹</t>
        </is>
      </c>
    </row>
    <row r="765">
      <c r="A765">
        <f>HYPERLINK("https://mathstats.uncg.edu/sites/pauli/congruence/csg4.html#group28F4", "28F⁴")</f>
        <v/>
      </c>
      <c r="B765" t="n">
        <v>4</v>
      </c>
      <c r="C765" t="inlineStr"/>
      <c r="D765" t="inlineStr">
        <is>
          <t>144</t>
        </is>
      </c>
      <c r="E765" t="inlineStr">
        <is>
          <t>1</t>
        </is>
      </c>
      <c r="F765" t="inlineStr">
        <is>
          <t>24</t>
        </is>
      </c>
      <c r="G765" t="inlineStr">
        <is>
          <t>0</t>
        </is>
      </c>
      <c r="H765" t="inlineStr">
        <is>
          <t>0</t>
        </is>
      </c>
      <c r="I765" t="inlineStr">
        <is>
          <t>1⁶, 4³, 7⁶, 28³</t>
        </is>
      </c>
      <c r="J765" t="n">
        <v>18</v>
      </c>
      <c r="K765" t="inlineStr">
        <is>
          <t>1⁶, 6³</t>
        </is>
      </c>
      <c r="L765" t="inlineStr">
        <is>
          <t>14H¹, 28D²</t>
        </is>
      </c>
      <c r="M765" t="inlineStr">
        <is>
          <t>28D¹⁰, 56F¹⁰, 28F¹³, 56O¹³, 56E¹⁶</t>
        </is>
      </c>
      <c r="N765" t="inlineStr">
        <is>
          <t>7B⁰, 14H¹, 28D², 14C¹, 2B⁰, 7E⁰, 4B⁰, 1A⁰</t>
        </is>
      </c>
      <c r="O765" t="inlineStr">
        <is>
          <t>28F¹³, 56F¹⁰, 28D¹⁰, 56E¹⁶, 56O¹³</t>
        </is>
      </c>
    </row>
    <row r="766">
      <c r="A766">
        <f>HYPERLINK("https://mathstats.uncg.edu/sites/pauli/congruence/csg4.html#group29A4", "29A⁴")</f>
        <v/>
      </c>
      <c r="B766" t="n">
        <v>4</v>
      </c>
      <c r="C766" t="inlineStr"/>
      <c r="D766" t="inlineStr">
        <is>
          <t>60</t>
        </is>
      </c>
      <c r="E766" t="inlineStr">
        <is>
          <t>1</t>
        </is>
      </c>
      <c r="F766" t="inlineStr">
        <is>
          <t>30</t>
        </is>
      </c>
      <c r="G766" t="inlineStr">
        <is>
          <t>0</t>
        </is>
      </c>
      <c r="H766" t="inlineStr">
        <is>
          <t>0</t>
        </is>
      </c>
      <c r="I766" t="inlineStr">
        <is>
          <t>1², 29²</t>
        </is>
      </c>
      <c r="J766" t="n">
        <v>4</v>
      </c>
      <c r="K766" t="inlineStr">
        <is>
          <t>1², 28¹</t>
        </is>
      </c>
      <c r="L766" t="inlineStr">
        <is>
          <t>29A²</t>
        </is>
      </c>
      <c r="M766" t="inlineStr">
        <is>
          <t>58A⁹, 58A¹², 87A¹⁴, 87A¹⁷, 116B¹⁹, 29A²², 145A²⁴</t>
        </is>
      </c>
      <c r="N766" t="inlineStr">
        <is>
          <t>1A⁰, 29A²</t>
        </is>
      </c>
      <c r="O766" t="inlineStr">
        <is>
          <t>58A⁹, 116B¹⁹, 58A¹², 145A²⁴, 29A²², 87A¹⁷, 87A¹⁴, 116A¹⁹</t>
        </is>
      </c>
    </row>
    <row r="767">
      <c r="A767">
        <f>HYPERLINK("https://mathstats.uncg.edu/sites/pauli/congruence/csg4.html#group30A4", "30A⁴")</f>
        <v/>
      </c>
      <c r="B767" t="n">
        <v>4</v>
      </c>
      <c r="C767" t="inlineStr"/>
      <c r="D767" t="inlineStr">
        <is>
          <t>60</t>
        </is>
      </c>
      <c r="E767" t="inlineStr">
        <is>
          <t>1</t>
        </is>
      </c>
      <c r="F767" t="inlineStr">
        <is>
          <t>15</t>
        </is>
      </c>
      <c r="G767" t="inlineStr">
        <is>
          <t>4</t>
        </is>
      </c>
      <c r="H767" t="inlineStr">
        <is>
          <t>0</t>
        </is>
      </c>
      <c r="I767" t="inlineStr">
        <is>
          <t>30²</t>
        </is>
      </c>
      <c r="J767" t="n">
        <v>2</v>
      </c>
      <c r="K767" t="inlineStr">
        <is>
          <t>1¹, 2¹, 4¹, 8¹</t>
        </is>
      </c>
      <c r="L767" t="inlineStr">
        <is>
          <t>6E⁰, 15A², 30A²</t>
        </is>
      </c>
      <c r="M767" t="inlineStr">
        <is>
          <t>30A⁹, 60A⁹, 30A¹⁰, 30E¹², 90A¹², 90B¹², 90A¹³, 90C¹³, 90D¹⁴, 90H¹⁴, 30D¹⁷, 60E¹⁷</t>
        </is>
      </c>
      <c r="N767" t="inlineStr">
        <is>
          <t>5A⁰, 30A², 6B⁰, 15A², 6E⁰, 3C⁰, 3A⁰, 1A⁰, 15A¹</t>
        </is>
      </c>
      <c r="O767" t="inlineStr">
        <is>
          <t>90B¹², 30A¹⁰, 30A²¹, 90H¹⁴, 30D¹⁷, 60E¹⁷, 60A¹⁹, 90C¹³, 30E¹², 60A⁹, 90A¹², 30B²³, 30A⁹, 90A¹³, 90D¹⁴</t>
        </is>
      </c>
    </row>
    <row r="768">
      <c r="A768">
        <f>HYPERLINK("https://mathstats.uncg.edu/sites/pauli/congruence/csg4.html#group30B4", "30B⁴")</f>
        <v/>
      </c>
      <c r="B768" t="n">
        <v>4</v>
      </c>
      <c r="C768" t="inlineStr"/>
      <c r="D768" t="inlineStr">
        <is>
          <t>60</t>
        </is>
      </c>
      <c r="E768" t="inlineStr">
        <is>
          <t>1</t>
        </is>
      </c>
      <c r="F768" t="inlineStr">
        <is>
          <t>20</t>
        </is>
      </c>
      <c r="G768" t="inlineStr">
        <is>
          <t>0</t>
        </is>
      </c>
      <c r="H768" t="inlineStr">
        <is>
          <t>3</t>
        </is>
      </c>
      <c r="I768" t="inlineStr">
        <is>
          <t>30²</t>
        </is>
      </c>
      <c r="J768" t="n">
        <v>2</v>
      </c>
      <c r="K768" t="inlineStr">
        <is>
          <t>4¹, 8²</t>
        </is>
      </c>
      <c r="L768" t="inlineStr">
        <is>
          <t>6A⁰, 10C¹</t>
        </is>
      </c>
      <c r="M768" t="inlineStr">
        <is>
          <t>30G⁷, 30A¹³, 30E¹³, 30A¹⁶, 60E¹⁸, 60H¹⁸, 150E²⁰</t>
        </is>
      </c>
      <c r="N768" t="inlineStr">
        <is>
          <t>2A⁰, 10C¹, 1A⁰, 6A⁰, 5C⁰</t>
        </is>
      </c>
      <c r="O768" t="inlineStr">
        <is>
          <t>30G⁷, 150E²⁰, 30B²², 30A¹³, 30E¹³, 60E¹⁸, 30A¹⁶, 60P¹⁵, 60H¹⁸</t>
        </is>
      </c>
    </row>
    <row r="769">
      <c r="A769">
        <f>HYPERLINK("https://mathstats.uncg.edu/sites/pauli/congruence/csg4.html#group30C4", "30C⁴")</f>
        <v/>
      </c>
      <c r="B769" t="n">
        <v>4</v>
      </c>
      <c r="C769" t="inlineStr"/>
      <c r="D769" t="inlineStr">
        <is>
          <t>60</t>
        </is>
      </c>
      <c r="E769" t="inlineStr">
        <is>
          <t>1</t>
        </is>
      </c>
      <c r="F769" t="inlineStr">
        <is>
          <t>30</t>
        </is>
      </c>
      <c r="G769" t="inlineStr">
        <is>
          <t>4</t>
        </is>
      </c>
      <c r="H769" t="inlineStr">
        <is>
          <t>0</t>
        </is>
      </c>
      <c r="I769" t="inlineStr">
        <is>
          <t>30²</t>
        </is>
      </c>
      <c r="J769" t="n">
        <v>2</v>
      </c>
      <c r="K769" t="inlineStr">
        <is>
          <t>2¹, 4³, 8²</t>
        </is>
      </c>
      <c r="L769" t="inlineStr">
        <is>
          <t>15D¹</t>
        </is>
      </c>
      <c r="M769" t="inlineStr">
        <is>
          <t>30J⁷, 30N⁷, 30C⁹, 30D⁹, 30F⁹, 30D¹², 30G¹², 90D¹², 90G¹⁴, 60H¹⁷, 150A²⁴</t>
        </is>
      </c>
      <c r="N769" t="inlineStr">
        <is>
          <t>3A⁰, 5C⁰, 15D¹, 1A⁰</t>
        </is>
      </c>
      <c r="O769" t="inlineStr">
        <is>
          <t>150A²⁴, 30I²³, 60K¹⁷, 30J⁷, 90D²³, 30E¹⁷, 30H²³, 30M¹³, 30D¹², 30D¹⁷, 30K²³, 60J¹⁷, 60H¹⁷, 30N⁷, 30C⁹, 90D¹², 30C²³, 30D⁹, 90G¹⁴, 30J²³, 90F²³, 30G¹², 30C¹⁷, 30F⁹, 30A¹⁷</t>
        </is>
      </c>
    </row>
    <row r="770">
      <c r="A770">
        <f>HYPERLINK("https://mathstats.uncg.edu/sites/pauli/congruence/csg4.html#group30D4", "30D⁴")</f>
        <v/>
      </c>
      <c r="B770" t="n">
        <v>4</v>
      </c>
      <c r="C770" t="inlineStr"/>
      <c r="D770" t="inlineStr">
        <is>
          <t>60</t>
        </is>
      </c>
      <c r="E770" t="inlineStr">
        <is>
          <t>1</t>
        </is>
      </c>
      <c r="F770" t="inlineStr">
        <is>
          <t>60</t>
        </is>
      </c>
      <c r="G770" t="inlineStr">
        <is>
          <t>0</t>
        </is>
      </c>
      <c r="H770" t="inlineStr">
        <is>
          <t>0</t>
        </is>
      </c>
      <c r="I770" t="inlineStr">
        <is>
          <t>5¹, 10¹, 15¹, 30¹</t>
        </is>
      </c>
      <c r="J770" t="n">
        <v>4</v>
      </c>
      <c r="K770" t="inlineStr">
        <is>
          <t>1⁶, 2³, 4⁶, 8³</t>
        </is>
      </c>
      <c r="L770" t="inlineStr">
        <is>
          <t>6F⁰, 10B¹, 15B¹</t>
        </is>
      </c>
      <c r="M770" t="inlineStr">
        <is>
          <t>30B⁸, 60C⁸, 60B⁹, 30F¹⁰, 30A¹², 30H¹², 90C¹², 90E¹², 30N¹³, 90A¹⁴, 90B¹⁴, 90E¹⁴, 90F¹⁴</t>
        </is>
      </c>
      <c r="N770" t="inlineStr">
        <is>
          <t>3B⁰, 5A⁰, 10B¹, 6F⁰, 15B¹, 2B⁰, 1A⁰</t>
        </is>
      </c>
      <c r="O770" t="inlineStr">
        <is>
          <t>30A²², 60D²², 60B¹⁸, 60B⁹, 30C²², 30F¹⁰, 60B¹⁶, 90E¹⁴, 120B¹⁹, 90F¹⁴, 60A¹⁶, 30A¹², 30B¹⁹, 30B⁸, 90A¹⁴, 30H¹², 60B¹⁷, 60C⁸, 120B¹⁶, 90B¹⁴, 60G¹⁸, 30N¹³, 90E¹², 120D¹⁸, 90C¹², 120A¹⁸, 60A²², 120A¹⁹, 120D¹⁷</t>
        </is>
      </c>
    </row>
    <row r="771">
      <c r="A771">
        <f>HYPERLINK("https://mathstats.uncg.edu/sites/pauli/congruence/csg4.html#group30E4", "30E⁴")</f>
        <v/>
      </c>
      <c r="B771" t="n">
        <v>4</v>
      </c>
      <c r="C771" t="inlineStr"/>
      <c r="D771" t="inlineStr">
        <is>
          <t>90</t>
        </is>
      </c>
      <c r="E771" t="inlineStr">
        <is>
          <t>1</t>
        </is>
      </c>
      <c r="F771" t="inlineStr">
        <is>
          <t>15</t>
        </is>
      </c>
      <c r="G771" t="inlineStr">
        <is>
          <t>12</t>
        </is>
      </c>
      <c r="H771" t="inlineStr">
        <is>
          <t>0</t>
        </is>
      </c>
      <c r="I771" t="inlineStr">
        <is>
          <t>30³</t>
        </is>
      </c>
      <c r="J771" t="n">
        <v>3</v>
      </c>
      <c r="K771" t="inlineStr">
        <is>
          <t>1¹, 2¹, 4¹, 8¹</t>
        </is>
      </c>
      <c r="L771" t="inlineStr">
        <is>
          <t>15F¹, 30A²</t>
        </is>
      </c>
      <c r="M771" t="inlineStr">
        <is>
          <t>30O⁹, 30A¹⁰, 30I¹⁰, 30B¹¹, 30B¹³, 30D¹⁶, 90B¹⁶, 90D¹⁹, 90E¹⁹, 60B²²</t>
        </is>
      </c>
      <c r="N771" t="inlineStr">
        <is>
          <t>5A⁰, 30A², 6B⁰, 15F¹, 5E⁰, 3A⁰, 1A⁰, 15A¹, 15A⁰</t>
        </is>
      </c>
      <c r="O771" t="inlineStr">
        <is>
          <t>30B¹³, 30D¹⁶, 30F²¹, 90D¹⁹, 30A¹⁰, 30I¹⁰, 90B¹⁶, 30B²¹, 60B²², 30J²³, 30B²³, 30A²¹, 30B¹¹, 90E¹⁹, 30O⁹</t>
        </is>
      </c>
    </row>
    <row r="772">
      <c r="A772">
        <f>HYPERLINK("https://mathstats.uncg.edu/sites/pauli/congruence/csg4.html#group30F4", "30F⁴")</f>
        <v/>
      </c>
      <c r="B772" t="n">
        <v>4</v>
      </c>
      <c r="C772" t="inlineStr"/>
      <c r="D772" t="inlineStr">
        <is>
          <t>90</t>
        </is>
      </c>
      <c r="E772" t="inlineStr">
        <is>
          <t>1</t>
        </is>
      </c>
      <c r="F772" t="inlineStr">
        <is>
          <t>15</t>
        </is>
      </c>
      <c r="G772" t="inlineStr">
        <is>
          <t>12</t>
        </is>
      </c>
      <c r="H772" t="inlineStr">
        <is>
          <t>0</t>
        </is>
      </c>
      <c r="I772" t="inlineStr">
        <is>
          <t>30³</t>
        </is>
      </c>
      <c r="J772" t="n">
        <v>3</v>
      </c>
      <c r="K772" t="inlineStr">
        <is>
          <t>1¹, 2¹, 4³</t>
        </is>
      </c>
      <c r="L772" t="inlineStr">
        <is>
          <t>10E¹, 15F¹</t>
        </is>
      </c>
      <c r="M772" t="inlineStr">
        <is>
          <t>30O⁹, 30B¹⁰, 30D¹⁰, 30E¹⁰, 30A¹¹, 30D¹³, 30E¹⁶, 90P¹⁷, 60C²²</t>
        </is>
      </c>
      <c r="N772" t="inlineStr">
        <is>
          <t>5A⁰, 15F¹, 5E⁰, 3A⁰, 10E¹, 1A⁰, 15A¹, 15A⁰</t>
        </is>
      </c>
      <c r="O772" t="inlineStr">
        <is>
          <t>30A¹¹, 30E¹⁶, 30B¹⁰, 30E¹⁰, 30B²¹, 30E²³, 30D¹³, 30O⁹, 30D²³, 30D¹⁰, 90P¹⁷, 30F²¹, 30C²³, 30A²¹, 60C²²</t>
        </is>
      </c>
    </row>
    <row r="773">
      <c r="A773">
        <f>HYPERLINK("https://mathstats.uncg.edu/sites/pauli/congruence/csg4.html#group30G4", "30G⁴")</f>
        <v/>
      </c>
      <c r="B773" t="n">
        <v>4</v>
      </c>
      <c r="C773" t="inlineStr"/>
      <c r="D773" t="inlineStr">
        <is>
          <t>90</t>
        </is>
      </c>
      <c r="E773" t="inlineStr">
        <is>
          <t>2</t>
        </is>
      </c>
      <c r="F773" t="inlineStr">
        <is>
          <t>10</t>
        </is>
      </c>
      <c r="G773" t="inlineStr">
        <is>
          <t>0</t>
        </is>
      </c>
      <c r="H773" t="inlineStr">
        <is>
          <t>9</t>
        </is>
      </c>
      <c r="I773" t="inlineStr">
        <is>
          <t>30³</t>
        </is>
      </c>
      <c r="J773" t="n">
        <v>3</v>
      </c>
      <c r="K773" t="inlineStr">
        <is>
          <t>4¹, 8²</t>
        </is>
      </c>
      <c r="L773" t="inlineStr">
        <is>
          <t>10E⁰, 30A¹, 30B¹, 30B²</t>
        </is>
      </c>
      <c r="M773" t="inlineStr">
        <is>
          <t>30A¹⁹, 30B²², 30D²², 30F²²</t>
        </is>
      </c>
      <c r="N773" t="inlineStr">
        <is>
          <t>2A⁰, 30B², 30A¹, 5A⁰, 10A⁰, 6A⁰, 30B¹, 10E⁰, 1A⁰, 15A⁰</t>
        </is>
      </c>
      <c r="O773" t="inlineStr">
        <is>
          <t>30A¹⁹, 30B²², 30D²², 30F²²</t>
        </is>
      </c>
    </row>
    <row r="774">
      <c r="A774">
        <f>HYPERLINK("https://mathstats.uncg.edu/sites/pauli/congruence/csg4.html#group30H4", "30H⁴")</f>
        <v/>
      </c>
      <c r="B774" t="n">
        <v>4</v>
      </c>
      <c r="C774" t="inlineStr"/>
      <c r="D774" t="inlineStr">
        <is>
          <t>108</t>
        </is>
      </c>
      <c r="E774" t="inlineStr">
        <is>
          <t>1</t>
        </is>
      </c>
      <c r="F774" t="inlineStr">
        <is>
          <t>18</t>
        </is>
      </c>
      <c r="G774" t="inlineStr">
        <is>
          <t>12</t>
        </is>
      </c>
      <c r="H774" t="inlineStr">
        <is>
          <t>0</t>
        </is>
      </c>
      <c r="I774" t="inlineStr">
        <is>
          <t>6³, 30³</t>
        </is>
      </c>
      <c r="J774" t="n">
        <v>6</v>
      </c>
      <c r="K774" t="inlineStr">
        <is>
          <t>1⁶, 4³</t>
        </is>
      </c>
      <c r="L774" t="inlineStr">
        <is>
          <t>10G⁰, 30A⁰, 30E²</t>
        </is>
      </c>
      <c r="M774" t="inlineStr">
        <is>
          <t>30R⁹, 60M⁹, 30J¹¹, 60P¹¹, 60T¹¹, 60V¹¹, 30H¹³, 60V¹³, 60AB¹³, 60AG¹³, 60B¹⁵, 90F²⁰</t>
        </is>
      </c>
      <c r="N774" t="inlineStr">
        <is>
          <t>30A⁰, 15B⁰, 10G⁰, 30E², 5B⁰, 10C⁰, 2B⁰, 3A⁰, 1A⁰, 6D⁰, 10B⁰</t>
        </is>
      </c>
      <c r="O774" t="inlineStr">
        <is>
          <t>30J¹¹, 60AB¹³, 60X²¹, 60R²³, 30H²¹, 90F²⁰, 30R⁹, 60T¹¹, 120O²¹, 60N²³, 60O²³, 60B¹⁵, 60P²³, 60V¹¹, 60M⁹, 60P¹¹, 60AG¹³, 60S²³, 60V¹³, 30H¹³</t>
        </is>
      </c>
    </row>
    <row r="775">
      <c r="A775">
        <f>HYPERLINK("https://mathstats.uncg.edu/sites/pauli/congruence/csg4.html#group30I4", "30I⁴")</f>
        <v/>
      </c>
      <c r="B775" t="n">
        <v>4</v>
      </c>
      <c r="C775" t="inlineStr"/>
      <c r="D775" t="inlineStr">
        <is>
          <t>108</t>
        </is>
      </c>
      <c r="E775" t="inlineStr">
        <is>
          <t>1</t>
        </is>
      </c>
      <c r="F775" t="inlineStr">
        <is>
          <t>54</t>
        </is>
      </c>
      <c r="G775" t="inlineStr">
        <is>
          <t>8</t>
        </is>
      </c>
      <c r="H775" t="inlineStr">
        <is>
          <t>0</t>
        </is>
      </c>
      <c r="I775" t="inlineStr">
        <is>
          <t>3², 6², 15², 30²</t>
        </is>
      </c>
      <c r="J775" t="n">
        <v>8</v>
      </c>
      <c r="K775" t="inlineStr">
        <is>
          <t>1⁶, 2⁶, 4³, 8³</t>
        </is>
      </c>
      <c r="L775" t="inlineStr">
        <is>
          <t>15C⁰, 30E²</t>
        </is>
      </c>
      <c r="M775" t="inlineStr">
        <is>
          <t>30Q⁹, 30R⁹, 60N⁹, 30H¹¹, 30K¹¹, 60Q¹¹, 60U¹¹, 30I¹³, 60R¹³, 60AC¹³, 60F¹⁵, 90G²⁰, 90E²²</t>
        </is>
      </c>
      <c r="N775" t="inlineStr">
        <is>
          <t>15B⁰, 30E², 5B⁰, 10C⁰, 2B⁰, 3A⁰, 1A⁰, 6D⁰, 15C⁰</t>
        </is>
      </c>
      <c r="O775" t="inlineStr">
        <is>
          <t>60U¹¹, 30L²³, 60X²¹, 30H²¹, 90G²⁰, 120S²³, 30R⁹, 60W²¹, 60F¹⁵, 30C¹⁹, 120R²³, 60N⁹, 60Q²³, 30H¹¹, 30I¹³, 60R¹³, 60O²³, 60AC¹³, 90E²², 60P²³, 120Q²³, 30Q⁹, 30K¹¹, 60Q¹¹, 30G²¹, 60S²³</t>
        </is>
      </c>
    </row>
    <row r="776">
      <c r="A776">
        <f>HYPERLINK("https://mathstats.uncg.edu/sites/pauli/congruence/csg4.html#group32A4", "32A⁴")</f>
        <v/>
      </c>
      <c r="B776" t="n">
        <v>4</v>
      </c>
      <c r="C776" t="inlineStr"/>
      <c r="D776" t="inlineStr">
        <is>
          <t>48</t>
        </is>
      </c>
      <c r="E776" t="inlineStr">
        <is>
          <t>1</t>
        </is>
      </c>
      <c r="F776" t="inlineStr">
        <is>
          <t>24</t>
        </is>
      </c>
      <c r="G776" t="inlineStr">
        <is>
          <t>0</t>
        </is>
      </c>
      <c r="H776" t="inlineStr">
        <is>
          <t>0</t>
        </is>
      </c>
      <c r="I776" t="inlineStr">
        <is>
          <t>16¹, 32¹</t>
        </is>
      </c>
      <c r="J776" t="n">
        <v>2</v>
      </c>
      <c r="K776" t="inlineStr">
        <is>
          <t>2⁸, 8¹</t>
        </is>
      </c>
      <c r="L776" t="inlineStr">
        <is>
          <t>16B²</t>
        </is>
      </c>
      <c r="M776" t="inlineStr">
        <is>
          <t>32D⁷, 32K⁷, 96A¹², 96K¹⁵, 160A²⁰, 160C²³</t>
        </is>
      </c>
      <c r="N776" t="inlineStr">
        <is>
          <t>2B⁰, 16B², 8A¹, 1A⁰, 4C⁰</t>
        </is>
      </c>
      <c r="O776" t="inlineStr">
        <is>
          <t>64E¹⁵, 32K⁷, 96K¹⁵, 160C²³, 96A¹², 96AE²³, 32G¹³, 96AC²³, 96Y²³, 160A²⁰, 96W²³, 32E¹³, 32D⁷, 32P¹³, 96D²³, 32F¹³, 64K¹⁵, 64L¹⁵</t>
        </is>
      </c>
    </row>
    <row r="777">
      <c r="A777">
        <f>HYPERLINK("https://mathstats.uncg.edu/sites/pauli/congruence/csg4.html#group32B4", "32B⁴")</f>
        <v/>
      </c>
      <c r="B777" t="n">
        <v>4</v>
      </c>
      <c r="C777" t="inlineStr"/>
      <c r="D777" t="inlineStr">
        <is>
          <t>48</t>
        </is>
      </c>
      <c r="E777" t="inlineStr">
        <is>
          <t>1</t>
        </is>
      </c>
      <c r="F777" t="inlineStr">
        <is>
          <t>24</t>
        </is>
      </c>
      <c r="G777" t="inlineStr">
        <is>
          <t>0</t>
        </is>
      </c>
      <c r="H777" t="inlineStr">
        <is>
          <t>0</t>
        </is>
      </c>
      <c r="I777" t="inlineStr">
        <is>
          <t>16¹, 32¹</t>
        </is>
      </c>
      <c r="J777" t="n">
        <v>2</v>
      </c>
      <c r="K777" t="inlineStr">
        <is>
          <t>2⁸, 8¹</t>
        </is>
      </c>
      <c r="L777" t="inlineStr">
        <is>
          <t>16B²</t>
        </is>
      </c>
      <c r="M777" t="inlineStr">
        <is>
          <t>32E⁷, 32K⁷, 96B¹², 96L¹⁵, 160B²⁰, 160D²³</t>
        </is>
      </c>
      <c r="N777" t="inlineStr">
        <is>
          <t>2B⁰, 16B², 8A¹, 1A⁰, 4C⁰</t>
        </is>
      </c>
      <c r="O777" t="inlineStr">
        <is>
          <t>96Z²³, 32K⁷, 32E⁷, 96E²³, 64F¹⁵, 96B¹², 96AC²³, 160B²⁰, 96X²³, 32H¹³, 96L¹⁵, 96AF²³, 32P¹³, 32D¹³, 160D²³, 32F¹³, 64K¹⁵, 64L¹⁵</t>
        </is>
      </c>
    </row>
    <row r="778">
      <c r="A778">
        <f>HYPERLINK("https://mathstats.uncg.edu/sites/pauli/congruence/csg4.html#group32C4", "32C⁴")</f>
        <v/>
      </c>
      <c r="B778" t="n">
        <v>4</v>
      </c>
      <c r="C778" t="inlineStr"/>
      <c r="D778" t="inlineStr">
        <is>
          <t>96</t>
        </is>
      </c>
      <c r="E778" t="inlineStr">
        <is>
          <t>1</t>
        </is>
      </c>
      <c r="F778" t="inlineStr">
        <is>
          <t>24</t>
        </is>
      </c>
      <c r="G778" t="inlineStr">
        <is>
          <t>0</t>
        </is>
      </c>
      <c r="H778" t="inlineStr">
        <is>
          <t>0</t>
        </is>
      </c>
      <c r="I778" t="inlineStr">
        <is>
          <t>4⁸, 32²</t>
        </is>
      </c>
      <c r="J778" t="n">
        <v>10</v>
      </c>
      <c r="K778" t="inlineStr">
        <is>
          <t>1², 2¹, 4¹, 8²</t>
        </is>
      </c>
      <c r="L778" t="inlineStr">
        <is>
          <t>32C¹, 32D¹, 16D²</t>
        </is>
      </c>
      <c r="M778" t="inlineStr">
        <is>
          <t>32L⁷, 32H¹¹, 96A²⁰, 96AJ²³</t>
        </is>
      </c>
      <c r="N778" t="inlineStr">
        <is>
          <t>16D², 16E⁰, 8C¹, 32C¹, 8A¹, 8D⁰, 4A⁰, 16C¹, 4C⁰, 32D¹, 2B⁰, 4F⁰, 1A⁰</t>
        </is>
      </c>
      <c r="O778" t="inlineStr">
        <is>
          <t>96A²⁰, 32T¹³, 64A²³, 32E²¹, 32H¹¹, 96AJ²³, 32D²¹, 32L⁷, 64A¹⁹</t>
        </is>
      </c>
    </row>
    <row r="779">
      <c r="A779">
        <f>HYPERLINK("https://mathstats.uncg.edu/sites/pauli/congruence/csg4.html#group33A4", "33A⁴")</f>
        <v/>
      </c>
      <c r="B779" t="n">
        <v>4</v>
      </c>
      <c r="C779" t="inlineStr"/>
      <c r="D779" t="inlineStr">
        <is>
          <t>66</t>
        </is>
      </c>
      <c r="E779" t="inlineStr">
        <is>
          <t>2</t>
        </is>
      </c>
      <c r="F779" t="inlineStr">
        <is>
          <t>33</t>
        </is>
      </c>
      <c r="G779" t="inlineStr">
        <is>
          <t>6</t>
        </is>
      </c>
      <c r="H779" t="inlineStr">
        <is>
          <t>0</t>
        </is>
      </c>
      <c r="I779" t="inlineStr">
        <is>
          <t>33²</t>
        </is>
      </c>
      <c r="J779" t="n">
        <v>2</v>
      </c>
      <c r="K779" t="inlineStr">
        <is>
          <t>2¹, 4¹, 10², 20²</t>
        </is>
      </c>
      <c r="L779" t="inlineStr">
        <is>
          <t>3C⁰, 33A¹</t>
        </is>
      </c>
      <c r="M779" t="inlineStr">
        <is>
          <t>66B⁸, 33A¹⁰, 66A¹¹, 99A¹², 66A¹⁴, 99A¹⁴, 99A¹⁵, 99B¹⁵, 132B¹⁹, 33B²²</t>
        </is>
      </c>
      <c r="N779" t="inlineStr">
        <is>
          <t>11A⁰, 3C⁰, 3A⁰, 1A⁰, 33A¹</t>
        </is>
      </c>
      <c r="O779" t="inlineStr">
        <is>
          <t>99A¹², 99A¹⁴, 132A¹⁹, 132B¹⁹, 66A¹¹, 66B⁸, 33A¹⁰, 66A¹⁴, 99B¹⁵, 66A²¹, 198A²⁴, 99A¹⁵, 33B²²</t>
        </is>
      </c>
    </row>
    <row r="780">
      <c r="A780">
        <f>HYPERLINK("https://mathstats.uncg.edu/sites/pauli/congruence/csg4.html#group35A4", "35A⁴")</f>
        <v/>
      </c>
      <c r="B780" t="n">
        <v>4</v>
      </c>
      <c r="C780" t="inlineStr"/>
      <c r="D780" t="inlineStr">
        <is>
          <t>70</t>
        </is>
      </c>
      <c r="E780" t="inlineStr">
        <is>
          <t>2</t>
        </is>
      </c>
      <c r="F780" t="inlineStr">
        <is>
          <t>35</t>
        </is>
      </c>
      <c r="G780" t="inlineStr">
        <is>
          <t>2</t>
        </is>
      </c>
      <c r="H780" t="inlineStr">
        <is>
          <t>4</t>
        </is>
      </c>
      <c r="I780" t="inlineStr">
        <is>
          <t>35²</t>
        </is>
      </c>
      <c r="J780" t="n">
        <v>2</v>
      </c>
      <c r="K780" t="inlineStr">
        <is>
          <t>2¹, 6², 8¹, 24²</t>
        </is>
      </c>
      <c r="L780" t="inlineStr">
        <is>
          <t>7C⁰, 35A²</t>
        </is>
      </c>
      <c r="M780" t="inlineStr">
        <is>
          <t>70B⁹, 35A¹², 35A¹⁴, 35B¹⁴, 105A¹⁴, 105B¹⁴, 105C¹⁴, 105A¹⁵, 105B¹⁵, 70A¹⁶, 105A¹⁶, 35A¹⁹, 35B¹⁹, 105A²¹, 140A²¹</t>
        </is>
      </c>
      <c r="N780" t="inlineStr">
        <is>
          <t>5A⁰, 1A⁰, 35A², 7C⁰, 7A⁰</t>
        </is>
      </c>
      <c r="O780" t="inlineStr">
        <is>
          <t>105C¹⁴, 35A¹⁴, 105A¹⁶, 105B¹⁵, 105A²¹, 70A¹⁶, 105B¹⁴, 105A¹⁵, 70B⁹, 35B¹⁴, 35A¹⁹, 140A²¹, 35A¹², 35B¹⁹, 105A¹⁴</t>
        </is>
      </c>
    </row>
    <row r="781">
      <c r="A781">
        <f>HYPERLINK("https://mathstats.uncg.edu/sites/pauli/congruence/csg4.html#group35B4", "35B⁴")</f>
        <v/>
      </c>
      <c r="B781" t="n">
        <v>4</v>
      </c>
      <c r="C781" t="inlineStr"/>
      <c r="D781" t="inlineStr">
        <is>
          <t>70</t>
        </is>
      </c>
      <c r="E781" t="inlineStr">
        <is>
          <t>2</t>
        </is>
      </c>
      <c r="F781" t="inlineStr">
        <is>
          <t>70</t>
        </is>
      </c>
      <c r="G781" t="inlineStr">
        <is>
          <t>6</t>
        </is>
      </c>
      <c r="H781" t="inlineStr">
        <is>
          <t>1</t>
        </is>
      </c>
      <c r="I781" t="inlineStr">
        <is>
          <t>35²</t>
        </is>
      </c>
      <c r="J781" t="n">
        <v>2</v>
      </c>
      <c r="K781" t="inlineStr">
        <is>
          <t>4¹, 8², 12², 24⁴</t>
        </is>
      </c>
      <c r="L781" t="inlineStr">
        <is>
          <t>5C⁰, 7A⁰</t>
        </is>
      </c>
      <c r="M781" t="inlineStr">
        <is>
          <t>35C⁸, 70C⁸, 35B⁹, 70C⁹, 35A¹⁰, 70A¹⁰, 70A¹¹, 35A¹³, 105C¹³, 35C¹⁴, 70D¹⁵, 35A¹⁸, 140C²⁰, 105A²²</t>
        </is>
      </c>
      <c r="N781" t="inlineStr">
        <is>
          <t>5C⁰, 1A⁰, 7A⁰</t>
        </is>
      </c>
      <c r="O781" t="inlineStr">
        <is>
          <t>105A²², 35A¹⁰, 70A¹⁰, 70D¹⁵, 35A¹³, 35C¹⁴, 140C²⁰, 70B²¹, 70D¹⁹, 70C⁸, 35A¹⁸, 140F¹⁹, 35B⁹, 70C²¹, 140G¹⁹, 140D¹⁹, 140E¹⁹, 70C⁹, 70I¹⁷, 70D²¹, 35C⁸, 105C¹³, 70A¹¹, 35B¹⁹, 70E²¹</t>
        </is>
      </c>
    </row>
    <row r="782">
      <c r="A782">
        <f>HYPERLINK("https://mathstats.uncg.edu/sites/pauli/congruence/csg4.html#group35C4", "35C⁴")</f>
        <v/>
      </c>
      <c r="B782" t="n">
        <v>4</v>
      </c>
      <c r="C782" t="inlineStr"/>
      <c r="D782" t="inlineStr">
        <is>
          <t>84</t>
        </is>
      </c>
      <c r="E782" t="inlineStr">
        <is>
          <t>2</t>
        </is>
      </c>
      <c r="F782" t="inlineStr">
        <is>
          <t>42</t>
        </is>
      </c>
      <c r="G782" t="inlineStr">
        <is>
          <t>8</t>
        </is>
      </c>
      <c r="H782" t="inlineStr">
        <is>
          <t>0</t>
        </is>
      </c>
      <c r="I782" t="inlineStr">
        <is>
          <t>7², 35²</t>
        </is>
      </c>
      <c r="J782" t="n">
        <v>4</v>
      </c>
      <c r="K782" t="inlineStr">
        <is>
          <t>2², 6⁴, 8¹, 24²</t>
        </is>
      </c>
      <c r="L782" t="inlineStr">
        <is>
          <t>35C²</t>
        </is>
      </c>
      <c r="M782" t="inlineStr">
        <is>
          <t>70E⁹, 35A¹¹, 70A¹³, 35D¹⁴, 105D¹⁴, 70F¹⁶, 35B¹⁷, 140G²³</t>
        </is>
      </c>
      <c r="N782" t="inlineStr">
        <is>
          <t>35C², 5B⁰, 1A⁰, 7A⁰</t>
        </is>
      </c>
      <c r="O782" t="inlineStr">
        <is>
          <t>105D¹⁴, 35A¹¹, 35D¹⁴, 140E²³, 70F¹⁶, 35B¹⁷, 140F²³, 70A¹³, 70E⁹, 140G²³</t>
        </is>
      </c>
    </row>
    <row r="783">
      <c r="A783">
        <f>HYPERLINK("https://mathstats.uncg.edu/sites/pauli/congruence/csg4.html#group36A4", "36A⁴")</f>
        <v/>
      </c>
      <c r="B783" t="n">
        <v>4</v>
      </c>
      <c r="C783" t="inlineStr"/>
      <c r="D783" t="inlineStr">
        <is>
          <t>48</t>
        </is>
      </c>
      <c r="E783" t="inlineStr">
        <is>
          <t>1</t>
        </is>
      </c>
      <c r="F783" t="inlineStr">
        <is>
          <t>4</t>
        </is>
      </c>
      <c r="G783" t="inlineStr">
        <is>
          <t>0</t>
        </is>
      </c>
      <c r="H783" t="inlineStr">
        <is>
          <t>0</t>
        </is>
      </c>
      <c r="I783" t="inlineStr">
        <is>
          <t>12¹, 36¹</t>
        </is>
      </c>
      <c r="J783" t="n">
        <v>2</v>
      </c>
      <c r="K783" t="inlineStr">
        <is>
          <t>1², 2¹</t>
        </is>
      </c>
      <c r="L783" t="inlineStr">
        <is>
          <t>12B⁰, 18B²</t>
        </is>
      </c>
      <c r="M783" t="inlineStr">
        <is>
          <t>36B¹⁰, 36C¹⁰, 36D¹⁰, 36G¹⁰, 36I¹⁰, 36A¹³, 180A²⁰, 180D²³</t>
        </is>
      </c>
      <c r="N783" t="inlineStr">
        <is>
          <t>3B⁰, 2A⁰, 18B², 9A¹, 1A⁰, 6C⁰, 12B⁰</t>
        </is>
      </c>
      <c r="O783" t="inlineStr">
        <is>
          <t>36B¹⁰, 36D¹⁰, 36I¹⁰, 36A¹³, 180A²⁰, 180D²³, 36D¹⁹, 36G¹⁰, 36C¹⁰</t>
        </is>
      </c>
    </row>
    <row r="784">
      <c r="A784">
        <f>HYPERLINK("https://mathstats.uncg.edu/sites/pauli/congruence/csg4.html#group36B4", "36B⁴")</f>
        <v/>
      </c>
      <c r="B784" t="n">
        <v>4</v>
      </c>
      <c r="C784" t="inlineStr"/>
      <c r="D784" t="inlineStr">
        <is>
          <t>48</t>
        </is>
      </c>
      <c r="E784" t="inlineStr">
        <is>
          <t>1</t>
        </is>
      </c>
      <c r="F784" t="inlineStr">
        <is>
          <t>8</t>
        </is>
      </c>
      <c r="G784" t="inlineStr">
        <is>
          <t>0</t>
        </is>
      </c>
      <c r="H784" t="inlineStr">
        <is>
          <t>0</t>
        </is>
      </c>
      <c r="I784" t="inlineStr">
        <is>
          <t>12¹, 36¹</t>
        </is>
      </c>
      <c r="J784" t="n">
        <v>2</v>
      </c>
      <c r="K784" t="inlineStr">
        <is>
          <t>2⁴</t>
        </is>
      </c>
      <c r="L784" t="inlineStr">
        <is>
          <t>12B⁰, 18C²</t>
        </is>
      </c>
      <c r="M784" t="inlineStr">
        <is>
          <t>36A¹⁰, 36D¹⁰, 36E¹⁰, 36F¹⁰, 36B¹³, 180B²⁰, 180H²³</t>
        </is>
      </c>
      <c r="N784" t="inlineStr">
        <is>
          <t>3B⁰, 2A⁰, 12B⁰, 1A⁰, 6C⁰, 18C²</t>
        </is>
      </c>
      <c r="O784" t="inlineStr">
        <is>
          <t>180B²⁰, 36D¹⁰, 36B¹³, 180H²³, 36A¹⁰, 36F¹⁰, 36E¹⁰, 36C¹⁹</t>
        </is>
      </c>
    </row>
    <row r="785">
      <c r="A785">
        <f>HYPERLINK("https://mathstats.uncg.edu/sites/pauli/congruence/csg4.html#group36C4", "36C⁴")</f>
        <v/>
      </c>
      <c r="B785" t="n">
        <v>4</v>
      </c>
      <c r="C785" t="inlineStr"/>
      <c r="D785" t="inlineStr">
        <is>
          <t>48</t>
        </is>
      </c>
      <c r="E785" t="inlineStr">
        <is>
          <t>1</t>
        </is>
      </c>
      <c r="F785" t="inlineStr">
        <is>
          <t>16</t>
        </is>
      </c>
      <c r="G785" t="inlineStr">
        <is>
          <t>0</t>
        </is>
      </c>
      <c r="H785" t="inlineStr">
        <is>
          <t>0</t>
        </is>
      </c>
      <c r="I785" t="inlineStr">
        <is>
          <t>12¹, 36¹</t>
        </is>
      </c>
      <c r="J785" t="n">
        <v>2</v>
      </c>
      <c r="K785" t="inlineStr">
        <is>
          <t>2⁴, 4²</t>
        </is>
      </c>
      <c r="L785" t="inlineStr">
        <is>
          <t>9A¹, 12A¹</t>
        </is>
      </c>
      <c r="M785" t="inlineStr">
        <is>
          <t>36A⁷, 72A⁸, 36H¹⁰, 36K¹⁰, 36L¹⁰, 72E¹⁵, 180C²⁰, 180J²³</t>
        </is>
      </c>
      <c r="N785" t="inlineStr">
        <is>
          <t>3B⁰, 1A⁰, 4A⁰, 12A¹, 9A¹</t>
        </is>
      </c>
      <c r="O785" t="inlineStr">
        <is>
          <t>72F²¹, 72A¹⁵, 36A¹³, 36H¹⁰, 36L¹⁰, 72A⁸, 144A¹⁶, 72B²², 36B¹⁹, 72D²², 36K¹⁰, 72H²¹, 72C²², 72B²⁰, 180J²³, 36A⁷, 180C²⁰, 72B¹⁵, 72E¹⁵, 36E¹⁹, 36I¹⁹, 36F¹⁹, 36J¹⁹</t>
        </is>
      </c>
    </row>
    <row r="786">
      <c r="A786">
        <f>HYPERLINK("https://mathstats.uncg.edu/sites/pauli/congruence/csg4.html#group36D4", "36D⁴")</f>
        <v/>
      </c>
      <c r="B786" t="n">
        <v>4</v>
      </c>
      <c r="C786" t="inlineStr"/>
      <c r="D786" t="inlineStr">
        <is>
          <t>54</t>
        </is>
      </c>
      <c r="E786" t="inlineStr">
        <is>
          <t>1</t>
        </is>
      </c>
      <c r="F786" t="inlineStr">
        <is>
          <t>27</t>
        </is>
      </c>
      <c r="G786" t="inlineStr">
        <is>
          <t>0</t>
        </is>
      </c>
      <c r="H786" t="inlineStr">
        <is>
          <t>0</t>
        </is>
      </c>
      <c r="I786" t="inlineStr">
        <is>
          <t>9², 36¹</t>
        </is>
      </c>
      <c r="J786" t="n">
        <v>3</v>
      </c>
      <c r="K786" t="inlineStr">
        <is>
          <t>1³, 2³, 6³</t>
        </is>
      </c>
      <c r="L786" t="inlineStr">
        <is>
          <t>12B¹, 18E¹</t>
        </is>
      </c>
      <c r="M786" t="inlineStr">
        <is>
          <t>36C⁷, 36D⁷, 36B⁸, 36C⁸, 36F⁸, 72B⁸, 72C⁸, 72E⁸, 36N¹⁰, 180A²²</t>
        </is>
      </c>
      <c r="N786" t="inlineStr">
        <is>
          <t>4B⁰, 9A⁰, 12B¹, 2B⁰, 18E¹, 3A⁰, 1A⁰, 6D⁰</t>
        </is>
      </c>
      <c r="O786" t="inlineStr">
        <is>
          <t>72G¹⁵, 72G¹⁶, 36K¹⁵, 36C⁸, 36N¹⁰, 72I¹⁶, 72P¹⁶, 36I¹⁵, 72B⁸, 72F¹⁵, 144D¹⁶, 72G²², 72B¹⁶, 72A¹⁶, 36D¹⁵, 72E¹⁶, 72F¹⁶, 72K¹⁷, 36E¹⁶, 72C¹⁷, 36B¹⁵, 72K¹⁶, 36C¹³, 72H¹⁶, 144B¹⁷, 72S¹⁵, 144G¹⁶, 144A¹⁷, 144C¹⁷, 72E⁸, 72Q¹⁶, 36F²², 36B⁸, 180A²², 72J¹⁶, 36D⁷, 144H¹⁶, 72E¹⁷, 72R¹⁵, 144C¹⁶, 36C⁷, 144B¹⁶, 36B¹⁶, 36O¹⁹, 36Q¹⁹, 72C¹⁶, 72C⁸, 72K²², 36A¹⁶, 72H²², 36I²², 36F⁸, 36M¹⁹, 36D²², 72D¹⁶, 144E¹⁶</t>
        </is>
      </c>
    </row>
    <row r="787">
      <c r="A787">
        <f>HYPERLINK("https://mathstats.uncg.edu/sites/pauli/congruence/csg4.html#group36E4", "36E⁴")</f>
        <v/>
      </c>
      <c r="B787" t="n">
        <v>4</v>
      </c>
      <c r="C787" t="inlineStr"/>
      <c r="D787" t="inlineStr">
        <is>
          <t>54</t>
        </is>
      </c>
      <c r="E787" t="inlineStr">
        <is>
          <t>2</t>
        </is>
      </c>
      <c r="F787" t="inlineStr">
        <is>
          <t>27</t>
        </is>
      </c>
      <c r="G787" t="inlineStr">
        <is>
          <t>2</t>
        </is>
      </c>
      <c r="H787" t="inlineStr">
        <is>
          <t>0</t>
        </is>
      </c>
      <c r="I787" t="inlineStr">
        <is>
          <t>18¹, 36¹</t>
        </is>
      </c>
      <c r="J787" t="n">
        <v>2</v>
      </c>
      <c r="K787" t="inlineStr">
        <is>
          <t>2⁹, 6⁶</t>
        </is>
      </c>
      <c r="L787" t="inlineStr">
        <is>
          <t>12C¹, 18E¹</t>
        </is>
      </c>
      <c r="M787" t="inlineStr">
        <is>
          <t>36E⁷, 36F⁷, 36G⁷, 36A⁸, 36F⁸, 36E⁸, 36G⁸, 36P¹⁰, 36G¹¹, 180B²²</t>
        </is>
      </c>
      <c r="N787" t="inlineStr">
        <is>
          <t>2B⁰, 9A⁰, 18E¹, 3A⁰, 1A⁰, 6D⁰, 12C¹</t>
        </is>
      </c>
      <c r="O787" t="inlineStr">
        <is>
          <t>36E⁸, 72V¹⁵, 36K¹⁵, 72I¹⁷, 72R¹⁶, 36I¹⁵, 36A¹⁵, 36M¹⁵, 72U¹⁵, 36D²¹, 36G⁸, 36E¹⁶, 36P¹⁰, 36B¹⁵, 36A²², 36S¹⁹, 72K¹⁶, 36E²², 36R¹⁹, 72J¹⁷, 36E⁷, 36G⁷, 36J¹⁵, 36N¹⁵, 72S¹⁶, 36C¹⁵, 72J¹⁶, 36C²², 36F⁷, 36P¹³, 36A⁸, 180B²², 72O¹⁵, 36J²², 72N¹⁵, 36I²², 36G¹¹, 36H²², 36T¹⁹, 36C¹⁶, 36F⁸, 36D²², 36C²¹</t>
        </is>
      </c>
    </row>
    <row r="788">
      <c r="A788">
        <f>HYPERLINK("https://mathstats.uncg.edu/sites/pauli/congruence/csg4.html#group36F4", "36F⁴")</f>
        <v/>
      </c>
      <c r="B788" t="n">
        <v>4</v>
      </c>
      <c r="C788" t="inlineStr"/>
      <c r="D788" t="inlineStr">
        <is>
          <t>72</t>
        </is>
      </c>
      <c r="E788" t="inlineStr">
        <is>
          <t>1</t>
        </is>
      </c>
      <c r="F788" t="inlineStr">
        <is>
          <t>12</t>
        </is>
      </c>
      <c r="G788" t="inlineStr">
        <is>
          <t>0</t>
        </is>
      </c>
      <c r="H788" t="inlineStr">
        <is>
          <t>0</t>
        </is>
      </c>
      <c r="I788" t="inlineStr">
        <is>
          <t>3², 9², 12¹, 36¹</t>
        </is>
      </c>
      <c r="J788" t="n">
        <v>6</v>
      </c>
      <c r="K788" t="inlineStr">
        <is>
          <t>1⁶, 2³</t>
        </is>
      </c>
      <c r="L788" t="inlineStr">
        <is>
          <t>12E⁰, 18D²</t>
        </is>
      </c>
      <c r="M788" t="inlineStr">
        <is>
          <t>36J⁸, 72F⁸, 36C⁹, 72D⁹, 36Q¹⁰, 36R¹⁰, 72A¹⁰, 108C¹⁶, 108A¹⁶, 108B¹⁶</t>
        </is>
      </c>
      <c r="N788" t="inlineStr">
        <is>
          <t>3B⁰, 18D², 1A⁰, 2B⁰, 9C⁰, 4B⁰, 6F⁰, 12E⁰</t>
        </is>
      </c>
      <c r="O788" t="inlineStr">
        <is>
          <t>72C¹⁹, 144E¹⁹, 36L²², 108A¹⁶, 72E¹⁹, 36A¹⁹, 72C²¹, 72M²², 72G¹⁹, 108B¹⁶, 36A¹⁷, 72K¹⁹, 36J⁸, 144A¹⁹, 36Q¹⁰, 72A¹⁹, 72A¹⁰, 108C¹⁶, 72O¹⁷, 72M¹⁹, 72A²¹, 36C¹⁹, 36C⁹, 36P²², 144C¹⁹, 144G²¹, 144E²¹, 144G¹⁹, 36R¹⁰, 72I¹⁹, 72L²², 72D⁹, 72F⁸</t>
        </is>
      </c>
    </row>
    <row r="789">
      <c r="A789">
        <f>HYPERLINK("https://mathstats.uncg.edu/sites/pauli/congruence/csg4.html#group36G4", "36G⁴")</f>
        <v/>
      </c>
      <c r="B789" t="n">
        <v>4</v>
      </c>
      <c r="C789" t="inlineStr"/>
      <c r="D789" t="inlineStr">
        <is>
          <t>72</t>
        </is>
      </c>
      <c r="E789" t="inlineStr">
        <is>
          <t>1</t>
        </is>
      </c>
      <c r="F789" t="inlineStr">
        <is>
          <t>12</t>
        </is>
      </c>
      <c r="G789" t="inlineStr">
        <is>
          <t>0</t>
        </is>
      </c>
      <c r="H789" t="inlineStr">
        <is>
          <t>0</t>
        </is>
      </c>
      <c r="I789" t="inlineStr">
        <is>
          <t>3², 9², 12¹, 36¹</t>
        </is>
      </c>
      <c r="J789" t="n">
        <v>6</v>
      </c>
      <c r="K789" t="inlineStr">
        <is>
          <t>1⁶, 2³</t>
        </is>
      </c>
      <c r="L789" t="inlineStr">
        <is>
          <t>12E⁰, 18E²</t>
        </is>
      </c>
      <c r="M789" t="inlineStr">
        <is>
          <t>36K⁸, 72G⁸, 36D⁹, 72E⁹, 36Q¹⁰, 36S¹⁰, 72B¹⁰</t>
        </is>
      </c>
      <c r="N789" t="inlineStr">
        <is>
          <t>3B⁰, 9A¹, 18E², 1A⁰, 2B⁰, 4B⁰, 6F⁰, 12E⁰</t>
        </is>
      </c>
      <c r="O789" t="inlineStr">
        <is>
          <t>72E⁹, 72P¹⁷, 72H¹⁹, 36Q¹⁰, 144F²¹, 144H¹⁹, 72D²¹, 36Q²², 72B¹⁹, 72J¹⁹, 36B¹⁷, 36S¹⁰, 72B¹⁰, 72D¹⁹, 36B¹⁹, 72B²¹, 144D¹⁹, 36L²², 72N¹⁹, 36K⁸, 72L¹⁹, 144H²¹, 72F¹⁹, 144F¹⁹, 144B¹⁹, 72N²², 36D¹⁹, 72L²², 72G⁸, 36D⁹</t>
        </is>
      </c>
    </row>
    <row r="790">
      <c r="A790">
        <f>HYPERLINK("https://mathstats.uncg.edu/sites/pauli/congruence/csg4.html#group36H4", "36H⁴")</f>
        <v/>
      </c>
      <c r="B790" t="n">
        <v>4</v>
      </c>
      <c r="C790" t="inlineStr"/>
      <c r="D790" t="inlineStr">
        <is>
          <t>72</t>
        </is>
      </c>
      <c r="E790" t="inlineStr">
        <is>
          <t>1</t>
        </is>
      </c>
      <c r="F790" t="inlineStr">
        <is>
          <t>18</t>
        </is>
      </c>
      <c r="G790" t="inlineStr">
        <is>
          <t>4</t>
        </is>
      </c>
      <c r="H790" t="inlineStr">
        <is>
          <t>0</t>
        </is>
      </c>
      <c r="I790" t="inlineStr">
        <is>
          <t>12³, 36¹</t>
        </is>
      </c>
      <c r="J790" t="n">
        <v>4</v>
      </c>
      <c r="K790" t="inlineStr">
        <is>
          <t>2¹, 4¹, 6¹, 12²</t>
        </is>
      </c>
      <c r="L790" t="inlineStr">
        <is>
          <t>12D¹, 18F¹</t>
        </is>
      </c>
      <c r="M790" t="inlineStr">
        <is>
          <t>36A⁹, 36A¹², 36E¹³, 36E¹⁵, 36G¹⁵, 36Q¹⁵</t>
        </is>
      </c>
      <c r="N790" t="inlineStr">
        <is>
          <t>12D¹, 6B⁰, 6E⁰, 3C⁰, 18F¹, 9E⁰, 3A⁰, 1A⁰</t>
        </is>
      </c>
      <c r="O790" t="inlineStr">
        <is>
          <t>36E¹³, 36A¹², 36Q¹⁵, 36A⁹, 36E¹⁵, 36C²³, 36G¹⁵</t>
        </is>
      </c>
    </row>
    <row r="791">
      <c r="A791">
        <f>HYPERLINK("https://mathstats.uncg.edu/sites/pauli/congruence/csg4.html#group36I4", "36I⁴")</f>
        <v/>
      </c>
      <c r="B791" t="n">
        <v>4</v>
      </c>
      <c r="C791" t="inlineStr"/>
      <c r="D791" t="inlineStr">
        <is>
          <t>72</t>
        </is>
      </c>
      <c r="E791" t="inlineStr">
        <is>
          <t>1</t>
        </is>
      </c>
      <c r="F791" t="inlineStr">
        <is>
          <t>18</t>
        </is>
      </c>
      <c r="G791" t="inlineStr">
        <is>
          <t>4</t>
        </is>
      </c>
      <c r="H791" t="inlineStr">
        <is>
          <t>0</t>
        </is>
      </c>
      <c r="I791" t="inlineStr">
        <is>
          <t>12³, 36¹</t>
        </is>
      </c>
      <c r="J791" t="n">
        <v>4</v>
      </c>
      <c r="K791" t="inlineStr">
        <is>
          <t>2¹, 4¹, 6¹, 12²</t>
        </is>
      </c>
      <c r="L791" t="inlineStr">
        <is>
          <t>12D¹, 18F¹</t>
        </is>
      </c>
      <c r="M791" t="inlineStr">
        <is>
          <t>36A⁹, 36B¹², 36F¹³, 36E¹⁵, 36H¹⁵, 36R¹⁵</t>
        </is>
      </c>
      <c r="N791" t="inlineStr">
        <is>
          <t>12D¹, 6B⁰, 6E⁰, 3C⁰, 18F¹, 9E⁰, 3A⁰, 1A⁰</t>
        </is>
      </c>
      <c r="O791" t="inlineStr">
        <is>
          <t>36B¹², 36F¹³, 36A⁹, 36H¹⁵, 36E¹⁵, 36R¹⁵, 36B²³</t>
        </is>
      </c>
    </row>
    <row r="792">
      <c r="A792">
        <f>HYPERLINK("https://mathstats.uncg.edu/sites/pauli/congruence/csg4.html#group36J4", "36J⁴")</f>
        <v/>
      </c>
      <c r="B792" t="n">
        <v>4</v>
      </c>
      <c r="C792" t="inlineStr"/>
      <c r="D792" t="inlineStr">
        <is>
          <t>72</t>
        </is>
      </c>
      <c r="E792" t="inlineStr">
        <is>
          <t>1</t>
        </is>
      </c>
      <c r="F792" t="inlineStr">
        <is>
          <t>36</t>
        </is>
      </c>
      <c r="G792" t="inlineStr">
        <is>
          <t>4</t>
        </is>
      </c>
      <c r="H792" t="inlineStr">
        <is>
          <t>0</t>
        </is>
      </c>
      <c r="I792" t="inlineStr">
        <is>
          <t>12³, 36¹</t>
        </is>
      </c>
      <c r="J792" t="n">
        <v>4</v>
      </c>
      <c r="K792" t="inlineStr">
        <is>
          <t>4³, 6², 12⁴</t>
        </is>
      </c>
      <c r="L792" t="inlineStr">
        <is>
          <t>12D¹, 18G¹</t>
        </is>
      </c>
      <c r="M792" t="inlineStr">
        <is>
          <t>36E⁹, 36A¹², 36L¹³, 36H¹⁵, 36O¹⁵, 36S¹⁵</t>
        </is>
      </c>
      <c r="N792" t="inlineStr">
        <is>
          <t>3C⁰, 12D¹, 18G¹, 6B⁰, 3A⁰, 6E⁰, 1A⁰</t>
        </is>
      </c>
      <c r="O792" t="inlineStr">
        <is>
          <t>36O¹⁵, 36L¹³, 36A¹², 36C²³, 36H¹⁵, 36E⁹, 36S¹⁵</t>
        </is>
      </c>
    </row>
    <row r="793">
      <c r="A793">
        <f>HYPERLINK("https://mathstats.uncg.edu/sites/pauli/congruence/csg4.html#group36K4", "36K⁴")</f>
        <v/>
      </c>
      <c r="B793" t="n">
        <v>4</v>
      </c>
      <c r="C793" t="inlineStr"/>
      <c r="D793" t="inlineStr">
        <is>
          <t>72</t>
        </is>
      </c>
      <c r="E793" t="inlineStr">
        <is>
          <t>1</t>
        </is>
      </c>
      <c r="F793" t="inlineStr">
        <is>
          <t>36</t>
        </is>
      </c>
      <c r="G793" t="inlineStr">
        <is>
          <t>4</t>
        </is>
      </c>
      <c r="H793" t="inlineStr">
        <is>
          <t>0</t>
        </is>
      </c>
      <c r="I793" t="inlineStr">
        <is>
          <t>12³, 36¹</t>
        </is>
      </c>
      <c r="J793" t="n">
        <v>4</v>
      </c>
      <c r="K793" t="inlineStr">
        <is>
          <t>4³, 6², 12⁴</t>
        </is>
      </c>
      <c r="L793" t="inlineStr">
        <is>
          <t>12D¹, 18G¹</t>
        </is>
      </c>
      <c r="M793" t="inlineStr">
        <is>
          <t>36E⁹, 36B¹², 36M¹³, 36G¹⁵, 36O¹⁵, 36T¹⁵</t>
        </is>
      </c>
      <c r="N793" t="inlineStr">
        <is>
          <t>3C⁰, 12D¹, 18G¹, 6B⁰, 3A⁰, 6E⁰, 1A⁰</t>
        </is>
      </c>
      <c r="O793" t="inlineStr">
        <is>
          <t>36O¹⁵, 36B¹², 36E⁹, 36G¹⁵, 36M¹³, 36B²³, 36T¹⁵</t>
        </is>
      </c>
    </row>
    <row r="794">
      <c r="A794">
        <f>HYPERLINK("https://mathstats.uncg.edu/sites/pauli/congruence/csg4.html#group36L4", "36L⁴")</f>
        <v/>
      </c>
      <c r="B794" t="n">
        <v>4</v>
      </c>
      <c r="C794" t="inlineStr"/>
      <c r="D794" t="inlineStr">
        <is>
          <t>72</t>
        </is>
      </c>
      <c r="E794" t="inlineStr">
        <is>
          <t>1</t>
        </is>
      </c>
      <c r="F794" t="inlineStr">
        <is>
          <t>36</t>
        </is>
      </c>
      <c r="G794" t="inlineStr">
        <is>
          <t>8</t>
        </is>
      </c>
      <c r="H794" t="inlineStr">
        <is>
          <t>0</t>
        </is>
      </c>
      <c r="I794" t="inlineStr">
        <is>
          <t>36²</t>
        </is>
      </c>
      <c r="J794" t="n">
        <v>2</v>
      </c>
      <c r="K794" t="inlineStr">
        <is>
          <t>2², 4², 12²</t>
        </is>
      </c>
      <c r="L794" t="inlineStr">
        <is>
          <t>12F⁰, 18A¹, 36A¹</t>
        </is>
      </c>
      <c r="M794" t="inlineStr">
        <is>
          <t>36K⁹, 72E¹⁰, 72F¹⁰, 72I¹⁰, 36D¹¹, 36G¹², 36B¹⁴, 72P¹⁹</t>
        </is>
      </c>
      <c r="N794" t="inlineStr">
        <is>
          <t>36A¹, 12A⁰, 6B⁰, 4A⁰, 9A⁰, 12F⁰, 3A⁰, 1A⁰, 18A¹</t>
        </is>
      </c>
      <c r="O794" t="inlineStr">
        <is>
          <t>72F¹⁰, 72A²³, 36K⁹, 72S²¹, 72E¹⁰, 72I¹⁰, 72B²³, 144I²², 144J²², 36B¹⁴, 72Q²¹, 36A²¹, 144C²², 72P²¹, 144F²², 72P¹⁹, 36G¹², 36D¹¹, 36K¹⁹</t>
        </is>
      </c>
    </row>
    <row r="795">
      <c r="A795">
        <f>HYPERLINK("https://mathstats.uncg.edu/sites/pauli/congruence/csg4.html#group36M4", "36M⁴")</f>
        <v/>
      </c>
      <c r="B795" t="n">
        <v>4</v>
      </c>
      <c r="C795" t="inlineStr"/>
      <c r="D795" t="inlineStr">
        <is>
          <t>72</t>
        </is>
      </c>
      <c r="E795" t="inlineStr">
        <is>
          <t>1</t>
        </is>
      </c>
      <c r="F795" t="inlineStr">
        <is>
          <t>72</t>
        </is>
      </c>
      <c r="G795" t="inlineStr">
        <is>
          <t>4</t>
        </is>
      </c>
      <c r="H795" t="inlineStr">
        <is>
          <t>0</t>
        </is>
      </c>
      <c r="I795" t="inlineStr">
        <is>
          <t>12³, 36¹</t>
        </is>
      </c>
      <c r="J795" t="n">
        <v>4</v>
      </c>
      <c r="K795" t="inlineStr">
        <is>
          <t>2², 4², 6², 12⁴</t>
        </is>
      </c>
      <c r="L795" t="inlineStr">
        <is>
          <t>9E⁰, 12G¹</t>
        </is>
      </c>
      <c r="M795" t="inlineStr">
        <is>
          <t>36J⁷, 36G⁹, 36J⁹, 72K¹⁰, 72J¹⁰, 36D¹², 36N¹³, 36F¹⁵, 72Q¹⁹</t>
        </is>
      </c>
      <c r="N795" t="inlineStr">
        <is>
          <t>12G¹, 3C⁰, 12A⁰, 9E⁰, 3A⁰, 1A⁰, 4A⁰</t>
        </is>
      </c>
      <c r="O795" t="inlineStr">
        <is>
          <t>36C¹⁷, 36G⁹, 36J⁷, 72O²¹, 72T¹⁹, 72N²¹, 36D¹², 144K²², 72S¹⁹, 72J¹⁰, 36D²³, 72K¹⁰, 72M²¹, 36F¹⁵, 144L²², 36Q¹⁵, 36J⁹, 36N¹³, 36R¹⁵, 72Q¹⁹</t>
        </is>
      </c>
    </row>
    <row r="796">
      <c r="A796">
        <f>HYPERLINK("https://mathstats.uncg.edu/sites/pauli/congruence/csg4.html#group36N4", "36N⁴")</f>
        <v/>
      </c>
      <c r="B796" t="n">
        <v>4</v>
      </c>
      <c r="C796" t="inlineStr"/>
      <c r="D796" t="inlineStr">
        <is>
          <t>72</t>
        </is>
      </c>
      <c r="E796" t="inlineStr">
        <is>
          <t>1</t>
        </is>
      </c>
      <c r="F796" t="inlineStr">
        <is>
          <t>72</t>
        </is>
      </c>
      <c r="G796" t="inlineStr">
        <is>
          <t>8</t>
        </is>
      </c>
      <c r="H796" t="inlineStr">
        <is>
          <t>0</t>
        </is>
      </c>
      <c r="I796" t="inlineStr">
        <is>
          <t>36²</t>
        </is>
      </c>
      <c r="J796" t="n">
        <v>2</v>
      </c>
      <c r="K796" t="inlineStr">
        <is>
          <t>4⁶, 12⁴</t>
        </is>
      </c>
      <c r="L796" t="inlineStr">
        <is>
          <t>12F⁰, 18B¹</t>
        </is>
      </c>
      <c r="M796" t="inlineStr">
        <is>
          <t>36L⁹, 72G¹⁰, 72H¹⁰, 72L¹⁰, 36E¹¹, 36H¹², 36B¹⁴, 72R¹⁹</t>
        </is>
      </c>
      <c r="N796" t="inlineStr">
        <is>
          <t>12F⁰, 18B¹, 12A⁰, 6B⁰, 3A⁰, 1A⁰, 4A⁰</t>
        </is>
      </c>
      <c r="O796" t="inlineStr">
        <is>
          <t>72H¹⁰, 36B²¹, 144N²², 36L⁹, 36H¹², 144H²², 144E²², 72T²¹, 72G¹⁰, 72V²¹, 144D²², 144G²², 36B¹⁴, 72R¹⁹, 72C²³, 72D²³, 72L¹⁰, 144M²², 36E¹¹, 36L¹⁹, 72U²¹</t>
        </is>
      </c>
    </row>
    <row r="797">
      <c r="A797">
        <f>HYPERLINK("https://mathstats.uncg.edu/sites/pauli/congruence/csg4.html#group36O4", "36O⁴")</f>
        <v/>
      </c>
      <c r="B797" t="n">
        <v>4</v>
      </c>
      <c r="C797" t="inlineStr"/>
      <c r="D797" t="inlineStr">
        <is>
          <t>96</t>
        </is>
      </c>
      <c r="E797" t="inlineStr">
        <is>
          <t>1</t>
        </is>
      </c>
      <c r="F797" t="inlineStr">
        <is>
          <t>32</t>
        </is>
      </c>
      <c r="G797" t="inlineStr">
        <is>
          <t>0</t>
        </is>
      </c>
      <c r="H797" t="inlineStr">
        <is>
          <t>3</t>
        </is>
      </c>
      <c r="I797" t="inlineStr">
        <is>
          <t>4⁶, 36²</t>
        </is>
      </c>
      <c r="J797" t="n">
        <v>8</v>
      </c>
      <c r="K797" t="inlineStr">
        <is>
          <t>4⁸</t>
        </is>
      </c>
      <c r="L797" t="inlineStr">
        <is>
          <t>18C⁰, 12I¹</t>
        </is>
      </c>
      <c r="M797" t="inlineStr">
        <is>
          <t>36M⁷, 72L¹¹, 72K¹¹, 36T¹³, 36F¹⁶, 36F¹⁹, 36H¹⁹, 72B²⁴</t>
        </is>
      </c>
      <c r="N797" t="inlineStr">
        <is>
          <t>18C⁰, 3B⁰, 2A⁰, 12I¹, 4A⁰, 4D⁰, 12A¹, 6C⁰, 1A⁰</t>
        </is>
      </c>
      <c r="O797" t="inlineStr">
        <is>
          <t>72Z²¹, 36H¹⁹, 36M⁷, 36F¹⁹, 36T¹³, 72L¹¹, 36F¹⁶, 72K¹¹, 72B²⁴</t>
        </is>
      </c>
    </row>
    <row r="798">
      <c r="A798">
        <f>HYPERLINK("https://mathstats.uncg.edu/sites/pauli/congruence/csg4.html#group36P4", "36P⁴")</f>
        <v/>
      </c>
      <c r="B798" t="n">
        <v>4</v>
      </c>
      <c r="C798" t="inlineStr"/>
      <c r="D798" t="inlineStr">
        <is>
          <t>108</t>
        </is>
      </c>
      <c r="E798" t="inlineStr">
        <is>
          <t>1</t>
        </is>
      </c>
      <c r="F798" t="inlineStr">
        <is>
          <t>9</t>
        </is>
      </c>
      <c r="G798" t="inlineStr">
        <is>
          <t>12</t>
        </is>
      </c>
      <c r="H798" t="inlineStr">
        <is>
          <t>0</t>
        </is>
      </c>
      <c r="I798" t="inlineStr">
        <is>
          <t>9⁴, 36²</t>
        </is>
      </c>
      <c r="J798" t="n">
        <v>6</v>
      </c>
      <c r="K798" t="inlineStr">
        <is>
          <t>1³, 2³</t>
        </is>
      </c>
      <c r="L798" t="inlineStr">
        <is>
          <t>12G⁰, 18I², 36C²</t>
        </is>
      </c>
      <c r="M798" t="inlineStr">
        <is>
          <t>36O⁹, 72O¹¹, 36C¹³, 72F¹³, 36C¹⁵, 36G¹⁶, 36I¹⁶</t>
        </is>
      </c>
      <c r="N798" t="inlineStr">
        <is>
          <t>12G⁰, 9D⁰, 9A⁰, 6G⁰, 3C⁰, 2B⁰, 12D⁰, 18E¹, 3A⁰, 1A⁰, 18I², 6D⁰, 36C²</t>
        </is>
      </c>
      <c r="O798" t="inlineStr">
        <is>
          <t>72AA²¹, 72O¹¹, 36G¹⁶, 72F¹³, 36A²³, 36C¹³, 36C¹⁵, 36O⁹, 36I¹⁶</t>
        </is>
      </c>
    </row>
    <row r="799">
      <c r="A799">
        <f>HYPERLINK("https://mathstats.uncg.edu/sites/pauli/congruence/csg4.html#group36Q4", "36Q⁴")</f>
        <v/>
      </c>
      <c r="B799" t="n">
        <v>4</v>
      </c>
      <c r="C799" t="inlineStr"/>
      <c r="D799" t="inlineStr">
        <is>
          <t>108</t>
        </is>
      </c>
      <c r="E799" t="inlineStr">
        <is>
          <t>1</t>
        </is>
      </c>
      <c r="F799" t="inlineStr">
        <is>
          <t>54</t>
        </is>
      </c>
      <c r="G799" t="inlineStr">
        <is>
          <t>0</t>
        </is>
      </c>
      <c r="H799" t="inlineStr">
        <is>
          <t>0</t>
        </is>
      </c>
      <c r="I799" t="inlineStr">
        <is>
          <t>3⁶, 9², 12³, 36¹</t>
        </is>
      </c>
      <c r="J799" t="n">
        <v>12</v>
      </c>
      <c r="K799" t="inlineStr">
        <is>
          <t>1³, 2³, 3³, 6⁶</t>
        </is>
      </c>
      <c r="L799" t="inlineStr">
        <is>
          <t>12K¹, 18I¹</t>
        </is>
      </c>
      <c r="M799" t="inlineStr">
        <is>
          <t>36N⁷, 36L¹¹, 36N¹¹, 72Q¹¹, 72P¹¹, 36M¹⁹, 36O¹⁹</t>
        </is>
      </c>
      <c r="N799" t="inlineStr">
        <is>
          <t>12K¹, 4B⁰, 18I¹, 6G⁰, 3C⁰, 2B⁰, 12B¹, 12D⁰, 9E⁰, 3A⁰, 1A⁰, 6D⁰</t>
        </is>
      </c>
      <c r="O799" t="inlineStr">
        <is>
          <t>36L¹¹, 36E²¹, 36O¹⁹, 72Q¹¹, 36N⁷, 72AB²¹, 72X¹⁷, 72P¹¹, 36N¹¹, 36M¹⁹, 36K¹⁷</t>
        </is>
      </c>
    </row>
    <row r="800">
      <c r="A800">
        <f>HYPERLINK("https://mathstats.uncg.edu/sites/pauli/congruence/csg4.html#group36R4", "36R⁴")</f>
        <v/>
      </c>
      <c r="B800" t="n">
        <v>4</v>
      </c>
      <c r="C800" t="inlineStr"/>
      <c r="D800" t="inlineStr">
        <is>
          <t>108</t>
        </is>
      </c>
      <c r="E800" t="inlineStr">
        <is>
          <t>2</t>
        </is>
      </c>
      <c r="F800" t="inlineStr">
        <is>
          <t>27</t>
        </is>
      </c>
      <c r="G800" t="inlineStr">
        <is>
          <t>16</t>
        </is>
      </c>
      <c r="H800" t="inlineStr">
        <is>
          <t>0</t>
        </is>
      </c>
      <c r="I800" t="inlineStr">
        <is>
          <t>18², 36²</t>
        </is>
      </c>
      <c r="J800" t="n">
        <v>4</v>
      </c>
      <c r="K800" t="inlineStr">
        <is>
          <t>2⁹, 6⁶</t>
        </is>
      </c>
      <c r="L800" t="inlineStr">
        <is>
          <t>12H⁰, 18L², 36B², 36C²</t>
        </is>
      </c>
      <c r="M800" t="inlineStr">
        <is>
          <t>36O⁹, 72H⁹, 72R¹¹, 36E¹², 36F¹², 72M¹², 72L¹², 36P¹³, 36K¹⁵, 72P¹⁵, 36H¹⁶, 72H¹⁷, 36B¹⁸</t>
        </is>
      </c>
      <c r="N800" t="inlineStr">
        <is>
          <t>6B⁰, 12C⁰, 6H⁰, 36B², 4C⁰, 2B⁰, 12H⁰, 1A⁰, 18A⁰, 18L², 9A⁰, 12D⁰, 18E¹, 3A⁰, 6D⁰, 36C²</t>
        </is>
      </c>
      <c r="O800" t="inlineStr">
        <is>
          <t>72H¹⁷, 72AA²¹, 72H⁹, 36K¹⁵, 72P¹⁵, 72L¹², 72R¹¹, 36A²³, 36E¹², 72M¹², 144Y²³, 36O⁹, 144J¹⁹, 36F¹², 36H¹⁶, 36B¹⁸, 36P¹³</t>
        </is>
      </c>
    </row>
    <row r="801">
      <c r="A801">
        <f>HYPERLINK("https://mathstats.uncg.edu/sites/pauli/congruence/csg4.html#group36S4", "36S⁴")</f>
        <v/>
      </c>
      <c r="B801" t="n">
        <v>4</v>
      </c>
      <c r="C801" t="inlineStr"/>
      <c r="D801" t="inlineStr">
        <is>
          <t>144</t>
        </is>
      </c>
      <c r="E801" t="inlineStr">
        <is>
          <t>1</t>
        </is>
      </c>
      <c r="F801" t="inlineStr">
        <is>
          <t>8</t>
        </is>
      </c>
      <c r="G801" t="inlineStr">
        <is>
          <t>0</t>
        </is>
      </c>
      <c r="H801" t="inlineStr">
        <is>
          <t>18</t>
        </is>
      </c>
      <c r="I801" t="inlineStr">
        <is>
          <t>12³, 36³</t>
        </is>
      </c>
      <c r="J801" t="n">
        <v>6</v>
      </c>
      <c r="K801" t="inlineStr">
        <is>
          <t>2⁴</t>
        </is>
      </c>
      <c r="L801" t="inlineStr">
        <is>
          <t>36A⁰, 12O¹, 18K¹, 36B¹, 36A²</t>
        </is>
      </c>
      <c r="M801" t="inlineStr">
        <is>
          <t>36M²², 108C²²</t>
        </is>
      </c>
      <c r="N801" t="inlineStr">
        <is>
          <t>18C⁰, 3B⁰, 2A⁰, 6A⁰, 18K¹, 18B⁰, 6C⁰, 36B¹, 6J⁰, 9C⁰, 36A², 12O¹, 1A⁰, 12B⁰, 36A⁰, 18D¹</t>
        </is>
      </c>
      <c r="O801" t="inlineStr">
        <is>
          <t>108C²², 36M²²</t>
        </is>
      </c>
    </row>
    <row r="802">
      <c r="A802">
        <f>HYPERLINK("https://mathstats.uncg.edu/sites/pauli/congruence/csg4.html#group37A4", "37A⁴")</f>
        <v/>
      </c>
      <c r="B802" t="n">
        <v>4</v>
      </c>
      <c r="C802" t="inlineStr"/>
      <c r="D802" t="inlineStr">
        <is>
          <t>76</t>
        </is>
      </c>
      <c r="E802" t="inlineStr">
        <is>
          <t>1</t>
        </is>
      </c>
      <c r="F802" t="inlineStr">
        <is>
          <t>38</t>
        </is>
      </c>
      <c r="G802" t="inlineStr">
        <is>
          <t>0</t>
        </is>
      </c>
      <c r="H802" t="inlineStr">
        <is>
          <t>4</t>
        </is>
      </c>
      <c r="I802" t="inlineStr">
        <is>
          <t>1², 37²</t>
        </is>
      </c>
      <c r="J802" t="n">
        <v>4</v>
      </c>
      <c r="K802" t="inlineStr">
        <is>
          <t>1², 36¹</t>
        </is>
      </c>
      <c r="L802" t="inlineStr">
        <is>
          <t>37A²</t>
        </is>
      </c>
      <c r="M802" t="inlineStr">
        <is>
          <t>74A⁹, 37A¹⁰, 74A¹⁶, 111A¹⁸, 111B¹⁸, 111A²¹, 148A²³</t>
        </is>
      </c>
      <c r="N802" t="inlineStr">
        <is>
          <t>37A², 1A⁰</t>
        </is>
      </c>
      <c r="O802" t="inlineStr">
        <is>
          <t>37A¹⁰, 111A¹⁸, 111A²¹, 111B¹⁸, 74A¹⁶, 148A²³, 74A⁹, 148A¹⁹</t>
        </is>
      </c>
    </row>
    <row r="803">
      <c r="A803">
        <f>HYPERLINK("https://mathstats.uncg.edu/sites/pauli/congruence/csg4.html#group37B4", "37B⁴")</f>
        <v/>
      </c>
      <c r="B803" t="n">
        <v>4</v>
      </c>
      <c r="C803" t="inlineStr"/>
      <c r="D803" t="inlineStr">
        <is>
          <t>114</t>
        </is>
      </c>
      <c r="E803" t="inlineStr">
        <is>
          <t>1</t>
        </is>
      </c>
      <c r="F803" t="inlineStr">
        <is>
          <t>38</t>
        </is>
      </c>
      <c r="G803" t="inlineStr">
        <is>
          <t>6</t>
        </is>
      </c>
      <c r="H803" t="inlineStr">
        <is>
          <t>6</t>
        </is>
      </c>
      <c r="I803" t="inlineStr">
        <is>
          <t>1³, 37³</t>
        </is>
      </c>
      <c r="J803" t="n">
        <v>6</v>
      </c>
      <c r="K803" t="inlineStr">
        <is>
          <t>1², 36¹</t>
        </is>
      </c>
      <c r="L803" t="inlineStr">
        <is>
          <t>37A²</t>
        </is>
      </c>
      <c r="M803" t="inlineStr">
        <is>
          <t>37A¹⁰, 74A¹⁰, 74A¹³, 37A¹⁶, 111A¹⁹, 74A²², 111A²²</t>
        </is>
      </c>
      <c r="N803" t="inlineStr">
        <is>
          <t>37A², 1A⁰</t>
        </is>
      </c>
      <c r="O803" t="inlineStr">
        <is>
          <t>37A¹⁰, 74A¹³, 74A¹⁰, 37A¹⁶, 111A¹⁹, 74A²², 111A²²</t>
        </is>
      </c>
    </row>
    <row r="804">
      <c r="A804">
        <f>HYPERLINK("https://mathstats.uncg.edu/sites/pauli/congruence/csg4.html#group38A4", "38A⁴")</f>
        <v/>
      </c>
      <c r="B804" t="n">
        <v>4</v>
      </c>
      <c r="C804" t="inlineStr">
        <is>
          <t>Γ₀(38)</t>
        </is>
      </c>
      <c r="D804" t="inlineStr">
        <is>
          <t>60</t>
        </is>
      </c>
      <c r="E804" t="inlineStr">
        <is>
          <t>1</t>
        </is>
      </c>
      <c r="F804" t="inlineStr">
        <is>
          <t>60</t>
        </is>
      </c>
      <c r="G804" t="inlineStr">
        <is>
          <t>0</t>
        </is>
      </c>
      <c r="H804" t="inlineStr">
        <is>
          <t>0</t>
        </is>
      </c>
      <c r="I804" t="inlineStr">
        <is>
          <t>1¹, 2¹, 19¹, 38¹</t>
        </is>
      </c>
      <c r="J804" t="n">
        <v>4</v>
      </c>
      <c r="K804" t="inlineStr">
        <is>
          <t>1⁶, 18³</t>
        </is>
      </c>
      <c r="L804" t="inlineStr">
        <is>
          <t>2B⁰, 19A¹</t>
        </is>
      </c>
      <c r="M804" t="inlineStr">
        <is>
          <t>38A⁸, 76A⁸, 76A⁹, 38A¹⁰, 114A¹⁴, 114B¹⁴, 114A¹⁷, 190A²⁴</t>
        </is>
      </c>
      <c r="N804" t="inlineStr">
        <is>
          <t>19A¹, 1A⁰, 2B⁰</t>
        </is>
      </c>
      <c r="O804" t="inlineStr">
        <is>
          <t>152A¹⁹, 114B¹⁴, 38C²², 152B¹⁸, 76A⁸, 152B¹⁹, 76A¹⁸, 114A¹⁷, 76C¹⁶, 76C¹⁸, 38A¹⁰, 76A¹⁷, 190A²⁴, 76A²², 38A⁸, 152A¹⁶, 152A¹⁷, 114A¹⁴, 76A⁹, 152A¹⁸, 76A¹⁶</t>
        </is>
      </c>
    </row>
    <row r="805">
      <c r="A805">
        <f>HYPERLINK("https://mathstats.uncg.edu/sites/pauli/congruence/csg4.html#group38B4", "38B⁴")</f>
        <v/>
      </c>
      <c r="B805" t="n">
        <v>4</v>
      </c>
      <c r="C805" t="inlineStr"/>
      <c r="D805" t="inlineStr">
        <is>
          <t>120</t>
        </is>
      </c>
      <c r="E805" t="inlineStr">
        <is>
          <t>1</t>
        </is>
      </c>
      <c r="F805" t="inlineStr">
        <is>
          <t>20</t>
        </is>
      </c>
      <c r="G805" t="inlineStr">
        <is>
          <t>0</t>
        </is>
      </c>
      <c r="H805" t="inlineStr">
        <is>
          <t>12</t>
        </is>
      </c>
      <c r="I805" t="inlineStr">
        <is>
          <t>2³, 38³</t>
        </is>
      </c>
      <c r="J805" t="n">
        <v>6</v>
      </c>
      <c r="K805" t="inlineStr">
        <is>
          <t>1², 18¹</t>
        </is>
      </c>
      <c r="L805" t="inlineStr">
        <is>
          <t>19B¹, 38A²</t>
        </is>
      </c>
      <c r="M805" t="inlineStr">
        <is>
          <t>76A¹⁰, 38A¹⁶, 38B²², 38C²², 114A²², 114B²²</t>
        </is>
      </c>
      <c r="N805" t="inlineStr">
        <is>
          <t>19A¹, 2A⁰, 19B¹, 38A², 1A⁰</t>
        </is>
      </c>
      <c r="O805" t="inlineStr">
        <is>
          <t>76A¹⁰, 38A¹⁶, 114B²², 38B²², 114A²², 38C²²</t>
        </is>
      </c>
    </row>
    <row r="806">
      <c r="A806">
        <f>HYPERLINK("https://mathstats.uncg.edu/sites/pauli/congruence/csg4.html#group39A4", "39A⁴")</f>
        <v/>
      </c>
      <c r="B806" t="n">
        <v>4</v>
      </c>
      <c r="C806" t="inlineStr"/>
      <c r="D806" t="inlineStr">
        <is>
          <t>84</t>
        </is>
      </c>
      <c r="E806" t="inlineStr">
        <is>
          <t>1</t>
        </is>
      </c>
      <c r="F806" t="inlineStr">
        <is>
          <t>42</t>
        </is>
      </c>
      <c r="G806" t="inlineStr">
        <is>
          <t>8</t>
        </is>
      </c>
      <c r="H806" t="inlineStr">
        <is>
          <t>0</t>
        </is>
      </c>
      <c r="I806" t="inlineStr">
        <is>
          <t>3², 39²</t>
        </is>
      </c>
      <c r="J806" t="n">
        <v>4</v>
      </c>
      <c r="K806" t="inlineStr">
        <is>
          <t>1², 2², 12¹, 24¹</t>
        </is>
      </c>
      <c r="L806" t="inlineStr">
        <is>
          <t>39A²</t>
        </is>
      </c>
      <c r="M806" t="inlineStr">
        <is>
          <t>39A⁹, 78B⁹, 39B¹⁰, 39B¹¹, 78E¹¹, 78C¹³, 78C¹⁶, 117A¹⁶, 117A¹⁸, 156E²³</t>
        </is>
      </c>
      <c r="N806" t="inlineStr">
        <is>
          <t>3A⁰, 39A², 1A⁰, 13A⁰</t>
        </is>
      </c>
      <c r="O806" t="inlineStr">
        <is>
          <t>39B¹⁰, 156E²³, 78C¹⁶, 39B²¹, 78D²³, 156B²³, 39A⁹, 78A²¹, 78B⁹, 78C¹³, 156A²³, 78E¹¹, 117A¹⁶, 39B¹¹, 117A¹⁸, 156H²³, 39A¹⁹</t>
        </is>
      </c>
    </row>
    <row r="807">
      <c r="A807">
        <f>HYPERLINK("https://mathstats.uncg.edu/sites/pauli/congruence/csg4.html#group39B4", "39B⁴")</f>
        <v/>
      </c>
      <c r="B807" t="n">
        <v>4</v>
      </c>
      <c r="C807" t="inlineStr"/>
      <c r="D807" t="inlineStr">
        <is>
          <t>84</t>
        </is>
      </c>
      <c r="E807" t="inlineStr">
        <is>
          <t>2</t>
        </is>
      </c>
      <c r="F807" t="inlineStr">
        <is>
          <t>14</t>
        </is>
      </c>
      <c r="G807" t="inlineStr">
        <is>
          <t>0</t>
        </is>
      </c>
      <c r="H807" t="inlineStr">
        <is>
          <t>6</t>
        </is>
      </c>
      <c r="I807" t="inlineStr">
        <is>
          <t>3², 39²</t>
        </is>
      </c>
      <c r="J807" t="n">
        <v>4</v>
      </c>
      <c r="K807" t="inlineStr">
        <is>
          <t>2², 24¹</t>
        </is>
      </c>
      <c r="L807" t="inlineStr">
        <is>
          <t>13B⁰, 39A¹</t>
        </is>
      </c>
      <c r="M807" t="inlineStr">
        <is>
          <t>78C⁹, 39A¹⁶, 78C¹⁸, 39B¹⁹</t>
        </is>
      </c>
      <c r="N807" t="inlineStr">
        <is>
          <t>13A⁰, 13B⁰, 39A¹, 1A⁰</t>
        </is>
      </c>
      <c r="O807" t="inlineStr">
        <is>
          <t>78C⁹, 78C¹⁸, 39B¹⁹, 39A¹⁶, 156E¹⁹</t>
        </is>
      </c>
    </row>
    <row r="808">
      <c r="A808">
        <f>HYPERLINK("https://mathstats.uncg.edu/sites/pauli/congruence/csg4.html#group39C4", "39C⁴")</f>
        <v/>
      </c>
      <c r="B808" t="n">
        <v>4</v>
      </c>
      <c r="C808" t="inlineStr"/>
      <c r="D808" t="inlineStr">
        <is>
          <t>126</t>
        </is>
      </c>
      <c r="E808" t="inlineStr">
        <is>
          <t>1</t>
        </is>
      </c>
      <c r="F808" t="inlineStr">
        <is>
          <t>14</t>
        </is>
      </c>
      <c r="G808" t="inlineStr">
        <is>
          <t>18</t>
        </is>
      </c>
      <c r="H808" t="inlineStr">
        <is>
          <t>0</t>
        </is>
      </c>
      <c r="I808" t="inlineStr">
        <is>
          <t>3³, 39³</t>
        </is>
      </c>
      <c r="J808" t="n">
        <v>6</v>
      </c>
      <c r="K808" t="inlineStr">
        <is>
          <t>1², 12¹</t>
        </is>
      </c>
      <c r="L808" t="inlineStr">
        <is>
          <t>13C⁰, 39A¹, 39A²</t>
        </is>
      </c>
      <c r="M808" t="inlineStr">
        <is>
          <t>39B¹⁰, 78A¹⁰, 39B¹³, 78H¹³, 39A¹⁶, 78A¹⁶, 78A¹⁹, 78A²², 117A²²</t>
        </is>
      </c>
      <c r="N808" t="inlineStr">
        <is>
          <t>13A⁰, 39A², 13C⁰, 39A¹, 3A⁰, 1A⁰</t>
        </is>
      </c>
      <c r="O808" t="inlineStr">
        <is>
          <t>39B¹⁰, 78A²², 78A¹⁹, 117A²², 39B¹³, 78H¹³, 78A¹⁶, 78A¹⁰, 39A¹⁶</t>
        </is>
      </c>
    </row>
    <row r="809">
      <c r="A809">
        <f>HYPERLINK("https://mathstats.uncg.edu/sites/pauli/congruence/csg4.html#group40A4", "40A⁴")</f>
        <v/>
      </c>
      <c r="B809" t="n">
        <v>4</v>
      </c>
      <c r="C809" t="inlineStr"/>
      <c r="D809" t="inlineStr">
        <is>
          <t>60</t>
        </is>
      </c>
      <c r="E809" t="inlineStr">
        <is>
          <t>1</t>
        </is>
      </c>
      <c r="F809" t="inlineStr">
        <is>
          <t>15</t>
        </is>
      </c>
      <c r="G809" t="inlineStr">
        <is>
          <t>4</t>
        </is>
      </c>
      <c r="H809" t="inlineStr">
        <is>
          <t>0</t>
        </is>
      </c>
      <c r="I809" t="inlineStr">
        <is>
          <t>20¹, 40¹</t>
        </is>
      </c>
      <c r="J809" t="n">
        <v>2</v>
      </c>
      <c r="K809" t="inlineStr">
        <is>
          <t>1³, 4³</t>
        </is>
      </c>
      <c r="L809" t="inlineStr">
        <is>
          <t>8B⁰, 20B²</t>
        </is>
      </c>
      <c r="M809" t="inlineStr">
        <is>
          <t>40B⁸, 40F⁸, 80A⁸, 40A⁹, 80B⁹, 80D⁹, 40C¹⁰, 80A¹⁰, 120B¹², 120C¹², 40E¹⁷, 120A¹⁹</t>
        </is>
      </c>
      <c r="N809" t="inlineStr">
        <is>
          <t>5A⁰, 10B¹, 20B², 4C⁰, 8B⁰, 2B⁰, 1A⁰</t>
        </is>
      </c>
      <c r="O809" t="inlineStr">
        <is>
          <t>40B⁸, 40E¹⁷, 80G¹⁷, 80D⁹, 80A²⁴, 80A¹⁰, 40B²², 40A⁹, 160H¹⁹, 80F¹⁷, 40J²², 40N²², 80E¹⁸, 80H¹⁹, 160F¹⁹, 40G¹⁷, 160E¹⁹, 120A¹⁹, 80A⁸, 160D¹⁹, 40C¹⁶, 80B²², 80A¹⁹, 40O¹⁷, 80F¹⁹, 80B¹⁷, 40G²², 240B²⁴, 40F⁸, 120C¹², 80C¹⁹, 40F²¹, 160G¹⁹, 160B¹⁷, 40C¹⁰, 40A¹⁷, 40N¹⁷, 80C¹⁸, 80B¹⁹, 80B⁹, 40D²³, 240C²⁴, 80J¹⁷, 120B¹²</t>
        </is>
      </c>
    </row>
    <row r="810">
      <c r="A810">
        <f>HYPERLINK("https://mathstats.uncg.edu/sites/pauli/congruence/csg4.html#group40B4", "40B⁴")</f>
        <v/>
      </c>
      <c r="B810" t="n">
        <v>4</v>
      </c>
      <c r="C810" t="inlineStr"/>
      <c r="D810" t="inlineStr">
        <is>
          <t>60</t>
        </is>
      </c>
      <c r="E810" t="inlineStr">
        <is>
          <t>1</t>
        </is>
      </c>
      <c r="F810" t="inlineStr">
        <is>
          <t>30</t>
        </is>
      </c>
      <c r="G810" t="inlineStr">
        <is>
          <t>0</t>
        </is>
      </c>
      <c r="H810" t="inlineStr">
        <is>
          <t>0</t>
        </is>
      </c>
      <c r="I810" t="inlineStr">
        <is>
          <t>5², 10¹, 40¹</t>
        </is>
      </c>
      <c r="J810" t="n">
        <v>4</v>
      </c>
      <c r="K810" t="inlineStr">
        <is>
          <t>1⁴, 2¹, 4⁴, 8¹</t>
        </is>
      </c>
      <c r="L810" t="inlineStr">
        <is>
          <t>8C⁰, 20A²</t>
        </is>
      </c>
      <c r="M810" t="inlineStr">
        <is>
          <t>40A⁸, 40C⁸, 80B⁸, 80C⁸, 80A⁹, 40D¹⁰, 40G¹³, 120A¹⁴, 120D¹⁴, 120D¹⁷</t>
        </is>
      </c>
      <c r="N810" t="inlineStr">
        <is>
          <t>20A², 5A⁰, 8C⁰, 2B⁰, 4B⁰, 1A⁰, 10B¹</t>
        </is>
      </c>
      <c r="O810" t="inlineStr">
        <is>
          <t>80C⁸, 80C²², 160B¹⁹, 160A¹⁶, 40I²², 40A²², 40B¹⁶, 40A⁸, 80F²², 80B¹⁶, 40D²², 80C¹⁷, 80A¹⁶, 40M¹⁹, 80A¹⁸, 80B⁸, 80D²², 80A⁹, 120A¹⁴, 120D¹⁴, 160A¹⁸, 40G¹³, 40K²², 160A¹⁹, 160C¹⁹, 40A¹⁷, 80G²², 160A¹⁷, 40D¹⁰, 40C⁸, 80A¹⁷, 120D¹⁷</t>
        </is>
      </c>
    </row>
    <row r="811">
      <c r="A811">
        <f>HYPERLINK("https://mathstats.uncg.edu/sites/pauli/congruence/csg4.html#group40C4", "40C⁴")</f>
        <v/>
      </c>
      <c r="B811" t="n">
        <v>4</v>
      </c>
      <c r="C811" t="inlineStr"/>
      <c r="D811" t="inlineStr">
        <is>
          <t>60</t>
        </is>
      </c>
      <c r="E811" t="inlineStr">
        <is>
          <t>1</t>
        </is>
      </c>
      <c r="F811" t="inlineStr">
        <is>
          <t>30</t>
        </is>
      </c>
      <c r="G811" t="inlineStr">
        <is>
          <t>2</t>
        </is>
      </c>
      <c r="H811" t="inlineStr">
        <is>
          <t>0</t>
        </is>
      </c>
      <c r="I811" t="inlineStr">
        <is>
          <t>10², 40¹</t>
        </is>
      </c>
      <c r="J811" t="n">
        <v>3</v>
      </c>
      <c r="K811" t="inlineStr">
        <is>
          <t>1², 2², 4², 8²</t>
        </is>
      </c>
      <c r="L811" t="inlineStr">
        <is>
          <t>8D⁰, 20B²</t>
        </is>
      </c>
      <c r="M811" t="inlineStr">
        <is>
          <t>40A⁸, 40B⁸, 80D⁸, 40B⁹, 80C⁹, 40E¹⁰, 120A¹³, 120D¹³, 40D¹⁵, 120D¹⁸</t>
        </is>
      </c>
      <c r="N811" t="inlineStr">
        <is>
          <t>5A⁰, 8D⁰, 10B¹, 20B², 4C⁰, 2B⁰, 1A⁰</t>
        </is>
      </c>
      <c r="O811" t="inlineStr">
        <is>
          <t>40B⁸, 80G¹⁷, 40A²², 40B¹⁶, 40A⁸, 40I²¹, 120A¹³, 80H²², 40B²², 80A¹⁶, 40E¹⁰, 80A¹⁸, 40C¹⁸, 80F¹⁷, 80D⁸, 40B²⁰, 80E²², 120D¹³, 160C¹⁷, 40C¹⁶, 40B²⁴, 40B⁹, 40O¹⁷, 80B¹⁷, 80C¹⁹, 160D¹⁷, 160I¹⁹, 80G¹⁹, 80B¹⁸, 40D¹⁵, 40A¹⁷, 40H²³, 120D¹⁸, 40N¹⁷, 80C¹⁸, 80A¹⁷, 80C⁹</t>
        </is>
      </c>
    </row>
    <row r="812">
      <c r="A812">
        <f>HYPERLINK("https://mathstats.uncg.edu/sites/pauli/congruence/csg4.html#group40D4", "40D⁴")</f>
        <v/>
      </c>
      <c r="B812" t="n">
        <v>4</v>
      </c>
      <c r="C812" t="inlineStr"/>
      <c r="D812" t="inlineStr">
        <is>
          <t>80</t>
        </is>
      </c>
      <c r="E812" t="inlineStr">
        <is>
          <t>1</t>
        </is>
      </c>
      <c r="F812" t="inlineStr">
        <is>
          <t>20</t>
        </is>
      </c>
      <c r="G812" t="inlineStr">
        <is>
          <t>0</t>
        </is>
      </c>
      <c r="H812" t="inlineStr">
        <is>
          <t>8</t>
        </is>
      </c>
      <c r="I812" t="inlineStr">
        <is>
          <t>40²</t>
        </is>
      </c>
      <c r="J812" t="n">
        <v>2</v>
      </c>
      <c r="K812" t="inlineStr">
        <is>
          <t>2², 8²</t>
        </is>
      </c>
      <c r="L812" t="inlineStr">
        <is>
          <t>8E⁰, 20D², 40A²</t>
        </is>
      </c>
      <c r="M812" t="inlineStr">
        <is>
          <t>80E⁸, 40A¹⁴, 120A¹⁶, 120D¹⁶, 40A¹⁸, 40B¹⁸, 120E¹⁸, 120A²⁰, 40B²¹, 40C²¹, 120L²³</t>
        </is>
      </c>
      <c r="N812" t="inlineStr">
        <is>
          <t>2A⁰, 5A⁰, 10A⁰, 20D², 4A⁰, 4D⁰, 8A⁰, 8E⁰, 1A⁰, 20A¹, 40A²</t>
        </is>
      </c>
      <c r="O812" t="inlineStr">
        <is>
          <t>40B²¹, 120A²⁰, 40C²¹, 120L²³, 40B¹⁸, 80E⁸, 120D¹⁶, 40A¹⁴, 120E¹⁸, 120A¹⁶, 40A¹⁸</t>
        </is>
      </c>
    </row>
    <row r="813">
      <c r="A813">
        <f>HYPERLINK("https://mathstats.uncg.edu/sites/pauli/congruence/csg4.html#group42A4", "42A⁴")</f>
        <v/>
      </c>
      <c r="B813" t="n">
        <v>4</v>
      </c>
      <c r="C813" t="inlineStr"/>
      <c r="D813" t="inlineStr">
        <is>
          <t>42</t>
        </is>
      </c>
      <c r="E813" t="inlineStr">
        <is>
          <t>2</t>
        </is>
      </c>
      <c r="F813" t="inlineStr">
        <is>
          <t>7</t>
        </is>
      </c>
      <c r="G813" t="inlineStr">
        <is>
          <t>0</t>
        </is>
      </c>
      <c r="H813" t="inlineStr">
        <is>
          <t>0</t>
        </is>
      </c>
      <c r="I813" t="inlineStr">
        <is>
          <t>42¹</t>
        </is>
      </c>
      <c r="J813" t="n">
        <v>1</v>
      </c>
      <c r="K813" t="inlineStr">
        <is>
          <t>2¹, 6²</t>
        </is>
      </c>
      <c r="L813" t="inlineStr">
        <is>
          <t>21A⁰, 6A¹, 14A¹</t>
        </is>
      </c>
      <c r="M813" t="inlineStr">
        <is>
          <t>42A⁷, 42B⁷, 42C⁷, 42A¹⁰, 42C¹⁰, 126A¹¹, 42A¹³, 84A¹⁴, 210A¹⁸, 210A²¹</t>
        </is>
      </c>
      <c r="N813" t="inlineStr">
        <is>
          <t>2A⁰, 14A¹, 21A⁰, 6A¹, 3A⁰, 1A⁰, 7A⁰</t>
        </is>
      </c>
      <c r="O813" t="inlineStr">
        <is>
          <t>126D²¹, 84H²⁰, 42M¹⁹, 42B⁷, 84A¹⁴, 42C¹⁰, 126H²¹, 84F²⁰, 42A¹⁰, 42B¹⁹, 210A¹⁸, 42E¹⁹, 42A¹³, 210A²¹, 42F¹⁹, 126A¹¹, 42G¹⁹, 42K¹⁹, 126C²¹, 42D¹³, 126A²¹, 42C¹³, 126G²¹, 126F²¹, 42D¹⁹, 84B²⁰, 126B²¹, 42L¹⁹, 42E¹³, 84C²⁰, 42A⁷, 126I²¹, 42C⁷, 126E²⁰, 42J¹⁹, 126E²¹</t>
        </is>
      </c>
    </row>
    <row r="814">
      <c r="A814">
        <f>HYPERLINK("https://mathstats.uncg.edu/sites/pauli/congruence/csg4.html#group42B4", "42B⁴")</f>
        <v/>
      </c>
      <c r="B814" t="n">
        <v>4</v>
      </c>
      <c r="C814" t="inlineStr"/>
      <c r="D814" t="inlineStr">
        <is>
          <t>48</t>
        </is>
      </c>
      <c r="E814" t="inlineStr">
        <is>
          <t>1</t>
        </is>
      </c>
      <c r="F814" t="inlineStr">
        <is>
          <t>8</t>
        </is>
      </c>
      <c r="G814" t="inlineStr">
        <is>
          <t>0</t>
        </is>
      </c>
      <c r="H814" t="inlineStr">
        <is>
          <t>0</t>
        </is>
      </c>
      <c r="I814" t="inlineStr">
        <is>
          <t>6¹, 42¹</t>
        </is>
      </c>
      <c r="J814" t="n">
        <v>2</v>
      </c>
      <c r="K814" t="inlineStr">
        <is>
          <t>1², 6¹</t>
        </is>
      </c>
      <c r="L814" t="inlineStr">
        <is>
          <t>14B⁰, 6A¹, 21A²</t>
        </is>
      </c>
      <c r="M814" t="inlineStr">
        <is>
          <t>42E⁷, 84A⁸, 84B⁸, 42D¹⁰, 42E¹⁰, 42G¹⁰, 126B¹², 84C¹⁵, 210A²⁰, 210B²³</t>
        </is>
      </c>
      <c r="N814" t="inlineStr">
        <is>
          <t>2A⁰, 21A², 7B⁰, 14B⁰, 6A¹, 3A⁰, 1A⁰</t>
        </is>
      </c>
      <c r="O814" t="inlineStr">
        <is>
          <t>210B²³, 42Q¹⁹, 42G¹⁰, 252D²⁴, 42O¹⁹, 42P¹⁹, 84I²⁰, 84K²⁰, 84C¹⁵, 126D²³, 84E²², 84A⁸, 126H²³, 84B¹⁵, 84A¹⁵, 84B⁸, 84F²², 42E⁷, 126F²³, 84A²², 126B²³, 84A²¹, 42G¹³, 210A²⁰, 126E²³, 42E¹⁰, 252A²⁴, 252B²⁴, 84D²², 126B¹², 84F²¹, 84B²², 42D¹⁰, 84H²², 126M²¹</t>
        </is>
      </c>
    </row>
    <row r="815">
      <c r="A815">
        <f>HYPERLINK("https://mathstats.uncg.edu/sites/pauli/congruence/csg4.html#group42C4", "42C⁴")</f>
        <v/>
      </c>
      <c r="B815" t="n">
        <v>4</v>
      </c>
      <c r="C815" t="inlineStr"/>
      <c r="D815" t="inlineStr">
        <is>
          <t>48</t>
        </is>
      </c>
      <c r="E815" t="inlineStr">
        <is>
          <t>1</t>
        </is>
      </c>
      <c r="F815" t="inlineStr">
        <is>
          <t>24</t>
        </is>
      </c>
      <c r="G815" t="inlineStr">
        <is>
          <t>0</t>
        </is>
      </c>
      <c r="H815" t="inlineStr">
        <is>
          <t>0</t>
        </is>
      </c>
      <c r="I815" t="inlineStr">
        <is>
          <t>6¹, 42¹</t>
        </is>
      </c>
      <c r="J815" t="n">
        <v>2</v>
      </c>
      <c r="K815" t="inlineStr">
        <is>
          <t>1², 2², 6¹, 12¹</t>
        </is>
      </c>
      <c r="L815" t="inlineStr">
        <is>
          <t>6B⁰, 21A²</t>
        </is>
      </c>
      <c r="M815" t="inlineStr">
        <is>
          <t>42D⁷, 42E⁷, 42H¹⁰, 42I¹⁰, 126A¹², 126C¹², 126D¹², 84E¹⁵, 210B²⁰, 210E²³</t>
        </is>
      </c>
      <c r="N815" t="inlineStr">
        <is>
          <t>6B⁰, 21A², 3A⁰, 1A⁰, 7B⁰</t>
        </is>
      </c>
      <c r="O815" t="inlineStr">
        <is>
          <t>42E⁷, 126A¹², 126F²³, 42Q¹⁹, 42D⁷, 84D¹⁵, 42N¹⁹, 84C²¹, 126D¹², 126B²³, 126C²³, 42O¹⁹, 42G¹³, 42I¹⁰, 126E²³, 42P¹⁹, 126N²¹, 210E²³, 210B²⁰, 126A²³, 126L²¹, 126D²³, 126G²³, 126I²³, 126H²³, 42H¹⁰, 84E²¹, 84E¹⁵, 84B¹⁵, 126C¹², 84A¹⁵, 84H²¹, 42R¹⁹, 126M²¹</t>
        </is>
      </c>
    </row>
    <row r="816">
      <c r="A816">
        <f>HYPERLINK("https://mathstats.uncg.edu/sites/pauli/congruence/csg4.html#group42D4", "42D⁴")</f>
        <v/>
      </c>
      <c r="B816" t="n">
        <v>4</v>
      </c>
      <c r="C816" t="inlineStr"/>
      <c r="D816" t="inlineStr">
        <is>
          <t>56</t>
        </is>
      </c>
      <c r="E816" t="inlineStr">
        <is>
          <t>2</t>
        </is>
      </c>
      <c r="F816" t="inlineStr">
        <is>
          <t>28</t>
        </is>
      </c>
      <c r="G816" t="inlineStr">
        <is>
          <t>0</t>
        </is>
      </c>
      <c r="H816" t="inlineStr">
        <is>
          <t>2</t>
        </is>
      </c>
      <c r="I816" t="inlineStr">
        <is>
          <t>14¹, 42¹</t>
        </is>
      </c>
      <c r="J816" t="n">
        <v>2</v>
      </c>
      <c r="K816" t="inlineStr">
        <is>
          <t>2², 4¹, 6⁴, 12²</t>
        </is>
      </c>
      <c r="L816" t="inlineStr">
        <is>
          <t>14A⁰, 21B²</t>
        </is>
      </c>
      <c r="M816" t="inlineStr">
        <is>
          <t>42F⁷, 42D¹¹, 42F¹², 42G¹², 126E¹², 42B¹³, 126A¹³, 126A¹⁴, 42A¹⁵, 84A¹⁷, 210A²²</t>
        </is>
      </c>
      <c r="N816" t="inlineStr">
        <is>
          <t>3B⁰, 14A⁰, 21B², 1A⁰, 7A⁰</t>
        </is>
      </c>
      <c r="O816" t="inlineStr">
        <is>
          <t>126E¹², 42E²³, 126J²³, 42C²³, 126A²⁴, 42B¹³, 42A¹⁵, 42B²⁴, 42F²³, 42F⁷, 42D¹¹, 84G¹⁵, 42D²¹, 42G¹², 42I²³, 126A¹³, 42H²³, 210A²², 42F¹², 84A¹⁷, 126K²³, 126A¹⁴, 126L²³, 42G²³</t>
        </is>
      </c>
    </row>
    <row r="817">
      <c r="A817">
        <f>HYPERLINK("https://mathstats.uncg.edu/sites/pauli/congruence/csg4.html#group42E4", "42E⁴")</f>
        <v/>
      </c>
      <c r="B817" t="n">
        <v>4</v>
      </c>
      <c r="C817" t="inlineStr"/>
      <c r="D817" t="inlineStr">
        <is>
          <t>56</t>
        </is>
      </c>
      <c r="E817" t="inlineStr">
        <is>
          <t>2</t>
        </is>
      </c>
      <c r="F817" t="inlineStr">
        <is>
          <t>28</t>
        </is>
      </c>
      <c r="G817" t="inlineStr">
        <is>
          <t>0</t>
        </is>
      </c>
      <c r="H817" t="inlineStr">
        <is>
          <t>2</t>
        </is>
      </c>
      <c r="I817" t="inlineStr">
        <is>
          <t>14¹, 42¹</t>
        </is>
      </c>
      <c r="J817" t="n">
        <v>2</v>
      </c>
      <c r="K817" t="inlineStr">
        <is>
          <t>2², 4¹, 6⁴, 12²</t>
        </is>
      </c>
      <c r="L817" t="inlineStr">
        <is>
          <t>6C⁰, 14A¹, 21B²</t>
        </is>
      </c>
      <c r="M817" t="inlineStr">
        <is>
          <t>42F⁷, 84D⁸, 84E⁸, 42C¹², 42D¹², 42E¹², 126F¹², 126G¹², 42C¹³, 126B¹³, 126C¹³, 126B¹⁴, 126C¹⁴, 42B¹⁵, 84C¹⁷, 210B²²</t>
        </is>
      </c>
      <c r="N817" t="inlineStr">
        <is>
          <t>3B⁰, 2A⁰, 21B², 6C⁰, 14A¹, 1A⁰, 7A⁰</t>
        </is>
      </c>
      <c r="O817" t="inlineStr">
        <is>
          <t>84D⁸, 126G¹², 42E²³, 42C¹³, 126J²³, 210B²², 126A²⁴, 42B¹⁵, 84C¹⁷, 252E²⁴, 42F²³, 42B²⁴, 42F⁷, 84B²⁴, 126B¹⁴, 84E⁸, 42E¹², 42G²³, 252F²⁴, 42D²¹, 126B¹³, 42H²³, 126C¹³, 84A²⁴, 42D¹², 42D²³, 126F¹², 42C¹², 84G¹⁵, 126K²³, 126L²³, 126C¹⁴</t>
        </is>
      </c>
    </row>
    <row r="818">
      <c r="A818">
        <f>HYPERLINK("https://mathstats.uncg.edu/sites/pauli/congruence/csg4.html#group42F4", "42F⁴")</f>
        <v/>
      </c>
      <c r="B818" t="n">
        <v>4</v>
      </c>
      <c r="C818" t="inlineStr"/>
      <c r="D818" t="inlineStr">
        <is>
          <t>84</t>
        </is>
      </c>
      <c r="E818" t="inlineStr">
        <is>
          <t>2</t>
        </is>
      </c>
      <c r="F818" t="inlineStr">
        <is>
          <t>21</t>
        </is>
      </c>
      <c r="G818" t="inlineStr">
        <is>
          <t>12</t>
        </is>
      </c>
      <c r="H818" t="inlineStr">
        <is>
          <t>0</t>
        </is>
      </c>
      <c r="I818" t="inlineStr">
        <is>
          <t>42²</t>
        </is>
      </c>
      <c r="J818" t="n">
        <v>2</v>
      </c>
      <c r="K818" t="inlineStr">
        <is>
          <t>2¹, 4¹, 6², 12²</t>
        </is>
      </c>
      <c r="L818" t="inlineStr">
        <is>
          <t>6E⁰, 42B¹, 21D²</t>
        </is>
      </c>
      <c r="M818" t="inlineStr">
        <is>
          <t>42C⁹, 42B¹¹, 84E¹¹, 84F¹¹, 126J¹², 42C¹³, 42A¹⁴, 42E¹⁶, 126E¹⁷, 126H¹⁷, 126D¹⁸, 126E¹⁸, 126J¹⁸, 126K¹⁸, 42A²¹, 84N²¹</t>
        </is>
      </c>
      <c r="N818" t="inlineStr">
        <is>
          <t>21D², 6B⁰, 6E⁰, 21A⁰, 3C⁰, 42B¹, 3A⁰, 1A⁰, 7A⁰</t>
        </is>
      </c>
      <c r="O818" t="inlineStr">
        <is>
          <t>42C¹³, 42E¹⁶, 126E¹⁸, 126J¹², 126E¹⁷, 42B¹¹, 84N²¹, 84F¹¹, 42A¹⁴, 84A²³, 42C⁹, 126H¹⁷, 126D¹⁸, 42A²¹, 126J¹⁸, 84E¹¹, 126K¹⁸</t>
        </is>
      </c>
    </row>
    <row r="819">
      <c r="A819">
        <f>HYPERLINK("https://mathstats.uncg.edu/sites/pauli/congruence/csg4.html#group42G4", "42G⁴")</f>
        <v/>
      </c>
      <c r="B819" t="n">
        <v>4</v>
      </c>
      <c r="C819" t="inlineStr"/>
      <c r="D819" t="inlineStr">
        <is>
          <t>84</t>
        </is>
      </c>
      <c r="E819" t="inlineStr">
        <is>
          <t>2</t>
        </is>
      </c>
      <c r="F819" t="inlineStr">
        <is>
          <t>21</t>
        </is>
      </c>
      <c r="G819" t="inlineStr">
        <is>
          <t>12</t>
        </is>
      </c>
      <c r="H819" t="inlineStr">
        <is>
          <t>0</t>
        </is>
      </c>
      <c r="I819" t="inlineStr">
        <is>
          <t>42²</t>
        </is>
      </c>
      <c r="J819" t="n">
        <v>2</v>
      </c>
      <c r="K819" t="inlineStr">
        <is>
          <t>4³, 12⁶</t>
        </is>
      </c>
      <c r="L819" t="inlineStr">
        <is>
          <t>21D¹, 42B¹, 42A²</t>
        </is>
      </c>
      <c r="M819" t="inlineStr">
        <is>
          <t>42C⁹, 42B¹¹, 42D¹³, 42E¹⁴, 126E¹⁴, 42H¹⁶, 126A¹⁶, 126C¹⁶, 126B¹⁸, 126H¹⁸, 42E²¹, 84O²¹</t>
        </is>
      </c>
      <c r="N819" t="inlineStr">
        <is>
          <t>6B⁰, 42A², 21D¹, 21A⁰, 42B¹, 3A⁰, 1A⁰, 7A⁰</t>
        </is>
      </c>
      <c r="O819" t="inlineStr">
        <is>
          <t>42B¹¹, 42H¹⁶, 42D¹³, 126E¹⁴, 42E²¹, 84A²³, 126A¹⁶, 42C⁹, 126B¹⁸, 126C¹⁶, 126H¹⁸, 84O²¹, 42E¹⁴</t>
        </is>
      </c>
    </row>
    <row r="820">
      <c r="A820">
        <f>HYPERLINK("https://mathstats.uncg.edu/sites/pauli/congruence/csg4.html#group42H4", "42H⁴")</f>
        <v/>
      </c>
      <c r="B820" t="n">
        <v>4</v>
      </c>
      <c r="C820" t="inlineStr"/>
      <c r="D820" t="inlineStr">
        <is>
          <t>84</t>
        </is>
      </c>
      <c r="E820" t="inlineStr">
        <is>
          <t>2</t>
        </is>
      </c>
      <c r="F820" t="inlineStr">
        <is>
          <t>21</t>
        </is>
      </c>
      <c r="G820" t="inlineStr">
        <is>
          <t>12</t>
        </is>
      </c>
      <c r="H820" t="inlineStr">
        <is>
          <t>0</t>
        </is>
      </c>
      <c r="I820" t="inlineStr">
        <is>
          <t>42²</t>
        </is>
      </c>
      <c r="J820" t="n">
        <v>2</v>
      </c>
      <c r="K820" t="inlineStr">
        <is>
          <t>4³, 12⁶</t>
        </is>
      </c>
      <c r="L820" t="inlineStr">
        <is>
          <t>21D¹, 42B¹, 42A²</t>
        </is>
      </c>
      <c r="M820" t="inlineStr">
        <is>
          <t>42C⁹, 42B¹¹, 42D¹³, 42F¹⁴, 126F¹⁴, 42I¹⁶, 126B¹⁶, 126D¹⁶, 126C¹⁸, 126I¹⁸, 42E²¹, 84P²¹</t>
        </is>
      </c>
      <c r="N820" t="inlineStr">
        <is>
          <t>6B⁰, 42A², 21D¹, 21A⁰, 42B¹, 3A⁰, 1A⁰, 7A⁰</t>
        </is>
      </c>
      <c r="O820" t="inlineStr">
        <is>
          <t>42B¹¹, 42D¹³, 84P²¹, 126F¹⁴, 126D¹⁶, 126C¹⁸, 126I¹⁸, 42E²¹, 84A²³, 42C⁹, 42I¹⁶, 126B¹⁶, 42F¹⁴</t>
        </is>
      </c>
    </row>
    <row r="821">
      <c r="A821">
        <f>HYPERLINK("https://mathstats.uncg.edu/sites/pauli/congruence/csg4.html#group42I4", "42I⁴")</f>
        <v/>
      </c>
      <c r="B821" t="n">
        <v>4</v>
      </c>
      <c r="C821" t="inlineStr"/>
      <c r="D821" t="inlineStr">
        <is>
          <t>126</t>
        </is>
      </c>
      <c r="E821" t="inlineStr">
        <is>
          <t>1</t>
        </is>
      </c>
      <c r="F821" t="inlineStr">
        <is>
          <t>21</t>
        </is>
      </c>
      <c r="G821" t="inlineStr">
        <is>
          <t>24</t>
        </is>
      </c>
      <c r="H821" t="inlineStr">
        <is>
          <t>0</t>
        </is>
      </c>
      <c r="I821" t="inlineStr">
        <is>
          <t>42³</t>
        </is>
      </c>
      <c r="J821" t="n">
        <v>3</v>
      </c>
      <c r="K821" t="inlineStr">
        <is>
          <t>3¹, 6³</t>
        </is>
      </c>
      <c r="L821" t="inlineStr">
        <is>
          <t>14E¹, 21E¹</t>
        </is>
      </c>
      <c r="M821" t="inlineStr">
        <is>
          <t>42L¹¹, 42J¹³, 42K¹³, 42C¹⁵, 42B¹⁹, 126Q²¹, 42A²²</t>
        </is>
      </c>
      <c r="N821" t="inlineStr">
        <is>
          <t>21A⁰, 14E¹, 1A⁰, 3A⁰, 21E¹, 7D⁰, 7A⁰</t>
        </is>
      </c>
      <c r="O821" t="inlineStr">
        <is>
          <t>42A²², 42L¹¹, 42J¹³, 42K¹³, 126Q²¹, 42B¹⁹, 42C¹⁵</t>
        </is>
      </c>
    </row>
    <row r="822">
      <c r="A822">
        <f>HYPERLINK("https://mathstats.uncg.edu/sites/pauli/congruence/csg4.html#group44A4", "44A⁴")</f>
        <v/>
      </c>
      <c r="B822" t="n">
        <v>4</v>
      </c>
      <c r="C822" t="inlineStr"/>
      <c r="D822" t="inlineStr">
        <is>
          <t>48</t>
        </is>
      </c>
      <c r="E822" t="inlineStr">
        <is>
          <t>1</t>
        </is>
      </c>
      <c r="F822" t="inlineStr">
        <is>
          <t>12</t>
        </is>
      </c>
      <c r="G822" t="inlineStr">
        <is>
          <t>0</t>
        </is>
      </c>
      <c r="H822" t="inlineStr">
        <is>
          <t>0</t>
        </is>
      </c>
      <c r="I822" t="inlineStr">
        <is>
          <t>4¹, 44¹</t>
        </is>
      </c>
      <c r="J822" t="n">
        <v>2</v>
      </c>
      <c r="K822" t="inlineStr">
        <is>
          <t>1², 10¹</t>
        </is>
      </c>
      <c r="L822" t="inlineStr">
        <is>
          <t>22A²</t>
        </is>
      </c>
      <c r="M822" t="inlineStr">
        <is>
          <t>44B¹⁰, 132A¹², 132B¹², 44A¹³, 132B¹⁵, 44A¹⁶, 220A²⁰, 220B²³</t>
        </is>
      </c>
      <c r="N822" t="inlineStr">
        <is>
          <t>2A⁰, 1A⁰, 11A¹, 22A²</t>
        </is>
      </c>
      <c r="O822" t="inlineStr">
        <is>
          <t>44A¹³, 44B¹⁹, 220A²⁰, 132B²³, 132B¹⁵, 44A¹⁶, 132A¹², 132B¹², 220B²³, 44B¹⁰</t>
        </is>
      </c>
    </row>
    <row r="823">
      <c r="A823">
        <f>HYPERLINK("https://mathstats.uncg.edu/sites/pauli/congruence/csg4.html#group44B4", "44B⁴")</f>
        <v/>
      </c>
      <c r="B823" t="n">
        <v>4</v>
      </c>
      <c r="C823" t="inlineStr"/>
      <c r="D823" t="inlineStr">
        <is>
          <t>48</t>
        </is>
      </c>
      <c r="E823" t="inlineStr">
        <is>
          <t>1</t>
        </is>
      </c>
      <c r="F823" t="inlineStr">
        <is>
          <t>48</t>
        </is>
      </c>
      <c r="G823" t="inlineStr">
        <is>
          <t>0</t>
        </is>
      </c>
      <c r="H823" t="inlineStr">
        <is>
          <t>0</t>
        </is>
      </c>
      <c r="I823" t="inlineStr">
        <is>
          <t>4¹, 44¹</t>
        </is>
      </c>
      <c r="J823" t="n">
        <v>2</v>
      </c>
      <c r="K823" t="inlineStr">
        <is>
          <t>2⁴, 20²</t>
        </is>
      </c>
      <c r="L823" t="inlineStr">
        <is>
          <t>4A⁰, 11A¹</t>
        </is>
      </c>
      <c r="M823" t="inlineStr">
        <is>
          <t>44A⁷, 88A⁸, 44C¹⁰, 132D¹², 88C¹⁵, 132C¹⁵, 44B¹⁶, 220B²⁰, 220C²³</t>
        </is>
      </c>
      <c r="N823" t="inlineStr">
        <is>
          <t>1A⁰, 4A⁰, 11A¹</t>
        </is>
      </c>
      <c r="O823" t="inlineStr">
        <is>
          <t>88E²⁰, 44B¹⁶, 44C¹⁰, 88B¹⁵, 88A¹⁵, 88C¹⁵, 264B²⁴, 132F²³, 264A²⁴, 132D¹², 88A²², 220B²⁰, 132C¹⁵, 44A¹³, 88F²¹, 44A¹⁹, 220C²³, 88E²¹, 132G²³, 132E²³, 44A⁷, 88A⁸, 132C²³, 176A¹⁶</t>
        </is>
      </c>
    </row>
    <row r="824">
      <c r="A824">
        <f>HYPERLINK("https://mathstats.uncg.edu/sites/pauli/congruence/csg4.html#group44C4", "44C⁴")</f>
        <v/>
      </c>
      <c r="B824" t="n">
        <v>4</v>
      </c>
      <c r="C824" t="inlineStr"/>
      <c r="D824" t="inlineStr">
        <is>
          <t>66</t>
        </is>
      </c>
      <c r="E824" t="inlineStr">
        <is>
          <t>2</t>
        </is>
      </c>
      <c r="F824" t="inlineStr">
        <is>
          <t>33</t>
        </is>
      </c>
      <c r="G824" t="inlineStr">
        <is>
          <t>6</t>
        </is>
      </c>
      <c r="H824" t="inlineStr">
        <is>
          <t>0</t>
        </is>
      </c>
      <c r="I824" t="inlineStr">
        <is>
          <t>22¹, 44¹</t>
        </is>
      </c>
      <c r="J824" t="n">
        <v>2</v>
      </c>
      <c r="K824" t="inlineStr">
        <is>
          <t>2³, 10⁶</t>
        </is>
      </c>
      <c r="L824" t="inlineStr">
        <is>
          <t>4C⁰, 22B²</t>
        </is>
      </c>
      <c r="M824" t="inlineStr">
        <is>
          <t>88B⁸, 44A⁹, 88A⁹, 44A¹⁰, 88A¹¹, 132F¹², 132A²¹, 44A²²</t>
        </is>
      </c>
      <c r="N824" t="inlineStr">
        <is>
          <t>11A⁰, 2B⁰, 22B², 1A⁰, 4C⁰</t>
        </is>
      </c>
      <c r="O824" t="inlineStr">
        <is>
          <t>44A¹⁰, 88C²⁰, 176B¹⁹, 88A²⁰, 264C²⁴, 88A¹⁸, 176B²², 176B¹⁶, 176C²⁰, 88B²¹, 88A²¹, 132F¹², 176A¹⁹, 176A²², 88B⁸, 88A⁹, 88B¹⁸, 88A¹⁹, 88A¹¹, 44A²⁰, 44A²², 132A²¹, 88D²⁰, 44A⁹, 176C¹⁹</t>
        </is>
      </c>
    </row>
    <row r="825">
      <c r="A825">
        <f>HYPERLINK("https://mathstats.uncg.edu/sites/pauli/congruence/csg4.html#group44D4", "44D⁴")</f>
        <v/>
      </c>
      <c r="B825" t="n">
        <v>4</v>
      </c>
      <c r="C825" t="inlineStr">
        <is>
          <t>Γ₀(44)</t>
        </is>
      </c>
      <c r="D825" t="inlineStr">
        <is>
          <t>72</t>
        </is>
      </c>
      <c r="E825" t="inlineStr">
        <is>
          <t>1</t>
        </is>
      </c>
      <c r="F825" t="inlineStr">
        <is>
          <t>36</t>
        </is>
      </c>
      <c r="G825" t="inlineStr">
        <is>
          <t>0</t>
        </is>
      </c>
      <c r="H825" t="inlineStr">
        <is>
          <t>0</t>
        </is>
      </c>
      <c r="I825" t="inlineStr">
        <is>
          <t>1², 4¹, 11², 44¹</t>
        </is>
      </c>
      <c r="J825" t="n">
        <v>6</v>
      </c>
      <c r="K825" t="inlineStr">
        <is>
          <t>1⁶, 10³</t>
        </is>
      </c>
      <c r="L825" t="inlineStr">
        <is>
          <t>4B⁰, 22C²</t>
        </is>
      </c>
      <c r="M825" t="inlineStr">
        <is>
          <t>44B⁸, 88C⁸, 44B⁹, 88B⁹, 88B¹⁰, 44C¹⁶, 132B¹⁶, 132D¹⁹</t>
        </is>
      </c>
      <c r="N825" t="inlineStr">
        <is>
          <t>2B⁰, 4B⁰, 22C², 1A⁰, 11A¹</t>
        </is>
      </c>
      <c r="O825" t="inlineStr">
        <is>
          <t>88B¹⁹, 88G¹⁹, 176G¹⁹, 88C¹⁹, 88H¹⁹, 88B⁹, 88C²¹, 44B⁹, 44B⁸, 44D¹⁷, 44C¹⁶, 88C⁸, 176C²¹, 44B¹⁹, 44A¹⁹, 88D²¹, 88A¹⁷, 88D¹⁹, 176E¹⁹, 132D¹⁹, 132B¹⁶, 176D¹⁹, 176F¹⁹, 88E¹⁹, 176B²¹, 88F¹⁹, 88B¹⁰</t>
        </is>
      </c>
    </row>
    <row r="826">
      <c r="A826">
        <f>HYPERLINK("https://mathstats.uncg.edu/sites/pauli/congruence/csg4.html#group45A4", "45A⁴")</f>
        <v/>
      </c>
      <c r="B826" t="n">
        <v>4</v>
      </c>
      <c r="C826" t="inlineStr"/>
      <c r="D826" t="inlineStr">
        <is>
          <t>60</t>
        </is>
      </c>
      <c r="E826" t="inlineStr">
        <is>
          <t>1</t>
        </is>
      </c>
      <c r="F826" t="inlineStr">
        <is>
          <t>20</t>
        </is>
      </c>
      <c r="G826" t="inlineStr">
        <is>
          <t>0</t>
        </is>
      </c>
      <c r="H826" t="inlineStr">
        <is>
          <t>0</t>
        </is>
      </c>
      <c r="I826" t="inlineStr">
        <is>
          <t>5³, 45¹</t>
        </is>
      </c>
      <c r="J826" t="n">
        <v>4</v>
      </c>
      <c r="K826" t="inlineStr">
        <is>
          <t>1², 2¹, 4², 8¹</t>
        </is>
      </c>
      <c r="L826" t="inlineStr">
        <is>
          <t>9B⁰, 15B¹</t>
        </is>
      </c>
      <c r="M826" t="inlineStr">
        <is>
          <t>90B⁹, 45B¹⁰, 45B¹², 45C¹², 45D¹², 90C¹², 135A¹², 135B¹², 45C¹³, 45H¹³, 45O¹³, 135A¹³, 135C¹³, 135A¹⁴, 135B¹⁴, 180B¹⁹</t>
        </is>
      </c>
      <c r="N826" t="inlineStr">
        <is>
          <t>3B⁰, 9B⁰, 15B¹, 5A⁰, 1A⁰</t>
        </is>
      </c>
      <c r="O826" t="inlineStr">
        <is>
          <t>45B¹⁰, 135A¹², 45D¹², 135C¹³, 45H¹³, 135B¹⁴, 45B¹², 180A¹⁹, 45C¹², 135A¹³, 45H¹⁹, 180B¹⁹, 135B¹², 45C¹³, 90C¹², 45O¹³, 90B⁹, 135A¹⁴</t>
        </is>
      </c>
    </row>
    <row r="827">
      <c r="A827">
        <f>HYPERLINK("https://mathstats.uncg.edu/sites/pauli/congruence/csg4.html#group45B4", "45B⁴")</f>
        <v/>
      </c>
      <c r="B827" t="n">
        <v>4</v>
      </c>
      <c r="C827" t="inlineStr"/>
      <c r="D827" t="inlineStr">
        <is>
          <t>60</t>
        </is>
      </c>
      <c r="E827" t="inlineStr">
        <is>
          <t>2</t>
        </is>
      </c>
      <c r="F827" t="inlineStr">
        <is>
          <t>20</t>
        </is>
      </c>
      <c r="G827" t="inlineStr">
        <is>
          <t>0</t>
        </is>
      </c>
      <c r="H827" t="inlineStr">
        <is>
          <t>3</t>
        </is>
      </c>
      <c r="I827" t="inlineStr">
        <is>
          <t>15¹, 45¹</t>
        </is>
      </c>
      <c r="J827" t="n">
        <v>2</v>
      </c>
      <c r="K827" t="inlineStr">
        <is>
          <t>2², 4¹, 8⁴</t>
        </is>
      </c>
      <c r="L827" t="inlineStr">
        <is>
          <t>15B¹</t>
        </is>
      </c>
      <c r="M827" t="inlineStr">
        <is>
          <t>90D⁸, 45C¹⁰, 45B¹³, 45H¹³, 45I¹³, 90E¹⁴, 45A¹⁶, 180C¹⁹</t>
        </is>
      </c>
      <c r="N827" t="inlineStr">
        <is>
          <t>3B⁰, 15B¹, 1A⁰, 5A⁰</t>
        </is>
      </c>
      <c r="O827" t="inlineStr">
        <is>
          <t>90K²², 90E¹⁴, 45H¹³, 180B¹⁶, 45I¹³, 90D⁸, 45C¹⁰, 180C¹⁹, 45B¹³, 45A¹⁶</t>
        </is>
      </c>
    </row>
    <row r="828">
      <c r="A828">
        <f>HYPERLINK("https://mathstats.uncg.edu/sites/pauli/congruence/csg4.html#group45C4", "45C⁴")</f>
        <v/>
      </c>
      <c r="B828" t="n">
        <v>4</v>
      </c>
      <c r="C828" t="inlineStr"/>
      <c r="D828" t="inlineStr">
        <is>
          <t>108</t>
        </is>
      </c>
      <c r="E828" t="inlineStr">
        <is>
          <t>2</t>
        </is>
      </c>
      <c r="F828" t="inlineStr">
        <is>
          <t>54</t>
        </is>
      </c>
      <c r="G828" t="inlineStr">
        <is>
          <t>16</t>
        </is>
      </c>
      <c r="H828" t="inlineStr">
        <is>
          <t>0</t>
        </is>
      </c>
      <c r="I828" t="inlineStr">
        <is>
          <t>9², 45²</t>
        </is>
      </c>
      <c r="J828" t="n">
        <v>4</v>
      </c>
      <c r="K828" t="inlineStr">
        <is>
          <t>2⁶, 6⁴, 8³, 24²</t>
        </is>
      </c>
      <c r="L828" t="inlineStr">
        <is>
          <t>15C⁰, 45A²</t>
        </is>
      </c>
      <c r="M828" t="inlineStr">
        <is>
          <t>45E⁹, 90G⁹, 90K¹¹, 45N¹³, 45C¹⁵, 90L¹⁵, 45E¹⁶, 90H¹⁷, 45C¹⁸, 90G²⁰</t>
        </is>
      </c>
      <c r="N828" t="inlineStr">
        <is>
          <t>5B⁰, 45A², 15B⁰, 3A⁰, 1A⁰, 9A⁰, 15C⁰</t>
        </is>
      </c>
      <c r="O828" t="inlineStr">
        <is>
          <t>45C¹⁸, 45N¹³, 90N²¹, 90G⁹, 90G²⁰, 90L¹⁵, 45E⁹, 45D²³, 90K¹¹, 45E¹⁶, 45C¹⁵, 90H¹⁷</t>
        </is>
      </c>
    </row>
    <row r="829">
      <c r="A829">
        <f>HYPERLINK("https://mathstats.uncg.edu/sites/pauli/congruence/csg4.html#group46A4", "46A⁴")</f>
        <v/>
      </c>
      <c r="B829" t="n">
        <v>4</v>
      </c>
      <c r="C829" t="inlineStr"/>
      <c r="D829" t="inlineStr">
        <is>
          <t>48</t>
        </is>
      </c>
      <c r="E829" t="inlineStr">
        <is>
          <t>1</t>
        </is>
      </c>
      <c r="F829" t="inlineStr">
        <is>
          <t>24</t>
        </is>
      </c>
      <c r="G829" t="inlineStr">
        <is>
          <t>0</t>
        </is>
      </c>
      <c r="H829" t="inlineStr">
        <is>
          <t>0</t>
        </is>
      </c>
      <c r="I829" t="inlineStr">
        <is>
          <t>2¹, 46¹</t>
        </is>
      </c>
      <c r="J829" t="n">
        <v>2</v>
      </c>
      <c r="K829" t="inlineStr">
        <is>
          <t>1², 22¹</t>
        </is>
      </c>
      <c r="L829" t="inlineStr">
        <is>
          <t>2A⁰, 23A²</t>
        </is>
      </c>
      <c r="M829" t="inlineStr">
        <is>
          <t>92A⁸, 46A¹⁰, 138A¹², 138B¹², 92A¹⁵, 138B¹⁵, 230A²⁰, 230B²³</t>
        </is>
      </c>
      <c r="N829" t="inlineStr">
        <is>
          <t>2A⁰, 1A⁰, 23A²</t>
        </is>
      </c>
      <c r="O829" t="inlineStr">
        <is>
          <t>276C²⁴, 92A²², 138A¹², 92A²¹, 92A²⁰, 92A¹⁵, 138B¹⁵, 276A²⁴, 230A²⁰, 276B²⁴, 230B²³, 92A⁸, 46A¹⁰, 138B¹², 138B²³</t>
        </is>
      </c>
    </row>
    <row r="830">
      <c r="A830">
        <f>HYPERLINK("https://mathstats.uncg.edu/sites/pauli/congruence/csg4.html#group47A4", "47A⁴")</f>
        <v/>
      </c>
      <c r="B830" t="n">
        <v>4</v>
      </c>
      <c r="C830" t="inlineStr">
        <is>
          <t>Γ₀(47)</t>
        </is>
      </c>
      <c r="D830" t="inlineStr">
        <is>
          <t>48</t>
        </is>
      </c>
      <c r="E830" t="inlineStr">
        <is>
          <t>1</t>
        </is>
      </c>
      <c r="F830" t="inlineStr">
        <is>
          <t>48</t>
        </is>
      </c>
      <c r="G830" t="inlineStr">
        <is>
          <t>0</t>
        </is>
      </c>
      <c r="H830" t="inlineStr">
        <is>
          <t>0</t>
        </is>
      </c>
      <c r="I830" t="inlineStr">
        <is>
          <t>1¹, 47¹</t>
        </is>
      </c>
      <c r="J830" t="n">
        <v>2</v>
      </c>
      <c r="K830" t="inlineStr">
        <is>
          <t>1², 46¹</t>
        </is>
      </c>
      <c r="L830" t="inlineStr">
        <is>
          <t>1A⁰</t>
        </is>
      </c>
      <c r="M830" t="inlineStr">
        <is>
          <t>94A⁸, 94A¹¹, 141A¹², 141A¹⁵, 188B¹⁶, 235A²⁰, 235A²³</t>
        </is>
      </c>
      <c r="N830" t="inlineStr">
        <is>
          <t>1A⁰</t>
        </is>
      </c>
      <c r="O830" t="inlineStr">
        <is>
          <t>94A¹¹, 282A²⁴, 141A²³, 94A²², 235A²⁰, 188A¹⁶, 282C²⁴, 282B²⁴, 188B¹⁶, 94A⁸, 141A¹², 188A²³, 235A²³, 188A²², 141A¹⁵</t>
        </is>
      </c>
    </row>
    <row r="831">
      <c r="A831">
        <f>HYPERLINK("https://mathstats.uncg.edu/sites/pauli/congruence/csg4.html#group48A4", "48A⁴")</f>
        <v/>
      </c>
      <c r="B831" t="n">
        <v>4</v>
      </c>
      <c r="C831" t="inlineStr"/>
      <c r="D831" t="inlineStr">
        <is>
          <t>64</t>
        </is>
      </c>
      <c r="E831" t="inlineStr">
        <is>
          <t>2</t>
        </is>
      </c>
      <c r="F831" t="inlineStr">
        <is>
          <t>32</t>
        </is>
      </c>
      <c r="G831" t="inlineStr">
        <is>
          <t>0</t>
        </is>
      </c>
      <c r="H831" t="inlineStr">
        <is>
          <t>4</t>
        </is>
      </c>
      <c r="I831" t="inlineStr">
        <is>
          <t>16¹, 48¹</t>
        </is>
      </c>
      <c r="J831" t="n">
        <v>2</v>
      </c>
      <c r="K831" t="inlineStr">
        <is>
          <t>8⁴, 16²</t>
        </is>
      </c>
      <c r="L831" t="inlineStr">
        <is>
          <t>16A⁰, 24A²</t>
        </is>
      </c>
      <c r="M831" t="inlineStr">
        <is>
          <t>48L⁷, 144A¹², 48A¹⁴, 48D¹⁵, 144A¹⁵, 144A¹⁶, 48A¹⁷, 240A²⁴</t>
        </is>
      </c>
      <c r="N831" t="inlineStr">
        <is>
          <t>8A⁰, 3B⁰, 1A⁰, 16A⁰, 24A², 4A⁰, 12A¹</t>
        </is>
      </c>
      <c r="O831" t="inlineStr">
        <is>
          <t>48L⁷, 48U¹³, 144A¹², 48D¹⁵, 48A¹⁷, 144A¹⁵, 144V²³, 144A¹⁶, 48A¹⁴, 240A²⁴</t>
        </is>
      </c>
    </row>
    <row r="832">
      <c r="A832">
        <f>HYPERLINK("https://mathstats.uncg.edu/sites/pauli/congruence/csg4.html#group48B4", "48B⁴")</f>
        <v/>
      </c>
      <c r="B832" t="n">
        <v>4</v>
      </c>
      <c r="C832" t="inlineStr"/>
      <c r="D832" t="inlineStr">
        <is>
          <t>72</t>
        </is>
      </c>
      <c r="E832" t="inlineStr">
        <is>
          <t>1</t>
        </is>
      </c>
      <c r="F832" t="inlineStr">
        <is>
          <t>6</t>
        </is>
      </c>
      <c r="G832" t="inlineStr">
        <is>
          <t>0</t>
        </is>
      </c>
      <c r="H832" t="inlineStr">
        <is>
          <t>0</t>
        </is>
      </c>
      <c r="I832" t="inlineStr">
        <is>
          <t>3⁴, 12¹, 48¹</t>
        </is>
      </c>
      <c r="J832" t="n">
        <v>6</v>
      </c>
      <c r="K832" t="inlineStr">
        <is>
          <t>1⁴, 2¹</t>
        </is>
      </c>
      <c r="L832" t="inlineStr">
        <is>
          <t>16C⁰, 24B²</t>
        </is>
      </c>
      <c r="M832" t="inlineStr">
        <is>
          <t>48R⁷, 48E⁸, 48J⁸, 96A⁸, 96B⁸, 48A⁹, 48F⁹, 96A⁹, 96G⁹, 96A¹⁰, 96B¹⁰, 144B¹⁶</t>
        </is>
      </c>
      <c r="N832" t="inlineStr">
        <is>
          <t>24B², 4B⁰, 16C⁰, 8C⁰, 12B¹, 2B⁰, 3A⁰, 1A⁰, 6D⁰</t>
        </is>
      </c>
      <c r="O832" t="inlineStr">
        <is>
          <t>48W¹⁷, 96Q¹⁹, 96A²¹, 48Q¹⁵, 96G¹⁹, 192D²¹, 48C¹⁸, 48G¹⁷, 48W¹³, 192B¹⁸, 48AC¹⁷, 192A¹⁸, 48J¹⁷, 48H¹⁸, 96L¹⁷, 96M¹⁷, 48J⁸, 96A⁸, 48F⁹, 96A¹⁹, 192A²¹, 96S¹⁹, 96C¹⁹, 96I¹⁷, 48K¹⁷, 96AX¹⁹, 96E²¹, 96AW¹⁹, 96R¹⁹, 144B¹⁶, 192D¹⁹, 96E¹⁹, 48C¹⁹, 48O¹⁵, 96B¹⁹, 96B²¹, 192A²², 48D¹⁷, 96A¹⁰, 96I¹⁹, 96G⁹, 48A¹⁹, 96A¹⁷, 48P¹⁹, 48R⁷, 96B¹⁸, 48E⁸, 96P¹⁹, 96J¹⁷, 96F¹⁹, 192A¹⁹, 96A⁹, 192C¹⁹, 96K¹⁷, 96D¹⁹, 192B²¹, 192C²¹, 96D¹⁸, 96M¹⁵, 48N¹⁹, 48A⁹, 96O¹⁹, 96B⁸, 96N¹⁵, 192B²², 96AC¹⁷, 96B¹⁰, 192B¹⁹, 96H¹⁹, 96H²¹</t>
        </is>
      </c>
    </row>
    <row r="833">
      <c r="A833">
        <f>HYPERLINK("https://mathstats.uncg.edu/sites/pauli/congruence/csg4.html#group48C4", "48C⁴")</f>
        <v/>
      </c>
      <c r="B833" t="n">
        <v>4</v>
      </c>
      <c r="C833" t="inlineStr"/>
      <c r="D833" t="inlineStr">
        <is>
          <t>72</t>
        </is>
      </c>
      <c r="E833" t="inlineStr">
        <is>
          <t>1</t>
        </is>
      </c>
      <c r="F833" t="inlineStr">
        <is>
          <t>9</t>
        </is>
      </c>
      <c r="G833" t="inlineStr">
        <is>
          <t>8</t>
        </is>
      </c>
      <c r="H833" t="inlineStr">
        <is>
          <t>0</t>
        </is>
      </c>
      <c r="I833" t="inlineStr">
        <is>
          <t>24¹, 48¹</t>
        </is>
      </c>
      <c r="J833" t="n">
        <v>2</v>
      </c>
      <c r="K833" t="inlineStr">
        <is>
          <t>1³, 2³</t>
        </is>
      </c>
      <c r="L833" t="inlineStr">
        <is>
          <t>24A⁰</t>
        </is>
      </c>
      <c r="M833" t="inlineStr">
        <is>
          <t>48N⁷, 48AH⁷, 48K⁹, 48L⁹, 48X⁹, 48Y⁹, 48AB⁹, 48AE⁹, 48E¹¹, 48G¹¹, 48I¹¹, 144B¹², 144F¹⁶</t>
        </is>
      </c>
      <c r="N833" t="inlineStr">
        <is>
          <t>12C⁰, 24A⁰, 4C⁰, 8B⁰, 2B⁰, 3A⁰, 1A⁰, 6D⁰</t>
        </is>
      </c>
      <c r="O833" t="inlineStr">
        <is>
          <t>96Y²¹, 96AI²¹, 48BJ¹⁹, 48R²¹, 144F¹⁶, 48BK¹⁹, 48AN¹⁹, 48AE²¹, 48O²¹, 48BF²¹, 48X⁹, 48Q¹⁷, 48AH⁷, 48AA²¹, 48I¹¹, 48AC²¹, 48AD²¹, 144B¹², 48CD¹⁷, 48K⁹, 144Y²³, 48BC²¹, 48BD²¹, 48AZ¹⁹, 48AL²¹, 96AL²¹, 144X²³, 48BA¹⁹, 48AY¹⁹, 48AM²¹, 48BH¹⁹, 48AE⁹, 48Q²¹, 48BQ²¹, 48G¹¹, 48AW²¹, 48AK¹⁹, 48N¹⁷, 48S²¹, 48E¹¹, 96AJ²¹, 96AX²¹, 48C²¹, 96AY²¹, 48BR¹⁷, 96P¹⁷, 48AB⁹, 96AK²¹, 48BR²¹, 48AC¹⁹, 48CC¹⁷, 48AD¹⁹, 48M²¹, 48AW¹⁷, 48AO¹⁹, 96Q¹⁷, 48Y⁹, 48BQ¹⁷, 48L⁹, 48N⁷, 48AJ¹⁹, 48X¹³, 48AE¹⁹, 48AB¹⁹, 48AZ¹⁷, 48BF¹⁹, 48BI¹⁹, 96AA²¹</t>
        </is>
      </c>
    </row>
    <row r="834">
      <c r="A834">
        <f>HYPERLINK("https://mathstats.uncg.edu/sites/pauli/congruence/csg4.html#group48D4", "48D⁴")</f>
        <v/>
      </c>
      <c r="B834" t="n">
        <v>4</v>
      </c>
      <c r="C834" t="inlineStr"/>
      <c r="D834" t="inlineStr">
        <is>
          <t>72</t>
        </is>
      </c>
      <c r="E834" t="inlineStr">
        <is>
          <t>1</t>
        </is>
      </c>
      <c r="F834" t="inlineStr">
        <is>
          <t>12</t>
        </is>
      </c>
      <c r="G834" t="inlineStr">
        <is>
          <t>0</t>
        </is>
      </c>
      <c r="H834" t="inlineStr">
        <is>
          <t>0</t>
        </is>
      </c>
      <c r="I834" t="inlineStr">
        <is>
          <t>3², 6³, 48¹</t>
        </is>
      </c>
      <c r="J834" t="n">
        <v>6</v>
      </c>
      <c r="K834" t="inlineStr">
        <is>
          <t>1⁴, 2², 4¹</t>
        </is>
      </c>
      <c r="L834" t="inlineStr">
        <is>
          <t>16D⁰, 24B²</t>
        </is>
      </c>
      <c r="M834" t="inlineStr">
        <is>
          <t>48Y⁷, 48C⁸, 48E⁸, 48K⁸, 48M⁸, 48B⁹, 48P⁹, 144D¹⁶</t>
        </is>
      </c>
      <c r="N834" t="inlineStr">
        <is>
          <t>24B², 4B⁰, 16D⁰, 8C⁰, 12B¹, 2B⁰, 3A⁰, 1A⁰, 6D⁰</t>
        </is>
      </c>
      <c r="O834" t="inlineStr">
        <is>
          <t>96D²¹, 48AD¹⁷, 48B⁹, 48Q¹⁵, 48Z¹⁷, 48AP¹⁹, 96A¹⁸, 48D¹⁷, 144D¹⁶, 48C¹⁸, 96R²¹, 48Q¹⁹, 96A¹⁷, 48Y⁷, 96Z¹⁹, 48AC¹⁷, 48H¹⁸, 96B¹⁸, 48E⁸, 48Z¹³, 96P¹⁹, 48M⁸, 96C¹⁹, 48F¹⁵, 96C¹⁸, 48K⁸, 96K¹⁹, 96C²¹, 96K¹⁷, 96D¹⁸, 96Q²¹, 48AB¹⁷, 48P⁹, 48BS¹⁷, 48B¹⁹, 48N¹⁵, 48R¹⁵, 48C⁸, 48I¹⁷, 48H¹⁹</t>
        </is>
      </c>
    </row>
    <row r="835">
      <c r="A835">
        <f>HYPERLINK("https://mathstats.uncg.edu/sites/pauli/congruence/csg4.html#group48E4", "48E⁴")</f>
        <v/>
      </c>
      <c r="B835" t="n">
        <v>4</v>
      </c>
      <c r="C835" t="inlineStr"/>
      <c r="D835" t="inlineStr">
        <is>
          <t>72</t>
        </is>
      </c>
      <c r="E835" t="inlineStr">
        <is>
          <t>1</t>
        </is>
      </c>
      <c r="F835" t="inlineStr">
        <is>
          <t>12</t>
        </is>
      </c>
      <c r="G835" t="inlineStr">
        <is>
          <t>6</t>
        </is>
      </c>
      <c r="H835" t="inlineStr">
        <is>
          <t>0</t>
        </is>
      </c>
      <c r="I835" t="inlineStr">
        <is>
          <t>12², 48¹</t>
        </is>
      </c>
      <c r="J835" t="n">
        <v>3</v>
      </c>
      <c r="K835" t="inlineStr">
        <is>
          <t>1², 2¹, 4²</t>
        </is>
      </c>
      <c r="L835" t="inlineStr">
        <is>
          <t>16C¹, 24C¹</t>
        </is>
      </c>
      <c r="M835" t="inlineStr">
        <is>
          <t>48P⁷, 48O⁸, 48Q⁸, 48S⁹, 48U⁹, 48A¹⁰, 48C¹⁰, 96C¹⁰, 96D¹⁰, 144B¹⁵</t>
        </is>
      </c>
      <c r="N835" t="inlineStr">
        <is>
          <t>12C⁰, 8D⁰, 16C¹, 4C⁰, 24C¹, 2B⁰, 3A⁰, 1A⁰, 6D⁰</t>
        </is>
      </c>
      <c r="O835" t="inlineStr">
        <is>
          <t>96AC²¹, 48A¹⁰, 96L²⁰, 96AC¹⁹, 48AQ²¹, 48Y¹⁹, 48O⁸, 48P⁷, 48AI¹⁷, 96AD²¹, 48A¹⁶, 96F¹⁷, 96AU²¹, 96D²⁰, 48V¹⁵, 96AV²¹, 48J¹⁹, 96X¹⁷, 48U²¹, 96B²⁰, 48Z¹⁹, 48AP¹⁷, 48S⁹, 144B¹⁵, 96A²², 48C¹⁰, 96D²², 96C²⁰, 96B²², 96C¹⁰, 48E¹⁸, 96L¹⁹, 96A²⁰, 96K²⁰, 48U⁹, 48I¹⁹, 48AH¹⁷, 48AL¹⁷, 48Q⁸, 96M¹⁹, 48W¹⁹, 48I¹⁵, 48O¹⁹, 96E¹⁷, 96AD¹⁹, 48F¹⁹, 48B¹⁹, 96C²², 96AW²¹, 96Y¹⁷, 48H¹⁶, 48N¹⁸, 48C¹⁹, 48AE¹⁹, 96M²⁰, 48BU¹⁷, 48BM²¹, 96D¹⁰</t>
        </is>
      </c>
    </row>
    <row r="836">
      <c r="A836">
        <f>HYPERLINK("https://mathstats.uncg.edu/sites/pauli/congruence/csg4.html#group48F4", "48F⁴")</f>
        <v/>
      </c>
      <c r="B836" t="n">
        <v>4</v>
      </c>
      <c r="C836" t="inlineStr"/>
      <c r="D836" t="inlineStr">
        <is>
          <t>72</t>
        </is>
      </c>
      <c r="E836" t="inlineStr">
        <is>
          <t>1</t>
        </is>
      </c>
      <c r="F836" t="inlineStr">
        <is>
          <t>18</t>
        </is>
      </c>
      <c r="G836" t="inlineStr">
        <is>
          <t>0</t>
        </is>
      </c>
      <c r="H836" t="inlineStr">
        <is>
          <t>0</t>
        </is>
      </c>
      <c r="I836" t="inlineStr">
        <is>
          <t>3⁴, 12¹, 48¹</t>
        </is>
      </c>
      <c r="J836" t="n">
        <v>6</v>
      </c>
      <c r="K836" t="inlineStr">
        <is>
          <t>1⁴, 2⁵, 4¹</t>
        </is>
      </c>
      <c r="L836" t="inlineStr">
        <is>
          <t>24B²</t>
        </is>
      </c>
      <c r="M836" t="inlineStr">
        <is>
          <t>48Q⁷, 48R⁷, 48I⁸, 48K⁸, 48Y⁸, 48E⁹, 48G⁹, 48AA⁹, 144C¹⁶, 144G¹⁶</t>
        </is>
      </c>
      <c r="N836" t="inlineStr">
        <is>
          <t>24B², 4B⁰, 8C⁰, 12B¹, 2B⁰, 3A⁰, 1A⁰, 6D⁰</t>
        </is>
      </c>
      <c r="O836" t="inlineStr">
        <is>
          <t>96K²¹, 48I⁸, 48AD¹⁷, 48Q¹⁵, 48G¹⁷, 48BT¹⁷, 48W¹³, 96S¹⁷, 96P¹⁵, 48P¹⁹, 48AX¹⁹, 96O²¹, 48R⁷, 96T²¹, 48BP¹⁷, 96AQ²¹, 96L²¹, 48G⁹, 96J¹⁷, 144G¹⁶, 96F¹⁹, 48H¹⁷, 96I¹⁷, 48E⁹, 48K¹⁷, 48K⁸, 96D¹⁹, 48Y⁸, 48L¹⁹, 96N¹⁹, 96M¹⁵, 48F¹⁷, 48Q⁷, 144C¹⁶, 48M¹⁹, 48AA⁹, 48O¹⁹, 48BS¹⁷, 48X¹⁷, 48N¹⁵, 96N¹⁵, 48D¹⁹, 48O¹⁵, 48P¹⁵, 48I¹⁷, 48E¹⁷</t>
        </is>
      </c>
    </row>
    <row r="837">
      <c r="A837">
        <f>HYPERLINK("https://mathstats.uncg.edu/sites/pauli/congruence/csg4.html#group48G4", "48G⁴")</f>
        <v/>
      </c>
      <c r="B837" t="n">
        <v>4</v>
      </c>
      <c r="C837" t="inlineStr"/>
      <c r="D837" t="inlineStr">
        <is>
          <t>72</t>
        </is>
      </c>
      <c r="E837" t="inlineStr">
        <is>
          <t>1</t>
        </is>
      </c>
      <c r="F837" t="inlineStr">
        <is>
          <t>36</t>
        </is>
      </c>
      <c r="G837" t="inlineStr">
        <is>
          <t>0</t>
        </is>
      </c>
      <c r="H837" t="inlineStr">
        <is>
          <t>0</t>
        </is>
      </c>
      <c r="I837" t="inlineStr">
        <is>
          <t>3², 6³, 48¹</t>
        </is>
      </c>
      <c r="J837" t="n">
        <v>6</v>
      </c>
      <c r="K837" t="inlineStr">
        <is>
          <t>1⁴, 2⁶, 4³, 8¹</t>
        </is>
      </c>
      <c r="L837" t="inlineStr">
        <is>
          <t>24B²</t>
        </is>
      </c>
      <c r="M837" t="inlineStr">
        <is>
          <t>48X⁷, 48Y⁷, 48D⁸, 48I⁸, 48J⁸, 48L⁸, 48M⁸, 48Y⁸, 48O⁹, 48Q⁹, 48AC⁹, 144E¹⁶, 144H¹⁶</t>
        </is>
      </c>
      <c r="N837" t="inlineStr">
        <is>
          <t>24B², 4B⁰, 8C⁰, 12B¹, 2B⁰, 3A⁰, 1A⁰, 6D⁰</t>
        </is>
      </c>
      <c r="O837" t="inlineStr">
        <is>
          <t>48I⁸, 48W¹⁷, 48AD¹⁷, 96X²¹, 96Q¹⁹, 48Q¹⁵, 48Q⁹, 48Z¹⁷, 96U²¹, 48Y¹⁷, 48BT¹⁷, 96AS²¹, 48AA¹⁷, 48AC⁹, 48Y⁷, 48AC¹⁷, 48AW¹⁹, 96W²¹, 48L⁸, 48J¹⁷, 48BP¹⁷, 96L¹⁷, 48E¹⁵, 48Z¹³, 48M⁸, 96M¹⁷, 48J⁸, 48X⁷, 48H¹⁷, 48G¹⁹, 48F¹⁵, 96AX¹⁹, 48I¹⁹, 48Y⁸, 144H¹⁶, 96R¹⁹, 96V²¹, 96AR²¹, 48AB¹⁷, 48X¹⁷, 48BS¹⁷, 48N¹⁵, 48D⁸, 48R¹⁵, 48O⁹, 96AC¹⁷, 48O¹⁵, 48P¹⁵, 144E¹⁶</t>
        </is>
      </c>
    </row>
    <row r="838">
      <c r="A838">
        <f>HYPERLINK("https://mathstats.uncg.edu/sites/pauli/congruence/csg4.html#group48H4", "48H⁴")</f>
        <v/>
      </c>
      <c r="B838" t="n">
        <v>4</v>
      </c>
      <c r="C838" t="inlineStr"/>
      <c r="D838" t="inlineStr">
        <is>
          <t>72</t>
        </is>
      </c>
      <c r="E838" t="inlineStr">
        <is>
          <t>1</t>
        </is>
      </c>
      <c r="F838" t="inlineStr">
        <is>
          <t>36</t>
        </is>
      </c>
      <c r="G838" t="inlineStr">
        <is>
          <t>6</t>
        </is>
      </c>
      <c r="H838" t="inlineStr">
        <is>
          <t>0</t>
        </is>
      </c>
      <c r="I838" t="inlineStr">
        <is>
          <t>12², 48¹</t>
        </is>
      </c>
      <c r="J838" t="n">
        <v>3</v>
      </c>
      <c r="K838" t="inlineStr">
        <is>
          <t>1², 2³, 4³, 8²</t>
        </is>
      </c>
      <c r="L838" t="inlineStr">
        <is>
          <t>24C¹</t>
        </is>
      </c>
      <c r="M838" t="inlineStr">
        <is>
          <t>48AC⁷, 48N⁸, 48O⁸, 48P⁸, 48Z⁸, 48R⁹, 48S⁹, 48T⁹, 48AD⁹, 48B¹⁰, 48D¹⁰, 144C¹⁵, 144D¹⁵</t>
        </is>
      </c>
      <c r="N838" t="inlineStr">
        <is>
          <t>12C⁰, 8D⁰, 4C⁰, 24C¹, 2B⁰, 3A⁰, 1A⁰, 6D⁰</t>
        </is>
      </c>
      <c r="O838" t="inlineStr">
        <is>
          <t>48AD⁹, 96L²⁰, 48AC⁷, 48U¹⁵, 48Y¹⁹, 48Z⁸, 48O⁸, 48AI¹⁷, 48D¹⁰, 48AO¹⁷, 48AK¹⁷, 48BL²¹, 96AB¹⁹, 96AU²¹, 48L¹⁸, 48S¹⁸, 48V¹⁵, 96AV²¹, 48J¹⁹, 48AJ¹⁷, 48AX¹⁹, 48AW¹⁹, 48Z¹⁹, 48S⁹, 48BN²¹, 96F²⁰, 48N⁸, 48BX¹⁷, 48U¹⁹, 48X¹⁵, 48BV²¹, 48R⁹, 96F¹⁸, 48O¹⁸, 48AD¹⁹, 96G¹⁸, 48T⁹, 48G¹⁹, 144D¹⁵, 48X¹⁹, 48AS²¹, 96E²⁰, 96K²⁰, 48G¹⁶, 48AH¹⁷, 48AL¹⁷, 48P⁸, 144C¹⁵, 48B¹⁰, 48AZ¹⁹, 48W¹⁹, 48M¹⁹, 48F¹⁶, 48I¹⁶, 96E¹⁸, 48BV¹⁷, 48F¹⁹, 48V¹⁹, 48E¹⁹, 96AA¹⁹, 48BU¹⁷, 96AZ¹⁹, 48N¹⁹, 48H¹⁹</t>
        </is>
      </c>
    </row>
    <row r="839">
      <c r="A839">
        <f>HYPERLINK("https://mathstats.uncg.edu/sites/pauli/congruence/csg4.html#group48I4", "48I⁴")</f>
        <v/>
      </c>
      <c r="B839" t="n">
        <v>4</v>
      </c>
      <c r="C839" t="inlineStr"/>
      <c r="D839" t="inlineStr">
        <is>
          <t>96</t>
        </is>
      </c>
      <c r="E839" t="inlineStr">
        <is>
          <t>1</t>
        </is>
      </c>
      <c r="F839" t="inlineStr">
        <is>
          <t>8</t>
        </is>
      </c>
      <c r="G839" t="inlineStr">
        <is>
          <t>0</t>
        </is>
      </c>
      <c r="H839" t="inlineStr">
        <is>
          <t>12</t>
        </is>
      </c>
      <c r="I839" t="inlineStr">
        <is>
          <t>48²</t>
        </is>
      </c>
      <c r="J839" t="n">
        <v>2</v>
      </c>
      <c r="K839" t="inlineStr">
        <is>
          <t>4²</t>
        </is>
      </c>
      <c r="L839" t="inlineStr">
        <is>
          <t>16F⁰, 24E²</t>
        </is>
      </c>
      <c r="M839" t="inlineStr">
        <is>
          <t>48A²²</t>
        </is>
      </c>
      <c r="N839" t="inlineStr">
        <is>
          <t>2A⁰, 16A⁰, 6A⁰, 24E², 4A⁰, 16F⁰, 4D⁰, 12E¹, 8A⁰, 8E⁰, 1A⁰</t>
        </is>
      </c>
      <c r="O839" t="inlineStr">
        <is>
          <t>48A²²</t>
        </is>
      </c>
    </row>
    <row r="840">
      <c r="A840">
        <f>HYPERLINK("https://mathstats.uncg.edu/sites/pauli/congruence/csg4.html#group48J4", "48J⁴")</f>
        <v/>
      </c>
      <c r="B840" t="n">
        <v>4</v>
      </c>
      <c r="C840" t="inlineStr"/>
      <c r="D840" t="inlineStr">
        <is>
          <t>96</t>
        </is>
      </c>
      <c r="E840" t="inlineStr">
        <is>
          <t>1</t>
        </is>
      </c>
      <c r="F840" t="inlineStr">
        <is>
          <t>48</t>
        </is>
      </c>
      <c r="G840" t="inlineStr">
        <is>
          <t>0</t>
        </is>
      </c>
      <c r="H840" t="inlineStr">
        <is>
          <t>0</t>
        </is>
      </c>
      <c r="I840" t="inlineStr">
        <is>
          <t>2⁴, 6⁴, 16¹, 48¹</t>
        </is>
      </c>
      <c r="J840" t="n">
        <v>10</v>
      </c>
      <c r="K840" t="inlineStr">
        <is>
          <t>1⁴, 2⁴, 4⁵, 8²</t>
        </is>
      </c>
      <c r="L840" t="inlineStr">
        <is>
          <t>16E⁰, 24I²</t>
        </is>
      </c>
      <c r="M840" t="inlineStr">
        <is>
          <t>48AL⁷, 96E¹⁰, 96F¹⁰, 48AA¹¹, 48AB¹¹, 48G¹⁵, 144E¹⁵, 144A²⁰, 144B²⁰</t>
        </is>
      </c>
      <c r="N840" t="inlineStr">
        <is>
          <t>3B⁰, 16E⁰, 24I², 8D⁰, 12F¹, 4C⁰, 6F⁰, 2B⁰, 1A⁰</t>
        </is>
      </c>
      <c r="O840" t="inlineStr">
        <is>
          <t>96AI²³, 48G¹⁵, 48AG¹³, 48AA¹¹, 48CC²¹, 96BD¹⁹, 96BC¹⁹, 96AK²³, 144E¹⁵, 48CK¹⁷, 96F¹⁰, 144B²⁰, 48CM¹⁷, 48AL⁷, 144A²⁰, 48CF²¹, 48CO²¹, 96E¹⁰, 96AJ²³, 48CN²¹, 48AB¹¹, 96AL²³</t>
        </is>
      </c>
    </row>
    <row r="841">
      <c r="A841">
        <f>HYPERLINK("https://mathstats.uncg.edu/sites/pauli/congruence/csg4.html#group50A4", "50A⁴")</f>
        <v/>
      </c>
      <c r="B841" t="n">
        <v>4</v>
      </c>
      <c r="C841" t="inlineStr"/>
      <c r="D841" t="inlineStr">
        <is>
          <t>60</t>
        </is>
      </c>
      <c r="E841" t="inlineStr">
        <is>
          <t>1</t>
        </is>
      </c>
      <c r="F841" t="inlineStr">
        <is>
          <t>30</t>
        </is>
      </c>
      <c r="G841" t="inlineStr">
        <is>
          <t>4</t>
        </is>
      </c>
      <c r="H841" t="inlineStr">
        <is>
          <t>0</t>
        </is>
      </c>
      <c r="I841" t="inlineStr">
        <is>
          <t>10¹, 50¹</t>
        </is>
      </c>
      <c r="J841" t="n">
        <v>2</v>
      </c>
      <c r="K841" t="inlineStr">
        <is>
          <t>2², 4⁴, 20²</t>
        </is>
      </c>
      <c r="L841" t="inlineStr">
        <is>
          <t>10B⁰, 25A²</t>
        </is>
      </c>
      <c r="M841" t="inlineStr">
        <is>
          <t>50A⁹, 100E⁹, 50E¹², 150A¹², 50A¹⁶, 100A¹⁷, 150A¹⁹, 50A²⁰</t>
        </is>
      </c>
      <c r="N841" t="inlineStr">
        <is>
          <t>5B⁰, 25A², 1A⁰, 10B⁰</t>
        </is>
      </c>
      <c r="O841" t="inlineStr">
        <is>
          <t>50A⁹, 150A¹⁹, 100E⁹, 150A¹², 50E¹², 50A²⁰, 100A¹⁹, 100A¹⁷, 50A¹⁶</t>
        </is>
      </c>
    </row>
    <row r="842">
      <c r="A842">
        <f>HYPERLINK("https://mathstats.uncg.edu/sites/pauli/congruence/csg4.html#group50B4", "50B⁴")</f>
        <v/>
      </c>
      <c r="B842" t="n">
        <v>4</v>
      </c>
      <c r="C842" t="inlineStr"/>
      <c r="D842" t="inlineStr">
        <is>
          <t>60</t>
        </is>
      </c>
      <c r="E842" t="inlineStr">
        <is>
          <t>1</t>
        </is>
      </c>
      <c r="F842" t="inlineStr">
        <is>
          <t>30</t>
        </is>
      </c>
      <c r="G842" t="inlineStr">
        <is>
          <t>4</t>
        </is>
      </c>
      <c r="H842" t="inlineStr">
        <is>
          <t>0</t>
        </is>
      </c>
      <c r="I842" t="inlineStr">
        <is>
          <t>10¹, 50¹</t>
        </is>
      </c>
      <c r="J842" t="n">
        <v>2</v>
      </c>
      <c r="K842" t="inlineStr">
        <is>
          <t>2², 4⁴, 20²</t>
        </is>
      </c>
      <c r="L842" t="inlineStr">
        <is>
          <t>10B⁰, 25B²</t>
        </is>
      </c>
      <c r="M842" t="inlineStr">
        <is>
          <t>50B⁹, 100F⁹, 50F¹², 150B¹², 50B¹⁶, 100B¹⁷, 150B¹⁹, 50A²⁰</t>
        </is>
      </c>
      <c r="N842" t="inlineStr">
        <is>
          <t>5B⁰, 1A⁰, 25B², 10B⁰</t>
        </is>
      </c>
      <c r="O842" t="inlineStr">
        <is>
          <t>150B¹², 100F⁹, 50B⁹, 50B¹⁶, 100B¹⁷, 50F¹², 100B¹⁹, 50A²⁰, 150B¹⁹</t>
        </is>
      </c>
    </row>
    <row r="843">
      <c r="A843">
        <f>HYPERLINK("https://mathstats.uncg.edu/sites/pauli/congruence/csg4.html#group50C4", "50C⁴")</f>
        <v/>
      </c>
      <c r="B843" t="n">
        <v>4</v>
      </c>
      <c r="C843" t="inlineStr"/>
      <c r="D843" t="inlineStr">
        <is>
          <t>60</t>
        </is>
      </c>
      <c r="E843" t="inlineStr">
        <is>
          <t>1</t>
        </is>
      </c>
      <c r="F843" t="inlineStr">
        <is>
          <t>30</t>
        </is>
      </c>
      <c r="G843" t="inlineStr">
        <is>
          <t>4</t>
        </is>
      </c>
      <c r="H843" t="inlineStr">
        <is>
          <t>0</t>
        </is>
      </c>
      <c r="I843" t="inlineStr">
        <is>
          <t>10¹, 50¹</t>
        </is>
      </c>
      <c r="J843" t="n">
        <v>2</v>
      </c>
      <c r="K843" t="inlineStr">
        <is>
          <t>2², 4⁴, 20²</t>
        </is>
      </c>
      <c r="L843" t="inlineStr">
        <is>
          <t>10B⁰, 25C²</t>
        </is>
      </c>
      <c r="M843" t="inlineStr">
        <is>
          <t>50C⁹, 100G⁹, 50G¹², 150C¹², 50C¹⁶, 100C¹⁷, 150C¹⁹, 50A²⁰</t>
        </is>
      </c>
      <c r="N843" t="inlineStr">
        <is>
          <t>5B⁰, 1A⁰, 25C², 10B⁰</t>
        </is>
      </c>
      <c r="O843" t="inlineStr">
        <is>
          <t>50C¹⁶, 150C¹⁹, 100C¹⁷, 50G¹², 50A²⁰, 100G⁹, 50C⁹, 100C¹⁹, 150C¹²</t>
        </is>
      </c>
    </row>
    <row r="844">
      <c r="A844">
        <f>HYPERLINK("https://mathstats.uncg.edu/sites/pauli/congruence/csg4.html#group50D4", "50D⁴")</f>
        <v/>
      </c>
      <c r="B844" t="n">
        <v>4</v>
      </c>
      <c r="C844" t="inlineStr"/>
      <c r="D844" t="inlineStr">
        <is>
          <t>60</t>
        </is>
      </c>
      <c r="E844" t="inlineStr">
        <is>
          <t>1</t>
        </is>
      </c>
      <c r="F844" t="inlineStr">
        <is>
          <t>30</t>
        </is>
      </c>
      <c r="G844" t="inlineStr">
        <is>
          <t>4</t>
        </is>
      </c>
      <c r="H844" t="inlineStr">
        <is>
          <t>0</t>
        </is>
      </c>
      <c r="I844" t="inlineStr">
        <is>
          <t>10¹, 50¹</t>
        </is>
      </c>
      <c r="J844" t="n">
        <v>2</v>
      </c>
      <c r="K844" t="inlineStr">
        <is>
          <t>2², 4⁴, 20²</t>
        </is>
      </c>
      <c r="L844" t="inlineStr">
        <is>
          <t>10B⁰, 25D²</t>
        </is>
      </c>
      <c r="M844" t="inlineStr">
        <is>
          <t>50D⁹, 100H⁹, 50H¹², 150D¹², 50D¹⁶, 100D¹⁷, 150D¹⁹, 50A²⁰</t>
        </is>
      </c>
      <c r="N844" t="inlineStr">
        <is>
          <t>5B⁰, 1A⁰, 25D², 10B⁰</t>
        </is>
      </c>
      <c r="O844" t="inlineStr">
        <is>
          <t>50H¹², 50A²⁰, 100H⁹, 100D¹⁹, 150D¹⁹, 50D⁹, 150D¹², 100D¹⁷, 50D¹⁶</t>
        </is>
      </c>
    </row>
    <row r="845">
      <c r="A845">
        <f>HYPERLINK("https://mathstats.uncg.edu/sites/pauli/congruence/csg4.html#group50E4", "50E⁴")</f>
        <v/>
      </c>
      <c r="B845" t="n">
        <v>4</v>
      </c>
      <c r="C845" t="inlineStr"/>
      <c r="D845" t="inlineStr">
        <is>
          <t>100</t>
        </is>
      </c>
      <c r="E845" t="inlineStr">
        <is>
          <t>1</t>
        </is>
      </c>
      <c r="F845" t="inlineStr">
        <is>
          <t>50</t>
        </is>
      </c>
      <c r="G845" t="inlineStr">
        <is>
          <t>4</t>
        </is>
      </c>
      <c r="H845" t="inlineStr">
        <is>
          <t>10</t>
        </is>
      </c>
      <c r="I845" t="inlineStr">
        <is>
          <t>50²</t>
        </is>
      </c>
      <c r="J845" t="n">
        <v>2</v>
      </c>
      <c r="K845" t="inlineStr">
        <is>
          <t>2¹, 4², 20²</t>
        </is>
      </c>
      <c r="L845" t="inlineStr">
        <is>
          <t>10D⁰, 25E²</t>
        </is>
      </c>
      <c r="M845" t="inlineStr">
        <is>
          <t>50F⁹, 100J⁹, 50A¹⁷, 50B²², 50C²², 150A²²</t>
        </is>
      </c>
      <c r="N845" t="inlineStr">
        <is>
          <t>1A⁰, 5C⁰, 10D⁰, 25E²</t>
        </is>
      </c>
      <c r="O845" t="inlineStr">
        <is>
          <t>100R¹⁹, 50F⁹, 100J⁹, 150A²², 50C²², 50A¹⁷, 50B²²</t>
        </is>
      </c>
    </row>
    <row r="846">
      <c r="A846">
        <f>HYPERLINK("https://mathstats.uncg.edu/sites/pauli/congruence/csg4.html#group50F4", "50F⁴")</f>
        <v/>
      </c>
      <c r="B846" t="n">
        <v>4</v>
      </c>
      <c r="C846" t="inlineStr"/>
      <c r="D846" t="inlineStr">
        <is>
          <t>180</t>
        </is>
      </c>
      <c r="E846" t="inlineStr">
        <is>
          <t>1</t>
        </is>
      </c>
      <c r="F846" t="inlineStr">
        <is>
          <t>18</t>
        </is>
      </c>
      <c r="G846" t="inlineStr">
        <is>
          <t>0</t>
        </is>
      </c>
      <c r="H846" t="inlineStr">
        <is>
          <t>0</t>
        </is>
      </c>
      <c r="I846" t="inlineStr">
        <is>
          <t>1¹⁰, 2¹⁰, 25², 50²</t>
        </is>
      </c>
      <c r="J846" t="n">
        <v>24</v>
      </c>
      <c r="K846" t="inlineStr">
        <is>
          <t>1⁶, 4³</t>
        </is>
      </c>
      <c r="L846" t="inlineStr">
        <is>
          <t>10F⁰, 25B⁰, 50B²</t>
        </is>
      </c>
      <c r="M846" t="inlineStr">
        <is>
          <t>50E¹³, 100J¹³, 100N¹⁹</t>
        </is>
      </c>
      <c r="N846" t="inlineStr">
        <is>
          <t>25A⁰, 10C⁰, 5B⁰, 5D⁰, 2B⁰, 50B², 1A⁰, 25B⁰, 10F⁰</t>
        </is>
      </c>
      <c r="O846" t="inlineStr">
        <is>
          <t>100J¹³, 100N¹⁹, 50E¹³</t>
        </is>
      </c>
    </row>
    <row r="847">
      <c r="A847">
        <f>HYPERLINK("https://mathstats.uncg.edu/sites/pauli/congruence/csg4.html#group52A4", "52A⁴")</f>
        <v/>
      </c>
      <c r="B847" t="n">
        <v>4</v>
      </c>
      <c r="C847" t="inlineStr"/>
      <c r="D847" t="inlineStr">
        <is>
          <t>84</t>
        </is>
      </c>
      <c r="E847" t="inlineStr">
        <is>
          <t>1</t>
        </is>
      </c>
      <c r="F847" t="inlineStr">
        <is>
          <t>42</t>
        </is>
      </c>
      <c r="G847" t="inlineStr">
        <is>
          <t>4</t>
        </is>
      </c>
      <c r="H847" t="inlineStr">
        <is>
          <t>0</t>
        </is>
      </c>
      <c r="I847" t="inlineStr">
        <is>
          <t>1², 4¹, 13², 52¹</t>
        </is>
      </c>
      <c r="J847" t="n">
        <v>6</v>
      </c>
      <c r="K847" t="inlineStr">
        <is>
          <t>1⁶, 12³</t>
        </is>
      </c>
      <c r="L847" t="inlineStr">
        <is>
          <t>26A²</t>
        </is>
      </c>
      <c r="M847" t="inlineStr">
        <is>
          <t>52A⁹, 52B⁹, 104A⁹, 52A¹⁰, 52C¹¹, 104G¹¹, 156A¹⁶, 156B¹⁶, 156C²³</t>
        </is>
      </c>
      <c r="N847" t="inlineStr">
        <is>
          <t>13A⁰, 1A⁰, 26A², 2B⁰</t>
        </is>
      </c>
      <c r="O847" t="inlineStr">
        <is>
          <t>52C¹¹, 104G¹¹, 156C²³, 52A¹⁰, 104A²¹, 104J²³, 104A¹⁹, 104B²¹, 52C¹⁹, 52F²¹, 52D²³, 104D²¹, 52D²¹, 52B⁹, 104C²¹, 104A⁹, 156A¹⁶, 52A⁹, 52C²¹, 104A²³, 104S²³, 52B¹⁹, 156B¹⁶</t>
        </is>
      </c>
    </row>
    <row r="848">
      <c r="A848">
        <f>HYPERLINK("https://mathstats.uncg.edu/sites/pauli/congruence/csg4.html#group53A4", "53A⁴")</f>
        <v/>
      </c>
      <c r="B848" t="n">
        <v>4</v>
      </c>
      <c r="C848" t="inlineStr">
        <is>
          <t>Γ₀(53)</t>
        </is>
      </c>
      <c r="D848" t="inlineStr">
        <is>
          <t>54</t>
        </is>
      </c>
      <c r="E848" t="inlineStr">
        <is>
          <t>1</t>
        </is>
      </c>
      <c r="F848" t="inlineStr">
        <is>
          <t>54</t>
        </is>
      </c>
      <c r="G848" t="inlineStr">
        <is>
          <t>2</t>
        </is>
      </c>
      <c r="H848" t="inlineStr">
        <is>
          <t>0</t>
        </is>
      </c>
      <c r="I848" t="inlineStr">
        <is>
          <t>1¹, 53¹</t>
        </is>
      </c>
      <c r="J848" t="n">
        <v>2</v>
      </c>
      <c r="K848" t="inlineStr">
        <is>
          <t>1², 52¹</t>
        </is>
      </c>
      <c r="L848" t="inlineStr">
        <is>
          <t>1A⁰</t>
        </is>
      </c>
      <c r="M848" t="inlineStr">
        <is>
          <t>53A⁸, 106A⁸, 106A⁹, 106A¹², 159A¹², 159A¹⁷, 212A¹⁷, 265A²²</t>
        </is>
      </c>
      <c r="N848" t="inlineStr">
        <is>
          <t>1A⁰</t>
        </is>
      </c>
      <c r="O848" t="inlineStr">
        <is>
          <t>265A²², 212B¹⁷, 106A⁸, 159A¹⁷, 53A⁸, 212A²⁴, 106B²⁴, 106A²⁴, 159A¹², 106A¹⁷, 106A⁹, 159A²⁴, 318A²⁴, 212A¹⁷, 106A¹²</t>
        </is>
      </c>
    </row>
    <row r="849">
      <c r="A849">
        <f>HYPERLINK("https://mathstats.uncg.edu/sites/pauli/congruence/csg4.html#group54A4", "54A⁴")</f>
        <v/>
      </c>
      <c r="B849" t="n">
        <v>4</v>
      </c>
      <c r="C849" t="inlineStr"/>
      <c r="D849" t="inlineStr">
        <is>
          <t>72</t>
        </is>
      </c>
      <c r="E849" t="inlineStr">
        <is>
          <t>1</t>
        </is>
      </c>
      <c r="F849" t="inlineStr">
        <is>
          <t>12</t>
        </is>
      </c>
      <c r="G849" t="inlineStr">
        <is>
          <t>0</t>
        </is>
      </c>
      <c r="H849" t="inlineStr">
        <is>
          <t>0</t>
        </is>
      </c>
      <c r="I849" t="inlineStr">
        <is>
          <t>2³, 6², 54¹</t>
        </is>
      </c>
      <c r="J849" t="n">
        <v>6</v>
      </c>
      <c r="K849" t="inlineStr">
        <is>
          <t>1², 2², 6¹</t>
        </is>
      </c>
      <c r="L849" t="inlineStr">
        <is>
          <t>18C¹, 27A¹</t>
        </is>
      </c>
      <c r="M849" t="inlineStr">
        <is>
          <t>54A¹⁰, 54B¹⁰, 54E¹⁰, 108A¹⁰, 54D¹³, 54E¹³, 54J¹³, 54R¹³, 162A¹³, 162B¹³, 162A¹⁶, 162B¹⁶, 162C¹⁶, 162D¹⁶, 108A¹⁹</t>
        </is>
      </c>
      <c r="N849" t="inlineStr">
        <is>
          <t>3B⁰, 9B⁰, 2A⁰, 27A¹, 1A⁰, 18C¹, 6C⁰</t>
        </is>
      </c>
      <c r="O849" t="inlineStr">
        <is>
          <t>108A¹⁰, 54D¹³, 162B¹⁶, 162D¹⁶, 54E¹⁰, 108E²², 162A¹⁶, 108A¹⁹, 54A¹⁰, 54J¹³, 54R¹³, 162B¹³, 162C¹⁶, 162A¹³, 54B¹⁰, 54E¹³</t>
        </is>
      </c>
    </row>
    <row r="850">
      <c r="A850">
        <f>HYPERLINK("https://mathstats.uncg.edu/sites/pauli/congruence/csg4.html#group54B4", "54B⁴")</f>
        <v/>
      </c>
      <c r="B850" t="n">
        <v>4</v>
      </c>
      <c r="C850" t="inlineStr"/>
      <c r="D850" t="inlineStr">
        <is>
          <t>72</t>
        </is>
      </c>
      <c r="E850" t="inlineStr">
        <is>
          <t>1</t>
        </is>
      </c>
      <c r="F850" t="inlineStr">
        <is>
          <t>12</t>
        </is>
      </c>
      <c r="G850" t="inlineStr">
        <is>
          <t>0</t>
        </is>
      </c>
      <c r="H850" t="inlineStr">
        <is>
          <t>6</t>
        </is>
      </c>
      <c r="I850" t="inlineStr">
        <is>
          <t>18¹, 54¹</t>
        </is>
      </c>
      <c r="J850" t="n">
        <v>2</v>
      </c>
      <c r="K850" t="inlineStr">
        <is>
          <t>1², 2², 6¹</t>
        </is>
      </c>
      <c r="L850" t="inlineStr">
        <is>
          <t>18B⁰, 27B²</t>
        </is>
      </c>
      <c r="M850" t="inlineStr">
        <is>
          <t>108A⁸, 54C¹⁰, 54P¹³, 54T¹³, 54C¹⁶, 54F¹⁶, 54G¹⁶, 54L¹⁶, 108B²¹</t>
        </is>
      </c>
      <c r="N850" t="inlineStr">
        <is>
          <t>3B⁰, 2A⁰, 27B², 18B⁰, 6C⁰, 9C⁰, 1A⁰</t>
        </is>
      </c>
      <c r="O850" t="inlineStr">
        <is>
          <t>108B²², 54T¹³, 54F¹⁶, 54C¹⁶, 54G¹⁶, 54L¹⁶, 108B²¹, 54P¹³, 108A⁸, 54C¹⁰</t>
        </is>
      </c>
    </row>
    <row r="851">
      <c r="A851">
        <f>HYPERLINK("https://mathstats.uncg.edu/sites/pauli/congruence/csg4.html#group54C4", "54C⁴")</f>
        <v/>
      </c>
      <c r="B851" t="n">
        <v>4</v>
      </c>
      <c r="C851" t="inlineStr"/>
      <c r="D851" t="inlineStr">
        <is>
          <t>72</t>
        </is>
      </c>
      <c r="E851" t="inlineStr">
        <is>
          <t>1</t>
        </is>
      </c>
      <c r="F851" t="inlineStr">
        <is>
          <t>24</t>
        </is>
      </c>
      <c r="G851" t="inlineStr">
        <is>
          <t>0</t>
        </is>
      </c>
      <c r="H851" t="inlineStr">
        <is>
          <t>0</t>
        </is>
      </c>
      <c r="I851" t="inlineStr">
        <is>
          <t>2³, 6², 54¹</t>
        </is>
      </c>
      <c r="J851" t="n">
        <v>6</v>
      </c>
      <c r="K851" t="inlineStr">
        <is>
          <t>2⁶, 6²</t>
        </is>
      </c>
      <c r="L851" t="inlineStr">
        <is>
          <t>18C¹</t>
        </is>
      </c>
      <c r="M851" t="inlineStr">
        <is>
          <t>54A¹⁰, 54D¹⁰, 54H¹⁰, 108B¹⁰, 54G¹³, 54H¹³, 54I¹³, 54K¹³, 54M¹³, 54R¹³, 108C¹⁹</t>
        </is>
      </c>
      <c r="N851" t="inlineStr">
        <is>
          <t>3B⁰, 9B⁰, 2A⁰, 1A⁰, 18C¹, 6C⁰</t>
        </is>
      </c>
      <c r="O851" t="inlineStr">
        <is>
          <t>54H¹⁰, 108B¹⁰, 54I¹³, 54G¹³, 54M¹³, 108C¹⁹, 54H¹³, 108E²², 54A¹⁰, 54R¹³, 54D¹⁰, 54K¹³</t>
        </is>
      </c>
    </row>
    <row r="852">
      <c r="A852">
        <f>HYPERLINK("https://mathstats.uncg.edu/sites/pauli/congruence/csg4.html#group54D4", "54D⁴")</f>
        <v/>
      </c>
      <c r="B852" t="n">
        <v>4</v>
      </c>
      <c r="C852" t="inlineStr"/>
      <c r="D852" t="inlineStr">
        <is>
          <t>72</t>
        </is>
      </c>
      <c r="E852" t="inlineStr">
        <is>
          <t>1</t>
        </is>
      </c>
      <c r="F852" t="inlineStr">
        <is>
          <t>24</t>
        </is>
      </c>
      <c r="G852" t="inlineStr">
        <is>
          <t>0</t>
        </is>
      </c>
      <c r="H852" t="inlineStr">
        <is>
          <t>6</t>
        </is>
      </c>
      <c r="I852" t="inlineStr">
        <is>
          <t>18¹, 54¹</t>
        </is>
      </c>
      <c r="J852" t="n">
        <v>2</v>
      </c>
      <c r="K852" t="inlineStr">
        <is>
          <t>2⁶, 6²</t>
        </is>
      </c>
      <c r="L852" t="inlineStr">
        <is>
          <t>18B⁰</t>
        </is>
      </c>
      <c r="M852" t="inlineStr">
        <is>
          <t>108B⁸, 54F¹⁰, 54N¹³, 54S¹³, 54T¹³, 54F¹⁶, 54I¹⁶, 54J¹⁶, 54K¹⁶, 54M¹⁶, 108D²¹</t>
        </is>
      </c>
      <c r="N852" t="inlineStr">
        <is>
          <t>3B⁰, 2A⁰, 9C⁰, 1A⁰, 18B⁰, 6C⁰</t>
        </is>
      </c>
      <c r="O852" t="inlineStr">
        <is>
          <t>54F¹⁰, 54T¹³, 54F¹⁶, 54S¹³, 108B⁸, 54I¹⁶, 108D²¹, 54N¹³, 54K¹⁶, 54M¹⁶, 54J¹⁶, 108C²²</t>
        </is>
      </c>
    </row>
    <row r="853">
      <c r="A853">
        <f>HYPERLINK("https://mathstats.uncg.edu/sites/pauli/congruence/csg4.html#group54E4", "54E⁴")</f>
        <v/>
      </c>
      <c r="B853" t="n">
        <v>4</v>
      </c>
      <c r="C853" t="inlineStr">
        <is>
          <t>Γ₀(54)</t>
        </is>
      </c>
      <c r="D853" t="inlineStr">
        <is>
          <t>108</t>
        </is>
      </c>
      <c r="E853" t="inlineStr">
        <is>
          <t>1</t>
        </is>
      </c>
      <c r="F853" t="inlineStr">
        <is>
          <t>36</t>
        </is>
      </c>
      <c r="G853" t="inlineStr">
        <is>
          <t>0</t>
        </is>
      </c>
      <c r="H853" t="inlineStr">
        <is>
          <t>0</t>
        </is>
      </c>
      <c r="I853" t="inlineStr">
        <is>
          <t>1³, 2³, 3², 6², 27¹, 54¹</t>
        </is>
      </c>
      <c r="J853" t="n">
        <v>12</v>
      </c>
      <c r="K853" t="inlineStr">
        <is>
          <t>1⁶, 2⁶, 6³</t>
        </is>
      </c>
      <c r="L853" t="inlineStr">
        <is>
          <t>18E⁰, 27A¹</t>
        </is>
      </c>
      <c r="M853" t="inlineStr">
        <is>
          <t>54A¹⁰, 54I¹⁰, 108F¹⁰, 108A¹³, 54S¹⁶, 54T¹⁶, 162E¹⁶, 162A²², 162B²²</t>
        </is>
      </c>
      <c r="N853" t="inlineStr">
        <is>
          <t>3B⁰, 27A¹, 18E⁰, 6F⁰, 9B⁰, 2B⁰, 1A⁰</t>
        </is>
      </c>
      <c r="O853" t="inlineStr">
        <is>
          <t>216C²², 54S¹⁶, 108F¹⁰, 162E¹⁶, 162A²², 54T¹⁶, 108E²², 54A¹⁰, 54I¹⁰, 162B²², 108F²², 108A¹³</t>
        </is>
      </c>
    </row>
    <row r="854">
      <c r="A854">
        <f>HYPERLINK("https://mathstats.uncg.edu/sites/pauli/congruence/csg4.html#group55A4", "55A⁴")</f>
        <v/>
      </c>
      <c r="B854" t="n">
        <v>4</v>
      </c>
      <c r="C854" t="inlineStr"/>
      <c r="D854" t="inlineStr">
        <is>
          <t>66</t>
        </is>
      </c>
      <c r="E854" t="inlineStr">
        <is>
          <t>2</t>
        </is>
      </c>
      <c r="F854" t="inlineStr">
        <is>
          <t>66</t>
        </is>
      </c>
      <c r="G854" t="inlineStr">
        <is>
          <t>6</t>
        </is>
      </c>
      <c r="H854" t="inlineStr">
        <is>
          <t>0</t>
        </is>
      </c>
      <c r="I854" t="inlineStr">
        <is>
          <t>11¹, 55¹</t>
        </is>
      </c>
      <c r="J854" t="n">
        <v>2</v>
      </c>
      <c r="K854" t="inlineStr">
        <is>
          <t>2², 8¹, 10⁴, 40²</t>
        </is>
      </c>
      <c r="L854" t="inlineStr">
        <is>
          <t>5B⁰, 11A⁰</t>
        </is>
      </c>
      <c r="M854" t="inlineStr">
        <is>
          <t>110A⁸, 55A¹⁰, 110A¹¹, 165B¹², 110B¹⁴, 220C¹⁹, 165A²¹, 55A²², 55B²⁴, 275A²⁴</t>
        </is>
      </c>
      <c r="N854" t="inlineStr">
        <is>
          <t>5B⁰, 11A⁰, 1A⁰</t>
        </is>
      </c>
      <c r="O854" t="inlineStr">
        <is>
          <t>55B²⁴, 330D²⁴, 110A⁸, 220A¹⁹, 110A¹¹, 165A²¹, 220B¹⁹, 110A²¹, 165B¹², 55A²², 55A¹⁰, 220C¹⁹, 275A²⁴, 110B¹⁴</t>
        </is>
      </c>
    </row>
    <row r="855">
      <c r="A855">
        <f>HYPERLINK("https://mathstats.uncg.edu/sites/pauli/congruence/csg4.html#group56A4", "56A⁴")</f>
        <v/>
      </c>
      <c r="B855" t="n">
        <v>4</v>
      </c>
      <c r="C855" t="inlineStr"/>
      <c r="D855" t="inlineStr">
        <is>
          <t>64</t>
        </is>
      </c>
      <c r="E855" t="inlineStr">
        <is>
          <t>2</t>
        </is>
      </c>
      <c r="F855" t="inlineStr">
        <is>
          <t>32</t>
        </is>
      </c>
      <c r="G855" t="inlineStr">
        <is>
          <t>0</t>
        </is>
      </c>
      <c r="H855" t="inlineStr">
        <is>
          <t>4</t>
        </is>
      </c>
      <c r="I855" t="inlineStr">
        <is>
          <t>8¹, 56¹</t>
        </is>
      </c>
      <c r="J855" t="n">
        <v>2</v>
      </c>
      <c r="K855" t="inlineStr">
        <is>
          <t>4⁴, 24²</t>
        </is>
      </c>
      <c r="L855" t="inlineStr">
        <is>
          <t>8A⁰, 28A²</t>
        </is>
      </c>
      <c r="M855" t="inlineStr">
        <is>
          <t>56G⁷, 112A⁸, 56A¹⁴, 56B¹⁴, 168A¹⁴, 168B¹⁴, 168A¹⁶, 56D¹⁷, 168B¹⁹, 280A²⁴</t>
        </is>
      </c>
      <c r="N855" t="inlineStr">
        <is>
          <t>8A⁰, 7B⁰, 1A⁰, 4A⁰, 28A²</t>
        </is>
      </c>
      <c r="O855" t="inlineStr">
        <is>
          <t>168B¹⁴, 56G⁷, 56N¹³, 56B¹⁴, 56T²³, 112A⁸, 112L¹⁵, 112K¹⁵, 168B¹⁹, 280A²⁴, 56D¹⁷, 168A¹⁴, 168A¹⁶, 56A¹⁴</t>
        </is>
      </c>
    </row>
    <row r="856">
      <c r="A856">
        <f>HYPERLINK("https://mathstats.uncg.edu/sites/pauli/congruence/csg4.html#group56B4", "56B⁴")</f>
        <v/>
      </c>
      <c r="B856" t="n">
        <v>4</v>
      </c>
      <c r="C856" t="inlineStr"/>
      <c r="D856" t="inlineStr">
        <is>
          <t>84</t>
        </is>
      </c>
      <c r="E856" t="inlineStr">
        <is>
          <t>2</t>
        </is>
      </c>
      <c r="F856" t="inlineStr">
        <is>
          <t>21</t>
        </is>
      </c>
      <c r="G856" t="inlineStr">
        <is>
          <t>12</t>
        </is>
      </c>
      <c r="H856" t="inlineStr">
        <is>
          <t>0</t>
        </is>
      </c>
      <c r="I856" t="inlineStr">
        <is>
          <t>28¹, 56¹</t>
        </is>
      </c>
      <c r="J856" t="n">
        <v>2</v>
      </c>
      <c r="K856" t="inlineStr">
        <is>
          <t>2³, 6⁶</t>
        </is>
      </c>
      <c r="L856" t="inlineStr">
        <is>
          <t>8B⁰, 28C²</t>
        </is>
      </c>
      <c r="M856" t="inlineStr">
        <is>
          <t>112B⁸, 56B⁹, 56B¹⁰, 56C¹⁰, 56D¹⁰, 56E¹⁰, 112A¹⁰, 56A¹¹, 112A¹¹, 112B¹¹, 112E¹¹, 112F¹¹, 112A¹², 168A¹², 56D¹³, 56G¹⁴, 112A¹⁴, 56C²¹</t>
        </is>
      </c>
      <c r="N856" t="inlineStr">
        <is>
          <t>28C², 14B¹, 4C⁰, 8B⁰, 2B⁰, 1A⁰, 7A⁰</t>
        </is>
      </c>
      <c r="O856" t="inlineStr">
        <is>
          <t>56D¹³, 336I²⁴, 112B²¹, 56J²³, 112K²³, 112A¹², 168A¹², 56C²¹, 56D²³, 56G²², 56G¹⁴, 112V²⁴, 56B⁹, 112N²⁴, 112M²⁴, 56C¹⁰, 56N²³, 112D²³, 224A²³, 112Q²⁴, 224A²¹, 112C²³, 112N²³, 112R²⁴, 112J²³, 56D²², 112B⁸, 112K²⁴, 112A²³, 112A¹⁴, 56F²², 112A¹¹, 56J²¹, 56A¹¹, 112P²⁴, 56B¹⁰, 56E¹⁰, 112L²⁴, 112S²⁴, 112D²¹, 112T²⁴, 112A¹⁹, 112I²³, 112A²¹, 56I²³, 56D¹⁰, 112E²³, 112O²⁴, 112L²³, 112C²¹, 56H²³, 112H²³, 112E¹¹, 56E²², 112B¹¹, 224A¹⁹, 56M²³, 112U²⁴, 112A¹⁰, 112M²³, 112F¹¹, 56K²¹</t>
        </is>
      </c>
    </row>
    <row r="857">
      <c r="A857">
        <f>HYPERLINK("https://mathstats.uncg.edu/sites/pauli/congruence/csg4.html#group56C4", "56C⁴")</f>
        <v/>
      </c>
      <c r="B857" t="n">
        <v>4</v>
      </c>
      <c r="C857" t="inlineStr"/>
      <c r="D857" t="inlineStr">
        <is>
          <t>96</t>
        </is>
      </c>
      <c r="E857" t="inlineStr">
        <is>
          <t>1</t>
        </is>
      </c>
      <c r="F857" t="inlineStr">
        <is>
          <t>24</t>
        </is>
      </c>
      <c r="G857" t="inlineStr">
        <is>
          <t>0</t>
        </is>
      </c>
      <c r="H857" t="inlineStr">
        <is>
          <t>0</t>
        </is>
      </c>
      <c r="I857" t="inlineStr">
        <is>
          <t>1⁴, 7⁴, 8¹, 56¹</t>
        </is>
      </c>
      <c r="J857" t="n">
        <v>10</v>
      </c>
      <c r="K857" t="inlineStr">
        <is>
          <t>1⁶, 6³</t>
        </is>
      </c>
      <c r="L857" t="inlineStr">
        <is>
          <t>28D²</t>
        </is>
      </c>
      <c r="M857" t="inlineStr">
        <is>
          <t>56C⁹, 56F¹⁰, 56L¹¹, 168E²⁰, 168G²⁰, 168R²³</t>
        </is>
      </c>
      <c r="N857" t="inlineStr">
        <is>
          <t>2B⁰, 4B⁰, 1A⁰, 7B⁰, 28D², 14C¹</t>
        </is>
      </c>
      <c r="O857" t="inlineStr">
        <is>
          <t>56L²¹, 56F¹⁰, 168R²³, 56M²¹, 112F²¹, 112E²¹, 168G²⁰, 56L¹¹, 168E²⁰, 56C⁹, 56V²³</t>
        </is>
      </c>
    </row>
    <row r="858">
      <c r="A858">
        <f>HYPERLINK("https://mathstats.uncg.edu/sites/pauli/congruence/csg4.html#group58A4", "58A⁴")</f>
        <v/>
      </c>
      <c r="B858" t="n">
        <v>4</v>
      </c>
      <c r="C858" t="inlineStr"/>
      <c r="D858" t="inlineStr">
        <is>
          <t>60</t>
        </is>
      </c>
      <c r="E858" t="inlineStr">
        <is>
          <t>1</t>
        </is>
      </c>
      <c r="F858" t="inlineStr">
        <is>
          <t>30</t>
        </is>
      </c>
      <c r="G858" t="inlineStr">
        <is>
          <t>4</t>
        </is>
      </c>
      <c r="H858" t="inlineStr">
        <is>
          <t>0</t>
        </is>
      </c>
      <c r="I858" t="inlineStr">
        <is>
          <t>2¹, 58¹</t>
        </is>
      </c>
      <c r="J858" t="n">
        <v>2</v>
      </c>
      <c r="K858" t="inlineStr">
        <is>
          <t>1², 28¹</t>
        </is>
      </c>
      <c r="L858" t="inlineStr">
        <is>
          <t>29A²</t>
        </is>
      </c>
      <c r="M858" t="inlineStr">
        <is>
          <t>58A⁹, 116B⁹, 58B¹², 174A¹², 116A¹⁷, 174A¹⁹, 58A²², 290A²⁴</t>
        </is>
      </c>
      <c r="N858" t="inlineStr">
        <is>
          <t>1A⁰, 29A²</t>
        </is>
      </c>
      <c r="O858" t="inlineStr">
        <is>
          <t>116B⁹, 174A¹², 58A²², 116A¹⁹, 58B¹², 174A¹⁹, 58A⁹, 290A²⁴, 116A¹⁷</t>
        </is>
      </c>
    </row>
    <row r="859">
      <c r="A859">
        <f>HYPERLINK("https://mathstats.uncg.edu/sites/pauli/congruence/csg4.html#group60A4", "60A⁴")</f>
        <v/>
      </c>
      <c r="B859" t="n">
        <v>4</v>
      </c>
      <c r="C859" t="inlineStr"/>
      <c r="D859" t="inlineStr">
        <is>
          <t>60</t>
        </is>
      </c>
      <c r="E859" t="inlineStr">
        <is>
          <t>1</t>
        </is>
      </c>
      <c r="F859" t="inlineStr">
        <is>
          <t>20</t>
        </is>
      </c>
      <c r="G859" t="inlineStr">
        <is>
          <t>6</t>
        </is>
      </c>
      <c r="H859" t="inlineStr">
        <is>
          <t>0</t>
        </is>
      </c>
      <c r="I859" t="inlineStr">
        <is>
          <t>60¹</t>
        </is>
      </c>
      <c r="J859" t="n">
        <v>1</v>
      </c>
      <c r="K859" t="inlineStr">
        <is>
          <t>2², 8²</t>
        </is>
      </c>
      <c r="L859" t="inlineStr">
        <is>
          <t>12A⁰, 15A¹, 20A¹</t>
        </is>
      </c>
      <c r="M859" t="inlineStr">
        <is>
          <t>60D⁸, 60C⁹, 120A⁹, 120B⁹, 60A¹⁰, 60B¹⁰, 60B¹³, 180A¹³, 120C¹⁷, 60F¹⁹</t>
        </is>
      </c>
      <c r="N859" t="inlineStr">
        <is>
          <t>5A⁰, 12A⁰, 4A⁰, 20A¹, 3A⁰, 1A⁰, 15A¹</t>
        </is>
      </c>
      <c r="O859" t="inlineStr">
        <is>
          <t>120A⁹, 120A²⁰, 120B²⁰, 180A¹³, 60D⁸, 60E¹⁷, 240B¹⁹, 60B²², 120B⁹, 120C¹⁸, 60J²³, 120C¹⁷, 60F¹⁹, 60A¹⁰, 60A²⁴, 60B¹⁰, 60C¹⁹, 120C¹⁹, 120D¹⁹, 120F¹⁸, 240A¹⁹, 120B¹⁸, 60C²², 60G¹⁹, 60C⁹, 60B¹³</t>
        </is>
      </c>
    </row>
    <row r="860">
      <c r="A860">
        <f>HYPERLINK("https://mathstats.uncg.edu/sites/pauli/congruence/csg4.html#group60B4", "60B⁴")</f>
        <v/>
      </c>
      <c r="B860" t="n">
        <v>4</v>
      </c>
      <c r="C860" t="inlineStr"/>
      <c r="D860" t="inlineStr">
        <is>
          <t>80</t>
        </is>
      </c>
      <c r="E860" t="inlineStr">
        <is>
          <t>1</t>
        </is>
      </c>
      <c r="F860" t="inlineStr">
        <is>
          <t>20</t>
        </is>
      </c>
      <c r="G860" t="inlineStr">
        <is>
          <t>0</t>
        </is>
      </c>
      <c r="H860" t="inlineStr">
        <is>
          <t>8</t>
        </is>
      </c>
      <c r="I860" t="inlineStr">
        <is>
          <t>20¹, 60¹</t>
        </is>
      </c>
      <c r="J860" t="n">
        <v>2</v>
      </c>
      <c r="K860" t="inlineStr">
        <is>
          <t>1², 2¹, 4², 8¹</t>
        </is>
      </c>
      <c r="L860" t="inlineStr">
        <is>
          <t>12B⁰, 30D²</t>
        </is>
      </c>
      <c r="M860" t="inlineStr">
        <is>
          <t>180A¹², 60G¹⁴, 60T¹⁵, 60Y¹⁵, 180A¹⁵, 180B¹⁵, 180A¹⁶, 180B¹⁶, 180C¹⁶, 60L¹⁷, 180A¹⁷, 60A¹⁸, 60B¹⁸, 180B¹⁸, 60A¹⁹, 180A¹⁹, 180A²⁰, 180B²⁰, 180D²⁰, 60S²¹, 60T²¹</t>
        </is>
      </c>
      <c r="N860" t="inlineStr">
        <is>
          <t>3B⁰, 2A⁰, 5A⁰, 10A⁰, 30D², 6C⁰, 15B¹, 1A⁰, 12B⁰</t>
        </is>
      </c>
      <c r="O860" t="inlineStr">
        <is>
          <t>180B²⁰, 60B¹⁸, 180A²⁰, 60L¹⁷, 180D²⁰, 180B¹⁶, 180A¹⁹, 180B¹⁸, 180A¹⁵, 60S²¹, 180C¹⁶, 60T¹⁵, 60T²¹, 180B¹⁵, 60A¹⁸, 60Y¹⁵, 60A¹⁹, 180A¹⁶, 180A¹⁷, 60G¹⁴, 180A¹²</t>
        </is>
      </c>
    </row>
    <row r="861">
      <c r="A861">
        <f>HYPERLINK("https://mathstats.uncg.edu/sites/pauli/congruence/csg4.html#group60C4", "60C⁴")</f>
        <v/>
      </c>
      <c r="B861" t="n">
        <v>4</v>
      </c>
      <c r="C861" t="inlineStr"/>
      <c r="D861" t="inlineStr">
        <is>
          <t>108</t>
        </is>
      </c>
      <c r="E861" t="inlineStr">
        <is>
          <t>1</t>
        </is>
      </c>
      <c r="F861" t="inlineStr">
        <is>
          <t>18</t>
        </is>
      </c>
      <c r="G861" t="inlineStr">
        <is>
          <t>12</t>
        </is>
      </c>
      <c r="H861" t="inlineStr">
        <is>
          <t>0</t>
        </is>
      </c>
      <c r="I861" t="inlineStr">
        <is>
          <t>3², 12¹, 15², 60¹</t>
        </is>
      </c>
      <c r="J861" t="n">
        <v>6</v>
      </c>
      <c r="K861" t="inlineStr">
        <is>
          <t>1⁶, 4³</t>
        </is>
      </c>
      <c r="L861" t="inlineStr">
        <is>
          <t>20A⁰, 30E²</t>
        </is>
      </c>
      <c r="M861" t="inlineStr">
        <is>
          <t>60M⁹, 60N⁹, 60O¹¹, 60R¹¹, 120C¹¹, 120D¹¹, 60N¹³, 60W¹³, 120K¹³, 120L¹³, 60C¹⁵, 180H²⁰</t>
        </is>
      </c>
      <c r="N861" t="inlineStr">
        <is>
          <t>20A⁰, 15B⁰, 30E², 5B⁰, 10C⁰, 2B⁰, 3A⁰, 1A⁰, 6D⁰</t>
        </is>
      </c>
      <c r="O861" t="inlineStr">
        <is>
          <t>60X²¹, 60R²³, 60R¹¹, 120C¹¹, 120S²³, 60W²¹, 60O¹¹, 120L¹³, 60C¹⁵, 60N¹³, 120R²³, 60N⁹, 120D¹¹, 120O²¹, 180H²⁰, 60W¹³, 60N²³, 120K¹³, 120Q²³, 60M⁹</t>
        </is>
      </c>
    </row>
    <row r="862">
      <c r="A862">
        <f>HYPERLINK("https://mathstats.uncg.edu/sites/pauli/congruence/csg4.html#group61A4", "61A⁴")</f>
        <v/>
      </c>
      <c r="B862" t="n">
        <v>4</v>
      </c>
      <c r="C862" t="inlineStr">
        <is>
          <t>Γ₀(61)</t>
        </is>
      </c>
      <c r="D862" t="inlineStr">
        <is>
          <t>62</t>
        </is>
      </c>
      <c r="E862" t="inlineStr">
        <is>
          <t>1</t>
        </is>
      </c>
      <c r="F862" t="inlineStr">
        <is>
          <t>62</t>
        </is>
      </c>
      <c r="G862" t="inlineStr">
        <is>
          <t>2</t>
        </is>
      </c>
      <c r="H862" t="inlineStr">
        <is>
          <t>2</t>
        </is>
      </c>
      <c r="I862" t="inlineStr">
        <is>
          <t>1¹, 61¹</t>
        </is>
      </c>
      <c r="J862" t="n">
        <v>2</v>
      </c>
      <c r="K862" t="inlineStr">
        <is>
          <t>1², 60¹</t>
        </is>
      </c>
      <c r="L862" t="inlineStr">
        <is>
          <t>1A⁰</t>
        </is>
      </c>
      <c r="M862" t="inlineStr">
        <is>
          <t>61A⁸, 122A⁸, 122A⁹, 61A¹², 183A¹³, 122A¹⁴, 183A¹⁴, 61A¹⁶, 183A¹⁹, 244A¹⁹, 305A²⁴</t>
        </is>
      </c>
      <c r="N862" t="inlineStr">
        <is>
          <t>1A⁰</t>
        </is>
      </c>
      <c r="O862" t="inlineStr">
        <is>
          <t>122A⁸, 244A¹⁹, 183A¹⁹, 305A²⁴, 61A⁸, 183A¹⁴, 244A¹⁷, 61A¹⁶, 122A⁹, 183A¹³, 122A¹⁷, 122A¹⁴, 61A¹²</t>
        </is>
      </c>
    </row>
    <row r="863">
      <c r="A863">
        <f>HYPERLINK("https://mathstats.uncg.edu/sites/pauli/congruence/csg4.html#group62A4", "62A⁴")</f>
        <v/>
      </c>
      <c r="B863" t="n">
        <v>4</v>
      </c>
      <c r="C863" t="inlineStr"/>
      <c r="D863" t="inlineStr">
        <is>
          <t>64</t>
        </is>
      </c>
      <c r="E863" t="inlineStr">
        <is>
          <t>1</t>
        </is>
      </c>
      <c r="F863" t="inlineStr">
        <is>
          <t>32</t>
        </is>
      </c>
      <c r="G863" t="inlineStr">
        <is>
          <t>0</t>
        </is>
      </c>
      <c r="H863" t="inlineStr">
        <is>
          <t>4</t>
        </is>
      </c>
      <c r="I863" t="inlineStr">
        <is>
          <t>2¹, 62¹</t>
        </is>
      </c>
      <c r="J863" t="n">
        <v>2</v>
      </c>
      <c r="K863" t="inlineStr">
        <is>
          <t>1², 30¹</t>
        </is>
      </c>
      <c r="L863" t="inlineStr">
        <is>
          <t>2A⁰, 31A²</t>
        </is>
      </c>
      <c r="M863" t="inlineStr">
        <is>
          <t>124A⁸, 62A¹², 62A¹⁴, 62B¹⁴, 186A¹⁴, 186B¹⁴, 186A¹⁵, 62A¹⁶, 186A¹⁶, 124A¹⁹, 186B¹⁹, 310A²⁴</t>
        </is>
      </c>
      <c r="N863" t="inlineStr">
        <is>
          <t>2A⁰, 31A², 1A⁰</t>
        </is>
      </c>
      <c r="O863" t="inlineStr">
        <is>
          <t>124A⁸, 186A¹⁴, 186A¹⁶, 124A¹⁹, 186A¹⁵, 186B¹⁹, 186B¹⁴, 62A¹⁶, 310A²⁴, 62A¹², 62A¹⁴, 62B¹⁴</t>
        </is>
      </c>
    </row>
    <row r="864">
      <c r="A864">
        <f>HYPERLINK("https://mathstats.uncg.edu/sites/pauli/congruence/csg4.html#group63A4", "63A⁴")</f>
        <v/>
      </c>
      <c r="B864" t="n">
        <v>4</v>
      </c>
      <c r="C864" t="inlineStr"/>
      <c r="D864" t="inlineStr">
        <is>
          <t>96</t>
        </is>
      </c>
      <c r="E864" t="inlineStr">
        <is>
          <t>2</t>
        </is>
      </c>
      <c r="F864" t="inlineStr">
        <is>
          <t>32</t>
        </is>
      </c>
      <c r="G864" t="inlineStr">
        <is>
          <t>0</t>
        </is>
      </c>
      <c r="H864" t="inlineStr">
        <is>
          <t>3</t>
        </is>
      </c>
      <c r="I864" t="inlineStr">
        <is>
          <t>1³, 7³, 9¹, 63¹</t>
        </is>
      </c>
      <c r="J864" t="n">
        <v>8</v>
      </c>
      <c r="K864" t="inlineStr">
        <is>
          <t>2⁸, 12⁴</t>
        </is>
      </c>
      <c r="L864" t="inlineStr">
        <is>
          <t>21B¹</t>
        </is>
      </c>
      <c r="M864" t="inlineStr">
        <is>
          <t>63F⁷, 126F¹¹, 126E¹¹, 63E¹³, 63F¹⁶, 126K¹⁷, 63M¹⁹, 63O¹⁹</t>
        </is>
      </c>
      <c r="N864" t="inlineStr">
        <is>
          <t>3B⁰, 1A⁰, 7B⁰, 21B¹</t>
        </is>
      </c>
      <c r="O864" t="inlineStr">
        <is>
          <t>126F¹¹, 63E¹³, 126E¹¹, 126K¹⁷, 63F⁷, 63O¹⁹, 126U²¹, 63M¹⁹, 63F¹⁶</t>
        </is>
      </c>
    </row>
    <row r="865">
      <c r="A865">
        <f>HYPERLINK("https://mathstats.uncg.edu/sites/pauli/congruence/csg4.html#group65A4", "65A⁴")</f>
        <v/>
      </c>
      <c r="B865" t="n">
        <v>4</v>
      </c>
      <c r="C865" t="inlineStr"/>
      <c r="D865" t="inlineStr">
        <is>
          <t>70</t>
        </is>
      </c>
      <c r="E865" t="inlineStr">
        <is>
          <t>1</t>
        </is>
      </c>
      <c r="F865" t="inlineStr">
        <is>
          <t>70</t>
        </is>
      </c>
      <c r="G865" t="inlineStr">
        <is>
          <t>2</t>
        </is>
      </c>
      <c r="H865" t="inlineStr">
        <is>
          <t>4</t>
        </is>
      </c>
      <c r="I865" t="inlineStr">
        <is>
          <t>5¹, 65¹</t>
        </is>
      </c>
      <c r="J865" t="n">
        <v>2</v>
      </c>
      <c r="K865" t="inlineStr">
        <is>
          <t>1², 4², 12¹, 48¹</t>
        </is>
      </c>
      <c r="L865" t="inlineStr">
        <is>
          <t>5A⁰, 13A⁰</t>
        </is>
      </c>
      <c r="M865" t="inlineStr">
        <is>
          <t>65A⁸, 130A⁸, 130A⁹, 65A¹², 65B¹², 65A¹⁴, 65B¹⁴, 195A¹⁴, 195B¹⁴, 195A¹⁵, 195B¹⁵, 130A¹⁶, 195A¹⁶, 65B¹⁹, 195A²¹, 260A²¹</t>
        </is>
      </c>
      <c r="N865" t="inlineStr">
        <is>
          <t>13A⁰, 1A⁰, 5A⁰</t>
        </is>
      </c>
      <c r="O865" t="inlineStr">
        <is>
          <t>130A⁹, 260A²¹, 260A¹⁷, 195A¹⁶, 65A⁸, 195B¹⁴, 65B¹⁴, 195A¹⁴, 65B¹⁹, 195A²¹, 65A¹⁴, 130A¹⁶, 130A⁸, 65B¹², 195A¹⁵, 130B¹⁷, 65A¹², 195B¹⁵</t>
        </is>
      </c>
    </row>
    <row r="866">
      <c r="A866">
        <f>HYPERLINK("https://mathstats.uncg.edu/sites/pauli/congruence/csg4.html#group66A4", "66A⁴")</f>
        <v/>
      </c>
      <c r="B866" t="n">
        <v>4</v>
      </c>
      <c r="C866" t="inlineStr"/>
      <c r="D866" t="inlineStr">
        <is>
          <t>66</t>
        </is>
      </c>
      <c r="E866" t="inlineStr">
        <is>
          <t>2</t>
        </is>
      </c>
      <c r="F866" t="inlineStr">
        <is>
          <t>22</t>
        </is>
      </c>
      <c r="G866" t="inlineStr">
        <is>
          <t>0</t>
        </is>
      </c>
      <c r="H866" t="inlineStr">
        <is>
          <t>6</t>
        </is>
      </c>
      <c r="I866" t="inlineStr">
        <is>
          <t>66¹</t>
        </is>
      </c>
      <c r="J866" t="n">
        <v>1</v>
      </c>
      <c r="K866" t="inlineStr">
        <is>
          <t>4¹, 20²</t>
        </is>
      </c>
      <c r="L866" t="inlineStr">
        <is>
          <t>6A⁰, 22A¹</t>
        </is>
      </c>
      <c r="M866" t="inlineStr">
        <is>
          <t>66A¹⁶, 66A¹⁹, 132A²⁰, 132C²⁰, 66C²², 330C²⁴</t>
        </is>
      </c>
      <c r="N866" t="inlineStr">
        <is>
          <t>11A⁰, 2A⁰, 22A¹, 6A⁰, 1A⁰</t>
        </is>
      </c>
      <c r="O866" t="inlineStr">
        <is>
          <t>132A²⁰, 330C²⁴, 66A¹⁹, 66A¹⁶, 66C²², 132C²⁰</t>
        </is>
      </c>
    </row>
    <row r="867">
      <c r="A867">
        <f>HYPERLINK("https://mathstats.uncg.edu/sites/pauli/congruence/csg4.html#group70A4", "70A⁴")</f>
        <v/>
      </c>
      <c r="B867" t="n">
        <v>4</v>
      </c>
      <c r="C867" t="inlineStr"/>
      <c r="D867" t="inlineStr">
        <is>
          <t>70</t>
        </is>
      </c>
      <c r="E867" t="inlineStr">
        <is>
          <t>2</t>
        </is>
      </c>
      <c r="F867" t="inlineStr">
        <is>
          <t>35</t>
        </is>
      </c>
      <c r="G867" t="inlineStr">
        <is>
          <t>4</t>
        </is>
      </c>
      <c r="H867" t="inlineStr">
        <is>
          <t>4</t>
        </is>
      </c>
      <c r="I867" t="inlineStr">
        <is>
          <t>70¹</t>
        </is>
      </c>
      <c r="J867" t="n">
        <v>1</v>
      </c>
      <c r="K867" t="inlineStr">
        <is>
          <t>2¹, 6², 8¹, 24²</t>
        </is>
      </c>
      <c r="L867" t="inlineStr">
        <is>
          <t>14A⁰, 35A²</t>
        </is>
      </c>
      <c r="M867" t="inlineStr">
        <is>
          <t>70B⁹, 210A¹³, 210B¹³, 70A¹⁴, 70C¹⁴, 210A¹⁵, 70B¹⁶, 70C¹⁶, 70C¹⁹, 140B²⁰, 70D²¹, 210A²²</t>
        </is>
      </c>
      <c r="N867" t="inlineStr">
        <is>
          <t>14A⁰, 5A⁰, 1A⁰, 35A², 7A⁰</t>
        </is>
      </c>
      <c r="O867" t="inlineStr">
        <is>
          <t>70C¹⁴, 210A¹³, 210A²², 70A¹⁴, 210A¹⁵, 70C¹⁶, 140B²⁰, 70D²¹, 70B⁹, 70B¹⁶, 210B¹³, 70C¹⁹</t>
        </is>
      </c>
    </row>
    <row r="868">
      <c r="A868">
        <f>HYPERLINK("https://mathstats.uncg.edu/sites/pauli/congruence/csg4.html#group70B4", "70B⁴")</f>
        <v/>
      </c>
      <c r="B868" t="n">
        <v>4</v>
      </c>
      <c r="C868" t="inlineStr"/>
      <c r="D868" t="inlineStr">
        <is>
          <t>80</t>
        </is>
      </c>
      <c r="E868" t="inlineStr">
        <is>
          <t>1</t>
        </is>
      </c>
      <c r="F868" t="inlineStr">
        <is>
          <t>40</t>
        </is>
      </c>
      <c r="G868" t="inlineStr">
        <is>
          <t>0</t>
        </is>
      </c>
      <c r="H868" t="inlineStr">
        <is>
          <t>8</t>
        </is>
      </c>
      <c r="I868" t="inlineStr">
        <is>
          <t>10¹, 70¹</t>
        </is>
      </c>
      <c r="J868" t="n">
        <v>2</v>
      </c>
      <c r="K868" t="inlineStr">
        <is>
          <t>1², 4², 6¹, 24¹</t>
        </is>
      </c>
      <c r="L868" t="inlineStr">
        <is>
          <t>10A⁰, 14B⁰, 35B²</t>
        </is>
      </c>
      <c r="M868" t="inlineStr">
        <is>
          <t>140A⁸, 70D¹⁴, 70E¹⁴, 70F¹⁴, 70G¹⁴, 70D¹⁶, 70E¹⁶, 210E¹⁶, 210F¹⁶, 210G¹⁶, 210C¹⁷, 210D¹⁷, 70A¹⁸, 70B¹⁸, 70C¹⁸, 210B¹⁸, 210C¹⁸, 210D¹⁸, 210E¹⁸, 210A²⁰, 70G²¹, 140C²³, 210J²³</t>
        </is>
      </c>
      <c r="N868" t="inlineStr">
        <is>
          <t>2A⁰, 5A⁰, 10A⁰, 7B⁰, 14B⁰, 35B², 1A⁰</t>
        </is>
      </c>
      <c r="O868" t="inlineStr">
        <is>
          <t>70D¹⁴, 210E¹⁶, 210B¹⁸, 210A²⁰, 140C²³, 210C¹⁸, 70G²¹, 210D¹⁷, 70A¹⁸, 70D¹⁶, 70B¹⁸, 140A⁸, 210D¹⁸, 70F¹⁴, 210C¹⁷, 210J²³, 70E¹⁶, 210G¹⁶, 210F¹⁶, 70C¹⁸, 70E¹⁴, 70G¹⁴, 210E¹⁸</t>
        </is>
      </c>
    </row>
    <row r="869">
      <c r="A869">
        <f>HYPERLINK("https://mathstats.uncg.edu/sites/pauli/congruence/csg4.html#group70C4", "70C⁴")</f>
        <v/>
      </c>
      <c r="B869" t="n">
        <v>4</v>
      </c>
      <c r="C869" t="inlineStr"/>
      <c r="D869" t="inlineStr">
        <is>
          <t>84</t>
        </is>
      </c>
      <c r="E869" t="inlineStr">
        <is>
          <t>2</t>
        </is>
      </c>
      <c r="F869" t="inlineStr">
        <is>
          <t>42</t>
        </is>
      </c>
      <c r="G869" t="inlineStr">
        <is>
          <t>12</t>
        </is>
      </c>
      <c r="H869" t="inlineStr">
        <is>
          <t>0</t>
        </is>
      </c>
      <c r="I869" t="inlineStr">
        <is>
          <t>14¹, 70¹</t>
        </is>
      </c>
      <c r="J869" t="n">
        <v>2</v>
      </c>
      <c r="K869" t="inlineStr">
        <is>
          <t>2², 6⁴, 8¹, 24²</t>
        </is>
      </c>
      <c r="L869" t="inlineStr">
        <is>
          <t>10B⁰, 35C²</t>
        </is>
      </c>
      <c r="M869" t="inlineStr">
        <is>
          <t>70E⁹, 70D¹¹, 140A¹¹, 140B¹¹, 140C¹¹, 140D¹¹, 210A¹², 70C¹³, 70H¹⁴, 70H¹⁶, 70H²¹, 140D²¹</t>
        </is>
      </c>
      <c r="N869" t="inlineStr">
        <is>
          <t>35C², 5B⁰, 1A⁰, 7A⁰, 10B⁰</t>
        </is>
      </c>
      <c r="O869" t="inlineStr">
        <is>
          <t>70H²¹, 70H¹⁴, 140D²¹, 140E²³, 70H¹⁶, 70C¹³, 140B¹¹, 70D¹¹, 210A¹², 140D¹¹, 140F²³, 70E⁹, 140A¹¹, 140C¹¹</t>
        </is>
      </c>
    </row>
    <row r="870">
      <c r="A870">
        <f>HYPERLINK("https://mathstats.uncg.edu/sites/pauli/congruence/csg4.html#group72A4", "72A⁴")</f>
        <v/>
      </c>
      <c r="B870" t="n">
        <v>4</v>
      </c>
      <c r="C870" t="inlineStr"/>
      <c r="D870" t="inlineStr">
        <is>
          <t>72</t>
        </is>
      </c>
      <c r="E870" t="inlineStr">
        <is>
          <t>2</t>
        </is>
      </c>
      <c r="F870" t="inlineStr">
        <is>
          <t>36</t>
        </is>
      </c>
      <c r="G870" t="inlineStr">
        <is>
          <t>10</t>
        </is>
      </c>
      <c r="H870" t="inlineStr">
        <is>
          <t>0</t>
        </is>
      </c>
      <c r="I870" t="inlineStr">
        <is>
          <t>72¹</t>
        </is>
      </c>
      <c r="J870" t="n">
        <v>1</v>
      </c>
      <c r="K870" t="inlineStr">
        <is>
          <t>4², 8², 24²</t>
        </is>
      </c>
      <c r="L870" t="inlineStr">
        <is>
          <t>24A¹, 36A¹</t>
        </is>
      </c>
      <c r="M870" t="inlineStr">
        <is>
          <t>72J⁸, 72K⁸, 72G⁹, 72I¹⁰, 144A¹⁰, 144B¹⁰, 144C¹⁰, 144D¹⁰, 72G¹¹, 72H¹¹, 72A¹², 72L¹⁴, 72L¹⁵, 72A¹⁸</t>
        </is>
      </c>
      <c r="N870" t="inlineStr">
        <is>
          <t>36A¹, 12A⁰, 24A¹, 4A⁰, 9A⁰, 8A⁰, 3A⁰, 1A⁰</t>
        </is>
      </c>
      <c r="O870" t="inlineStr">
        <is>
          <t>144F²⁰, 144B¹⁰, 72I¹⁰, 72F²³, 144J²², 72H¹¹, 144A²⁴, 72K⁸, 144D²⁰, 72H²³, 72Q²¹, 144Q²³, 72L¹⁵, 144M²¹, 144R²³, 72L¹⁴, 144E²⁰, 144B²⁴, 72J⁸, 72G¹¹, 144C¹⁰, 144D¹⁰, 144I²², 72B²³, 144C²⁰, 144T²³, 144A¹⁰, 144N²¹, 72A¹⁸, 72P²¹, 72A¹², 144C²⁴, 144S²³, 72G⁹, 72W¹⁷</t>
        </is>
      </c>
    </row>
    <row r="871">
      <c r="A871">
        <f>HYPERLINK("https://mathstats.uncg.edu/sites/pauli/congruence/csg4.html#group72B4", "72B⁴")</f>
        <v/>
      </c>
      <c r="B871" t="n">
        <v>4</v>
      </c>
      <c r="C871" t="inlineStr"/>
      <c r="D871" t="inlineStr">
        <is>
          <t>72</t>
        </is>
      </c>
      <c r="E871" t="inlineStr">
        <is>
          <t>2</t>
        </is>
      </c>
      <c r="F871" t="inlineStr">
        <is>
          <t>36</t>
        </is>
      </c>
      <c r="G871" t="inlineStr">
        <is>
          <t>10</t>
        </is>
      </c>
      <c r="H871" t="inlineStr">
        <is>
          <t>0</t>
        </is>
      </c>
      <c r="I871" t="inlineStr">
        <is>
          <t>72¹</t>
        </is>
      </c>
      <c r="J871" t="n">
        <v>1</v>
      </c>
      <c r="K871" t="inlineStr">
        <is>
          <t>4², 8², 24²</t>
        </is>
      </c>
      <c r="L871" t="inlineStr">
        <is>
          <t>24B¹, 36A¹</t>
        </is>
      </c>
      <c r="M871" t="inlineStr">
        <is>
          <t>72H⁸, 72I⁸, 72G⁹, 72I¹⁰, 72E¹¹, 72F¹¹, 72B¹², 72N¹⁴, 72O¹⁴, 72M¹⁵, 72B¹⁸</t>
        </is>
      </c>
      <c r="N871" t="inlineStr">
        <is>
          <t>36A¹, 24B¹, 12A⁰, 3A⁰, 1A⁰, 4A⁰, 9A⁰</t>
        </is>
      </c>
      <c r="O871" t="inlineStr">
        <is>
          <t>144H²⁰, 72H⁸, 72E¹¹, 72N¹⁴, 72I¹⁰, 72B²³, 72F²³, 72B¹⁸, 144I²², 144J²², 144M²¹, 72I⁸, 72Q²¹, 72G²³, 144N²¹, 72P²¹, 72M¹⁵, 72O¹⁴, 72B¹², 72G⁹, 72W¹⁷, 144G²⁰, 72F¹¹</t>
        </is>
      </c>
    </row>
    <row r="872">
      <c r="A872">
        <f>HYPERLINK("https://mathstats.uncg.edu/sites/pauli/congruence/csg4.html#group72C4", "72C⁴")</f>
        <v/>
      </c>
      <c r="B872" t="n">
        <v>4</v>
      </c>
      <c r="C872" t="inlineStr"/>
      <c r="D872" t="inlineStr">
        <is>
          <t>72</t>
        </is>
      </c>
      <c r="E872" t="inlineStr">
        <is>
          <t>2</t>
        </is>
      </c>
      <c r="F872" t="inlineStr">
        <is>
          <t>36</t>
        </is>
      </c>
      <c r="G872" t="inlineStr">
        <is>
          <t>10</t>
        </is>
      </c>
      <c r="H872" t="inlineStr">
        <is>
          <t>0</t>
        </is>
      </c>
      <c r="I872" t="inlineStr">
        <is>
          <t>72¹</t>
        </is>
      </c>
      <c r="J872" t="n">
        <v>1</v>
      </c>
      <c r="K872" t="inlineStr">
        <is>
          <t>8⁶, 24⁴</t>
        </is>
      </c>
      <c r="L872" t="inlineStr">
        <is>
          <t>24B¹, 36A¹</t>
        </is>
      </c>
      <c r="M872" t="inlineStr">
        <is>
          <t>72H⁸, 72J⁸, 72F⁹, 72F¹⁰, 72G¹¹, 72E¹¹, 72C¹², 72M¹⁴, 72N¹⁴, 72X¹⁵, 72C¹⁸</t>
        </is>
      </c>
      <c r="N872" t="inlineStr">
        <is>
          <t>36A¹, 24B¹, 12A⁰, 3A⁰, 1A⁰, 4A⁰, 9A⁰</t>
        </is>
      </c>
      <c r="O872" t="inlineStr">
        <is>
          <t>72J⁸, 72F¹⁰, 72X¹⁵, 72G¹¹, 72A²³, 72H⁸, 72F⁹, 72E¹¹, 72N¹⁴, 72C¹⁸, 72M¹⁴, 72F²³, 144C²⁰, 144T²³, 144Q²³, 72H²³, 72G²³, 144E²⁰, 72P²¹, 144F²², 72C¹², 72W¹⁷, 144G²⁰</t>
        </is>
      </c>
    </row>
    <row r="873">
      <c r="A873">
        <f>HYPERLINK("https://mathstats.uncg.edu/sites/pauli/congruence/csg4.html#group72D4", "72D⁴")</f>
        <v/>
      </c>
      <c r="B873" t="n">
        <v>4</v>
      </c>
      <c r="C873" t="inlineStr"/>
      <c r="D873" t="inlineStr">
        <is>
          <t>72</t>
        </is>
      </c>
      <c r="E873" t="inlineStr">
        <is>
          <t>2</t>
        </is>
      </c>
      <c r="F873" t="inlineStr">
        <is>
          <t>36</t>
        </is>
      </c>
      <c r="G873" t="inlineStr">
        <is>
          <t>10</t>
        </is>
      </c>
      <c r="H873" t="inlineStr">
        <is>
          <t>0</t>
        </is>
      </c>
      <c r="I873" t="inlineStr">
        <is>
          <t>72¹</t>
        </is>
      </c>
      <c r="J873" t="n">
        <v>1</v>
      </c>
      <c r="K873" t="inlineStr">
        <is>
          <t>8⁶, 24⁴</t>
        </is>
      </c>
      <c r="L873" t="inlineStr">
        <is>
          <t>24B¹, 36A¹</t>
        </is>
      </c>
      <c r="M873" t="inlineStr">
        <is>
          <t>72I⁸, 72K⁸, 72F⁹, 72E¹⁰, 72H¹¹, 72F¹¹, 72C¹², 72M¹⁴, 72O¹⁴, 72X¹⁵, 72D¹⁸</t>
        </is>
      </c>
      <c r="N873" t="inlineStr">
        <is>
          <t>36A¹, 24B¹, 12A⁰, 3A⁰, 1A⁰, 4A⁰, 9A⁰</t>
        </is>
      </c>
      <c r="O873" t="inlineStr">
        <is>
          <t>144H²⁰, 72X¹⁵, 72A²³, 72F⁹, 144F²⁰, 72M¹⁴, 72E¹⁰, 72F²³, 72H¹¹, 144R²³, 72K⁸, 72I⁸, 144D²⁰, 72H²³, 72Q²¹, 72D¹⁸, 72G²³, 144C²², 72O¹⁴, 144S²³, 72C¹², 72W¹⁷, 72F¹¹</t>
        </is>
      </c>
    </row>
    <row r="874">
      <c r="A874">
        <f>HYPERLINK("https://mathstats.uncg.edu/sites/pauli/congruence/csg4.html#group72E4", "72E⁴")</f>
        <v/>
      </c>
      <c r="B874" t="n">
        <v>4</v>
      </c>
      <c r="C874" t="inlineStr"/>
      <c r="D874" t="inlineStr">
        <is>
          <t>108</t>
        </is>
      </c>
      <c r="E874" t="inlineStr">
        <is>
          <t>1</t>
        </is>
      </c>
      <c r="F874" t="inlineStr">
        <is>
          <t>27</t>
        </is>
      </c>
      <c r="G874" t="inlineStr">
        <is>
          <t>20</t>
        </is>
      </c>
      <c r="H874" t="inlineStr">
        <is>
          <t>0</t>
        </is>
      </c>
      <c r="I874" t="inlineStr">
        <is>
          <t>36¹, 72¹</t>
        </is>
      </c>
      <c r="J874" t="n">
        <v>2</v>
      </c>
      <c r="K874" t="inlineStr">
        <is>
          <t>1³, 2³, 6³</t>
        </is>
      </c>
      <c r="L874" t="inlineStr">
        <is>
          <t>24A⁰, 36B²</t>
        </is>
      </c>
      <c r="M874" t="inlineStr">
        <is>
          <t>144A⁸, 72H⁹, 144E¹⁰, 72N¹¹, 72F¹², 72G¹², 72J¹², 72K¹², 72N¹², 72O¹², 144B¹², 72I¹³, 144A¹³, 144B¹³, 144C¹³, 144D¹³, 144E¹³, 144F¹³, 144A¹⁴, 72O¹⁵, 144F¹⁶, 72C¹⁷, 72E¹⁸, 144A¹⁸</t>
        </is>
      </c>
      <c r="N874" t="inlineStr">
        <is>
          <t>12C⁰, 24A⁰, 9A⁰, 36B², 4C⁰, 8B⁰, 2B⁰, 18E¹, 3A⁰, 1A⁰, 6D⁰</t>
        </is>
      </c>
      <c r="O874" t="inlineStr">
        <is>
          <t>144A¹⁸, 144C¹³, 144B¹², 144A¹⁴, 72K¹², 144B¹³, 144Y²³, 144A¹³, 72N¹², 144F¹⁶, 72AA²¹, 72H⁹, 72C¹⁷, 72I¹³, 72O¹⁵, 144X²³, 72F¹², 288A²¹, 72O¹², 72E¹⁸, 144E¹⁰, 144W²³, 144F¹³, 144E¹³, 144A⁸, 288A²³, 144D¹³, 144J¹⁹, 72G¹², 72J¹², 72N¹¹</t>
        </is>
      </c>
    </row>
    <row r="875">
      <c r="A875">
        <f>HYPERLINK("https://mathstats.uncg.edu/sites/pauli/congruence/csg4.html#group74A4", "74A⁴")</f>
        <v/>
      </c>
      <c r="B875" t="n">
        <v>4</v>
      </c>
      <c r="C875" t="inlineStr"/>
      <c r="D875" t="inlineStr">
        <is>
          <t>76</t>
        </is>
      </c>
      <c r="E875" t="inlineStr">
        <is>
          <t>1</t>
        </is>
      </c>
      <c r="F875" t="inlineStr">
        <is>
          <t>38</t>
        </is>
      </c>
      <c r="G875" t="inlineStr">
        <is>
          <t>4</t>
        </is>
      </c>
      <c r="H875" t="inlineStr">
        <is>
          <t>4</t>
        </is>
      </c>
      <c r="I875" t="inlineStr">
        <is>
          <t>2¹, 74¹</t>
        </is>
      </c>
      <c r="J875" t="n">
        <v>2</v>
      </c>
      <c r="K875" t="inlineStr">
        <is>
          <t>1², 36¹</t>
        </is>
      </c>
      <c r="L875" t="inlineStr">
        <is>
          <t>37A²</t>
        </is>
      </c>
      <c r="M875" t="inlineStr">
        <is>
          <t>74A⁹, 148A⁹, 74A¹⁰, 74B¹⁶, 222A¹⁶, 222B¹⁶, 148A²¹, 222A²³</t>
        </is>
      </c>
      <c r="N875" t="inlineStr">
        <is>
          <t>37A², 1A⁰</t>
        </is>
      </c>
      <c r="O875" t="inlineStr">
        <is>
          <t>222B¹⁶, 222A²³, 74A⁹, 222A¹⁶, 148A⁹, 74B¹⁶, 74A¹⁰, 148A¹⁹, 148A²¹</t>
        </is>
      </c>
    </row>
    <row r="876">
      <c r="A876">
        <f>HYPERLINK("https://mathstats.uncg.edu/sites/pauli/congruence/csg4.html#group75A4", "75A⁴")</f>
        <v/>
      </c>
      <c r="B876" t="n">
        <v>4</v>
      </c>
      <c r="C876" t="inlineStr"/>
      <c r="D876" t="inlineStr">
        <is>
          <t>90</t>
        </is>
      </c>
      <c r="E876" t="inlineStr">
        <is>
          <t>1</t>
        </is>
      </c>
      <c r="F876" t="inlineStr">
        <is>
          <t>30</t>
        </is>
      </c>
      <c r="G876" t="inlineStr">
        <is>
          <t>6</t>
        </is>
      </c>
      <c r="H876" t="inlineStr">
        <is>
          <t>0</t>
        </is>
      </c>
      <c r="I876" t="inlineStr">
        <is>
          <t>3⁵, 75¹</t>
        </is>
      </c>
      <c r="J876" t="n">
        <v>6</v>
      </c>
      <c r="K876" t="inlineStr">
        <is>
          <t>1², 4², 20¹</t>
        </is>
      </c>
      <c r="L876" t="inlineStr">
        <is>
          <t>15B⁰, 25A⁰</t>
        </is>
      </c>
      <c r="M876" t="inlineStr">
        <is>
          <t>75A⁸, 75E⁹, 75A¹⁰, 150A¹⁰, 150A¹¹, 150E¹², 150A¹³, 150A¹⁶, 225A¹⁸, 75C²⁴</t>
        </is>
      </c>
      <c r="N876" t="inlineStr">
        <is>
          <t>25A⁰, 5B⁰, 15B⁰, 3A⁰, 1A⁰</t>
        </is>
      </c>
      <c r="O876" t="inlineStr">
        <is>
          <t>150A¹¹, 150A¹⁰, 75A¹⁰, 150A²¹, 75E¹⁷, 150A¹³, 75C¹⁹, 75A⁸, 150E¹², 75D¹⁹, 150A¹⁶, 75C²⁴, 150B²³, 150C²³, 150D²³, 75E⁹, 225A¹⁸</t>
        </is>
      </c>
    </row>
    <row r="877">
      <c r="A877">
        <f>HYPERLINK("https://mathstats.uncg.edu/sites/pauli/congruence/csg4.html#group76A4", "76A⁴")</f>
        <v/>
      </c>
      <c r="B877" t="n">
        <v>4</v>
      </c>
      <c r="C877" t="inlineStr"/>
      <c r="D877" t="inlineStr">
        <is>
          <t>80</t>
        </is>
      </c>
      <c r="E877" t="inlineStr">
        <is>
          <t>1</t>
        </is>
      </c>
      <c r="F877" t="inlineStr">
        <is>
          <t>20</t>
        </is>
      </c>
      <c r="G877" t="inlineStr">
        <is>
          <t>0</t>
        </is>
      </c>
      <c r="H877" t="inlineStr">
        <is>
          <t>8</t>
        </is>
      </c>
      <c r="I877" t="inlineStr">
        <is>
          <t>4¹, 76¹</t>
        </is>
      </c>
      <c r="J877" t="n">
        <v>2</v>
      </c>
      <c r="K877" t="inlineStr">
        <is>
          <t>1², 18¹</t>
        </is>
      </c>
      <c r="L877" t="inlineStr">
        <is>
          <t>38A²</t>
        </is>
      </c>
      <c r="M877" t="inlineStr">
        <is>
          <t>76A¹⁰, 228A¹⁶, 228B¹⁶, 76A¹⁸, 76B¹⁸, 228A²⁰, 228D²⁰, 76A²¹, 228B²³</t>
        </is>
      </c>
      <c r="N877" t="inlineStr">
        <is>
          <t>2A⁰, 1A⁰, 19A¹, 38A²</t>
        </is>
      </c>
      <c r="O877" t="inlineStr">
        <is>
          <t>76A²¹, 228A²⁰, 228B²³, 228B¹⁶, 228A¹⁶, 228D²⁰, 76A¹⁸, 76A¹⁰, 76B¹⁸</t>
        </is>
      </c>
    </row>
    <row r="878">
      <c r="A878">
        <f>HYPERLINK("https://mathstats.uncg.edu/sites/pauli/congruence/csg4.html#group77A4", "77A⁴")</f>
        <v/>
      </c>
      <c r="B878" t="n">
        <v>4</v>
      </c>
      <c r="C878" t="inlineStr"/>
      <c r="D878" t="inlineStr">
        <is>
          <t>77</t>
        </is>
      </c>
      <c r="E878" t="inlineStr">
        <is>
          <t>2</t>
        </is>
      </c>
      <c r="F878" t="inlineStr">
        <is>
          <t>77</t>
        </is>
      </c>
      <c r="G878" t="inlineStr">
        <is>
          <t>9</t>
        </is>
      </c>
      <c r="H878" t="inlineStr">
        <is>
          <t>2</t>
        </is>
      </c>
      <c r="I878" t="inlineStr">
        <is>
          <t>77¹</t>
        </is>
      </c>
      <c r="J878" t="n">
        <v>1</v>
      </c>
      <c r="K878" t="inlineStr">
        <is>
          <t>4¹, 12², 20², 60⁴</t>
        </is>
      </c>
      <c r="L878" t="inlineStr">
        <is>
          <t>7A⁰, 11A⁰</t>
        </is>
      </c>
      <c r="M878" t="inlineStr">
        <is>
          <t>154A⁹, 77A¹⁰, 154A¹², 231A¹³, 77A¹⁵, 154A¹⁷, 77A²¹, 308A²¹</t>
        </is>
      </c>
      <c r="N878" t="inlineStr">
        <is>
          <t>11A⁰, 1A⁰, 7A⁰</t>
        </is>
      </c>
      <c r="O878" t="inlineStr">
        <is>
          <t>77A¹⁰, 154A¹², 154A¹⁷, 231A¹³, 77A¹⁵, 154A²³, 154A⁹, 77A²¹, 308A²¹</t>
        </is>
      </c>
    </row>
    <row r="879">
      <c r="A879">
        <f>HYPERLINK("https://mathstats.uncg.edu/sites/pauli/congruence/csg4.html#group77B4", "77B⁴")</f>
        <v/>
      </c>
      <c r="B879" t="n">
        <v>4</v>
      </c>
      <c r="C879" t="inlineStr"/>
      <c r="D879" t="inlineStr">
        <is>
          <t>77</t>
        </is>
      </c>
      <c r="E879" t="inlineStr">
        <is>
          <t>2</t>
        </is>
      </c>
      <c r="F879" t="inlineStr">
        <is>
          <t>77</t>
        </is>
      </c>
      <c r="G879" t="inlineStr">
        <is>
          <t>9</t>
        </is>
      </c>
      <c r="H879" t="inlineStr">
        <is>
          <t>2</t>
        </is>
      </c>
      <c r="I879" t="inlineStr">
        <is>
          <t>77¹</t>
        </is>
      </c>
      <c r="J879" t="n">
        <v>1</v>
      </c>
      <c r="K879" t="inlineStr">
        <is>
          <t>4¹, 12², 20², 60⁴</t>
        </is>
      </c>
      <c r="L879" t="inlineStr">
        <is>
          <t>7A⁰, 11A⁰</t>
        </is>
      </c>
      <c r="M879" t="inlineStr">
        <is>
          <t>154B⁹, 77B¹⁰, 154B¹², 231B¹³, 77A¹⁵, 154B¹⁷, 77A²¹, 308B²¹</t>
        </is>
      </c>
      <c r="N879" t="inlineStr">
        <is>
          <t>11A⁰, 1A⁰, 7A⁰</t>
        </is>
      </c>
      <c r="O879" t="inlineStr">
        <is>
          <t>154B¹⁷, 77B¹⁰, 154B²³, 77A¹⁵, 308B²¹, 154B⁹, 231B¹³, 77A²¹, 154B¹²</t>
        </is>
      </c>
    </row>
    <row r="880">
      <c r="A880">
        <f>HYPERLINK("https://mathstats.uncg.edu/sites/pauli/congruence/csg4.html#group78A4", "78A⁴")</f>
        <v/>
      </c>
      <c r="B880" t="n">
        <v>4</v>
      </c>
      <c r="C880" t="inlineStr"/>
      <c r="D880" t="inlineStr">
        <is>
          <t>84</t>
        </is>
      </c>
      <c r="E880" t="inlineStr">
        <is>
          <t>1</t>
        </is>
      </c>
      <c r="F880" t="inlineStr">
        <is>
          <t>14</t>
        </is>
      </c>
      <c r="G880" t="inlineStr">
        <is>
          <t>12</t>
        </is>
      </c>
      <c r="H880" t="inlineStr">
        <is>
          <t>0</t>
        </is>
      </c>
      <c r="I880" t="inlineStr">
        <is>
          <t>6¹, 78¹</t>
        </is>
      </c>
      <c r="J880" t="n">
        <v>2</v>
      </c>
      <c r="K880" t="inlineStr">
        <is>
          <t>1², 12¹</t>
        </is>
      </c>
      <c r="L880" t="inlineStr">
        <is>
          <t>26A⁰, 39A²</t>
        </is>
      </c>
      <c r="M880" t="inlineStr">
        <is>
          <t>78B⁹, 78A¹⁰, 78B¹¹, 156B¹¹, 156C¹¹, 78A¹³, 78B¹⁶, 234A¹⁶, 156A²¹</t>
        </is>
      </c>
      <c r="N880" t="inlineStr">
        <is>
          <t>13A⁰, 39A², 26A⁰, 3A⁰, 1A⁰</t>
        </is>
      </c>
      <c r="O880" t="inlineStr">
        <is>
          <t>78B¹⁶, 78A¹³, 156A²¹, 156B²³, 156H²³, 78A²¹, 78B⁹, 78B¹¹, 234A¹⁶, 156B¹¹, 156A²³, 78A¹⁰, 156C¹¹</t>
        </is>
      </c>
    </row>
    <row r="881">
      <c r="A881">
        <f>HYPERLINK("https://mathstats.uncg.edu/sites/pauli/congruence/csg4.html#group80A4", "80A⁴")</f>
        <v/>
      </c>
      <c r="B881" t="n">
        <v>4</v>
      </c>
      <c r="C881" t="inlineStr"/>
      <c r="D881" t="inlineStr">
        <is>
          <t>80</t>
        </is>
      </c>
      <c r="E881" t="inlineStr">
        <is>
          <t>2</t>
        </is>
      </c>
      <c r="F881" t="inlineStr">
        <is>
          <t>40</t>
        </is>
      </c>
      <c r="G881" t="inlineStr">
        <is>
          <t>2</t>
        </is>
      </c>
      <c r="H881" t="inlineStr">
        <is>
          <t>8</t>
        </is>
      </c>
      <c r="I881" t="inlineStr">
        <is>
          <t>80¹</t>
        </is>
      </c>
      <c r="J881" t="n">
        <v>1</v>
      </c>
      <c r="K881" t="inlineStr">
        <is>
          <t>8², 32²</t>
        </is>
      </c>
      <c r="L881" t="inlineStr">
        <is>
          <t>16A⁰, 40A²</t>
        </is>
      </c>
      <c r="M881" t="inlineStr">
        <is>
          <t>80E⁸, 240A¹⁵, 240B¹⁵, 80D¹⁸, 80K¹⁹, 240A¹⁹, 80A²², 80E²³, 240A²⁴</t>
        </is>
      </c>
      <c r="N881" t="inlineStr">
        <is>
          <t>8A⁰, 20A¹, 5A⁰, 1A⁰, 16A⁰, 40A², 4A⁰</t>
        </is>
      </c>
      <c r="O881" t="inlineStr">
        <is>
          <t>240B¹⁵, 80D¹⁸, 240A¹⁵, 80E⁸, 240A¹⁹, 80K¹⁹, 80E²³, 240A²⁴, 80A²²</t>
        </is>
      </c>
    </row>
    <row r="882">
      <c r="A882">
        <f>HYPERLINK("https://mathstats.uncg.edu/sites/pauli/congruence/csg4.html#group81A4", "81A⁴")</f>
        <v/>
      </c>
      <c r="B882" t="n">
        <v>4</v>
      </c>
      <c r="C882" t="inlineStr">
        <is>
          <t>Γ₀(81)</t>
        </is>
      </c>
      <c r="D882" t="inlineStr">
        <is>
          <t>108</t>
        </is>
      </c>
      <c r="E882" t="inlineStr">
        <is>
          <t>1</t>
        </is>
      </c>
      <c r="F882" t="inlineStr">
        <is>
          <t>36</t>
        </is>
      </c>
      <c r="G882" t="inlineStr">
        <is>
          <t>0</t>
        </is>
      </c>
      <c r="H882" t="inlineStr">
        <is>
          <t>0</t>
        </is>
      </c>
      <c r="I882" t="inlineStr">
        <is>
          <t>1⁹, 9², 81¹</t>
        </is>
      </c>
      <c r="J882" t="n">
        <v>12</v>
      </c>
      <c r="K882" t="inlineStr">
        <is>
          <t>1², 2², 6², 18¹</t>
        </is>
      </c>
      <c r="L882" t="inlineStr">
        <is>
          <t>27A¹</t>
        </is>
      </c>
      <c r="M882" t="inlineStr">
        <is>
          <t>81A¹⁰, 162A¹³, 162E¹⁶, 243A¹⁶, 81C¹⁹, 81E¹⁹, 243A¹⁹, 243A²²</t>
        </is>
      </c>
      <c r="N882" t="inlineStr">
        <is>
          <t>3B⁰, 1A⁰, 9B⁰, 27A¹</t>
        </is>
      </c>
      <c r="O882" t="inlineStr">
        <is>
          <t>243A¹⁹, 81C¹⁹, 81A¹⁰, 162E¹⁶, 243A²², 243A¹⁶, 162A¹³, 81E¹⁹</t>
        </is>
      </c>
    </row>
    <row r="883">
      <c r="A883">
        <f>HYPERLINK("https://mathstats.uncg.edu/sites/pauli/congruence/csg4.html#group84A4", "84A⁴")</f>
        <v/>
      </c>
      <c r="B883" t="n">
        <v>4</v>
      </c>
      <c r="C883" t="inlineStr"/>
      <c r="D883" t="inlineStr">
        <is>
          <t>96</t>
        </is>
      </c>
      <c r="E883" t="inlineStr">
        <is>
          <t>1</t>
        </is>
      </c>
      <c r="F883" t="inlineStr">
        <is>
          <t>16</t>
        </is>
      </c>
      <c r="G883" t="inlineStr">
        <is>
          <t>0</t>
        </is>
      </c>
      <c r="H883" t="inlineStr">
        <is>
          <t>12</t>
        </is>
      </c>
      <c r="I883" t="inlineStr">
        <is>
          <t>12¹, 84¹</t>
        </is>
      </c>
      <c r="J883" t="n">
        <v>2</v>
      </c>
      <c r="K883" t="inlineStr">
        <is>
          <t>2², 12¹</t>
        </is>
      </c>
      <c r="L883" t="inlineStr">
        <is>
          <t>28A⁰, 42B²</t>
        </is>
      </c>
      <c r="M883" t="inlineStr">
        <is>
          <t>84K¹⁶, 84A²², 84C²²</t>
        </is>
      </c>
      <c r="N883" t="inlineStr">
        <is>
          <t>42B², 2A⁰, 14B⁰, 28A⁰, 1A⁰, 7B⁰, 6A⁰</t>
        </is>
      </c>
      <c r="O883" t="inlineStr">
        <is>
          <t>84A²², 84K¹⁶, 84C²²</t>
        </is>
      </c>
    </row>
    <row r="884">
      <c r="A884">
        <f>HYPERLINK("https://mathstats.uncg.edu/sites/pauli/congruence/csg4.html#group84B4", "84B⁴")</f>
        <v/>
      </c>
      <c r="B884" t="n">
        <v>4</v>
      </c>
      <c r="C884" t="inlineStr"/>
      <c r="D884" t="inlineStr">
        <is>
          <t>96</t>
        </is>
      </c>
      <c r="E884" t="inlineStr">
        <is>
          <t>2</t>
        </is>
      </c>
      <c r="F884" t="inlineStr">
        <is>
          <t>8</t>
        </is>
      </c>
      <c r="G884" t="inlineStr">
        <is>
          <t>0</t>
        </is>
      </c>
      <c r="H884" t="inlineStr">
        <is>
          <t>12</t>
        </is>
      </c>
      <c r="I884" t="inlineStr">
        <is>
          <t>12¹, 84¹</t>
        </is>
      </c>
      <c r="J884" t="n">
        <v>2</v>
      </c>
      <c r="K884" t="inlineStr">
        <is>
          <t>2², 12¹</t>
        </is>
      </c>
      <c r="L884" t="inlineStr">
        <is>
          <t>28A⁰, 42C²</t>
        </is>
      </c>
      <c r="M884" t="inlineStr">
        <is>
          <t>84K¹⁶, 84B²², 84K²²</t>
        </is>
      </c>
      <c r="N884" t="inlineStr">
        <is>
          <t>42C², 2A⁰, 28A⁰, 1A⁰, 7B⁰, 21A¹, 14B⁰</t>
        </is>
      </c>
      <c r="O884" t="inlineStr">
        <is>
          <t>84K¹⁶, 84K²², 84B²²</t>
        </is>
      </c>
    </row>
    <row r="885">
      <c r="A885">
        <f>HYPERLINK("https://mathstats.uncg.edu/sites/pauli/congruence/csg4.html#group90A4", "90A⁴")</f>
        <v/>
      </c>
      <c r="B885" t="n">
        <v>4</v>
      </c>
      <c r="C885" t="inlineStr"/>
      <c r="D885" t="inlineStr">
        <is>
          <t>108</t>
        </is>
      </c>
      <c r="E885" t="inlineStr">
        <is>
          <t>1</t>
        </is>
      </c>
      <c r="F885" t="inlineStr">
        <is>
          <t>54</t>
        </is>
      </c>
      <c r="G885" t="inlineStr">
        <is>
          <t>20</t>
        </is>
      </c>
      <c r="H885" t="inlineStr">
        <is>
          <t>0</t>
        </is>
      </c>
      <c r="I885" t="inlineStr">
        <is>
          <t>18¹, 90¹</t>
        </is>
      </c>
      <c r="J885" t="n">
        <v>2</v>
      </c>
      <c r="K885" t="inlineStr">
        <is>
          <t>1², 2², 4¹, 6², 8¹, 24¹</t>
        </is>
      </c>
      <c r="L885" t="inlineStr">
        <is>
          <t>30A⁰, 45A²</t>
        </is>
      </c>
      <c r="M885" t="inlineStr">
        <is>
          <t>90G⁹, 90I¹¹, 90E¹³, 180C¹³, 180D¹³, 180E¹³, 180F¹³, 90K¹⁵, 90D¹⁷, 90D¹⁸, 90F²⁰</t>
        </is>
      </c>
      <c r="N885" t="inlineStr">
        <is>
          <t>30A⁰, 45A², 15B⁰, 9A⁰, 5B⁰, 3A⁰, 1A⁰, 10B⁰</t>
        </is>
      </c>
      <c r="O885" t="inlineStr">
        <is>
          <t>90E¹³, 180F¹³, 90G⁹, 180E¹³, 90K¹⁵, 90N²¹, 90F²⁰, 90I¹¹, 90D¹⁸, 180D¹³, 180C¹³, 90D¹⁷</t>
        </is>
      </c>
    </row>
    <row r="886">
      <c r="A886">
        <f>HYPERLINK("https://mathstats.uncg.edu/sites/pauli/congruence/csg4.html#group108A4", "108A⁴")</f>
        <v/>
      </c>
      <c r="B886" t="n">
        <v>4</v>
      </c>
      <c r="C886" t="inlineStr"/>
      <c r="D886" t="inlineStr">
        <is>
          <t>144</t>
        </is>
      </c>
      <c r="E886" t="inlineStr">
        <is>
          <t>1</t>
        </is>
      </c>
      <c r="F886" t="inlineStr">
        <is>
          <t>12</t>
        </is>
      </c>
      <c r="G886" t="inlineStr">
        <is>
          <t>0</t>
        </is>
      </c>
      <c r="H886" t="inlineStr">
        <is>
          <t>24</t>
        </is>
      </c>
      <c r="I886" t="inlineStr">
        <is>
          <t>36¹, 108¹</t>
        </is>
      </c>
      <c r="J886" t="n">
        <v>2</v>
      </c>
      <c r="K886" t="inlineStr">
        <is>
          <t>1², 2², 6¹</t>
        </is>
      </c>
      <c r="L886" t="inlineStr">
        <is>
          <t>36A⁰, 54A²</t>
        </is>
      </c>
      <c r="M886" t="inlineStr">
        <is>
          <t>108B²², 108C²², 108D²²</t>
        </is>
      </c>
      <c r="N886" t="inlineStr">
        <is>
          <t>3B⁰, 2A⁰, 18B⁰, 6C⁰, 27B¹, 54A², 9C⁰, 1A⁰, 36A⁰, 12B⁰</t>
        </is>
      </c>
      <c r="O886" t="inlineStr">
        <is>
          <t>108D²², 108B²², 108C²²</t>
        </is>
      </c>
    </row>
    <row r="887">
      <c r="A887">
        <f>HYPERLINK("https://mathstats.uncg.edu/sites/pauli/congruence/csg5.html#group8A5", "8A⁵")</f>
        <v/>
      </c>
      <c r="B887" t="n">
        <v>5</v>
      </c>
      <c r="C887" t="inlineStr">
        <is>
          <t>Γ(8)</t>
        </is>
      </c>
      <c r="D887" t="inlineStr">
        <is>
          <t>192</t>
        </is>
      </c>
      <c r="E887" t="inlineStr">
        <is>
          <t>1</t>
        </is>
      </c>
      <c r="F887" t="inlineStr">
        <is>
          <t>1</t>
        </is>
      </c>
      <c r="G887" t="inlineStr">
        <is>
          <t>0</t>
        </is>
      </c>
      <c r="H887" t="inlineStr">
        <is>
          <t>0</t>
        </is>
      </c>
      <c r="I887" t="inlineStr">
        <is>
          <t>8²⁴</t>
        </is>
      </c>
      <c r="J887" t="n">
        <v>24</v>
      </c>
      <c r="K887" t="inlineStr">
        <is>
          <t>1¹</t>
        </is>
      </c>
      <c r="L887" t="inlineStr">
        <is>
          <t>8J¹, 8K¹, 8C², 8A³, 8B³</t>
        </is>
      </c>
      <c r="M887" t="inlineStr">
        <is>
          <t>16B¹³, 16A¹⁷, 16B²¹</t>
        </is>
      </c>
      <c r="N887" t="inlineStr">
        <is>
          <t>2A⁰, 8B³, 4C⁰, 8C², 8A⁰, 4G⁰, 2B⁰, 4E⁰, 8C⁰, 8E¹, 4B⁰, 8J¹, 8F¹, 1A⁰, 8H¹, 8K⁰, 8G⁰, 4D⁰, 8G¹, 8P⁰, 8M⁰, 8N⁰, 8A¹, 8A³, 8K¹, 8D⁰, 8B², 8B⁰, 8E⁰, 8B¹, 8I⁰, 8D¹, 8H⁰, 8A², 8F⁰, 8C¹, 4A⁰, 8I¹, 8L⁰, 4F⁰, 8J⁰, 2C⁰, 8O⁰</t>
        </is>
      </c>
      <c r="O887" t="inlineStr">
        <is>
          <t>16B¹³, 16B²¹, 16A¹⁷</t>
        </is>
      </c>
    </row>
    <row r="888">
      <c r="A888">
        <f>HYPERLINK("https://mathstats.uncg.edu/sites/pauli/congruence/csg5.html#group10A5", "10A⁵")</f>
        <v/>
      </c>
      <c r="B888" t="n">
        <v>5</v>
      </c>
      <c r="C888" t="inlineStr"/>
      <c r="D888" t="inlineStr">
        <is>
          <t>120</t>
        </is>
      </c>
      <c r="E888" t="inlineStr">
        <is>
          <t>1</t>
        </is>
      </c>
      <c r="F888" t="inlineStr">
        <is>
          <t>1</t>
        </is>
      </c>
      <c r="G888" t="inlineStr">
        <is>
          <t>0</t>
        </is>
      </c>
      <c r="H888" t="inlineStr">
        <is>
          <t>0</t>
        </is>
      </c>
      <c r="I888" t="inlineStr">
        <is>
          <t>10¹²</t>
        </is>
      </c>
      <c r="J888" t="n">
        <v>12</v>
      </c>
      <c r="K888" t="inlineStr">
        <is>
          <t>1¹</t>
        </is>
      </c>
      <c r="L888" t="inlineStr">
        <is>
          <t>5H⁰, 10D¹, 10H¹, 10C², 10B³</t>
        </is>
      </c>
      <c r="M888" t="inlineStr">
        <is>
          <t>10A¹³, 20A¹⁵</t>
        </is>
      </c>
      <c r="N888" t="inlineStr">
        <is>
          <t>10H¹, 2A⁰, 5A⁰, 10A², 10D⁰, 5B⁰, 5F⁰, 10A¹, 5D⁰, 10D¹, 1A⁰, 5H⁰, 10E¹, 10B⁰, 10A⁰, 10B³, 10C², 5E⁰, 10C¹, 5C⁰, 5G⁰</t>
        </is>
      </c>
      <c r="O888" t="inlineStr">
        <is>
          <t>10A¹³, 20A¹⁵</t>
        </is>
      </c>
    </row>
    <row r="889">
      <c r="A889">
        <f>HYPERLINK("https://mathstats.uncg.edu/sites/pauli/congruence/csg5.html#group10B5", "10B⁵")</f>
        <v/>
      </c>
      <c r="B889" t="n">
        <v>5</v>
      </c>
      <c r="C889" t="inlineStr"/>
      <c r="D889" t="inlineStr">
        <is>
          <t>120</t>
        </is>
      </c>
      <c r="E889" t="inlineStr">
        <is>
          <t>1</t>
        </is>
      </c>
      <c r="F889" t="inlineStr">
        <is>
          <t>10</t>
        </is>
      </c>
      <c r="G889" t="inlineStr">
        <is>
          <t>0</t>
        </is>
      </c>
      <c r="H889" t="inlineStr">
        <is>
          <t>0</t>
        </is>
      </c>
      <c r="I889" t="inlineStr">
        <is>
          <t>10¹²</t>
        </is>
      </c>
      <c r="J889" t="n">
        <v>12</v>
      </c>
      <c r="K889" t="inlineStr">
        <is>
          <t>2¹, 4²</t>
        </is>
      </c>
      <c r="L889" t="inlineStr">
        <is>
          <t>10H¹, 10B², 10D², 10E², 10A³</t>
        </is>
      </c>
      <c r="M889" t="inlineStr">
        <is>
          <t>20B¹¹, 10A¹³, 20A¹³, 20C¹⁵</t>
        </is>
      </c>
      <c r="N889" t="inlineStr">
        <is>
          <t>10H¹, 2A⁰, 5A⁰, 10D⁰, 10B¹, 5F⁰, 10A³, 2B⁰, 10B², 1A⁰, 10D², 10F¹, 10A⁰, 10E², 10C¹, 5C⁰, 2C⁰</t>
        </is>
      </c>
      <c r="O889" t="inlineStr">
        <is>
          <t>20A¹³, 10A¹³, 20C¹⁵, 20B¹¹</t>
        </is>
      </c>
    </row>
    <row r="890">
      <c r="A890">
        <f>HYPERLINK("https://mathstats.uncg.edu/sites/pauli/congruence/csg5.html#group11A5", "11A⁵")</f>
        <v/>
      </c>
      <c r="B890" t="n">
        <v>5</v>
      </c>
      <c r="C890" t="inlineStr"/>
      <c r="D890" t="inlineStr">
        <is>
          <t>165</t>
        </is>
      </c>
      <c r="E890" t="inlineStr">
        <is>
          <t>1</t>
        </is>
      </c>
      <c r="F890" t="inlineStr">
        <is>
          <t>55</t>
        </is>
      </c>
      <c r="G890" t="inlineStr">
        <is>
          <t>9</t>
        </is>
      </c>
      <c r="H890" t="inlineStr">
        <is>
          <t>0</t>
        </is>
      </c>
      <c r="I890" t="inlineStr">
        <is>
          <t>11¹⁵</t>
        </is>
      </c>
      <c r="J890" t="n">
        <v>15</v>
      </c>
      <c r="K890" t="inlineStr">
        <is>
          <t>5¹, 10⁵</t>
        </is>
      </c>
      <c r="L890" t="inlineStr">
        <is>
          <t>11B¹, 11C¹</t>
        </is>
      </c>
      <c r="M890" t="inlineStr">
        <is>
          <t>11A¹², 22B¹⁸, 22B²¹</t>
        </is>
      </c>
      <c r="N890" t="inlineStr">
        <is>
          <t>11A⁰, 11C¹, 11B¹, 1A⁰</t>
        </is>
      </c>
      <c r="O890" t="inlineStr">
        <is>
          <t>11A¹², 22B¹⁸, 22B²¹</t>
        </is>
      </c>
    </row>
    <row r="891">
      <c r="A891">
        <f>HYPERLINK("https://mathstats.uncg.edu/sites/pauli/congruence/csg5.html#group12A5", "12A⁵")</f>
        <v/>
      </c>
      <c r="B891" t="n">
        <v>5</v>
      </c>
      <c r="C891" t="inlineStr"/>
      <c r="D891" t="inlineStr">
        <is>
          <t>96</t>
        </is>
      </c>
      <c r="E891" t="inlineStr">
        <is>
          <t>1</t>
        </is>
      </c>
      <c r="F891" t="inlineStr">
        <is>
          <t>4</t>
        </is>
      </c>
      <c r="G891" t="inlineStr">
        <is>
          <t>0</t>
        </is>
      </c>
      <c r="H891" t="inlineStr">
        <is>
          <t>0</t>
        </is>
      </c>
      <c r="I891" t="inlineStr">
        <is>
          <t>12⁸</t>
        </is>
      </c>
      <c r="J891" t="n">
        <v>8</v>
      </c>
      <c r="K891" t="inlineStr">
        <is>
          <t>2²</t>
        </is>
      </c>
      <c r="L891" t="inlineStr">
        <is>
          <t>6D¹, 12I¹, 12Q¹, 12B³, 12C³</t>
        </is>
      </c>
      <c r="M891" t="inlineStr">
        <is>
          <t>12A⁹, 12A¹³, 24A¹³, 24B¹³, 36C¹⁷, 36E¹⁷, 36E¹⁹, 36H¹⁹, 36A²¹, 36B²¹</t>
        </is>
      </c>
      <c r="N891" t="inlineStr">
        <is>
          <t>12G¹, 2A⁰, 3B⁰, 6B⁰, 12I¹, 12B³, 6C⁰, 12C³, 12F⁰, 1A⁰, 12A⁰, 6D¹, 6E⁰, 6B¹, 4A⁰, 4D⁰, 12A¹, 12A², 12Q¹, 3C⁰, 6A¹, 3A⁰, 3D⁰</t>
        </is>
      </c>
      <c r="O891" t="inlineStr">
        <is>
          <t>36C¹⁷, 36H¹⁹, 36B²¹, 36E¹⁷, 12A¹³, 36A²¹, 24B¹³, 36E¹⁹, 24A¹³, 12A⁹</t>
        </is>
      </c>
    </row>
    <row r="892">
      <c r="A892">
        <f>HYPERLINK("https://mathstats.uncg.edu/sites/pauli/congruence/csg5.html#group12B5", "12B⁵")</f>
        <v/>
      </c>
      <c r="B892" t="n">
        <v>5</v>
      </c>
      <c r="C892" t="inlineStr"/>
      <c r="D892" t="inlineStr">
        <is>
          <t>144</t>
        </is>
      </c>
      <c r="E892" t="inlineStr">
        <is>
          <t>1</t>
        </is>
      </c>
      <c r="F892" t="inlineStr">
        <is>
          <t>3</t>
        </is>
      </c>
      <c r="G892" t="inlineStr">
        <is>
          <t>0</t>
        </is>
      </c>
      <c r="H892" t="inlineStr">
        <is>
          <t>0</t>
        </is>
      </c>
      <c r="I892" t="inlineStr">
        <is>
          <t>6⁸, 12⁸</t>
        </is>
      </c>
      <c r="J892" t="n">
        <v>16</v>
      </c>
      <c r="K892" t="inlineStr">
        <is>
          <t>1³</t>
        </is>
      </c>
      <c r="L892" t="inlineStr">
        <is>
          <t>6F¹, 12P¹, 12S¹, 12T¹, 12D³, 12E³, 12F³, 12G³</t>
        </is>
      </c>
      <c r="M892" t="inlineStr">
        <is>
          <t>12B⁹, 12A¹³, 12B¹³, 24J¹³, 24K¹³, 24O¹³, 24P¹³, 24A¹⁷, 24C¹⁷, 36E²¹</t>
        </is>
      </c>
      <c r="N892" t="inlineStr">
        <is>
          <t>12T¹, 2A⁰, 12C⁰, 12K¹, 12D², 12F³, 4C⁰, 6C¹, 6G⁰, 12E², 12S¹, 2B⁰, 4E⁰, 12B², 12N¹, 4B⁰, 12G³, 1A⁰, 6B¹, 12E⁰, 3C⁰, 6K⁰, 6A¹, 12B¹, 6H⁰, 3A⁰, 6F⁰, 6E¹, 3B⁰, 6B⁰, 12F¹, 6I⁰, 6F¹, 6C⁰, 12P¹, 12L¹, 3D⁰, 12G⁰, 12D³, 12C¹, 6E⁰, 6L⁰, 6D¹, 6A⁰, 6J⁰, 12E³, 12D⁰, 12H⁰, 12C², 2C⁰, 6D⁰</t>
        </is>
      </c>
      <c r="O892" t="inlineStr">
        <is>
          <t>36E²¹, 12A¹³, 12B⁹, 24J¹³, 24P¹³, 12B¹³, 24K¹³, 24O¹³, 24A¹⁷, 24C¹⁷</t>
        </is>
      </c>
    </row>
    <row r="893">
      <c r="A893">
        <f>HYPERLINK("https://mathstats.uncg.edu/sites/pauli/congruence/csg5.html#group12C5", "12C⁵")</f>
        <v/>
      </c>
      <c r="B893" t="n">
        <v>5</v>
      </c>
      <c r="C893" t="inlineStr"/>
      <c r="D893" t="inlineStr">
        <is>
          <t>144</t>
        </is>
      </c>
      <c r="E893" t="inlineStr">
        <is>
          <t>1</t>
        </is>
      </c>
      <c r="F893" t="inlineStr">
        <is>
          <t>18</t>
        </is>
      </c>
      <c r="G893" t="inlineStr">
        <is>
          <t>8</t>
        </is>
      </c>
      <c r="H893" t="inlineStr">
        <is>
          <t>0</t>
        </is>
      </c>
      <c r="I893" t="inlineStr">
        <is>
          <t>12¹²</t>
        </is>
      </c>
      <c r="J893" t="n">
        <v>12</v>
      </c>
      <c r="K893" t="inlineStr">
        <is>
          <t>2³, 4³</t>
        </is>
      </c>
      <c r="L893" t="inlineStr">
        <is>
          <t>12T¹, 12U¹, 12H³</t>
        </is>
      </c>
      <c r="M893" t="inlineStr">
        <is>
          <t>12A¹¹, 12B¹³, 24Q¹³, 24K¹⁵, 24M¹⁷, 36B²³, 36C²³</t>
        </is>
      </c>
      <c r="N893" t="inlineStr">
        <is>
          <t>12T¹, 12U¹, 12D¹, 6B⁰, 12C⁰, 3A⁰, 4C⁰, 6G⁰, 2B⁰, 12N¹, 1A⁰, 12L¹, 12G⁰, 12C¹, 6E⁰, 6L⁰, 3C⁰, 12D⁰, 6H⁰, 12H⁰, 12H³, 6D⁰</t>
        </is>
      </c>
      <c r="O893" t="inlineStr">
        <is>
          <t>12B¹³, 24Q¹³, 36C²³, 36B²³, 24M¹⁷, 24K¹⁵, 12A¹¹</t>
        </is>
      </c>
    </row>
    <row r="894">
      <c r="A894">
        <f>HYPERLINK("https://mathstats.uncg.edu/sites/pauli/congruence/csg5.html#group12D5", "12D⁵")</f>
        <v/>
      </c>
      <c r="B894" t="n">
        <v>5</v>
      </c>
      <c r="C894" t="inlineStr"/>
      <c r="D894" t="inlineStr">
        <is>
          <t>144</t>
        </is>
      </c>
      <c r="E894" t="inlineStr">
        <is>
          <t>1</t>
        </is>
      </c>
      <c r="F894" t="inlineStr">
        <is>
          <t>18</t>
        </is>
      </c>
      <c r="G894" t="inlineStr">
        <is>
          <t>8</t>
        </is>
      </c>
      <c r="H894" t="inlineStr">
        <is>
          <t>0</t>
        </is>
      </c>
      <c r="I894" t="inlineStr">
        <is>
          <t>12¹²</t>
        </is>
      </c>
      <c r="J894" t="n">
        <v>12</v>
      </c>
      <c r="K894" t="inlineStr">
        <is>
          <t>1², 2⁴, 4²</t>
        </is>
      </c>
      <c r="L894" t="inlineStr">
        <is>
          <t>12Q¹, 12T¹, 12H², 12I², 12I³, 12J³</t>
        </is>
      </c>
      <c r="M894" t="inlineStr">
        <is>
          <t>12A¹¹, 12A¹³, 24R¹³, 24T¹³, 24U¹³, 24L¹⁵, 24N¹⁷, 24AA¹⁷, 24AE¹⁷, 36D²³</t>
        </is>
      </c>
      <c r="N894" t="inlineStr">
        <is>
          <t>12T¹, 12I², 12G¹, 6B⁰, 12C⁰, 3A⁰, 4C⁰, 12F⁰, 6G⁰, 2B⁰, 12M¹, 12N¹, 1A⁰, 12L¹, 12J³, 12H², 12G⁰, 12A⁰, 12C¹, 12I³, 6E⁰, 6L⁰, 4A⁰, 12Q¹, 3C⁰, 12J¹, 12D⁰, 4F⁰, 6H⁰, 12H⁰, 6D⁰</t>
        </is>
      </c>
      <c r="O894" t="inlineStr">
        <is>
          <t>36D²³, 24T¹³, 12A¹³, 24R¹³, 24U¹³, 24AA¹⁷, 24AE¹⁷, 24L¹⁵, 24N¹⁷, 12A¹¹</t>
        </is>
      </c>
    </row>
    <row r="895">
      <c r="A895">
        <f>HYPERLINK("https://mathstats.uncg.edu/sites/pauli/congruence/csg5.html#group12E5", "12E⁵")</f>
        <v/>
      </c>
      <c r="B895" t="n">
        <v>5</v>
      </c>
      <c r="C895" t="inlineStr"/>
      <c r="D895" t="inlineStr">
        <is>
          <t>192</t>
        </is>
      </c>
      <c r="E895" t="inlineStr">
        <is>
          <t>1</t>
        </is>
      </c>
      <c r="F895" t="inlineStr">
        <is>
          <t>4</t>
        </is>
      </c>
      <c r="G895" t="inlineStr">
        <is>
          <t>0</t>
        </is>
      </c>
      <c r="H895" t="inlineStr">
        <is>
          <t>0</t>
        </is>
      </c>
      <c r="I895" t="inlineStr">
        <is>
          <t>4¹², 12¹²</t>
        </is>
      </c>
      <c r="J895" t="n">
        <v>24</v>
      </c>
      <c r="K895" t="inlineStr">
        <is>
          <t>1², 2¹</t>
        </is>
      </c>
      <c r="L895" t="inlineStr">
        <is>
          <t>12R¹, 12V¹, 12K³, 12L³</t>
        </is>
      </c>
      <c r="M895" t="inlineStr">
        <is>
          <t>24AB¹³, 24AP¹⁷, 24B²¹</t>
        </is>
      </c>
      <c r="N895" t="inlineStr">
        <is>
          <t>3B⁰, 2A⁰, 12I¹, 12V¹, 6I⁰, 12F¹, 6C⁰, 12I⁰, 4C⁰, 12J⁰, 4G⁰, 2B⁰, 4E⁰, 12P¹, 4B⁰, 1A⁰, 12F², 4A⁰, 4D⁰, 12L³, 12A¹, 12G², 12K³, 12R¹, 4F⁰, 6F⁰, 2C⁰, 12E⁰, 12B⁰</t>
        </is>
      </c>
      <c r="O895" t="inlineStr">
        <is>
          <t>24B²¹, 24AB¹³, 24AP¹⁷</t>
        </is>
      </c>
    </row>
    <row r="896">
      <c r="A896">
        <f>HYPERLINK("https://mathstats.uncg.edu/sites/pauli/congruence/csg5.html#group14A5", "14A⁵")</f>
        <v/>
      </c>
      <c r="B896" t="n">
        <v>5</v>
      </c>
      <c r="C896" t="inlineStr"/>
      <c r="D896" t="inlineStr">
        <is>
          <t>84</t>
        </is>
      </c>
      <c r="E896" t="inlineStr">
        <is>
          <t>1</t>
        </is>
      </c>
      <c r="F896" t="inlineStr">
        <is>
          <t>21</t>
        </is>
      </c>
      <c r="G896" t="inlineStr">
        <is>
          <t>0</t>
        </is>
      </c>
      <c r="H896" t="inlineStr">
        <is>
          <t>0</t>
        </is>
      </c>
      <c r="I896" t="inlineStr">
        <is>
          <t>14⁶</t>
        </is>
      </c>
      <c r="J896" t="n">
        <v>6</v>
      </c>
      <c r="K896" t="inlineStr">
        <is>
          <t>3¹, 6³</t>
        </is>
      </c>
      <c r="L896" t="inlineStr">
        <is>
          <t>7A¹, 14B²</t>
        </is>
      </c>
      <c r="M896" t="inlineStr">
        <is>
          <t>14A⁹, 14B¹³, 42A¹⁹, 28A²³, 42C²³</t>
        </is>
      </c>
      <c r="N896" t="inlineStr">
        <is>
          <t>14A⁰, 14B², 7D⁰, 1A⁰, 7A⁰, 7A¹</t>
        </is>
      </c>
      <c r="O896" t="inlineStr">
        <is>
          <t>14B¹³, 42A¹⁹, 42C²³, 14A⁹, 14A¹⁷, 28A²³</t>
        </is>
      </c>
    </row>
    <row r="897">
      <c r="A897">
        <f>HYPERLINK("https://mathstats.uncg.edu/sites/pauli/congruence/csg5.html#group14B5", "14B⁵")</f>
        <v/>
      </c>
      <c r="B897" t="n">
        <v>5</v>
      </c>
      <c r="C897" t="inlineStr"/>
      <c r="D897" t="inlineStr">
        <is>
          <t>84</t>
        </is>
      </c>
      <c r="E897" t="inlineStr">
        <is>
          <t>1</t>
        </is>
      </c>
      <c r="F897" t="inlineStr">
        <is>
          <t>21</t>
        </is>
      </c>
      <c r="G897" t="inlineStr">
        <is>
          <t>0</t>
        </is>
      </c>
      <c r="H897" t="inlineStr">
        <is>
          <t>0</t>
        </is>
      </c>
      <c r="I897" t="inlineStr">
        <is>
          <t>14⁶</t>
        </is>
      </c>
      <c r="J897" t="n">
        <v>6</v>
      </c>
      <c r="K897" t="inlineStr">
        <is>
          <t>3¹, 6³</t>
        </is>
      </c>
      <c r="L897" t="inlineStr">
        <is>
          <t>7A¹, 14E¹, 14A³</t>
        </is>
      </c>
      <c r="M897" t="inlineStr">
        <is>
          <t>14A⁹, 14A¹³, 42B¹⁹, 42C¹⁹, 28B²³, 42D²³</t>
        </is>
      </c>
      <c r="N897" t="inlineStr">
        <is>
          <t>2A⁰, 14E¹, 7D⁰, 14A³, 14A¹, 7A¹, 1A⁰, 7A⁰</t>
        </is>
      </c>
      <c r="O897" t="inlineStr">
        <is>
          <t>42C¹⁹, 14A⁹, 42B¹⁹, 28B²³, 14A¹³, 42D²³, 14A¹⁷</t>
        </is>
      </c>
    </row>
    <row r="898">
      <c r="A898">
        <f>HYPERLINK("https://mathstats.uncg.edu/sites/pauli/congruence/csg5.html#group14C5", "14C⁵")</f>
        <v/>
      </c>
      <c r="B898" t="n">
        <v>5</v>
      </c>
      <c r="C898" t="inlineStr"/>
      <c r="D898" t="inlineStr">
        <is>
          <t>84</t>
        </is>
      </c>
      <c r="E898" t="inlineStr">
        <is>
          <t>2</t>
        </is>
      </c>
      <c r="F898" t="inlineStr">
        <is>
          <t>7</t>
        </is>
      </c>
      <c r="G898" t="inlineStr">
        <is>
          <t>0</t>
        </is>
      </c>
      <c r="H898" t="inlineStr">
        <is>
          <t>0</t>
        </is>
      </c>
      <c r="I898" t="inlineStr">
        <is>
          <t>14⁶</t>
        </is>
      </c>
      <c r="J898" t="n">
        <v>6</v>
      </c>
      <c r="K898" t="inlineStr">
        <is>
          <t>2¹, 6²</t>
        </is>
      </c>
      <c r="L898" t="inlineStr">
        <is>
          <t>7G⁰, 14D¹, 14B², 14A³</t>
        </is>
      </c>
      <c r="M898" t="inlineStr">
        <is>
          <t>14A⁹, 14C¹³, 42F¹⁹, 42H¹⁹, 28D²³, 42E²³</t>
        </is>
      </c>
      <c r="N898" t="inlineStr">
        <is>
          <t>2A⁰, 14A⁰, 14B², 7D⁰, 14A³, 7C⁰, 14A¹, 1A⁰, 7G⁰, 14D¹, 7A⁰</t>
        </is>
      </c>
      <c r="O898" t="inlineStr">
        <is>
          <t>42E²³, 42F¹⁹, 14C¹³, 14A⁹, 14A¹⁷, 28D²³, 42H¹⁹</t>
        </is>
      </c>
    </row>
    <row r="899">
      <c r="A899">
        <f>HYPERLINK("https://mathstats.uncg.edu/sites/pauli/congruence/csg5.html#group14D5", "14D⁵")</f>
        <v/>
      </c>
      <c r="B899" t="n">
        <v>5</v>
      </c>
      <c r="C899" t="inlineStr"/>
      <c r="D899" t="inlineStr">
        <is>
          <t>84</t>
        </is>
      </c>
      <c r="E899" t="inlineStr">
        <is>
          <t>2</t>
        </is>
      </c>
      <c r="F899" t="inlineStr">
        <is>
          <t>7</t>
        </is>
      </c>
      <c r="G899" t="inlineStr">
        <is>
          <t>0</t>
        </is>
      </c>
      <c r="H899" t="inlineStr">
        <is>
          <t>0</t>
        </is>
      </c>
      <c r="I899" t="inlineStr">
        <is>
          <t>14⁶</t>
        </is>
      </c>
      <c r="J899" t="n">
        <v>6</v>
      </c>
      <c r="K899" t="inlineStr">
        <is>
          <t>2¹, 6²</t>
        </is>
      </c>
      <c r="L899" t="inlineStr">
        <is>
          <t>14D¹, 14A², 14C², 14B³</t>
        </is>
      </c>
      <c r="M899" t="inlineStr">
        <is>
          <t>28C¹¹, 14C¹³, 14B¹⁷, 42G¹⁹, 42I¹⁹, 42F²³</t>
        </is>
      </c>
      <c r="N899" t="inlineStr">
        <is>
          <t>2A⁰, 14A⁰, 14A², 14B³, 14B¹, 7C⁰, 14C², 14A¹, 1A⁰, 2B⁰, 14D¹, 2C⁰, 7A⁰</t>
        </is>
      </c>
      <c r="O899" t="inlineStr">
        <is>
          <t>42I¹⁹, 42F²³, 56F²³, 28C²³, 14C¹³, 28C¹¹, 14B¹⁷, 42G¹⁹, 56A²³</t>
        </is>
      </c>
    </row>
    <row r="900">
      <c r="A900">
        <f>HYPERLINK("https://mathstats.uncg.edu/sites/pauli/congruence/csg5.html#group14E5", "14E⁵")</f>
        <v/>
      </c>
      <c r="B900" t="n">
        <v>5</v>
      </c>
      <c r="C900" t="inlineStr"/>
      <c r="D900" t="inlineStr">
        <is>
          <t>112</t>
        </is>
      </c>
      <c r="E900" t="inlineStr">
        <is>
          <t>1</t>
        </is>
      </c>
      <c r="F900" t="inlineStr">
        <is>
          <t>28</t>
        </is>
      </c>
      <c r="G900" t="inlineStr">
        <is>
          <t>0</t>
        </is>
      </c>
      <c r="H900" t="inlineStr">
        <is>
          <t>4</t>
        </is>
      </c>
      <c r="I900" t="inlineStr">
        <is>
          <t>14⁸</t>
        </is>
      </c>
      <c r="J900" t="n">
        <v>8</v>
      </c>
      <c r="K900" t="inlineStr">
        <is>
          <t>1¹, 3¹, 6⁴</t>
        </is>
      </c>
      <c r="L900" t="inlineStr">
        <is>
          <t>14B⁰, 7B¹, 14D¹, 14G¹, 14C³</t>
        </is>
      </c>
      <c r="M900" t="inlineStr">
        <is>
          <t>28A¹³, 14A¹⁵, 14A¹⁷, 14B¹⁷, 42A²³, 42B²³, 42A²⁴</t>
        </is>
      </c>
      <c r="N900" t="inlineStr">
        <is>
          <t>2A⁰, 14A⁰, 7B⁰, 7C⁰, 14C³, 14B⁰, 7F⁰, 14A¹, 1A⁰, 14G¹, 14D¹, 7B¹, 7A⁰</t>
        </is>
      </c>
      <c r="O900" t="inlineStr">
        <is>
          <t>14B¹⁷, 42B²³, 14A¹⁵, 14A¹⁷, 28A¹³, 42A²³, 42A²⁴</t>
        </is>
      </c>
    </row>
    <row r="901">
      <c r="A901">
        <f>HYPERLINK("https://mathstats.uncg.edu/sites/pauli/congruence/csg5.html#group14F5", "14F⁵")</f>
        <v/>
      </c>
      <c r="B901" t="n">
        <v>5</v>
      </c>
      <c r="C901" t="inlineStr"/>
      <c r="D901" t="inlineStr">
        <is>
          <t>126</t>
        </is>
      </c>
      <c r="E901" t="inlineStr">
        <is>
          <t>1</t>
        </is>
      </c>
      <c r="F901" t="inlineStr">
        <is>
          <t>63</t>
        </is>
      </c>
      <c r="G901" t="inlineStr">
        <is>
          <t>2</t>
        </is>
      </c>
      <c r="H901" t="inlineStr">
        <is>
          <t>0</t>
        </is>
      </c>
      <c r="I901" t="inlineStr">
        <is>
          <t>7⁶, 14⁶</t>
        </is>
      </c>
      <c r="J901" t="n">
        <v>12</v>
      </c>
      <c r="K901" t="inlineStr">
        <is>
          <t>3³, 6⁹</t>
        </is>
      </c>
      <c r="L901" t="inlineStr">
        <is>
          <t>7A¹, 14F²</t>
        </is>
      </c>
      <c r="M901" t="inlineStr">
        <is>
          <t>14C⁹, 14A¹³, 14B¹³, 28B¹³, 28C¹³, 28C¹⁵, 28D¹⁵</t>
        </is>
      </c>
      <c r="N901" t="inlineStr">
        <is>
          <t>14F², 2B⁰, 7D⁰, 14B¹, 1A⁰, 7A⁰, 7A¹</t>
        </is>
      </c>
      <c r="O901" t="inlineStr">
        <is>
          <t>28D¹⁵, 14A²³, 14C⁹, 28B¹³, 28C¹³, 14A¹⁹, 14B¹³, 28C¹⁵, 28E²³, 14A¹³</t>
        </is>
      </c>
    </row>
    <row r="902">
      <c r="A902">
        <f>HYPERLINK("https://mathstats.uncg.edu/sites/pauli/congruence/csg5.html#group14G5", "14G⁵")</f>
        <v/>
      </c>
      <c r="B902" t="n">
        <v>5</v>
      </c>
      <c r="C902" t="inlineStr"/>
      <c r="D902" t="inlineStr">
        <is>
          <t>126</t>
        </is>
      </c>
      <c r="E902" t="inlineStr">
        <is>
          <t>1</t>
        </is>
      </c>
      <c r="F902" t="inlineStr">
        <is>
          <t>63</t>
        </is>
      </c>
      <c r="G902" t="inlineStr">
        <is>
          <t>8</t>
        </is>
      </c>
      <c r="H902" t="inlineStr">
        <is>
          <t>0</t>
        </is>
      </c>
      <c r="I902" t="inlineStr">
        <is>
          <t>14⁹</t>
        </is>
      </c>
      <c r="J902" t="n">
        <v>9</v>
      </c>
      <c r="K902" t="inlineStr">
        <is>
          <t>3³, 6⁹</t>
        </is>
      </c>
      <c r="L902" t="inlineStr">
        <is>
          <t>14E¹, 14F²</t>
        </is>
      </c>
      <c r="M902" t="inlineStr">
        <is>
          <t>14A¹¹, 28D¹², 14A¹³, 28A¹⁴, 28A¹⁶, 42A²²</t>
        </is>
      </c>
      <c r="N902" t="inlineStr">
        <is>
          <t>14E¹, 7D⁰, 14B¹, 14F², 2B⁰, 1A⁰, 7A⁰</t>
        </is>
      </c>
      <c r="O902" t="inlineStr">
        <is>
          <t>14A¹¹, 42A²², 14A²³, 28D¹², 28A¹⁴, 28A¹⁶, 14A¹³</t>
        </is>
      </c>
    </row>
    <row r="903">
      <c r="A903">
        <f>HYPERLINK("https://mathstats.uncg.edu/sites/pauli/congruence/csg5.html#group15A5", "15A⁵")</f>
        <v/>
      </c>
      <c r="B903" t="n">
        <v>5</v>
      </c>
      <c r="C903" t="inlineStr"/>
      <c r="D903" t="inlineStr">
        <is>
          <t>120</t>
        </is>
      </c>
      <c r="E903" t="inlineStr">
        <is>
          <t>1</t>
        </is>
      </c>
      <c r="F903" t="inlineStr">
        <is>
          <t>30</t>
        </is>
      </c>
      <c r="G903" t="inlineStr">
        <is>
          <t>8</t>
        </is>
      </c>
      <c r="H903" t="inlineStr">
        <is>
          <t>0</t>
        </is>
      </c>
      <c r="I903" t="inlineStr">
        <is>
          <t>15⁸</t>
        </is>
      </c>
      <c r="J903" t="n">
        <v>8</v>
      </c>
      <c r="K903" t="inlineStr">
        <is>
          <t>2¹, 4³, 8²</t>
        </is>
      </c>
      <c r="L903" t="inlineStr">
        <is>
          <t>15D², 15C³</t>
        </is>
      </c>
      <c r="M903" t="inlineStr">
        <is>
          <t>15A¹¹, 15A¹³, 30M¹³, 30D¹⁵, 15A¹⁷, 30C¹⁷, 30C²¹, 45B²¹, 45C²¹, 45D²¹</t>
        </is>
      </c>
      <c r="N903" t="inlineStr">
        <is>
          <t>15D¹, 5C⁰, 15D², 3C⁰, 15C³, 3A⁰, 1A⁰</t>
        </is>
      </c>
      <c r="O903" t="inlineStr">
        <is>
          <t>30M¹³, 15A¹¹, 15A¹⁷, 30D¹⁵, 45D²¹, 15A¹³, 45B²¹, 30C¹⁷, 30C²¹, 45C²¹</t>
        </is>
      </c>
    </row>
    <row r="904">
      <c r="A904">
        <f>HYPERLINK("https://mathstats.uncg.edu/sites/pauli/congruence/csg5.html#group15B5", "15B⁵")</f>
        <v/>
      </c>
      <c r="B904" t="n">
        <v>5</v>
      </c>
      <c r="C904" t="inlineStr"/>
      <c r="D904" t="inlineStr">
        <is>
          <t>120</t>
        </is>
      </c>
      <c r="E904" t="inlineStr">
        <is>
          <t>1</t>
        </is>
      </c>
      <c r="F904" t="inlineStr">
        <is>
          <t>60</t>
        </is>
      </c>
      <c r="G904" t="inlineStr">
        <is>
          <t>0</t>
        </is>
      </c>
      <c r="H904" t="inlineStr">
        <is>
          <t>0</t>
        </is>
      </c>
      <c r="I904" t="inlineStr">
        <is>
          <t>5⁶, 15⁶</t>
        </is>
      </c>
      <c r="J904" t="n">
        <v>12</v>
      </c>
      <c r="K904" t="inlineStr">
        <is>
          <t>1², 2³, 4⁷, 8³</t>
        </is>
      </c>
      <c r="L904" t="inlineStr">
        <is>
          <t>5G⁰, 15C¹, 15C², 15A³</t>
        </is>
      </c>
      <c r="M904" t="inlineStr">
        <is>
          <t>15B⁹, 30B¹⁵, 30C¹⁵, 15B¹⁹, 30B¹⁹, 45H¹⁹</t>
        </is>
      </c>
      <c r="N904" t="inlineStr">
        <is>
          <t>15C¹, 15A³, 3B⁰, 5A⁰, 5C⁰, 5B⁰, 5E⁰, 15B¹, 15C², 1A⁰, 5G⁰</t>
        </is>
      </c>
      <c r="O904" t="inlineStr">
        <is>
          <t>30B¹⁹, 15B¹⁹, 15B⁹, 30C¹⁵, 30B¹⁵, 15B¹⁷, 45H¹⁹</t>
        </is>
      </c>
    </row>
    <row r="905">
      <c r="A905">
        <f>HYPERLINK("https://mathstats.uncg.edu/sites/pauli/congruence/csg5.html#group15C5", "15C⁵")</f>
        <v/>
      </c>
      <c r="B905" t="n">
        <v>5</v>
      </c>
      <c r="C905" t="inlineStr"/>
      <c r="D905" t="inlineStr">
        <is>
          <t>144</t>
        </is>
      </c>
      <c r="E905" t="inlineStr">
        <is>
          <t>1</t>
        </is>
      </c>
      <c r="F905" t="inlineStr">
        <is>
          <t>6</t>
        </is>
      </c>
      <c r="G905" t="inlineStr">
        <is>
          <t>0</t>
        </is>
      </c>
      <c r="H905" t="inlineStr">
        <is>
          <t>0</t>
        </is>
      </c>
      <c r="I905" t="inlineStr">
        <is>
          <t>3⁸, 15⁸</t>
        </is>
      </c>
      <c r="J905" t="n">
        <v>16</v>
      </c>
      <c r="K905" t="inlineStr">
        <is>
          <t>1², 4¹</t>
        </is>
      </c>
      <c r="L905" t="inlineStr">
        <is>
          <t>15G¹, 15H¹, 15E³, 15F³</t>
        </is>
      </c>
      <c r="M905" t="inlineStr">
        <is>
          <t>15C⁹, 30G¹⁷, 30H¹⁷, 30G²¹, 45E²¹</t>
        </is>
      </c>
      <c r="N905" t="inlineStr">
        <is>
          <t>3B⁰, 5B⁰, 15G¹, 5D⁰, 15F³, 15H¹, 1A⁰, 15C¹, 15B⁰, 15E³, 15B², 3C⁰, 15C⁰, 3A⁰, 3D⁰, 15E¹</t>
        </is>
      </c>
      <c r="O905" t="inlineStr">
        <is>
          <t>30G¹⁷, 30G²¹, 45E²¹, 30H¹⁷, 15C⁹</t>
        </is>
      </c>
    </row>
    <row r="906">
      <c r="A906">
        <f>HYPERLINK("https://mathstats.uncg.edu/sites/pauli/congruence/csg5.html#group15D5", "15D⁵")</f>
        <v/>
      </c>
      <c r="B906" t="n">
        <v>5</v>
      </c>
      <c r="C906" t="inlineStr"/>
      <c r="D906" t="inlineStr">
        <is>
          <t>160</t>
        </is>
      </c>
      <c r="E906" t="inlineStr">
        <is>
          <t>1</t>
        </is>
      </c>
      <c r="F906" t="inlineStr">
        <is>
          <t>40</t>
        </is>
      </c>
      <c r="G906" t="inlineStr">
        <is>
          <t>0</t>
        </is>
      </c>
      <c r="H906" t="inlineStr">
        <is>
          <t>4</t>
        </is>
      </c>
      <c r="I906" t="inlineStr">
        <is>
          <t>5⁸, 15⁸</t>
        </is>
      </c>
      <c r="J906" t="n">
        <v>16</v>
      </c>
      <c r="K906" t="inlineStr">
        <is>
          <t>2², 4⁵, 8²</t>
        </is>
      </c>
      <c r="L906" t="inlineStr">
        <is>
          <t>15G³</t>
        </is>
      </c>
      <c r="M906" t="inlineStr">
        <is>
          <t>15B¹⁷, 30K¹⁷, 15A²³, 45E²³</t>
        </is>
      </c>
      <c r="N906" t="inlineStr">
        <is>
          <t>3B⁰, 5A⁰, 15G³, 15B¹, 5F⁰, 1A⁰, 15C², 5C⁰</t>
        </is>
      </c>
      <c r="O906" t="inlineStr">
        <is>
          <t>45E²³, 15A²³, 30K¹⁷, 15B¹⁷</t>
        </is>
      </c>
    </row>
    <row r="907">
      <c r="A907">
        <f>HYPERLINK("https://mathstats.uncg.edu/sites/pauli/congruence/csg5.html#group16A5", "16A⁵")</f>
        <v/>
      </c>
      <c r="B907" t="n">
        <v>5</v>
      </c>
      <c r="C907" t="inlineStr"/>
      <c r="D907" t="inlineStr">
        <is>
          <t>96</t>
        </is>
      </c>
      <c r="E907" t="inlineStr">
        <is>
          <t>1</t>
        </is>
      </c>
      <c r="F907" t="inlineStr">
        <is>
          <t>3</t>
        </is>
      </c>
      <c r="G907" t="inlineStr">
        <is>
          <t>0</t>
        </is>
      </c>
      <c r="H907" t="inlineStr">
        <is>
          <t>0</t>
        </is>
      </c>
      <c r="I907" t="inlineStr">
        <is>
          <t>8⁴, 16⁴</t>
        </is>
      </c>
      <c r="J907" t="n">
        <v>8</v>
      </c>
      <c r="K907" t="inlineStr">
        <is>
          <t>1³</t>
        </is>
      </c>
      <c r="L907" t="inlineStr">
        <is>
          <t>8F¹, 16E², 16D³, 16E³</t>
        </is>
      </c>
      <c r="M907" t="inlineStr">
        <is>
          <t>16A⁹, 16D⁹, 16E⁹, 32C¹³, 32F¹³, 48E²¹</t>
        </is>
      </c>
      <c r="N907" t="inlineStr">
        <is>
          <t>2A⁰, 16D³, 8A¹, 8D⁰, 4C⁰, 8B⁰, 4G⁰, 2B⁰, 8B¹, 8C⁰, 4E⁰, 4B⁰, 8F¹, 1A⁰, 16E², 8H⁰, 16D¹, 8C¹, 16B², 8G⁰, 4A⁰, 4D⁰, 4F⁰, 2C⁰, 16E³</t>
        </is>
      </c>
      <c r="O907" t="inlineStr">
        <is>
          <t>16C²¹, 16D⁹, 32F²¹, 16A⁹, 16A¹⁷, 16D²¹, 48E²¹, 32D²¹, 32F¹³, 16E⁹, 32C¹³, 16B¹⁷</t>
        </is>
      </c>
    </row>
    <row r="908">
      <c r="A908">
        <f>HYPERLINK("https://mathstats.uncg.edu/sites/pauli/congruence/csg5.html#group16B5", "16B⁵")</f>
        <v/>
      </c>
      <c r="B908" t="n">
        <v>5</v>
      </c>
      <c r="C908" t="inlineStr"/>
      <c r="D908" t="inlineStr">
        <is>
          <t>96</t>
        </is>
      </c>
      <c r="E908" t="inlineStr">
        <is>
          <t>1</t>
        </is>
      </c>
      <c r="F908" t="inlineStr">
        <is>
          <t>3</t>
        </is>
      </c>
      <c r="G908" t="inlineStr">
        <is>
          <t>0</t>
        </is>
      </c>
      <c r="H908" t="inlineStr">
        <is>
          <t>0</t>
        </is>
      </c>
      <c r="I908" t="inlineStr">
        <is>
          <t>8⁴, 16⁴</t>
        </is>
      </c>
      <c r="J908" t="n">
        <v>8</v>
      </c>
      <c r="K908" t="inlineStr">
        <is>
          <t>1³</t>
        </is>
      </c>
      <c r="L908" t="inlineStr">
        <is>
          <t>8F¹, 16F¹, 16A³, 16B³, 16C³</t>
        </is>
      </c>
      <c r="M908" t="inlineStr">
        <is>
          <t>16B⁹, 16C⁹, 16E⁹, 32A¹³, 32B¹³, 48F²¹</t>
        </is>
      </c>
      <c r="N908" t="inlineStr">
        <is>
          <t>2A⁰, 8A¹, 16C³, 8D⁰, 4C⁰, 16A³, 16B³, 8B⁰, 16B¹, 2B⁰, 8B¹, 4E⁰, 4G⁰, 4B⁰, 8F¹, 1A⁰, 8C⁰, 16A², 8H⁰, 16B⁰, 8C¹, 8G⁰, 4A⁰, 4D⁰, 4F⁰, 16F¹, 2C⁰</t>
        </is>
      </c>
      <c r="O908" t="inlineStr">
        <is>
          <t>32B¹³, 16C²¹, 16C⁹, 16B⁹, 16A¹⁷, 16A²¹, 32E²¹, 32A²¹, 32A¹³, 32B²¹, 48F²¹, 16E⁹, 16E²¹, 16B¹⁷</t>
        </is>
      </c>
    </row>
    <row r="909">
      <c r="A909">
        <f>HYPERLINK("https://mathstats.uncg.edu/sites/pauli/congruence/csg5.html#group16C5", "16C⁵")</f>
        <v/>
      </c>
      <c r="B909" t="n">
        <v>5</v>
      </c>
      <c r="C909" t="inlineStr"/>
      <c r="D909" t="inlineStr">
        <is>
          <t>96</t>
        </is>
      </c>
      <c r="E909" t="inlineStr">
        <is>
          <t>1</t>
        </is>
      </c>
      <c r="F909" t="inlineStr">
        <is>
          <t>6</t>
        </is>
      </c>
      <c r="G909" t="inlineStr">
        <is>
          <t>0</t>
        </is>
      </c>
      <c r="H909" t="inlineStr">
        <is>
          <t>0</t>
        </is>
      </c>
      <c r="I909" t="inlineStr">
        <is>
          <t>8⁴, 16⁴</t>
        </is>
      </c>
      <c r="J909" t="n">
        <v>8</v>
      </c>
      <c r="K909" t="inlineStr">
        <is>
          <t>1⁴, 2¹</t>
        </is>
      </c>
      <c r="L909" t="inlineStr">
        <is>
          <t>8G¹, 16F², 16A³, 16D³</t>
        </is>
      </c>
      <c r="M909" t="inlineStr">
        <is>
          <t>16E⁹, 16F⁹, 32D¹³, 32E¹³, 32L¹³, 48I²¹</t>
        </is>
      </c>
      <c r="N909" t="inlineStr">
        <is>
          <t>2A⁰, 16D³, 8A¹, 4C⁰, 16A³, 8B⁰, 16B¹, 8L⁰, 2B⁰, 8B¹, 4E⁰, 4B⁰, 1A⁰, 16D¹, 16B², 16F², 8G¹, 8J⁰, 2C⁰</t>
        </is>
      </c>
      <c r="O909" t="inlineStr">
        <is>
          <t>16F⁹, 32E¹³, 48I²¹, 16A¹⁷, 32D¹³, 32L¹³, 16E⁹, 32Q²¹, 16B¹⁷</t>
        </is>
      </c>
    </row>
    <row r="910">
      <c r="A910">
        <f>HYPERLINK("https://mathstats.uncg.edu/sites/pauli/congruence/csg5.html#group16D5", "16D⁵")</f>
        <v/>
      </c>
      <c r="B910" t="n">
        <v>5</v>
      </c>
      <c r="C910" t="inlineStr"/>
      <c r="D910" t="inlineStr">
        <is>
          <t>96</t>
        </is>
      </c>
      <c r="E910" t="inlineStr">
        <is>
          <t>1</t>
        </is>
      </c>
      <c r="F910" t="inlineStr">
        <is>
          <t>6</t>
        </is>
      </c>
      <c r="G910" t="inlineStr">
        <is>
          <t>0</t>
        </is>
      </c>
      <c r="H910" t="inlineStr">
        <is>
          <t>0</t>
        </is>
      </c>
      <c r="I910" t="inlineStr">
        <is>
          <t>8⁴, 16⁴</t>
        </is>
      </c>
      <c r="J910" t="n">
        <v>8</v>
      </c>
      <c r="K910" t="inlineStr">
        <is>
          <t>1⁴, 2¹</t>
        </is>
      </c>
      <c r="L910" t="inlineStr">
        <is>
          <t>8G¹, 16J¹, 16B³, 16D³, 16F³</t>
        </is>
      </c>
      <c r="M910" t="inlineStr">
        <is>
          <t>16E⁹, 16G⁹, 32G¹³, 32H¹³, 32M¹³, 48J²¹</t>
        </is>
      </c>
      <c r="N910" t="inlineStr">
        <is>
          <t>2A⁰, 16D³, 8A¹, 4C⁰, 16B³, 8B⁰, 8L⁰, 2B⁰, 8B¹, 4E⁰, 16J¹, 4B⁰, 1A⁰, 16A², 16B⁰, 16D¹, 16B², 8G¹, 16F³, 8J⁰, 2C⁰</t>
        </is>
      </c>
      <c r="O910" t="inlineStr">
        <is>
          <t>16G⁹, 32H¹³, 32M¹³, 16A¹⁷, 32R²¹, 48J²¹, 16E⁹, 32G¹³, 16B¹⁷</t>
        </is>
      </c>
    </row>
    <row r="911">
      <c r="A911">
        <f>HYPERLINK("https://mathstats.uncg.edu/sites/pauli/congruence/csg5.html#group16E5", "16E⁵")</f>
        <v/>
      </c>
      <c r="B911" t="n">
        <v>5</v>
      </c>
      <c r="C911" t="inlineStr"/>
      <c r="D911" t="inlineStr">
        <is>
          <t>96</t>
        </is>
      </c>
      <c r="E911" t="inlineStr">
        <is>
          <t>1</t>
        </is>
      </c>
      <c r="F911" t="inlineStr">
        <is>
          <t>12</t>
        </is>
      </c>
      <c r="G911" t="inlineStr">
        <is>
          <t>0</t>
        </is>
      </c>
      <c r="H911" t="inlineStr">
        <is>
          <t>0</t>
        </is>
      </c>
      <c r="I911" t="inlineStr">
        <is>
          <t>8⁴, 16⁴</t>
        </is>
      </c>
      <c r="J911" t="n">
        <v>8</v>
      </c>
      <c r="K911" t="inlineStr">
        <is>
          <t>2², 4²</t>
        </is>
      </c>
      <c r="L911" t="inlineStr">
        <is>
          <t>8H¹, 16H¹, 16C³</t>
        </is>
      </c>
      <c r="M911" t="inlineStr">
        <is>
          <t>16C⁹, 16H⁹, 16B¹¹, 16C¹¹, 48T²¹</t>
        </is>
      </c>
      <c r="N911" t="inlineStr">
        <is>
          <t>16C³, 8D⁰, 4C⁰, 8B⁰, 8A⁰, 16B¹, 2B⁰, 1A⁰, 8K⁰, 8H¹, 8D¹, 16A², 8H⁰, 4A⁰, 4F⁰, 16H¹</t>
        </is>
      </c>
      <c r="O911" t="inlineStr">
        <is>
          <t>16C⁹, 16E²¹, 16F²¹, 32G²³, 16A¹⁷, 16H⁹, 32A²¹, 16C¹¹, 48T²¹, 32B²¹, 32P²¹, 16B¹¹</t>
        </is>
      </c>
    </row>
    <row r="912">
      <c r="A912">
        <f>HYPERLINK("https://mathstats.uncg.edu/sites/pauli/congruence/csg5.html#group16F5", "16F⁵")</f>
        <v/>
      </c>
      <c r="B912" t="n">
        <v>5</v>
      </c>
      <c r="C912" t="inlineStr"/>
      <c r="D912" t="inlineStr">
        <is>
          <t>96</t>
        </is>
      </c>
      <c r="E912" t="inlineStr">
        <is>
          <t>1</t>
        </is>
      </c>
      <c r="F912" t="inlineStr">
        <is>
          <t>12</t>
        </is>
      </c>
      <c r="G912" t="inlineStr">
        <is>
          <t>0</t>
        </is>
      </c>
      <c r="H912" t="inlineStr">
        <is>
          <t>0</t>
        </is>
      </c>
      <c r="I912" t="inlineStr">
        <is>
          <t>8⁴, 16⁴</t>
        </is>
      </c>
      <c r="J912" t="n">
        <v>8</v>
      </c>
      <c r="K912" t="inlineStr">
        <is>
          <t>1², 2¹, 4²</t>
        </is>
      </c>
      <c r="L912" t="inlineStr">
        <is>
          <t>8I¹, 16I¹, 16C³</t>
        </is>
      </c>
      <c r="M912" t="inlineStr">
        <is>
          <t>16B⁹, 16H⁹, 32C¹¹, 32D¹¹, 48U²¹</t>
        </is>
      </c>
      <c r="N912" t="inlineStr">
        <is>
          <t>8H⁰, 16E⁰, 8F⁰, 16I¹, 16C³, 8D⁰, 4A⁰, 8I¹, 16C¹, 4C⁰, 8B⁰, 16B¹, 2B⁰, 4F⁰, 1A⁰, 16A²</t>
        </is>
      </c>
      <c r="O912" t="inlineStr">
        <is>
          <t>16C²¹, 48U²¹, 64B²³, 32C¹¹, 16F²¹, 16B⁹, 16A²¹, 32E²¹, 16H⁹, 32D¹¹, 32P²¹, 16A¹⁷</t>
        </is>
      </c>
    </row>
    <row r="913">
      <c r="A913">
        <f>HYPERLINK("https://mathstats.uncg.edu/sites/pauli/congruence/csg5.html#group16G5", "16G⁵")</f>
        <v/>
      </c>
      <c r="B913" t="n">
        <v>5</v>
      </c>
      <c r="C913" t="inlineStr"/>
      <c r="D913" t="inlineStr">
        <is>
          <t>96</t>
        </is>
      </c>
      <c r="E913" t="inlineStr">
        <is>
          <t>1</t>
        </is>
      </c>
      <c r="F913" t="inlineStr">
        <is>
          <t>12</t>
        </is>
      </c>
      <c r="G913" t="inlineStr">
        <is>
          <t>0</t>
        </is>
      </c>
      <c r="H913" t="inlineStr">
        <is>
          <t>0</t>
        </is>
      </c>
      <c r="I913" t="inlineStr">
        <is>
          <t>8⁴, 16⁴</t>
        </is>
      </c>
      <c r="J913" t="n">
        <v>8</v>
      </c>
      <c r="K913" t="inlineStr">
        <is>
          <t>2⁶</t>
        </is>
      </c>
      <c r="L913" t="inlineStr">
        <is>
          <t>8P⁰, 16E², 16F², 16C³, 16F³</t>
        </is>
      </c>
      <c r="M913" t="inlineStr">
        <is>
          <t>16E⁹, 16H⁹, 32Q¹³, 48V²¹</t>
        </is>
      </c>
      <c r="N913" t="inlineStr">
        <is>
          <t>16C³, 8D⁰, 4C⁰, 8B⁰, 16B¹, 8L⁰, 2B⁰, 1A⁰, 16E², 16A², 8H⁰, 16D¹, 16F², 4A⁰, 16F³, 4F⁰, 8P⁰</t>
        </is>
      </c>
      <c r="O913" t="inlineStr">
        <is>
          <t>16F²¹, 32Q¹³, 16H⁹, 16E⁹, 48V²¹, 32P²¹, 16A¹⁷, 16B¹⁷</t>
        </is>
      </c>
    </row>
    <row r="914">
      <c r="A914">
        <f>HYPERLINK("https://mathstats.uncg.edu/sites/pauli/congruence/csg5.html#group16H5", "16H⁵")</f>
        <v/>
      </c>
      <c r="B914" t="n">
        <v>5</v>
      </c>
      <c r="C914" t="inlineStr"/>
      <c r="D914" t="inlineStr">
        <is>
          <t>96</t>
        </is>
      </c>
      <c r="E914" t="inlineStr">
        <is>
          <t>1</t>
        </is>
      </c>
      <c r="F914" t="inlineStr">
        <is>
          <t>24</t>
        </is>
      </c>
      <c r="G914" t="inlineStr">
        <is>
          <t>0</t>
        </is>
      </c>
      <c r="H914" t="inlineStr">
        <is>
          <t>0</t>
        </is>
      </c>
      <c r="I914" t="inlineStr">
        <is>
          <t>8⁴, 16⁴</t>
        </is>
      </c>
      <c r="J914" t="n">
        <v>8</v>
      </c>
      <c r="K914" t="inlineStr">
        <is>
          <t>2², 4⁵</t>
        </is>
      </c>
      <c r="L914" t="inlineStr">
        <is>
          <t>8B², 16D², 16E³</t>
        </is>
      </c>
      <c r="M914" t="inlineStr">
        <is>
          <t>16D⁹, 16D¹¹, 32H¹¹, 32P¹³, 48AQ²¹</t>
        </is>
      </c>
      <c r="N914" t="inlineStr">
        <is>
          <t>16D², 8A¹, 8D⁰, 4C⁰, 8B², 8A⁰, 2B⁰, 1A⁰, 8K⁰, 8D¹, 16E⁰, 8C¹, 16B², 4A⁰, 16C¹, 4F⁰, 16E³</t>
        </is>
      </c>
      <c r="O914" t="inlineStr">
        <is>
          <t>16D⁹, 16D¹¹, 64A²³, 48AQ²¹, 16D²¹, 32F²³, 32P¹³, 32H¹¹, 32D²¹, 16A¹⁷</t>
        </is>
      </c>
    </row>
    <row r="915">
      <c r="A915">
        <f>HYPERLINK("https://mathstats.uncg.edu/sites/pauli/congruence/csg5.html#group16I5", "16I⁵")</f>
        <v/>
      </c>
      <c r="B915" t="n">
        <v>5</v>
      </c>
      <c r="C915" t="inlineStr"/>
      <c r="D915" t="inlineStr">
        <is>
          <t>96</t>
        </is>
      </c>
      <c r="E915" t="inlineStr">
        <is>
          <t>1</t>
        </is>
      </c>
      <c r="F915" t="inlineStr">
        <is>
          <t>24</t>
        </is>
      </c>
      <c r="G915" t="inlineStr">
        <is>
          <t>4</t>
        </is>
      </c>
      <c r="H915" t="inlineStr">
        <is>
          <t>0</t>
        </is>
      </c>
      <c r="I915" t="inlineStr">
        <is>
          <t>16⁶</t>
        </is>
      </c>
      <c r="J915" t="n">
        <v>6</v>
      </c>
      <c r="K915" t="inlineStr">
        <is>
          <t>4², 8²</t>
        </is>
      </c>
      <c r="L915" t="inlineStr">
        <is>
          <t>8H¹</t>
        </is>
      </c>
      <c r="M915" t="inlineStr">
        <is>
          <t>16J⁹, 16A¹⁰, 16C¹⁰, 16A¹¹, 16C¹¹, 32R¹³, 48S¹⁹</t>
        </is>
      </c>
      <c r="N915" t="inlineStr">
        <is>
          <t>8H⁰, 8D⁰, 4A⁰, 8K⁰, 4C⁰, 8B⁰, 8A⁰, 2B⁰, 4F⁰, 1A⁰, 8D¹, 8H¹</t>
        </is>
      </c>
      <c r="O915" t="inlineStr">
        <is>
          <t>32A²², 16A¹¹, 16A¹⁹, 16D²¹, 32B²³, 16C¹⁰, 48S¹⁹, 16J⁹, 16A¹⁰, 32R¹³, 16F²¹, 32A²⁴, 32B²², 32B²⁴, 32W²¹, 16B²¹, 16C¹¹, 32J²¹, 16E²¹</t>
        </is>
      </c>
    </row>
    <row r="916">
      <c r="A916">
        <f>HYPERLINK("https://mathstats.uncg.edu/sites/pauli/congruence/csg5.html#group16J5", "16J⁵")</f>
        <v/>
      </c>
      <c r="B916" t="n">
        <v>5</v>
      </c>
      <c r="C916" t="inlineStr"/>
      <c r="D916" t="inlineStr">
        <is>
          <t>96</t>
        </is>
      </c>
      <c r="E916" t="inlineStr">
        <is>
          <t>1</t>
        </is>
      </c>
      <c r="F916" t="inlineStr">
        <is>
          <t>24</t>
        </is>
      </c>
      <c r="G916" t="inlineStr">
        <is>
          <t>4</t>
        </is>
      </c>
      <c r="H916" t="inlineStr">
        <is>
          <t>0</t>
        </is>
      </c>
      <c r="I916" t="inlineStr">
        <is>
          <t>16⁶</t>
        </is>
      </c>
      <c r="J916" t="n">
        <v>6</v>
      </c>
      <c r="K916" t="inlineStr">
        <is>
          <t>4², 8²</t>
        </is>
      </c>
      <c r="L916" t="inlineStr">
        <is>
          <t>8H¹, 16G³</t>
        </is>
      </c>
      <c r="M916" t="inlineStr">
        <is>
          <t>16I⁹, 16B¹⁰, 16C¹⁰, 16A¹¹, 16B¹¹, 48T¹⁹</t>
        </is>
      </c>
      <c r="N916" t="inlineStr">
        <is>
          <t>8H⁰, 16A⁰, 8D⁰, 4A⁰, 8K⁰, 4C⁰, 8A⁰, 8B⁰, 16G³, 2B⁰, 4F⁰, 1A⁰, 8D¹, 8H¹</t>
        </is>
      </c>
      <c r="O916" t="inlineStr">
        <is>
          <t>16A¹¹, 48T¹⁹, 16A¹⁹, 32C²⁴, 16D²¹, 32X²¹, 16C¹⁰, 32D²⁴, 32I²¹, 16B¹¹, 16F²¹, 32G²³, 16B¹⁰, 32A²³, 16B²¹, 16I⁹, 16E²¹</t>
        </is>
      </c>
    </row>
    <row r="917">
      <c r="A917">
        <f>HYPERLINK("https://mathstats.uncg.edu/sites/pauli/congruence/csg5.html#group16K5", "16K⁵")</f>
        <v/>
      </c>
      <c r="B917" t="n">
        <v>5</v>
      </c>
      <c r="C917" t="inlineStr"/>
      <c r="D917" t="inlineStr">
        <is>
          <t>128</t>
        </is>
      </c>
      <c r="E917" t="inlineStr">
        <is>
          <t>1</t>
        </is>
      </c>
      <c r="F917" t="inlineStr">
        <is>
          <t>16</t>
        </is>
      </c>
      <c r="G917" t="inlineStr">
        <is>
          <t>0</t>
        </is>
      </c>
      <c r="H917" t="inlineStr">
        <is>
          <t>8</t>
        </is>
      </c>
      <c r="I917" t="inlineStr">
        <is>
          <t>16⁸</t>
        </is>
      </c>
      <c r="J917" t="n">
        <v>8</v>
      </c>
      <c r="K917" t="inlineStr">
        <is>
          <t>4⁴</t>
        </is>
      </c>
      <c r="L917" t="inlineStr">
        <is>
          <t>16F⁰, 8J¹, 16H²</t>
        </is>
      </c>
      <c r="M917" t="inlineStr">
        <is>
          <t>32S¹³, 16B²¹</t>
        </is>
      </c>
      <c r="N917" t="inlineStr">
        <is>
          <t>2A⁰, 8F⁰, 16A⁰, 16H², 4A⁰, 16F⁰, 4D⁰, 8A⁰, 8E⁰, 8E¹, 8M⁰, 8J¹, 1A⁰</t>
        </is>
      </c>
      <c r="O917" t="inlineStr">
        <is>
          <t>16B²¹, 32S¹³</t>
        </is>
      </c>
    </row>
    <row r="918">
      <c r="A918">
        <f>HYPERLINK("https://mathstats.uncg.edu/sites/pauli/congruence/csg5.html#group16L5", "16L⁵")</f>
        <v/>
      </c>
      <c r="B918" t="n">
        <v>5</v>
      </c>
      <c r="C918" t="inlineStr"/>
      <c r="D918" t="inlineStr">
        <is>
          <t>128</t>
        </is>
      </c>
      <c r="E918" t="inlineStr">
        <is>
          <t>2</t>
        </is>
      </c>
      <c r="F918" t="inlineStr">
        <is>
          <t>64</t>
        </is>
      </c>
      <c r="G918" t="inlineStr">
        <is>
          <t>8</t>
        </is>
      </c>
      <c r="H918" t="inlineStr">
        <is>
          <t>2</t>
        </is>
      </c>
      <c r="I918" t="inlineStr">
        <is>
          <t>16⁸</t>
        </is>
      </c>
      <c r="J918" t="n">
        <v>8</v>
      </c>
      <c r="K918" t="inlineStr">
        <is>
          <t>8¹⁶</t>
        </is>
      </c>
      <c r="L918" t="inlineStr">
        <is>
          <t>8M⁰, 16G²</t>
        </is>
      </c>
      <c r="M918" t="inlineStr">
        <is>
          <t>16E¹¹, 16A¹³, 16B¹⁹, 48E²³</t>
        </is>
      </c>
      <c r="N918" t="inlineStr">
        <is>
          <t>8A⁰, 16G², 8F⁰, 8M⁰, 1A⁰, 4A⁰</t>
        </is>
      </c>
      <c r="O918" t="inlineStr">
        <is>
          <t>16E¹¹, 48E²³, 16A¹³, 16B¹⁹</t>
        </is>
      </c>
    </row>
    <row r="919">
      <c r="A919">
        <f>HYPERLINK("https://mathstats.uncg.edu/sites/pauli/congruence/csg5.html#group16M5", "16M⁵")</f>
        <v/>
      </c>
      <c r="B919" t="n">
        <v>5</v>
      </c>
      <c r="C919" t="inlineStr"/>
      <c r="D919" t="inlineStr">
        <is>
          <t>192</t>
        </is>
      </c>
      <c r="E919" t="inlineStr">
        <is>
          <t>1</t>
        </is>
      </c>
      <c r="F919" t="inlineStr">
        <is>
          <t>3</t>
        </is>
      </c>
      <c r="G919" t="inlineStr">
        <is>
          <t>0</t>
        </is>
      </c>
      <c r="H919" t="inlineStr">
        <is>
          <t>0</t>
        </is>
      </c>
      <c r="I919" t="inlineStr">
        <is>
          <t>4¹⁶, 16⁸</t>
        </is>
      </c>
      <c r="J919" t="n">
        <v>24</v>
      </c>
      <c r="K919" t="inlineStr">
        <is>
          <t>1³</t>
        </is>
      </c>
      <c r="L919" t="inlineStr">
        <is>
          <t>8K¹, 16M¹, 16L², 16H³, 16I³, 16J³</t>
        </is>
      </c>
      <c r="M919" t="inlineStr">
        <is>
          <t>16C¹³, 32T¹³, 16A¹⁷, 32A¹⁷, 32C²¹</t>
        </is>
      </c>
      <c r="N919" t="inlineStr">
        <is>
          <t>2A⁰, 16G⁰, 16I¹, 4C⁰, 4G⁰, 2B⁰, 4E⁰, 8L⁰, 8C⁰, 16J³, 4B⁰, 8F¹, 8K⁰, 1A⁰, 16H⁰, 16E⁰, 8G⁰, 8G¹, 4D⁰, 16C⁰, 16M¹, 8P⁰, 16H¹, 16D², 8N⁰, 8A¹, 16C², 8K¹, 8D⁰, 16E¹, 8B⁰, 8B¹, 8I⁰, 16L², 16I³, 16A¹, 16H³, 8H⁰, 8C¹, 16G¹, 4A⁰, 16C¹, 16D⁰, 4F⁰, 8J⁰, 2C⁰, 8O⁰</t>
        </is>
      </c>
      <c r="O919" t="inlineStr">
        <is>
          <t>32T¹³, 16C¹³, 32A¹⁷, 16A¹⁷, 32C²¹</t>
        </is>
      </c>
    </row>
    <row r="920">
      <c r="A920">
        <f>HYPERLINK("https://mathstats.uncg.edu/sites/pauli/congruence/csg5.html#group16N5", "16N⁵")</f>
        <v/>
      </c>
      <c r="B920" t="n">
        <v>5</v>
      </c>
      <c r="C920" t="inlineStr"/>
      <c r="D920" t="inlineStr">
        <is>
          <t>192</t>
        </is>
      </c>
      <c r="E920" t="inlineStr">
        <is>
          <t>1</t>
        </is>
      </c>
      <c r="F920" t="inlineStr">
        <is>
          <t>12</t>
        </is>
      </c>
      <c r="G920" t="inlineStr">
        <is>
          <t>0</t>
        </is>
      </c>
      <c r="H920" t="inlineStr">
        <is>
          <t>0</t>
        </is>
      </c>
      <c r="I920" t="inlineStr">
        <is>
          <t>2⁸, 4⁴, 8⁴, 16⁸</t>
        </is>
      </c>
      <c r="J920" t="n">
        <v>24</v>
      </c>
      <c r="K920" t="inlineStr">
        <is>
          <t>1⁴, 2², 4¹</t>
        </is>
      </c>
      <c r="L920" t="inlineStr">
        <is>
          <t>16M¹, 16J², 16K², 16N³</t>
        </is>
      </c>
      <c r="M920" t="inlineStr">
        <is>
          <t>16C¹³, 32U¹³, 32B¹⁷, 32D¹⁷</t>
        </is>
      </c>
      <c r="N920" t="inlineStr">
        <is>
          <t>16G⁰, 2A⁰, 4C⁰, 16A¹, 8C⁰, 2B⁰, 4E⁰, 4B⁰, 1A⁰, 16J², 16H⁰, 16E⁰, 8G⁰, 16C⁰, 16M¹, 8D⁰, 16E¹, 8I⁰, 16K², 16N³, 16G¹, 16D⁰, 8J⁰, 2C⁰, 8O⁰</t>
        </is>
      </c>
      <c r="O920" t="inlineStr">
        <is>
          <t>32D¹⁷, 32B¹⁷, 16C¹³, 32U¹³</t>
        </is>
      </c>
    </row>
    <row r="921">
      <c r="A921">
        <f>HYPERLINK("https://mathstats.uncg.edu/sites/pauli/congruence/csg5.html#group16O5", "16O⁵")</f>
        <v/>
      </c>
      <c r="B921" t="n">
        <v>5</v>
      </c>
      <c r="C921" t="inlineStr"/>
      <c r="D921" t="inlineStr">
        <is>
          <t>192</t>
        </is>
      </c>
      <c r="E921" t="inlineStr">
        <is>
          <t>1</t>
        </is>
      </c>
      <c r="F921" t="inlineStr">
        <is>
          <t>12</t>
        </is>
      </c>
      <c r="G921" t="inlineStr">
        <is>
          <t>0</t>
        </is>
      </c>
      <c r="H921" t="inlineStr">
        <is>
          <t>0</t>
        </is>
      </c>
      <c r="I921" t="inlineStr">
        <is>
          <t>4⁸, 8¹², 16⁴</t>
        </is>
      </c>
      <c r="J921" t="n">
        <v>24</v>
      </c>
      <c r="K921" t="inlineStr">
        <is>
          <t>1⁸, 2²</t>
        </is>
      </c>
      <c r="L921" t="inlineStr">
        <is>
          <t>8K¹, 16I², 16K², 16O³</t>
        </is>
      </c>
      <c r="M921" t="inlineStr">
        <is>
          <t>16B¹³, 16C¹³, 16B¹⁷, 32E¹⁷</t>
        </is>
      </c>
      <c r="N921" t="inlineStr">
        <is>
          <t>2A⁰, 4C⁰, 4G⁰, 2B⁰, 4E⁰, 8L⁰, 8C⁰, 4B⁰, 8F¹, 8K⁰, 1A⁰, 8G⁰, 8G¹, 4D⁰, 8P⁰, 16K¹, 8N⁰, 8A¹, 8K¹, 8D⁰, 16O³, 16I², 8B⁰, 8B¹, 8I⁰, 16K², 8H⁰, 16L¹, 8C¹, 4A⁰, 4F⁰, 8J⁰, 2C⁰, 8O⁰</t>
        </is>
      </c>
      <c r="O921" t="inlineStr">
        <is>
          <t>16B¹³, 32E¹⁷, 16C¹³, 16B¹⁷</t>
        </is>
      </c>
    </row>
    <row r="922">
      <c r="A922">
        <f>HYPERLINK("https://mathstats.uncg.edu/sites/pauli/congruence/csg5.html#group17A5", "17A⁵")</f>
        <v/>
      </c>
      <c r="B922" t="n">
        <v>5</v>
      </c>
      <c r="C922" t="inlineStr">
        <is>
          <t>Γ₁(17)</t>
        </is>
      </c>
      <c r="D922" t="inlineStr">
        <is>
          <t>144</t>
        </is>
      </c>
      <c r="E922" t="inlineStr">
        <is>
          <t>1</t>
        </is>
      </c>
      <c r="F922" t="inlineStr">
        <is>
          <t>18</t>
        </is>
      </c>
      <c r="G922" t="inlineStr">
        <is>
          <t>0</t>
        </is>
      </c>
      <c r="H922" t="inlineStr">
        <is>
          <t>0</t>
        </is>
      </c>
      <c r="I922" t="inlineStr">
        <is>
          <t>1⁸, 17⁸</t>
        </is>
      </c>
      <c r="J922" t="n">
        <v>16</v>
      </c>
      <c r="K922" t="inlineStr">
        <is>
          <t>1², 16¹</t>
        </is>
      </c>
      <c r="L922" t="inlineStr">
        <is>
          <t>17C¹</t>
        </is>
      </c>
      <c r="M922" t="inlineStr">
        <is>
          <t>34A¹⁷, 34A²¹</t>
        </is>
      </c>
      <c r="N922" t="inlineStr">
        <is>
          <t>17A¹, 1A⁰, 17C¹, 17B¹</t>
        </is>
      </c>
      <c r="O922" t="inlineStr">
        <is>
          <t>34A²¹, 34A¹⁷</t>
        </is>
      </c>
    </row>
    <row r="923">
      <c r="A923">
        <f>HYPERLINK("https://mathstats.uncg.edu/sites/pauli/congruence/csg5.html#group18A5", "18A⁵")</f>
        <v/>
      </c>
      <c r="B923" t="n">
        <v>5</v>
      </c>
      <c r="C923" t="inlineStr"/>
      <c r="D923" t="inlineStr">
        <is>
          <t>72</t>
        </is>
      </c>
      <c r="E923" t="inlineStr">
        <is>
          <t>1</t>
        </is>
      </c>
      <c r="F923" t="inlineStr">
        <is>
          <t>3</t>
        </is>
      </c>
      <c r="G923" t="inlineStr">
        <is>
          <t>0</t>
        </is>
      </c>
      <c r="H923" t="inlineStr">
        <is>
          <t>0</t>
        </is>
      </c>
      <c r="I923" t="inlineStr">
        <is>
          <t>18⁴</t>
        </is>
      </c>
      <c r="J923" t="n">
        <v>4</v>
      </c>
      <c r="K923" t="inlineStr">
        <is>
          <t>1¹, 2¹</t>
        </is>
      </c>
      <c r="L923" t="inlineStr">
        <is>
          <t>18D⁰, 6D¹, 9A², 18G², 18A³, 18C³</t>
        </is>
      </c>
      <c r="M923" t="inlineStr">
        <is>
          <t>36A¹¹, 18A¹³, 18B¹³, 18C¹³, 18F¹³, 18H¹³, 36A²¹</t>
        </is>
      </c>
      <c r="N923" t="inlineStr">
        <is>
          <t>3B⁰, 2A⁰, 6B⁰, 6C⁰, 18A³, 18A², 1A⁰, 9B¹, 18A⁰, 9D⁰, 18D⁰, 6D¹, 9A², 6E⁰, 6B¹, 9A⁰, 18C³, 3C⁰, 6A¹, 18G², 3A⁰, 3D⁰, 18A¹</t>
        </is>
      </c>
      <c r="O923" t="inlineStr">
        <is>
          <t>18A¹³, 18B¹³, 18H¹³, 18F¹³, 36A²¹, 18C¹³, 36A¹¹</t>
        </is>
      </c>
    </row>
    <row r="924">
      <c r="A924">
        <f>HYPERLINK("https://mathstats.uncg.edu/sites/pauli/congruence/csg5.html#group18B5", "18B⁵")</f>
        <v/>
      </c>
      <c r="B924" t="n">
        <v>5</v>
      </c>
      <c r="C924" t="inlineStr"/>
      <c r="D924" t="inlineStr">
        <is>
          <t>72</t>
        </is>
      </c>
      <c r="E924" t="inlineStr">
        <is>
          <t>1</t>
        </is>
      </c>
      <c r="F924" t="inlineStr">
        <is>
          <t>6</t>
        </is>
      </c>
      <c r="G924" t="inlineStr">
        <is>
          <t>0</t>
        </is>
      </c>
      <c r="H924" t="inlineStr">
        <is>
          <t>0</t>
        </is>
      </c>
      <c r="I924" t="inlineStr">
        <is>
          <t>18⁴</t>
        </is>
      </c>
      <c r="J924" t="n">
        <v>4</v>
      </c>
      <c r="K924" t="inlineStr">
        <is>
          <t>2³</t>
        </is>
      </c>
      <c r="L924" t="inlineStr">
        <is>
          <t>6D¹, 18H², 18B³</t>
        </is>
      </c>
      <c r="M924" t="inlineStr">
        <is>
          <t>36B¹¹, 18B¹³, 18D¹³, 18E¹³, 18G¹³, 18H¹³, 36B²¹</t>
        </is>
      </c>
      <c r="N924" t="inlineStr">
        <is>
          <t>2A⁰, 3B⁰, 6B⁰, 6C⁰, 18B¹, 1A⁰, 6D¹, 18H², 6E⁰, 6B¹, 18B³, 3C⁰, 6A¹, 3A⁰, 3D⁰</t>
        </is>
      </c>
      <c r="O924" t="inlineStr">
        <is>
          <t>18B¹³, 18G¹³, 36B²¹, 18E¹³, 18H¹³, 18D¹³, 36B¹¹</t>
        </is>
      </c>
    </row>
    <row r="925">
      <c r="A925">
        <f>HYPERLINK("https://mathstats.uncg.edu/sites/pauli/congruence/csg5.html#group20A5", "20A⁵")</f>
        <v/>
      </c>
      <c r="B925" t="n">
        <v>5</v>
      </c>
      <c r="C925" t="inlineStr"/>
      <c r="D925" t="inlineStr">
        <is>
          <t>80</t>
        </is>
      </c>
      <c r="E925" t="inlineStr">
        <is>
          <t>1</t>
        </is>
      </c>
      <c r="F925" t="inlineStr">
        <is>
          <t>40</t>
        </is>
      </c>
      <c r="G925" t="inlineStr">
        <is>
          <t>0</t>
        </is>
      </c>
      <c r="H925" t="inlineStr">
        <is>
          <t>2</t>
        </is>
      </c>
      <c r="I925" t="inlineStr">
        <is>
          <t>20⁴</t>
        </is>
      </c>
      <c r="J925" t="n">
        <v>4</v>
      </c>
      <c r="K925" t="inlineStr">
        <is>
          <t>4², 8⁴</t>
        </is>
      </c>
      <c r="L925" t="inlineStr">
        <is>
          <t>4D⁰, 10C¹, 20E²</t>
        </is>
      </c>
      <c r="M925" t="inlineStr">
        <is>
          <t>20A⁹, 40A¹¹, 40B¹¹, 20D¹⁵, 20F¹⁵, 60E¹⁸, 60E¹⁹, 40A²³, 60B²³</t>
        </is>
      </c>
      <c r="N925" t="inlineStr">
        <is>
          <t>2A⁰, 4A⁰, 4D⁰, 5C⁰, 10C¹, 1A⁰, 20E²</t>
        </is>
      </c>
      <c r="O925" t="inlineStr">
        <is>
          <t>40B²¹, 20A¹⁷, 40B¹¹, 20F¹⁵, 60E¹⁹, 60B²³, 80B²³, 20A⁹, 80A²³, 60E¹⁸, 20D¹⁵, 40A²³, 80C²³, 40A¹¹, 40A²¹</t>
        </is>
      </c>
    </row>
    <row r="926">
      <c r="A926">
        <f>HYPERLINK("https://mathstats.uncg.edu/sites/pauli/congruence/csg5.html#group20B5", "20B⁵")</f>
        <v/>
      </c>
      <c r="B926" t="n">
        <v>5</v>
      </c>
      <c r="C926" t="inlineStr"/>
      <c r="D926" t="inlineStr">
        <is>
          <t>80</t>
        </is>
      </c>
      <c r="E926" t="inlineStr">
        <is>
          <t>1</t>
        </is>
      </c>
      <c r="F926" t="inlineStr">
        <is>
          <t>40</t>
        </is>
      </c>
      <c r="G926" t="inlineStr">
        <is>
          <t>0</t>
        </is>
      </c>
      <c r="H926" t="inlineStr">
        <is>
          <t>2</t>
        </is>
      </c>
      <c r="I926" t="inlineStr">
        <is>
          <t>20⁴</t>
        </is>
      </c>
      <c r="J926" t="n">
        <v>4</v>
      </c>
      <c r="K926" t="inlineStr">
        <is>
          <t>4², 8⁴</t>
        </is>
      </c>
      <c r="L926" t="inlineStr">
        <is>
          <t>5F⁰, 20A¹, 20E²</t>
        </is>
      </c>
      <c r="M926" t="inlineStr">
        <is>
          <t>20A⁹, 40D¹¹, 20B¹⁵, 20G¹⁵, 60F¹⁸, 60F¹⁹, 40B²³, 60C²³</t>
        </is>
      </c>
      <c r="N926" t="inlineStr">
        <is>
          <t>5A⁰, 4A⁰, 5C⁰, 5F⁰, 20A¹, 1A⁰, 20E²</t>
        </is>
      </c>
      <c r="O926" t="inlineStr">
        <is>
          <t>40B²¹, 20A¹⁷, 60F¹⁹, 20A⁹, 60C²³, 40D¹¹, 80E²³, 20B¹⁵, 20G¹⁵, 60F¹⁸, 40B²³, 40A²¹</t>
        </is>
      </c>
    </row>
    <row r="927">
      <c r="A927">
        <f>HYPERLINK("https://mathstats.uncg.edu/sites/pauli/congruence/csg5.html#group20C5", "20C⁵")</f>
        <v/>
      </c>
      <c r="B927" t="n">
        <v>5</v>
      </c>
      <c r="C927" t="inlineStr"/>
      <c r="D927" t="inlineStr">
        <is>
          <t>90</t>
        </is>
      </c>
      <c r="E927" t="inlineStr">
        <is>
          <t>1</t>
        </is>
      </c>
      <c r="F927" t="inlineStr">
        <is>
          <t>45</t>
        </is>
      </c>
      <c r="G927" t="inlineStr">
        <is>
          <t>2</t>
        </is>
      </c>
      <c r="H927" t="inlineStr">
        <is>
          <t>0</t>
        </is>
      </c>
      <c r="I927" t="inlineStr">
        <is>
          <t>10³, 20³</t>
        </is>
      </c>
      <c r="J927" t="n">
        <v>6</v>
      </c>
      <c r="K927" t="inlineStr">
        <is>
          <t>1³, 2³, 4⁹</t>
        </is>
      </c>
      <c r="L927" t="inlineStr">
        <is>
          <t>10I¹</t>
        </is>
      </c>
      <c r="M927" t="inlineStr">
        <is>
          <t>20B⁹, 20C⁹, 20D⁹, 20C¹⁰, 20D¹⁰, 20E¹⁰, 60J¹⁹</t>
        </is>
      </c>
      <c r="N927" t="inlineStr">
        <is>
          <t>5E⁰, 5A⁰, 2B⁰, 10I¹, 1A⁰, 10B¹</t>
        </is>
      </c>
      <c r="O927" t="inlineStr">
        <is>
          <t>20D⁹, 20B¹⁷, 20A¹⁹, 40I²², 20B²², 20B²¹, 40E²⁴, 20C²¹, 20E¹⁰, 20C¹⁹, 20C²², 20B⁹, 40F²⁴, 60J¹⁹, 40I²¹, 40H²¹, 40H²², 20C⁹, 20B¹⁹, 20D¹⁹, 20C¹⁰, 20D¹⁰, 40C²³, 40D²³</t>
        </is>
      </c>
    </row>
    <row r="928">
      <c r="A928">
        <f>HYPERLINK("https://mathstats.uncg.edu/sites/pauli/congruence/csg5.html#group20D5", "20D⁵")</f>
        <v/>
      </c>
      <c r="B928" t="n">
        <v>5</v>
      </c>
      <c r="C928" t="inlineStr"/>
      <c r="D928" t="inlineStr">
        <is>
          <t>96</t>
        </is>
      </c>
      <c r="E928" t="inlineStr">
        <is>
          <t>1</t>
        </is>
      </c>
      <c r="F928" t="inlineStr">
        <is>
          <t>24</t>
        </is>
      </c>
      <c r="G928" t="inlineStr">
        <is>
          <t>0</t>
        </is>
      </c>
      <c r="H928" t="inlineStr">
        <is>
          <t>0</t>
        </is>
      </c>
      <c r="I928" t="inlineStr">
        <is>
          <t>4⁴, 20⁴</t>
        </is>
      </c>
      <c r="J928" t="n">
        <v>8</v>
      </c>
      <c r="K928" t="inlineStr">
        <is>
          <t>2⁴, 8²</t>
        </is>
      </c>
      <c r="L928" t="inlineStr">
        <is>
          <t>10D¹, 20G¹, 20B³, 20C³</t>
        </is>
      </c>
      <c r="M928" t="inlineStr">
        <is>
          <t>20E⁹, 20E¹³, 40B¹³, 40C¹³, 60F²¹, 60H²¹</t>
        </is>
      </c>
      <c r="N928" t="inlineStr">
        <is>
          <t>2A⁰, 4A⁰, 4D⁰, 20C³, 20G¹, 5B⁰, 5D⁰, 10A¹, 10D¹, 1A⁰, 20B³, 20B¹, 10B⁰</t>
        </is>
      </c>
      <c r="O928" t="inlineStr">
        <is>
          <t>60F²¹, 20E⁹, 40C¹³, 40B¹³, 20E¹³, 60H²¹</t>
        </is>
      </c>
    </row>
    <row r="929">
      <c r="A929">
        <f>HYPERLINK("https://mathstats.uncg.edu/sites/pauli/congruence/csg5.html#group20E5", "20E⁵")</f>
        <v/>
      </c>
      <c r="B929" t="n">
        <v>5</v>
      </c>
      <c r="C929" t="inlineStr"/>
      <c r="D929" t="inlineStr">
        <is>
          <t>120</t>
        </is>
      </c>
      <c r="E929" t="inlineStr">
        <is>
          <t>1</t>
        </is>
      </c>
      <c r="F929" t="inlineStr">
        <is>
          <t>30</t>
        </is>
      </c>
      <c r="G929" t="inlineStr">
        <is>
          <t>0</t>
        </is>
      </c>
      <c r="H929" t="inlineStr">
        <is>
          <t>0</t>
        </is>
      </c>
      <c r="I929" t="inlineStr">
        <is>
          <t>5⁸, 20⁴</t>
        </is>
      </c>
      <c r="J929" t="n">
        <v>12</v>
      </c>
      <c r="K929" t="inlineStr">
        <is>
          <t>2³, 4⁶</t>
        </is>
      </c>
      <c r="L929" t="inlineStr">
        <is>
          <t>10D², 20A², 20F², 20E³</t>
        </is>
      </c>
      <c r="M929" t="inlineStr">
        <is>
          <t>20C¹¹, 40J¹¹, 20A¹³, 20G¹³, 40G¹³, 40A¹⁵</t>
        </is>
      </c>
      <c r="N929" t="inlineStr">
        <is>
          <t>20A², 5A⁰, 20E³, 10B¹, 5C⁰, 5F⁰, 1A⁰, 2B⁰, 20F², 4B⁰, 10D², 10F¹</t>
        </is>
      </c>
      <c r="O929" t="inlineStr">
        <is>
          <t>20A¹³, 20G¹³, 40A¹⁵, 40J¹¹, 20C¹¹, 40G¹³</t>
        </is>
      </c>
    </row>
    <row r="930">
      <c r="A930">
        <f>HYPERLINK("https://mathstats.uncg.edu/sites/pauli/congruence/csg5.html#group20F5", "20F⁵")</f>
        <v/>
      </c>
      <c r="B930" t="n">
        <v>5</v>
      </c>
      <c r="C930" t="inlineStr"/>
      <c r="D930" t="inlineStr">
        <is>
          <t>120</t>
        </is>
      </c>
      <c r="E930" t="inlineStr">
        <is>
          <t>1</t>
        </is>
      </c>
      <c r="F930" t="inlineStr">
        <is>
          <t>30</t>
        </is>
      </c>
      <c r="G930" t="inlineStr">
        <is>
          <t>8</t>
        </is>
      </c>
      <c r="H930" t="inlineStr">
        <is>
          <t>0</t>
        </is>
      </c>
      <c r="I930" t="inlineStr">
        <is>
          <t>10⁴, 20⁴</t>
        </is>
      </c>
      <c r="J930" t="n">
        <v>8</v>
      </c>
      <c r="K930" t="inlineStr">
        <is>
          <t>2³, 4⁶</t>
        </is>
      </c>
      <c r="L930" t="inlineStr">
        <is>
          <t>10E², 20F², 20F³</t>
        </is>
      </c>
      <c r="M930" t="inlineStr">
        <is>
          <t>20D¹¹, 20A¹³, 20C¹³, 20D¹³, 40F¹³, 40H¹³, 40I¹³, 40J¹⁵, 20B¹⁷, 40B¹⁷, 60U²¹</t>
        </is>
      </c>
      <c r="N930" t="inlineStr">
        <is>
          <t>10E², 10D⁰, 4C⁰, 1A⁰, 2B⁰, 20F², 5C⁰, 20F³, 10F¹</t>
        </is>
      </c>
      <c r="O930" t="inlineStr">
        <is>
          <t>20A¹³, 20B¹⁷, 20C¹³, 20D¹³, 40J¹⁵, 20D¹¹, 40H¹³, 40B¹⁷, 40I¹³, 40F¹³, 60U²¹</t>
        </is>
      </c>
    </row>
    <row r="931">
      <c r="A931">
        <f>HYPERLINK("https://mathstats.uncg.edu/sites/pauli/congruence/csg5.html#group20G5", "20G⁵")</f>
        <v/>
      </c>
      <c r="B931" t="n">
        <v>5</v>
      </c>
      <c r="C931" t="inlineStr"/>
      <c r="D931" t="inlineStr">
        <is>
          <t>120</t>
        </is>
      </c>
      <c r="E931" t="inlineStr">
        <is>
          <t>2</t>
        </is>
      </c>
      <c r="F931" t="inlineStr">
        <is>
          <t>30</t>
        </is>
      </c>
      <c r="G931" t="inlineStr">
        <is>
          <t>4</t>
        </is>
      </c>
      <c r="H931" t="inlineStr">
        <is>
          <t>0</t>
        </is>
      </c>
      <c r="I931" t="inlineStr">
        <is>
          <t>10⁸, 20²</t>
        </is>
      </c>
      <c r="J931" t="n">
        <v>10</v>
      </c>
      <c r="K931" t="inlineStr">
        <is>
          <t>4³, 8⁶</t>
        </is>
      </c>
      <c r="L931" t="inlineStr">
        <is>
          <t>10E²</t>
        </is>
      </c>
      <c r="M931" t="inlineStr">
        <is>
          <t>20B¹¹, 20D¹³, 20H¹⁵, 20I¹⁵, 60K²³</t>
        </is>
      </c>
      <c r="N931" t="inlineStr">
        <is>
          <t>2B⁰, 10E², 1A⁰, 10D⁰, 5C⁰, 10F¹</t>
        </is>
      </c>
      <c r="O931" t="inlineStr">
        <is>
          <t>20H¹⁵, 20I¹⁵, 20B¹¹, 20D¹³, 60K²³</t>
        </is>
      </c>
    </row>
    <row r="932">
      <c r="A932">
        <f>HYPERLINK("https://mathstats.uncg.edu/sites/pauli/congruence/csg5.html#group20H5", "20H⁵")</f>
        <v/>
      </c>
      <c r="B932" t="n">
        <v>5</v>
      </c>
      <c r="C932" t="inlineStr"/>
      <c r="D932" t="inlineStr">
        <is>
          <t>120</t>
        </is>
      </c>
      <c r="E932" t="inlineStr">
        <is>
          <t>2</t>
        </is>
      </c>
      <c r="F932" t="inlineStr">
        <is>
          <t>60</t>
        </is>
      </c>
      <c r="G932" t="inlineStr">
        <is>
          <t>4</t>
        </is>
      </c>
      <c r="H932" t="inlineStr">
        <is>
          <t>6</t>
        </is>
      </c>
      <c r="I932" t="inlineStr">
        <is>
          <t>20⁶</t>
        </is>
      </c>
      <c r="J932" t="n">
        <v>6</v>
      </c>
      <c r="K932" t="inlineStr">
        <is>
          <t>8¹⁵</t>
        </is>
      </c>
      <c r="L932" t="inlineStr">
        <is>
          <t>10J¹, 20F¹</t>
        </is>
      </c>
      <c r="M932" t="inlineStr">
        <is>
          <t>20A¹¹, 20A²¹</t>
        </is>
      </c>
      <c r="N932" t="inlineStr">
        <is>
          <t>10J¹, 1A⁰, 5C⁰, 10D⁰, 20F¹</t>
        </is>
      </c>
      <c r="O932" t="inlineStr">
        <is>
          <t>20A¹¹, 20A²¹</t>
        </is>
      </c>
    </row>
    <row r="933">
      <c r="A933">
        <f>HYPERLINK("https://mathstats.uncg.edu/sites/pauli/congruence/csg5.html#group20I5", "20I⁵")</f>
        <v/>
      </c>
      <c r="B933" t="n">
        <v>5</v>
      </c>
      <c r="C933" t="inlineStr"/>
      <c r="D933" t="inlineStr">
        <is>
          <t>144</t>
        </is>
      </c>
      <c r="E933" t="inlineStr">
        <is>
          <t>1</t>
        </is>
      </c>
      <c r="F933" t="inlineStr">
        <is>
          <t>18</t>
        </is>
      </c>
      <c r="G933" t="inlineStr">
        <is>
          <t>0</t>
        </is>
      </c>
      <c r="H933" t="inlineStr">
        <is>
          <t>0</t>
        </is>
      </c>
      <c r="I933" t="inlineStr">
        <is>
          <t>2⁴, 4⁴, 10⁴, 20⁴</t>
        </is>
      </c>
      <c r="J933" t="n">
        <v>16</v>
      </c>
      <c r="K933" t="inlineStr">
        <is>
          <t>1⁶, 4³</t>
        </is>
      </c>
      <c r="L933" t="inlineStr">
        <is>
          <t>10K¹, 20H¹, 20I¹, 20H³, 20G³, 20I³, 20J³</t>
        </is>
      </c>
      <c r="M933" t="inlineStr">
        <is>
          <t>20F⁹, 20E¹³, 20F¹³, 40J¹³, 40K¹³, 40Q¹³, 40R¹³, 40T¹⁷, 40Y¹⁷</t>
        </is>
      </c>
      <c r="N933" t="inlineStr">
        <is>
          <t>20E¹, 2A⁰, 10G⁰, 20G³, 4C⁰, 5B⁰, 5D⁰, 10A¹, 2B⁰, 20D¹, 20H¹, 4E⁰, 4B⁰, 10D¹, 1A⁰, 20H³, 10F⁰, 10B⁰, 20A⁰, 20I¹, 10C⁰, 10K¹, 20I³, 20J³, 2C⁰, 20C², 10G¹</t>
        </is>
      </c>
      <c r="O933" t="inlineStr">
        <is>
          <t>40J¹³, 40T¹⁷, 40R¹³, 20E¹³, 40K¹³, 20F⁹, 40Y¹⁷, 40Q¹³, 20F¹³</t>
        </is>
      </c>
    </row>
    <row r="934">
      <c r="A934">
        <f>HYPERLINK("https://mathstats.uncg.edu/sites/pauli/congruence/csg5.html#group20J5", "20J⁵")</f>
        <v/>
      </c>
      <c r="B934" t="n">
        <v>5</v>
      </c>
      <c r="C934" t="inlineStr"/>
      <c r="D934" t="inlineStr">
        <is>
          <t>144</t>
        </is>
      </c>
      <c r="E934" t="inlineStr">
        <is>
          <t>1</t>
        </is>
      </c>
      <c r="F934" t="inlineStr">
        <is>
          <t>36</t>
        </is>
      </c>
      <c r="G934" t="inlineStr">
        <is>
          <t>8</t>
        </is>
      </c>
      <c r="H934" t="inlineStr">
        <is>
          <t>0</t>
        </is>
      </c>
      <c r="I934" t="inlineStr">
        <is>
          <t>4⁶, 20⁶</t>
        </is>
      </c>
      <c r="J934" t="n">
        <v>12</v>
      </c>
      <c r="K934" t="inlineStr">
        <is>
          <t>1⁴, 2⁴, 4², 8²</t>
        </is>
      </c>
      <c r="L934" t="inlineStr">
        <is>
          <t>20G¹, 20I¹, 20K³, 20L³</t>
        </is>
      </c>
      <c r="M934" t="inlineStr">
        <is>
          <t>20E¹¹, 20E¹³, 40M¹³, 40S¹³, 40T¹³, 40AG¹⁵, 40Z¹⁷, 40AI¹⁷, 40AN¹⁷</t>
        </is>
      </c>
      <c r="N934" t="inlineStr">
        <is>
          <t>20E¹, 10G⁰, 4C⁰, 5B⁰, 2B⁰, 20K³, 1A⁰, 20B¹, 10B⁰, 20A⁰, 20I¹, 4A⁰, 20G¹, 10C⁰, 4F⁰, 20L³</t>
        </is>
      </c>
      <c r="O934" t="inlineStr">
        <is>
          <t>40M¹³, 20E¹³, 40Z¹⁷, 40AN¹⁷, 20E¹¹, 40S¹³, 40T¹³, 40AG¹⁵, 40AI¹⁷</t>
        </is>
      </c>
    </row>
    <row r="935">
      <c r="A935">
        <f>HYPERLINK("https://mathstats.uncg.edu/sites/pauli/congruence/csg5.html#group20K5", "20K⁵")</f>
        <v/>
      </c>
      <c r="B935" t="n">
        <v>5</v>
      </c>
      <c r="C935" t="inlineStr"/>
      <c r="D935" t="inlineStr">
        <is>
          <t>144</t>
        </is>
      </c>
      <c r="E935" t="inlineStr">
        <is>
          <t>2</t>
        </is>
      </c>
      <c r="F935" t="inlineStr">
        <is>
          <t>18</t>
        </is>
      </c>
      <c r="G935" t="inlineStr">
        <is>
          <t>8</t>
        </is>
      </c>
      <c r="H935" t="inlineStr">
        <is>
          <t>0</t>
        </is>
      </c>
      <c r="I935" t="inlineStr">
        <is>
          <t>4⁶, 20⁶</t>
        </is>
      </c>
      <c r="J935" t="n">
        <v>12</v>
      </c>
      <c r="K935" t="inlineStr">
        <is>
          <t>2⁶, 8³</t>
        </is>
      </c>
      <c r="L935" t="inlineStr">
        <is>
          <t>20I¹, 20J¹, 20M³</t>
        </is>
      </c>
      <c r="M935" t="inlineStr">
        <is>
          <t>20E¹¹, 20F¹³, 40W¹³, 40AH¹⁵, 40AQ¹⁷</t>
        </is>
      </c>
      <c r="N935" t="inlineStr">
        <is>
          <t>20E¹, 20A⁰, 20C¹, 20M³, 10G⁰, 20I¹, 4C⁰, 5B⁰, 10C⁰, 1A⁰, 2B⁰, 20J¹, 10B⁰</t>
        </is>
      </c>
      <c r="O935" t="inlineStr">
        <is>
          <t>20E¹¹, 40AQ¹⁷, 40W¹³, 40AH¹⁵, 20F¹³</t>
        </is>
      </c>
    </row>
    <row r="936">
      <c r="A936">
        <f>HYPERLINK("https://mathstats.uncg.edu/sites/pauli/congruence/csg5.html#group21A5", "21A⁵")</f>
        <v/>
      </c>
      <c r="B936" t="n">
        <v>5</v>
      </c>
      <c r="C936" t="inlineStr"/>
      <c r="D936" t="inlineStr">
        <is>
          <t>84</t>
        </is>
      </c>
      <c r="E936" t="inlineStr">
        <is>
          <t>1</t>
        </is>
      </c>
      <c r="F936" t="inlineStr">
        <is>
          <t>84</t>
        </is>
      </c>
      <c r="G936" t="inlineStr">
        <is>
          <t>0</t>
        </is>
      </c>
      <c r="H936" t="inlineStr">
        <is>
          <t>0</t>
        </is>
      </c>
      <c r="I936" t="inlineStr">
        <is>
          <t>7³, 21³</t>
        </is>
      </c>
      <c r="J936" t="n">
        <v>6</v>
      </c>
      <c r="K936" t="inlineStr">
        <is>
          <t>3², 6⁷, 12³</t>
        </is>
      </c>
      <c r="L936" t="inlineStr">
        <is>
          <t>7D⁰, 21B²</t>
        </is>
      </c>
      <c r="M936" t="inlineStr">
        <is>
          <t>21A⁹, 21C⁹, 42B¹², 42C¹², 42F¹², 21A¹⁶, 42A¹⁶, 63C¹⁶, 63A¹⁹, 63B¹⁹</t>
        </is>
      </c>
      <c r="N936" t="inlineStr">
        <is>
          <t>3B⁰, 21B², 7D⁰, 1A⁰, 7A⁰</t>
        </is>
      </c>
      <c r="O936" t="inlineStr">
        <is>
          <t>63C¹⁶, 42E²³, 42C²³, 42B¹², 21A¹⁷, 21A⁹, 63B¹⁹, 21A¹⁶, 63A¹⁹, 42D²³, 42F¹², 42C¹², 21C⁹, 42A¹⁶, 42I²³</t>
        </is>
      </c>
    </row>
    <row r="937">
      <c r="A937">
        <f>HYPERLINK("https://mathstats.uncg.edu/sites/pauli/congruence/csg5.html#group21B5", "21B⁵")</f>
        <v/>
      </c>
      <c r="B937" t="n">
        <v>5</v>
      </c>
      <c r="C937" t="inlineStr"/>
      <c r="D937" t="inlineStr">
        <is>
          <t>84</t>
        </is>
      </c>
      <c r="E937" t="inlineStr">
        <is>
          <t>2</t>
        </is>
      </c>
      <c r="F937" t="inlineStr">
        <is>
          <t>21</t>
        </is>
      </c>
      <c r="G937" t="inlineStr">
        <is>
          <t>4</t>
        </is>
      </c>
      <c r="H937" t="inlineStr">
        <is>
          <t>0</t>
        </is>
      </c>
      <c r="I937" t="inlineStr">
        <is>
          <t>21⁴</t>
        </is>
      </c>
      <c r="J937" t="n">
        <v>4</v>
      </c>
      <c r="K937" t="inlineStr">
        <is>
          <t>2¹, 4¹, 6², 12²</t>
        </is>
      </c>
      <c r="L937" t="inlineStr">
        <is>
          <t>21D¹, 21C², 21D²</t>
        </is>
      </c>
      <c r="M937" t="inlineStr">
        <is>
          <t>21B¹¹, 42B¹¹, 21B¹³, 42E¹³, 42C¹⁷, 63A¹⁷, 63B¹⁷, 63C¹⁷, 63E¹⁹, 63D¹⁹, 21B²¹</t>
        </is>
      </c>
      <c r="N937" t="inlineStr">
        <is>
          <t>21D², 21D¹, 7C⁰, 21C², 21A⁰, 3C⁰, 3A⁰, 1A⁰, 7A⁰</t>
        </is>
      </c>
      <c r="O937" t="inlineStr">
        <is>
          <t>42B¹¹, 21B¹¹, 21B²¹, 63E¹⁹, 63C¹⁷, 63D¹⁹, 63A¹⁷, 63B¹⁷, 42E¹³, 21B¹³, 42C¹⁷</t>
        </is>
      </c>
    </row>
    <row r="938">
      <c r="A938">
        <f>HYPERLINK("https://mathstats.uncg.edu/sites/pauli/congruence/csg5.html#group21C5", "21C⁵")</f>
        <v/>
      </c>
      <c r="B938" t="n">
        <v>5</v>
      </c>
      <c r="C938" t="inlineStr"/>
      <c r="D938" t="inlineStr">
        <is>
          <t>96</t>
        </is>
      </c>
      <c r="E938" t="inlineStr">
        <is>
          <t>1</t>
        </is>
      </c>
      <c r="F938" t="inlineStr">
        <is>
          <t>8</t>
        </is>
      </c>
      <c r="G938" t="inlineStr">
        <is>
          <t>0</t>
        </is>
      </c>
      <c r="H938" t="inlineStr">
        <is>
          <t>0</t>
        </is>
      </c>
      <c r="I938" t="inlineStr">
        <is>
          <t>3⁴, 21⁴</t>
        </is>
      </c>
      <c r="J938" t="n">
        <v>8</v>
      </c>
      <c r="K938" t="inlineStr">
        <is>
          <t>1², 6¹</t>
        </is>
      </c>
      <c r="L938" t="inlineStr">
        <is>
          <t>3D⁰, 21B¹, 21A³</t>
        </is>
      </c>
      <c r="M938" t="inlineStr">
        <is>
          <t>21D⁹, 21C¹³, 42F¹³, 42G¹³, 42I¹⁷, 63D¹⁷, 63H¹⁷, 63I¹⁹, 63O¹⁹, 63A²¹, 63B²¹</t>
        </is>
      </c>
      <c r="N938" t="inlineStr">
        <is>
          <t>3B⁰, 21B¹, 21A², 7B⁰, 3C⁰, 3A⁰, 1A⁰, 21A³, 3D⁰</t>
        </is>
      </c>
      <c r="O938" t="inlineStr">
        <is>
          <t>63I¹⁹, 21D⁹, 63D¹⁷, 63H¹⁷, 42G¹³, 63O¹⁹, 63B²¹, 63A²¹, 42I¹⁷, 21C¹³, 42F¹³</t>
        </is>
      </c>
    </row>
    <row r="939">
      <c r="A939">
        <f>HYPERLINK("https://mathstats.uncg.edu/sites/pauli/congruence/csg5.html#group21D5", "21D⁵")</f>
        <v/>
      </c>
      <c r="B939" t="n">
        <v>5</v>
      </c>
      <c r="C939" t="inlineStr"/>
      <c r="D939" t="inlineStr">
        <is>
          <t>126</t>
        </is>
      </c>
      <c r="E939" t="inlineStr">
        <is>
          <t>2</t>
        </is>
      </c>
      <c r="F939" t="inlineStr">
        <is>
          <t>63</t>
        </is>
      </c>
      <c r="G939" t="inlineStr">
        <is>
          <t>14</t>
        </is>
      </c>
      <c r="H939" t="inlineStr">
        <is>
          <t>0</t>
        </is>
      </c>
      <c r="I939" t="inlineStr">
        <is>
          <t>21⁶</t>
        </is>
      </c>
      <c r="J939" t="n">
        <v>6</v>
      </c>
      <c r="K939" t="inlineStr">
        <is>
          <t>6⁷, 12⁷</t>
        </is>
      </c>
      <c r="L939" t="inlineStr">
        <is>
          <t>21D¹, 21E¹</t>
        </is>
      </c>
      <c r="M939" t="inlineStr">
        <is>
          <t>21D¹¹, 21B¹², 21C¹², 21B¹³, 42K¹³, 21A¹⁴, 42E¹⁴, 42F¹⁴, 21A¹⁵, 42G¹⁵, 42F¹⁶, 42G¹⁶, 42D¹⁷, 42M¹⁹, 42L²³, 63B²³, 63G²⁴, 63F²⁴</t>
        </is>
      </c>
      <c r="N939" t="inlineStr">
        <is>
          <t>21A⁰, 1A⁰, 3A⁰, 21E¹, 21D¹, 7D⁰, 7A⁰</t>
        </is>
      </c>
      <c r="O939" t="inlineStr">
        <is>
          <t>42G¹⁶, 42D¹⁷, 42M¹⁹, 42G¹⁵, 21D¹¹, 42E¹⁴, 42F¹⁴, 21B¹³, 21A¹⁴, 21C¹², 42K¹³, 21B¹², 63G²⁴, 42F¹⁶, 63F²⁴, 42L²³, 21A¹⁵, 63B²³</t>
        </is>
      </c>
    </row>
    <row r="940">
      <c r="A940">
        <f>HYPERLINK("https://mathstats.uncg.edu/sites/pauli/congruence/csg5.html#group21E5", "21E⁵")</f>
        <v/>
      </c>
      <c r="B940" t="n">
        <v>5</v>
      </c>
      <c r="C940" t="inlineStr">
        <is>
          <t>Γ₁(21)</t>
        </is>
      </c>
      <c r="D940" t="inlineStr">
        <is>
          <t>192</t>
        </is>
      </c>
      <c r="E940" t="inlineStr">
        <is>
          <t>1</t>
        </is>
      </c>
      <c r="F940" t="inlineStr">
        <is>
          <t>32</t>
        </is>
      </c>
      <c r="G940" t="inlineStr">
        <is>
          <t>0</t>
        </is>
      </c>
      <c r="H940" t="inlineStr">
        <is>
          <t>0</t>
        </is>
      </c>
      <c r="I940" t="inlineStr">
        <is>
          <t>1⁶, 3⁶, 7⁶, 21⁶</t>
        </is>
      </c>
      <c r="J940" t="n">
        <v>24</v>
      </c>
      <c r="K940" t="inlineStr">
        <is>
          <t>1⁴, 2², 6², 12¹</t>
        </is>
      </c>
      <c r="L940" t="inlineStr">
        <is>
          <t>21F¹, 21D³</t>
        </is>
      </c>
      <c r="M940" t="inlineStr">
        <is>
          <t>42G²¹</t>
        </is>
      </c>
      <c r="N940" t="inlineStr">
        <is>
          <t>3B⁰, 1A⁰, 7E⁰, 21B¹, 21D³, 7B⁰, 21F¹</t>
        </is>
      </c>
      <c r="O940" t="inlineStr">
        <is>
          <t>42G²¹</t>
        </is>
      </c>
    </row>
    <row r="941">
      <c r="A941">
        <f>HYPERLINK("https://mathstats.uncg.edu/sites/pauli/congruence/csg5.html#group22A5", "22A⁵")</f>
        <v/>
      </c>
      <c r="B941" t="n">
        <v>5</v>
      </c>
      <c r="C941" t="inlineStr"/>
      <c r="D941" t="inlineStr">
        <is>
          <t>66</t>
        </is>
      </c>
      <c r="E941" t="inlineStr">
        <is>
          <t>2</t>
        </is>
      </c>
      <c r="F941" t="inlineStr">
        <is>
          <t>11</t>
        </is>
      </c>
      <c r="G941" t="inlineStr">
        <is>
          <t>0</t>
        </is>
      </c>
      <c r="H941" t="inlineStr">
        <is>
          <t>0</t>
        </is>
      </c>
      <c r="I941" t="inlineStr">
        <is>
          <t>22³</t>
        </is>
      </c>
      <c r="J941" t="n">
        <v>3</v>
      </c>
      <c r="K941" t="inlineStr">
        <is>
          <t>2¹, 10²</t>
        </is>
      </c>
      <c r="L941" t="inlineStr">
        <is>
          <t>2C⁰, 22A¹, 22B²</t>
        </is>
      </c>
      <c r="M941" t="inlineStr">
        <is>
          <t>44A¹⁰, 66A¹⁶, 66A²⁰, 22C²¹</t>
        </is>
      </c>
      <c r="N941" t="inlineStr">
        <is>
          <t>11A⁰, 2A⁰, 22A¹, 2B⁰, 22B², 1A⁰, 2C⁰</t>
        </is>
      </c>
      <c r="O941" t="inlineStr">
        <is>
          <t>66A²⁰, 44A¹⁰, 88C²⁰, 66A¹⁶, 88A²⁰, 44A²⁰, 88A²¹, 22C²¹</t>
        </is>
      </c>
    </row>
    <row r="942">
      <c r="A942">
        <f>HYPERLINK("https://mathstats.uncg.edu/sites/pauli/congruence/csg5.html#group22B5", "22B⁵")</f>
        <v/>
      </c>
      <c r="B942" t="n">
        <v>5</v>
      </c>
      <c r="C942" t="inlineStr"/>
      <c r="D942" t="inlineStr">
        <is>
          <t>110</t>
        </is>
      </c>
      <c r="E942" t="inlineStr">
        <is>
          <t>1</t>
        </is>
      </c>
      <c r="F942" t="inlineStr">
        <is>
          <t>55</t>
        </is>
      </c>
      <c r="G942" t="inlineStr">
        <is>
          <t>0</t>
        </is>
      </c>
      <c r="H942" t="inlineStr">
        <is>
          <t>8</t>
        </is>
      </c>
      <c r="I942" t="inlineStr">
        <is>
          <t>22⁵</t>
        </is>
      </c>
      <c r="J942" t="n">
        <v>5</v>
      </c>
      <c r="K942" t="inlineStr">
        <is>
          <t>5¹, 10⁵</t>
        </is>
      </c>
      <c r="L942" t="inlineStr">
        <is>
          <t>11B¹, 22A¹</t>
        </is>
      </c>
      <c r="M942" t="inlineStr">
        <is>
          <t>22B¹⁷, 22B²¹, 22C²¹, 66A²², 66B²², 66C²², 66A²⁴, 66B²⁴</t>
        </is>
      </c>
      <c r="N942" t="inlineStr">
        <is>
          <t>11A⁰, 2A⁰, 22A¹, 11B¹, 1A⁰</t>
        </is>
      </c>
      <c r="O942" t="inlineStr">
        <is>
          <t>22B¹⁷, 66A²², 66A²⁴, 22C²¹, 66B²², 66C²², 22B²¹, 66B²⁴</t>
        </is>
      </c>
    </row>
    <row r="943">
      <c r="A943">
        <f>HYPERLINK("https://mathstats.uncg.edu/sites/pauli/congruence/csg5.html#group22C5", "22C⁵")</f>
        <v/>
      </c>
      <c r="B943" t="n">
        <v>5</v>
      </c>
      <c r="C943" t="inlineStr"/>
      <c r="D943" t="inlineStr">
        <is>
          <t>110</t>
        </is>
      </c>
      <c r="E943" t="inlineStr">
        <is>
          <t>2</t>
        </is>
      </c>
      <c r="F943" t="inlineStr">
        <is>
          <t>55</t>
        </is>
      </c>
      <c r="G943" t="inlineStr">
        <is>
          <t>8</t>
        </is>
      </c>
      <c r="H943" t="inlineStr">
        <is>
          <t>2</t>
        </is>
      </c>
      <c r="I943" t="inlineStr">
        <is>
          <t>22⁵</t>
        </is>
      </c>
      <c r="J943" t="n">
        <v>5</v>
      </c>
      <c r="K943" t="inlineStr">
        <is>
          <t>10¹¹</t>
        </is>
      </c>
      <c r="L943" t="inlineStr">
        <is>
          <t>11C¹</t>
        </is>
      </c>
      <c r="M943" t="inlineStr">
        <is>
          <t>22B¹⁰, 22A¹², 22B¹³, 22B¹⁸, 22A¹⁹, 66B²⁰</t>
        </is>
      </c>
      <c r="N943" t="inlineStr">
        <is>
          <t>11C¹, 1A⁰</t>
        </is>
      </c>
      <c r="O943" t="inlineStr">
        <is>
          <t>22A¹², 22A¹⁹, 66B²⁰, 22B¹³, 22B¹⁸, 22B¹⁰</t>
        </is>
      </c>
    </row>
    <row r="944">
      <c r="A944">
        <f>HYPERLINK("https://mathstats.uncg.edu/sites/pauli/congruence/csg5.html#group24A5", "24A⁵")</f>
        <v/>
      </c>
      <c r="B944" t="n">
        <v>5</v>
      </c>
      <c r="C944" t="inlineStr"/>
      <c r="D944" t="inlineStr">
        <is>
          <t>72</t>
        </is>
      </c>
      <c r="E944" t="inlineStr">
        <is>
          <t>1</t>
        </is>
      </c>
      <c r="F944" t="inlineStr">
        <is>
          <t>3</t>
        </is>
      </c>
      <c r="G944" t="inlineStr">
        <is>
          <t>0</t>
        </is>
      </c>
      <c r="H944" t="inlineStr">
        <is>
          <t>0</t>
        </is>
      </c>
      <c r="I944" t="inlineStr">
        <is>
          <t>12², 24²</t>
        </is>
      </c>
      <c r="J944" t="n">
        <v>4</v>
      </c>
      <c r="K944" t="inlineStr">
        <is>
          <t>1³</t>
        </is>
      </c>
      <c r="L944" t="inlineStr">
        <is>
          <t>24A⁰, 8B¹, 12B², 24A³</t>
        </is>
      </c>
      <c r="M944" t="inlineStr">
        <is>
          <t>24C⁹, 24D⁹, 24F⁹, 24J⁹, 24S⁹, 48A¹¹, 48B¹¹, 48D¹¹, 48F¹¹, 48I¹¹, 48M¹¹, 72C¹⁷</t>
        </is>
      </c>
      <c r="N944" t="inlineStr">
        <is>
          <t>2A⁰, 24A³, 12C⁰, 8A¹, 6C¹, 4C⁰, 12B², 8B⁰, 2B⁰, 8B¹, 4E⁰, 4B⁰, 1A⁰, 6A⁰, 24A⁰, 12B¹, 6A¹, 3A⁰, 2C⁰, 6D⁰</t>
        </is>
      </c>
      <c r="O944" t="inlineStr">
        <is>
          <t>24F⁹, 48AO²¹, 48M¹¹, 96I²³, 96O²³, 48I²¹, 48R¹⁹, 24I¹⁷, 48R²¹, 48L²¹, 48S²¹, 96K²³, 24F¹⁷, 24F¹⁹, 48A¹⁹, 48AH²¹, 72C¹⁷, 48B¹¹, 48P²¹, 48O²¹, 48D¹¹, 48AN²¹, 48AI²¹, 96D²³, 24J⁹, 48J²¹, 96G²³, 48BR²¹, 48F²¹, 96C²³, 48BS²¹, 48AR¹⁹, 48F¹¹, 96J²³, 48I¹¹, 24U¹⁷, 24V¹⁷, 24B¹⁷, 48AK²¹, 48G¹⁹, 24A¹⁹, 24S⁹, 24Q¹⁷, 96E²³, 24J¹⁷, 96F²³, 48AL²¹, 24D⁹, 48N²¹, 48A¹¹, 96P²³, 24C⁹, 48AJ²¹, 48B¹⁹, 24T¹⁷, 48K²¹, 48E²¹, 48AM²¹, 48D¹⁹, 48AP²¹, 48Q²¹, 48BQ²¹, 96B²³, 48AG²¹, 96L²³, 24G¹⁹, 24C¹⁷, 24D¹⁹</t>
        </is>
      </c>
    </row>
    <row r="945">
      <c r="A945">
        <f>HYPERLINK("https://mathstats.uncg.edu/sites/pauli/congruence/csg5.html#group24B5", "24B⁵")</f>
        <v/>
      </c>
      <c r="B945" t="n">
        <v>5</v>
      </c>
      <c r="C945" t="inlineStr"/>
      <c r="D945" t="inlineStr">
        <is>
          <t>72</t>
        </is>
      </c>
      <c r="E945" t="inlineStr">
        <is>
          <t>1</t>
        </is>
      </c>
      <c r="F945" t="inlineStr">
        <is>
          <t>6</t>
        </is>
      </c>
      <c r="G945" t="inlineStr">
        <is>
          <t>0</t>
        </is>
      </c>
      <c r="H945" t="inlineStr">
        <is>
          <t>0</t>
        </is>
      </c>
      <c r="I945" t="inlineStr">
        <is>
          <t>12², 24²</t>
        </is>
      </c>
      <c r="J945" t="n">
        <v>4</v>
      </c>
      <c r="K945" t="inlineStr">
        <is>
          <t>1², 2²</t>
        </is>
      </c>
      <c r="L945" t="inlineStr">
        <is>
          <t>8C¹, 12J¹, 24C¹, 24A³</t>
        </is>
      </c>
      <c r="M945" t="inlineStr">
        <is>
          <t>24C⁹, 24Q⁹, 24R⁹, 24C¹⁰, 24E¹⁰, 48C¹⁰, 48D¹⁰, 48J¹¹, 48O¹¹, 72F¹⁷</t>
        </is>
      </c>
      <c r="N945" t="inlineStr">
        <is>
          <t>24A³, 12C⁰, 8A¹, 8D⁰, 4C⁰, 2B⁰, 1A⁰, 12A⁰, 8C¹, 4A⁰, 24C¹, 12J¹, 4F⁰, 3A⁰, 6D⁰</t>
        </is>
      </c>
      <c r="O945" t="inlineStr">
        <is>
          <t>24C¹⁰, 24P¹⁹, 48O¹¹, 48AQ²¹, 48AY²¹, 48Y¹⁹, 48D¹⁰, 24M¹⁹, 48L²¹, 48B²⁰, 48BL²¹, 24F¹⁹, 24F¹⁷, 48D²², 48A¹⁹, 24Q⁹, 96B²⁰, 48AZ²¹, 48Z¹⁹, 96AD²³, 48BN²¹, 48C²², 48A²⁰, 48C¹⁰, 48BV²¹, 48U¹⁹, 24E¹⁷, 48F²¹, 96D²², 96B²², 24E¹⁰, 48G¹⁹, 96A²⁰, 24A¹⁹, 48J¹¹, 24B¹⁷, 24J¹⁷, 48AT²¹, 24N¹⁷, 24R⁹, 96AC²³, 48V¹⁹, 48B¹⁹, 72F¹⁷, 48BA²¹, 48E²¹, 48D¹⁹, 24Q¹⁹, 24G¹⁹, 48Q²¹, 24C⁹, 48BM²¹, 24L¹⁹, 24D¹⁹</t>
        </is>
      </c>
    </row>
    <row r="946">
      <c r="A946">
        <f>HYPERLINK("https://mathstats.uncg.edu/sites/pauli/congruence/csg5.html#group24C5", "24C⁵")</f>
        <v/>
      </c>
      <c r="B946" t="n">
        <v>5</v>
      </c>
      <c r="C946" t="inlineStr"/>
      <c r="D946" t="inlineStr">
        <is>
          <t>72</t>
        </is>
      </c>
      <c r="E946" t="inlineStr">
        <is>
          <t>1</t>
        </is>
      </c>
      <c r="F946" t="inlineStr">
        <is>
          <t>9</t>
        </is>
      </c>
      <c r="G946" t="inlineStr">
        <is>
          <t>0</t>
        </is>
      </c>
      <c r="H946" t="inlineStr">
        <is>
          <t>0</t>
        </is>
      </c>
      <c r="I946" t="inlineStr">
        <is>
          <t>12², 24²</t>
        </is>
      </c>
      <c r="J946" t="n">
        <v>4</v>
      </c>
      <c r="K946" t="inlineStr">
        <is>
          <t>1³, 2³</t>
        </is>
      </c>
      <c r="L946" t="inlineStr">
        <is>
          <t>12L¹, 24C²</t>
        </is>
      </c>
      <c r="M946" t="inlineStr">
        <is>
          <t>24A⁹, 24E⁹, 24G⁹, 24P⁹, 24O⁹, 72H¹⁵, 72A¹⁷, 72I¹⁷</t>
        </is>
      </c>
      <c r="N946" t="inlineStr">
        <is>
          <t>12C⁰, 12C¹, 4C⁰, 6G⁰, 3C⁰, 1A⁰, 2B⁰, 24C², 3A⁰, 12L¹, 6D⁰</t>
        </is>
      </c>
      <c r="O946" t="inlineStr">
        <is>
          <t>48Z²¹, 72I¹⁷, 48X¹⁹, 48AV²¹, 48BE²¹, 24G¹⁷, 24H¹⁷, 48H²¹, 24G⁹, 24N¹⁹, 72H¹⁵, 24N¹⁷, 24O¹⁷, 72A¹⁷, 24L¹⁷, 24O⁹, 48W¹⁹, 48W²¹, 24Z¹⁷, 48C²¹, 24A⁹, 48AU²¹, 48Y²¹, 24M¹⁷, 24O¹⁹, 48D²¹, 24D¹⁷, 24C¹⁷, 24E⁹, 24P⁹</t>
        </is>
      </c>
    </row>
    <row r="947">
      <c r="A947">
        <f>HYPERLINK("https://mathstats.uncg.edu/sites/pauli/congruence/csg5.html#group24D5", "24D⁵")</f>
        <v/>
      </c>
      <c r="B947" t="n">
        <v>5</v>
      </c>
      <c r="C947" t="inlineStr"/>
      <c r="D947" t="inlineStr">
        <is>
          <t>72</t>
        </is>
      </c>
      <c r="E947" t="inlineStr">
        <is>
          <t>1</t>
        </is>
      </c>
      <c r="F947" t="inlineStr">
        <is>
          <t>9</t>
        </is>
      </c>
      <c r="G947" t="inlineStr">
        <is>
          <t>0</t>
        </is>
      </c>
      <c r="H947" t="inlineStr">
        <is>
          <t>0</t>
        </is>
      </c>
      <c r="I947" t="inlineStr">
        <is>
          <t>12², 24²</t>
        </is>
      </c>
      <c r="J947" t="n">
        <v>4</v>
      </c>
      <c r="K947" t="inlineStr">
        <is>
          <t>1³, 2³</t>
        </is>
      </c>
      <c r="L947" t="inlineStr">
        <is>
          <t>12H⁰, 24C², 24A³</t>
        </is>
      </c>
      <c r="M947" t="inlineStr">
        <is>
          <t>24E⁹, 24J⁹, 24M⁹, 24Q⁹, 48N¹¹, 48R¹¹, 72D¹⁷, 72H¹⁷</t>
        </is>
      </c>
      <c r="N947" t="inlineStr">
        <is>
          <t>24A³, 6B⁰, 12C⁰, 3A⁰, 8A¹, 4C⁰, 2B⁰, 12D⁰, 24C², 6H⁰, 12H⁰, 1A⁰, 6D⁰</t>
        </is>
      </c>
      <c r="O947" t="inlineStr">
        <is>
          <t>72H¹⁷, 48AO²¹, 24P¹⁹, 48AV²¹, 48AY²¹, 48Y¹⁹, 48BE²¹, 48R¹¹, 24M⁹, 24I¹⁷, 48S²¹, 48AQ¹⁹, 24Q⁹, 96X²³, 72D¹⁷, 96W²³, 48P²¹, 48O²¹, 24R¹⁹, 24M¹⁷, 24J⁹, 96AB²³, 48U¹⁹, 48N¹¹, 24V¹⁷, 96Q²³, 48BK²¹, 24J¹⁷, 24N¹⁷, 48AT²¹, 24O¹⁷, 96AA²³, 24T¹⁷, 48K²¹, 96R²³, 48AP²¹, 24L¹⁹, 48BJ²¹, 24C¹⁷, 24E⁹</t>
        </is>
      </c>
    </row>
    <row r="948">
      <c r="A948">
        <f>HYPERLINK("https://mathstats.uncg.edu/sites/pauli/congruence/csg5.html#group24E5", "24E⁵")</f>
        <v/>
      </c>
      <c r="B948" t="n">
        <v>5</v>
      </c>
      <c r="C948" t="inlineStr"/>
      <c r="D948" t="inlineStr">
        <is>
          <t>72</t>
        </is>
      </c>
      <c r="E948" t="inlineStr">
        <is>
          <t>1</t>
        </is>
      </c>
      <c r="F948" t="inlineStr">
        <is>
          <t>9</t>
        </is>
      </c>
      <c r="G948" t="inlineStr">
        <is>
          <t>0</t>
        </is>
      </c>
      <c r="H948" t="inlineStr">
        <is>
          <t>0</t>
        </is>
      </c>
      <c r="I948" t="inlineStr">
        <is>
          <t>12², 24²</t>
        </is>
      </c>
      <c r="J948" t="n">
        <v>4</v>
      </c>
      <c r="K948" t="inlineStr">
        <is>
          <t>1³, 2³</t>
        </is>
      </c>
      <c r="L948" t="inlineStr">
        <is>
          <t>12L¹, 24D¹, 24A³</t>
        </is>
      </c>
      <c r="M948" t="inlineStr">
        <is>
          <t>24B⁹, 24E⁹, 24J⁹, 24N⁹, 24R⁹, 48P¹¹, 48S¹¹, 72I¹⁵, 72B¹⁷, 72J¹⁷</t>
        </is>
      </c>
      <c r="N948" t="inlineStr">
        <is>
          <t>24A³, 12C⁰, 12C¹, 8A¹, 4C⁰, 24D¹, 6G⁰, 3C⁰, 1A⁰, 2B⁰, 3A⁰, 12L¹, 6D⁰</t>
        </is>
      </c>
      <c r="O948" t="inlineStr">
        <is>
          <t>48AO²¹, 96Z²³, 48AV²¹, 48BE²¹, 24M¹⁹, 72B¹⁷, 24I¹⁷, 48S²¹, 48P¹¹, 48AZ²¹, 48P²¹, 48O²¹, 48Z¹⁹, 48A²¹, 24M¹⁷, 96T²³, 72J¹⁷, 48G²¹, 96S²³, 48BT²¹, 24J⁹, 24K¹⁷, 24E¹⁷, 24V¹⁷, 48X²¹, 24B⁹, 24J¹⁷, 24N¹⁷, 24O¹⁷, 24R⁹, 96Y²³, 48B²¹, 48V¹⁹, 72I¹⁵, 48BA²¹, 24T¹⁷, 48K²¹, 24Q¹⁹, 48AP²¹, 24N⁹, 48S¹¹, 24C¹⁷, 24E⁹</t>
        </is>
      </c>
    </row>
    <row r="949">
      <c r="A949">
        <f>HYPERLINK("https://mathstats.uncg.edu/sites/pauli/congruence/csg5.html#group24F5", "24F⁵")</f>
        <v/>
      </c>
      <c r="B949" t="n">
        <v>5</v>
      </c>
      <c r="C949" t="inlineStr"/>
      <c r="D949" t="inlineStr">
        <is>
          <t>72</t>
        </is>
      </c>
      <c r="E949" t="inlineStr">
        <is>
          <t>1</t>
        </is>
      </c>
      <c r="F949" t="inlineStr">
        <is>
          <t>9</t>
        </is>
      </c>
      <c r="G949" t="inlineStr">
        <is>
          <t>0</t>
        </is>
      </c>
      <c r="H949" t="inlineStr">
        <is>
          <t>0</t>
        </is>
      </c>
      <c r="I949" t="inlineStr">
        <is>
          <t>12², 24²</t>
        </is>
      </c>
      <c r="J949" t="n">
        <v>4</v>
      </c>
      <c r="K949" t="inlineStr">
        <is>
          <t>1³, 2³</t>
        </is>
      </c>
      <c r="L949" t="inlineStr">
        <is>
          <t>24D¹, 12B², 24C²</t>
        </is>
      </c>
      <c r="M949" t="inlineStr">
        <is>
          <t>24G⁹, 24H⁹, 24I⁹, 24J⁹, 24T⁹, 24U⁹, 24Z⁹, 72E¹⁷, 72K¹⁷</t>
        </is>
      </c>
      <c r="N949" t="inlineStr">
        <is>
          <t>2A⁰, 12C⁰, 6C¹, 24D¹, 12B², 4C⁰, 2B⁰, 4E⁰, 24C², 4B⁰, 1A⁰, 6A⁰, 12B¹, 6A¹, 3A⁰, 2C⁰, 6D⁰</t>
        </is>
      </c>
      <c r="O949" t="inlineStr">
        <is>
          <t>48AO²¹, 24G⁹, 24AJ¹⁷, 72K¹⁷, 24I¹⁷, 24F¹⁹, 48S²¹, 24Z¹⁷, 48P¹⁹, 48AW¹⁹, 48AU²¹, 48P²¹, 48O²¹, 48Y²¹, 24E¹⁹, 24P¹⁷, 24I¹⁹, 24J⁹, 24W¹⁷, 24H⁹, 48Z²¹, 24V¹⁷, 24G¹⁷, 24H¹⁷, 48I¹⁹, 24J¹⁷, 24H¹⁹, 24S¹⁹, 48L¹⁹, 24S¹⁷, 72E¹⁷, 24U⁹, 24R¹⁷, 24I⁹, 24T¹⁷, 48K²¹, 24T⁹, 24Z⁹, 48AP²¹, 24C¹⁷, 48H¹⁹</t>
        </is>
      </c>
    </row>
    <row r="950">
      <c r="A950">
        <f>HYPERLINK("https://mathstats.uncg.edu/sites/pauli/congruence/csg5.html#group24G5", "24G⁵")</f>
        <v/>
      </c>
      <c r="B950" t="n">
        <v>5</v>
      </c>
      <c r="C950" t="inlineStr"/>
      <c r="D950" t="inlineStr">
        <is>
          <t>72</t>
        </is>
      </c>
      <c r="E950" t="inlineStr">
        <is>
          <t>1</t>
        </is>
      </c>
      <c r="F950" t="inlineStr">
        <is>
          <t>18</t>
        </is>
      </c>
      <c r="G950" t="inlineStr">
        <is>
          <t>0</t>
        </is>
      </c>
      <c r="H950" t="inlineStr">
        <is>
          <t>0</t>
        </is>
      </c>
      <c r="I950" t="inlineStr">
        <is>
          <t>12², 24²</t>
        </is>
      </c>
      <c r="J950" t="n">
        <v>4</v>
      </c>
      <c r="K950" t="inlineStr">
        <is>
          <t>1², 2⁴, 4²</t>
        </is>
      </c>
      <c r="L950" t="inlineStr">
        <is>
          <t>12M¹, 24E¹, 24A³</t>
        </is>
      </c>
      <c r="M950" t="inlineStr">
        <is>
          <t>24F⁹, 24M⁹, 24N⁹, 24Q⁹, 24R⁹, 48T¹¹, 48U¹¹, 48V¹¹, 72G¹⁷, 72L¹⁷</t>
        </is>
      </c>
      <c r="N950" t="inlineStr">
        <is>
          <t>24E¹, 24A³, 12C⁰, 8A¹, 4C⁰, 12M¹, 2B⁰, 3A⁰, 1A⁰, 6D⁰</t>
        </is>
      </c>
      <c r="O950" t="inlineStr">
        <is>
          <t>24F⁹, 24P¹⁹, 48BQ²¹, 48AY²¹, 48Y¹⁹, 48T¹¹, 96AG²³, 24M¹⁹, 24M⁹, 24I¹⁷, 48R²¹, 48AQ¹⁹, 24Q⁹, 48AZ²¹, 48Z¹⁹, 24R¹⁹, 48AN²¹, 48BT²¹, 48U¹⁹, 24E¹⁷, 24U¹⁷, 72L¹⁷, 24N⁹, 24Q¹⁷, 48BK²¹, 24J¹⁷, 48AT²¹, 24N¹⁷, 96AE²³, 24R⁹, 48N²¹, 48V¹⁹, 96AF²³, 48V¹¹, 48BA²¹, 72G¹⁷, 24Q¹⁹, 96AH²³, 48AG²¹, 24L¹⁹, 48BJ²¹, 48U¹¹</t>
        </is>
      </c>
    </row>
    <row r="951">
      <c r="A951">
        <f>HYPERLINK("https://mathstats.uncg.edu/sites/pauli/congruence/csg5.html#group24H5", "24H⁵")</f>
        <v/>
      </c>
      <c r="B951" t="n">
        <v>5</v>
      </c>
      <c r="C951" t="inlineStr"/>
      <c r="D951" t="inlineStr">
        <is>
          <t>96</t>
        </is>
      </c>
      <c r="E951" t="inlineStr">
        <is>
          <t>1</t>
        </is>
      </c>
      <c r="F951" t="inlineStr">
        <is>
          <t>12</t>
        </is>
      </c>
      <c r="G951" t="inlineStr">
        <is>
          <t>0</t>
        </is>
      </c>
      <c r="H951" t="inlineStr">
        <is>
          <t>0</t>
        </is>
      </c>
      <c r="I951" t="inlineStr">
        <is>
          <t>4², 8², 12², 24²</t>
        </is>
      </c>
      <c r="J951" t="n">
        <v>8</v>
      </c>
      <c r="K951" t="inlineStr">
        <is>
          <t>1⁶, 2³</t>
        </is>
      </c>
      <c r="L951" t="inlineStr">
        <is>
          <t>12P¹</t>
        </is>
      </c>
      <c r="M951" t="inlineStr">
        <is>
          <t>24AB⁹, 24AC⁹, 24AE⁹, 24AK⁹, 24A¹⁷, 72M¹⁷, 72B²¹, 72A²¹</t>
        </is>
      </c>
      <c r="N951" t="inlineStr">
        <is>
          <t>3B⁰, 2A⁰, 6I⁰, 12F¹, 6C⁰, 4C⁰, 1A⁰, 2B⁰, 4E⁰, 12P¹, 4B⁰, 6F⁰, 2C⁰, 12E⁰</t>
        </is>
      </c>
      <c r="O951" t="inlineStr">
        <is>
          <t>24AE⁹, 24AT¹⁷, 24F²¹, 24AK⁹, 48CC²¹, 24E²¹, 24AQ¹⁷, 72M¹⁷, 72A²¹, 72B²¹, 24AP¹⁷, 24AC⁹, 24AR¹⁷, 24A¹⁷, 48CJ²¹, 24C²¹, 24AB⁹, 48CA²¹</t>
        </is>
      </c>
    </row>
    <row r="952">
      <c r="A952">
        <f>HYPERLINK("https://mathstats.uncg.edu/sites/pauli/congruence/csg5.html#group24I5", "24I⁵")</f>
        <v/>
      </c>
      <c r="B952" t="n">
        <v>5</v>
      </c>
      <c r="C952" t="inlineStr"/>
      <c r="D952" t="inlineStr">
        <is>
          <t>96</t>
        </is>
      </c>
      <c r="E952" t="inlineStr">
        <is>
          <t>1</t>
        </is>
      </c>
      <c r="F952" t="inlineStr">
        <is>
          <t>12</t>
        </is>
      </c>
      <c r="G952" t="inlineStr">
        <is>
          <t>0</t>
        </is>
      </c>
      <c r="H952" t="inlineStr">
        <is>
          <t>0</t>
        </is>
      </c>
      <c r="I952" t="inlineStr">
        <is>
          <t>4², 8², 12², 24²</t>
        </is>
      </c>
      <c r="J952" t="n">
        <v>8</v>
      </c>
      <c r="K952" t="inlineStr">
        <is>
          <t>1⁶, 2³</t>
        </is>
      </c>
      <c r="L952" t="inlineStr">
        <is>
          <t>8B¹, 12P¹, 24B³, 24C³</t>
        </is>
      </c>
      <c r="M952" t="inlineStr">
        <is>
          <t>24AB⁹, 24AD⁹, 24AF⁹, 24AG⁹, 24AH⁹, 48A¹³, 48B¹³, 48C¹³, 48D¹³, 48I¹³, 48J¹³, 24C¹⁷, 72N¹⁷, 72D²¹, 72C²¹</t>
        </is>
      </c>
      <c r="N952" t="inlineStr">
        <is>
          <t>3B⁰, 2A⁰, 8A¹, 24B³, 12F¹, 6I⁰, 4C⁰, 6C⁰, 8B⁰, 2B⁰, 8B¹, 4E⁰, 12P¹, 4B⁰, 1A⁰, 24C³, 6F⁰, 2C⁰, 12E⁰</t>
        </is>
      </c>
      <c r="O952" t="inlineStr">
        <is>
          <t>48CE²¹, 24F²¹, 48B¹³, 24AG⁹, 48D¹³, 48J¹³, 72D²¹, 24AH⁹, 24AQ¹⁷, 48CP²¹, 24A²¹, 24AS¹⁷, 24AD⁹, 48CB²¹, 24AN¹⁷, 24D²¹, 48I¹³, 48CD²¹, 24AP¹⁷, 72N¹⁷, 48A¹³, 48CF²¹, 48C¹³, 48CQ²¹, 72C²¹, 24AB⁹, 24C¹⁷, 24G²¹, 24AF⁹, 24AO¹⁷</t>
        </is>
      </c>
    </row>
    <row r="953">
      <c r="A953">
        <f>HYPERLINK("https://mathstats.uncg.edu/sites/pauli/congruence/csg5.html#group24J5", "24J⁵")</f>
        <v/>
      </c>
      <c r="B953" t="n">
        <v>5</v>
      </c>
      <c r="C953" t="inlineStr"/>
      <c r="D953" t="inlineStr">
        <is>
          <t>96</t>
        </is>
      </c>
      <c r="E953" t="inlineStr">
        <is>
          <t>1</t>
        </is>
      </c>
      <c r="F953" t="inlineStr">
        <is>
          <t>24</t>
        </is>
      </c>
      <c r="G953" t="inlineStr">
        <is>
          <t>0</t>
        </is>
      </c>
      <c r="H953" t="inlineStr">
        <is>
          <t>0</t>
        </is>
      </c>
      <c r="I953" t="inlineStr">
        <is>
          <t>4², 8², 12², 24²</t>
        </is>
      </c>
      <c r="J953" t="n">
        <v>8</v>
      </c>
      <c r="K953" t="inlineStr">
        <is>
          <t>1⁴, 2⁶, 4²</t>
        </is>
      </c>
      <c r="L953" t="inlineStr">
        <is>
          <t>8H⁰, 12G², 24I², 24B³</t>
        </is>
      </c>
      <c r="M953" t="inlineStr">
        <is>
          <t>24AF⁹, 24AJ⁹, 24F¹¹, 24I¹¹, 48Z¹¹, 48AA¹¹, 48G¹³, 48H¹³, 48K¹³, 24D¹⁷, 72Q¹⁷, 72E²¹, 72F²¹</t>
        </is>
      </c>
      <c r="N953" t="inlineStr">
        <is>
          <t>3B⁰, 24B³, 8D⁰, 12F¹, 4C⁰, 8B⁰, 2B⁰, 1A⁰, 8H⁰, 24I², 4A⁰, 12A¹, 12G², 4F⁰, 6F⁰</t>
        </is>
      </c>
      <c r="O953" t="inlineStr">
        <is>
          <t>72F²¹, 96AI²³, 48CE²¹, 24I¹¹, 24F²¹, 48AA¹¹, 48K¹³, 72E²¹, 72Q¹⁷, 24A²¹, 96AL²³, 48CB²¹, 48C²³, 24AN¹⁷, 24J²¹, 24F¹¹, 48H¹³, 48B²³, 48CD²¹, 24D²¹, 24AP¹⁷, 24AJ⁹, 48Z¹¹, 24D¹⁷, 48CF²¹, 48CO²¹, 48G¹³, 24G²¹, 24AF⁹, 24AO¹⁷</t>
        </is>
      </c>
    </row>
    <row r="954">
      <c r="A954">
        <f>HYPERLINK("https://mathstats.uncg.edu/sites/pauli/congruence/csg5.html#group24K5", "24K⁵")</f>
        <v/>
      </c>
      <c r="B954" t="n">
        <v>5</v>
      </c>
      <c r="C954" t="inlineStr"/>
      <c r="D954" t="inlineStr">
        <is>
          <t>96</t>
        </is>
      </c>
      <c r="E954" t="inlineStr">
        <is>
          <t>1</t>
        </is>
      </c>
      <c r="F954" t="inlineStr">
        <is>
          <t>24</t>
        </is>
      </c>
      <c r="G954" t="inlineStr">
        <is>
          <t>0</t>
        </is>
      </c>
      <c r="H954" t="inlineStr">
        <is>
          <t>0</t>
        </is>
      </c>
      <c r="I954" t="inlineStr">
        <is>
          <t>4², 8², 12², 24²</t>
        </is>
      </c>
      <c r="J954" t="n">
        <v>8</v>
      </c>
      <c r="K954" t="inlineStr">
        <is>
          <t>1⁴, 2⁶, 4²</t>
        </is>
      </c>
      <c r="L954" t="inlineStr">
        <is>
          <t>8C¹, 12G², 24I², 24C³</t>
        </is>
      </c>
      <c r="M954" t="inlineStr">
        <is>
          <t>24AF⁹, 24AI⁹, 24G¹¹, 24H¹¹, 48Y¹¹, 48AB¹¹, 48E¹³, 48F¹³, 48L¹³, 24E¹⁷, 72R¹⁷, 72G²¹, 72H²¹</t>
        </is>
      </c>
      <c r="N954" t="inlineStr">
        <is>
          <t>24C³, 3B⁰, 8C¹, 24I², 8A¹, 8D⁰, 12F¹, 4A⁰, 12A¹, 4C⁰, 1A⁰, 12G², 2B⁰, 4F⁰, 6F⁰</t>
        </is>
      </c>
      <c r="O954" t="inlineStr">
        <is>
          <t>48CE²¹, 72G²¹, 24H¹¹, 24F²¹, 48Y¹¹, 48D²³, 24A²¹, 48CB²¹, 96AK²³, 72H²¹, 24AN¹⁷, 48F¹³, 48L¹³, 24D²¹, 48CD²¹, 24AO¹⁷, 24AP¹⁷, 24G¹¹, 48A²³, 24AI⁹, 72R¹⁷, 48CF²¹, 48E¹³, 96AJ²³, 48CN²¹, 24E¹⁷, 48AB¹¹, 24G²¹, 24AF⁹, 24I²¹</t>
        </is>
      </c>
    </row>
    <row r="955">
      <c r="A955">
        <f>HYPERLINK("https://mathstats.uncg.edu/sites/pauli/congruence/csg5.html#group24L5", "24L⁵")</f>
        <v/>
      </c>
      <c r="B955" t="n">
        <v>5</v>
      </c>
      <c r="C955" t="inlineStr"/>
      <c r="D955" t="inlineStr">
        <is>
          <t>96</t>
        </is>
      </c>
      <c r="E955" t="inlineStr">
        <is>
          <t>1</t>
        </is>
      </c>
      <c r="F955" t="inlineStr">
        <is>
          <t>24</t>
        </is>
      </c>
      <c r="G955" t="inlineStr">
        <is>
          <t>8</t>
        </is>
      </c>
      <c r="H955" t="inlineStr">
        <is>
          <t>0</t>
        </is>
      </c>
      <c r="I955" t="inlineStr">
        <is>
          <t>24⁴</t>
        </is>
      </c>
      <c r="J955" t="n">
        <v>4</v>
      </c>
      <c r="K955" t="inlineStr">
        <is>
          <t>4², 8²</t>
        </is>
      </c>
      <c r="L955" t="inlineStr">
        <is>
          <t>12Q¹</t>
        </is>
      </c>
      <c r="M955" t="inlineStr">
        <is>
          <t>24K¹¹, 24A¹³, 24AA¹⁷, 72S¹⁷, 72S¹⁹, 72U¹⁹, 24L²¹, 72S²¹, 72V²¹</t>
        </is>
      </c>
      <c r="N955" t="inlineStr">
        <is>
          <t>12G¹, 12A⁰, 6B⁰, 6E⁰, 4A⁰, 12F⁰, 12Q¹, 3C⁰, 3A⁰, 1A⁰</t>
        </is>
      </c>
      <c r="O955" t="inlineStr">
        <is>
          <t>72V²¹, 24K¹¹, 24AA¹⁷, 72S²¹, 24A¹³, 72S¹⁹, 72U¹⁹, 24L²¹, 72S¹⁷</t>
        </is>
      </c>
    </row>
    <row r="956">
      <c r="A956">
        <f>HYPERLINK("https://mathstats.uncg.edu/sites/pauli/congruence/csg5.html#group24M5", "24M⁵")</f>
        <v/>
      </c>
      <c r="B956" t="n">
        <v>5</v>
      </c>
      <c r="C956" t="inlineStr"/>
      <c r="D956" t="inlineStr">
        <is>
          <t>96</t>
        </is>
      </c>
      <c r="E956" t="inlineStr">
        <is>
          <t>1</t>
        </is>
      </c>
      <c r="F956" t="inlineStr">
        <is>
          <t>48</t>
        </is>
      </c>
      <c r="G956" t="inlineStr">
        <is>
          <t>0</t>
        </is>
      </c>
      <c r="H956" t="inlineStr">
        <is>
          <t>0</t>
        </is>
      </c>
      <c r="I956" t="inlineStr">
        <is>
          <t>4², 8², 12², 24²</t>
        </is>
      </c>
      <c r="J956" t="n">
        <v>8</v>
      </c>
      <c r="K956" t="inlineStr">
        <is>
          <t>1⁸, 2⁸, 4⁴, 8¹</t>
        </is>
      </c>
      <c r="L956" t="inlineStr">
        <is>
          <t>24C³</t>
        </is>
      </c>
      <c r="M956" t="inlineStr">
        <is>
          <t>24AG⁹, 24AI⁹, 48M¹³, 48N¹³, 48S¹³, 24K¹⁷, 72T¹⁷, 72J²¹, 72I²¹</t>
        </is>
      </c>
      <c r="N956" t="inlineStr">
        <is>
          <t>24C³, 3B⁰, 8A¹, 12F¹, 4C⁰, 1A⁰, 2B⁰, 6F⁰</t>
        </is>
      </c>
      <c r="O956" t="inlineStr">
        <is>
          <t>48M¹³, 48N¹³, 72J²¹, 24AG⁹, 72I²¹, 24AI⁹, 24AQ¹⁷, 24AS¹⁷, 48S¹³, 48CN²¹, 24K¹⁷, 72T¹⁷, 24AN¹⁷, 24I²¹</t>
        </is>
      </c>
    </row>
    <row r="957">
      <c r="A957">
        <f>HYPERLINK("https://mathstats.uncg.edu/sites/pauli/congruence/csg5.html#group24N5", "24N⁵")</f>
        <v/>
      </c>
      <c r="B957" t="n">
        <v>5</v>
      </c>
      <c r="C957" t="inlineStr"/>
      <c r="D957" t="inlineStr">
        <is>
          <t>96</t>
        </is>
      </c>
      <c r="E957" t="inlineStr">
        <is>
          <t>1</t>
        </is>
      </c>
      <c r="F957" t="inlineStr">
        <is>
          <t>48</t>
        </is>
      </c>
      <c r="G957" t="inlineStr">
        <is>
          <t>0</t>
        </is>
      </c>
      <c r="H957" t="inlineStr">
        <is>
          <t>0</t>
        </is>
      </c>
      <c r="I957" t="inlineStr">
        <is>
          <t>4², 8², 12², 24²</t>
        </is>
      </c>
      <c r="J957" t="n">
        <v>8</v>
      </c>
      <c r="K957" t="inlineStr">
        <is>
          <t>1⁸, 2⁸, 4⁴, 8¹</t>
        </is>
      </c>
      <c r="L957" t="inlineStr">
        <is>
          <t>8L⁰, 24B³</t>
        </is>
      </c>
      <c r="M957" t="inlineStr">
        <is>
          <t>24AH⁹, 24AJ⁹, 48O¹³, 48P¹³, 48T¹³, 24L¹⁷, 72U¹⁷, 72L²¹, 72K²¹</t>
        </is>
      </c>
      <c r="N957" t="inlineStr">
        <is>
          <t>3B⁰, 24B³, 12F¹, 4C⁰, 8B⁰, 8L⁰, 2B⁰, 1A⁰, 6F⁰</t>
        </is>
      </c>
      <c r="O957" t="inlineStr">
        <is>
          <t>72U¹⁷, 48P¹³, 24AJ⁹, 24AH⁹, 72L²¹, 48CO²¹, 24AQ¹⁷, 48CP²¹, 48T¹³, 48CQ²¹, 24J²¹, 72K²¹, 48O¹³, 24AS¹⁷, 24L¹⁷, 24AO¹⁷</t>
        </is>
      </c>
    </row>
    <row r="958">
      <c r="A958">
        <f>HYPERLINK("https://mathstats.uncg.edu/sites/pauli/congruence/csg5.html#group24O5", "24O⁵")</f>
        <v/>
      </c>
      <c r="B958" t="n">
        <v>5</v>
      </c>
      <c r="C958" t="inlineStr"/>
      <c r="D958" t="inlineStr">
        <is>
          <t>96</t>
        </is>
      </c>
      <c r="E958" t="inlineStr">
        <is>
          <t>1</t>
        </is>
      </c>
      <c r="F958" t="inlineStr">
        <is>
          <t>48</t>
        </is>
      </c>
      <c r="G958" t="inlineStr">
        <is>
          <t>8</t>
        </is>
      </c>
      <c r="H958" t="inlineStr">
        <is>
          <t>0</t>
        </is>
      </c>
      <c r="I958" t="inlineStr">
        <is>
          <t>24⁴</t>
        </is>
      </c>
      <c r="J958" t="n">
        <v>4</v>
      </c>
      <c r="K958" t="inlineStr">
        <is>
          <t>4⁴, 8⁴</t>
        </is>
      </c>
      <c r="L958" t="inlineStr">
        <is>
          <t>12G¹, 24F¹</t>
        </is>
      </c>
      <c r="M958" t="inlineStr">
        <is>
          <t>24AL⁹, 24L¹¹, 24M¹¹, 24C¹³, 24F¹³, 24AH¹⁷, 72V¹⁷, 72Q¹⁹, 72W²¹</t>
        </is>
      </c>
      <c r="N958" t="inlineStr">
        <is>
          <t>12G¹, 24F¹, 12A⁰, 8F⁰, 4A⁰, 3C⁰, 3A⁰, 1A⁰</t>
        </is>
      </c>
      <c r="O958" t="inlineStr">
        <is>
          <t>24L²¹, 24AL⁹, 24L¹¹, 72V¹⁷, 24M²¹, 24K²¹, 24AH¹⁷, 24M¹¹, 72W²¹, 24C¹³, 72Q¹⁹, 24F¹³</t>
        </is>
      </c>
    </row>
    <row r="959">
      <c r="A959">
        <f>HYPERLINK("https://mathstats.uncg.edu/sites/pauli/congruence/csg5.html#group24P5", "24P⁵")</f>
        <v/>
      </c>
      <c r="B959" t="n">
        <v>5</v>
      </c>
      <c r="C959" t="inlineStr"/>
      <c r="D959" t="inlineStr">
        <is>
          <t>96</t>
        </is>
      </c>
      <c r="E959" t="inlineStr">
        <is>
          <t>2</t>
        </is>
      </c>
      <c r="F959" t="inlineStr">
        <is>
          <t>12</t>
        </is>
      </c>
      <c r="G959" t="inlineStr">
        <is>
          <t>8</t>
        </is>
      </c>
      <c r="H959" t="inlineStr">
        <is>
          <t>0</t>
        </is>
      </c>
      <c r="I959" t="inlineStr">
        <is>
          <t>24⁴</t>
        </is>
      </c>
      <c r="J959" t="n">
        <v>4</v>
      </c>
      <c r="K959" t="inlineStr">
        <is>
          <t>4², 8²</t>
        </is>
      </c>
      <c r="L959" t="inlineStr">
        <is>
          <t>12Q¹, 24G², 24H², 24K², 24D³, 24E³</t>
        </is>
      </c>
      <c r="M959" t="inlineStr">
        <is>
          <t>24K¹¹, 24B¹³, 48Q¹³, 48R¹³, 24AE¹⁷, 72W¹⁷, 72T¹⁹, 72V¹⁹, 24M²¹, 72P²¹, 72Q²¹, 72T²¹, 72U²¹</t>
        </is>
      </c>
      <c r="N959" t="inlineStr">
        <is>
          <t>12G¹, 6B⁰, 24D³, 8A⁰, 12F⁰, 24B¹, 1A⁰, 24E³, 12A⁰, 24K², 24A¹, 6E⁰, 4A⁰, 12Q¹, 3C⁰, 3A⁰, 24G², 24H²</t>
        </is>
      </c>
      <c r="O959" t="inlineStr">
        <is>
          <t>48R¹³, 24K¹¹, 72Q²¹, 72U²¹, 72T¹⁹, 24B¹³, 24M²¹, 72P²¹, 24AE¹⁷, 48Q¹³, 72T²¹, 72V¹⁹, 72W¹⁷</t>
        </is>
      </c>
    </row>
    <row r="960">
      <c r="A960">
        <f>HYPERLINK("https://mathstats.uncg.edu/sites/pauli/congruence/csg5.html#group24Q5", "24Q⁵")</f>
        <v/>
      </c>
      <c r="B960" t="n">
        <v>5</v>
      </c>
      <c r="C960" t="inlineStr"/>
      <c r="D960" t="inlineStr">
        <is>
          <t>128</t>
        </is>
      </c>
      <c r="E960" t="inlineStr">
        <is>
          <t>1</t>
        </is>
      </c>
      <c r="F960" t="inlineStr">
        <is>
          <t>16</t>
        </is>
      </c>
      <c r="G960" t="inlineStr">
        <is>
          <t>0</t>
        </is>
      </c>
      <c r="H960" t="inlineStr">
        <is>
          <t>8</t>
        </is>
      </c>
      <c r="I960" t="inlineStr">
        <is>
          <t>8⁴, 24⁴</t>
        </is>
      </c>
      <c r="J960" t="n">
        <v>8</v>
      </c>
      <c r="K960" t="inlineStr">
        <is>
          <t>2⁴, 4²</t>
        </is>
      </c>
      <c r="L960" t="inlineStr">
        <is>
          <t>12R¹, 24F³, 24G³</t>
        </is>
      </c>
      <c r="M960" t="inlineStr">
        <is>
          <t>48U¹³, 24B²¹, 24H²¹, 72Y²¹, 72Z²¹</t>
        </is>
      </c>
      <c r="N960" t="inlineStr">
        <is>
          <t>2A⁰, 3B⁰, 12I¹, 24A², 4A⁰, 4D⁰, 12A¹, 6C⁰, 8A⁰, 8E⁰, 12R¹, 24G³, 1A⁰, 12B⁰, 24F³</t>
        </is>
      </c>
      <c r="O960" t="inlineStr">
        <is>
          <t>24B²¹, 48U¹³, 72Z²¹, 24H²¹, 72Y²¹</t>
        </is>
      </c>
    </row>
    <row r="961">
      <c r="A961">
        <f>HYPERLINK("https://mathstats.uncg.edu/sites/pauli/congruence/csg5.html#group24R5", "24R⁵")</f>
        <v/>
      </c>
      <c r="B961" t="n">
        <v>5</v>
      </c>
      <c r="C961" t="inlineStr"/>
      <c r="D961" t="inlineStr">
        <is>
          <t>144</t>
        </is>
      </c>
      <c r="E961" t="inlineStr">
        <is>
          <t>1</t>
        </is>
      </c>
      <c r="F961" t="inlineStr">
        <is>
          <t>6</t>
        </is>
      </c>
      <c r="G961" t="inlineStr">
        <is>
          <t>0</t>
        </is>
      </c>
      <c r="H961" t="inlineStr">
        <is>
          <t>0</t>
        </is>
      </c>
      <c r="I961" t="inlineStr">
        <is>
          <t>3⁸, 6⁴, 24⁴</t>
        </is>
      </c>
      <c r="J961" t="n">
        <v>16</v>
      </c>
      <c r="K961" t="inlineStr">
        <is>
          <t>1⁴, 2¹</t>
        </is>
      </c>
      <c r="L961" t="inlineStr">
        <is>
          <t>12S¹, 24G¹, 24K³, 24L³</t>
        </is>
      </c>
      <c r="M961" t="inlineStr">
        <is>
          <t>24AP⁹, 24K¹³, 24L¹³, 24M¹³, 24N¹³, 48V¹³, 48W¹³, 48Y¹³, 48Z¹³, 48B¹⁷, 48C¹⁷, 72AB²¹</t>
        </is>
      </c>
      <c r="N961" t="inlineStr">
        <is>
          <t>3B⁰, 12K¹, 24G¹, 6G⁰, 12S¹, 2B⁰, 8C⁰, 4B⁰, 1A⁰, 3D⁰, 24B², 12G⁰, 24D², 12E⁰, 3C⁰, 6K⁰, 12B¹, 24K³, 12D⁰, 3A⁰, 24L³, 6F⁰, 6D⁰</t>
        </is>
      </c>
      <c r="O961" t="inlineStr">
        <is>
          <t>24L¹³, 48B¹⁷, 48Y¹³, 24N¹³, 48C¹⁷, 72AB²¹, 48Z¹³, 48V¹³, 24M¹³, 24K¹³, 48W¹³, 24AP⁹</t>
        </is>
      </c>
    </row>
    <row r="962">
      <c r="A962">
        <f>HYPERLINK("https://mathstats.uncg.edu/sites/pauli/congruence/csg5.html#group24S5", "24S⁵")</f>
        <v/>
      </c>
      <c r="B962" t="n">
        <v>5</v>
      </c>
      <c r="C962" t="inlineStr"/>
      <c r="D962" t="inlineStr">
        <is>
          <t>144</t>
        </is>
      </c>
      <c r="E962" t="inlineStr">
        <is>
          <t>1</t>
        </is>
      </c>
      <c r="F962" t="inlineStr">
        <is>
          <t>9</t>
        </is>
      </c>
      <c r="G962" t="inlineStr">
        <is>
          <t>16</t>
        </is>
      </c>
      <c r="H962" t="inlineStr">
        <is>
          <t>0</t>
        </is>
      </c>
      <c r="I962" t="inlineStr">
        <is>
          <t>12⁴, 24⁴</t>
        </is>
      </c>
      <c r="J962" t="n">
        <v>8</v>
      </c>
      <c r="K962" t="inlineStr">
        <is>
          <t>1³, 2³</t>
        </is>
      </c>
      <c r="L962" t="inlineStr">
        <is>
          <t>12T¹, 24H¹, 24H³, 24I³, 24S³</t>
        </is>
      </c>
      <c r="M962" t="inlineStr">
        <is>
          <t>24Q¹³, 24R¹³, 24S¹³, 24W¹³, 24Y¹³, 48X¹³, 24C¹⁷, 48L¹⁷, 48M¹⁷, 48R¹⁷, 48AR¹⁷, 48AV¹⁷, 48M²¹, 72AA²¹</t>
        </is>
      </c>
      <c r="N962" t="inlineStr">
        <is>
          <t>12T¹, 6B⁰, 12C⁰, 3A⁰, 4C⁰, 24D¹, 24I³, 6G⁰, 8B⁰, 2B⁰, 24C², 12N¹, 1A⁰, 12L¹, 12G⁰, 12C¹, 24H³, 6E⁰, 6L⁰, 24S³, 24A⁰, 3C⁰, 12D⁰, 6H⁰, 12H⁰, 24H¹, 6D⁰</t>
        </is>
      </c>
      <c r="O962" t="inlineStr">
        <is>
          <t>72AA²¹, 48M²¹, 24S¹³, 24Y¹³, 48R¹⁷, 48M¹⁷, 24W¹³, 24R¹³, 48X¹³, 48L¹⁷, 24Q¹³, 48AV¹⁷, 24C¹⁷, 48AR¹⁷</t>
        </is>
      </c>
    </row>
    <row r="963">
      <c r="A963">
        <f>HYPERLINK("https://mathstats.uncg.edu/sites/pauli/congruence/csg5.html#group24T5", "24T⁵")</f>
        <v/>
      </c>
      <c r="B963" t="n">
        <v>5</v>
      </c>
      <c r="C963" t="inlineStr"/>
      <c r="D963" t="inlineStr">
        <is>
          <t>144</t>
        </is>
      </c>
      <c r="E963" t="inlineStr">
        <is>
          <t>1</t>
        </is>
      </c>
      <c r="F963" t="inlineStr">
        <is>
          <t>18</t>
        </is>
      </c>
      <c r="G963" t="inlineStr">
        <is>
          <t>8</t>
        </is>
      </c>
      <c r="H963" t="inlineStr">
        <is>
          <t>0</t>
        </is>
      </c>
      <c r="I963" t="inlineStr">
        <is>
          <t>6⁸, 24⁴</t>
        </is>
      </c>
      <c r="J963" t="n">
        <v>12</v>
      </c>
      <c r="K963" t="inlineStr">
        <is>
          <t>2³, 4³</t>
        </is>
      </c>
      <c r="L963" t="inlineStr">
        <is>
          <t>12T¹, 24I¹, 24M³</t>
        </is>
      </c>
      <c r="M963" t="inlineStr">
        <is>
          <t>24N¹¹, 24J¹³, 24Q¹³, 24L¹⁵, 24M¹⁷, 72I²³, 72J²³</t>
        </is>
      </c>
      <c r="N963" t="inlineStr">
        <is>
          <t>12T¹, 24I¹, 6B⁰, 12C⁰, 3A⁰, 4C⁰, 6G⁰, 24M³, 2B⁰, 12N¹, 1A⁰, 12L¹, 12G⁰, 12C¹, 6E⁰, 6L⁰, 3C⁰, 12D⁰, 6H⁰, 12H⁰, 6D⁰</t>
        </is>
      </c>
      <c r="O963" t="inlineStr">
        <is>
          <t>24N¹¹, 72J²³, 24Q¹³, 24L¹⁵, 72I²³, 24M¹⁷, 24J¹³</t>
        </is>
      </c>
    </row>
    <row r="964">
      <c r="A964">
        <f>HYPERLINK("https://mathstats.uncg.edu/sites/pauli/congruence/csg5.html#group24U5", "24U⁵")</f>
        <v/>
      </c>
      <c r="B964" t="n">
        <v>5</v>
      </c>
      <c r="C964" t="inlineStr"/>
      <c r="D964" t="inlineStr">
        <is>
          <t>144</t>
        </is>
      </c>
      <c r="E964" t="inlineStr">
        <is>
          <t>1</t>
        </is>
      </c>
      <c r="F964" t="inlineStr">
        <is>
          <t>18</t>
        </is>
      </c>
      <c r="G964" t="inlineStr">
        <is>
          <t>8</t>
        </is>
      </c>
      <c r="H964" t="inlineStr">
        <is>
          <t>0</t>
        </is>
      </c>
      <c r="I964" t="inlineStr">
        <is>
          <t>6⁸, 24⁴</t>
        </is>
      </c>
      <c r="J964" t="n">
        <v>12</v>
      </c>
      <c r="K964" t="inlineStr">
        <is>
          <t>1², 2⁴, 4²</t>
        </is>
      </c>
      <c r="L964" t="inlineStr">
        <is>
          <t>12T¹, 24N², 24O², 24N³, 24O³</t>
        </is>
      </c>
      <c r="M964" t="inlineStr">
        <is>
          <t>24N¹¹, 24K¹³, 24R¹³, 48AC¹³, 48AD¹³, 24K¹⁵, 24N¹⁷, 48AG¹⁷, 48AH¹⁷, 72K²³</t>
        </is>
      </c>
      <c r="N964" t="inlineStr">
        <is>
          <t>12T¹, 24O², 24E¹, 6B⁰, 12C⁰, 3A⁰, 24N², 8D⁰, 4C⁰, 6G⁰, 2B⁰, 12N¹, 1A⁰, 24O³, 12L¹, 12G⁰, 12C¹, 6E⁰, 6L⁰, 24N³, 24C¹, 3C⁰, 12D⁰, 6H⁰, 12H⁰, 6D⁰</t>
        </is>
      </c>
      <c r="O964" t="inlineStr">
        <is>
          <t>72K²³, 48AC¹³, 24K¹⁵, 48AG¹⁷, 24R¹³, 48AH¹⁷, 24N¹¹, 24K¹³, 48AD¹³, 24N¹⁷</t>
        </is>
      </c>
    </row>
    <row r="965">
      <c r="A965">
        <f>HYPERLINK("https://mathstats.uncg.edu/sites/pauli/congruence/csg5.html#group24V5", "24V⁵")</f>
        <v/>
      </c>
      <c r="B965" t="n">
        <v>5</v>
      </c>
      <c r="C965" t="inlineStr"/>
      <c r="D965" t="inlineStr">
        <is>
          <t>144</t>
        </is>
      </c>
      <c r="E965" t="inlineStr">
        <is>
          <t>1</t>
        </is>
      </c>
      <c r="F965" t="inlineStr">
        <is>
          <t>18</t>
        </is>
      </c>
      <c r="G965" t="inlineStr">
        <is>
          <t>16</t>
        </is>
      </c>
      <c r="H965" t="inlineStr">
        <is>
          <t>0</t>
        </is>
      </c>
      <c r="I965" t="inlineStr">
        <is>
          <t>12⁴, 24⁴</t>
        </is>
      </c>
      <c r="J965" t="n">
        <v>8</v>
      </c>
      <c r="K965" t="inlineStr">
        <is>
          <t>2⁵, 4²</t>
        </is>
      </c>
      <c r="L965" t="inlineStr">
        <is>
          <t>24H¹, 12H², 24N², 24P², 24T³</t>
        </is>
      </c>
      <c r="M965" t="inlineStr">
        <is>
          <t>24R¹³, 24Z¹³, 24AA¹³, 48AA¹³, 24S¹⁵, 24T¹⁵, 48AB¹⁵, 48AC¹⁵, 24I¹⁷, 48BC¹⁷, 48BD¹⁷, 48BQ¹⁷, 48AA²¹</t>
        </is>
      </c>
      <c r="N965" t="inlineStr">
        <is>
          <t>24E¹, 6B⁰, 12C⁰, 24N², 4C⁰, 24D¹, 8B⁰, 24P², 12M¹, 2B⁰, 12H⁰, 1A⁰, 12H², 24A⁰, 24T³, 12D⁰, 6H⁰, 3A⁰, 24H¹, 6D⁰</t>
        </is>
      </c>
      <c r="O965" t="inlineStr">
        <is>
          <t>24T¹⁵, 48AA²¹, 48BQ¹⁷, 48AA¹³, 24AA¹³, 48BD¹⁷, 48BC¹⁷, 48AC¹⁵, 24R¹³, 48AB¹⁵, 24I¹⁷, 24S¹⁵, 24Z¹³</t>
        </is>
      </c>
    </row>
    <row r="966">
      <c r="A966">
        <f>HYPERLINK("https://mathstats.uncg.edu/sites/pauli/congruence/csg5.html#group24W5", "24W⁵")</f>
        <v/>
      </c>
      <c r="B966" t="n">
        <v>5</v>
      </c>
      <c r="C966" t="inlineStr"/>
      <c r="D966" t="inlineStr">
        <is>
          <t>144</t>
        </is>
      </c>
      <c r="E966" t="inlineStr">
        <is>
          <t>1</t>
        </is>
      </c>
      <c r="F966" t="inlineStr">
        <is>
          <t>18</t>
        </is>
      </c>
      <c r="G966" t="inlineStr">
        <is>
          <t>16</t>
        </is>
      </c>
      <c r="H966" t="inlineStr">
        <is>
          <t>0</t>
        </is>
      </c>
      <c r="I966" t="inlineStr">
        <is>
          <t>12⁴, 24⁴</t>
        </is>
      </c>
      <c r="J966" t="n">
        <v>8</v>
      </c>
      <c r="K966" t="inlineStr">
        <is>
          <t>1², 2⁴, 4²</t>
        </is>
      </c>
      <c r="L966" t="inlineStr">
        <is>
          <t>24H¹, 12I², 24L², 24O², 24P², 24P³, 24Q³</t>
        </is>
      </c>
      <c r="M966" t="inlineStr">
        <is>
          <t>24R¹³, 24V¹³, 24X¹³, 48AB¹³, 24O¹⁵, 24P¹⁵, 24Q¹⁵, 24R¹⁵, 48S¹⁵, 48T¹⁵, 48U¹⁵, 48V¹⁵, 24J¹⁷, 48AQ¹⁷, 48AS¹⁷, 48BR¹⁷, 48AE²¹</t>
        </is>
      </c>
      <c r="N966" t="inlineStr">
        <is>
          <t>12I², 24O², 24Q³, 24E¹, 6B⁰, 12C⁰, 3A⁰, 8D⁰, 4C⁰, 24D¹, 12F⁰, 8B⁰, 24P², 12M¹, 24P³, 2B⁰, 24L², 1A⁰, 8H⁰, 12A⁰, 24A⁰, 4A⁰, 24C¹, 12J¹, 12D⁰, 4F⁰, 6H⁰, 12H⁰, 24H¹, 6D⁰</t>
        </is>
      </c>
      <c r="O966" t="inlineStr">
        <is>
          <t>48U¹⁵, 24R¹³, 24V¹³, 24J¹⁷, 48S¹⁵, 24O¹⁵, 48V¹⁵, 24Q¹⁵, 48T¹⁵, 48AE²¹, 48BR¹⁷, 48AQ¹⁷, 24P¹⁵, 24X¹³, 48AB¹³, 24R¹⁵, 48AS¹⁷</t>
        </is>
      </c>
    </row>
    <row r="967">
      <c r="A967">
        <f>HYPERLINK("https://mathstats.uncg.edu/sites/pauli/congruence/csg5.html#group24X5", "24X⁵")</f>
        <v/>
      </c>
      <c r="B967" t="n">
        <v>5</v>
      </c>
      <c r="C967" t="inlineStr"/>
      <c r="D967" t="inlineStr">
        <is>
          <t>144</t>
        </is>
      </c>
      <c r="E967" t="inlineStr">
        <is>
          <t>1</t>
        </is>
      </c>
      <c r="F967" t="inlineStr">
        <is>
          <t>36</t>
        </is>
      </c>
      <c r="G967" t="inlineStr">
        <is>
          <t>16</t>
        </is>
      </c>
      <c r="H967" t="inlineStr">
        <is>
          <t>0</t>
        </is>
      </c>
      <c r="I967" t="inlineStr">
        <is>
          <t>12⁴, 24⁴</t>
        </is>
      </c>
      <c r="J967" t="n">
        <v>8</v>
      </c>
      <c r="K967" t="inlineStr">
        <is>
          <t>2⁸, 4³, 8¹</t>
        </is>
      </c>
      <c r="L967" t="inlineStr">
        <is>
          <t>24H¹, 24Q²</t>
        </is>
      </c>
      <c r="M967" t="inlineStr">
        <is>
          <t>24V¹³, 24Y¹³, 24Z¹³, 24AA¹³, 48AE¹³, 24T¹⁷, 48BE¹⁷, 48BF¹⁷, 48BY¹⁷, 48CC¹⁷, 48AW²¹</t>
        </is>
      </c>
      <c r="N967" t="inlineStr">
        <is>
          <t>6B⁰, 12C⁰, 24A⁰, 4C⁰, 24D¹, 8B⁰, 24Q², 2B⁰, 12D⁰, 12H⁰, 6H⁰, 3A⁰, 24H¹, 1A⁰, 6D⁰</t>
        </is>
      </c>
      <c r="O967" t="inlineStr">
        <is>
          <t>48AE¹³, 48BF¹⁷, 48AW²¹, 24Y¹³, 48BY¹⁷, 24T¹⁷, 48BE¹⁷, 24V¹³, 48CC¹⁷, 24AA¹³, 24Z¹³</t>
        </is>
      </c>
    </row>
    <row r="968">
      <c r="A968">
        <f>HYPERLINK("https://mathstats.uncg.edu/sites/pauli/congruence/csg5.html#group24Y5", "24Y⁵")</f>
        <v/>
      </c>
      <c r="B968" t="n">
        <v>5</v>
      </c>
      <c r="C968" t="inlineStr"/>
      <c r="D968" t="inlineStr">
        <is>
          <t>144</t>
        </is>
      </c>
      <c r="E968" t="inlineStr">
        <is>
          <t>1</t>
        </is>
      </c>
      <c r="F968" t="inlineStr">
        <is>
          <t>36</t>
        </is>
      </c>
      <c r="G968" t="inlineStr">
        <is>
          <t>16</t>
        </is>
      </c>
      <c r="H968" t="inlineStr">
        <is>
          <t>0</t>
        </is>
      </c>
      <c r="I968" t="inlineStr">
        <is>
          <t>12⁴, 24⁴</t>
        </is>
      </c>
      <c r="J968" t="n">
        <v>8</v>
      </c>
      <c r="K968" t="inlineStr">
        <is>
          <t>1⁴, 2⁶, 4³, 8¹</t>
        </is>
      </c>
      <c r="L968" t="inlineStr">
        <is>
          <t>24H¹, 24M², 24Q²</t>
        </is>
      </c>
      <c r="M968" t="inlineStr">
        <is>
          <t>24X¹³, 24Y¹³, 24Z¹³, 24AA¹³, 48AF¹³, 24V¹⁷, 48BG¹⁷, 48BH¹⁷, 48CA¹⁷, 48CD¹⁷, 48BF²¹</t>
        </is>
      </c>
      <c r="N968" t="inlineStr">
        <is>
          <t>6B⁰, 12C⁰, 4C⁰, 24D¹, 8B⁰, 24Q², 8L⁰, 2B⁰, 12H⁰, 1A⁰, 24A⁰, 24M², 12D⁰, 6H⁰, 3A⁰, 24H¹, 6D⁰</t>
        </is>
      </c>
      <c r="O968" t="inlineStr">
        <is>
          <t>48CA¹⁷, 24Y¹³, 24V¹⁷, 48CD¹⁷, 48BF²¹, 24X¹³, 48AF¹³, 48BG¹⁷, 48BH¹⁷, 24AA¹³, 24Z¹³</t>
        </is>
      </c>
    </row>
    <row r="969">
      <c r="A969">
        <f>HYPERLINK("https://mathstats.uncg.edu/sites/pauli/congruence/csg5.html#group24Z5", "24Z⁵")</f>
        <v/>
      </c>
      <c r="B969" t="n">
        <v>5</v>
      </c>
      <c r="C969" t="inlineStr"/>
      <c r="D969" t="inlineStr">
        <is>
          <t>192</t>
        </is>
      </c>
      <c r="E969" t="inlineStr">
        <is>
          <t>1</t>
        </is>
      </c>
      <c r="F969" t="inlineStr">
        <is>
          <t>12</t>
        </is>
      </c>
      <c r="G969" t="inlineStr">
        <is>
          <t>0</t>
        </is>
      </c>
      <c r="H969" t="inlineStr">
        <is>
          <t>0</t>
        </is>
      </c>
      <c r="I969" t="inlineStr">
        <is>
          <t>2⁸, 6⁸, 8⁴, 24⁴</t>
        </is>
      </c>
      <c r="J969" t="n">
        <v>24</v>
      </c>
      <c r="K969" t="inlineStr">
        <is>
          <t>1⁶, 2³</t>
        </is>
      </c>
      <c r="L969" t="inlineStr">
        <is>
          <t>12V¹, 24J¹, 24U³, 24V³, 24W³</t>
        </is>
      </c>
      <c r="M969" t="inlineStr">
        <is>
          <t>24AC¹³, 48AG¹³, 24AP¹⁷, 48CN¹⁷, 48BZ²¹</t>
        </is>
      </c>
      <c r="N969" t="inlineStr">
        <is>
          <t>3B⁰, 2A⁰, 24V³, 12V¹, 8D⁰, 6I⁰, 12F¹, 24G¹, 6C⁰, 4C⁰, 12I⁰, 12J⁰, 2B⁰, 8C⁰, 4E⁰, 12P¹, 4B⁰, 1A⁰, 24J¹, 24U³, 24I², 24B⁰, 8G⁰, 24W³, 24F², 6F⁰, 2C⁰, 12E⁰</t>
        </is>
      </c>
      <c r="O969" t="inlineStr">
        <is>
          <t>48CN¹⁷, 24AC¹³, 24AP¹⁷, 48BZ²¹, 48AG¹³</t>
        </is>
      </c>
    </row>
    <row r="970">
      <c r="A970">
        <f>HYPERLINK("https://mathstats.uncg.edu/sites/pauli/congruence/csg5.html#group24AA5", "24AA⁵")</f>
        <v/>
      </c>
      <c r="B970" t="n">
        <v>5</v>
      </c>
      <c r="C970" t="inlineStr">
        <is>
          <t>Γ₁(24)</t>
        </is>
      </c>
      <c r="D970" t="inlineStr">
        <is>
          <t>192</t>
        </is>
      </c>
      <c r="E970" t="inlineStr">
        <is>
          <t>1</t>
        </is>
      </c>
      <c r="F970" t="inlineStr">
        <is>
          <t>48</t>
        </is>
      </c>
      <c r="G970" t="inlineStr">
        <is>
          <t>0</t>
        </is>
      </c>
      <c r="H970" t="inlineStr">
        <is>
          <t>0</t>
        </is>
      </c>
      <c r="I970" t="inlineStr">
        <is>
          <t>1⁴, 2², 3⁴, 4², 6², 8⁴, 12², 24⁴</t>
        </is>
      </c>
      <c r="J970" t="n">
        <v>24</v>
      </c>
      <c r="K970" t="inlineStr">
        <is>
          <t>1⁸, 2⁸, 4⁴, 8¹</t>
        </is>
      </c>
      <c r="L970" t="inlineStr">
        <is>
          <t>24J¹, 24X³, 24Y³</t>
        </is>
      </c>
      <c r="M970" t="inlineStr">
        <is>
          <t>24AC¹³, 48AH¹³, 48CO¹⁷</t>
        </is>
      </c>
      <c r="N970" t="inlineStr">
        <is>
          <t>24J¹, 3B⁰, 24X³, 24B⁰, 24G¹, 6F⁰, 12J⁰, 2B⁰, 8C⁰, 24Y³, 8I⁰, 4B⁰, 1A⁰, 12E⁰</t>
        </is>
      </c>
      <c r="O970" t="inlineStr">
        <is>
          <t>24AC¹³, 48AH¹³, 48CO¹⁷</t>
        </is>
      </c>
    </row>
    <row r="971">
      <c r="A971">
        <f>HYPERLINK("https://mathstats.uncg.edu/sites/pauli/congruence/csg5.html#group24AB5", "24AB⁵")</f>
        <v/>
      </c>
      <c r="B971" t="n">
        <v>5</v>
      </c>
      <c r="C971" t="inlineStr"/>
      <c r="D971" t="inlineStr">
        <is>
          <t>192</t>
        </is>
      </c>
      <c r="E971" t="inlineStr">
        <is>
          <t>1</t>
        </is>
      </c>
      <c r="F971" t="inlineStr">
        <is>
          <t>48</t>
        </is>
      </c>
      <c r="G971" t="inlineStr">
        <is>
          <t>0</t>
        </is>
      </c>
      <c r="H971" t="inlineStr">
        <is>
          <t>0</t>
        </is>
      </c>
      <c r="I971" t="inlineStr">
        <is>
          <t>2⁴, 4⁶, 6⁴, 8², 12⁶, 24²</t>
        </is>
      </c>
      <c r="J971" t="n">
        <v>24</v>
      </c>
      <c r="K971" t="inlineStr">
        <is>
          <t>1¹⁶, 2¹², 4²</t>
        </is>
      </c>
      <c r="L971" t="inlineStr">
        <is>
          <t>12V¹, 24Z³, 24AA³</t>
        </is>
      </c>
      <c r="M971" t="inlineStr">
        <is>
          <t>24AB¹³, 24AC¹³, 24AQ¹⁷</t>
        </is>
      </c>
      <c r="N971" t="inlineStr">
        <is>
          <t>3B⁰, 2A⁰, 24Z³, 12V¹, 24AA³, 6I⁰, 12F¹, 6C⁰, 12I⁰, 4C⁰, 12J⁰, 2B⁰, 4E⁰, 12P¹, 4B⁰, 1A⁰, 6F⁰, 2C⁰, 12E⁰, 8J⁰</t>
        </is>
      </c>
      <c r="O971" t="inlineStr">
        <is>
          <t>24AC¹³, 24AQ¹⁷, 24AB¹³</t>
        </is>
      </c>
    </row>
    <row r="972">
      <c r="A972">
        <f>HYPERLINK("https://mathstats.uncg.edu/sites/pauli/congruence/csg5.html#group26A5", "26A⁵")</f>
        <v/>
      </c>
      <c r="B972" t="n">
        <v>5</v>
      </c>
      <c r="C972" t="inlineStr"/>
      <c r="D972" t="inlineStr">
        <is>
          <t>84</t>
        </is>
      </c>
      <c r="E972" t="inlineStr">
        <is>
          <t>1</t>
        </is>
      </c>
      <c r="F972" t="inlineStr">
        <is>
          <t>14</t>
        </is>
      </c>
      <c r="G972" t="inlineStr">
        <is>
          <t>0</t>
        </is>
      </c>
      <c r="H972" t="inlineStr">
        <is>
          <t>0</t>
        </is>
      </c>
      <c r="I972" t="inlineStr">
        <is>
          <t>2³, 26³</t>
        </is>
      </c>
      <c r="J972" t="n">
        <v>6</v>
      </c>
      <c r="K972" t="inlineStr">
        <is>
          <t>1², 12¹</t>
        </is>
      </c>
      <c r="L972" t="inlineStr">
        <is>
          <t>13C⁰, 26A¹</t>
        </is>
      </c>
      <c r="M972" t="inlineStr">
        <is>
          <t>26A⁹, 26B¹³, 78A¹⁹, 78C¹⁹, 52F²³, 78B²³</t>
        </is>
      </c>
      <c r="N972" t="inlineStr">
        <is>
          <t>13A⁰, 2A⁰, 26A¹, 13C⁰, 1A⁰</t>
        </is>
      </c>
      <c r="O972" t="inlineStr">
        <is>
          <t>26A⁹, 78B²³, 52F²³, 52A²³, 78C¹⁹, 26B¹³, 78A¹⁹</t>
        </is>
      </c>
    </row>
    <row r="973">
      <c r="A973">
        <f>HYPERLINK("https://mathstats.uncg.edu/sites/pauli/congruence/csg5.html#group26B5", "26B⁵")</f>
        <v/>
      </c>
      <c r="B973" t="n">
        <v>5</v>
      </c>
      <c r="C973" t="inlineStr"/>
      <c r="D973" t="inlineStr">
        <is>
          <t>84</t>
        </is>
      </c>
      <c r="E973" t="inlineStr">
        <is>
          <t>1</t>
        </is>
      </c>
      <c r="F973" t="inlineStr">
        <is>
          <t>14</t>
        </is>
      </c>
      <c r="G973" t="inlineStr">
        <is>
          <t>0</t>
        </is>
      </c>
      <c r="H973" t="inlineStr">
        <is>
          <t>0</t>
        </is>
      </c>
      <c r="I973" t="inlineStr">
        <is>
          <t>2³, 26³</t>
        </is>
      </c>
      <c r="J973" t="n">
        <v>6</v>
      </c>
      <c r="K973" t="inlineStr">
        <is>
          <t>1², 12¹</t>
        </is>
      </c>
      <c r="L973" t="inlineStr">
        <is>
          <t>2C⁰, 26A¹, 26A²</t>
        </is>
      </c>
      <c r="M973" t="inlineStr">
        <is>
          <t>26B⁹, 52C¹¹, 52D¹¹, 26B¹³, 78B¹⁹, 78E¹⁹, 78C²³</t>
        </is>
      </c>
      <c r="N973" t="inlineStr">
        <is>
          <t>2A⁰, 26A¹, 13A⁰, 2B⁰, 1A⁰, 2C⁰, 26A²</t>
        </is>
      </c>
      <c r="O973" t="inlineStr">
        <is>
          <t>52C¹¹, 52D¹¹, 26B¹³, 78E¹⁹, 104M²³, 104B²³, 52A¹⁹, 78C²³, 52D²³, 78B¹⁹, 104C²³, 52C²³, 52B²³, 26B⁹, 52C²¹, 104S²³, 104N²³</t>
        </is>
      </c>
    </row>
    <row r="974">
      <c r="A974">
        <f>HYPERLINK("https://mathstats.uncg.edu/sites/pauli/congruence/csg5.html#group26C5", "26C⁵")</f>
        <v/>
      </c>
      <c r="B974" t="n">
        <v>5</v>
      </c>
      <c r="C974" t="inlineStr"/>
      <c r="D974" t="inlineStr">
        <is>
          <t>168</t>
        </is>
      </c>
      <c r="E974" t="inlineStr">
        <is>
          <t>1</t>
        </is>
      </c>
      <c r="F974" t="inlineStr">
        <is>
          <t>28</t>
        </is>
      </c>
      <c r="G974" t="inlineStr">
        <is>
          <t>0</t>
        </is>
      </c>
      <c r="H974" t="inlineStr">
        <is>
          <t>12</t>
        </is>
      </c>
      <c r="I974" t="inlineStr">
        <is>
          <t>2⁶, 26⁶</t>
        </is>
      </c>
      <c r="J974" t="n">
        <v>12</v>
      </c>
      <c r="K974" t="inlineStr">
        <is>
          <t>1⁴, 12²</t>
        </is>
      </c>
      <c r="L974" t="inlineStr">
        <is>
          <t>26B¹, 26A³</t>
        </is>
      </c>
      <c r="M974" t="inlineStr">
        <is>
          <t>52A¹⁵</t>
        </is>
      </c>
      <c r="N974" t="inlineStr">
        <is>
          <t>2A⁰, 26B¹, 26A¹, 13A⁰, 26A³, 26A⁰, 13B⁰, 1A⁰</t>
        </is>
      </c>
      <c r="O974" t="inlineStr">
        <is>
          <t>52A¹⁵</t>
        </is>
      </c>
    </row>
    <row r="975">
      <c r="A975">
        <f>HYPERLINK("https://mathstats.uncg.edu/sites/pauli/congruence/csg5.html#group28A5", "28A⁵")</f>
        <v/>
      </c>
      <c r="B975" t="n">
        <v>5</v>
      </c>
      <c r="C975" t="inlineStr"/>
      <c r="D975" t="inlineStr">
        <is>
          <t>84</t>
        </is>
      </c>
      <c r="E975" t="inlineStr">
        <is>
          <t>2</t>
        </is>
      </c>
      <c r="F975" t="inlineStr">
        <is>
          <t>21</t>
        </is>
      </c>
      <c r="G975" t="inlineStr">
        <is>
          <t>0</t>
        </is>
      </c>
      <c r="H975" t="inlineStr">
        <is>
          <t>0</t>
        </is>
      </c>
      <c r="I975" t="inlineStr">
        <is>
          <t>7⁴, 28²</t>
        </is>
      </c>
      <c r="J975" t="n">
        <v>6</v>
      </c>
      <c r="K975" t="inlineStr">
        <is>
          <t>2³, 6⁶</t>
        </is>
      </c>
      <c r="L975" t="inlineStr">
        <is>
          <t>14A², 28B², 28A³</t>
        </is>
      </c>
      <c r="M975" t="inlineStr">
        <is>
          <t>28C¹¹, 56B¹¹, 28D¹³, 28A¹⁷, 84A¹⁹, 84B¹⁹, 84B²³</t>
        </is>
      </c>
      <c r="N975" t="inlineStr">
        <is>
          <t>14A², 14B¹, 7C⁰, 28A³, 2B⁰, 4B⁰, 1A⁰, 28B², 7A⁰</t>
        </is>
      </c>
      <c r="O975" t="inlineStr">
        <is>
          <t>112F²³, 56E²³, 84A¹⁹, 56F²³, 84B¹⁹, 28A¹⁷, 28C¹¹, 28C²³, 112B²³, 28D¹³, 84B²³, 56A²³, 56B¹¹</t>
        </is>
      </c>
    </row>
    <row r="976">
      <c r="A976">
        <f>HYPERLINK("https://mathstats.uncg.edu/sites/pauli/congruence/csg5.html#group28B5", "28B⁵")</f>
        <v/>
      </c>
      <c r="B976" t="n">
        <v>5</v>
      </c>
      <c r="C976" t="inlineStr"/>
      <c r="D976" t="inlineStr">
        <is>
          <t>84</t>
        </is>
      </c>
      <c r="E976" t="inlineStr">
        <is>
          <t>2</t>
        </is>
      </c>
      <c r="F976" t="inlineStr">
        <is>
          <t>21</t>
        </is>
      </c>
      <c r="G976" t="inlineStr">
        <is>
          <t>4</t>
        </is>
      </c>
      <c r="H976" t="inlineStr">
        <is>
          <t>0</t>
        </is>
      </c>
      <c r="I976" t="inlineStr">
        <is>
          <t>14², 28²</t>
        </is>
      </c>
      <c r="J976" t="n">
        <v>4</v>
      </c>
      <c r="K976" t="inlineStr">
        <is>
          <t>2³, 6⁶</t>
        </is>
      </c>
      <c r="L976" t="inlineStr">
        <is>
          <t>14A², 28C², 28B³</t>
        </is>
      </c>
      <c r="M976" t="inlineStr">
        <is>
          <t>28C¹¹, 28D¹¹, 56A¹¹, 56C¹¹, 28E¹³, 56B¹³, 84D¹⁷, 84E¹⁷, 28E²¹</t>
        </is>
      </c>
      <c r="N976" t="inlineStr">
        <is>
          <t>28C², 14A², 14B¹, 7C⁰, 4C⁰, 2B⁰, 28B³, 1A⁰, 7A⁰</t>
        </is>
      </c>
      <c r="O976" t="inlineStr">
        <is>
          <t>28E²¹, 56A¹¹, 56C¹¹, 56B¹³, 84E¹⁷, 56F²³, 56D²³, 28C¹¹, 28E¹³, 56A²³, 56G²³, 112G²³, 28D¹¹, 56H²³, 28C²³, 84D¹⁷, 112A²³</t>
        </is>
      </c>
    </row>
    <row r="977">
      <c r="A977">
        <f>HYPERLINK("https://mathstats.uncg.edu/sites/pauli/congruence/csg5.html#group28C5", "28C⁵")</f>
        <v/>
      </c>
      <c r="B977" t="n">
        <v>5</v>
      </c>
      <c r="C977" t="inlineStr"/>
      <c r="D977" t="inlineStr">
        <is>
          <t>84</t>
        </is>
      </c>
      <c r="E977" t="inlineStr">
        <is>
          <t>2</t>
        </is>
      </c>
      <c r="F977" t="inlineStr">
        <is>
          <t>42</t>
        </is>
      </c>
      <c r="G977" t="inlineStr">
        <is>
          <t>6</t>
        </is>
      </c>
      <c r="H977" t="inlineStr">
        <is>
          <t>0</t>
        </is>
      </c>
      <c r="I977" t="inlineStr">
        <is>
          <t>28³</t>
        </is>
      </c>
      <c r="J977" t="n">
        <v>3</v>
      </c>
      <c r="K977" t="inlineStr">
        <is>
          <t>2², 4², 6⁴, 12⁴</t>
        </is>
      </c>
      <c r="L977" t="inlineStr">
        <is>
          <t>28C²</t>
        </is>
      </c>
      <c r="M977" t="inlineStr">
        <is>
          <t>28A¹⁰, 56B¹⁰, 28D¹¹, 56D¹¹, 28C¹², 56D¹², 56E¹³, 28H¹⁵, 84A¹⁶, 28I²¹</t>
        </is>
      </c>
      <c r="N977" t="inlineStr">
        <is>
          <t>28C², 4C⁰, 2B⁰, 14B¹, 1A⁰, 7A⁰</t>
        </is>
      </c>
      <c r="O977" t="inlineStr">
        <is>
          <t>56J²¹, 56B¹⁰, 56C²², 112J²⁴, 56J²⁴, 56D²³, 112A²¹, 56G²², 112N²⁴, 56G²³, 28A¹⁰, 112M²⁴, 112D²³, 56G²⁴, 28D¹¹, 56E¹³, 28H¹⁵, 28I²¹, 112I²⁴, 28C¹², 56D¹¹, 56D¹², 28C²³, 84A¹⁶, 56F²²</t>
        </is>
      </c>
    </row>
    <row r="978">
      <c r="A978">
        <f>HYPERLINK("https://mathstats.uncg.edu/sites/pauli/congruence/csg5.html#group28D5", "28D⁵")</f>
        <v/>
      </c>
      <c r="B978" t="n">
        <v>5</v>
      </c>
      <c r="C978" t="inlineStr"/>
      <c r="D978" t="inlineStr">
        <is>
          <t>84</t>
        </is>
      </c>
      <c r="E978" t="inlineStr">
        <is>
          <t>2</t>
        </is>
      </c>
      <c r="F978" t="inlineStr">
        <is>
          <t>42</t>
        </is>
      </c>
      <c r="G978" t="inlineStr">
        <is>
          <t>6</t>
        </is>
      </c>
      <c r="H978" t="inlineStr">
        <is>
          <t>0</t>
        </is>
      </c>
      <c r="I978" t="inlineStr">
        <is>
          <t>28³</t>
        </is>
      </c>
      <c r="J978" t="n">
        <v>3</v>
      </c>
      <c r="K978" t="inlineStr">
        <is>
          <t>2², 4², 6⁴, 12⁴</t>
        </is>
      </c>
      <c r="L978" t="inlineStr">
        <is>
          <t>4F⁰, 28A¹, 28C²</t>
        </is>
      </c>
      <c r="M978" t="inlineStr">
        <is>
          <t>28A¹⁰, 56C¹⁰, 28D¹¹, 56E¹¹, 56F¹¹, 56G¹¹, 28B¹², 56E¹², 56J¹², 56K¹², 56F¹³, 28F¹⁵, 84B¹⁶, 28J²¹</t>
        </is>
      </c>
      <c r="N978" t="inlineStr">
        <is>
          <t>28C², 14B¹, 4A⁰, 4C⁰, 2B⁰, 4F⁰, 28A¹, 1A⁰, 7A⁰</t>
        </is>
      </c>
      <c r="O978" t="inlineStr">
        <is>
          <t>56G¹¹, 112B²¹, 28B¹², 56J²³, 112X²⁴, 112K²³, 56J²⁴, 56D²³, 28J²¹, 56G²³, 56C¹⁰, 56N²³, 112W²⁴, 56E¹¹, 112Z²⁴, 56H²⁴, 56F¹¹, 56B²⁴, 56E¹², 56F¹³, 112J²³, 56D²², 28F¹⁵, 28C²³, 112K²⁴, 56I²⁴, 56J²¹, 112Y²⁴, 56C²², 112L²⁴, 112I²³, 56J¹², 56I²³, 56A²⁴, 84B¹⁶, 112E²³, 28A¹⁰, 28D¹¹, 112H²³, 56E²², 56M²³, 56K¹²</t>
        </is>
      </c>
    </row>
    <row r="979">
      <c r="A979">
        <f>HYPERLINK("https://mathstats.uncg.edu/sites/pauli/congruence/csg5.html#group28E5", "28E⁵")</f>
        <v/>
      </c>
      <c r="B979" t="n">
        <v>5</v>
      </c>
      <c r="C979" t="inlineStr"/>
      <c r="D979" t="inlineStr">
        <is>
          <t>96</t>
        </is>
      </c>
      <c r="E979" t="inlineStr">
        <is>
          <t>1</t>
        </is>
      </c>
      <c r="F979" t="inlineStr">
        <is>
          <t>24</t>
        </is>
      </c>
      <c r="G979" t="inlineStr">
        <is>
          <t>0</t>
        </is>
      </c>
      <c r="H979" t="inlineStr">
        <is>
          <t>0</t>
        </is>
      </c>
      <c r="I979" t="inlineStr">
        <is>
          <t>2², 4², 14², 28²</t>
        </is>
      </c>
      <c r="J979" t="n">
        <v>8</v>
      </c>
      <c r="K979" t="inlineStr">
        <is>
          <t>1⁶, 6³</t>
        </is>
      </c>
      <c r="L979" t="inlineStr">
        <is>
          <t>4E⁰, 14E², 28D², 28C³</t>
        </is>
      </c>
      <c r="M979" t="inlineStr">
        <is>
          <t>28F⁹, 28E¹¹, 28F¹¹, 56L¹¹, 56M¹¹, 56Q¹¹, 56R¹¹, 28F¹³, 56G¹³, 56H¹³, 84A²¹, 84G²¹</t>
        </is>
      </c>
      <c r="N979" t="inlineStr">
        <is>
          <t>2A⁰, 4B⁰, 7B⁰, 28D², 4C⁰, 14C¹, 14B⁰, 2B⁰, 4E⁰, 14E², 28C³, 1A⁰, 2C⁰</t>
        </is>
      </c>
      <c r="O979" t="inlineStr">
        <is>
          <t>112P²³, 112O²³, 28F¹¹, 84A²¹, 56O²³, 56L¹¹, 56P²³, 56W²³, 28M²¹, 56M¹¹, 56Q¹¹, 56L²¹, 28E¹¹, 28F⁹, 56N²¹, 56G¹³, 84G²¹, 28F¹³, 56R²³, 56R¹¹, 56V²³, 56Q²³, 56H¹³</t>
        </is>
      </c>
    </row>
    <row r="980">
      <c r="A980">
        <f>HYPERLINK("https://mathstats.uncg.edu/sites/pauli/congruence/csg5.html#group28F5", "28F⁵")</f>
        <v/>
      </c>
      <c r="B980" t="n">
        <v>5</v>
      </c>
      <c r="C980" t="inlineStr"/>
      <c r="D980" t="inlineStr">
        <is>
          <t>112</t>
        </is>
      </c>
      <c r="E980" t="inlineStr">
        <is>
          <t>1</t>
        </is>
      </c>
      <c r="F980" t="inlineStr">
        <is>
          <t>28</t>
        </is>
      </c>
      <c r="G980" t="inlineStr">
        <is>
          <t>8</t>
        </is>
      </c>
      <c r="H980" t="inlineStr">
        <is>
          <t>4</t>
        </is>
      </c>
      <c r="I980" t="inlineStr">
        <is>
          <t>28⁴</t>
        </is>
      </c>
      <c r="J980" t="n">
        <v>4</v>
      </c>
      <c r="K980" t="inlineStr">
        <is>
          <t>2¹, 6¹, 12⁴</t>
        </is>
      </c>
      <c r="L980" t="inlineStr">
        <is>
          <t>14G¹</t>
        </is>
      </c>
      <c r="M980" t="inlineStr">
        <is>
          <t>28A¹³, 28A¹⁹, 28A²¹, 28G²¹, 84I²¹</t>
        </is>
      </c>
      <c r="N980" t="inlineStr">
        <is>
          <t>7F⁰, 14A⁰, 14G¹, 1A⁰, 7A⁰</t>
        </is>
      </c>
      <c r="O980" t="inlineStr">
        <is>
          <t>84I²¹, 28G²¹, 28A¹³, 28A¹⁹, 28A²¹</t>
        </is>
      </c>
    </row>
    <row r="981">
      <c r="A981">
        <f>HYPERLINK("https://mathstats.uncg.edu/sites/pauli/congruence/csg5.html#group28G5", "28G⁵")</f>
        <v/>
      </c>
      <c r="B981" t="n">
        <v>5</v>
      </c>
      <c r="C981" t="inlineStr"/>
      <c r="D981" t="inlineStr">
        <is>
          <t>112</t>
        </is>
      </c>
      <c r="E981" t="inlineStr">
        <is>
          <t>1</t>
        </is>
      </c>
      <c r="F981" t="inlineStr">
        <is>
          <t>28</t>
        </is>
      </c>
      <c r="G981" t="inlineStr">
        <is>
          <t>8</t>
        </is>
      </c>
      <c r="H981" t="inlineStr">
        <is>
          <t>4</t>
        </is>
      </c>
      <c r="I981" t="inlineStr">
        <is>
          <t>28⁴</t>
        </is>
      </c>
      <c r="J981" t="n">
        <v>4</v>
      </c>
      <c r="K981" t="inlineStr">
        <is>
          <t>2¹, 6¹, 12⁴</t>
        </is>
      </c>
      <c r="L981" t="inlineStr">
        <is>
          <t>14G¹</t>
        </is>
      </c>
      <c r="M981" t="inlineStr">
        <is>
          <t>28A¹³, 28B¹⁹, 28A²¹, 28H²¹, 84J²¹</t>
        </is>
      </c>
      <c r="N981" t="inlineStr">
        <is>
          <t>7F⁰, 14A⁰, 14G¹, 1A⁰, 7A⁰</t>
        </is>
      </c>
      <c r="O981" t="inlineStr">
        <is>
          <t>84J²¹, 28B¹⁹, 28A¹³, 28H²¹, 28A²¹</t>
        </is>
      </c>
    </row>
    <row r="982">
      <c r="A982">
        <f>HYPERLINK("https://mathstats.uncg.edu/sites/pauli/congruence/csg5.html#group28H5", "28H⁵")</f>
        <v/>
      </c>
      <c r="B982" t="n">
        <v>5</v>
      </c>
      <c r="C982" t="inlineStr"/>
      <c r="D982" t="inlineStr">
        <is>
          <t>126</t>
        </is>
      </c>
      <c r="E982" t="inlineStr">
        <is>
          <t>1</t>
        </is>
      </c>
      <c r="F982" t="inlineStr">
        <is>
          <t>63</t>
        </is>
      </c>
      <c r="G982" t="inlineStr">
        <is>
          <t>8</t>
        </is>
      </c>
      <c r="H982" t="inlineStr">
        <is>
          <t>0</t>
        </is>
      </c>
      <c r="I982" t="inlineStr">
        <is>
          <t>7⁶, 28³</t>
        </is>
      </c>
      <c r="J982" t="n">
        <v>9</v>
      </c>
      <c r="K982" t="inlineStr">
        <is>
          <t>3³, 6⁹</t>
        </is>
      </c>
      <c r="L982" t="inlineStr">
        <is>
          <t>14F²</t>
        </is>
      </c>
      <c r="M982" t="inlineStr">
        <is>
          <t>28I¹¹, 28D¹², 28C¹³, 28B¹⁴, 28B¹⁶, 84M²²</t>
        </is>
      </c>
      <c r="N982" t="inlineStr">
        <is>
          <t>14F², 2B⁰, 7D⁰, 14B¹, 1A⁰, 7A⁰</t>
        </is>
      </c>
      <c r="O982" t="inlineStr">
        <is>
          <t>84M²², 28B¹⁶, 28D¹², 28E²³, 28B¹⁴, 28C¹³, 28I¹¹</t>
        </is>
      </c>
    </row>
    <row r="983">
      <c r="A983">
        <f>HYPERLINK("https://mathstats.uncg.edu/sites/pauli/congruence/csg5.html#group28I5", "28I⁵")</f>
        <v/>
      </c>
      <c r="B983" t="n">
        <v>5</v>
      </c>
      <c r="C983" t="inlineStr"/>
      <c r="D983" t="inlineStr">
        <is>
          <t>128</t>
        </is>
      </c>
      <c r="E983" t="inlineStr">
        <is>
          <t>1</t>
        </is>
      </c>
      <c r="F983" t="inlineStr">
        <is>
          <t>32</t>
        </is>
      </c>
      <c r="G983" t="inlineStr">
        <is>
          <t>0</t>
        </is>
      </c>
      <c r="H983" t="inlineStr">
        <is>
          <t>8</t>
        </is>
      </c>
      <c r="I983" t="inlineStr">
        <is>
          <t>4⁴, 28⁴</t>
        </is>
      </c>
      <c r="J983" t="n">
        <v>8</v>
      </c>
      <c r="K983" t="inlineStr">
        <is>
          <t>2⁴, 12²</t>
        </is>
      </c>
      <c r="L983" t="inlineStr">
        <is>
          <t>28A⁰, 28E³</t>
        </is>
      </c>
      <c r="M983" t="inlineStr">
        <is>
          <t>56N¹³, 28E¹⁷, 28M²¹, 28N²¹</t>
        </is>
      </c>
      <c r="N983" t="inlineStr">
        <is>
          <t>2A⁰, 28A⁰, 4A⁰, 4D⁰, 7B⁰, 14B⁰, 28E³, 1A⁰, 28A²</t>
        </is>
      </c>
      <c r="O983" t="inlineStr">
        <is>
          <t>28N²¹, 28M²¹, 56N¹³, 28E¹⁷</t>
        </is>
      </c>
    </row>
    <row r="984">
      <c r="A984">
        <f>HYPERLINK("https://mathstats.uncg.edu/sites/pauli/congruence/csg5.html#group30A5", "30A⁵")</f>
        <v/>
      </c>
      <c r="B984" t="n">
        <v>5</v>
      </c>
      <c r="C984" t="inlineStr"/>
      <c r="D984" t="inlineStr">
        <is>
          <t>60</t>
        </is>
      </c>
      <c r="E984" t="inlineStr">
        <is>
          <t>1</t>
        </is>
      </c>
      <c r="F984" t="inlineStr">
        <is>
          <t>10</t>
        </is>
      </c>
      <c r="G984" t="inlineStr">
        <is>
          <t>0</t>
        </is>
      </c>
      <c r="H984" t="inlineStr">
        <is>
          <t>0</t>
        </is>
      </c>
      <c r="I984" t="inlineStr">
        <is>
          <t>30²</t>
        </is>
      </c>
      <c r="J984" t="n">
        <v>2</v>
      </c>
      <c r="K984" t="inlineStr">
        <is>
          <t>2¹, 4²</t>
        </is>
      </c>
      <c r="L984" t="inlineStr">
        <is>
          <t>6A¹, 10C¹, 15D¹</t>
        </is>
      </c>
      <c r="M984" t="inlineStr">
        <is>
          <t>30B⁹, 30D⁹, 30E⁹, 30A¹³, 30D¹³, 90E¹⁵, 60E¹⁹</t>
        </is>
      </c>
      <c r="N984" t="inlineStr">
        <is>
          <t>2A⁰, 15D¹, 5C⁰, 10C¹, 6A¹, 3A⁰, 1A⁰</t>
        </is>
      </c>
      <c r="O984" t="inlineStr">
        <is>
          <t>30E⁹, 60E¹⁹, 30A¹³, 30B⁹, 30B¹⁷, 30D¹³, 30D⁹, 90E¹⁵, 60B¹⁹, 30C¹⁷, 30E¹⁷, 60D¹⁹</t>
        </is>
      </c>
    </row>
    <row r="985">
      <c r="A985">
        <f>HYPERLINK("https://mathstats.uncg.edu/sites/pauli/congruence/csg5.html#group30B5", "30B⁵")</f>
        <v/>
      </c>
      <c r="B985" t="n">
        <v>5</v>
      </c>
      <c r="C985" t="inlineStr"/>
      <c r="D985" t="inlineStr">
        <is>
          <t>60</t>
        </is>
      </c>
      <c r="E985" t="inlineStr">
        <is>
          <t>1</t>
        </is>
      </c>
      <c r="F985" t="inlineStr">
        <is>
          <t>15</t>
        </is>
      </c>
      <c r="G985" t="inlineStr">
        <is>
          <t>0</t>
        </is>
      </c>
      <c r="H985" t="inlineStr">
        <is>
          <t>0</t>
        </is>
      </c>
      <c r="I985" t="inlineStr">
        <is>
          <t>30²</t>
        </is>
      </c>
      <c r="J985" t="n">
        <v>2</v>
      </c>
      <c r="K985" t="inlineStr">
        <is>
          <t>1¹, 2¹, 4¹, 8¹</t>
        </is>
      </c>
      <c r="L985" t="inlineStr">
        <is>
          <t>6B¹, 15A², 30A², 30A³</t>
        </is>
      </c>
      <c r="M985" t="inlineStr">
        <is>
          <t>30A⁹, 30B¹³, 30C¹³, 30F¹³, 90C¹⁴, 90A¹⁵, 90B¹⁵, 90C¹⁵, 90D¹⁵, 90F¹⁵, 30E¹⁷, 60G¹⁹</t>
        </is>
      </c>
      <c r="N985" t="inlineStr">
        <is>
          <t>2A⁰, 30A³, 5A⁰, 30A², 6B⁰, 10A⁰, 15A², 6B¹, 3C⁰, 6A¹, 3A⁰, 1A⁰, 15A¹</t>
        </is>
      </c>
      <c r="O985" t="inlineStr">
        <is>
          <t>30B¹³, 90D¹⁵, 90C¹⁵, 90F¹⁵, 90C¹⁴, 60A¹⁹, 90B¹⁵, 30F¹³, 90A¹⁵, 30E¹⁷, 30A⁹, 60G¹⁹, 30C¹³</t>
        </is>
      </c>
    </row>
    <row r="986">
      <c r="A986">
        <f>HYPERLINK("https://mathstats.uncg.edu/sites/pauli/congruence/csg5.html#group30C5", "30C⁵")</f>
        <v/>
      </c>
      <c r="B986" t="n">
        <v>5</v>
      </c>
      <c r="C986" t="inlineStr"/>
      <c r="D986" t="inlineStr">
        <is>
          <t>72</t>
        </is>
      </c>
      <c r="E986" t="inlineStr">
        <is>
          <t>1</t>
        </is>
      </c>
      <c r="F986" t="inlineStr">
        <is>
          <t>6</t>
        </is>
      </c>
      <c r="G986" t="inlineStr">
        <is>
          <t>0</t>
        </is>
      </c>
      <c r="H986" t="inlineStr">
        <is>
          <t>0</t>
        </is>
      </c>
      <c r="I986" t="inlineStr">
        <is>
          <t>6², 30²</t>
        </is>
      </c>
      <c r="J986" t="n">
        <v>4</v>
      </c>
      <c r="K986" t="inlineStr">
        <is>
          <t>1², 4¹</t>
        </is>
      </c>
      <c r="L986" t="inlineStr">
        <is>
          <t>30A⁰, 10D¹, 15B², 30B³</t>
        </is>
      </c>
      <c r="M986" t="inlineStr">
        <is>
          <t>30K⁹, 60A¹¹, 60C¹¹, 30H¹³, 90D¹⁷, 60F²¹</t>
        </is>
      </c>
      <c r="N986" t="inlineStr">
        <is>
          <t>30A⁰, 2A⁰, 15B⁰, 15B², 5B⁰, 5D⁰, 10A¹, 6A¹, 3A⁰, 10D¹, 1A⁰, 30B³, 10B⁰</t>
        </is>
      </c>
      <c r="O986" t="inlineStr">
        <is>
          <t>60C¹¹, 60A¹¹, 30H¹³, 30H¹⁷, 30K⁹, 60F²¹, 60D²¹, 60C²¹, 90D¹⁷</t>
        </is>
      </c>
    </row>
    <row r="987">
      <c r="A987">
        <f>HYPERLINK("https://mathstats.uncg.edu/sites/pauli/congruence/csg5.html#group30D5", "30D⁵")</f>
        <v/>
      </c>
      <c r="B987" t="n">
        <v>5</v>
      </c>
      <c r="C987" t="inlineStr"/>
      <c r="D987" t="inlineStr">
        <is>
          <t>72</t>
        </is>
      </c>
      <c r="E987" t="inlineStr">
        <is>
          <t>1</t>
        </is>
      </c>
      <c r="F987" t="inlineStr">
        <is>
          <t>12</t>
        </is>
      </c>
      <c r="G987" t="inlineStr">
        <is>
          <t>0</t>
        </is>
      </c>
      <c r="H987" t="inlineStr">
        <is>
          <t>0</t>
        </is>
      </c>
      <c r="I987" t="inlineStr">
        <is>
          <t>6², 30²</t>
        </is>
      </c>
      <c r="J987" t="n">
        <v>4</v>
      </c>
      <c r="K987" t="inlineStr">
        <is>
          <t>2², 8¹</t>
        </is>
      </c>
      <c r="L987" t="inlineStr">
        <is>
          <t>10D¹, 30C³</t>
        </is>
      </c>
      <c r="M987" t="inlineStr">
        <is>
          <t>60B¹¹, 30H¹³, 30J¹⁷, 60H²¹, 60P²¹</t>
        </is>
      </c>
      <c r="N987" t="inlineStr">
        <is>
          <t>2A⁰, 6A⁰, 30C³, 5B⁰, 5D⁰, 10A¹, 10D¹, 1A⁰, 10B⁰</t>
        </is>
      </c>
      <c r="O987" t="inlineStr">
        <is>
          <t>60B¹¹, 60P²¹, 30H¹³, 30J¹⁷, 60H²¹</t>
        </is>
      </c>
    </row>
    <row r="988">
      <c r="A988">
        <f>HYPERLINK("https://mathstats.uncg.edu/sites/pauli/congruence/csg5.html#group30E5", "30E⁵")</f>
        <v/>
      </c>
      <c r="B988" t="n">
        <v>5</v>
      </c>
      <c r="C988" t="inlineStr"/>
      <c r="D988" t="inlineStr">
        <is>
          <t>72</t>
        </is>
      </c>
      <c r="E988" t="inlineStr">
        <is>
          <t>1</t>
        </is>
      </c>
      <c r="F988" t="inlineStr">
        <is>
          <t>18</t>
        </is>
      </c>
      <c r="G988" t="inlineStr">
        <is>
          <t>0</t>
        </is>
      </c>
      <c r="H988" t="inlineStr">
        <is>
          <t>0</t>
        </is>
      </c>
      <c r="I988" t="inlineStr">
        <is>
          <t>6², 30²</t>
        </is>
      </c>
      <c r="J988" t="n">
        <v>4</v>
      </c>
      <c r="K988" t="inlineStr">
        <is>
          <t>1², 2², 4¹, 8¹</t>
        </is>
      </c>
      <c r="L988" t="inlineStr">
        <is>
          <t>15E¹, 30C²</t>
        </is>
      </c>
      <c r="M988" t="inlineStr">
        <is>
          <t>30G⁹, 30I⁹, 30J⁹, 30K¹³, 90I¹⁵, 90A¹⁷, 90I¹⁷, 60K²¹</t>
        </is>
      </c>
      <c r="N988" t="inlineStr">
        <is>
          <t>5B⁰, 3C⁰, 15B⁰, 3A⁰, 1A⁰, 15E¹, 30C²</t>
        </is>
      </c>
      <c r="O988" t="inlineStr">
        <is>
          <t>60G²¹, 90I¹⁵, 90I¹⁷, 30J⁹, 30H¹⁷, 60K²¹, 30I⁹, 30K¹³, 90A¹⁷, 60Q²¹, 30G⁹, 30I¹⁷</t>
        </is>
      </c>
    </row>
    <row r="989">
      <c r="A989">
        <f>HYPERLINK("https://mathstats.uncg.edu/sites/pauli/congruence/csg5.html#group30F5", "30F⁵")</f>
        <v/>
      </c>
      <c r="B989" t="n">
        <v>5</v>
      </c>
      <c r="C989" t="inlineStr"/>
      <c r="D989" t="inlineStr">
        <is>
          <t>72</t>
        </is>
      </c>
      <c r="E989" t="inlineStr">
        <is>
          <t>1</t>
        </is>
      </c>
      <c r="F989" t="inlineStr">
        <is>
          <t>18</t>
        </is>
      </c>
      <c r="G989" t="inlineStr">
        <is>
          <t>0</t>
        </is>
      </c>
      <c r="H989" t="inlineStr">
        <is>
          <t>0</t>
        </is>
      </c>
      <c r="I989" t="inlineStr">
        <is>
          <t>6², 30²</t>
        </is>
      </c>
      <c r="J989" t="n">
        <v>4</v>
      </c>
      <c r="K989" t="inlineStr">
        <is>
          <t>1², 2², 4¹, 8¹</t>
        </is>
      </c>
      <c r="L989" t="inlineStr">
        <is>
          <t>15C⁰, 30C², 30B³</t>
        </is>
      </c>
      <c r="M989" t="inlineStr">
        <is>
          <t>30I⁹, 30K⁹, 30I¹³, 90E¹⁷, 90H¹⁷, 60M²¹</t>
        </is>
      </c>
      <c r="N989" t="inlineStr">
        <is>
          <t>2A⁰, 15B⁰, 5B⁰, 10A¹, 15C⁰, 6A¹, 3A⁰, 1A⁰, 30B³, 30C²</t>
        </is>
      </c>
      <c r="O989" t="inlineStr">
        <is>
          <t>30H¹⁷, 30K⁹, 30I⁹, 90E¹⁷, 60M²¹, 30I¹⁷, 60D²¹, 30I¹³, 60C²¹, 90H¹⁷</t>
        </is>
      </c>
    </row>
    <row r="990">
      <c r="A990">
        <f>HYPERLINK("https://mathstats.uncg.edu/sites/pauli/congruence/csg5.html#group30G5", "30G⁵")</f>
        <v/>
      </c>
      <c r="B990" t="n">
        <v>5</v>
      </c>
      <c r="C990" t="inlineStr"/>
      <c r="D990" t="inlineStr">
        <is>
          <t>72</t>
        </is>
      </c>
      <c r="E990" t="inlineStr">
        <is>
          <t>1</t>
        </is>
      </c>
      <c r="F990" t="inlineStr">
        <is>
          <t>18</t>
        </is>
      </c>
      <c r="G990" t="inlineStr">
        <is>
          <t>0</t>
        </is>
      </c>
      <c r="H990" t="inlineStr">
        <is>
          <t>0</t>
        </is>
      </c>
      <c r="I990" t="inlineStr">
        <is>
          <t>6², 30²</t>
        </is>
      </c>
      <c r="J990" t="n">
        <v>4</v>
      </c>
      <c r="K990" t="inlineStr">
        <is>
          <t>1², 2², 4¹, 8¹</t>
        </is>
      </c>
      <c r="L990" t="inlineStr">
        <is>
          <t>30C¹, 15B², 30C²</t>
        </is>
      </c>
      <c r="M990" t="inlineStr">
        <is>
          <t>30J⁹, 30K⁹, 30L¹³, 90F¹⁷, 90G¹⁷, 90J¹⁷, 60N²¹</t>
        </is>
      </c>
      <c r="N990" t="inlineStr">
        <is>
          <t>15B⁰, 6B⁰, 15B², 5B⁰, 5D⁰, 3A⁰, 1A⁰, 30C¹, 30C²</t>
        </is>
      </c>
      <c r="O990" t="inlineStr">
        <is>
          <t>60G²¹, 90G¹⁷, 60N²¹, 30J⁹, 90F¹⁷, 30H¹⁷, 30K⁹, 90J¹⁷, 30L¹³, 60D²¹, 60C²¹</t>
        </is>
      </c>
    </row>
    <row r="991">
      <c r="A991">
        <f>HYPERLINK("https://mathstats.uncg.edu/sites/pauli/congruence/csg5.html#group30H5", "30H⁵")</f>
        <v/>
      </c>
      <c r="B991" t="n">
        <v>5</v>
      </c>
      <c r="C991" t="inlineStr"/>
      <c r="D991" t="inlineStr">
        <is>
          <t>72</t>
        </is>
      </c>
      <c r="E991" t="inlineStr">
        <is>
          <t>1</t>
        </is>
      </c>
      <c r="F991" t="inlineStr">
        <is>
          <t>18</t>
        </is>
      </c>
      <c r="G991" t="inlineStr">
        <is>
          <t>0</t>
        </is>
      </c>
      <c r="H991" t="inlineStr">
        <is>
          <t>0</t>
        </is>
      </c>
      <c r="I991" t="inlineStr">
        <is>
          <t>6², 30²</t>
        </is>
      </c>
      <c r="J991" t="n">
        <v>4</v>
      </c>
      <c r="K991" t="inlineStr">
        <is>
          <t>1², 2², 4¹, 8¹</t>
        </is>
      </c>
      <c r="L991" t="inlineStr">
        <is>
          <t>6B¹, 15E¹, 30C¹, 30B³</t>
        </is>
      </c>
      <c r="M991" t="inlineStr">
        <is>
          <t>30H⁹, 30I⁹, 30K⁹, 30J¹³, 90J¹⁵, 90B¹⁷, 90C¹⁷, 90K¹⁷, 60O²¹</t>
        </is>
      </c>
      <c r="N991" t="inlineStr">
        <is>
          <t>2A⁰, 15B⁰, 6B⁰, 6B¹, 15E¹, 5B⁰, 3C⁰, 10A¹, 6A¹, 3A⁰, 1A⁰, 30B³, 30C¹</t>
        </is>
      </c>
      <c r="O991" t="inlineStr">
        <is>
          <t>90J¹⁵, 60B²¹, 90B¹⁷, 90K¹⁷, 30H¹⁷, 30K⁹, 30I⁹, 90C¹⁷, 60A²¹, 30H⁹, 60C²¹, 30I¹⁷, 30J¹³, 60D²¹, 60O²¹</t>
        </is>
      </c>
    </row>
    <row r="992">
      <c r="A992">
        <f>HYPERLINK("https://mathstats.uncg.edu/sites/pauli/congruence/csg5.html#group30I5", "30I⁵")</f>
        <v/>
      </c>
      <c r="B992" t="n">
        <v>5</v>
      </c>
      <c r="C992" t="inlineStr"/>
      <c r="D992" t="inlineStr">
        <is>
          <t>80</t>
        </is>
      </c>
      <c r="E992" t="inlineStr">
        <is>
          <t>1</t>
        </is>
      </c>
      <c r="F992" t="inlineStr">
        <is>
          <t>40</t>
        </is>
      </c>
      <c r="G992" t="inlineStr">
        <is>
          <t>0</t>
        </is>
      </c>
      <c r="H992" t="inlineStr">
        <is>
          <t>2</t>
        </is>
      </c>
      <c r="I992" t="inlineStr">
        <is>
          <t>10², 30²</t>
        </is>
      </c>
      <c r="J992" t="n">
        <v>4</v>
      </c>
      <c r="K992" t="inlineStr">
        <is>
          <t>2², 4⁵, 8²</t>
        </is>
      </c>
      <c r="L992" t="inlineStr">
        <is>
          <t>10D⁰, 15C²</t>
        </is>
      </c>
      <c r="M992" t="inlineStr">
        <is>
          <t>30N⁹, 60K¹¹, 30A¹⁴, 30B¹⁵, 30E¹⁵, 30A¹⁷, 90L¹⁷, 90N¹⁷, 90A¹⁹, 60A²³</t>
        </is>
      </c>
      <c r="N992" t="inlineStr">
        <is>
          <t>3B⁰, 1A⁰, 15C², 5C⁰, 10D⁰</t>
        </is>
      </c>
      <c r="O992" t="inlineStr">
        <is>
          <t>90L¹⁷, 30K¹⁷, 60K¹¹, 30B¹⁵, 60A²³, 60R²¹, 30A¹⁴, 90N¹⁷, 90A¹⁹, 30E¹⁵, 30A¹⁷, 30N⁹, 60S²¹</t>
        </is>
      </c>
    </row>
    <row r="993">
      <c r="A993">
        <f>HYPERLINK("https://mathstats.uncg.edu/sites/pauli/congruence/csg5.html#group30J5", "30J⁵")</f>
        <v/>
      </c>
      <c r="B993" t="n">
        <v>5</v>
      </c>
      <c r="C993" t="inlineStr"/>
      <c r="D993" t="inlineStr">
        <is>
          <t>80</t>
        </is>
      </c>
      <c r="E993" t="inlineStr">
        <is>
          <t>1</t>
        </is>
      </c>
      <c r="F993" t="inlineStr">
        <is>
          <t>40</t>
        </is>
      </c>
      <c r="G993" t="inlineStr">
        <is>
          <t>0</t>
        </is>
      </c>
      <c r="H993" t="inlineStr">
        <is>
          <t>2</t>
        </is>
      </c>
      <c r="I993" t="inlineStr">
        <is>
          <t>10², 30²</t>
        </is>
      </c>
      <c r="J993" t="n">
        <v>4</v>
      </c>
      <c r="K993" t="inlineStr">
        <is>
          <t>2², 4⁵, 8²</t>
        </is>
      </c>
      <c r="L993" t="inlineStr">
        <is>
          <t>6C⁰, 10C¹, 15C²</t>
        </is>
      </c>
      <c r="M993" t="inlineStr">
        <is>
          <t>30N⁹, 60H¹¹, 60I¹¹, 30A¹⁵, 30C¹⁵, 30A¹⁶, 90A¹⁶, 30B¹⁷, 90M¹⁷, 90O¹⁷, 90A¹⁸, 90B¹⁹, 90C¹⁹, 60B²³</t>
        </is>
      </c>
      <c r="N993" t="inlineStr">
        <is>
          <t>2A⁰, 3B⁰, 5C⁰, 6C⁰, 10C¹, 15C², 1A⁰</t>
        </is>
      </c>
      <c r="O993" t="inlineStr">
        <is>
          <t>30A¹⁵, 60B²³, 30K¹⁷, 90O¹⁷, 30A¹⁶, 30B¹⁷, 90B¹⁹, 60I¹¹, 60R²¹, 90A¹⁸, 90C¹⁹, 60H¹¹, 90M¹⁷, 30C¹⁵, 90A¹⁶, 30N⁹, 60S²¹</t>
        </is>
      </c>
    </row>
    <row r="994">
      <c r="A994">
        <f>HYPERLINK("https://mathstats.uncg.edu/sites/pauli/congruence/csg5.html#group30K5", "30K⁵")</f>
        <v/>
      </c>
      <c r="B994" t="n">
        <v>5</v>
      </c>
      <c r="C994" t="inlineStr"/>
      <c r="D994" t="inlineStr">
        <is>
          <t>90</t>
        </is>
      </c>
      <c r="E994" t="inlineStr">
        <is>
          <t>1</t>
        </is>
      </c>
      <c r="F994" t="inlineStr">
        <is>
          <t>30</t>
        </is>
      </c>
      <c r="G994" t="inlineStr">
        <is>
          <t>6</t>
        </is>
      </c>
      <c r="H994" t="inlineStr">
        <is>
          <t>0</t>
        </is>
      </c>
      <c r="I994" t="inlineStr">
        <is>
          <t>15², 30²</t>
        </is>
      </c>
      <c r="J994" t="n">
        <v>4</v>
      </c>
      <c r="K994" t="inlineStr">
        <is>
          <t>2³, 4⁶</t>
        </is>
      </c>
      <c r="L994" t="inlineStr">
        <is>
          <t>6D⁰, 10F¹, 15D¹</t>
        </is>
      </c>
      <c r="M994" t="inlineStr">
        <is>
          <t>30C¹⁰, 30H¹⁰, 60C¹⁰, 30C¹¹, 30D¹¹, 60L¹¹, 60M¹¹, 30B¹², 30G¹², 60D¹², 60E¹², 30A¹³, 60A¹³, 60E¹³, 60B¹⁴, 30C¹⁶, 90H¹⁹</t>
        </is>
      </c>
      <c r="N994" t="inlineStr">
        <is>
          <t>15D¹, 5C⁰, 2B⁰, 3A⁰, 1A⁰, 6D⁰, 10F¹</t>
        </is>
      </c>
      <c r="O994" t="inlineStr">
        <is>
          <t>30C¹⁶, 60E²³, 60A¹³, 60M¹¹, 60E¹³, 30G²³, 30C¹⁰, 120M²³, 60L²³, 30K²³, 120O²³, 60I²³, 30A²³, 60M²³, 120P²³, 60K²³, 120N²³, 90H¹⁹, 30D¹¹, 30A¹³, 30H¹⁰, 60D²³, 30B¹², 30F²³, 30D²¹, 60H²³, 60D¹², 30H²³, 30C¹¹, 60E¹², 60L¹¹, 60G²³, 60V²¹, 30G¹², 60C¹⁰, 30C²¹, 60F²³, 60B¹⁴, 60U²¹</t>
        </is>
      </c>
    </row>
    <row r="995">
      <c r="A995">
        <f>HYPERLINK("https://mathstats.uncg.edu/sites/pauli/congruence/csg5.html#group30L5", "30L⁵")</f>
        <v/>
      </c>
      <c r="B995" t="n">
        <v>5</v>
      </c>
      <c r="C995" t="inlineStr"/>
      <c r="D995" t="inlineStr">
        <is>
          <t>90</t>
        </is>
      </c>
      <c r="E995" t="inlineStr">
        <is>
          <t>1</t>
        </is>
      </c>
      <c r="F995" t="inlineStr">
        <is>
          <t>45</t>
        </is>
      </c>
      <c r="G995" t="inlineStr">
        <is>
          <t>8</t>
        </is>
      </c>
      <c r="H995" t="inlineStr">
        <is>
          <t>0</t>
        </is>
      </c>
      <c r="I995" t="inlineStr">
        <is>
          <t>30³</t>
        </is>
      </c>
      <c r="J995" t="n">
        <v>3</v>
      </c>
      <c r="K995" t="inlineStr">
        <is>
          <t>1¹, 2², 4⁴, 8³</t>
        </is>
      </c>
      <c r="L995" t="inlineStr">
        <is>
          <t>15F¹</t>
        </is>
      </c>
      <c r="M995" t="inlineStr">
        <is>
          <t>30D¹⁰, 30E¹⁰, 30I¹⁰, 30A¹¹, 30B¹¹, 30E¹¹, 30C¹², 30D¹², 30G¹³, 30F¹⁷, 90C¹⁸, 90I¹⁹, 60A²⁴</t>
        </is>
      </c>
      <c r="N995" t="inlineStr">
        <is>
          <t>15F¹, 5E⁰, 5A⁰, 3A⁰, 1A⁰, 15A¹, 15A⁰</t>
        </is>
      </c>
      <c r="O995" t="inlineStr">
        <is>
          <t>30A¹¹, 30I¹⁰, 30B²¹, 30E¹⁰, 30F¹⁷, 30E²³, 30E¹¹, 30D²³, 30D¹⁰, 90C¹⁸, 30F²¹, 60A²⁴, 90I¹⁹, 30G¹³, 30D¹², 30C¹², 30C²³, 30J²³, 30B²³, 30A²¹, 30B¹¹</t>
        </is>
      </c>
    </row>
    <row r="996">
      <c r="A996">
        <f>HYPERLINK("https://mathstats.uncg.edu/sites/pauli/congruence/csg5.html#group30M5", "30M⁵")</f>
        <v/>
      </c>
      <c r="B996" t="n">
        <v>5</v>
      </c>
      <c r="C996" t="inlineStr"/>
      <c r="D996" t="inlineStr">
        <is>
          <t>96</t>
        </is>
      </c>
      <c r="E996" t="inlineStr">
        <is>
          <t>1</t>
        </is>
      </c>
      <c r="F996" t="inlineStr">
        <is>
          <t>24</t>
        </is>
      </c>
      <c r="G996" t="inlineStr">
        <is>
          <t>0</t>
        </is>
      </c>
      <c r="H996" t="inlineStr">
        <is>
          <t>0</t>
        </is>
      </c>
      <c r="I996" t="inlineStr">
        <is>
          <t>2², 6², 10², 30²</t>
        </is>
      </c>
      <c r="J996" t="n">
        <v>8</v>
      </c>
      <c r="K996" t="inlineStr">
        <is>
          <t>1⁴, 2², 4², 8¹</t>
        </is>
      </c>
      <c r="L996" t="inlineStr">
        <is>
          <t>15G¹</t>
        </is>
      </c>
      <c r="M996" t="inlineStr">
        <is>
          <t>30P⁹, 30R¹³, 30G¹⁷, 90Q¹⁷, 90C²¹, 90D²¹</t>
        </is>
      </c>
      <c r="N996" t="inlineStr">
        <is>
          <t>5B⁰, 15C¹, 15G¹, 5D⁰, 3B⁰, 1A⁰</t>
        </is>
      </c>
      <c r="O996" t="inlineStr">
        <is>
          <t>30R¹³, 90Q¹⁷, 30G¹⁷, 90D²¹, 90C²¹, 30P⁹</t>
        </is>
      </c>
    </row>
    <row r="997">
      <c r="A997">
        <f>HYPERLINK("https://mathstats.uncg.edu/sites/pauli/congruence/csg5.html#group30N5", "30N⁵")</f>
        <v/>
      </c>
      <c r="B997" t="n">
        <v>5</v>
      </c>
      <c r="C997" t="inlineStr"/>
      <c r="D997" t="inlineStr">
        <is>
          <t>96</t>
        </is>
      </c>
      <c r="E997" t="inlineStr">
        <is>
          <t>1</t>
        </is>
      </c>
      <c r="F997" t="inlineStr">
        <is>
          <t>24</t>
        </is>
      </c>
      <c r="G997" t="inlineStr">
        <is>
          <t>0</t>
        </is>
      </c>
      <c r="H997" t="inlineStr">
        <is>
          <t>0</t>
        </is>
      </c>
      <c r="I997" t="inlineStr">
        <is>
          <t>2², 6², 10², 30²</t>
        </is>
      </c>
      <c r="J997" t="n">
        <v>8</v>
      </c>
      <c r="K997" t="inlineStr">
        <is>
          <t>1⁴, 2², 4², 8¹</t>
        </is>
      </c>
      <c r="L997" t="inlineStr">
        <is>
          <t>10D¹, 15G¹, 30F³, 30G³</t>
        </is>
      </c>
      <c r="M997" t="inlineStr">
        <is>
          <t>30P⁹, 30P¹³, 60I¹³, 60J¹³, 30H¹⁷, 30J¹⁷, 90R¹⁷, 90S¹⁷, 90E²¹, 90F²¹, 90G²¹, 90H²¹</t>
        </is>
      </c>
      <c r="N997" t="inlineStr">
        <is>
          <t>2A⁰, 15C¹, 3B⁰, 30F³, 6C⁰, 5B⁰, 15G¹, 5D⁰, 10A¹, 30G³, 10D¹, 1A⁰, 10B⁰</t>
        </is>
      </c>
      <c r="O997" t="inlineStr">
        <is>
          <t>90E²¹, 90G²¹, 30H¹⁷, 30P¹³, 30J¹⁷, 60J¹³, 90R¹⁷, 60I¹³, 90S¹⁷, 90H²¹, 30P⁹, 90F²¹</t>
        </is>
      </c>
    </row>
    <row r="998">
      <c r="A998">
        <f>HYPERLINK("https://mathstats.uncg.edu/sites/pauli/congruence/csg5.html#group30O5", "30O⁵")</f>
        <v/>
      </c>
      <c r="B998" t="n">
        <v>5</v>
      </c>
      <c r="C998" t="inlineStr"/>
      <c r="D998" t="inlineStr">
        <is>
          <t>108</t>
        </is>
      </c>
      <c r="E998" t="inlineStr">
        <is>
          <t>1</t>
        </is>
      </c>
      <c r="F998" t="inlineStr">
        <is>
          <t>54</t>
        </is>
      </c>
      <c r="G998" t="inlineStr">
        <is>
          <t>4</t>
        </is>
      </c>
      <c r="H998" t="inlineStr">
        <is>
          <t>0</t>
        </is>
      </c>
      <c r="I998" t="inlineStr">
        <is>
          <t>3², 6², 15², 30²</t>
        </is>
      </c>
      <c r="J998" t="n">
        <v>8</v>
      </c>
      <c r="K998" t="inlineStr">
        <is>
          <t>1⁶, 2⁶, 4³, 8³</t>
        </is>
      </c>
      <c r="L998" t="inlineStr">
        <is>
          <t>6G⁰, 15E¹, 30E²</t>
        </is>
      </c>
      <c r="M998" t="inlineStr">
        <is>
          <t>30Q⁹, 30G¹¹, 30H¹¹, 30I¹¹, 30J¹¹, 60N¹¹, 60O¹¹, 30J¹³, 30K¹³, 60Q¹³, 60T¹³, 60U¹³, 60Y¹³, 60E¹⁵, 60G¹⁵, 90K¹⁹, 90I²¹, 90B²³</t>
        </is>
      </c>
      <c r="N998" t="inlineStr">
        <is>
          <t>15B⁰, 30E², 5B⁰, 6G⁰, 3C⁰, 10C⁰, 2B⁰, 3A⁰, 1A⁰, 6D⁰, 15E¹</t>
        </is>
      </c>
      <c r="O998" t="inlineStr">
        <is>
          <t>30J¹¹, 30G¹¹, 30L²³, 30H²¹, 60N¹¹, 30C¹⁹, 60O¹¹, 90I²¹, 60W²¹, 30K¹³, 60Q²³, 30H¹¹, 60G¹⁵, 60Y¹³, 30I¹¹, 30Q⁹, 90K¹⁹, 60Q¹³, 60E¹⁵, 30G²¹, 90B²³, 60T¹³, 60U¹³, 30J¹³</t>
        </is>
      </c>
    </row>
    <row r="999">
      <c r="A999">
        <f>HYPERLINK("https://mathstats.uncg.edu/sites/pauli/congruence/csg5.html#group30P5", "30P⁵")</f>
        <v/>
      </c>
      <c r="B999" t="n">
        <v>5</v>
      </c>
      <c r="C999" t="inlineStr"/>
      <c r="D999" t="inlineStr">
        <is>
          <t>108</t>
        </is>
      </c>
      <c r="E999" t="inlineStr">
        <is>
          <t>1</t>
        </is>
      </c>
      <c r="F999" t="inlineStr">
        <is>
          <t>54</t>
        </is>
      </c>
      <c r="G999" t="inlineStr">
        <is>
          <t>8</t>
        </is>
      </c>
      <c r="H999" t="inlineStr">
        <is>
          <t>0</t>
        </is>
      </c>
      <c r="I999" t="inlineStr">
        <is>
          <t>6³, 30³</t>
        </is>
      </c>
      <c r="J999" t="n">
        <v>6</v>
      </c>
      <c r="K999" t="inlineStr">
        <is>
          <t>1⁶, 2⁶, 4³, 8³</t>
        </is>
      </c>
      <c r="L999" t="inlineStr">
        <is>
          <t>6H⁰, 30C¹, 30E²</t>
        </is>
      </c>
      <c r="M999" t="inlineStr">
        <is>
          <t>30R⁹, 30I¹¹, 30K¹¹, 60R¹¹, 60S¹¹, 30J¹³, 30L¹³, 60AD¹³, 60AF¹³, 60H¹⁵, 60M¹⁵, 90K²¹, 90A²³</t>
        </is>
      </c>
      <c r="N999" t="inlineStr">
        <is>
          <t>15B⁰, 6B⁰, 30E², 5B⁰, 10C⁰, 2B⁰, 6H⁰, 3A⁰, 1A⁰, 6D⁰, 30C¹</t>
        </is>
      </c>
      <c r="O999" t="inlineStr">
        <is>
          <t>60X²¹, 30H²¹, 60R¹¹, 60AD¹³, 30R⁹, 90K²¹, 90A²³, 60H¹⁵, 30L¹³, 60O²³, 60P²³, 60S¹¹, 60M¹⁵, 30K¹¹, 60S²³, 60AF¹³, 30I¹¹, 30J¹³</t>
        </is>
      </c>
    </row>
    <row r="1000">
      <c r="A1000">
        <f>HYPERLINK("https://mathstats.uncg.edu/sites/pauli/congruence/csg5.html#group30Q5", "30Q⁵")</f>
        <v/>
      </c>
      <c r="B1000" t="n">
        <v>5</v>
      </c>
      <c r="C1000" t="inlineStr"/>
      <c r="D1000" t="inlineStr">
        <is>
          <t>120</t>
        </is>
      </c>
      <c r="E1000" t="inlineStr">
        <is>
          <t>1</t>
        </is>
      </c>
      <c r="F1000" t="inlineStr">
        <is>
          <t>30</t>
        </is>
      </c>
      <c r="G1000" t="inlineStr">
        <is>
          <t>16</t>
        </is>
      </c>
      <c r="H1000" t="inlineStr">
        <is>
          <t>0</t>
        </is>
      </c>
      <c r="I1000" t="inlineStr">
        <is>
          <t>30⁴</t>
        </is>
      </c>
      <c r="J1000" t="n">
        <v>4</v>
      </c>
      <c r="K1000" t="inlineStr">
        <is>
          <t>2¹, 4³, 8²</t>
        </is>
      </c>
      <c r="L1000" t="inlineStr">
        <is>
          <t>15D², 30F², 30H³</t>
        </is>
      </c>
      <c r="M1000" t="inlineStr">
        <is>
          <t>30M¹³, 60R¹⁵, 60S¹⁵, 60Z¹⁵, 30E¹⁷, 30B²¹, 30D²¹, 30E²¹, 90M²¹</t>
        </is>
      </c>
      <c r="N1000" t="inlineStr">
        <is>
          <t>15D¹, 6B⁰, 3A⁰, 10D⁰, 5C⁰, 15D², 1A⁰, 30H³, 30F²</t>
        </is>
      </c>
      <c r="O1000" t="inlineStr">
        <is>
          <t>30M¹³, 30E²¹, 30D²¹, 60R¹⁵, 30B²¹, 60S¹⁵, 60Z¹⁵, 90M²¹, 30E¹⁷</t>
        </is>
      </c>
    </row>
    <row r="1001">
      <c r="A1001">
        <f>HYPERLINK("https://mathstats.uncg.edu/sites/pauli/congruence/csg5.html#group30R5", "30R⁵")</f>
        <v/>
      </c>
      <c r="B1001" t="n">
        <v>5</v>
      </c>
      <c r="C1001" t="inlineStr"/>
      <c r="D1001" t="inlineStr">
        <is>
          <t>144</t>
        </is>
      </c>
      <c r="E1001" t="inlineStr">
        <is>
          <t>1</t>
        </is>
      </c>
      <c r="F1001" t="inlineStr">
        <is>
          <t>18</t>
        </is>
      </c>
      <c r="G1001" t="inlineStr">
        <is>
          <t>16</t>
        </is>
      </c>
      <c r="H1001" t="inlineStr">
        <is>
          <t>0</t>
        </is>
      </c>
      <c r="I1001" t="inlineStr">
        <is>
          <t>6⁴, 30⁴</t>
        </is>
      </c>
      <c r="J1001" t="n">
        <v>8</v>
      </c>
      <c r="K1001" t="inlineStr">
        <is>
          <t>1², 2², 4¹, 8¹</t>
        </is>
      </c>
      <c r="L1001" t="inlineStr">
        <is>
          <t>15H¹, 30D¹, 30I³, 30J³, 30L³</t>
        </is>
      </c>
      <c r="M1001" t="inlineStr">
        <is>
          <t>30Q¹³, 30H¹⁷, 60N¹⁷, 60X¹⁷, 30H²¹, 90N²¹</t>
        </is>
      </c>
      <c r="N1001" t="inlineStr">
        <is>
          <t>30A⁰, 30L³, 6B⁰, 30I³, 30J³, 5B⁰, 15H¹, 1A⁰, 30D¹, 10B⁰, 15B⁰, 6E⁰, 15E¹, 3C⁰, 15C⁰, 3A⁰, 30C¹, 30C²</t>
        </is>
      </c>
      <c r="O1001" t="inlineStr">
        <is>
          <t>30Q¹³, 30H²¹, 60X¹⁷, 30H¹⁷, 90N²¹, 60N¹⁷</t>
        </is>
      </c>
    </row>
    <row r="1002">
      <c r="A1002">
        <f>HYPERLINK("https://mathstats.uncg.edu/sites/pauli/congruence/csg5.html#group30S5", "30S⁵")</f>
        <v/>
      </c>
      <c r="B1002" t="n">
        <v>5</v>
      </c>
      <c r="C1002" t="inlineStr"/>
      <c r="D1002" t="inlineStr">
        <is>
          <t>144</t>
        </is>
      </c>
      <c r="E1002" t="inlineStr">
        <is>
          <t>1</t>
        </is>
      </c>
      <c r="F1002" t="inlineStr">
        <is>
          <t>72</t>
        </is>
      </c>
      <c r="G1002" t="inlineStr">
        <is>
          <t>0</t>
        </is>
      </c>
      <c r="H1002" t="inlineStr">
        <is>
          <t>0</t>
        </is>
      </c>
      <c r="I1002" t="inlineStr">
        <is>
          <t>1², 2², 3², 5², 6², 10², 15², 30²</t>
        </is>
      </c>
      <c r="J1002" t="n">
        <v>16</v>
      </c>
      <c r="K1002" t="inlineStr">
        <is>
          <t>1¹², 2⁶, 4⁶, 8³</t>
        </is>
      </c>
      <c r="L1002" t="inlineStr">
        <is>
          <t>10F⁰, 15G¹, 30K³</t>
        </is>
      </c>
      <c r="M1002" t="inlineStr">
        <is>
          <t>30S⁹, 30P¹³, 30R¹³, 60AI¹³, 60AJ¹³, 60O¹⁷, 60Q¹⁷, 30G²¹, 90O²¹</t>
        </is>
      </c>
      <c r="N1002" t="inlineStr">
        <is>
          <t>15C¹, 3B⁰, 5B⁰, 10C⁰, 15G¹, 5D⁰, 2B⁰, 30K³, 6F⁰, 1A⁰, 10F⁰</t>
        </is>
      </c>
      <c r="O1002" t="inlineStr">
        <is>
          <t>30R¹³, 30S⁹, 60AI¹³, 30P¹³, 60O¹⁷, 60Q¹⁷, 30G²¹, 60AJ¹³, 90O²¹</t>
        </is>
      </c>
    </row>
    <row r="1003">
      <c r="A1003">
        <f>HYPERLINK("https://mathstats.uncg.edu/sites/pauli/congruence/csg5.html#group32A5", "32A⁵")</f>
        <v/>
      </c>
      <c r="B1003" t="n">
        <v>5</v>
      </c>
      <c r="C1003" t="inlineStr"/>
      <c r="D1003" t="inlineStr">
        <is>
          <t>96</t>
        </is>
      </c>
      <c r="E1003" t="inlineStr">
        <is>
          <t>1</t>
        </is>
      </c>
      <c r="F1003" t="inlineStr">
        <is>
          <t>6</t>
        </is>
      </c>
      <c r="G1003" t="inlineStr">
        <is>
          <t>0</t>
        </is>
      </c>
      <c r="H1003" t="inlineStr">
        <is>
          <t>0</t>
        </is>
      </c>
      <c r="I1003" t="inlineStr">
        <is>
          <t>4⁴, 8², 32²</t>
        </is>
      </c>
      <c r="J1003" t="n">
        <v>8</v>
      </c>
      <c r="K1003" t="inlineStr">
        <is>
          <t>1⁴, 2¹</t>
        </is>
      </c>
      <c r="L1003" t="inlineStr">
        <is>
          <t>16E¹, 32C³</t>
        </is>
      </c>
      <c r="M1003" t="inlineStr">
        <is>
          <t>32A⁹, 32D⁹, 32E⁹, 64C¹³, 64D¹³, 96A²¹</t>
        </is>
      </c>
      <c r="N1003" t="inlineStr">
        <is>
          <t>2A⁰, 8D⁰, 16E¹, 4C⁰, 16A¹, 8C⁰, 2B⁰, 4E⁰, 4B⁰, 1A⁰, 32C³, 8G⁰, 16C⁰, 2C⁰</t>
        </is>
      </c>
      <c r="O1003" t="inlineStr">
        <is>
          <t>32F²¹, 64D¹³, 32B¹⁷, 96A²¹, 64F²¹, 32A⁹, 32A²¹, 32D⁹, 64E²¹, 32H²¹, 32A¹⁷, 32E⁹, 64C¹³</t>
        </is>
      </c>
    </row>
    <row r="1004">
      <c r="A1004">
        <f>HYPERLINK("https://mathstats.uncg.edu/sites/pauli/congruence/csg5.html#group32B5", "32B⁵")</f>
        <v/>
      </c>
      <c r="B1004" t="n">
        <v>5</v>
      </c>
      <c r="C1004" t="inlineStr"/>
      <c r="D1004" t="inlineStr">
        <is>
          <t>96</t>
        </is>
      </c>
      <c r="E1004" t="inlineStr">
        <is>
          <t>1</t>
        </is>
      </c>
      <c r="F1004" t="inlineStr">
        <is>
          <t>6</t>
        </is>
      </c>
      <c r="G1004" t="inlineStr">
        <is>
          <t>0</t>
        </is>
      </c>
      <c r="H1004" t="inlineStr">
        <is>
          <t>0</t>
        </is>
      </c>
      <c r="I1004" t="inlineStr">
        <is>
          <t>4⁴, 8², 32²</t>
        </is>
      </c>
      <c r="J1004" t="n">
        <v>8</v>
      </c>
      <c r="K1004" t="inlineStr">
        <is>
          <t>1⁴, 2¹</t>
        </is>
      </c>
      <c r="L1004" t="inlineStr">
        <is>
          <t>16E¹, 32A³, 32B³</t>
        </is>
      </c>
      <c r="M1004" t="inlineStr">
        <is>
          <t>32B⁹, 32C⁹, 32E⁹, 64A¹³, 64B¹³, 96B²¹</t>
        </is>
      </c>
      <c r="N1004" t="inlineStr">
        <is>
          <t>2A⁰, 8G⁰, 8D⁰, 16E¹, 16C⁰, 4C⁰, 32A³, 16A¹, 8C⁰, 4E⁰, 2B⁰, 4B⁰, 1A⁰, 2C⁰, 32B³</t>
        </is>
      </c>
      <c r="O1004" t="inlineStr">
        <is>
          <t>32F²¹, 64B²¹, 32C⁹, 64A¹³, 32B¹⁷, 96B²¹, 32G²¹, 64A²¹, 32B⁹, 64D²¹, 32A¹⁷, 32B²¹, 32E⁹, 64B¹³</t>
        </is>
      </c>
    </row>
    <row r="1005">
      <c r="A1005">
        <f>HYPERLINK("https://mathstats.uncg.edu/sites/pauli/congruence/csg5.html#group32C5", "32C⁵")</f>
        <v/>
      </c>
      <c r="B1005" t="n">
        <v>5</v>
      </c>
      <c r="C1005" t="inlineStr"/>
      <c r="D1005" t="inlineStr">
        <is>
          <t>96</t>
        </is>
      </c>
      <c r="E1005" t="inlineStr">
        <is>
          <t>1</t>
        </is>
      </c>
      <c r="F1005" t="inlineStr">
        <is>
          <t>12</t>
        </is>
      </c>
      <c r="G1005" t="inlineStr">
        <is>
          <t>0</t>
        </is>
      </c>
      <c r="H1005" t="inlineStr">
        <is>
          <t>0</t>
        </is>
      </c>
      <c r="I1005" t="inlineStr">
        <is>
          <t>4⁴, 8², 32²</t>
        </is>
      </c>
      <c r="J1005" t="n">
        <v>8</v>
      </c>
      <c r="K1005" t="inlineStr">
        <is>
          <t>1⁴, 2², 4¹</t>
        </is>
      </c>
      <c r="L1005" t="inlineStr">
        <is>
          <t>16G¹, 32A³, 32C³</t>
        </is>
      </c>
      <c r="M1005" t="inlineStr">
        <is>
          <t>32E⁹, 32I⁹, 64F¹³, 64E¹³, 64I¹³, 96C²¹</t>
        </is>
      </c>
      <c r="N1005" t="inlineStr">
        <is>
          <t>16G¹, 16D⁰, 32A³, 16A¹, 8C⁰, 2B⁰, 8I⁰, 4B⁰, 1A⁰, 32C³</t>
        </is>
      </c>
      <c r="O1005" t="inlineStr">
        <is>
          <t>32B¹⁷, 64E¹³, 96C²¹, 64F¹³, 64N²¹, 32N²¹, 32A¹⁷, 32I⁹, 64I¹³, 32E⁹</t>
        </is>
      </c>
    </row>
    <row r="1006">
      <c r="A1006">
        <f>HYPERLINK("https://mathstats.uncg.edu/sites/pauli/congruence/csg5.html#group32D5", "32D⁵")</f>
        <v/>
      </c>
      <c r="B1006" t="n">
        <v>5</v>
      </c>
      <c r="C1006" t="inlineStr"/>
      <c r="D1006" t="inlineStr">
        <is>
          <t>96</t>
        </is>
      </c>
      <c r="E1006" t="inlineStr">
        <is>
          <t>1</t>
        </is>
      </c>
      <c r="F1006" t="inlineStr">
        <is>
          <t>12</t>
        </is>
      </c>
      <c r="G1006" t="inlineStr">
        <is>
          <t>0</t>
        </is>
      </c>
      <c r="H1006" t="inlineStr">
        <is>
          <t>0</t>
        </is>
      </c>
      <c r="I1006" t="inlineStr">
        <is>
          <t>4⁴, 8², 32²</t>
        </is>
      </c>
      <c r="J1006" t="n">
        <v>8</v>
      </c>
      <c r="K1006" t="inlineStr">
        <is>
          <t>1⁴, 2², 4¹</t>
        </is>
      </c>
      <c r="L1006" t="inlineStr">
        <is>
          <t>16G¹, 32B³, 32C³</t>
        </is>
      </c>
      <c r="M1006" t="inlineStr">
        <is>
          <t>32E⁹, 32J⁹, 64H¹³, 64G¹³, 64J¹³, 96D²¹</t>
        </is>
      </c>
      <c r="N1006" t="inlineStr">
        <is>
          <t>16G¹, 16D⁰, 16A¹, 8C⁰, 2B⁰, 8I⁰, 4B⁰, 1A⁰, 32C³, 32B³</t>
        </is>
      </c>
      <c r="O1006" t="inlineStr">
        <is>
          <t>32O²¹, 96D²¹, 64J¹³, 32B¹⁷, 64O²¹, 32J⁹, 64G¹³, 32A¹⁷, 32E⁹, 64H¹³</t>
        </is>
      </c>
    </row>
    <row r="1007">
      <c r="A1007">
        <f>HYPERLINK("https://mathstats.uncg.edu/sites/pauli/congruence/csg5.html#group32E5", "32E⁵")</f>
        <v/>
      </c>
      <c r="B1007" t="n">
        <v>5</v>
      </c>
      <c r="C1007" t="inlineStr"/>
      <c r="D1007" t="inlineStr">
        <is>
          <t>96</t>
        </is>
      </c>
      <c r="E1007" t="inlineStr">
        <is>
          <t>1</t>
        </is>
      </c>
      <c r="F1007" t="inlineStr">
        <is>
          <t>12</t>
        </is>
      </c>
      <c r="G1007" t="inlineStr">
        <is>
          <t>8</t>
        </is>
      </c>
      <c r="H1007" t="inlineStr">
        <is>
          <t>0</t>
        </is>
      </c>
      <c r="I1007" t="inlineStr">
        <is>
          <t>16², 32²</t>
        </is>
      </c>
      <c r="J1007" t="n">
        <v>4</v>
      </c>
      <c r="K1007" t="inlineStr">
        <is>
          <t>2², 4²</t>
        </is>
      </c>
      <c r="L1007" t="inlineStr">
        <is>
          <t>16F¹</t>
        </is>
      </c>
      <c r="M1007" t="inlineStr">
        <is>
          <t>32F⁹, 32F¹¹, 32G¹¹, 32A¹³, 32I¹³, 96B¹⁷</t>
        </is>
      </c>
      <c r="N1007" t="inlineStr">
        <is>
          <t>8H⁰, 16B⁰, 8D⁰, 4A⁰, 4C⁰, 8B⁰, 16B¹, 2B⁰, 4F⁰, 16F¹, 1A⁰</t>
        </is>
      </c>
      <c r="O1007" t="inlineStr">
        <is>
          <t>32H²³, 32C²³, 32I¹³, 32D²³, 32F⁹, 96B¹⁷, 64G²¹, 32M²¹, 32I²¹, 32G¹¹, 32A¹³, 32F¹¹, 32J²¹</t>
        </is>
      </c>
    </row>
    <row r="1008">
      <c r="A1008">
        <f>HYPERLINK("https://mathstats.uncg.edu/sites/pauli/congruence/csg5.html#group32F5", "32F⁵")</f>
        <v/>
      </c>
      <c r="B1008" t="n">
        <v>5</v>
      </c>
      <c r="C1008" t="inlineStr"/>
      <c r="D1008" t="inlineStr">
        <is>
          <t>96</t>
        </is>
      </c>
      <c r="E1008" t="inlineStr">
        <is>
          <t>1</t>
        </is>
      </c>
      <c r="F1008" t="inlineStr">
        <is>
          <t>12</t>
        </is>
      </c>
      <c r="G1008" t="inlineStr">
        <is>
          <t>8</t>
        </is>
      </c>
      <c r="H1008" t="inlineStr">
        <is>
          <t>0</t>
        </is>
      </c>
      <c r="I1008" t="inlineStr">
        <is>
          <t>16², 32²</t>
        </is>
      </c>
      <c r="J1008" t="n">
        <v>4</v>
      </c>
      <c r="K1008" t="inlineStr">
        <is>
          <t>1², 2¹, 4²</t>
        </is>
      </c>
      <c r="L1008" t="inlineStr">
        <is>
          <t>16F¹</t>
        </is>
      </c>
      <c r="M1008" t="inlineStr">
        <is>
          <t>32G⁹, 32G¹¹, 32E¹¹, 32A¹³, 32J¹³, 96C¹⁷</t>
        </is>
      </c>
      <c r="N1008" t="inlineStr">
        <is>
          <t>8H⁰, 16B⁰, 8D⁰, 4A⁰, 4C⁰, 8B⁰, 16B¹, 2B⁰, 4F⁰, 16F¹, 1A⁰</t>
        </is>
      </c>
      <c r="O1008" t="inlineStr">
        <is>
          <t>32H²³, 32K²¹, 32L²¹, 32E¹¹, 32A¹³, 96C¹⁷, 32M²¹, 32B²³, 32A²³, 32G¹¹, 32J¹³, 32G⁹, 64H²¹</t>
        </is>
      </c>
    </row>
    <row r="1009">
      <c r="A1009">
        <f>HYPERLINK("https://mathstats.uncg.edu/sites/pauli/congruence/csg5.html#group32G5", "32G⁵")</f>
        <v/>
      </c>
      <c r="B1009" t="n">
        <v>5</v>
      </c>
      <c r="C1009" t="inlineStr"/>
      <c r="D1009" t="inlineStr">
        <is>
          <t>96</t>
        </is>
      </c>
      <c r="E1009" t="inlineStr">
        <is>
          <t>1</t>
        </is>
      </c>
      <c r="F1009" t="inlineStr">
        <is>
          <t>12</t>
        </is>
      </c>
      <c r="G1009" t="inlineStr">
        <is>
          <t>8</t>
        </is>
      </c>
      <c r="H1009" t="inlineStr">
        <is>
          <t>0</t>
        </is>
      </c>
      <c r="I1009" t="inlineStr">
        <is>
          <t>16², 32²</t>
        </is>
      </c>
      <c r="J1009" t="n">
        <v>4</v>
      </c>
      <c r="K1009" t="inlineStr">
        <is>
          <t>2⁶</t>
        </is>
      </c>
      <c r="L1009" t="inlineStr">
        <is>
          <t>16F¹, 32B¹, 32D³</t>
        </is>
      </c>
      <c r="M1009" t="inlineStr">
        <is>
          <t>32H⁹, 32F¹¹, 32E¹¹, 32B¹³, 32K¹³, 96D¹⁷</t>
        </is>
      </c>
      <c r="N1009" t="inlineStr">
        <is>
          <t>16B⁰, 8H⁰, 8D⁰, 4A⁰, 4C⁰, 8B⁰, 16B¹, 32D³, 32B¹, 2B⁰, 4F⁰, 16F¹, 1A⁰</t>
        </is>
      </c>
      <c r="O1009" t="inlineStr">
        <is>
          <t>32B¹³, 32K¹³, 64I²¹, 32C²³, 32H⁹, 32E¹¹, 32D²³, 32M²¹, 32B²³, 32A²³, 96D¹⁷, 32F¹¹, 32Y²¹</t>
        </is>
      </c>
    </row>
    <row r="1010">
      <c r="A1010">
        <f>HYPERLINK("https://mathstats.uncg.edu/sites/pauli/congruence/csg5.html#group32H5", "32H⁵")</f>
        <v/>
      </c>
      <c r="B1010" t="n">
        <v>5</v>
      </c>
      <c r="C1010" t="inlineStr"/>
      <c r="D1010" t="inlineStr">
        <is>
          <t>96</t>
        </is>
      </c>
      <c r="E1010" t="inlineStr">
        <is>
          <t>1</t>
        </is>
      </c>
      <c r="F1010" t="inlineStr">
        <is>
          <t>24</t>
        </is>
      </c>
      <c r="G1010" t="inlineStr">
        <is>
          <t>4</t>
        </is>
      </c>
      <c r="H1010" t="inlineStr">
        <is>
          <t>0</t>
        </is>
      </c>
      <c r="I1010" t="inlineStr">
        <is>
          <t>8⁴, 32²</t>
        </is>
      </c>
      <c r="J1010" t="n">
        <v>6</v>
      </c>
      <c r="K1010" t="inlineStr">
        <is>
          <t>1², 2¹, 4¹, 8²</t>
        </is>
      </c>
      <c r="L1010" t="inlineStr">
        <is>
          <t>16I¹, 32I³</t>
        </is>
      </c>
      <c r="M1010" t="inlineStr">
        <is>
          <t>32M⁹, 32A¹⁰, 32C¹⁰, 32A¹¹, 32C¹¹, 96L¹⁹</t>
        </is>
      </c>
      <c r="N1010" t="inlineStr">
        <is>
          <t>8H⁰, 16E⁰, 16I¹, 8D⁰, 4A⁰, 16C¹, 4C⁰, 8B⁰, 32I³, 2B⁰, 4F⁰, 1A⁰</t>
        </is>
      </c>
      <c r="O1010" t="inlineStr">
        <is>
          <t>96L¹⁹, 32C¹¹, 32M⁹, 64Q²¹, 32C²¹, 32D²⁴, 32K²¹, 64B²³, 32C¹⁰, 32A¹⁰, 32E²¹, 32E¹⁹, 32B²⁴, 32D²¹, 32A¹¹, 32D²³, 32P²¹</t>
        </is>
      </c>
    </row>
    <row r="1011">
      <c r="A1011">
        <f>HYPERLINK("https://mathstats.uncg.edu/sites/pauli/congruence/csg5.html#group32I5", "32I⁵")</f>
        <v/>
      </c>
      <c r="B1011" t="n">
        <v>5</v>
      </c>
      <c r="C1011" t="inlineStr"/>
      <c r="D1011" t="inlineStr">
        <is>
          <t>96</t>
        </is>
      </c>
      <c r="E1011" t="inlineStr">
        <is>
          <t>1</t>
        </is>
      </c>
      <c r="F1011" t="inlineStr">
        <is>
          <t>24</t>
        </is>
      </c>
      <c r="G1011" t="inlineStr">
        <is>
          <t>4</t>
        </is>
      </c>
      <c r="H1011" t="inlineStr">
        <is>
          <t>0</t>
        </is>
      </c>
      <c r="I1011" t="inlineStr">
        <is>
          <t>8⁴, 32²</t>
        </is>
      </c>
      <c r="J1011" t="n">
        <v>6</v>
      </c>
      <c r="K1011" t="inlineStr">
        <is>
          <t>2⁴, 8²</t>
        </is>
      </c>
      <c r="L1011" t="inlineStr">
        <is>
          <t>16I¹</t>
        </is>
      </c>
      <c r="M1011" t="inlineStr">
        <is>
          <t>32N⁹, 32A¹⁰, 32B¹⁰, 32A¹¹, 32D¹¹, 64U¹³, 96M¹⁹</t>
        </is>
      </c>
      <c r="N1011" t="inlineStr">
        <is>
          <t>8H⁰, 16E⁰, 16I¹, 8D⁰, 4A⁰, 16C¹, 4C⁰, 8B⁰, 2B⁰, 4F⁰, 1A⁰</t>
        </is>
      </c>
      <c r="O1011" t="inlineStr">
        <is>
          <t>32C²³, 32C²⁴, 32C²¹, 64A²², 32D¹¹, 96M¹⁹, 64U¹³, 32L²¹, 32A²⁴, 32A¹⁰, 32B¹⁰, 32E²¹, 32E¹⁹, 64B²², 32D²¹, 32A¹¹, 64P²¹, 32N⁹, 32P²¹</t>
        </is>
      </c>
    </row>
    <row r="1012">
      <c r="A1012">
        <f>HYPERLINK("https://mathstats.uncg.edu/sites/pauli/congruence/csg5.html#group32J5", "32J⁵")</f>
        <v/>
      </c>
      <c r="B1012" t="n">
        <v>5</v>
      </c>
      <c r="C1012" t="inlineStr"/>
      <c r="D1012" t="inlineStr">
        <is>
          <t>96</t>
        </is>
      </c>
      <c r="E1012" t="inlineStr">
        <is>
          <t>1</t>
        </is>
      </c>
      <c r="F1012" t="inlineStr">
        <is>
          <t>24</t>
        </is>
      </c>
      <c r="G1012" t="inlineStr">
        <is>
          <t>8</t>
        </is>
      </c>
      <c r="H1012" t="inlineStr">
        <is>
          <t>0</t>
        </is>
      </c>
      <c r="I1012" t="inlineStr">
        <is>
          <t>16², 32²</t>
        </is>
      </c>
      <c r="J1012" t="n">
        <v>4</v>
      </c>
      <c r="K1012" t="inlineStr">
        <is>
          <t>2⁸, 8¹</t>
        </is>
      </c>
      <c r="L1012" t="inlineStr">
        <is>
          <t>16J¹, 32E³, 32F³</t>
        </is>
      </c>
      <c r="M1012" t="inlineStr">
        <is>
          <t>32P⁹, 32I¹¹, 32K¹¹, 32G¹³, 32O¹³, 64L¹³, 64M¹³, 64P¹³, 64Q¹³, 96G¹⁷</t>
        </is>
      </c>
      <c r="N1012" t="inlineStr">
        <is>
          <t>16B⁰, 16D¹, 4C⁰, 8B⁰, 32E³, 8L⁰, 2B⁰, 32F³, 16J¹, 1A⁰</t>
        </is>
      </c>
      <c r="O1012" t="inlineStr">
        <is>
          <t>64M¹³, 32H²³, 32P⁹, 32I¹¹, 32K¹¹, 32E²³, 32U²¹, 64M²¹, 32O¹³, 32V²¹, 64L¹³, 96G¹⁷, 64P¹³, 32Y²¹, 64Q¹³, 32G¹³</t>
        </is>
      </c>
    </row>
    <row r="1013">
      <c r="A1013">
        <f>HYPERLINK("https://mathstats.uncg.edu/sites/pauli/congruence/csg5.html#group32K5", "32K⁵")</f>
        <v/>
      </c>
      <c r="B1013" t="n">
        <v>5</v>
      </c>
      <c r="C1013" t="inlineStr"/>
      <c r="D1013" t="inlineStr">
        <is>
          <t>96</t>
        </is>
      </c>
      <c r="E1013" t="inlineStr">
        <is>
          <t>1</t>
        </is>
      </c>
      <c r="F1013" t="inlineStr">
        <is>
          <t>24</t>
        </is>
      </c>
      <c r="G1013" t="inlineStr">
        <is>
          <t>8</t>
        </is>
      </c>
      <c r="H1013" t="inlineStr">
        <is>
          <t>0</t>
        </is>
      </c>
      <c r="I1013" t="inlineStr">
        <is>
          <t>16², 32²</t>
        </is>
      </c>
      <c r="J1013" t="n">
        <v>4</v>
      </c>
      <c r="K1013" t="inlineStr">
        <is>
          <t>2⁸, 8¹</t>
        </is>
      </c>
      <c r="L1013" t="inlineStr">
        <is>
          <t>16J¹, 32G³, 32H³</t>
        </is>
      </c>
      <c r="M1013" t="inlineStr">
        <is>
          <t>32O⁹, 32J¹¹, 32K¹¹, 32H¹³, 32N¹³, 64N¹³, 64O¹³, 64S¹³, 64R¹³, 96H¹⁷</t>
        </is>
      </c>
      <c r="N1013" t="inlineStr">
        <is>
          <t>16B⁰, 16D¹, 4C⁰, 8B⁰, 8L⁰, 2B⁰, 32G³, 16J¹, 1A⁰, 32H³</t>
        </is>
      </c>
      <c r="O1013" t="inlineStr">
        <is>
          <t>32H²³, 32H¹³, 32K¹¹, 32E²³, 32N¹³, 64O¹³, 96H¹⁷, 64S¹³, 32S²¹, 64R¹³, 32O⁹, 64L²¹, 32T²¹, 32Y²¹, 32J¹¹, 64N¹³</t>
        </is>
      </c>
    </row>
    <row r="1014">
      <c r="A1014">
        <f>HYPERLINK("https://mathstats.uncg.edu/sites/pauli/congruence/csg5.html#group32L5", "32L⁵")</f>
        <v/>
      </c>
      <c r="B1014" t="n">
        <v>5</v>
      </c>
      <c r="C1014" t="inlineStr"/>
      <c r="D1014" t="inlineStr">
        <is>
          <t>96</t>
        </is>
      </c>
      <c r="E1014" t="inlineStr">
        <is>
          <t>2</t>
        </is>
      </c>
      <c r="F1014" t="inlineStr">
        <is>
          <t>12</t>
        </is>
      </c>
      <c r="G1014" t="inlineStr">
        <is>
          <t>8</t>
        </is>
      </c>
      <c r="H1014" t="inlineStr">
        <is>
          <t>0</t>
        </is>
      </c>
      <c r="I1014" t="inlineStr">
        <is>
          <t>16², 32²</t>
        </is>
      </c>
      <c r="J1014" t="n">
        <v>4</v>
      </c>
      <c r="K1014" t="inlineStr">
        <is>
          <t>2⁸, 4²</t>
        </is>
      </c>
      <c r="L1014" t="inlineStr">
        <is>
          <t>16J¹, 32B¹, 32D³</t>
        </is>
      </c>
      <c r="M1014" t="inlineStr">
        <is>
          <t>32H⁹, 32I¹¹, 32J¹¹, 32K¹³, 32M¹³, 96AB¹⁷</t>
        </is>
      </c>
      <c r="N1014" t="inlineStr">
        <is>
          <t>16B⁰, 16D¹, 4C⁰, 8B⁰, 32D³, 32B¹, 8L⁰, 2B⁰, 16J¹, 1A⁰</t>
        </is>
      </c>
      <c r="O1014" t="inlineStr">
        <is>
          <t>32K¹³, 32I¹¹, 64I²¹, 32H⁹, 32M²¹, 32M¹³, 32Y²¹, 32J¹¹, 96AB¹⁷</t>
        </is>
      </c>
    </row>
    <row r="1015">
      <c r="A1015">
        <f>HYPERLINK("https://mathstats.uncg.edu/sites/pauli/congruence/csg5.html#group32M5", "32M⁵")</f>
        <v/>
      </c>
      <c r="B1015" t="n">
        <v>5</v>
      </c>
      <c r="C1015" t="inlineStr"/>
      <c r="D1015" t="inlineStr">
        <is>
          <t>192</t>
        </is>
      </c>
      <c r="E1015" t="inlineStr">
        <is>
          <t>1</t>
        </is>
      </c>
      <c r="F1015" t="inlineStr">
        <is>
          <t>6</t>
        </is>
      </c>
      <c r="G1015" t="inlineStr">
        <is>
          <t>0</t>
        </is>
      </c>
      <c r="H1015" t="inlineStr">
        <is>
          <t>0</t>
        </is>
      </c>
      <c r="I1015" t="inlineStr">
        <is>
          <t>2¹⁶, 8⁴, 32⁴</t>
        </is>
      </c>
      <c r="J1015" t="n">
        <v>24</v>
      </c>
      <c r="K1015" t="inlineStr">
        <is>
          <t>1⁴, 2¹</t>
        </is>
      </c>
      <c r="L1015" t="inlineStr">
        <is>
          <t>16M¹, 32E¹, 32J³, 32K³, 32M³</t>
        </is>
      </c>
      <c r="M1015" t="inlineStr">
        <is>
          <t>32U¹³, 64V¹³, 32A¹⁷, 64A¹⁷, 64C²¹</t>
        </is>
      </c>
      <c r="N1015" t="inlineStr">
        <is>
          <t>16G⁰, 2A⁰, 32M³, 4C⁰, 16A¹, 8C⁰, 2B⁰, 4E⁰, 4B⁰, 1A⁰, 16H⁰, 16E⁰, 32A¹, 8G⁰, 16C⁰, 32A⁰, 16M¹, 32E¹, 8D⁰, 16E¹, 8I⁰, 32K³, 32J³, 16G¹, 16D⁰, 32A², 8J⁰, 2C⁰, 8O⁰</t>
        </is>
      </c>
      <c r="O1015" t="inlineStr">
        <is>
          <t>64C²¹, 64V¹³, 32A¹⁷, 64A¹⁷, 32U¹³</t>
        </is>
      </c>
    </row>
    <row r="1016">
      <c r="A1016">
        <f>HYPERLINK("https://mathstats.uncg.edu/sites/pauli/congruence/csg5.html#group32N5", "32N⁵")</f>
        <v/>
      </c>
      <c r="B1016" t="n">
        <v>5</v>
      </c>
      <c r="C1016" t="inlineStr"/>
      <c r="D1016" t="inlineStr">
        <is>
          <t>192</t>
        </is>
      </c>
      <c r="E1016" t="inlineStr">
        <is>
          <t>1</t>
        </is>
      </c>
      <c r="F1016" t="inlineStr">
        <is>
          <t>12</t>
        </is>
      </c>
      <c r="G1016" t="inlineStr">
        <is>
          <t>0</t>
        </is>
      </c>
      <c r="H1016" t="inlineStr">
        <is>
          <t>0</t>
        </is>
      </c>
      <c r="I1016" t="inlineStr">
        <is>
          <t>2⁸, 4¹², 32⁴</t>
        </is>
      </c>
      <c r="J1016" t="n">
        <v>24</v>
      </c>
      <c r="K1016" t="inlineStr">
        <is>
          <t>1⁴, 2², 4¹</t>
        </is>
      </c>
      <c r="L1016" t="inlineStr">
        <is>
          <t>16M¹, 32B², 32C², 32O³</t>
        </is>
      </c>
      <c r="M1016" t="inlineStr">
        <is>
          <t>32T¹³, 32U¹³, 32B¹⁷, 64D¹⁷</t>
        </is>
      </c>
      <c r="N1016" t="inlineStr">
        <is>
          <t>16G⁰, 2A⁰, 4C⁰, 16A¹, 8C⁰, 2B⁰, 4E⁰, 32D¹, 4B⁰, 1A⁰, 16H⁰, 16E⁰, 32O³, 8G⁰, 16C⁰, 16M¹, 32C², 8D⁰, 16E¹, 8I⁰, 32B², 32C¹, 16G¹, 16D⁰, 8J⁰, 2C⁰, 8O⁰</t>
        </is>
      </c>
      <c r="O1016" t="inlineStr">
        <is>
          <t>32B¹⁷, 32T¹³, 32U¹³, 64D¹⁷</t>
        </is>
      </c>
    </row>
    <row r="1017">
      <c r="A1017">
        <f>HYPERLINK("https://mathstats.uncg.edu/sites/pauli/congruence/csg5.html#group32O5", "32O⁵")</f>
        <v/>
      </c>
      <c r="B1017" t="n">
        <v>5</v>
      </c>
      <c r="C1017" t="inlineStr"/>
      <c r="D1017" t="inlineStr">
        <is>
          <t>192</t>
        </is>
      </c>
      <c r="E1017" t="inlineStr">
        <is>
          <t>1</t>
        </is>
      </c>
      <c r="F1017" t="inlineStr">
        <is>
          <t>24</t>
        </is>
      </c>
      <c r="G1017" t="inlineStr">
        <is>
          <t>0</t>
        </is>
      </c>
      <c r="H1017" t="inlineStr">
        <is>
          <t>0</t>
        </is>
      </c>
      <c r="I1017" t="inlineStr">
        <is>
          <t>1⁸, 2⁴, 4⁴, 8⁴, 32⁴</t>
        </is>
      </c>
      <c r="J1017" t="n">
        <v>24</v>
      </c>
      <c r="K1017" t="inlineStr">
        <is>
          <t>1⁴, 2², 4², 8¹</t>
        </is>
      </c>
      <c r="L1017" t="inlineStr">
        <is>
          <t>32E¹, 16J², 32C²</t>
        </is>
      </c>
      <c r="M1017" t="inlineStr">
        <is>
          <t>32U¹³, 64W¹³, 32C¹⁷, 64B¹⁷, 64C¹⁷</t>
        </is>
      </c>
      <c r="N1017" t="inlineStr">
        <is>
          <t>32A¹, 32C², 16C⁰, 16D⁰, 32A⁰, 1A⁰, 8C⁰, 2B⁰, 8I⁰, 4B⁰, 32E¹, 16J², 16H⁰</t>
        </is>
      </c>
      <c r="O1017" t="inlineStr">
        <is>
          <t>64C¹⁷, 64B¹⁷, 32C¹⁷, 64W¹³, 32U¹³</t>
        </is>
      </c>
    </row>
    <row r="1018">
      <c r="A1018">
        <f>HYPERLINK("https://mathstats.uncg.edu/sites/pauli/congruence/csg5.html#group33A5", "33A⁵")</f>
        <v/>
      </c>
      <c r="B1018" t="n">
        <v>5</v>
      </c>
      <c r="C1018" t="inlineStr"/>
      <c r="D1018" t="inlineStr">
        <is>
          <t>72</t>
        </is>
      </c>
      <c r="E1018" t="inlineStr">
        <is>
          <t>1</t>
        </is>
      </c>
      <c r="F1018" t="inlineStr">
        <is>
          <t>36</t>
        </is>
      </c>
      <c r="G1018" t="inlineStr">
        <is>
          <t>0</t>
        </is>
      </c>
      <c r="H1018" t="inlineStr">
        <is>
          <t>0</t>
        </is>
      </c>
      <c r="I1018" t="inlineStr">
        <is>
          <t>3², 33²</t>
        </is>
      </c>
      <c r="J1018" t="n">
        <v>4</v>
      </c>
      <c r="K1018" t="inlineStr">
        <is>
          <t>1², 2², 10¹, 20¹</t>
        </is>
      </c>
      <c r="L1018" t="inlineStr">
        <is>
          <t>3C⁰, 33A³</t>
        </is>
      </c>
      <c r="M1018" t="inlineStr">
        <is>
          <t>33A⁹, 66B¹¹, 66C¹¹, 66A¹⁵, 99C¹⁵, 99A¹⁷, 99B¹⁷, 33B²¹, 132G²³</t>
        </is>
      </c>
      <c r="N1018" t="inlineStr">
        <is>
          <t>3C⁰, 3A⁰, 33A³, 1A⁰, 11A¹</t>
        </is>
      </c>
      <c r="O1018" t="inlineStr">
        <is>
          <t>99B¹⁷, 132B²³, 66B¹¹, 66A¹⁵, 99C¹⁵, 33B²¹, 33B¹⁷, 132G²³, 66C¹¹, 33A⁹, 99A¹⁷, 66B²¹, 132D²³, 66C²¹, 132A²³</t>
        </is>
      </c>
    </row>
    <row r="1019">
      <c r="A1019">
        <f>HYPERLINK("https://mathstats.uncg.edu/sites/pauli/congruence/csg5.html#group33B5", "33B⁵")</f>
        <v/>
      </c>
      <c r="B1019" t="n">
        <v>5</v>
      </c>
      <c r="C1019" t="inlineStr"/>
      <c r="D1019" t="inlineStr">
        <is>
          <t>96</t>
        </is>
      </c>
      <c r="E1019" t="inlineStr">
        <is>
          <t>1</t>
        </is>
      </c>
      <c r="F1019" t="inlineStr">
        <is>
          <t>48</t>
        </is>
      </c>
      <c r="G1019" t="inlineStr">
        <is>
          <t>0</t>
        </is>
      </c>
      <c r="H1019" t="inlineStr">
        <is>
          <t>0</t>
        </is>
      </c>
      <c r="I1019" t="inlineStr">
        <is>
          <t>1², 3², 11², 33²</t>
        </is>
      </c>
      <c r="J1019" t="n">
        <v>8</v>
      </c>
      <c r="K1019" t="inlineStr">
        <is>
          <t>1⁴, 2², 10², 20¹</t>
        </is>
      </c>
      <c r="L1019" t="inlineStr">
        <is>
          <t>33C³</t>
        </is>
      </c>
      <c r="M1019" t="inlineStr">
        <is>
          <t>66A¹³, 33B¹⁷, 66A¹⁷, 99C¹⁷, 33C²¹, 99A²¹, 99B²¹</t>
        </is>
      </c>
      <c r="N1019" t="inlineStr">
        <is>
          <t>3B⁰, 1A⁰, 11A¹, 33C³</t>
        </is>
      </c>
      <c r="O1019" t="inlineStr">
        <is>
          <t>33B¹⁷, 99B²¹, 33C²¹, 99A²¹, 66A¹⁷, 99C¹⁷, 66A¹³</t>
        </is>
      </c>
    </row>
    <row r="1020">
      <c r="A1020">
        <f>HYPERLINK("https://mathstats.uncg.edu/sites/pauli/congruence/csg5.html#group34A5", "34A⁵")</f>
        <v/>
      </c>
      <c r="B1020" t="n">
        <v>5</v>
      </c>
      <c r="C1020" t="inlineStr"/>
      <c r="D1020" t="inlineStr">
        <is>
          <t>72</t>
        </is>
      </c>
      <c r="E1020" t="inlineStr">
        <is>
          <t>1</t>
        </is>
      </c>
      <c r="F1020" t="inlineStr">
        <is>
          <t>18</t>
        </is>
      </c>
      <c r="G1020" t="inlineStr">
        <is>
          <t>0</t>
        </is>
      </c>
      <c r="H1020" t="inlineStr">
        <is>
          <t>0</t>
        </is>
      </c>
      <c r="I1020" t="inlineStr">
        <is>
          <t>2², 34²</t>
        </is>
      </c>
      <c r="J1020" t="n">
        <v>4</v>
      </c>
      <c r="K1020" t="inlineStr">
        <is>
          <t>1², 16¹</t>
        </is>
      </c>
      <c r="L1020" t="inlineStr">
        <is>
          <t>17B¹</t>
        </is>
      </c>
      <c r="M1020" t="inlineStr">
        <is>
          <t>34A⁹, 34D¹³, 102A¹⁷, 68A²¹, 102A²¹</t>
        </is>
      </c>
      <c r="N1020" t="inlineStr">
        <is>
          <t>1A⁰, 17A¹, 17B¹</t>
        </is>
      </c>
      <c r="O1020" t="inlineStr">
        <is>
          <t>34A⁹, 34A¹⁷, 34D¹³, 68A²¹, 102A¹⁷, 102A²¹</t>
        </is>
      </c>
    </row>
    <row r="1021">
      <c r="A1021">
        <f>HYPERLINK("https://mathstats.uncg.edu/sites/pauli/congruence/csg5.html#group34B5", "34B⁵")</f>
        <v/>
      </c>
      <c r="B1021" t="n">
        <v>5</v>
      </c>
      <c r="C1021" t="inlineStr"/>
      <c r="D1021" t="inlineStr">
        <is>
          <t>72</t>
        </is>
      </c>
      <c r="E1021" t="inlineStr">
        <is>
          <t>1</t>
        </is>
      </c>
      <c r="F1021" t="inlineStr">
        <is>
          <t>18</t>
        </is>
      </c>
      <c r="G1021" t="inlineStr">
        <is>
          <t>0</t>
        </is>
      </c>
      <c r="H1021" t="inlineStr">
        <is>
          <t>0</t>
        </is>
      </c>
      <c r="I1021" t="inlineStr">
        <is>
          <t>2², 34²</t>
        </is>
      </c>
      <c r="J1021" t="n">
        <v>4</v>
      </c>
      <c r="K1021" t="inlineStr">
        <is>
          <t>1², 16¹</t>
        </is>
      </c>
      <c r="L1021" t="inlineStr">
        <is>
          <t>17B¹, 34A³, 34B³</t>
        </is>
      </c>
      <c r="M1021" t="inlineStr">
        <is>
          <t>34A⁹, 34C¹³, 102B¹⁷, 102C¹⁷, 68B²¹, 102B²¹</t>
        </is>
      </c>
      <c r="N1021" t="inlineStr">
        <is>
          <t>2A⁰, 17A¹, 34B³, 1A⁰, 17B¹, 34A³</t>
        </is>
      </c>
      <c r="O1021" t="inlineStr">
        <is>
          <t>68B²¹, 34A⁹, 34A¹⁷, 34C¹³, 102C¹⁷, 102B²¹, 102B¹⁷</t>
        </is>
      </c>
    </row>
    <row r="1022">
      <c r="A1022">
        <f>HYPERLINK("https://mathstats.uncg.edu/sites/pauli/congruence/csg5.html#group34C5", "34C⁵")</f>
        <v/>
      </c>
      <c r="B1022" t="n">
        <v>5</v>
      </c>
      <c r="C1022" t="inlineStr"/>
      <c r="D1022" t="inlineStr">
        <is>
          <t>108</t>
        </is>
      </c>
      <c r="E1022" t="inlineStr">
        <is>
          <t>1</t>
        </is>
      </c>
      <c r="F1022" t="inlineStr">
        <is>
          <t>54</t>
        </is>
      </c>
      <c r="G1022" t="inlineStr">
        <is>
          <t>4</t>
        </is>
      </c>
      <c r="H1022" t="inlineStr">
        <is>
          <t>0</t>
        </is>
      </c>
      <c r="I1022" t="inlineStr">
        <is>
          <t>1², 2², 17², 34²</t>
        </is>
      </c>
      <c r="J1022" t="n">
        <v>8</v>
      </c>
      <c r="K1022" t="inlineStr">
        <is>
          <t>1⁶, 16³</t>
        </is>
      </c>
      <c r="L1022" t="inlineStr">
        <is>
          <t>17B¹, 34C³</t>
        </is>
      </c>
      <c r="M1022" t="inlineStr">
        <is>
          <t>34B⁹, 34C¹³, 34D¹³, 68A¹³, 68B¹³, 68C¹³, 68D¹³, 102C²¹</t>
        </is>
      </c>
      <c r="N1022" t="inlineStr">
        <is>
          <t>17A¹, 2B⁰, 34C³, 1A⁰, 17B¹</t>
        </is>
      </c>
      <c r="O1022" t="inlineStr">
        <is>
          <t>68D¹³, 34C¹³, 68C¹³, 68B¹³, 34B²¹, 34B⁹, 34D¹³, 34A²¹, 68C²¹, 102C²¹, 68A¹³</t>
        </is>
      </c>
    </row>
    <row r="1023">
      <c r="A1023">
        <f>HYPERLINK("https://mathstats.uncg.edu/sites/pauli/congruence/csg5.html#group34D5", "34D⁵")</f>
        <v/>
      </c>
      <c r="B1023" t="n">
        <v>5</v>
      </c>
      <c r="C1023" t="inlineStr"/>
      <c r="D1023" t="inlineStr">
        <is>
          <t>144</t>
        </is>
      </c>
      <c r="E1023" t="inlineStr">
        <is>
          <t>1</t>
        </is>
      </c>
      <c r="F1023" t="inlineStr">
        <is>
          <t>18</t>
        </is>
      </c>
      <c r="G1023" t="inlineStr">
        <is>
          <t>16</t>
        </is>
      </c>
      <c r="H1023" t="inlineStr">
        <is>
          <t>0</t>
        </is>
      </c>
      <c r="I1023" t="inlineStr">
        <is>
          <t>2⁴, 34⁴</t>
        </is>
      </c>
      <c r="J1023" t="n">
        <v>8</v>
      </c>
      <c r="K1023" t="inlineStr">
        <is>
          <t>1², 16¹</t>
        </is>
      </c>
      <c r="L1023" t="inlineStr">
        <is>
          <t>17C¹</t>
        </is>
      </c>
      <c r="M1023" t="inlineStr">
        <is>
          <t>34A¹⁷, 68B¹⁷, 34B²¹, 102D²¹</t>
        </is>
      </c>
      <c r="N1023" t="inlineStr">
        <is>
          <t>17A¹, 1A⁰, 17C¹, 17B¹</t>
        </is>
      </c>
      <c r="O1023" t="inlineStr">
        <is>
          <t>68B¹⁷, 102D²¹, 34A¹⁷, 34B²¹</t>
        </is>
      </c>
    </row>
    <row r="1024">
      <c r="A1024">
        <f>HYPERLINK("https://mathstats.uncg.edu/sites/pauli/congruence/csg5.html#group35A5", "35A⁵")</f>
        <v/>
      </c>
      <c r="B1024" t="n">
        <v>5</v>
      </c>
      <c r="C1024" t="inlineStr"/>
      <c r="D1024" t="inlineStr">
        <is>
          <t>80</t>
        </is>
      </c>
      <c r="E1024" t="inlineStr">
        <is>
          <t>1</t>
        </is>
      </c>
      <c r="F1024" t="inlineStr">
        <is>
          <t>80</t>
        </is>
      </c>
      <c r="G1024" t="inlineStr">
        <is>
          <t>0</t>
        </is>
      </c>
      <c r="H1024" t="inlineStr">
        <is>
          <t>2</t>
        </is>
      </c>
      <c r="I1024" t="inlineStr">
        <is>
          <t>5², 35²</t>
        </is>
      </c>
      <c r="J1024" t="n">
        <v>4</v>
      </c>
      <c r="K1024" t="inlineStr">
        <is>
          <t>2², 4⁴, 12¹, 24²</t>
        </is>
      </c>
      <c r="L1024" t="inlineStr">
        <is>
          <t>5C⁰, 7B⁰</t>
        </is>
      </c>
      <c r="M1024" t="inlineStr">
        <is>
          <t>35C⁹, 70B¹¹, 70C¹¹, 35B¹⁵, 35C¹⁵, 70D¹⁷, 105A¹⁸, 105A¹⁹, 105A²³</t>
        </is>
      </c>
      <c r="N1024" t="inlineStr">
        <is>
          <t>5C⁰, 7B⁰, 1A⁰</t>
        </is>
      </c>
      <c r="O1024" t="inlineStr">
        <is>
          <t>105A¹⁸, 35C⁹, 105A¹⁹, 70C¹¹, 140A²³, 140B²³, 35B¹⁵, 105A²³, 70B¹¹, 70D¹⁷, 35A¹⁷, 70G²¹, 70F²¹, 140D²³, 35C¹⁵</t>
        </is>
      </c>
    </row>
    <row r="1025">
      <c r="A1025">
        <f>HYPERLINK("https://mathstats.uncg.edu/sites/pauli/congruence/csg5.html#group35B5", "35B⁵")</f>
        <v/>
      </c>
      <c r="B1025" t="n">
        <v>5</v>
      </c>
      <c r="C1025" t="inlineStr"/>
      <c r="D1025" t="inlineStr">
        <is>
          <t>84</t>
        </is>
      </c>
      <c r="E1025" t="inlineStr">
        <is>
          <t>2</t>
        </is>
      </c>
      <c r="F1025" t="inlineStr">
        <is>
          <t>42</t>
        </is>
      </c>
      <c r="G1025" t="inlineStr">
        <is>
          <t>4</t>
        </is>
      </c>
      <c r="H1025" t="inlineStr">
        <is>
          <t>0</t>
        </is>
      </c>
      <c r="I1025" t="inlineStr">
        <is>
          <t>7², 35²</t>
        </is>
      </c>
      <c r="J1025" t="n">
        <v>4</v>
      </c>
      <c r="K1025" t="inlineStr">
        <is>
          <t>2², 6⁴, 8¹, 24²</t>
        </is>
      </c>
      <c r="L1025" t="inlineStr">
        <is>
          <t>7C⁰, 35C²</t>
        </is>
      </c>
      <c r="M1025" t="inlineStr">
        <is>
          <t>35A¹¹, 70D¹¹, 35C¹³, 70D¹³, 70E¹⁷, 105A¹⁷, 105B¹⁷, 35B²¹</t>
        </is>
      </c>
      <c r="N1025" t="inlineStr">
        <is>
          <t>35C², 5B⁰, 1A⁰, 7C⁰, 7A⁰</t>
        </is>
      </c>
      <c r="O1025" t="inlineStr">
        <is>
          <t>70E¹⁷, 35C¹³, 105A¹⁷, 70D¹³, 35A¹¹, 70D¹¹, 35B²¹, 105B¹⁷</t>
        </is>
      </c>
    </row>
    <row r="1026">
      <c r="A1026">
        <f>HYPERLINK("https://mathstats.uncg.edu/sites/pauli/congruence/csg5.html#group35C5", "35C⁵")</f>
        <v/>
      </c>
      <c r="B1026" t="n">
        <v>5</v>
      </c>
      <c r="C1026" t="inlineStr"/>
      <c r="D1026" t="inlineStr">
        <is>
          <t>96</t>
        </is>
      </c>
      <c r="E1026" t="inlineStr">
        <is>
          <t>1</t>
        </is>
      </c>
      <c r="F1026" t="inlineStr">
        <is>
          <t>48</t>
        </is>
      </c>
      <c r="G1026" t="inlineStr">
        <is>
          <t>0</t>
        </is>
      </c>
      <c r="H1026" t="inlineStr">
        <is>
          <t>0</t>
        </is>
      </c>
      <c r="I1026" t="inlineStr">
        <is>
          <t>1², 5², 7², 35²</t>
        </is>
      </c>
      <c r="J1026" t="n">
        <v>8</v>
      </c>
      <c r="K1026" t="inlineStr">
        <is>
          <t>1⁴, 4², 6², 24¹</t>
        </is>
      </c>
      <c r="L1026" t="inlineStr">
        <is>
          <t>5D⁰, 35A³</t>
        </is>
      </c>
      <c r="M1026" t="inlineStr">
        <is>
          <t>35E⁹, 35D¹³, 70E¹³, 70F¹³, 70J¹⁷, 105B²¹, 105E²¹</t>
        </is>
      </c>
      <c r="N1026" t="inlineStr">
        <is>
          <t>5B⁰, 7B⁰, 5D⁰, 1A⁰, 35A³</t>
        </is>
      </c>
      <c r="O1026" t="inlineStr">
        <is>
          <t>35D¹³, 70F¹³, 35E⁹, 70E¹³, 105E²¹, 70J¹⁷, 105B²¹</t>
        </is>
      </c>
    </row>
    <row r="1027">
      <c r="A1027">
        <f>HYPERLINK("https://mathstats.uncg.edu/sites/pauli/congruence/csg5.html#group36A5", "36A⁵")</f>
        <v/>
      </c>
      <c r="B1027" t="n">
        <v>5</v>
      </c>
      <c r="C1027" t="inlineStr"/>
      <c r="D1027" t="inlineStr">
        <is>
          <t>72</t>
        </is>
      </c>
      <c r="E1027" t="inlineStr">
        <is>
          <t>1</t>
        </is>
      </c>
      <c r="F1027" t="inlineStr">
        <is>
          <t>12</t>
        </is>
      </c>
      <c r="G1027" t="inlineStr">
        <is>
          <t>0</t>
        </is>
      </c>
      <c r="H1027" t="inlineStr">
        <is>
          <t>0</t>
        </is>
      </c>
      <c r="I1027" t="inlineStr">
        <is>
          <t>6¹, 12¹, 18¹, 36¹</t>
        </is>
      </c>
      <c r="J1027" t="n">
        <v>4</v>
      </c>
      <c r="K1027" t="inlineStr">
        <is>
          <t>1⁶, 2³</t>
        </is>
      </c>
      <c r="L1027" t="inlineStr">
        <is>
          <t>12F¹, 18D²</t>
        </is>
      </c>
      <c r="M1027" t="inlineStr">
        <is>
          <t>36C⁹, 36J¹⁰, 72C¹⁰, 72A¹¹, 72C¹¹, 36D¹³, 36J¹³, 108C¹⁷, 108A¹⁷, 108B¹⁷</t>
        </is>
      </c>
      <c r="N1027" t="inlineStr">
        <is>
          <t>3B⁰, 12F¹, 4C⁰, 18D², 1A⁰, 2B⁰, 9C⁰, 6F⁰</t>
        </is>
      </c>
      <c r="O1027" t="inlineStr">
        <is>
          <t>108C¹⁷, 72A¹⁹, 72G²¹, 36J¹⁰, 72A²⁰, 144A²³, 72C¹¹, 72I²¹, 144E²³, 72E²¹, 72C¹⁹, 72M¹⁹, 72A²², 36D¹³, 72A²¹, 144I²³, 72K²¹, 108B¹⁷, 108A¹⁷, 144M²³, 36C¹⁹, 144O²³, 36J¹³, 36C⁹, 144A²², 72C¹⁰, 144K²³, 72A¹¹, 36A¹⁹, 144A²⁰, 144C²³, 144G²³, 72C²¹, 36A¹⁷, 72K¹⁹</t>
        </is>
      </c>
    </row>
    <row r="1028">
      <c r="A1028">
        <f>HYPERLINK("https://mathstats.uncg.edu/sites/pauli/congruence/csg5.html#group36B5", "36B⁵")</f>
        <v/>
      </c>
      <c r="B1028" t="n">
        <v>5</v>
      </c>
      <c r="C1028" t="inlineStr"/>
      <c r="D1028" t="inlineStr">
        <is>
          <t>72</t>
        </is>
      </c>
      <c r="E1028" t="inlineStr">
        <is>
          <t>1</t>
        </is>
      </c>
      <c r="F1028" t="inlineStr">
        <is>
          <t>12</t>
        </is>
      </c>
      <c r="G1028" t="inlineStr">
        <is>
          <t>0</t>
        </is>
      </c>
      <c r="H1028" t="inlineStr">
        <is>
          <t>0</t>
        </is>
      </c>
      <c r="I1028" t="inlineStr">
        <is>
          <t>6¹, 12¹, 18¹, 36¹</t>
        </is>
      </c>
      <c r="J1028" t="n">
        <v>4</v>
      </c>
      <c r="K1028" t="inlineStr">
        <is>
          <t>1⁶, 2³</t>
        </is>
      </c>
      <c r="L1028" t="inlineStr">
        <is>
          <t>12F¹, 18E²</t>
        </is>
      </c>
      <c r="M1028" t="inlineStr">
        <is>
          <t>36D⁹, 36K¹⁰, 72D¹⁰, 72B¹¹, 72D¹¹, 36D¹³, 36K¹³</t>
        </is>
      </c>
      <c r="N1028" t="inlineStr">
        <is>
          <t>3B⁰, 12F¹, 4C⁰, 18E², 9A¹, 1A⁰, 2B⁰, 6F⁰</t>
        </is>
      </c>
      <c r="O1028" t="inlineStr">
        <is>
          <t>72F²¹, 144N²³, 72J²¹, 144H²³, 144B²², 72D²¹, 72B¹⁹, 36B¹⁷, 36D¹³, 72B²², 72D¹⁹, 36B¹⁹, 36K¹⁰, 36K¹³, 72B²¹, 72H²¹, 72B²⁰, 36D⁹, 144B²⁰, 144F²³, 144B²³, 72N¹⁹, 72L¹⁹, 144L²³, 72D¹¹, 144J²³, 72D¹⁰, 72L²¹, 36D¹⁹, 144D²³, 144P²³, 72B¹¹</t>
        </is>
      </c>
    </row>
    <row r="1029">
      <c r="A1029">
        <f>HYPERLINK("https://mathstats.uncg.edu/sites/pauli/congruence/csg5.html#group36C5", "36C⁵")</f>
        <v/>
      </c>
      <c r="B1029" t="n">
        <v>5</v>
      </c>
      <c r="C1029" t="inlineStr"/>
      <c r="D1029" t="inlineStr">
        <is>
          <t>72</t>
        </is>
      </c>
      <c r="E1029" t="inlineStr">
        <is>
          <t>2</t>
        </is>
      </c>
      <c r="F1029" t="inlineStr">
        <is>
          <t>18</t>
        </is>
      </c>
      <c r="G1029" t="inlineStr">
        <is>
          <t>4</t>
        </is>
      </c>
      <c r="H1029" t="inlineStr">
        <is>
          <t>0</t>
        </is>
      </c>
      <c r="I1029" t="inlineStr">
        <is>
          <t>36²</t>
        </is>
      </c>
      <c r="J1029" t="n">
        <v>2</v>
      </c>
      <c r="K1029" t="inlineStr">
        <is>
          <t>4³, 12²</t>
        </is>
      </c>
      <c r="L1029" t="inlineStr">
        <is>
          <t>12D¹, 18G²</t>
        </is>
      </c>
      <c r="M1029" t="inlineStr">
        <is>
          <t>36A¹¹, 36O¹³, 36E¹⁵, 36L¹⁵, 36O¹⁵, 36K¹⁹</t>
        </is>
      </c>
      <c r="N1029" t="inlineStr">
        <is>
          <t>12D¹, 6B⁰, 6E⁰, 9B¹, 9A⁰, 3C⁰, 18G², 3A⁰, 1A⁰, 18A⁰, 18A¹</t>
        </is>
      </c>
      <c r="O1029" t="inlineStr">
        <is>
          <t>36O¹⁵, 36L¹⁵, 36E¹⁵, 36K¹⁹, 36O¹³, 36A¹¹</t>
        </is>
      </c>
    </row>
    <row r="1030">
      <c r="A1030">
        <f>HYPERLINK("https://mathstats.uncg.edu/sites/pauli/congruence/csg5.html#group36D5", "36D⁵")</f>
        <v/>
      </c>
      <c r="B1030" t="n">
        <v>5</v>
      </c>
      <c r="C1030" t="inlineStr"/>
      <c r="D1030" t="inlineStr">
        <is>
          <t>72</t>
        </is>
      </c>
      <c r="E1030" t="inlineStr">
        <is>
          <t>2</t>
        </is>
      </c>
      <c r="F1030" t="inlineStr">
        <is>
          <t>36</t>
        </is>
      </c>
      <c r="G1030" t="inlineStr">
        <is>
          <t>4</t>
        </is>
      </c>
      <c r="H1030" t="inlineStr">
        <is>
          <t>0</t>
        </is>
      </c>
      <c r="I1030" t="inlineStr">
        <is>
          <t>36²</t>
        </is>
      </c>
      <c r="J1030" t="n">
        <v>2</v>
      </c>
      <c r="K1030" t="inlineStr">
        <is>
          <t>4⁶, 12⁴</t>
        </is>
      </c>
      <c r="L1030" t="inlineStr">
        <is>
          <t>12D¹, 18H²</t>
        </is>
      </c>
      <c r="M1030" t="inlineStr">
        <is>
          <t>36B¹¹, 36Q¹³, 36G¹⁵, 36H¹⁵, 36L¹⁵, 36O¹⁵, 36L¹⁹</t>
        </is>
      </c>
      <c r="N1030" t="inlineStr">
        <is>
          <t>12D¹, 6B⁰, 18H², 6E⁰, 18B¹, 3C⁰, 3A⁰, 1A⁰</t>
        </is>
      </c>
      <c r="O1030" t="inlineStr">
        <is>
          <t>36O¹⁵, 36L¹⁵, 36Q¹³, 36H¹⁵, 36B¹¹, 36G¹⁵, 36L¹⁹</t>
        </is>
      </c>
    </row>
    <row r="1031">
      <c r="A1031">
        <f>HYPERLINK("https://mathstats.uncg.edu/sites/pauli/congruence/csg5.html#group36E5", "36E⁵")</f>
        <v/>
      </c>
      <c r="B1031" t="n">
        <v>5</v>
      </c>
      <c r="C1031" t="inlineStr"/>
      <c r="D1031" t="inlineStr">
        <is>
          <t>72</t>
        </is>
      </c>
      <c r="E1031" t="inlineStr">
        <is>
          <t>2</t>
        </is>
      </c>
      <c r="F1031" t="inlineStr">
        <is>
          <t>36</t>
        </is>
      </c>
      <c r="G1031" t="inlineStr">
        <is>
          <t>4</t>
        </is>
      </c>
      <c r="H1031" t="inlineStr">
        <is>
          <t>0</t>
        </is>
      </c>
      <c r="I1031" t="inlineStr">
        <is>
          <t>36²</t>
        </is>
      </c>
      <c r="J1031" t="n">
        <v>2</v>
      </c>
      <c r="K1031" t="inlineStr">
        <is>
          <t>4⁶, 12⁴</t>
        </is>
      </c>
      <c r="L1031" t="inlineStr">
        <is>
          <t>9B¹, 12G¹, 36A¹</t>
        </is>
      </c>
      <c r="M1031" t="inlineStr">
        <is>
          <t>36K⁹, 36C¹¹, 36F¹¹, 72G¹¹, 72H¹¹, 72E¹¹, 72F¹¹, 36R¹³, 36F¹⁵, 36N¹⁵, 72W²¹</t>
        </is>
      </c>
      <c r="N1031" t="inlineStr">
        <is>
          <t>12G¹, 36A¹, 12A⁰, 4A⁰, 9A⁰, 3C⁰, 3A⁰, 1A⁰, 9B¹</t>
        </is>
      </c>
      <c r="O1031" t="inlineStr">
        <is>
          <t>36N¹⁵, 36C¹¹, 36F¹¹, 72G¹¹, 72E¹¹, 36K⁹, 72S²¹, 72F²³, 144T²³, 72H¹¹, 144Q²³, 144R²³, 72H²³, 72Q²¹, 72G²³, 36K¹⁹, 36A²¹, 36F¹⁵, 72P²¹, 144S²³, 72W²¹, 72F¹¹, 36R¹³</t>
        </is>
      </c>
    </row>
    <row r="1032">
      <c r="A1032">
        <f>HYPERLINK("https://mathstats.uncg.edu/sites/pauli/congruence/csg5.html#group36F5", "36F⁵")</f>
        <v/>
      </c>
      <c r="B1032" t="n">
        <v>5</v>
      </c>
      <c r="C1032" t="inlineStr"/>
      <c r="D1032" t="inlineStr">
        <is>
          <t>96</t>
        </is>
      </c>
      <c r="E1032" t="inlineStr">
        <is>
          <t>1</t>
        </is>
      </c>
      <c r="F1032" t="inlineStr">
        <is>
          <t>16</t>
        </is>
      </c>
      <c r="G1032" t="inlineStr">
        <is>
          <t>0</t>
        </is>
      </c>
      <c r="H1032" t="inlineStr">
        <is>
          <t>0</t>
        </is>
      </c>
      <c r="I1032" t="inlineStr">
        <is>
          <t>4⁶, 36²</t>
        </is>
      </c>
      <c r="J1032" t="n">
        <v>8</v>
      </c>
      <c r="K1032" t="inlineStr">
        <is>
          <t>2⁴, 4²</t>
        </is>
      </c>
      <c r="L1032" t="inlineStr">
        <is>
          <t>12I¹, 18C¹, 36B³</t>
        </is>
      </c>
      <c r="M1032" t="inlineStr">
        <is>
          <t>36M⁹, 36T¹³, 72A¹³, 72B¹³, 36D¹⁷, 36G¹⁷, 108D¹⁷, 108E¹⁷, 36E¹⁹, 36G¹⁹, 108A¹⁹, 108C¹⁹, 108A²¹, 108C²¹</t>
        </is>
      </c>
      <c r="N1032" t="inlineStr">
        <is>
          <t>3B⁰, 2A⁰, 12I¹, 4A⁰, 18C¹, 12A¹, 6C⁰, 4D⁰, 9B⁰, 36B³, 1A⁰</t>
        </is>
      </c>
      <c r="O1032" t="inlineStr">
        <is>
          <t>108A²¹, 108E¹⁷, 108C²¹, 36E¹⁹, 108C¹⁹, 36T¹³, 108A¹⁹, 36G¹⁷, 36D¹⁷, 36G¹⁹, 108D¹⁷, 72B¹³, 36M⁹, 72A¹³</t>
        </is>
      </c>
    </row>
    <row r="1033">
      <c r="A1033">
        <f>HYPERLINK("https://mathstats.uncg.edu/sites/pauli/congruence/csg5.html#group36G5", "36G⁵")</f>
        <v/>
      </c>
      <c r="B1033" t="n">
        <v>5</v>
      </c>
      <c r="C1033" t="inlineStr"/>
      <c r="D1033" t="inlineStr">
        <is>
          <t>96</t>
        </is>
      </c>
      <c r="E1033" t="inlineStr">
        <is>
          <t>1</t>
        </is>
      </c>
      <c r="F1033" t="inlineStr">
        <is>
          <t>16</t>
        </is>
      </c>
      <c r="G1033" t="inlineStr">
        <is>
          <t>0</t>
        </is>
      </c>
      <c r="H1033" t="inlineStr">
        <is>
          <t>6</t>
        </is>
      </c>
      <c r="I1033" t="inlineStr">
        <is>
          <t>12², 36²</t>
        </is>
      </c>
      <c r="J1033" t="n">
        <v>4</v>
      </c>
      <c r="K1033" t="inlineStr">
        <is>
          <t>2⁴, 4²</t>
        </is>
      </c>
      <c r="L1033" t="inlineStr">
        <is>
          <t>18B⁰, 12I¹, 36C³</t>
        </is>
      </c>
      <c r="M1033" t="inlineStr">
        <is>
          <t>36N⁹, 72I¹¹, 72J¹¹, 36F¹⁶, 36F¹⁷, 36H¹⁷, 36A¹⁹, 36E¹⁹, 108B¹⁹, 108A²⁰, 108B²¹, 108D²¹, 108A²², 108A²³</t>
        </is>
      </c>
      <c r="N1033" t="inlineStr">
        <is>
          <t>3B⁰, 2A⁰, 12I¹, 18B⁰, 4A⁰, 4D⁰, 6C⁰, 12A¹, 9C⁰, 1A⁰, 36C³</t>
        </is>
      </c>
      <c r="O1033" t="inlineStr">
        <is>
          <t>108A²⁰, 72Y²¹, 144V²³, 36H¹⁷, 72J¹¹, 36E¹⁹, 144U²³, 36A¹⁹, 36F¹⁶, 36N⁹, 108A²³, 108D²¹, 108B¹⁹, 108B²¹, 72I¹¹, 108A²², 36F¹⁷</t>
        </is>
      </c>
    </row>
    <row r="1034">
      <c r="A1034">
        <f>HYPERLINK("https://mathstats.uncg.edu/sites/pauli/congruence/csg5.html#group36H5", "36H⁵")</f>
        <v/>
      </c>
      <c r="B1034" t="n">
        <v>5</v>
      </c>
      <c r="C1034" t="inlineStr"/>
      <c r="D1034" t="inlineStr">
        <is>
          <t>108</t>
        </is>
      </c>
      <c r="E1034" t="inlineStr">
        <is>
          <t>1</t>
        </is>
      </c>
      <c r="F1034" t="inlineStr">
        <is>
          <t>9</t>
        </is>
      </c>
      <c r="G1034" t="inlineStr">
        <is>
          <t>12</t>
        </is>
      </c>
      <c r="H1034" t="inlineStr">
        <is>
          <t>0</t>
        </is>
      </c>
      <c r="I1034" t="inlineStr">
        <is>
          <t>18², 36²</t>
        </is>
      </c>
      <c r="J1034" t="n">
        <v>4</v>
      </c>
      <c r="K1034" t="inlineStr">
        <is>
          <t>1³, 2³</t>
        </is>
      </c>
      <c r="L1034" t="inlineStr">
        <is>
          <t>12L¹, 18I², 36B², 36E³</t>
        </is>
      </c>
      <c r="M1034" t="inlineStr">
        <is>
          <t>36O⁹, 72M¹¹, 72N¹¹, 36H¹³, 36I¹³, 72G¹³, 72H¹³, 36A¹⁵, 36D¹⁵, 72A¹⁷, 72B¹⁷, 36N¹⁹, 36R¹⁹</t>
        </is>
      </c>
      <c r="N1034" t="inlineStr">
        <is>
          <t>12C⁰, 36E³, 36B², 4C⁰, 6G⁰, 2B⁰, 1A⁰, 12L¹, 9D⁰, 12C¹, 9A⁰, 3C⁰, 18E¹, 3A⁰, 18I², 6D⁰</t>
        </is>
      </c>
      <c r="O1034" t="inlineStr">
        <is>
          <t>72AA²¹, 144X²³, 36I¹³, 144W²³, 36R¹⁹, 36A²³, 36H¹³, 36A¹⁵, 36O⁹, 72G¹³, 36D¹⁵, 72B¹⁷, 72H¹³, 72M¹¹, 72A¹⁷, 36N¹⁹, 72N¹¹</t>
        </is>
      </c>
    </row>
    <row r="1035">
      <c r="A1035">
        <f>HYPERLINK("https://mathstats.uncg.edu/sites/pauli/congruence/csg5.html#group36I5", "36I⁵")</f>
        <v/>
      </c>
      <c r="B1035" t="n">
        <v>5</v>
      </c>
      <c r="C1035" t="inlineStr"/>
      <c r="D1035" t="inlineStr">
        <is>
          <t>108</t>
        </is>
      </c>
      <c r="E1035" t="inlineStr">
        <is>
          <t>1</t>
        </is>
      </c>
      <c r="F1035" t="inlineStr">
        <is>
          <t>54</t>
        </is>
      </c>
      <c r="G1035" t="inlineStr">
        <is>
          <t>4</t>
        </is>
      </c>
      <c r="H1035" t="inlineStr">
        <is>
          <t>0</t>
        </is>
      </c>
      <c r="I1035" t="inlineStr">
        <is>
          <t>6³, 12³, 18¹, 36¹</t>
        </is>
      </c>
      <c r="J1035" t="n">
        <v>8</v>
      </c>
      <c r="K1035" t="inlineStr">
        <is>
          <t>1³, 2³, 3³, 6⁶</t>
        </is>
      </c>
      <c r="L1035" t="inlineStr">
        <is>
          <t>12L¹, 18I¹</t>
        </is>
      </c>
      <c r="M1035" t="inlineStr">
        <is>
          <t>36P⁹, 36I¹¹, 36N¹¹, 36C¹², 36D¹², 72I¹², 72H¹², 72K¹³, 72J¹³, 72H¹⁵, 72I¹⁵, 36N¹⁹, 36C²¹</t>
        </is>
      </c>
      <c r="N1035" t="inlineStr">
        <is>
          <t>12C⁰, 12C¹, 18I¹, 4C⁰, 6G⁰, 3C⁰, 1A⁰, 2B⁰, 9E⁰, 3A⁰, 12L¹, 6D⁰</t>
        </is>
      </c>
      <c r="O1035" t="inlineStr">
        <is>
          <t>36E²¹, 72K¹³, 36D¹², 72H¹⁵, 72J¹³, 36P⁹, 36I¹¹, 36N¹⁹, 72I¹², 36B²³, 36D²³, 72J²³, 72K²³, 72I²³, 72I¹⁵, 36C¹², 36N¹¹, 72H¹², 36U¹⁹, 36C²³, 36C²¹</t>
        </is>
      </c>
    </row>
    <row r="1036">
      <c r="A1036">
        <f>HYPERLINK("https://mathstats.uncg.edu/sites/pauli/congruence/csg5.html#group36J5", "36J⁵")</f>
        <v/>
      </c>
      <c r="B1036" t="n">
        <v>5</v>
      </c>
      <c r="C1036" t="inlineStr"/>
      <c r="D1036" t="inlineStr">
        <is>
          <t>108</t>
        </is>
      </c>
      <c r="E1036" t="inlineStr">
        <is>
          <t>1</t>
        </is>
      </c>
      <c r="F1036" t="inlineStr">
        <is>
          <t>108</t>
        </is>
      </c>
      <c r="G1036" t="inlineStr">
        <is>
          <t>14</t>
        </is>
      </c>
      <c r="H1036" t="inlineStr">
        <is>
          <t>0</t>
        </is>
      </c>
      <c r="I1036" t="inlineStr">
        <is>
          <t>36³</t>
        </is>
      </c>
      <c r="J1036" t="n">
        <v>3</v>
      </c>
      <c r="K1036" t="inlineStr">
        <is>
          <t>6², 12⁸</t>
        </is>
      </c>
      <c r="L1036" t="inlineStr">
        <is>
          <t>9G⁰, 36A¹</t>
        </is>
      </c>
      <c r="M1036" t="inlineStr">
        <is>
          <t>36T¹⁰, 36G¹², 36R¹³, 72L¹⁴, 72M¹⁴, 72N¹⁴, 72O¹⁴, 36F¹⁵, 36D¹⁶, 36P¹⁹, 36B²⁰, 108B²⁰</t>
        </is>
      </c>
      <c r="N1036" t="inlineStr">
        <is>
          <t>36A¹, 12A⁰, 9A⁰, 3A⁰, 1A⁰, 4A⁰, 9G⁰</t>
        </is>
      </c>
      <c r="O1036" t="inlineStr">
        <is>
          <t>36D¹⁶, 72L¹⁴, 36F¹⁵, 72N¹⁴, 36G¹², 108B²⁰, 72O¹⁴, 72M¹⁴, 36T¹⁰, 36B²⁰, 36P¹⁹, 36R¹³</t>
        </is>
      </c>
    </row>
    <row r="1037">
      <c r="A1037">
        <f>HYPERLINK("https://mathstats.uncg.edu/sites/pauli/congruence/csg5.html#group36K5", "36K⁵")</f>
        <v/>
      </c>
      <c r="B1037" t="n">
        <v>5</v>
      </c>
      <c r="C1037" t="inlineStr"/>
      <c r="D1037" t="inlineStr">
        <is>
          <t>108</t>
        </is>
      </c>
      <c r="E1037" t="inlineStr">
        <is>
          <t>2</t>
        </is>
      </c>
      <c r="F1037" t="inlineStr">
        <is>
          <t>27</t>
        </is>
      </c>
      <c r="G1037" t="inlineStr">
        <is>
          <t>12</t>
        </is>
      </c>
      <c r="H1037" t="inlineStr">
        <is>
          <t>0</t>
        </is>
      </c>
      <c r="I1037" t="inlineStr">
        <is>
          <t>18², 36²</t>
        </is>
      </c>
      <c r="J1037" t="n">
        <v>4</v>
      </c>
      <c r="K1037" t="inlineStr">
        <is>
          <t>2⁹, 6⁶</t>
        </is>
      </c>
      <c r="L1037" t="inlineStr">
        <is>
          <t>12N¹, 18L², 36C², 36E³</t>
        </is>
      </c>
      <c r="M1037" t="inlineStr">
        <is>
          <t>36O⁹, 72K¹⁴, 36I¹⁵, 36J¹⁵, 36S¹⁹, 36T¹⁹</t>
        </is>
      </c>
      <c r="N1037" t="inlineStr">
        <is>
          <t>6B⁰, 36E³, 12C¹, 9A⁰, 6D⁰, 6H⁰, 18E¹, 2B⁰, 12D⁰, 12N¹, 3A⁰, 1A⁰, 18A⁰, 18L², 36C²</t>
        </is>
      </c>
      <c r="O1037" t="inlineStr">
        <is>
          <t>72AA²¹, 36T¹⁹, 36O⁹, 36S¹⁹, 36A²³, 72K¹⁴, 36J¹⁵, 36I¹⁵</t>
        </is>
      </c>
    </row>
    <row r="1038">
      <c r="A1038">
        <f>HYPERLINK("https://mathstats.uncg.edu/sites/pauli/congruence/csg5.html#group36L5", "36L⁵")</f>
        <v/>
      </c>
      <c r="B1038" t="n">
        <v>5</v>
      </c>
      <c r="C1038" t="inlineStr"/>
      <c r="D1038" t="inlineStr">
        <is>
          <t>144</t>
        </is>
      </c>
      <c r="E1038" t="inlineStr">
        <is>
          <t>1</t>
        </is>
      </c>
      <c r="F1038" t="inlineStr">
        <is>
          <t>12</t>
        </is>
      </c>
      <c r="G1038" t="inlineStr">
        <is>
          <t>0</t>
        </is>
      </c>
      <c r="H1038" t="inlineStr">
        <is>
          <t>0</t>
        </is>
      </c>
      <c r="I1038" t="inlineStr">
        <is>
          <t>2⁶, 4⁶, 18², 36²</t>
        </is>
      </c>
      <c r="J1038" t="n">
        <v>16</v>
      </c>
      <c r="K1038" t="inlineStr">
        <is>
          <t>1⁶, 2³</t>
        </is>
      </c>
      <c r="L1038" t="inlineStr">
        <is>
          <t>12P¹, 18J¹, 36C¹, 36G³</t>
        </is>
      </c>
      <c r="M1038" t="inlineStr">
        <is>
          <t>36Q⁹, 36T¹³, 36U¹³, 72R¹³, 72Q¹³, 72W¹³, 72V¹³, 72M¹⁷, 72N¹⁷, 36F²¹, 108E²¹</t>
        </is>
      </c>
      <c r="N1038" t="inlineStr">
        <is>
          <t>3B⁰, 2A⁰, 6I⁰, 2C⁰, 12F¹, 6C⁰, 4C⁰, 9B⁰, 2B⁰, 4E⁰, 12P¹, 18J¹, 4B⁰, 1A⁰, 18C⁰, 18E⁰, 18C¹, 36C¹, 6F⁰, 36G³, 12E⁰</t>
        </is>
      </c>
      <c r="O1038" t="inlineStr">
        <is>
          <t>72W¹³, 36U¹³, 72N¹⁷, 36Q⁹, 36T¹³, 72M¹⁷, 36F²¹, 72R¹³, 108E²¹, 72V¹³, 72Q¹³</t>
        </is>
      </c>
    </row>
    <row r="1039">
      <c r="A1039">
        <f>HYPERLINK("https://mathstats.uncg.edu/sites/pauli/congruence/csg5.html#group36M5", "36M⁵")</f>
        <v/>
      </c>
      <c r="B1039" t="n">
        <v>5</v>
      </c>
      <c r="C1039" t="inlineStr"/>
      <c r="D1039" t="inlineStr">
        <is>
          <t>144</t>
        </is>
      </c>
      <c r="E1039" t="inlineStr">
        <is>
          <t>1</t>
        </is>
      </c>
      <c r="F1039" t="inlineStr">
        <is>
          <t>12</t>
        </is>
      </c>
      <c r="G1039" t="inlineStr">
        <is>
          <t>24</t>
        </is>
      </c>
      <c r="H1039" t="inlineStr">
        <is>
          <t>0</t>
        </is>
      </c>
      <c r="I1039" t="inlineStr">
        <is>
          <t>36⁴</t>
        </is>
      </c>
      <c r="J1039" t="n">
        <v>4</v>
      </c>
      <c r="K1039" t="inlineStr">
        <is>
          <t>2², 4²</t>
        </is>
      </c>
      <c r="L1039" t="inlineStr">
        <is>
          <t>18D⁰, 12Q¹, 36D², 36H³</t>
        </is>
      </c>
      <c r="M1039" t="inlineStr">
        <is>
          <t>36P¹⁵, 72S¹⁷, 72W¹⁷, 36A²¹</t>
        </is>
      </c>
      <c r="N1039" t="inlineStr">
        <is>
          <t>12G¹, 36D², 6B⁰, 36H³, 12F⁰, 1A⁰, 18A⁰, 36A¹, 12A⁰, 9D⁰, 18D⁰, 6E⁰, 4A⁰, 9A⁰, 12Q¹, 3C⁰, 3A⁰</t>
        </is>
      </c>
      <c r="O1039" t="inlineStr">
        <is>
          <t>36P¹⁵, 36A²¹, 72W¹⁷, 72S¹⁷</t>
        </is>
      </c>
    </row>
    <row r="1040">
      <c r="A1040">
        <f>HYPERLINK("https://mathstats.uncg.edu/sites/pauli/congruence/csg5.html#group39A5", "39A⁵")</f>
        <v/>
      </c>
      <c r="B1040" t="n">
        <v>5</v>
      </c>
      <c r="C1040" t="inlineStr"/>
      <c r="D1040" t="inlineStr">
        <is>
          <t>84</t>
        </is>
      </c>
      <c r="E1040" t="inlineStr">
        <is>
          <t>1</t>
        </is>
      </c>
      <c r="F1040" t="inlineStr">
        <is>
          <t>42</t>
        </is>
      </c>
      <c r="G1040" t="inlineStr">
        <is>
          <t>4</t>
        </is>
      </c>
      <c r="H1040" t="inlineStr">
        <is>
          <t>0</t>
        </is>
      </c>
      <c r="I1040" t="inlineStr">
        <is>
          <t>3², 39²</t>
        </is>
      </c>
      <c r="J1040" t="n">
        <v>4</v>
      </c>
      <c r="K1040" t="inlineStr">
        <is>
          <t>1², 2², 12¹, 24¹</t>
        </is>
      </c>
      <c r="L1040" t="inlineStr">
        <is>
          <t>3C⁰, 39A²</t>
        </is>
      </c>
      <c r="M1040" t="inlineStr">
        <is>
          <t>39A⁹, 39A¹¹, 39B¹¹, 78A¹¹, 78B¹¹, 39B¹³, 78B¹³, 78E¹³, 78A¹⁷, 117A¹⁷, 117B¹⁷, 117C¹⁷, 117A¹⁹</t>
        </is>
      </c>
      <c r="N1040" t="inlineStr">
        <is>
          <t>13A⁰, 39A², 3C⁰, 3A⁰, 1A⁰</t>
        </is>
      </c>
      <c r="O1040" t="inlineStr">
        <is>
          <t>117A¹⁷, 78A¹¹, 117B¹⁷, 117A¹⁹, 78B¹³, 39B²¹, 78D²³, 39A⁹, 39B¹³, 78A²¹, 78B¹¹, 117C¹⁷, 39B¹¹, 39A¹¹, 78A¹⁷, 78E¹³, 39A¹⁹</t>
        </is>
      </c>
    </row>
    <row r="1041">
      <c r="A1041">
        <f>HYPERLINK("https://mathstats.uncg.edu/sites/pauli/congruence/csg5.html#group39B5", "39B⁵")</f>
        <v/>
      </c>
      <c r="B1041" t="n">
        <v>5</v>
      </c>
      <c r="C1041" t="inlineStr"/>
      <c r="D1041" t="inlineStr">
        <is>
          <t>112</t>
        </is>
      </c>
      <c r="E1041" t="inlineStr">
        <is>
          <t>1</t>
        </is>
      </c>
      <c r="F1041" t="inlineStr">
        <is>
          <t>56</t>
        </is>
      </c>
      <c r="G1041" t="inlineStr">
        <is>
          <t>0</t>
        </is>
      </c>
      <c r="H1041" t="inlineStr">
        <is>
          <t>4</t>
        </is>
      </c>
      <c r="I1041" t="inlineStr">
        <is>
          <t>1², 3², 13², 39²</t>
        </is>
      </c>
      <c r="J1041" t="n">
        <v>8</v>
      </c>
      <c r="K1041" t="inlineStr">
        <is>
          <t>1⁴, 2², 12², 24¹</t>
        </is>
      </c>
      <c r="L1041" t="inlineStr">
        <is>
          <t>13B⁰, 39A³</t>
        </is>
      </c>
      <c r="M1041" t="inlineStr">
        <is>
          <t>39C⁹, 78F¹³, 78G¹³, 39A¹⁷, 39B¹⁹, 117B¹⁹, 39B²¹, 78C²¹, 117A²¹, 117B²¹, 117A²³</t>
        </is>
      </c>
      <c r="N1041" t="inlineStr">
        <is>
          <t>13A⁰, 3B⁰, 39A³, 13B⁰, 1A⁰</t>
        </is>
      </c>
      <c r="O1041" t="inlineStr">
        <is>
          <t>39B¹⁹, 39B²¹, 78F¹³, 39A¹⁷, 117A²¹, 117A²³, 117B²¹, 78C²¹, 117B¹⁹, 39C⁹, 78G¹³</t>
        </is>
      </c>
    </row>
    <row r="1042">
      <c r="A1042">
        <f>HYPERLINK("https://mathstats.uncg.edu/sites/pauli/congruence/csg5.html#group40A5", "40A⁵")</f>
        <v/>
      </c>
      <c r="B1042" t="n">
        <v>5</v>
      </c>
      <c r="C1042" t="inlineStr"/>
      <c r="D1042" t="inlineStr">
        <is>
          <t>60</t>
        </is>
      </c>
      <c r="E1042" t="inlineStr">
        <is>
          <t>1</t>
        </is>
      </c>
      <c r="F1042" t="inlineStr">
        <is>
          <t>15</t>
        </is>
      </c>
      <c r="G1042" t="inlineStr">
        <is>
          <t>0</t>
        </is>
      </c>
      <c r="H1042" t="inlineStr">
        <is>
          <t>0</t>
        </is>
      </c>
      <c r="I1042" t="inlineStr">
        <is>
          <t>20¹, 40¹</t>
        </is>
      </c>
      <c r="J1042" t="n">
        <v>2</v>
      </c>
      <c r="K1042" t="inlineStr">
        <is>
          <t>1³, 4³</t>
        </is>
      </c>
      <c r="L1042" t="inlineStr">
        <is>
          <t>8A¹, 20B²</t>
        </is>
      </c>
      <c r="M1042" t="inlineStr">
        <is>
          <t>40A⁹, 40B⁹, 80B¹⁰, 40A¹³, 120A¹⁵, 120B¹⁵, 40F¹⁷, 120B¹⁹</t>
        </is>
      </c>
      <c r="N1042" t="inlineStr">
        <is>
          <t>5A⁰, 2B⁰, 8A¹, 1A⁰, 10B¹, 20B², 4C⁰</t>
        </is>
      </c>
      <c r="O1042" t="inlineStr">
        <is>
          <t>40B⁹, 80A¹⁹, 120B¹⁹, 120B¹⁵, 80F¹⁹, 40F¹⁷, 40A¹³, 80G¹⁹, 40A⁹, 80B¹⁸, 40C¹⁸, 160A²⁰, 160B²⁰, 80B¹⁰, 120A¹⁵, 40A¹⁷, 80B¹⁹, 40G¹⁷</t>
        </is>
      </c>
    </row>
    <row r="1043">
      <c r="A1043">
        <f>HYPERLINK("https://mathstats.uncg.edu/sites/pauli/congruence/csg5.html#group40B5", "40B⁵")</f>
        <v/>
      </c>
      <c r="B1043" t="n">
        <v>5</v>
      </c>
      <c r="C1043" t="inlineStr"/>
      <c r="D1043" t="inlineStr">
        <is>
          <t>72</t>
        </is>
      </c>
      <c r="E1043" t="inlineStr">
        <is>
          <t>1</t>
        </is>
      </c>
      <c r="F1043" t="inlineStr">
        <is>
          <t>18</t>
        </is>
      </c>
      <c r="G1043" t="inlineStr">
        <is>
          <t>0</t>
        </is>
      </c>
      <c r="H1043" t="inlineStr">
        <is>
          <t>0</t>
        </is>
      </c>
      <c r="I1043" t="inlineStr">
        <is>
          <t>4¹, 8¹, 20¹, 40¹</t>
        </is>
      </c>
      <c r="J1043" t="n">
        <v>4</v>
      </c>
      <c r="K1043" t="inlineStr">
        <is>
          <t>1⁶, 4³</t>
        </is>
      </c>
      <c r="L1043" t="inlineStr">
        <is>
          <t>20E¹</t>
        </is>
      </c>
      <c r="M1043" t="inlineStr">
        <is>
          <t>40F⁹, 40H⁹, 40I⁹, 40O⁹, 40N⁹, 120A¹⁷, 120B²¹</t>
        </is>
      </c>
      <c r="N1043" t="inlineStr">
        <is>
          <t>5B⁰, 20E¹, 10C⁰, 2B⁰, 1A⁰, 4C⁰</t>
        </is>
      </c>
      <c r="O1043" t="inlineStr">
        <is>
          <t>80N²¹, 40AQ¹⁷, 40F¹⁹, 40AH¹⁷, 40N⁹, 40O⁹, 40AA¹⁷, 40D¹⁹, 40H⁹, 80F²¹, 40F⁹, 40Z¹⁷, 80AA²¹, 80R²¹, 40U¹⁷, 40I⁹, 40Y¹⁷, 80R¹⁹, 80H²¹, 40AC¹⁷, 80AD²¹, 120B²¹, 80U²¹, 80P¹⁹, 120A¹⁷, 80Y²¹, 40AG¹⁷, 80AC²¹, 40W¹⁷</t>
        </is>
      </c>
    </row>
    <row r="1044">
      <c r="A1044">
        <f>HYPERLINK("https://mathstats.uncg.edu/sites/pauli/congruence/csg5.html#group40C5", "40C⁵")</f>
        <v/>
      </c>
      <c r="B1044" t="n">
        <v>5</v>
      </c>
      <c r="C1044" t="inlineStr"/>
      <c r="D1044" t="inlineStr">
        <is>
          <t>72</t>
        </is>
      </c>
      <c r="E1044" t="inlineStr">
        <is>
          <t>1</t>
        </is>
      </c>
      <c r="F1044" t="inlineStr">
        <is>
          <t>18</t>
        </is>
      </c>
      <c r="G1044" t="inlineStr">
        <is>
          <t>0</t>
        </is>
      </c>
      <c r="H1044" t="inlineStr">
        <is>
          <t>0</t>
        </is>
      </c>
      <c r="I1044" t="inlineStr">
        <is>
          <t>4¹, 8¹, 20¹, 40¹</t>
        </is>
      </c>
      <c r="J1044" t="n">
        <v>4</v>
      </c>
      <c r="K1044" t="inlineStr">
        <is>
          <t>1⁶, 4³</t>
        </is>
      </c>
      <c r="L1044" t="inlineStr">
        <is>
          <t>8A¹, 20E¹</t>
        </is>
      </c>
      <c r="M1044" t="inlineStr">
        <is>
          <t>40F⁹, 40G⁹, 40J⁹, 40M⁹, 40P⁹, 80C¹¹, 80D¹¹, 120B¹⁷, 120D²¹</t>
        </is>
      </c>
      <c r="N1044" t="inlineStr">
        <is>
          <t>5B⁰, 20E¹, 10C⁰, 2B⁰, 8A¹, 1A⁰, 4C⁰</t>
        </is>
      </c>
      <c r="O1044" t="inlineStr">
        <is>
          <t>40AB¹⁷, 80C¹¹, 80J²¹, 80S¹⁹, 80D¹¹, 80Z²¹, 40X¹⁷, 40Y¹⁷, 40AE¹⁷, 120B¹⁷, 160C²³, 40P⁹, 80A²¹, 80I²¹, 80C²¹, 120D²¹, 80Q²¹, 80G²¹, 40E¹⁹, 40AQ¹⁷, 80B²¹, 80P²¹, 40AF¹⁷, 40F⁹, 40Z¹⁷, 40V¹⁷, 40G¹⁹, 80Q¹⁹, 40J⁹, 80AE²¹, 40M⁹, 160A²³, 40AC¹⁷, 40AD¹⁷, 80U²¹, 80Y²¹, 80T²¹, 80D²¹, 160D²³, 80S²¹, 160B²³, 40G⁹</t>
        </is>
      </c>
    </row>
    <row r="1045">
      <c r="A1045">
        <f>HYPERLINK("https://mathstats.uncg.edu/sites/pauli/congruence/csg5.html#group40D5", "40D⁵")</f>
        <v/>
      </c>
      <c r="B1045" t="n">
        <v>5</v>
      </c>
      <c r="C1045" t="inlineStr"/>
      <c r="D1045" t="inlineStr">
        <is>
          <t>80</t>
        </is>
      </c>
      <c r="E1045" t="inlineStr">
        <is>
          <t>1</t>
        </is>
      </c>
      <c r="F1045" t="inlineStr">
        <is>
          <t>80</t>
        </is>
      </c>
      <c r="G1045" t="inlineStr">
        <is>
          <t>4</t>
        </is>
      </c>
      <c r="H1045" t="inlineStr">
        <is>
          <t>2</t>
        </is>
      </c>
      <c r="I1045" t="inlineStr">
        <is>
          <t>40²</t>
        </is>
      </c>
      <c r="J1045" t="n">
        <v>2</v>
      </c>
      <c r="K1045" t="inlineStr">
        <is>
          <t>4⁴, 16⁴</t>
        </is>
      </c>
      <c r="L1045" t="inlineStr">
        <is>
          <t>8F⁰, 20A¹</t>
        </is>
      </c>
      <c r="M1045" t="inlineStr">
        <is>
          <t>40B¹⁰, 40C¹¹, 40K¹⁵, 120E¹⁶, 40O¹⁷, 120C¹⁷, 40B²³, 80D²³</t>
        </is>
      </c>
      <c r="N1045" t="inlineStr">
        <is>
          <t>20A¹, 5A⁰, 8F⁰, 1A⁰, 4A⁰</t>
        </is>
      </c>
      <c r="O1045" t="inlineStr">
        <is>
          <t>40O¹⁷, 80D²³, 80A²², 120E¹⁶, 40C¹¹, 40K¹⁵, 40C²¹, 40B²³, 40B¹⁰, 120C¹⁷</t>
        </is>
      </c>
    </row>
    <row r="1046">
      <c r="A1046">
        <f>HYPERLINK("https://mathstats.uncg.edu/sites/pauli/congruence/csg5.html#group40E5", "40E⁵")</f>
        <v/>
      </c>
      <c r="B1046" t="n">
        <v>5</v>
      </c>
      <c r="C1046" t="inlineStr"/>
      <c r="D1046" t="inlineStr">
        <is>
          <t>80</t>
        </is>
      </c>
      <c r="E1046" t="inlineStr">
        <is>
          <t>2</t>
        </is>
      </c>
      <c r="F1046" t="inlineStr">
        <is>
          <t>40</t>
        </is>
      </c>
      <c r="G1046" t="inlineStr">
        <is>
          <t>4</t>
        </is>
      </c>
      <c r="H1046" t="inlineStr">
        <is>
          <t>2</t>
        </is>
      </c>
      <c r="I1046" t="inlineStr">
        <is>
          <t>40²</t>
        </is>
      </c>
      <c r="J1046" t="n">
        <v>2</v>
      </c>
      <c r="K1046" t="inlineStr">
        <is>
          <t>8², 16⁴</t>
        </is>
      </c>
      <c r="L1046" t="inlineStr">
        <is>
          <t>20E²</t>
        </is>
      </c>
      <c r="M1046" t="inlineStr">
        <is>
          <t>40U⁹, 40A¹¹, 40D¹¹, 40P¹⁷, 40R¹⁷, 120E¹⁷, 40D²¹</t>
        </is>
      </c>
      <c r="N1046" t="inlineStr">
        <is>
          <t>5C⁰, 20E², 1A⁰, 4A⁰</t>
        </is>
      </c>
      <c r="O1046" t="inlineStr">
        <is>
          <t>40B²¹, 120E¹⁷, 40K¹⁹, 40J¹⁹, 80AI²¹, 80AH²¹, 40P¹⁷, 40U⁹, 40D¹¹, 80E²³, 80C²³, 40R¹⁷, 40A¹¹, 40D²¹</t>
        </is>
      </c>
    </row>
    <row r="1047">
      <c r="A1047">
        <f>HYPERLINK("https://mathstats.uncg.edu/sites/pauli/congruence/csg5.html#group40F5", "40F⁵")</f>
        <v/>
      </c>
      <c r="B1047" t="n">
        <v>5</v>
      </c>
      <c r="C1047" t="inlineStr"/>
      <c r="D1047" t="inlineStr">
        <is>
          <t>80</t>
        </is>
      </c>
      <c r="E1047" t="inlineStr">
        <is>
          <t>2</t>
        </is>
      </c>
      <c r="F1047" t="inlineStr">
        <is>
          <t>40</t>
        </is>
      </c>
      <c r="G1047" t="inlineStr">
        <is>
          <t>4</t>
        </is>
      </c>
      <c r="H1047" t="inlineStr">
        <is>
          <t>2</t>
        </is>
      </c>
      <c r="I1047" t="inlineStr">
        <is>
          <t>40²</t>
        </is>
      </c>
      <c r="J1047" t="n">
        <v>2</v>
      </c>
      <c r="K1047" t="inlineStr">
        <is>
          <t>8², 16⁴</t>
        </is>
      </c>
      <c r="L1047" t="inlineStr">
        <is>
          <t>8A⁰, 20E²</t>
        </is>
      </c>
      <c r="M1047" t="inlineStr">
        <is>
          <t>40U⁹, 40B¹¹, 40D¹¹, 80E¹¹, 80F¹¹, 40Q¹⁷, 40S¹⁷, 120F¹⁷, 40E²¹</t>
        </is>
      </c>
      <c r="N1047" t="inlineStr">
        <is>
          <t>8A⁰, 4A⁰, 1A⁰, 20E², 5C⁰</t>
        </is>
      </c>
      <c r="O1047" t="inlineStr">
        <is>
          <t>40B²¹, 40B¹¹, 80E¹¹, 80AI²¹, 40E²¹, 40U⁹, 40D¹¹, 120F¹⁷, 80E²³, 40Q¹⁷, 80B²³, 40K¹⁹, 40J¹⁹, 80A²³, 80AH²¹, 40S¹⁷, 80F¹¹</t>
        </is>
      </c>
    </row>
    <row r="1048">
      <c r="A1048">
        <f>HYPERLINK("https://mathstats.uncg.edu/sites/pauli/congruence/csg5.html#group40G5", "40G⁵")</f>
        <v/>
      </c>
      <c r="B1048" t="n">
        <v>5</v>
      </c>
      <c r="C1048" t="inlineStr"/>
      <c r="D1048" t="inlineStr">
        <is>
          <t>96</t>
        </is>
      </c>
      <c r="E1048" t="inlineStr">
        <is>
          <t>1</t>
        </is>
      </c>
      <c r="F1048" t="inlineStr">
        <is>
          <t>24</t>
        </is>
      </c>
      <c r="G1048" t="inlineStr">
        <is>
          <t>8</t>
        </is>
      </c>
      <c r="H1048" t="inlineStr">
        <is>
          <t>0</t>
        </is>
      </c>
      <c r="I1048" t="inlineStr">
        <is>
          <t>8², 40²</t>
        </is>
      </c>
      <c r="J1048" t="n">
        <v>4</v>
      </c>
      <c r="K1048" t="inlineStr">
        <is>
          <t>4⁴, 16²</t>
        </is>
      </c>
      <c r="L1048" t="inlineStr">
        <is>
          <t>20G¹</t>
        </is>
      </c>
      <c r="M1048" t="inlineStr">
        <is>
          <t>40F¹¹, 40B¹³, 40AI¹⁷, 120I¹⁷, 40J²¹</t>
        </is>
      </c>
      <c r="N1048" t="inlineStr">
        <is>
          <t>5B⁰, 10B⁰, 1A⁰, 4A⁰, 20B¹, 20G¹</t>
        </is>
      </c>
      <c r="O1048" t="inlineStr">
        <is>
          <t>120I¹⁷, 40J²¹, 40F¹¹, 40B¹³, 40AI¹⁷</t>
        </is>
      </c>
    </row>
    <row r="1049">
      <c r="A1049">
        <f>HYPERLINK("https://mathstats.uncg.edu/sites/pauli/congruence/csg5.html#group40H5", "40H⁵")</f>
        <v/>
      </c>
      <c r="B1049" t="n">
        <v>5</v>
      </c>
      <c r="C1049" t="inlineStr"/>
      <c r="D1049" t="inlineStr">
        <is>
          <t>96</t>
        </is>
      </c>
      <c r="E1049" t="inlineStr">
        <is>
          <t>1</t>
        </is>
      </c>
      <c r="F1049" t="inlineStr">
        <is>
          <t>24</t>
        </is>
      </c>
      <c r="G1049" t="inlineStr">
        <is>
          <t>8</t>
        </is>
      </c>
      <c r="H1049" t="inlineStr">
        <is>
          <t>0</t>
        </is>
      </c>
      <c r="I1049" t="inlineStr">
        <is>
          <t>8², 40²</t>
        </is>
      </c>
      <c r="J1049" t="n">
        <v>4</v>
      </c>
      <c r="K1049" t="inlineStr">
        <is>
          <t>4⁴, 16²</t>
        </is>
      </c>
      <c r="L1049" t="inlineStr">
        <is>
          <t>20G¹</t>
        </is>
      </c>
      <c r="M1049" t="inlineStr">
        <is>
          <t>40G¹¹, 40B¹³, 40AI¹⁷, 120J¹⁷, 40K²¹</t>
        </is>
      </c>
      <c r="N1049" t="inlineStr">
        <is>
          <t>5B⁰, 10B⁰, 1A⁰, 4A⁰, 20B¹, 20G¹</t>
        </is>
      </c>
      <c r="O1049" t="inlineStr">
        <is>
          <t>40K²¹, 40G¹¹, 120J¹⁷, 40B¹³, 40AI¹⁷</t>
        </is>
      </c>
    </row>
    <row r="1050">
      <c r="A1050">
        <f>HYPERLINK("https://mathstats.uncg.edu/sites/pauli/congruence/csg5.html#group40I5", "40I⁵")</f>
        <v/>
      </c>
      <c r="B1050" t="n">
        <v>5</v>
      </c>
      <c r="C1050" t="inlineStr"/>
      <c r="D1050" t="inlineStr">
        <is>
          <t>96</t>
        </is>
      </c>
      <c r="E1050" t="inlineStr">
        <is>
          <t>1</t>
        </is>
      </c>
      <c r="F1050" t="inlineStr">
        <is>
          <t>96</t>
        </is>
      </c>
      <c r="G1050" t="inlineStr">
        <is>
          <t>8</t>
        </is>
      </c>
      <c r="H1050" t="inlineStr">
        <is>
          <t>0</t>
        </is>
      </c>
      <c r="I1050" t="inlineStr">
        <is>
          <t>8², 40²</t>
        </is>
      </c>
      <c r="J1050" t="n">
        <v>4</v>
      </c>
      <c r="K1050" t="inlineStr">
        <is>
          <t>4⁸, 16⁴</t>
        </is>
      </c>
      <c r="L1050" t="inlineStr">
        <is>
          <t>8F⁰, 20B¹</t>
        </is>
      </c>
      <c r="M1050" t="inlineStr">
        <is>
          <t>40V⁹, 40H¹¹, 40I¹¹, 40D¹³, 40E¹³, 40AP¹⁷, 120M¹⁷</t>
        </is>
      </c>
      <c r="N1050" t="inlineStr">
        <is>
          <t>5B⁰, 8F⁰, 1A⁰, 4A⁰, 20B¹</t>
        </is>
      </c>
      <c r="O1050" t="inlineStr">
        <is>
          <t>40K²¹, 40V⁹, 40AP¹⁷, 40H¹¹, 40J²¹, 120M¹⁷, 40I¹¹, 40L²¹, 40E¹³, 40M²¹, 40D¹³</t>
        </is>
      </c>
    </row>
    <row r="1051">
      <c r="A1051">
        <f>HYPERLINK("https://mathstats.uncg.edu/sites/pauli/congruence/csg5.html#group40J5", "40J⁵")</f>
        <v/>
      </c>
      <c r="B1051" t="n">
        <v>5</v>
      </c>
      <c r="C1051" t="inlineStr"/>
      <c r="D1051" t="inlineStr">
        <is>
          <t>96</t>
        </is>
      </c>
      <c r="E1051" t="inlineStr">
        <is>
          <t>2</t>
        </is>
      </c>
      <c r="F1051" t="inlineStr">
        <is>
          <t>24</t>
        </is>
      </c>
      <c r="G1051" t="inlineStr">
        <is>
          <t>8</t>
        </is>
      </c>
      <c r="H1051" t="inlineStr">
        <is>
          <t>0</t>
        </is>
      </c>
      <c r="I1051" t="inlineStr">
        <is>
          <t>8², 40²</t>
        </is>
      </c>
      <c r="J1051" t="n">
        <v>4</v>
      </c>
      <c r="K1051" t="inlineStr">
        <is>
          <t>4⁴, 16²</t>
        </is>
      </c>
      <c r="L1051" t="inlineStr">
        <is>
          <t>20G¹, 40A³, 40B³</t>
        </is>
      </c>
      <c r="M1051" t="inlineStr">
        <is>
          <t>40F¹¹, 40G¹¹, 40C¹³, 80A¹³, 80B¹³, 40AN¹⁷, 120P¹⁷, 40M²¹</t>
        </is>
      </c>
      <c r="N1051" t="inlineStr">
        <is>
          <t>40A³, 4A⁰, 40B³, 20G¹, 5B⁰, 8A⁰, 1A⁰, 20B¹, 10B⁰</t>
        </is>
      </c>
      <c r="O1051" t="inlineStr">
        <is>
          <t>40G¹¹, 120P¹⁷, 80A¹³, 40C¹³, 40F¹¹, 80B¹³, 40M²¹, 40AN¹⁷</t>
        </is>
      </c>
    </row>
    <row r="1052">
      <c r="A1052">
        <f>HYPERLINK("https://mathstats.uncg.edu/sites/pauli/congruence/csg5.html#group40K5", "40K⁵")</f>
        <v/>
      </c>
      <c r="B1052" t="n">
        <v>5</v>
      </c>
      <c r="C1052" t="inlineStr"/>
      <c r="D1052" t="inlineStr">
        <is>
          <t>120</t>
        </is>
      </c>
      <c r="E1052" t="inlineStr">
        <is>
          <t>2</t>
        </is>
      </c>
      <c r="F1052" t="inlineStr">
        <is>
          <t>30</t>
        </is>
      </c>
      <c r="G1052" t="inlineStr">
        <is>
          <t>4</t>
        </is>
      </c>
      <c r="H1052" t="inlineStr">
        <is>
          <t>0</t>
        </is>
      </c>
      <c r="I1052" t="inlineStr">
        <is>
          <t>5⁸, 40²</t>
        </is>
      </c>
      <c r="J1052" t="n">
        <v>10</v>
      </c>
      <c r="K1052" t="inlineStr">
        <is>
          <t>4³, 8⁶</t>
        </is>
      </c>
      <c r="L1052" t="inlineStr">
        <is>
          <t>20F²</t>
        </is>
      </c>
      <c r="M1052" t="inlineStr">
        <is>
          <t>40J¹¹, 40I¹³, 40T¹⁵, 40AJ¹⁵, 120O²³</t>
        </is>
      </c>
      <c r="N1052" t="inlineStr">
        <is>
          <t>1A⁰, 2B⁰, 20F², 5C⁰, 10F¹</t>
        </is>
      </c>
      <c r="O1052" t="inlineStr">
        <is>
          <t>40AJ¹⁵, 40T¹⁵, 40I¹³, 40J¹¹, 120O²³</t>
        </is>
      </c>
    </row>
    <row r="1053">
      <c r="A1053">
        <f>HYPERLINK("https://mathstats.uncg.edu/sites/pauli/congruence/csg5.html#group40L5", "40L⁵")</f>
        <v/>
      </c>
      <c r="B1053" t="n">
        <v>5</v>
      </c>
      <c r="C1053" t="inlineStr"/>
      <c r="D1053" t="inlineStr">
        <is>
          <t>144</t>
        </is>
      </c>
      <c r="E1053" t="inlineStr">
        <is>
          <t>1</t>
        </is>
      </c>
      <c r="F1053" t="inlineStr">
        <is>
          <t>18</t>
        </is>
      </c>
      <c r="G1053" t="inlineStr">
        <is>
          <t>16</t>
        </is>
      </c>
      <c r="H1053" t="inlineStr">
        <is>
          <t>0</t>
        </is>
      </c>
      <c r="I1053" t="inlineStr">
        <is>
          <t>4², 8², 20², 40²</t>
        </is>
      </c>
      <c r="J1053" t="n">
        <v>8</v>
      </c>
      <c r="K1053" t="inlineStr">
        <is>
          <t>1⁶, 4³</t>
        </is>
      </c>
      <c r="L1053" t="inlineStr">
        <is>
          <t>20I¹, 40C³, 40D³</t>
        </is>
      </c>
      <c r="M1053" t="inlineStr">
        <is>
          <t>40M¹³, 40N¹³, 40U¹³, 40V¹³, 40W¹³, 80C¹³, 40Y¹⁷, 80AA¹⁷, 80AF¹⁷, 80AS¹⁷, 80AT¹⁷, 80BC¹⁷, 80E²¹, 120O²¹</t>
        </is>
      </c>
      <c r="N1053" t="inlineStr">
        <is>
          <t>40C³, 20E¹, 20A⁰, 10G⁰, 20I¹, 4C⁰, 5B⁰, 10C⁰, 8B⁰, 1A⁰, 2B⁰, 40D³, 10B⁰</t>
        </is>
      </c>
      <c r="O1053" t="inlineStr">
        <is>
          <t>40M¹³, 40V¹³, 80AA¹⁷, 40W¹³, 40U¹³, 80E²¹, 80AT¹⁷, 80AF¹⁷, 40Y¹⁷, 80BC¹⁷, 80C¹³, 120O²¹, 80AS¹⁷, 40N¹³</t>
        </is>
      </c>
    </row>
    <row r="1054">
      <c r="A1054">
        <f>HYPERLINK("https://mathstats.uncg.edu/sites/pauli/congruence/csg5.html#group40M5", "40M⁵")</f>
        <v/>
      </c>
      <c r="B1054" t="n">
        <v>5</v>
      </c>
      <c r="C1054" t="inlineStr"/>
      <c r="D1054" t="inlineStr">
        <is>
          <t>144</t>
        </is>
      </c>
      <c r="E1054" t="inlineStr">
        <is>
          <t>1</t>
        </is>
      </c>
      <c r="F1054" t="inlineStr">
        <is>
          <t>36</t>
        </is>
      </c>
      <c r="G1054" t="inlineStr">
        <is>
          <t>0</t>
        </is>
      </c>
      <c r="H1054" t="inlineStr">
        <is>
          <t>0</t>
        </is>
      </c>
      <c r="I1054" t="inlineStr">
        <is>
          <t>1⁴, 2², 5⁴, 8², 10², 40²</t>
        </is>
      </c>
      <c r="J1054" t="n">
        <v>16</v>
      </c>
      <c r="K1054" t="inlineStr">
        <is>
          <t>1⁸, 2², 4⁴, 8¹</t>
        </is>
      </c>
      <c r="L1054" t="inlineStr">
        <is>
          <t>20H¹, 40E³, 40F³</t>
        </is>
      </c>
      <c r="M1054" t="inlineStr">
        <is>
          <t>40W⁹, 40K¹³, 40L¹³, 40O¹³, 40P¹³, 80D¹³, 80E¹³, 80F¹³, 80G¹³, 80U¹⁷, 80V¹⁷</t>
        </is>
      </c>
      <c r="N1054" t="inlineStr">
        <is>
          <t>20A⁰, 40F³, 5B⁰, 10C⁰, 5D⁰, 40E³, 20D¹, 8C⁰, 20H¹, 2B⁰, 4B⁰, 1A⁰, 10F⁰</t>
        </is>
      </c>
      <c r="O1054" t="inlineStr">
        <is>
          <t>80G¹³, 80F¹³, 40O¹³, 80D¹³, 80V¹⁷, 40W⁹, 40K¹³, 40P¹³, 80E¹³, 80U¹⁷, 40L¹³</t>
        </is>
      </c>
    </row>
    <row r="1055">
      <c r="A1055">
        <f>HYPERLINK("https://mathstats.uncg.edu/sites/pauli/congruence/csg5.html#group40N5", "40N⁵")</f>
        <v/>
      </c>
      <c r="B1055" t="n">
        <v>5</v>
      </c>
      <c r="C1055" t="inlineStr"/>
      <c r="D1055" t="inlineStr">
        <is>
          <t>144</t>
        </is>
      </c>
      <c r="E1055" t="inlineStr">
        <is>
          <t>1</t>
        </is>
      </c>
      <c r="F1055" t="inlineStr">
        <is>
          <t>36</t>
        </is>
      </c>
      <c r="G1055" t="inlineStr">
        <is>
          <t>8</t>
        </is>
      </c>
      <c r="H1055" t="inlineStr">
        <is>
          <t>0</t>
        </is>
      </c>
      <c r="I1055" t="inlineStr">
        <is>
          <t>2⁴, 8², 10⁴, 40²</t>
        </is>
      </c>
      <c r="J1055" t="n">
        <v>12</v>
      </c>
      <c r="K1055" t="inlineStr">
        <is>
          <t>1⁴, 2⁴, 4², 8²</t>
        </is>
      </c>
      <c r="L1055" t="inlineStr">
        <is>
          <t>20I¹, 40G³, 40H³</t>
        </is>
      </c>
      <c r="M1055" t="inlineStr">
        <is>
          <t>40K¹¹, 40K¹³, 40M¹³, 80H¹³, 80I¹³, 40AH¹⁵, 40Z¹⁷, 80AM¹⁷, 80AN¹⁷</t>
        </is>
      </c>
      <c r="N1055" t="inlineStr">
        <is>
          <t>20E¹, 20A⁰, 10G⁰, 20I¹, 40H³, 8D⁰, 4C⁰, 5B⁰, 10C⁰, 2B⁰, 10B⁰, 1A⁰, 40G³</t>
        </is>
      </c>
      <c r="O1055" t="inlineStr">
        <is>
          <t>40M¹³, 80AN¹⁷, 80H¹³, 40K¹¹, 40Z¹⁷, 40K¹³, 80AM¹⁷, 80I¹³, 40AH¹⁵</t>
        </is>
      </c>
    </row>
    <row r="1056">
      <c r="A1056">
        <f>HYPERLINK("https://mathstats.uncg.edu/sites/pauli/congruence/csg5.html#group40O5", "40O⁵")</f>
        <v/>
      </c>
      <c r="B1056" t="n">
        <v>5</v>
      </c>
      <c r="C1056" t="inlineStr"/>
      <c r="D1056" t="inlineStr">
        <is>
          <t>144</t>
        </is>
      </c>
      <c r="E1056" t="inlineStr">
        <is>
          <t>2</t>
        </is>
      </c>
      <c r="F1056" t="inlineStr">
        <is>
          <t>18</t>
        </is>
      </c>
      <c r="G1056" t="inlineStr">
        <is>
          <t>8</t>
        </is>
      </c>
      <c r="H1056" t="inlineStr">
        <is>
          <t>0</t>
        </is>
      </c>
      <c r="I1056" t="inlineStr">
        <is>
          <t>2⁴, 8², 10⁴, 40²</t>
        </is>
      </c>
      <c r="J1056" t="n">
        <v>12</v>
      </c>
      <c r="K1056" t="inlineStr">
        <is>
          <t>2⁶, 8³</t>
        </is>
      </c>
      <c r="L1056" t="inlineStr">
        <is>
          <t>20I¹, 40A¹, 40I³</t>
        </is>
      </c>
      <c r="M1056" t="inlineStr">
        <is>
          <t>40K¹¹, 40J¹³, 40W¹³, 40AG¹⁵, 40AQ¹⁷</t>
        </is>
      </c>
      <c r="N1056" t="inlineStr">
        <is>
          <t>20E¹, 20A⁰, 40A¹, 10G⁰, 20I¹, 40I³, 4C⁰, 5B⁰, 10C⁰, 2B⁰, 1A⁰, 10B⁰</t>
        </is>
      </c>
      <c r="O1056" t="inlineStr">
        <is>
          <t>40J¹³, 40AQ¹⁷, 40W¹³, 40K¹¹, 40AG¹⁵</t>
        </is>
      </c>
    </row>
    <row r="1057">
      <c r="A1057">
        <f>HYPERLINK("https://mathstats.uncg.edu/sites/pauli/congruence/csg5.html#group41A5", "41A⁵")</f>
        <v/>
      </c>
      <c r="B1057" t="n">
        <v>5</v>
      </c>
      <c r="C1057" t="inlineStr"/>
      <c r="D1057" t="inlineStr">
        <is>
          <t>84</t>
        </is>
      </c>
      <c r="E1057" t="inlineStr">
        <is>
          <t>1</t>
        </is>
      </c>
      <c r="F1057" t="inlineStr">
        <is>
          <t>42</t>
        </is>
      </c>
      <c r="G1057" t="inlineStr">
        <is>
          <t>4</t>
        </is>
      </c>
      <c r="H1057" t="inlineStr">
        <is>
          <t>0</t>
        </is>
      </c>
      <c r="I1057" t="inlineStr">
        <is>
          <t>1², 41²</t>
        </is>
      </c>
      <c r="J1057" t="n">
        <v>4</v>
      </c>
      <c r="K1057" t="inlineStr">
        <is>
          <t>1², 40¹</t>
        </is>
      </c>
      <c r="L1057" t="inlineStr">
        <is>
          <t>41A³</t>
        </is>
      </c>
      <c r="M1057" t="inlineStr">
        <is>
          <t>41A¹¹, 82A¹¹, 82A¹³, 82A¹⁷, 123A¹⁷, 41A²¹</t>
        </is>
      </c>
      <c r="N1057" t="inlineStr">
        <is>
          <t>1A⁰, 41A³</t>
        </is>
      </c>
      <c r="O1057" t="inlineStr">
        <is>
          <t>123A¹⁷, 41A²¹, 82A¹¹, 41A¹¹, 82A¹⁷, 82A¹³</t>
        </is>
      </c>
    </row>
    <row r="1058">
      <c r="A1058">
        <f>HYPERLINK("https://mathstats.uncg.edu/sites/pauli/congruence/csg5.html#group42A5", "42A⁵")</f>
        <v/>
      </c>
      <c r="B1058" t="n">
        <v>5</v>
      </c>
      <c r="C1058" t="inlineStr"/>
      <c r="D1058" t="inlineStr">
        <is>
          <t>72</t>
        </is>
      </c>
      <c r="E1058" t="inlineStr">
        <is>
          <t>1</t>
        </is>
      </c>
      <c r="F1058" t="inlineStr">
        <is>
          <t>24</t>
        </is>
      </c>
      <c r="G1058" t="inlineStr">
        <is>
          <t>0</t>
        </is>
      </c>
      <c r="H1058" t="inlineStr">
        <is>
          <t>0</t>
        </is>
      </c>
      <c r="I1058" t="inlineStr">
        <is>
          <t>3¹, 6¹, 21¹, 42¹</t>
        </is>
      </c>
      <c r="J1058" t="n">
        <v>4</v>
      </c>
      <c r="K1058" t="inlineStr">
        <is>
          <t>1⁶, 6³</t>
        </is>
      </c>
      <c r="L1058" t="inlineStr">
        <is>
          <t>6D⁰, 14C¹, 21A²</t>
        </is>
      </c>
      <c r="M1058" t="inlineStr">
        <is>
          <t>42A⁹, 42E¹⁰, 42I¹⁰, 84B¹⁰, 84C¹⁰, 84A¹¹, 84B¹¹, 42H¹³, 126A¹⁷</t>
        </is>
      </c>
      <c r="N1058" t="inlineStr">
        <is>
          <t>21A², 7B⁰, 14C¹, 2B⁰, 3A⁰, 1A⁰, 6D⁰</t>
        </is>
      </c>
      <c r="O1058" t="inlineStr">
        <is>
          <t>168D²³, 84C²¹, 84B²¹, 42P¹⁹, 168E²⁰, 42I¹⁷, 84I²⁰, 42A⁹, 84K²⁰, 84J²⁰, 84J²², 168C²³, 84B¹⁰, 84D²¹, 42R¹⁹, 84A¹¹, 168B²², 84B¹¹, 84F²², 84A²², 84A²¹, 84C¹⁰, 84I²², 42I¹⁰, 84K¹⁹, 168A²³, 42E¹⁰, 168B²³, 126A¹⁷, 168A²², 168F²⁰, 84L²⁰, 84J¹⁹, 168C²², 168B²¹, 42H¹³, 168D²², 84F²¹, 84E²¹, 84H²¹, 168C²¹</t>
        </is>
      </c>
    </row>
    <row r="1059">
      <c r="A1059">
        <f>HYPERLINK("https://mathstats.uncg.edu/sites/pauli/congruence/csg5.html#group42B5", "42B⁵")</f>
        <v/>
      </c>
      <c r="B1059" t="n">
        <v>5</v>
      </c>
      <c r="C1059" t="inlineStr"/>
      <c r="D1059" t="inlineStr">
        <is>
          <t>72</t>
        </is>
      </c>
      <c r="E1059" t="inlineStr">
        <is>
          <t>2</t>
        </is>
      </c>
      <c r="F1059" t="inlineStr">
        <is>
          <t>24</t>
        </is>
      </c>
      <c r="G1059" t="inlineStr">
        <is>
          <t>0</t>
        </is>
      </c>
      <c r="H1059" t="inlineStr">
        <is>
          <t>0</t>
        </is>
      </c>
      <c r="I1059" t="inlineStr">
        <is>
          <t>3¹, 6¹, 21¹, 42¹</t>
        </is>
      </c>
      <c r="J1059" t="n">
        <v>4</v>
      </c>
      <c r="K1059" t="inlineStr">
        <is>
          <t>2⁶, 12³</t>
        </is>
      </c>
      <c r="L1059" t="inlineStr">
        <is>
          <t>14C¹, 21A¹</t>
        </is>
      </c>
      <c r="M1059" t="inlineStr">
        <is>
          <t>42J¹⁰, 84D¹⁰, 84C¹¹, 42H¹³, 42J¹⁷</t>
        </is>
      </c>
      <c r="N1059" t="inlineStr">
        <is>
          <t>2B⁰, 14C¹, 1A⁰, 7B⁰, 21A¹</t>
        </is>
      </c>
      <c r="O1059" t="inlineStr">
        <is>
          <t>42H¹³, 42J¹⁰, 84C¹¹, 84N²⁰, 168F²³, 168F²², 84G²¹, 168G²⁰, 168E²², 84M²⁰, 168D²¹, 84K²², 42J¹⁷, 84D¹⁰, 168E²³, 84L²²</t>
        </is>
      </c>
    </row>
    <row r="1060">
      <c r="A1060">
        <f>HYPERLINK("https://mathstats.uncg.edu/sites/pauli/congruence/csg5.html#group42C5", "42C⁵")</f>
        <v/>
      </c>
      <c r="B1060" t="n">
        <v>5</v>
      </c>
      <c r="C1060" t="inlineStr"/>
      <c r="D1060" t="inlineStr">
        <is>
          <t>84</t>
        </is>
      </c>
      <c r="E1060" t="inlineStr">
        <is>
          <t>2</t>
        </is>
      </c>
      <c r="F1060" t="inlineStr">
        <is>
          <t>14</t>
        </is>
      </c>
      <c r="G1060" t="inlineStr">
        <is>
          <t>0</t>
        </is>
      </c>
      <c r="H1060" t="inlineStr">
        <is>
          <t>6</t>
        </is>
      </c>
      <c r="I1060" t="inlineStr">
        <is>
          <t>42²</t>
        </is>
      </c>
      <c r="J1060" t="n">
        <v>2</v>
      </c>
      <c r="K1060" t="inlineStr">
        <is>
          <t>4¹, 12²</t>
        </is>
      </c>
      <c r="L1060" t="inlineStr">
        <is>
          <t>14D¹, 21C¹</t>
        </is>
      </c>
      <c r="M1060" t="inlineStr">
        <is>
          <t>42B¹⁶, 42F¹⁹, 42I¹⁹, 42B²³, 42G²³, 42J²³</t>
        </is>
      </c>
      <c r="N1060" t="inlineStr">
        <is>
          <t>2A⁰, 14A⁰, 7C⁰, 14A¹, 21C¹, 1A⁰, 14D¹, 7A⁰</t>
        </is>
      </c>
      <c r="O1060" t="inlineStr">
        <is>
          <t>42I¹⁹, 42F¹⁹, 42B²³, 42B¹⁶, 42J²³, 42G²³</t>
        </is>
      </c>
    </row>
    <row r="1061">
      <c r="A1061">
        <f>HYPERLINK("https://mathstats.uncg.edu/sites/pauli/congruence/csg5.html#group42D5", "42D⁵")</f>
        <v/>
      </c>
      <c r="B1061" t="n">
        <v>5</v>
      </c>
      <c r="C1061" t="inlineStr"/>
      <c r="D1061" t="inlineStr">
        <is>
          <t>84</t>
        </is>
      </c>
      <c r="E1061" t="inlineStr">
        <is>
          <t>2</t>
        </is>
      </c>
      <c r="F1061" t="inlineStr">
        <is>
          <t>14</t>
        </is>
      </c>
      <c r="G1061" t="inlineStr">
        <is>
          <t>0</t>
        </is>
      </c>
      <c r="H1061" t="inlineStr">
        <is>
          <t>6</t>
        </is>
      </c>
      <c r="I1061" t="inlineStr">
        <is>
          <t>42²</t>
        </is>
      </c>
      <c r="J1061" t="n">
        <v>2</v>
      </c>
      <c r="K1061" t="inlineStr">
        <is>
          <t>4¹, 12²</t>
        </is>
      </c>
      <c r="L1061" t="inlineStr">
        <is>
          <t>14D¹, 42A³</t>
        </is>
      </c>
      <c r="M1061" t="inlineStr">
        <is>
          <t>42B¹⁶, 42G¹⁹, 42H¹⁹, 42A²³, 42H²³</t>
        </is>
      </c>
      <c r="N1061" t="inlineStr">
        <is>
          <t>2A⁰, 14A⁰, 6A⁰, 42A³, 7C⁰, 14A¹, 1A⁰, 14D¹, 7A⁰</t>
        </is>
      </c>
      <c r="O1061" t="inlineStr">
        <is>
          <t>42H²³, 42G¹⁹, 42A²³, 42B¹⁶, 42H¹⁹</t>
        </is>
      </c>
    </row>
    <row r="1062">
      <c r="A1062">
        <f>HYPERLINK("https://mathstats.uncg.edu/sites/pauli/congruence/csg5.html#group42E5", "42E⁵")</f>
        <v/>
      </c>
      <c r="B1062" t="n">
        <v>5</v>
      </c>
      <c r="C1062" t="inlineStr"/>
      <c r="D1062" t="inlineStr">
        <is>
          <t>84</t>
        </is>
      </c>
      <c r="E1062" t="inlineStr">
        <is>
          <t>2</t>
        </is>
      </c>
      <c r="F1062" t="inlineStr">
        <is>
          <t>21</t>
        </is>
      </c>
      <c r="G1062" t="inlineStr">
        <is>
          <t>8</t>
        </is>
      </c>
      <c r="H1062" t="inlineStr">
        <is>
          <t>0</t>
        </is>
      </c>
      <c r="I1062" t="inlineStr">
        <is>
          <t>42²</t>
        </is>
      </c>
      <c r="J1062" t="n">
        <v>2</v>
      </c>
      <c r="K1062" t="inlineStr">
        <is>
          <t>2¹, 4¹, 6², 12²</t>
        </is>
      </c>
      <c r="L1062" t="inlineStr">
        <is>
          <t>42A¹, 21D², 42A²</t>
        </is>
      </c>
      <c r="M1062" t="inlineStr">
        <is>
          <t>42C⁹, 42B¹³, 42E¹³, 126F¹⁵, 42E¹⁷, 42F¹⁷, 42H¹⁷, 126G¹⁸, 126C¹⁹, 126B¹⁹, 42B²¹, 84D²³</t>
        </is>
      </c>
      <c r="N1062" t="inlineStr">
        <is>
          <t>14A⁰, 21D², 42A², 42A¹, 21A⁰, 3C⁰, 3A⁰, 1A⁰, 7A⁰</t>
        </is>
      </c>
      <c r="O1062" t="inlineStr">
        <is>
          <t>126G¹⁸, 42B¹³, 84A²³, 42C⁹, 42F¹⁷, 126F¹⁵, 126B¹⁹, 126C¹⁹, 84D²³, 42B²¹, 42E¹³, 42E¹⁷, 42H¹⁷</t>
        </is>
      </c>
    </row>
    <row r="1063">
      <c r="A1063">
        <f>HYPERLINK("https://mathstats.uncg.edu/sites/pauli/congruence/csg5.html#group42F5", "42F⁵")</f>
        <v/>
      </c>
      <c r="B1063" t="n">
        <v>5</v>
      </c>
      <c r="C1063" t="inlineStr"/>
      <c r="D1063" t="inlineStr">
        <is>
          <t>84</t>
        </is>
      </c>
      <c r="E1063" t="inlineStr">
        <is>
          <t>2</t>
        </is>
      </c>
      <c r="F1063" t="inlineStr">
        <is>
          <t>21</t>
        </is>
      </c>
      <c r="G1063" t="inlineStr">
        <is>
          <t>8</t>
        </is>
      </c>
      <c r="H1063" t="inlineStr">
        <is>
          <t>0</t>
        </is>
      </c>
      <c r="I1063" t="inlineStr">
        <is>
          <t>42²</t>
        </is>
      </c>
      <c r="J1063" t="n">
        <v>2</v>
      </c>
      <c r="K1063" t="inlineStr">
        <is>
          <t>2¹, 4¹, 6², 12²</t>
        </is>
      </c>
      <c r="L1063" t="inlineStr">
        <is>
          <t>42B¹, 21C², 42A²</t>
        </is>
      </c>
      <c r="M1063" t="inlineStr">
        <is>
          <t>42B¹¹, 42E¹³, 42I¹³, 42G¹⁷, 126C¹⁷, 126D¹⁷, 126A¹⁹, 126E¹⁹, 84E²³</t>
        </is>
      </c>
      <c r="N1063" t="inlineStr">
        <is>
          <t>6B⁰, 42A², 7C⁰, 21C², 21A⁰, 42B¹, 3A⁰, 1A⁰, 7A⁰</t>
        </is>
      </c>
      <c r="O1063" t="inlineStr">
        <is>
          <t>42B¹¹, 126C¹⁷, 42G¹⁷, 126E¹⁹, 42I¹³, 126A¹⁹, 84E²³, 126D¹⁷, 42E¹³</t>
        </is>
      </c>
    </row>
    <row r="1064">
      <c r="A1064">
        <f>HYPERLINK("https://mathstats.uncg.edu/sites/pauli/congruence/csg5.html#group42G5", "42G⁵")</f>
        <v/>
      </c>
      <c r="B1064" t="n">
        <v>5</v>
      </c>
      <c r="C1064" t="inlineStr">
        <is>
          <t>Γ₀(42)</t>
        </is>
      </c>
      <c r="D1064" t="inlineStr">
        <is>
          <t>96</t>
        </is>
      </c>
      <c r="E1064" t="inlineStr">
        <is>
          <t>1</t>
        </is>
      </c>
      <c r="F1064" t="inlineStr">
        <is>
          <t>96</t>
        </is>
      </c>
      <c r="G1064" t="inlineStr">
        <is>
          <t>0</t>
        </is>
      </c>
      <c r="H1064" t="inlineStr">
        <is>
          <t>0</t>
        </is>
      </c>
      <c r="I1064" t="inlineStr">
        <is>
          <t>1¹, 2¹, 3¹, 6¹, 7¹, 14¹, 21¹, 42¹</t>
        </is>
      </c>
      <c r="J1064" t="n">
        <v>8</v>
      </c>
      <c r="K1064" t="inlineStr">
        <is>
          <t>1¹², 2⁶, 6⁶, 12³</t>
        </is>
      </c>
      <c r="L1064" t="inlineStr">
        <is>
          <t>6F⁰, 14C¹, 21B¹</t>
        </is>
      </c>
      <c r="M1064" t="inlineStr">
        <is>
          <t>42E⁹, 42G¹¹, 42I¹¹, 84H¹¹, 84I¹¹, 42L¹³, 84F¹³, 84G¹³, 42I¹⁷, 42J¹⁷, 126J¹⁷, 126K¹⁷, 126J²¹, 126K²¹, 126O²¹, 126P²¹</t>
        </is>
      </c>
      <c r="N1064" t="inlineStr">
        <is>
          <t>3B⁰, 21B¹, 7B⁰, 14C¹, 6F⁰, 2B⁰, 1A⁰</t>
        </is>
      </c>
      <c r="O1064" t="inlineStr">
        <is>
          <t>42H²¹, 126J¹⁷, 42L¹³, 84Q²¹, 126J²¹, 84J²³, 84H¹¹, 42I¹⁷, 42J¹⁷, 84L²³, 84I¹¹, 126P²¹, 42I¹¹, 168Q²³, 84I²³, 168R²³, 126K¹⁷, 84F¹³, 126O²¹, 42E⁹, 126K²¹, 84K²³, 84G¹³, 42G¹¹</t>
        </is>
      </c>
    </row>
    <row r="1065">
      <c r="A1065">
        <f>HYPERLINK("https://mathstats.uncg.edu/sites/pauli/congruence/csg5.html#group42H5", "42H⁵")</f>
        <v/>
      </c>
      <c r="B1065" t="n">
        <v>5</v>
      </c>
      <c r="C1065" t="inlineStr"/>
      <c r="D1065" t="inlineStr">
        <is>
          <t>126</t>
        </is>
      </c>
      <c r="E1065" t="inlineStr">
        <is>
          <t>1</t>
        </is>
      </c>
      <c r="F1065" t="inlineStr">
        <is>
          <t>63</t>
        </is>
      </c>
      <c r="G1065" t="inlineStr">
        <is>
          <t>20</t>
        </is>
      </c>
      <c r="H1065" t="inlineStr">
        <is>
          <t>0</t>
        </is>
      </c>
      <c r="I1065" t="inlineStr">
        <is>
          <t>42³</t>
        </is>
      </c>
      <c r="J1065" t="n">
        <v>3</v>
      </c>
      <c r="K1065" t="inlineStr">
        <is>
          <t>3¹, 6⁴, 12³</t>
        </is>
      </c>
      <c r="L1065" t="inlineStr">
        <is>
          <t>21E¹, 42B¹</t>
        </is>
      </c>
      <c r="M1065" t="inlineStr">
        <is>
          <t>42L¹¹, 42I¹³, 42A¹⁴, 42D¹⁴, 42E¹⁴, 42F¹⁴, 42G¹⁵, 42B¹⁷, 42E¹⁹, 126R²¹, 42K²³</t>
        </is>
      </c>
      <c r="N1065" t="inlineStr">
        <is>
          <t>6B⁰, 7D⁰, 21E¹, 21A⁰, 42B¹, 3A⁰, 1A⁰, 7A⁰</t>
        </is>
      </c>
      <c r="O1065" t="inlineStr">
        <is>
          <t>126R²¹, 42K²³, 42A¹⁴, 42I¹³, 42B¹⁷, 42G¹⁵, 42E¹⁹, 42E¹⁴, 42L¹¹, 42F¹⁴, 42D¹⁴</t>
        </is>
      </c>
    </row>
    <row r="1066">
      <c r="A1066">
        <f>HYPERLINK("https://mathstats.uncg.edu/sites/pauli/congruence/csg5.html#group42I5", "42I⁵")</f>
        <v/>
      </c>
      <c r="B1066" t="n">
        <v>5</v>
      </c>
      <c r="C1066" t="inlineStr"/>
      <c r="D1066" t="inlineStr">
        <is>
          <t>128</t>
        </is>
      </c>
      <c r="E1066" t="inlineStr">
        <is>
          <t>1</t>
        </is>
      </c>
      <c r="F1066" t="inlineStr">
        <is>
          <t>32</t>
        </is>
      </c>
      <c r="G1066" t="inlineStr">
        <is>
          <t>0</t>
        </is>
      </c>
      <c r="H1066" t="inlineStr">
        <is>
          <t>8</t>
        </is>
      </c>
      <c r="I1066" t="inlineStr">
        <is>
          <t>2², 6², 14², 42²</t>
        </is>
      </c>
      <c r="J1066" t="n">
        <v>8</v>
      </c>
      <c r="K1066" t="inlineStr">
        <is>
          <t>1⁴, 2², 6², 12¹</t>
        </is>
      </c>
      <c r="L1066" t="inlineStr">
        <is>
          <t>21F¹, 42D³, 42E³</t>
        </is>
      </c>
      <c r="M1066" t="inlineStr">
        <is>
          <t>84K¹³, 42L¹⁷, 42G²¹, 42H²¹, 42I²¹, 42J²¹, 126S²¹, 126T²¹, 126U²¹, 42M²³, 126M²³</t>
        </is>
      </c>
      <c r="N1066" t="inlineStr">
        <is>
          <t>3B⁰, 2A⁰, 21B¹, 7B⁰, 42E³, 6C⁰, 14B⁰, 42D³, 1A⁰, 21F¹</t>
        </is>
      </c>
      <c r="O1066" t="inlineStr">
        <is>
          <t>42H²¹, 42L¹⁷, 42M²³, 42G²¹, 126T²¹, 126M²³, 42J²¹, 126U²¹, 42I²¹, 84K¹³, 126S²¹</t>
        </is>
      </c>
    </row>
    <row r="1067">
      <c r="A1067">
        <f>HYPERLINK("https://mathstats.uncg.edu/sites/pauli/congruence/csg5.html#group44A5", "44A⁵")</f>
        <v/>
      </c>
      <c r="B1067" t="n">
        <v>5</v>
      </c>
      <c r="C1067" t="inlineStr"/>
      <c r="D1067" t="inlineStr">
        <is>
          <t>66</t>
        </is>
      </c>
      <c r="E1067" t="inlineStr">
        <is>
          <t>2</t>
        </is>
      </c>
      <c r="F1067" t="inlineStr">
        <is>
          <t>33</t>
        </is>
      </c>
      <c r="G1067" t="inlineStr">
        <is>
          <t>0</t>
        </is>
      </c>
      <c r="H1067" t="inlineStr">
        <is>
          <t>0</t>
        </is>
      </c>
      <c r="I1067" t="inlineStr">
        <is>
          <t>11², 44¹</t>
        </is>
      </c>
      <c r="J1067" t="n">
        <v>3</v>
      </c>
      <c r="K1067" t="inlineStr">
        <is>
          <t>2³, 10⁶</t>
        </is>
      </c>
      <c r="L1067" t="inlineStr">
        <is>
          <t>4B⁰, 22B²</t>
        </is>
      </c>
      <c r="M1067" t="inlineStr">
        <is>
          <t>44A¹⁰, 88A¹⁰, 132A¹⁶, 132B²⁰, 44B²¹</t>
        </is>
      </c>
      <c r="N1067" t="inlineStr">
        <is>
          <t>11A⁰, 2B⁰, 22B², 4B⁰, 1A⁰</t>
        </is>
      </c>
      <c r="O1067" t="inlineStr">
        <is>
          <t>44A¹⁰, 88C²⁰, 176B²⁰, 176A²¹, 176A²⁰, 132A¹⁶, 88A²⁰, 44A²⁰, 88B²⁰, 44B²¹, 88A²¹, 88A¹⁰, 132B²⁰</t>
        </is>
      </c>
    </row>
    <row r="1068">
      <c r="A1068">
        <f>HYPERLINK("https://mathstats.uncg.edu/sites/pauli/congruence/csg5.html#group44B5", "44B⁵")</f>
        <v/>
      </c>
      <c r="B1068" t="n">
        <v>5</v>
      </c>
      <c r="C1068" t="inlineStr"/>
      <c r="D1068" t="inlineStr">
        <is>
          <t>72</t>
        </is>
      </c>
      <c r="E1068" t="inlineStr">
        <is>
          <t>1</t>
        </is>
      </c>
      <c r="F1068" t="inlineStr">
        <is>
          <t>36</t>
        </is>
      </c>
      <c r="G1068" t="inlineStr">
        <is>
          <t>0</t>
        </is>
      </c>
      <c r="H1068" t="inlineStr">
        <is>
          <t>0</t>
        </is>
      </c>
      <c r="I1068" t="inlineStr">
        <is>
          <t>2¹, 4¹, 22¹, 44¹</t>
        </is>
      </c>
      <c r="J1068" t="n">
        <v>4</v>
      </c>
      <c r="K1068" t="inlineStr">
        <is>
          <t>1⁶, 10³</t>
        </is>
      </c>
      <c r="L1068" t="inlineStr">
        <is>
          <t>4C⁰, 22C²</t>
        </is>
      </c>
      <c r="M1068" t="inlineStr">
        <is>
          <t>44B⁹, 44C¹⁰, 88C¹⁰, 88B¹¹, 88C¹¹, 132A¹⁷, 44C²¹, 132C²¹</t>
        </is>
      </c>
      <c r="N1068" t="inlineStr">
        <is>
          <t>2B⁰, 22C², 1A⁰, 11A¹, 4C⁰</t>
        </is>
      </c>
      <c r="O1068" t="inlineStr">
        <is>
          <t>88E²⁰, 132A¹⁷, 88B¹⁹, 88G¹⁹, 44C¹⁰, 176D²⁰, 176D²³, 88C¹⁹, 88H¹⁹, 88B¹¹, 44C²¹, 88H²¹, 176G²³, 176C²³, 88G²¹, 88C²¹, 44B⁹, 88A²², 44D¹⁷, 176A²³, 176B²³, 88F²¹, 44B¹⁹, 44A¹⁹, 88D²¹, 88E²¹, 176F²³, 132C²¹, 176C²², 88C¹¹, 176E²³, 176H²³, 88C¹⁰</t>
        </is>
      </c>
    </row>
    <row r="1069">
      <c r="A1069">
        <f>HYPERLINK("https://mathstats.uncg.edu/sites/pauli/congruence/csg5.html#group45A5", "45A⁵")</f>
        <v/>
      </c>
      <c r="B1069" t="n">
        <v>5</v>
      </c>
      <c r="C1069" t="inlineStr"/>
      <c r="D1069" t="inlineStr">
        <is>
          <t>60</t>
        </is>
      </c>
      <c r="E1069" t="inlineStr">
        <is>
          <t>1</t>
        </is>
      </c>
      <c r="F1069" t="inlineStr">
        <is>
          <t>20</t>
        </is>
      </c>
      <c r="G1069" t="inlineStr">
        <is>
          <t>0</t>
        </is>
      </c>
      <c r="H1069" t="inlineStr">
        <is>
          <t>0</t>
        </is>
      </c>
      <c r="I1069" t="inlineStr">
        <is>
          <t>15¹, 45¹</t>
        </is>
      </c>
      <c r="J1069" t="n">
        <v>2</v>
      </c>
      <c r="K1069" t="inlineStr">
        <is>
          <t>1², 2¹, 4², 8¹</t>
        </is>
      </c>
      <c r="L1069" t="inlineStr">
        <is>
          <t>9A¹, 15B¹</t>
        </is>
      </c>
      <c r="M1069" t="inlineStr">
        <is>
          <t>90A¹⁰, 45B¹³, 45C¹³, 45D¹³, 45E¹³, 45F¹³, 45G¹³, 90B¹⁴, 45A¹⁷, 180C²⁰</t>
        </is>
      </c>
      <c r="N1069" t="inlineStr">
        <is>
          <t>15B¹, 3B⁰, 5A⁰, 1A⁰, 9A¹</t>
        </is>
      </c>
      <c r="O1069" t="inlineStr">
        <is>
          <t>45G¹³, 180C²⁰, 45E¹³, 90A¹⁰, 180A²⁰, 45D¹³, 90B¹⁴, 45F¹³, 45C¹³, 45B¹³, 45A¹⁷</t>
        </is>
      </c>
    </row>
    <row r="1070">
      <c r="A1070">
        <f>HYPERLINK("https://mathstats.uncg.edu/sites/pauli/congruence/csg5.html#group45B5", "45B⁵")</f>
        <v/>
      </c>
      <c r="B1070" t="n">
        <v>5</v>
      </c>
      <c r="C1070" t="inlineStr"/>
      <c r="D1070" t="inlineStr">
        <is>
          <t>60</t>
        </is>
      </c>
      <c r="E1070" t="inlineStr">
        <is>
          <t>2</t>
        </is>
      </c>
      <c r="F1070" t="inlineStr">
        <is>
          <t>20</t>
        </is>
      </c>
      <c r="G1070" t="inlineStr">
        <is>
          <t>0</t>
        </is>
      </c>
      <c r="H1070" t="inlineStr">
        <is>
          <t>0</t>
        </is>
      </c>
      <c r="I1070" t="inlineStr">
        <is>
          <t>15¹, 45¹</t>
        </is>
      </c>
      <c r="J1070" t="n">
        <v>2</v>
      </c>
      <c r="K1070" t="inlineStr">
        <is>
          <t>2², 4¹, 8⁴</t>
        </is>
      </c>
      <c r="L1070" t="inlineStr">
        <is>
          <t>15B¹</t>
        </is>
      </c>
      <c r="M1070" t="inlineStr">
        <is>
          <t>90C¹⁰, 45A¹³, 45G¹³, 45H¹³, 45I¹³, 90F¹⁴, 45B¹⁷, 180E²⁰</t>
        </is>
      </c>
      <c r="N1070" t="inlineStr">
        <is>
          <t>3B⁰, 15B¹, 1A⁰, 5A⁰</t>
        </is>
      </c>
      <c r="O1070" t="inlineStr">
        <is>
          <t>45G¹³, 90C¹⁰, 180D²⁰, 45H¹³, 45I¹³, 180E²⁰, 90F¹⁴, 45B¹⁷, 45A¹³</t>
        </is>
      </c>
    </row>
    <row r="1071">
      <c r="A1071">
        <f>HYPERLINK("https://mathstats.uncg.edu/sites/pauli/congruence/csg5.html#group45C5", "45C⁵")</f>
        <v/>
      </c>
      <c r="B1071" t="n">
        <v>5</v>
      </c>
      <c r="C1071" t="inlineStr"/>
      <c r="D1071" t="inlineStr">
        <is>
          <t>72</t>
        </is>
      </c>
      <c r="E1071" t="inlineStr">
        <is>
          <t>1</t>
        </is>
      </c>
      <c r="F1071" t="inlineStr">
        <is>
          <t>24</t>
        </is>
      </c>
      <c r="G1071" t="inlineStr">
        <is>
          <t>0</t>
        </is>
      </c>
      <c r="H1071" t="inlineStr">
        <is>
          <t>0</t>
        </is>
      </c>
      <c r="I1071" t="inlineStr">
        <is>
          <t>3¹, 9¹, 15¹, 45¹</t>
        </is>
      </c>
      <c r="J1071" t="n">
        <v>4</v>
      </c>
      <c r="K1071" t="inlineStr">
        <is>
          <t>1⁴, 2², 4², 8¹</t>
        </is>
      </c>
      <c r="L1071" t="inlineStr">
        <is>
          <t>9C⁰, 15C¹</t>
        </is>
      </c>
      <c r="M1071" t="inlineStr">
        <is>
          <t>45C⁹, 90A¹¹, 90C¹¹, 45K¹³, 45L¹³, 90G¹⁵, 135A¹⁷, 135B¹⁷, 135C¹⁷, 180I²³</t>
        </is>
      </c>
      <c r="N1071" t="inlineStr">
        <is>
          <t>5B⁰, 15C¹, 3B⁰, 9C⁰, 1A⁰</t>
        </is>
      </c>
      <c r="O1071" t="inlineStr">
        <is>
          <t>90E²¹, 135C¹⁷, 180C²³, 90G¹⁵, 45C⁹, 45E¹⁷, 90C²¹, 90A¹¹, 90C¹¹, 135B¹⁷, 180I²³, 180K²³, 180A²³, 135A¹⁷, 45K¹³, 45L¹³</t>
        </is>
      </c>
    </row>
    <row r="1072">
      <c r="A1072">
        <f>HYPERLINK("https://mathstats.uncg.edu/sites/pauli/congruence/csg5.html#group45D5", "45D⁵")</f>
        <v/>
      </c>
      <c r="B1072" t="n">
        <v>5</v>
      </c>
      <c r="C1072" t="inlineStr"/>
      <c r="D1072" t="inlineStr">
        <is>
          <t>72</t>
        </is>
      </c>
      <c r="E1072" t="inlineStr">
        <is>
          <t>1</t>
        </is>
      </c>
      <c r="F1072" t="inlineStr">
        <is>
          <t>24</t>
        </is>
      </c>
      <c r="G1072" t="inlineStr">
        <is>
          <t>0</t>
        </is>
      </c>
      <c r="H1072" t="inlineStr">
        <is>
          <t>0</t>
        </is>
      </c>
      <c r="I1072" t="inlineStr">
        <is>
          <t>3¹, 9¹, 15¹, 45¹</t>
        </is>
      </c>
      <c r="J1072" t="n">
        <v>4</v>
      </c>
      <c r="K1072" t="inlineStr">
        <is>
          <t>1⁴, 2², 4², 8¹</t>
        </is>
      </c>
      <c r="L1072" t="inlineStr">
        <is>
          <t>9A¹, 15C¹</t>
        </is>
      </c>
      <c r="M1072" t="inlineStr">
        <is>
          <t>45D⁹, 90B¹¹, 90D¹¹, 45K¹³, 45M¹³, 90H¹⁵, 180J²³</t>
        </is>
      </c>
      <c r="N1072" t="inlineStr">
        <is>
          <t>5B⁰, 15C¹, 3B⁰, 1A⁰, 9A¹</t>
        </is>
      </c>
      <c r="O1072" t="inlineStr">
        <is>
          <t>90H¹⁵, 90D¹¹, 45F¹⁷, 45D⁹, 180L²³, 180B²³, 180D²³, 45K¹³, 90B¹¹, 90D²¹, 45M¹³, 90F²¹, 180J²³</t>
        </is>
      </c>
    </row>
    <row r="1073">
      <c r="A1073">
        <f>HYPERLINK("https://mathstats.uncg.edu/sites/pauli/congruence/csg5.html#group45E5", "45E⁵")</f>
        <v/>
      </c>
      <c r="B1073" t="n">
        <v>5</v>
      </c>
      <c r="C1073" t="inlineStr"/>
      <c r="D1073" t="inlineStr">
        <is>
          <t>90</t>
        </is>
      </c>
      <c r="E1073" t="inlineStr">
        <is>
          <t>1</t>
        </is>
      </c>
      <c r="F1073" t="inlineStr">
        <is>
          <t>90</t>
        </is>
      </c>
      <c r="G1073" t="inlineStr">
        <is>
          <t>10</t>
        </is>
      </c>
      <c r="H1073" t="inlineStr">
        <is>
          <t>0</t>
        </is>
      </c>
      <c r="I1073" t="inlineStr">
        <is>
          <t>45²</t>
        </is>
      </c>
      <c r="J1073" t="n">
        <v>2</v>
      </c>
      <c r="K1073" t="inlineStr">
        <is>
          <t>2¹, 4³, 8², 12¹, 24²</t>
        </is>
      </c>
      <c r="L1073" t="inlineStr">
        <is>
          <t>9A⁰, 15D¹</t>
        </is>
      </c>
      <c r="M1073" t="inlineStr">
        <is>
          <t>45D¹⁰, 90F¹⁰, 45A¹¹, 90G¹¹, 45F¹², 90D¹², 45J¹³, 90B¹³, 45C¹⁴, 90G¹⁴, 90E¹⁵, 45D¹⁷, 45A¹⁸, 90H¹⁹</t>
        </is>
      </c>
      <c r="N1073" t="inlineStr">
        <is>
          <t>15D¹, 1A⁰, 3A⁰, 5C⁰, 9A⁰</t>
        </is>
      </c>
      <c r="O1073" t="inlineStr">
        <is>
          <t>45A¹⁸, 90H¹⁹, 45B²¹, 90M²¹, 90D²³, 45D¹⁰, 45F¹², 45A¹¹, 45D¹⁷, 90B¹³, 45J¹³, 90D¹², 90F¹⁰, 90G¹⁴, 90E¹⁵, 90F²³, 90C²³, 90G¹¹, 45C¹⁴</t>
        </is>
      </c>
    </row>
    <row r="1074">
      <c r="A1074">
        <f>HYPERLINK("https://mathstats.uncg.edu/sites/pauli/congruence/csg5.html#group45F5", "45F⁵")</f>
        <v/>
      </c>
      <c r="B1074" t="n">
        <v>5</v>
      </c>
      <c r="C1074" t="inlineStr"/>
      <c r="D1074" t="inlineStr">
        <is>
          <t>108</t>
        </is>
      </c>
      <c r="E1074" t="inlineStr">
        <is>
          <t>1</t>
        </is>
      </c>
      <c r="F1074" t="inlineStr">
        <is>
          <t>18</t>
        </is>
      </c>
      <c r="G1074" t="inlineStr">
        <is>
          <t>12</t>
        </is>
      </c>
      <c r="H1074" t="inlineStr">
        <is>
          <t>0</t>
        </is>
      </c>
      <c r="I1074" t="inlineStr">
        <is>
          <t>9², 45²</t>
        </is>
      </c>
      <c r="J1074" t="n">
        <v>4</v>
      </c>
      <c r="K1074" t="inlineStr">
        <is>
          <t>1², 2², 4¹, 8¹</t>
        </is>
      </c>
      <c r="L1074" t="inlineStr">
        <is>
          <t>9D⁰, 15E¹, 45A²</t>
        </is>
      </c>
      <c r="M1074" t="inlineStr">
        <is>
          <t>45E⁹, 90H¹¹, 90I¹¹, 45A¹⁵, 45B¹⁵, 90A¹⁷, 90B¹⁷, 45F¹⁹, 45G¹⁹, 90I²¹</t>
        </is>
      </c>
      <c r="N1074" t="inlineStr">
        <is>
          <t>45A², 15B⁰, 9D⁰, 9A⁰, 5B⁰, 3C⁰, 3A⁰, 1A⁰, 15E¹</t>
        </is>
      </c>
      <c r="O1074" t="inlineStr">
        <is>
          <t>90B¹⁷, 90N²¹, 45A¹⁵, 90H¹¹, 90I¹¹, 90I²¹, 45E⁹, 45B¹⁵, 45D²³, 90A¹⁷, 45F¹⁹, 45G¹⁹</t>
        </is>
      </c>
    </row>
    <row r="1075">
      <c r="A1075">
        <f>HYPERLINK("https://mathstats.uncg.edu/sites/pauli/congruence/csg5.html#group45G5", "45G⁵")</f>
        <v/>
      </c>
      <c r="B1075" t="n">
        <v>5</v>
      </c>
      <c r="C1075" t="inlineStr"/>
      <c r="D1075" t="inlineStr">
        <is>
          <t>108</t>
        </is>
      </c>
      <c r="E1075" t="inlineStr">
        <is>
          <t>1</t>
        </is>
      </c>
      <c r="F1075" t="inlineStr">
        <is>
          <t>108</t>
        </is>
      </c>
      <c r="G1075" t="inlineStr">
        <is>
          <t>4</t>
        </is>
      </c>
      <c r="H1075" t="inlineStr">
        <is>
          <t>0</t>
        </is>
      </c>
      <c r="I1075" t="inlineStr">
        <is>
          <t>3³, 9¹, 15³, 45¹</t>
        </is>
      </c>
      <c r="J1075" t="n">
        <v>8</v>
      </c>
      <c r="K1075" t="inlineStr">
        <is>
          <t>1², 2², 3², 4¹, 6⁴, 8¹, 12¹, 24²</t>
        </is>
      </c>
      <c r="L1075" t="inlineStr">
        <is>
          <t>9E⁰, 15E¹</t>
        </is>
      </c>
      <c r="M1075" t="inlineStr">
        <is>
          <t>45F⁹, 45F¹¹, 45H¹¹, 90F¹³, 90G¹³, 90I¹⁵, 90J¹⁵, 45F¹⁹, 90K¹⁹, 45A²¹</t>
        </is>
      </c>
      <c r="N1075" t="inlineStr">
        <is>
          <t>5B⁰, 3C⁰, 15B⁰, 9E⁰, 3A⁰, 1A⁰, 15E¹</t>
        </is>
      </c>
      <c r="O1075" t="inlineStr">
        <is>
          <t>90I¹⁵, 90G¹³, 90J¹⁵, 45F⁹, 45E²¹, 45H¹¹, 45F¹¹, 90F¹³, 90K¹⁹, 45I¹⁹, 45A²¹, 45F¹⁹</t>
        </is>
      </c>
    </row>
    <row r="1076">
      <c r="A1076">
        <f>HYPERLINK("https://mathstats.uncg.edu/sites/pauli/congruence/csg5.html#group45H5", "45H⁵")</f>
        <v/>
      </c>
      <c r="B1076" t="n">
        <v>5</v>
      </c>
      <c r="C1076" t="inlineStr"/>
      <c r="D1076" t="inlineStr">
        <is>
          <t>144</t>
        </is>
      </c>
      <c r="E1076" t="inlineStr">
        <is>
          <t>1</t>
        </is>
      </c>
      <c r="F1076" t="inlineStr">
        <is>
          <t>24</t>
        </is>
      </c>
      <c r="G1076" t="inlineStr">
        <is>
          <t>0</t>
        </is>
      </c>
      <c r="H1076" t="inlineStr">
        <is>
          <t>0</t>
        </is>
      </c>
      <c r="I1076" t="inlineStr">
        <is>
          <t>1⁶, 5⁶, 9², 45²</t>
        </is>
      </c>
      <c r="J1076" t="n">
        <v>16</v>
      </c>
      <c r="K1076" t="inlineStr">
        <is>
          <t>1⁴, 2², 4², 8¹</t>
        </is>
      </c>
      <c r="L1076" t="inlineStr">
        <is>
          <t>15G¹, 45D³</t>
        </is>
      </c>
      <c r="M1076" t="inlineStr">
        <is>
          <t>45G⁹, 90Q¹⁷, 90R¹⁷, 45F²¹, 90O²¹, 135A²¹</t>
        </is>
      </c>
      <c r="N1076" t="inlineStr">
        <is>
          <t>15C¹, 3B⁰, 5B⁰, 9B⁰, 15G¹, 45D³, 5D⁰, 1A⁰</t>
        </is>
      </c>
      <c r="O1076" t="inlineStr">
        <is>
          <t>90Q¹⁷, 90R¹⁷, 45G⁹, 135A²¹, 45F²¹, 90O²¹</t>
        </is>
      </c>
    </row>
    <row r="1077">
      <c r="A1077">
        <f>HYPERLINK("https://mathstats.uncg.edu/sites/pauli/congruence/csg5.html#group46A5", "46A⁵")</f>
        <v/>
      </c>
      <c r="B1077" t="n">
        <v>5</v>
      </c>
      <c r="C1077" t="inlineStr">
        <is>
          <t>Γ₀(46)</t>
        </is>
      </c>
      <c r="D1077" t="inlineStr">
        <is>
          <t>72</t>
        </is>
      </c>
      <c r="E1077" t="inlineStr">
        <is>
          <t>1</t>
        </is>
      </c>
      <c r="F1077" t="inlineStr">
        <is>
          <t>72</t>
        </is>
      </c>
      <c r="G1077" t="inlineStr">
        <is>
          <t>0</t>
        </is>
      </c>
      <c r="H1077" t="inlineStr">
        <is>
          <t>0</t>
        </is>
      </c>
      <c r="I1077" t="inlineStr">
        <is>
          <t>1¹, 2¹, 23¹, 46¹</t>
        </is>
      </c>
      <c r="J1077" t="n">
        <v>4</v>
      </c>
      <c r="K1077" t="inlineStr">
        <is>
          <t>1⁶, 22³</t>
        </is>
      </c>
      <c r="L1077" t="inlineStr">
        <is>
          <t>2B⁰, 23A²</t>
        </is>
      </c>
      <c r="M1077" t="inlineStr">
        <is>
          <t>46A¹⁰, 92A¹⁰, 92A¹¹, 138A¹⁷, 138A²¹</t>
        </is>
      </c>
      <c r="N1077" t="inlineStr">
        <is>
          <t>23A², 1A⁰, 2B⁰</t>
        </is>
      </c>
      <c r="O1077" t="inlineStr">
        <is>
          <t>92A¹⁰, 92A²¹, 92A¹¹, 138A²¹, 184A²², 92B²², 92A²⁰, 92A²², 92B²⁰, 184A²⁰, 184A²³, 184B²², 184A²¹, 46A¹⁰, 184B²³, 138A¹⁷</t>
        </is>
      </c>
    </row>
    <row r="1078">
      <c r="A1078">
        <f>HYPERLINK("https://mathstats.uncg.edu/sites/pauli/congruence/csg5.html#group48A5", "48A⁵")</f>
        <v/>
      </c>
      <c r="B1078" t="n">
        <v>5</v>
      </c>
      <c r="C1078" t="inlineStr"/>
      <c r="D1078" t="inlineStr">
        <is>
          <t>72</t>
        </is>
      </c>
      <c r="E1078" t="inlineStr">
        <is>
          <t>1</t>
        </is>
      </c>
      <c r="F1078" t="inlineStr">
        <is>
          <t>6</t>
        </is>
      </c>
      <c r="G1078" t="inlineStr">
        <is>
          <t>0</t>
        </is>
      </c>
      <c r="H1078" t="inlineStr">
        <is>
          <t>0</t>
        </is>
      </c>
      <c r="I1078" t="inlineStr">
        <is>
          <t>6², 12¹, 48¹</t>
        </is>
      </c>
      <c r="J1078" t="n">
        <v>4</v>
      </c>
      <c r="K1078" t="inlineStr">
        <is>
          <t>1⁴, 2¹</t>
        </is>
      </c>
      <c r="L1078" t="inlineStr">
        <is>
          <t>16A¹, 24B²</t>
        </is>
      </c>
      <c r="M1078" t="inlineStr">
        <is>
          <t>48A⁹, 48B⁹, 48D⁹, 48G⁹, 48Q⁹, 96A¹¹, 96B¹¹, 96C¹¹, 96D¹¹, 96E¹¹, 96F¹¹, 144A¹⁷</t>
        </is>
      </c>
      <c r="N1078" t="inlineStr">
        <is>
          <t>24B², 4B⁰, 16A¹, 8C⁰, 12B¹, 2B⁰, 3A⁰, 1A⁰, 6D⁰</t>
        </is>
      </c>
      <c r="O1078" t="inlineStr">
        <is>
          <t>96D²¹, 192E²³, 48B⁹, 96A²¹, 96S²¹, 96U²¹, 48Y¹⁷, 48Q¹⁹, 96G²¹, 96W²¹, 48J¹⁷, 96AQ²¹, 96L²¹, 192I²³, 48G⁹, 96A¹⁹, 144A¹⁷, 96C¹¹, 192K²³, 48K¹⁷, 96C²¹, 96E²¹, 96Q²¹, 96F²¹, 192H²³, 192D²³, 48AB¹⁷, 96J²¹, 96E¹⁹, 48C¹⁹, 192B²³, 96B¹⁹, 96D¹¹, 192C²³, 96K²¹, 96X²¹, 48AD¹⁷, 96H¹⁹, 48Q⁹, 96B²¹, 48AP¹⁹, 48D¹⁷, 96E¹¹, 192J²³, 96R²¹, 96I²¹, 48A¹⁹, 48P¹⁹, 96T²¹, 192G²³, 96O²¹, 96Z¹⁹, 96B¹¹, 192A²³, 96A¹¹, 96K¹⁹, 192F²³, 48D⁹, 48F¹⁷, 96V²¹, 48A⁹, 96AR²¹, 48X¹⁷, 96F¹¹, 48C¹⁷, 192L²³, 96AS²¹, 48N¹⁹, 96P²¹, 96H²¹</t>
        </is>
      </c>
    </row>
    <row r="1079">
      <c r="A1079">
        <f>HYPERLINK("https://mathstats.uncg.edu/sites/pauli/congruence/csg5.html#group48B5", "48B⁵")</f>
        <v/>
      </c>
      <c r="B1079" t="n">
        <v>5</v>
      </c>
      <c r="C1079" t="inlineStr"/>
      <c r="D1079" t="inlineStr">
        <is>
          <t>72</t>
        </is>
      </c>
      <c r="E1079" t="inlineStr">
        <is>
          <t>1</t>
        </is>
      </c>
      <c r="F1079" t="inlineStr">
        <is>
          <t>18</t>
        </is>
      </c>
      <c r="G1079" t="inlineStr">
        <is>
          <t>0</t>
        </is>
      </c>
      <c r="H1079" t="inlineStr">
        <is>
          <t>0</t>
        </is>
      </c>
      <c r="I1079" t="inlineStr">
        <is>
          <t>6², 12¹, 48¹</t>
        </is>
      </c>
      <c r="J1079" t="n">
        <v>4</v>
      </c>
      <c r="K1079" t="inlineStr">
        <is>
          <t>1⁴, 2⁵, 4¹</t>
        </is>
      </c>
      <c r="L1079" t="inlineStr">
        <is>
          <t>24B²</t>
        </is>
      </c>
      <c r="M1079" t="inlineStr">
        <is>
          <t>48C⁹, 48D⁹, 48E⁹, 48F⁹, 48O⁹, 48P⁹, 48AA⁹, 48AC⁹, 144B¹⁷, 144C¹⁷</t>
        </is>
      </c>
      <c r="N1079" t="inlineStr">
        <is>
          <t>24B², 4B⁰, 8C⁰, 12B¹, 2B⁰, 3A⁰, 1A⁰, 6D⁰</t>
        </is>
      </c>
      <c r="O1079" t="inlineStr">
        <is>
          <t>96P²¹, 48W¹⁷, 48Z¹⁷, 96G¹⁹, 96N²¹, 96S²¹, 48G¹⁷, 48Y¹⁷, 48BT¹⁷, 96I¹⁹, 48AA¹⁷, 96I²¹, 48AC⁹, 48P¹⁹, 48AC¹⁷, 48AX¹⁹, 96G²¹, 48BP¹⁷, 144B¹⁷, 48F⁹, 96S¹⁹, 48H¹⁷, 144C¹⁷, 48E⁹, 48K¹⁷, 96AB²¹, 48L¹⁹, 48D⁹, 96F²¹, 96M²¹, 48F¹⁷, 96AW¹⁹, 48M¹⁹, 48O¹⁹, 48AB¹⁷, 48AA⁹, 48P⁹, 48C⁹, 48BS¹⁷, 48C¹⁷, 96J²¹, 96O¹⁹, 48D¹⁹, 48O⁹, 48I¹⁷, 48E¹⁷</t>
        </is>
      </c>
    </row>
    <row r="1080">
      <c r="A1080">
        <f>HYPERLINK("https://mathstats.uncg.edu/sites/pauli/congruence/csg5.html#group48C5", "48C⁵")</f>
        <v/>
      </c>
      <c r="B1080" t="n">
        <v>5</v>
      </c>
      <c r="C1080" t="inlineStr"/>
      <c r="D1080" t="inlineStr">
        <is>
          <t>96</t>
        </is>
      </c>
      <c r="E1080" t="inlineStr">
        <is>
          <t>1</t>
        </is>
      </c>
      <c r="F1080" t="inlineStr">
        <is>
          <t>24</t>
        </is>
      </c>
      <c r="G1080" t="inlineStr">
        <is>
          <t>0</t>
        </is>
      </c>
      <c r="H1080" t="inlineStr">
        <is>
          <t>0</t>
        </is>
      </c>
      <c r="I1080" t="inlineStr">
        <is>
          <t>2², 4¹, 6², 12¹, 16¹, 48¹</t>
        </is>
      </c>
      <c r="J1080" t="n">
        <v>8</v>
      </c>
      <c r="K1080" t="inlineStr">
        <is>
          <t>1⁸, 2⁶, 4¹</t>
        </is>
      </c>
      <c r="L1080" t="inlineStr">
        <is>
          <t>24G¹</t>
        </is>
      </c>
      <c r="M1080" t="inlineStr">
        <is>
          <t>48AG⁹, 48AH⁹, 48AJ⁹, 48AN⁹, 48AM⁹, 48B¹⁷, 144D¹⁷, 144E²¹, 144F²¹</t>
        </is>
      </c>
      <c r="N1080" t="inlineStr">
        <is>
          <t>3B⁰, 24G¹, 1A⁰, 8C⁰, 2B⁰, 4B⁰, 6F⁰, 12E⁰</t>
        </is>
      </c>
      <c r="O1080" t="inlineStr">
        <is>
          <t>144F²¹, 48CO¹⁷, 96BC²¹, 96BJ²¹, 48AJ⁹, 48AG⁹, 48CP¹⁷, 48AM⁹, 48CK¹⁷, 48CI²¹, 48CG²¹, 48CD²¹, 48B¹⁷, 144E²¹, 48AH⁹, 144D¹⁷, 96BE²¹, 48AN⁹, 48CL¹⁷, 48CN¹⁷, 48CJ²¹</t>
        </is>
      </c>
    </row>
    <row r="1081">
      <c r="A1081">
        <f>HYPERLINK("https://mathstats.uncg.edu/sites/pauli/congruence/csg5.html#group48D5", "48D⁵")</f>
        <v/>
      </c>
      <c r="B1081" t="n">
        <v>5</v>
      </c>
      <c r="C1081" t="inlineStr"/>
      <c r="D1081" t="inlineStr">
        <is>
          <t>96</t>
        </is>
      </c>
      <c r="E1081" t="inlineStr">
        <is>
          <t>1</t>
        </is>
      </c>
      <c r="F1081" t="inlineStr">
        <is>
          <t>24</t>
        </is>
      </c>
      <c r="G1081" t="inlineStr">
        <is>
          <t>0</t>
        </is>
      </c>
      <c r="H1081" t="inlineStr">
        <is>
          <t>0</t>
        </is>
      </c>
      <c r="I1081" t="inlineStr">
        <is>
          <t>2², 4¹, 6², 12¹, 16¹, 48¹</t>
        </is>
      </c>
      <c r="J1081" t="n">
        <v>8</v>
      </c>
      <c r="K1081" t="inlineStr">
        <is>
          <t>1⁸, 2⁶, 4¹</t>
        </is>
      </c>
      <c r="L1081" t="inlineStr">
        <is>
          <t>16A¹, 24G¹</t>
        </is>
      </c>
      <c r="M1081" t="inlineStr">
        <is>
          <t>48AG⁹, 48AI⁹, 48AK⁹, 48AL⁹, 48AO⁹, 96A¹³, 96B¹³, 96C¹³, 96D¹³, 96E¹³, 96F¹³, 48C¹⁷, 144E¹⁷, 144G²¹, 144H²¹</t>
        </is>
      </c>
      <c r="N1081" t="inlineStr">
        <is>
          <t>3B⁰, 24G¹, 6F⁰, 16A¹, 8C⁰, 2B⁰, 4B⁰, 1A⁰, 12E⁰</t>
        </is>
      </c>
      <c r="O1081" t="inlineStr">
        <is>
          <t>48CE²¹, 96C¹³, 48AL⁹, 48CJ²¹, 48CO¹⁷, 96BL²¹, 96BA²¹, 96BF²¹, 48CJ¹⁷, 48CM²¹, 48AG⁹, 96BM²¹, 96BD²¹, 96E¹³, 48CM¹⁷, 48CQ¹⁷, 144G²¹, 48CH²¹, 144H²¹, 48C¹⁷, 48AI⁹, 96AZ²¹, 48CL²¹, 96A¹³, 48CK²¹, 48AK⁹, 96F¹³, 48AO⁹, 96D¹³, 48CN¹⁷, 96B¹³, 144E¹⁷</t>
        </is>
      </c>
    </row>
    <row r="1082">
      <c r="A1082">
        <f>HYPERLINK("https://mathstats.uncg.edu/sites/pauli/congruence/csg5.html#group48E5", "48E⁵")</f>
        <v/>
      </c>
      <c r="B1082" t="n">
        <v>5</v>
      </c>
      <c r="C1082" t="inlineStr"/>
      <c r="D1082" t="inlineStr">
        <is>
          <t>144</t>
        </is>
      </c>
      <c r="E1082" t="inlineStr">
        <is>
          <t>1</t>
        </is>
      </c>
      <c r="F1082" t="inlineStr">
        <is>
          <t>6</t>
        </is>
      </c>
      <c r="G1082" t="inlineStr">
        <is>
          <t>24</t>
        </is>
      </c>
      <c r="H1082" t="inlineStr">
        <is>
          <t>0</t>
        </is>
      </c>
      <c r="I1082" t="inlineStr">
        <is>
          <t>24², 48²</t>
        </is>
      </c>
      <c r="J1082" t="n">
        <v>4</v>
      </c>
      <c r="K1082" t="inlineStr">
        <is>
          <t>1², 2²</t>
        </is>
      </c>
      <c r="L1082" t="inlineStr">
        <is>
          <t>48A⁰, 16F¹, 24L², 48C³</t>
        </is>
      </c>
      <c r="M1082" t="inlineStr">
        <is>
          <t>96I¹¹, 48AB¹³, 48H¹⁵, 48I¹⁵, 48J¹⁵, 48W¹⁵, 48X¹⁵, 48Y¹⁵, 96O¹⁵, 48Q¹⁷, 96B¹⁷, 96C¹⁷, 96D¹⁷, 96N¹⁷, 96O¹⁷, 96R¹⁷, 96J¹⁹, 48F²¹, 96A²³</t>
        </is>
      </c>
      <c r="N1082" t="inlineStr">
        <is>
          <t>12C⁰, 8D⁰, 4C⁰, 8B⁰, 16B¹, 48A⁰, 2B⁰, 24L², 1A⁰, 8H⁰, 48C³, 16B⁰, 12A⁰, 24A⁰, 4A⁰, 24C¹, 12J¹, 4F⁰, 16F¹, 3A⁰, 6D⁰</t>
        </is>
      </c>
      <c r="O1082" t="inlineStr">
        <is>
          <t>96R¹⁷, 96B¹⁷, 48J¹⁵, 48H¹⁵, 48W¹⁵, 96J¹⁹, 48Y¹⁵, 96D¹⁷, 96O¹⁷, 48I¹⁵, 96C¹⁷, 96O¹⁵, 48AB¹³, 48X¹⁵, 96I¹¹, 48Q¹⁷, 96A²³, 48F²¹, 96N¹⁷</t>
        </is>
      </c>
    </row>
    <row r="1083">
      <c r="A1083">
        <f>HYPERLINK("https://mathstats.uncg.edu/sites/pauli/congruence/csg5.html#group48F5", "48F⁵")</f>
        <v/>
      </c>
      <c r="B1083" t="n">
        <v>5</v>
      </c>
      <c r="C1083" t="inlineStr"/>
      <c r="D1083" t="inlineStr">
        <is>
          <t>144</t>
        </is>
      </c>
      <c r="E1083" t="inlineStr">
        <is>
          <t>1</t>
        </is>
      </c>
      <c r="F1083" t="inlineStr">
        <is>
          <t>12</t>
        </is>
      </c>
      <c r="G1083" t="inlineStr">
        <is>
          <t>24</t>
        </is>
      </c>
      <c r="H1083" t="inlineStr">
        <is>
          <t>0</t>
        </is>
      </c>
      <c r="I1083" t="inlineStr">
        <is>
          <t>24², 48²</t>
        </is>
      </c>
      <c r="J1083" t="n">
        <v>4</v>
      </c>
      <c r="K1083" t="inlineStr">
        <is>
          <t>1⁴, 2², 4¹</t>
        </is>
      </c>
      <c r="L1083" t="inlineStr">
        <is>
          <t>48A⁰, 16J¹, 24M², 48E³</t>
        </is>
      </c>
      <c r="M1083" t="inlineStr">
        <is>
          <t>96J¹¹, 48AF¹³, 48J¹⁵, 48L¹⁵, 48M¹⁵, 48AD¹⁵, 48AE¹⁵, 48AF¹⁵, 96S¹⁵, 48AZ¹⁷, 96G¹⁷, 96H¹⁷, 96Z¹⁷, 96AA¹⁷, 96AB¹⁷, 96AE¹⁷, 96W¹⁹, 48J²¹, 96H²³</t>
        </is>
      </c>
      <c r="N1083" t="inlineStr">
        <is>
          <t>12C⁰, 4C⁰, 8B⁰, 48A⁰, 8L⁰, 2B⁰, 16J¹, 1A⁰, 16B⁰, 16D¹, 48E³, 24A⁰, 24M², 3A⁰, 6D⁰</t>
        </is>
      </c>
      <c r="O1083" t="inlineStr">
        <is>
          <t>48J¹⁵, 96H¹⁷, 96AA¹⁷, 48L¹⁵, 96G¹⁷, 48AE¹⁵, 96Z¹⁷, 96H²³, 48AD¹⁵, 48M¹⁵, 48AF¹³, 96W¹⁹, 48J²¹, 48AZ¹⁷, 96S¹⁵, 96J¹¹, 96AE¹⁷, 48AF¹⁵, 96AB¹⁷</t>
        </is>
      </c>
    </row>
    <row r="1084">
      <c r="A1084">
        <f>HYPERLINK("https://mathstats.uncg.edu/sites/pauli/congruence/csg5.html#group48G5", "48G⁵")</f>
        <v/>
      </c>
      <c r="B1084" t="n">
        <v>5</v>
      </c>
      <c r="C1084" t="inlineStr"/>
      <c r="D1084" t="inlineStr">
        <is>
          <t>144</t>
        </is>
      </c>
      <c r="E1084" t="inlineStr">
        <is>
          <t>1</t>
        </is>
      </c>
      <c r="F1084" t="inlineStr">
        <is>
          <t>18</t>
        </is>
      </c>
      <c r="G1084" t="inlineStr">
        <is>
          <t>24</t>
        </is>
      </c>
      <c r="H1084" t="inlineStr">
        <is>
          <t>0</t>
        </is>
      </c>
      <c r="I1084" t="inlineStr">
        <is>
          <t>24², 48²</t>
        </is>
      </c>
      <c r="J1084" t="n">
        <v>4</v>
      </c>
      <c r="K1084" t="inlineStr">
        <is>
          <t>1², 2⁴, 4²</t>
        </is>
      </c>
      <c r="L1084" t="inlineStr">
        <is>
          <t>48A⁰, 24P², 48F³</t>
        </is>
      </c>
      <c r="M1084" t="inlineStr">
        <is>
          <t>48AA¹³, 48AB¹³, 96G¹³, 48Z¹⁵, 48AA¹⁵, 48AF¹⁵, 96Q¹⁵, 96R¹⁵, 48N¹⁷, 48Q¹⁷, 96AD¹⁷, 96T¹⁹, 96V¹⁹, 48N²¹, 96Z²¹</t>
        </is>
      </c>
      <c r="N1084" t="inlineStr">
        <is>
          <t>16B⁰, 24E¹, 12C⁰, 24A⁰, 4C⁰, 8B⁰, 24P², 48A⁰, 12M¹, 2B⁰, 48F³, 3A⁰, 1A⁰, 6D⁰</t>
        </is>
      </c>
      <c r="O1084" t="inlineStr">
        <is>
          <t>96R¹⁵, 96G¹³, 48N²¹, 48AA¹³, 48Z¹⁵, 96T¹⁹, 48N¹⁷, 48AA¹⁵, 48AB¹³, 96AD¹⁷, 96Z²¹, 96V¹⁹, 48Q¹⁷, 48AF¹⁵, 96Q¹⁵</t>
        </is>
      </c>
    </row>
    <row r="1085">
      <c r="A1085">
        <f>HYPERLINK("https://mathstats.uncg.edu/sites/pauli/congruence/csg5.html#group48H5", "48H⁵")</f>
        <v/>
      </c>
      <c r="B1085" t="n">
        <v>5</v>
      </c>
      <c r="C1085" t="inlineStr"/>
      <c r="D1085" t="inlineStr">
        <is>
          <t>144</t>
        </is>
      </c>
      <c r="E1085" t="inlineStr">
        <is>
          <t>1</t>
        </is>
      </c>
      <c r="F1085" t="inlineStr">
        <is>
          <t>36</t>
        </is>
      </c>
      <c r="G1085" t="inlineStr">
        <is>
          <t>24</t>
        </is>
      </c>
      <c r="H1085" t="inlineStr">
        <is>
          <t>0</t>
        </is>
      </c>
      <c r="I1085" t="inlineStr">
        <is>
          <t>24², 48²</t>
        </is>
      </c>
      <c r="J1085" t="n">
        <v>4</v>
      </c>
      <c r="K1085" t="inlineStr">
        <is>
          <t>1⁴, 2⁶, 4³, 8¹</t>
        </is>
      </c>
      <c r="L1085" t="inlineStr">
        <is>
          <t>48A⁰, 24Q², 48H³</t>
        </is>
      </c>
      <c r="M1085" t="inlineStr">
        <is>
          <t>48AE¹³, 48AF¹³, 96H¹³, 48Y¹⁵, 48Z¹⁵, 48AA¹⁵, 48AF¹⁵, 96T¹⁵, 96U¹⁵, 96W¹⁵, 48AW¹⁷, 48AZ¹⁷, 96AF¹⁷, 96AG¹⁷, 96X¹⁹, 96Y¹⁹, 96AY¹⁹, 48AK²¹, 96AT²¹</t>
        </is>
      </c>
      <c r="N1085" t="inlineStr">
        <is>
          <t>16B⁰, 12C⁰, 24A⁰, 4C⁰, 8B⁰, 24Q², 48A⁰, 2B⁰, 3A⁰, 1A⁰, 48H³, 6D⁰</t>
        </is>
      </c>
      <c r="O1085" t="inlineStr">
        <is>
          <t>96U¹⁵, 48AW¹⁷, 96H¹³, 48AK²¹, 48AA¹⁵, 96Y¹⁹, 48Y¹⁵, 96AT²¹, 48AE¹³, 96X¹⁹, 96T¹⁵, 48AF¹⁵, 96AG¹⁷, 96AY¹⁹, 48Z¹⁵, 48AF¹³, 48AZ¹⁷, 96W¹⁵, 96AF¹⁷</t>
        </is>
      </c>
    </row>
    <row r="1086">
      <c r="A1086">
        <f>HYPERLINK("https://mathstats.uncg.edu/sites/pauli/congruence/csg5.html#group48I5", "48I⁵")</f>
        <v/>
      </c>
      <c r="B1086" t="n">
        <v>5</v>
      </c>
      <c r="C1086" t="inlineStr"/>
      <c r="D1086" t="inlineStr">
        <is>
          <t>192</t>
        </is>
      </c>
      <c r="E1086" t="inlineStr">
        <is>
          <t>1</t>
        </is>
      </c>
      <c r="F1086" t="inlineStr">
        <is>
          <t>24</t>
        </is>
      </c>
      <c r="G1086" t="inlineStr">
        <is>
          <t>0</t>
        </is>
      </c>
      <c r="H1086" t="inlineStr">
        <is>
          <t>0</t>
        </is>
      </c>
      <c r="I1086" t="inlineStr">
        <is>
          <t>1⁸, 3⁸, 4², 12², 16², 48²</t>
        </is>
      </c>
      <c r="J1086" t="n">
        <v>24</v>
      </c>
      <c r="K1086" t="inlineStr">
        <is>
          <t>1⁸, 2⁶, 4¹</t>
        </is>
      </c>
      <c r="L1086" t="inlineStr">
        <is>
          <t>24J¹, 48I³, 48J³</t>
        </is>
      </c>
      <c r="M1086" t="inlineStr">
        <is>
          <t>48AH¹³, 96I¹³, 48CN¹⁷, 96AH¹⁷, 96BB²¹</t>
        </is>
      </c>
      <c r="N1086" t="inlineStr">
        <is>
          <t>24J¹, 3B⁰, 24B⁰, 48J³, 16C⁰, 24G¹, 6F⁰, 12J⁰, 2B⁰, 48I³, 8C⁰, 4B⁰, 1A⁰, 12E⁰</t>
        </is>
      </c>
      <c r="O1086" t="inlineStr">
        <is>
          <t>96BB²¹, 48CN¹⁷, 96I¹³, 96AH¹⁷, 48AH¹³</t>
        </is>
      </c>
    </row>
    <row r="1087">
      <c r="A1087">
        <f>HYPERLINK("https://mathstats.uncg.edu/sites/pauli/congruence/csg5.html#group48J5", "48J⁵")</f>
        <v/>
      </c>
      <c r="B1087" t="n">
        <v>5</v>
      </c>
      <c r="C1087" t="inlineStr"/>
      <c r="D1087" t="inlineStr">
        <is>
          <t>192</t>
        </is>
      </c>
      <c r="E1087" t="inlineStr">
        <is>
          <t>1</t>
        </is>
      </c>
      <c r="F1087" t="inlineStr">
        <is>
          <t>48</t>
        </is>
      </c>
      <c r="G1087" t="inlineStr">
        <is>
          <t>0</t>
        </is>
      </c>
      <c r="H1087" t="inlineStr">
        <is>
          <t>0</t>
        </is>
      </c>
      <c r="I1087" t="inlineStr">
        <is>
          <t>1⁴, 2⁶, 3⁴, 6⁶, 16², 48²</t>
        </is>
      </c>
      <c r="J1087" t="n">
        <v>24</v>
      </c>
      <c r="K1087" t="inlineStr">
        <is>
          <t>1⁸, 2⁸, 4⁴, 8¹</t>
        </is>
      </c>
      <c r="L1087" t="inlineStr">
        <is>
          <t>24J¹, 48K³, 48L³</t>
        </is>
      </c>
      <c r="M1087" t="inlineStr">
        <is>
          <t>48AG¹³, 48AH¹³, 48CO¹⁷</t>
        </is>
      </c>
      <c r="N1087" t="inlineStr">
        <is>
          <t>24J¹, 3B⁰, 24B⁰, 48K³, 24G¹, 16D⁰, 6F⁰, 12J⁰, 2B⁰, 8C⁰, 4B⁰, 1A⁰, 12E⁰, 48L³</t>
        </is>
      </c>
      <c r="O1087" t="inlineStr">
        <is>
          <t>48AG¹³, 48AH¹³, 48CO¹⁷</t>
        </is>
      </c>
    </row>
    <row r="1088">
      <c r="A1088">
        <f>HYPERLINK("https://mathstats.uncg.edu/sites/pauli/congruence/csg5.html#group50A5", "50A⁵")</f>
        <v/>
      </c>
      <c r="B1088" t="n">
        <v>5</v>
      </c>
      <c r="C1088" t="inlineStr"/>
      <c r="D1088" t="inlineStr">
        <is>
          <t>60</t>
        </is>
      </c>
      <c r="E1088" t="inlineStr">
        <is>
          <t>1</t>
        </is>
      </c>
      <c r="F1088" t="inlineStr">
        <is>
          <t>30</t>
        </is>
      </c>
      <c r="G1088" t="inlineStr">
        <is>
          <t>0</t>
        </is>
      </c>
      <c r="H1088" t="inlineStr">
        <is>
          <t>0</t>
        </is>
      </c>
      <c r="I1088" t="inlineStr">
        <is>
          <t>10¹, 50¹</t>
        </is>
      </c>
      <c r="J1088" t="n">
        <v>2</v>
      </c>
      <c r="K1088" t="inlineStr">
        <is>
          <t>2², 4⁴, 20²</t>
        </is>
      </c>
      <c r="L1088" t="inlineStr">
        <is>
          <t>10A¹, 25A²</t>
        </is>
      </c>
      <c r="M1088" t="inlineStr">
        <is>
          <t>50A⁹, 50A¹³, 150A¹⁵, 150E¹⁵, 100I¹⁹, 150E¹⁹, 50A²¹, 50E²¹</t>
        </is>
      </c>
      <c r="N1088" t="inlineStr">
        <is>
          <t>5B⁰, 2A⁰, 10A¹, 25A², 1A⁰</t>
        </is>
      </c>
      <c r="O1088" t="inlineStr">
        <is>
          <t>50A⁹, 50E²¹, 100I¹⁹, 150A¹⁵, 100A¹⁹, 150E¹⁹, 50A¹³, 150E¹⁵, 50A²¹</t>
        </is>
      </c>
    </row>
    <row r="1089">
      <c r="A1089">
        <f>HYPERLINK("https://mathstats.uncg.edu/sites/pauli/congruence/csg5.html#group50B5", "50B⁵")</f>
        <v/>
      </c>
      <c r="B1089" t="n">
        <v>5</v>
      </c>
      <c r="C1089" t="inlineStr"/>
      <c r="D1089" t="inlineStr">
        <is>
          <t>60</t>
        </is>
      </c>
      <c r="E1089" t="inlineStr">
        <is>
          <t>1</t>
        </is>
      </c>
      <c r="F1089" t="inlineStr">
        <is>
          <t>30</t>
        </is>
      </c>
      <c r="G1089" t="inlineStr">
        <is>
          <t>0</t>
        </is>
      </c>
      <c r="H1089" t="inlineStr">
        <is>
          <t>0</t>
        </is>
      </c>
      <c r="I1089" t="inlineStr">
        <is>
          <t>10¹, 50¹</t>
        </is>
      </c>
      <c r="J1089" t="n">
        <v>2</v>
      </c>
      <c r="K1089" t="inlineStr">
        <is>
          <t>2², 4⁴, 20²</t>
        </is>
      </c>
      <c r="L1089" t="inlineStr">
        <is>
          <t>10A¹, 25B²</t>
        </is>
      </c>
      <c r="M1089" t="inlineStr">
        <is>
          <t>50B⁹, 50B¹³, 150B¹⁵, 150F¹⁵, 100J¹⁹, 150F¹⁹, 50B²¹, 50E²¹</t>
        </is>
      </c>
      <c r="N1089" t="inlineStr">
        <is>
          <t>5B⁰, 2A⁰, 10A¹, 1A⁰, 25B²</t>
        </is>
      </c>
      <c r="O1089" t="inlineStr">
        <is>
          <t>50B⁹, 50E²¹, 50B¹³, 100B¹⁹, 100J¹⁹, 50B²¹, 150B¹⁵, 150F¹⁹, 150F¹⁵</t>
        </is>
      </c>
    </row>
    <row r="1090">
      <c r="A1090">
        <f>HYPERLINK("https://mathstats.uncg.edu/sites/pauli/congruence/csg5.html#group50C5", "50C⁵")</f>
        <v/>
      </c>
      <c r="B1090" t="n">
        <v>5</v>
      </c>
      <c r="C1090" t="inlineStr"/>
      <c r="D1090" t="inlineStr">
        <is>
          <t>60</t>
        </is>
      </c>
      <c r="E1090" t="inlineStr">
        <is>
          <t>1</t>
        </is>
      </c>
      <c r="F1090" t="inlineStr">
        <is>
          <t>30</t>
        </is>
      </c>
      <c r="G1090" t="inlineStr">
        <is>
          <t>0</t>
        </is>
      </c>
      <c r="H1090" t="inlineStr">
        <is>
          <t>0</t>
        </is>
      </c>
      <c r="I1090" t="inlineStr">
        <is>
          <t>10¹, 50¹</t>
        </is>
      </c>
      <c r="J1090" t="n">
        <v>2</v>
      </c>
      <c r="K1090" t="inlineStr">
        <is>
          <t>2², 4⁴, 20²</t>
        </is>
      </c>
      <c r="L1090" t="inlineStr">
        <is>
          <t>10A¹, 25C²</t>
        </is>
      </c>
      <c r="M1090" t="inlineStr">
        <is>
          <t>50C⁹, 50C¹³, 150C¹⁵, 150G¹⁵, 100K¹⁹, 150G¹⁹, 50C²¹, 50E²¹</t>
        </is>
      </c>
      <c r="N1090" t="inlineStr">
        <is>
          <t>5B⁰, 2A⁰, 10A¹, 1A⁰, 25C²</t>
        </is>
      </c>
      <c r="O1090" t="inlineStr">
        <is>
          <t>50E²¹, 150C¹⁵, 100C¹⁹, 150G¹⁹, 50C⁹, 150G¹⁵, 50C²¹, 50C¹³, 100K¹⁹</t>
        </is>
      </c>
    </row>
    <row r="1091">
      <c r="A1091">
        <f>HYPERLINK("https://mathstats.uncg.edu/sites/pauli/congruence/csg5.html#group50D5", "50D⁵")</f>
        <v/>
      </c>
      <c r="B1091" t="n">
        <v>5</v>
      </c>
      <c r="C1091" t="inlineStr"/>
      <c r="D1091" t="inlineStr">
        <is>
          <t>60</t>
        </is>
      </c>
      <c r="E1091" t="inlineStr">
        <is>
          <t>1</t>
        </is>
      </c>
      <c r="F1091" t="inlineStr">
        <is>
          <t>30</t>
        </is>
      </c>
      <c r="G1091" t="inlineStr">
        <is>
          <t>0</t>
        </is>
      </c>
      <c r="H1091" t="inlineStr">
        <is>
          <t>0</t>
        </is>
      </c>
      <c r="I1091" t="inlineStr">
        <is>
          <t>10¹, 50¹</t>
        </is>
      </c>
      <c r="J1091" t="n">
        <v>2</v>
      </c>
      <c r="K1091" t="inlineStr">
        <is>
          <t>2², 4⁴, 20²</t>
        </is>
      </c>
      <c r="L1091" t="inlineStr">
        <is>
          <t>10A¹, 25D²</t>
        </is>
      </c>
      <c r="M1091" t="inlineStr">
        <is>
          <t>50D⁹, 50D¹³, 150D¹⁵, 150H¹⁵, 100L¹⁹, 150H¹⁹, 50D²¹, 50E²¹</t>
        </is>
      </c>
      <c r="N1091" t="inlineStr">
        <is>
          <t>5B⁰, 2A⁰, 10A¹, 1A⁰, 25D²</t>
        </is>
      </c>
      <c r="O1091" t="inlineStr">
        <is>
          <t>50D¹³, 150H¹⁹, 50D²¹, 150H¹⁵, 50E²¹, 100L¹⁹, 150D¹⁵, 50D⁹, 100D¹⁹</t>
        </is>
      </c>
    </row>
    <row r="1092">
      <c r="A1092">
        <f>HYPERLINK("https://mathstats.uncg.edu/sites/pauli/congruence/csg5.html#group50E5", "50E⁵")</f>
        <v/>
      </c>
      <c r="B1092" t="n">
        <v>5</v>
      </c>
      <c r="C1092" t="inlineStr"/>
      <c r="D1092" t="inlineStr">
        <is>
          <t>100</t>
        </is>
      </c>
      <c r="E1092" t="inlineStr">
        <is>
          <t>1</t>
        </is>
      </c>
      <c r="F1092" t="inlineStr">
        <is>
          <t>50</t>
        </is>
      </c>
      <c r="G1092" t="inlineStr">
        <is>
          <t>0</t>
        </is>
      </c>
      <c r="H1092" t="inlineStr">
        <is>
          <t>10</t>
        </is>
      </c>
      <c r="I1092" t="inlineStr">
        <is>
          <t>50²</t>
        </is>
      </c>
      <c r="J1092" t="n">
        <v>2</v>
      </c>
      <c r="K1092" t="inlineStr">
        <is>
          <t>2¹, 4², 20²</t>
        </is>
      </c>
      <c r="L1092" t="inlineStr">
        <is>
          <t>10C¹, 25E²</t>
        </is>
      </c>
      <c r="M1092" t="inlineStr">
        <is>
          <t>50F⁹, 150E²⁰, 50A²³, 50B²³</t>
        </is>
      </c>
      <c r="N1092" t="inlineStr">
        <is>
          <t>2A⁰, 10C¹, 1A⁰, 5C⁰, 25E²</t>
        </is>
      </c>
      <c r="O1092" t="inlineStr">
        <is>
          <t>100R¹⁹, 150E²⁰, 50F⁹, 50B²³, 50A²³</t>
        </is>
      </c>
    </row>
    <row r="1093">
      <c r="A1093">
        <f>HYPERLINK("https://mathstats.uncg.edu/sites/pauli/congruence/csg5.html#group50F5", "50F⁵")</f>
        <v/>
      </c>
      <c r="B1093" t="n">
        <v>5</v>
      </c>
      <c r="C1093" t="inlineStr"/>
      <c r="D1093" t="inlineStr">
        <is>
          <t>120</t>
        </is>
      </c>
      <c r="E1093" t="inlineStr">
        <is>
          <t>1</t>
        </is>
      </c>
      <c r="F1093" t="inlineStr">
        <is>
          <t>6</t>
        </is>
      </c>
      <c r="G1093" t="inlineStr">
        <is>
          <t>0</t>
        </is>
      </c>
      <c r="H1093" t="inlineStr">
        <is>
          <t>0</t>
        </is>
      </c>
      <c r="I1093" t="inlineStr">
        <is>
          <t>2¹⁰, 50²</t>
        </is>
      </c>
      <c r="J1093" t="n">
        <v>12</v>
      </c>
      <c r="K1093" t="inlineStr">
        <is>
          <t>1², 4¹</t>
        </is>
      </c>
      <c r="L1093" t="inlineStr">
        <is>
          <t>25B⁰, 10D¹, 50A², 50A³</t>
        </is>
      </c>
      <c r="M1093" t="inlineStr">
        <is>
          <t>50E¹³, 100A¹⁵</t>
        </is>
      </c>
      <c r="N1093" t="inlineStr">
        <is>
          <t>2A⁰, 50A², 50A³, 25A⁰, 5B⁰, 10A¹, 5D⁰, 10D¹, 1A⁰, 25B⁰, 10B⁰</t>
        </is>
      </c>
      <c r="O1093" t="inlineStr">
        <is>
          <t>50E¹³, 100A¹⁵</t>
        </is>
      </c>
    </row>
    <row r="1094">
      <c r="A1094">
        <f>HYPERLINK("https://mathstats.uncg.edu/sites/pauli/congruence/csg5.html#group51A5", "51A⁵")</f>
        <v/>
      </c>
      <c r="B1094" t="n">
        <v>5</v>
      </c>
      <c r="C1094" t="inlineStr">
        <is>
          <t>Γ₀(51)</t>
        </is>
      </c>
      <c r="D1094" t="inlineStr">
        <is>
          <t>72</t>
        </is>
      </c>
      <c r="E1094" t="inlineStr">
        <is>
          <t>1</t>
        </is>
      </c>
      <c r="F1094" t="inlineStr">
        <is>
          <t>72</t>
        </is>
      </c>
      <c r="G1094" t="inlineStr">
        <is>
          <t>0</t>
        </is>
      </c>
      <c r="H1094" t="inlineStr">
        <is>
          <t>0</t>
        </is>
      </c>
      <c r="I1094" t="inlineStr">
        <is>
          <t>1¹, 3¹, 17¹, 51¹</t>
        </is>
      </c>
      <c r="J1094" t="n">
        <v>4</v>
      </c>
      <c r="K1094" t="inlineStr">
        <is>
          <t>1⁴, 2², 16², 32¹</t>
        </is>
      </c>
      <c r="L1094" t="inlineStr">
        <is>
          <t>3B⁰, 17A¹</t>
        </is>
      </c>
      <c r="M1094" t="inlineStr">
        <is>
          <t>51A⁹, 102A¹¹, 102B¹¹, 51A¹⁵, 102C¹⁵, 153A¹⁵, 153A¹⁷, 153B¹⁷, 204C²³</t>
        </is>
      </c>
      <c r="N1094" t="inlineStr">
        <is>
          <t>3B⁰, 1A⁰, 17A¹</t>
        </is>
      </c>
      <c r="O1094" t="inlineStr">
        <is>
          <t>204C²³, 204B²³, 51A¹⁵, 102C¹⁵, 153A¹⁵, 204A²³, 102A¹¹, 153A¹⁷, 51A⁹, 51A¹⁷, 102B¹¹, 102A²¹, 204D²³, 102B²¹, 153B¹⁷</t>
        </is>
      </c>
    </row>
    <row r="1095">
      <c r="A1095">
        <f>HYPERLINK("https://mathstats.uncg.edu/sites/pauli/congruence/csg5.html#group51B5", "51B⁵")</f>
        <v/>
      </c>
      <c r="B1095" t="n">
        <v>5</v>
      </c>
      <c r="C1095" t="inlineStr"/>
      <c r="D1095" t="inlineStr">
        <is>
          <t>108</t>
        </is>
      </c>
      <c r="E1095" t="inlineStr">
        <is>
          <t>1</t>
        </is>
      </c>
      <c r="F1095" t="inlineStr">
        <is>
          <t>18</t>
        </is>
      </c>
      <c r="G1095" t="inlineStr">
        <is>
          <t>12</t>
        </is>
      </c>
      <c r="H1095" t="inlineStr">
        <is>
          <t>0</t>
        </is>
      </c>
      <c r="I1095" t="inlineStr">
        <is>
          <t>3², 51²</t>
        </is>
      </c>
      <c r="J1095" t="n">
        <v>4</v>
      </c>
      <c r="K1095" t="inlineStr">
        <is>
          <t>1², 16¹</t>
        </is>
      </c>
      <c r="L1095" t="inlineStr">
        <is>
          <t>17B¹, 51A³</t>
        </is>
      </c>
      <c r="M1095" t="inlineStr">
        <is>
          <t>51B⁹, 51A¹³, 51B¹³, 102A¹³, 102B¹³, 102A¹⁷, 102B¹⁷, 102C²¹, 153A²¹</t>
        </is>
      </c>
      <c r="N1095" t="inlineStr">
        <is>
          <t>1A⁰, 17A¹, 3A⁰, 51A³, 17B¹</t>
        </is>
      </c>
      <c r="O1095" t="inlineStr">
        <is>
          <t>102A¹³, 153A²¹, 51A²¹, 102B¹³, 51B⁹, 102B¹⁷, 51A¹³, 102D²¹, 102A¹⁷, 102C²¹, 51B¹³</t>
        </is>
      </c>
    </row>
    <row r="1096">
      <c r="A1096">
        <f>HYPERLINK("https://mathstats.uncg.edu/sites/pauli/congruence/csg5.html#group52A5", "52A⁵")</f>
        <v/>
      </c>
      <c r="B1096" t="n">
        <v>5</v>
      </c>
      <c r="C1096" t="inlineStr">
        <is>
          <t>Γ₀(52)</t>
        </is>
      </c>
      <c r="D1096" t="inlineStr">
        <is>
          <t>84</t>
        </is>
      </c>
      <c r="E1096" t="inlineStr">
        <is>
          <t>1</t>
        </is>
      </c>
      <c r="F1096" t="inlineStr">
        <is>
          <t>42</t>
        </is>
      </c>
      <c r="G1096" t="inlineStr">
        <is>
          <t>0</t>
        </is>
      </c>
      <c r="H1096" t="inlineStr">
        <is>
          <t>0</t>
        </is>
      </c>
      <c r="I1096" t="inlineStr">
        <is>
          <t>1², 4¹, 13², 52¹</t>
        </is>
      </c>
      <c r="J1096" t="n">
        <v>6</v>
      </c>
      <c r="K1096" t="inlineStr">
        <is>
          <t>1⁶, 12³</t>
        </is>
      </c>
      <c r="L1096" t="inlineStr">
        <is>
          <t>4B⁰, 26A²</t>
        </is>
      </c>
      <c r="M1096" t="inlineStr">
        <is>
          <t>52A⁹, 52B¹¹, 52D¹¹, 104C¹¹, 104D¹¹, 52B¹³, 156A¹⁹, 156C¹⁹, 156D²³</t>
        </is>
      </c>
      <c r="N1096" t="inlineStr">
        <is>
          <t>13A⁰, 2B⁰, 4B⁰, 1A⁰, 26A²</t>
        </is>
      </c>
      <c r="O1096" t="inlineStr">
        <is>
          <t>156D²³, 156A¹⁹, 156C¹⁹, 208C²³, 52B¹¹, 104D¹¹, 104M²³, 104B²³, 104A¹⁹, 104E²³, 104B²¹, 208D²³, 52B¹³, 208F²³, 104L²³, 52D²³, 104C¹¹, 104C²³, 52C²³, 208I²³, 52A⁹, 52C²¹, 104A²³, 104K²³, 52D¹¹, 104N²³, 208E²³, 52B¹⁹, 52H²³</t>
        </is>
      </c>
    </row>
    <row r="1097">
      <c r="A1097">
        <f>HYPERLINK("https://mathstats.uncg.edu/sites/pauli/congruence/csg5.html#group52B5", "52B⁵")</f>
        <v/>
      </c>
      <c r="B1097" t="n">
        <v>5</v>
      </c>
      <c r="C1097" t="inlineStr"/>
      <c r="D1097" t="inlineStr">
        <is>
          <t>84</t>
        </is>
      </c>
      <c r="E1097" t="inlineStr">
        <is>
          <t>1</t>
        </is>
      </c>
      <c r="F1097" t="inlineStr">
        <is>
          <t>42</t>
        </is>
      </c>
      <c r="G1097" t="inlineStr">
        <is>
          <t>4</t>
        </is>
      </c>
      <c r="H1097" t="inlineStr">
        <is>
          <t>0</t>
        </is>
      </c>
      <c r="I1097" t="inlineStr">
        <is>
          <t>2¹, 4¹, 26¹, 52¹</t>
        </is>
      </c>
      <c r="J1097" t="n">
        <v>4</v>
      </c>
      <c r="K1097" t="inlineStr">
        <is>
          <t>1⁶, 12³</t>
        </is>
      </c>
      <c r="L1097" t="inlineStr">
        <is>
          <t>4C⁰, 26A²</t>
        </is>
      </c>
      <c r="M1097" t="inlineStr">
        <is>
          <t>52B⁹, 52A¹¹, 52D¹¹, 52E¹¹, 52F¹¹, 104A¹¹, 104B¹¹, 104E¹¹, 104F¹¹, 52C¹³, 104A¹³, 104B¹³, 156B¹⁷, 156D¹⁷</t>
        </is>
      </c>
      <c r="N1097" t="inlineStr">
        <is>
          <t>13A⁰, 2B⁰, 1A⁰, 26A², 4C⁰</t>
        </is>
      </c>
      <c r="O1097" t="inlineStr">
        <is>
          <t>52E¹¹, 104I²³, 104M²³, 104O²³, 52C¹⁹, 52A¹¹, 52D²³, 104F²³, 52D²¹, 52C²³, 52C¹³, 104B¹³, 52D¹¹, 208B²³, 104N²³, 208G²³, 156B¹⁷, 104E¹¹, 104A²¹, 104A¹¹, 104J²³, 104B²³, 104B¹¹, 104G²³, 208H²³, 52F²¹, 104Q²³, 208A²³, 104C²³, 104D²¹, 52F¹¹, 104F¹¹, 104H²³, 52B⁹, 104D²³, 104C²¹, 156D¹⁷, 52G²³, 52C²¹, 104R²³, 104P²³, 104A¹³</t>
        </is>
      </c>
    </row>
    <row r="1098">
      <c r="A1098">
        <f>HYPERLINK("https://mathstats.uncg.edu/sites/pauli/congruence/csg5.html#group52C5", "52C⁵")</f>
        <v/>
      </c>
      <c r="B1098" t="n">
        <v>5</v>
      </c>
      <c r="C1098" t="inlineStr"/>
      <c r="D1098" t="inlineStr">
        <is>
          <t>112</t>
        </is>
      </c>
      <c r="E1098" t="inlineStr">
        <is>
          <t>1</t>
        </is>
      </c>
      <c r="F1098" t="inlineStr">
        <is>
          <t>56</t>
        </is>
      </c>
      <c r="G1098" t="inlineStr">
        <is>
          <t>8</t>
        </is>
      </c>
      <c r="H1098" t="inlineStr">
        <is>
          <t>4</t>
        </is>
      </c>
      <c r="I1098" t="inlineStr">
        <is>
          <t>4², 52²</t>
        </is>
      </c>
      <c r="J1098" t="n">
        <v>4</v>
      </c>
      <c r="K1098" t="inlineStr">
        <is>
          <t>2⁴, 24²</t>
        </is>
      </c>
      <c r="L1098" t="inlineStr">
        <is>
          <t>26A⁰, 52A³</t>
        </is>
      </c>
      <c r="M1098" t="inlineStr">
        <is>
          <t>52H¹¹, 52A¹³, 104C¹³, 104D¹³, 104E¹³, 52A¹⁷, 156F¹⁹, 52D²¹, 156A²¹</t>
        </is>
      </c>
      <c r="N1098" t="inlineStr">
        <is>
          <t>13A⁰, 26A⁰, 52A³, 1A⁰, 4A⁰</t>
        </is>
      </c>
      <c r="O1098" t="inlineStr">
        <is>
          <t>52H¹¹, 52D²¹, 52A¹⁷, 156A²¹, 104D¹³, 104C¹³, 52A¹³, 156F¹⁹, 104E¹³</t>
        </is>
      </c>
    </row>
    <row r="1099">
      <c r="A1099">
        <f>HYPERLINK("https://mathstats.uncg.edu/sites/pauli/congruence/csg5.html#group54A5", "54A⁵")</f>
        <v/>
      </c>
      <c r="B1099" t="n">
        <v>5</v>
      </c>
      <c r="C1099" t="inlineStr"/>
      <c r="D1099" t="inlineStr">
        <is>
          <t>72</t>
        </is>
      </c>
      <c r="E1099" t="inlineStr">
        <is>
          <t>1</t>
        </is>
      </c>
      <c r="F1099" t="inlineStr">
        <is>
          <t>12</t>
        </is>
      </c>
      <c r="G1099" t="inlineStr">
        <is>
          <t>0</t>
        </is>
      </c>
      <c r="H1099" t="inlineStr">
        <is>
          <t>0</t>
        </is>
      </c>
      <c r="I1099" t="inlineStr">
        <is>
          <t>6³, 54¹</t>
        </is>
      </c>
      <c r="J1099" t="n">
        <v>4</v>
      </c>
      <c r="K1099" t="inlineStr">
        <is>
          <t>1², 2², 6¹</t>
        </is>
      </c>
      <c r="L1099" t="inlineStr">
        <is>
          <t>18C¹, 27A²</t>
        </is>
      </c>
      <c r="M1099" t="inlineStr">
        <is>
          <t>108A¹¹, 54B¹³, 54C¹³, 54D¹³, 54E¹³, 54K¹³, 54M¹³, 54Q¹³, 108A²¹</t>
        </is>
      </c>
      <c r="N1099" t="inlineStr">
        <is>
          <t>3B⁰, 9B⁰, 2A⁰, 27A², 1A⁰, 18C¹, 6C⁰</t>
        </is>
      </c>
      <c r="O1099" t="inlineStr">
        <is>
          <t>108A²¹, 54D¹³, 54Q¹³, 54K¹³, 54C¹³, 108A¹¹, 54B¹³, 54M¹³, 54E¹³</t>
        </is>
      </c>
    </row>
    <row r="1100">
      <c r="A1100">
        <f>HYPERLINK("https://mathstats.uncg.edu/sites/pauli/congruence/csg5.html#group54B5", "54B⁵")</f>
        <v/>
      </c>
      <c r="B1100" t="n">
        <v>5</v>
      </c>
      <c r="C1100" t="inlineStr"/>
      <c r="D1100" t="inlineStr">
        <is>
          <t>72</t>
        </is>
      </c>
      <c r="E1100" t="inlineStr">
        <is>
          <t>1</t>
        </is>
      </c>
      <c r="F1100" t="inlineStr">
        <is>
          <t>24</t>
        </is>
      </c>
      <c r="G1100" t="inlineStr">
        <is>
          <t>0</t>
        </is>
      </c>
      <c r="H1100" t="inlineStr">
        <is>
          <t>0</t>
        </is>
      </c>
      <c r="I1100" t="inlineStr">
        <is>
          <t>6³, 54¹</t>
        </is>
      </c>
      <c r="J1100" t="n">
        <v>4</v>
      </c>
      <c r="K1100" t="inlineStr">
        <is>
          <t>2⁶, 6²</t>
        </is>
      </c>
      <c r="L1100" t="inlineStr">
        <is>
          <t>18C¹</t>
        </is>
      </c>
      <c r="M1100" t="inlineStr">
        <is>
          <t>108B¹¹, 54B¹³, 54F¹³, 54G¹³, 54H¹³, 54I¹³, 54J¹³, 54L¹³, 54Q¹³, 54R¹³, 108C²¹</t>
        </is>
      </c>
      <c r="N1100" t="inlineStr">
        <is>
          <t>3B⁰, 9B⁰, 2A⁰, 1A⁰, 18C¹, 6C⁰</t>
        </is>
      </c>
      <c r="O1100" t="inlineStr">
        <is>
          <t>54I¹³, 108C²¹, 54B¹³, 54G¹³, 54H¹³, 54L¹³, 54J¹³, 54R¹³, 108B¹¹, 54F¹³, 54Q¹³</t>
        </is>
      </c>
    </row>
    <row r="1101">
      <c r="A1101">
        <f>HYPERLINK("https://mathstats.uncg.edu/sites/pauli/congruence/csg5.html#group54C5", "54C⁵")</f>
        <v/>
      </c>
      <c r="B1101" t="n">
        <v>5</v>
      </c>
      <c r="C1101" t="inlineStr"/>
      <c r="D1101" t="inlineStr">
        <is>
          <t>72</t>
        </is>
      </c>
      <c r="E1101" t="inlineStr">
        <is>
          <t>1</t>
        </is>
      </c>
      <c r="F1101" t="inlineStr">
        <is>
          <t>24</t>
        </is>
      </c>
      <c r="G1101" t="inlineStr">
        <is>
          <t>0</t>
        </is>
      </c>
      <c r="H1101" t="inlineStr">
        <is>
          <t>3</t>
        </is>
      </c>
      <c r="I1101" t="inlineStr">
        <is>
          <t>18¹, 54¹</t>
        </is>
      </c>
      <c r="J1101" t="n">
        <v>2</v>
      </c>
      <c r="K1101" t="inlineStr">
        <is>
          <t>2⁶, 6²</t>
        </is>
      </c>
      <c r="L1101" t="inlineStr">
        <is>
          <t>18B⁰</t>
        </is>
      </c>
      <c r="M1101" t="inlineStr">
        <is>
          <t>108C¹⁰, 54O¹³, 54P¹³, 54S¹³, 54D¹⁶, 54I¹⁶, 54J¹⁶, 54K¹⁶, 54L¹⁶, 54P¹⁶, 108A²²</t>
        </is>
      </c>
      <c r="N1101" t="inlineStr">
        <is>
          <t>3B⁰, 2A⁰, 9C⁰, 1A⁰, 18B⁰, 6C⁰</t>
        </is>
      </c>
      <c r="O1101" t="inlineStr">
        <is>
          <t>54J¹⁶, 54S¹³, 54I¹⁶, 54L¹⁶, 54D¹⁶, 54K¹⁶, 54P¹³, 54O¹³, 108A²², 108C¹⁰, 54P¹⁶</t>
        </is>
      </c>
    </row>
    <row r="1102">
      <c r="A1102">
        <f>HYPERLINK("https://mathstats.uncg.edu/sites/pauli/congruence/csg5.html#group55A5", "55A⁵")</f>
        <v/>
      </c>
      <c r="B1102" t="n">
        <v>5</v>
      </c>
      <c r="C1102" t="inlineStr"/>
      <c r="D1102" t="inlineStr">
        <is>
          <t>60</t>
        </is>
      </c>
      <c r="E1102" t="inlineStr">
        <is>
          <t>1</t>
        </is>
      </c>
      <c r="F1102" t="inlineStr">
        <is>
          <t>60</t>
        </is>
      </c>
      <c r="G1102" t="inlineStr">
        <is>
          <t>0</t>
        </is>
      </c>
      <c r="H1102" t="inlineStr">
        <is>
          <t>0</t>
        </is>
      </c>
      <c r="I1102" t="inlineStr">
        <is>
          <t>5¹, 55¹</t>
        </is>
      </c>
      <c r="J1102" t="n">
        <v>2</v>
      </c>
      <c r="K1102" t="inlineStr">
        <is>
          <t>1², 4², 10¹, 40¹</t>
        </is>
      </c>
      <c r="L1102" t="inlineStr">
        <is>
          <t>5A⁰, 11A¹</t>
        </is>
      </c>
      <c r="M1102" t="inlineStr">
        <is>
          <t>110A¹⁰, 55A¹³, 110A¹⁴, 165A¹⁵, 165B¹⁵, 55A¹⁷, 165A¹⁹, 220B²⁰, 55A²¹</t>
        </is>
      </c>
      <c r="N1102" t="inlineStr">
        <is>
          <t>1A⁰, 5A⁰, 11A¹</t>
        </is>
      </c>
      <c r="O1102" t="inlineStr">
        <is>
          <t>55A¹³, 55A¹⁷, 165A¹⁹, 110A¹⁰, 220A²⁰, 165A¹⁵, 110A¹⁴, 165B¹⁵, 55A²¹, 220B²⁰</t>
        </is>
      </c>
    </row>
    <row r="1103">
      <c r="A1103">
        <f>HYPERLINK("https://mathstats.uncg.edu/sites/pauli/congruence/csg5.html#group55B5", "55B⁵")</f>
        <v/>
      </c>
      <c r="B1103" t="n">
        <v>5</v>
      </c>
      <c r="C1103" t="inlineStr">
        <is>
          <t>Γ₀(55)</t>
        </is>
      </c>
      <c r="D1103" t="inlineStr">
        <is>
          <t>72</t>
        </is>
      </c>
      <c r="E1103" t="inlineStr">
        <is>
          <t>1</t>
        </is>
      </c>
      <c r="F1103" t="inlineStr">
        <is>
          <t>72</t>
        </is>
      </c>
      <c r="G1103" t="inlineStr">
        <is>
          <t>0</t>
        </is>
      </c>
      <c r="H1103" t="inlineStr">
        <is>
          <t>0</t>
        </is>
      </c>
      <c r="I1103" t="inlineStr">
        <is>
          <t>1¹, 5¹, 11¹, 55¹</t>
        </is>
      </c>
      <c r="J1103" t="n">
        <v>4</v>
      </c>
      <c r="K1103" t="inlineStr">
        <is>
          <t>1⁴, 4², 10², 40¹</t>
        </is>
      </c>
      <c r="L1103" t="inlineStr">
        <is>
          <t>5B⁰, 11A¹</t>
        </is>
      </c>
      <c r="M1103" t="inlineStr">
        <is>
          <t>55B⁹, 110B¹¹, 110C¹¹, 110A¹⁵, 165A¹⁷, 55B²¹, 165B²¹, 220C²³</t>
        </is>
      </c>
      <c r="N1103" t="inlineStr">
        <is>
          <t>5B⁰, 1A⁰, 11A¹</t>
        </is>
      </c>
      <c r="O1103" t="inlineStr">
        <is>
          <t>110C²¹, 220D²³, 220C²³, 165A¹⁷, 55B²¹, 220B²³, 110C¹¹, 55B¹⁷, 165B²¹, 55B⁹, 110B²¹, 110B¹¹, 110A¹⁵, 220A²³</t>
        </is>
      </c>
    </row>
    <row r="1104">
      <c r="A1104">
        <f>HYPERLINK("https://mathstats.uncg.edu/sites/pauli/congruence/csg5.html#group56A5", "56A⁵")</f>
        <v/>
      </c>
      <c r="B1104" t="n">
        <v>5</v>
      </c>
      <c r="C1104" t="inlineStr"/>
      <c r="D1104" t="inlineStr">
        <is>
          <t>84</t>
        </is>
      </c>
      <c r="E1104" t="inlineStr">
        <is>
          <t>2</t>
        </is>
      </c>
      <c r="F1104" t="inlineStr">
        <is>
          <t>21</t>
        </is>
      </c>
      <c r="G1104" t="inlineStr">
        <is>
          <t>8</t>
        </is>
      </c>
      <c r="H1104" t="inlineStr">
        <is>
          <t>0</t>
        </is>
      </c>
      <c r="I1104" t="inlineStr">
        <is>
          <t>28¹, 56¹</t>
        </is>
      </c>
      <c r="J1104" t="n">
        <v>2</v>
      </c>
      <c r="K1104" t="inlineStr">
        <is>
          <t>2³, 6⁶</t>
        </is>
      </c>
      <c r="L1104" t="inlineStr">
        <is>
          <t>28C²</t>
        </is>
      </c>
      <c r="M1104" t="inlineStr">
        <is>
          <t>56B⁹, 56E¹¹, 56D¹¹, 56B¹³, 56C¹³, 168A¹⁵, 56B¹⁷, 56D²¹</t>
        </is>
      </c>
      <c r="N1104" t="inlineStr">
        <is>
          <t>28C², 4C⁰, 2B⁰, 14B¹, 1A⁰, 7A⁰</t>
        </is>
      </c>
      <c r="O1104" t="inlineStr">
        <is>
          <t>168A¹⁵, 56J²¹, 56E¹¹, 56B¹³, 56C¹³, 56H²⁴, 112C²³, 112J²⁴, 56D²¹, 112I²⁴, 56D¹¹, 112A¹⁹, 56K²¹, 56B¹⁷, 56B⁹, 56I²⁴, 112L²³</t>
        </is>
      </c>
    </row>
    <row r="1105">
      <c r="A1105">
        <f>HYPERLINK("https://mathstats.uncg.edu/sites/pauli/congruence/csg5.html#group56B5", "56B⁵")</f>
        <v/>
      </c>
      <c r="B1105" t="n">
        <v>5</v>
      </c>
      <c r="C1105" t="inlineStr"/>
      <c r="D1105" t="inlineStr">
        <is>
          <t>84</t>
        </is>
      </c>
      <c r="E1105" t="inlineStr">
        <is>
          <t>2</t>
        </is>
      </c>
      <c r="F1105" t="inlineStr">
        <is>
          <t>42</t>
        </is>
      </c>
      <c r="G1105" t="inlineStr">
        <is>
          <t>6</t>
        </is>
      </c>
      <c r="H1105" t="inlineStr">
        <is>
          <t>0</t>
        </is>
      </c>
      <c r="I1105" t="inlineStr">
        <is>
          <t>14², 56¹</t>
        </is>
      </c>
      <c r="J1105" t="n">
        <v>3</v>
      </c>
      <c r="K1105" t="inlineStr">
        <is>
          <t>2², 4², 6⁴, 12⁴</t>
        </is>
      </c>
      <c r="L1105" t="inlineStr">
        <is>
          <t>28C²</t>
        </is>
      </c>
      <c r="M1105" t="inlineStr">
        <is>
          <t>56A¹⁰, 56B¹⁰, 56C¹¹, 56E¹¹, 56A¹², 56E¹², 56E¹³, 56H¹⁵, 168C¹⁶, 56G²¹</t>
        </is>
      </c>
      <c r="N1105" t="inlineStr">
        <is>
          <t>28C², 4C⁰, 2B⁰, 14B¹, 1A⁰, 7A⁰</t>
        </is>
      </c>
      <c r="O1105" t="inlineStr">
        <is>
          <t>56F²⁴, 168C¹⁶, 56J²¹, 112A²², 56A¹², 56C¹¹, 112H²⁴, 56B¹⁰, 56G²¹, 56D²³, 112A²¹, 56G²², 56A¹⁰, 56A²³, 112N²⁴, 112M²⁴, 112G²³, 112D²³, 56E¹¹, 56E¹³, 56H²⁴, 56E¹², 56H¹⁵, 56I²⁴, 56F²²</t>
        </is>
      </c>
    </row>
    <row r="1106">
      <c r="A1106">
        <f>HYPERLINK("https://mathstats.uncg.edu/sites/pauli/congruence/csg5.html#group56C5", "56C⁵")</f>
        <v/>
      </c>
      <c r="B1106" t="n">
        <v>5</v>
      </c>
      <c r="C1106" t="inlineStr"/>
      <c r="D1106" t="inlineStr">
        <is>
          <t>84</t>
        </is>
      </c>
      <c r="E1106" t="inlineStr">
        <is>
          <t>2</t>
        </is>
      </c>
      <c r="F1106" t="inlineStr">
        <is>
          <t>42</t>
        </is>
      </c>
      <c r="G1106" t="inlineStr">
        <is>
          <t>6</t>
        </is>
      </c>
      <c r="H1106" t="inlineStr">
        <is>
          <t>0</t>
        </is>
      </c>
      <c r="I1106" t="inlineStr">
        <is>
          <t>14², 56¹</t>
        </is>
      </c>
      <c r="J1106" t="n">
        <v>3</v>
      </c>
      <c r="K1106" t="inlineStr">
        <is>
          <t>2², 4², 6⁴, 12⁴</t>
        </is>
      </c>
      <c r="L1106" t="inlineStr">
        <is>
          <t>8D⁰, 28C²</t>
        </is>
      </c>
      <c r="M1106" t="inlineStr">
        <is>
          <t>56A¹⁰, 56C¹⁰, 56C¹¹, 56D¹¹, 112C¹¹, 112D¹¹, 56B¹², 56D¹², 112F¹², 112G¹², 56F¹³, 56G¹⁵, 168D¹⁶, 56H²¹</t>
        </is>
      </c>
      <c r="N1106" t="inlineStr">
        <is>
          <t>28C², 1A⁰, 2B⁰, 4C⁰, 14B¹, 8D⁰, 7A⁰</t>
        </is>
      </c>
      <c r="O1106" t="inlineStr">
        <is>
          <t>224C²⁴, 112A²², 112B²¹, 56H²¹, 112H²⁴, 112D¹¹, 56J²³, 56D²⁴, 112K²³, 56D²³, 224F²⁴, 56A¹⁰, 56C¹⁰, 56N²³, 56G¹⁵, 112G¹², 56D¹¹, 56F¹³, 112J²³, 56D²², 112C¹¹, 112A²⁴, 112K²⁴, 56J²¹, 56C¹¹, 224E²⁴, 112L²⁴, 112J²⁴, 56B¹², 112I²³, 56I²³, 112E²³, 56A²³, 112G²³, 112H²³, 56E²², 168D¹⁶, 56M²³, 112F¹², 112I²⁴, 56C²⁴, 56D¹², 112B²⁴, 224D²⁴</t>
        </is>
      </c>
    </row>
    <row r="1107">
      <c r="A1107">
        <f>HYPERLINK("https://mathstats.uncg.edu/sites/pauli/congruence/csg5.html#group56D5", "56D⁵")</f>
        <v/>
      </c>
      <c r="B1107" t="n">
        <v>5</v>
      </c>
      <c r="C1107" t="inlineStr">
        <is>
          <t>Γ₀(56)</t>
        </is>
      </c>
      <c r="D1107" t="inlineStr">
        <is>
          <t>96</t>
        </is>
      </c>
      <c r="E1107" t="inlineStr">
        <is>
          <t>1</t>
        </is>
      </c>
      <c r="F1107" t="inlineStr">
        <is>
          <t>48</t>
        </is>
      </c>
      <c r="G1107" t="inlineStr">
        <is>
          <t>0</t>
        </is>
      </c>
      <c r="H1107" t="inlineStr">
        <is>
          <t>0</t>
        </is>
      </c>
      <c r="I1107" t="inlineStr">
        <is>
          <t>1², 2¹, 7², 8¹, 14¹, 56¹</t>
        </is>
      </c>
      <c r="J1107" t="n">
        <v>8</v>
      </c>
      <c r="K1107" t="inlineStr">
        <is>
          <t>1⁸, 2², 6⁴, 12¹</t>
        </is>
      </c>
      <c r="L1107" t="inlineStr">
        <is>
          <t>8C⁰, 28D²</t>
        </is>
      </c>
      <c r="M1107" t="inlineStr">
        <is>
          <t>56C⁹, 56M¹¹, 56N¹¹, 56O¹¹, 56P¹¹, 112G¹¹, 112H¹¹, 112I¹¹, 112J¹¹, 56O¹³, 112C¹³, 112D¹³, 168B²¹, 168D²¹</t>
        </is>
      </c>
      <c r="N1107" t="inlineStr">
        <is>
          <t>7B⁰, 28D², 14C¹, 8C⁰, 2B⁰, 4B⁰, 1A⁰</t>
        </is>
      </c>
      <c r="O1107" t="inlineStr">
        <is>
          <t>112P²³, 112J¹¹, 56M²¹, 56U²³, 112O²³, 112D¹³, 112E²¹, 56O¹³, 56O¹¹, 112R²³, 168D²¹, 56C⁹, 224C²³, 112G¹¹, 168B²¹, 56M¹¹, 112T²³, 56L²¹, 112S²³, 112C¹³, 112U²³, 112Q²³, 112F²¹, 56R²³, 224B²³, 56P¹¹, 56N¹¹, 56Q²³, 112H¹¹, 112I¹¹</t>
        </is>
      </c>
    </row>
    <row r="1108">
      <c r="A1108">
        <f>HYPERLINK("https://mathstats.uncg.edu/sites/pauli/congruence/csg5.html#group57A5", "57A⁵")</f>
        <v/>
      </c>
      <c r="B1108" t="n">
        <v>5</v>
      </c>
      <c r="C1108" t="inlineStr"/>
      <c r="D1108" t="inlineStr">
        <is>
          <t>60</t>
        </is>
      </c>
      <c r="E1108" t="inlineStr">
        <is>
          <t>1</t>
        </is>
      </c>
      <c r="F1108" t="inlineStr">
        <is>
          <t>20</t>
        </is>
      </c>
      <c r="G1108" t="inlineStr">
        <is>
          <t>0</t>
        </is>
      </c>
      <c r="H1108" t="inlineStr">
        <is>
          <t>0</t>
        </is>
      </c>
      <c r="I1108" t="inlineStr">
        <is>
          <t>3¹, 57¹</t>
        </is>
      </c>
      <c r="J1108" t="n">
        <v>2</v>
      </c>
      <c r="K1108" t="inlineStr">
        <is>
          <t>1², 18¹</t>
        </is>
      </c>
      <c r="L1108" t="inlineStr">
        <is>
          <t>3A⁰, 19A¹</t>
        </is>
      </c>
      <c r="M1108" t="inlineStr">
        <is>
          <t>57A⁹, 114A¹⁰, 114B¹⁰, 57A¹³, 114A¹⁴, 171A¹⁵, 228C²⁰</t>
        </is>
      </c>
      <c r="N1108" t="inlineStr">
        <is>
          <t>3A⁰, 19A¹, 1A⁰</t>
        </is>
      </c>
      <c r="O1108" t="inlineStr">
        <is>
          <t>114A¹⁹, 228A²⁰, 171A¹⁵, 57A⁹, 57A¹³, 114A¹⁰, 228B²⁰, 57A¹⁷, 114A¹⁴, 114B¹⁹, 114B¹⁰, 228C²⁰</t>
        </is>
      </c>
    </row>
    <row r="1109">
      <c r="A1109">
        <f>HYPERLINK("https://mathstats.uncg.edu/sites/pauli/congruence/csg5.html#group57B5", "57B⁵")</f>
        <v/>
      </c>
      <c r="B1109" t="n">
        <v>5</v>
      </c>
      <c r="C1109" t="inlineStr"/>
      <c r="D1109" t="inlineStr">
        <is>
          <t>60</t>
        </is>
      </c>
      <c r="E1109" t="inlineStr">
        <is>
          <t>2</t>
        </is>
      </c>
      <c r="F1109" t="inlineStr">
        <is>
          <t>20</t>
        </is>
      </c>
      <c r="G1109" t="inlineStr">
        <is>
          <t>0</t>
        </is>
      </c>
      <c r="H1109" t="inlineStr">
        <is>
          <t>0</t>
        </is>
      </c>
      <c r="I1109" t="inlineStr">
        <is>
          <t>3¹, 57¹</t>
        </is>
      </c>
      <c r="J1109" t="n">
        <v>2</v>
      </c>
      <c r="K1109" t="inlineStr">
        <is>
          <t>2², 36¹</t>
        </is>
      </c>
      <c r="L1109" t="inlineStr">
        <is>
          <t>19A¹</t>
        </is>
      </c>
      <c r="M1109" t="inlineStr">
        <is>
          <t>114C¹⁰, 57A¹³, 114B¹⁴, 57B¹⁷, 228E²⁰</t>
        </is>
      </c>
      <c r="N1109" t="inlineStr">
        <is>
          <t>19A¹, 1A⁰</t>
        </is>
      </c>
      <c r="O1109" t="inlineStr">
        <is>
          <t>228D²⁰, 57B¹⁷, 57A¹³, 228E²⁰, 114B¹⁴, 114C¹⁰</t>
        </is>
      </c>
    </row>
    <row r="1110">
      <c r="A1110">
        <f>HYPERLINK("https://mathstats.uncg.edu/sites/pauli/congruence/csg5.html#group57C5", "57C⁵")</f>
        <v/>
      </c>
      <c r="B1110" t="n">
        <v>5</v>
      </c>
      <c r="C1110" t="inlineStr">
        <is>
          <t>Γ₀(57)</t>
        </is>
      </c>
      <c r="D1110" t="inlineStr">
        <is>
          <t>80</t>
        </is>
      </c>
      <c r="E1110" t="inlineStr">
        <is>
          <t>1</t>
        </is>
      </c>
      <c r="F1110" t="inlineStr">
        <is>
          <t>80</t>
        </is>
      </c>
      <c r="G1110" t="inlineStr">
        <is>
          <t>0</t>
        </is>
      </c>
      <c r="H1110" t="inlineStr">
        <is>
          <t>2</t>
        </is>
      </c>
      <c r="I1110" t="inlineStr">
        <is>
          <t>1¹, 3¹, 19¹, 57¹</t>
        </is>
      </c>
      <c r="J1110" t="n">
        <v>4</v>
      </c>
      <c r="K1110" t="inlineStr">
        <is>
          <t>1⁴, 2², 18², 36¹</t>
        </is>
      </c>
      <c r="L1110" t="inlineStr">
        <is>
          <t>3B⁰, 19A¹</t>
        </is>
      </c>
      <c r="M1110" t="inlineStr">
        <is>
          <t>57B⁹, 114A¹¹, 114B¹¹, 57B¹³, 57A¹⁷, 57B¹⁷, 114A¹⁷, 171A¹⁷, 171B¹⁷, 171C¹⁷, 171D¹⁷, 171A¹⁹, 171B¹⁹</t>
        </is>
      </c>
      <c r="N1110" t="inlineStr">
        <is>
          <t>3B⁰, 1A⁰, 19A¹</t>
        </is>
      </c>
      <c r="O1110" t="inlineStr">
        <is>
          <t>171D¹⁷, 57B¹⁷, 228B²³, 57A¹⁷, 228A²³, 171A¹⁹, 171A¹⁷, 171B¹⁷, 114A¹⁷, 57B¹³, 171C¹⁷, 114A²¹, 114A¹¹, 57B⁹, 171B¹⁹, 114B¹¹</t>
        </is>
      </c>
    </row>
    <row r="1111">
      <c r="A1111">
        <f>HYPERLINK("https://mathstats.uncg.edu/sites/pauli/congruence/csg5.html#group58A5", "58A⁵")</f>
        <v/>
      </c>
      <c r="B1111" t="n">
        <v>5</v>
      </c>
      <c r="C1111" t="inlineStr"/>
      <c r="D1111" t="inlineStr">
        <is>
          <t>60</t>
        </is>
      </c>
      <c r="E1111" t="inlineStr">
        <is>
          <t>1</t>
        </is>
      </c>
      <c r="F1111" t="inlineStr">
        <is>
          <t>30</t>
        </is>
      </c>
      <c r="G1111" t="inlineStr">
        <is>
          <t>0</t>
        </is>
      </c>
      <c r="H1111" t="inlineStr">
        <is>
          <t>0</t>
        </is>
      </c>
      <c r="I1111" t="inlineStr">
        <is>
          <t>2¹, 58¹</t>
        </is>
      </c>
      <c r="J1111" t="n">
        <v>2</v>
      </c>
      <c r="K1111" t="inlineStr">
        <is>
          <t>1², 28¹</t>
        </is>
      </c>
      <c r="L1111" t="inlineStr">
        <is>
          <t>2A⁰, 29A²</t>
        </is>
      </c>
      <c r="M1111" t="inlineStr">
        <is>
          <t>58A⁹, 58A¹³, 174A¹⁵, 174B¹⁵, 116C¹⁹, 174B¹⁹</t>
        </is>
      </c>
      <c r="N1111" t="inlineStr">
        <is>
          <t>2A⁰, 1A⁰, 29A²</t>
        </is>
      </c>
      <c r="O1111" t="inlineStr">
        <is>
          <t>116C¹⁹, 58A⁹, 58A¹³, 174A¹⁵, 174B¹⁹, 174B¹⁵, 116A¹⁹</t>
        </is>
      </c>
    </row>
    <row r="1112">
      <c r="A1112">
        <f>HYPERLINK("https://mathstats.uncg.edu/sites/pauli/congruence/csg5.html#group59A5", "59A⁵")</f>
        <v/>
      </c>
      <c r="B1112" t="n">
        <v>5</v>
      </c>
      <c r="C1112" t="inlineStr">
        <is>
          <t>Γ₀(59)</t>
        </is>
      </c>
      <c r="D1112" t="inlineStr">
        <is>
          <t>60</t>
        </is>
      </c>
      <c r="E1112" t="inlineStr">
        <is>
          <t>1</t>
        </is>
      </c>
      <c r="F1112" t="inlineStr">
        <is>
          <t>60</t>
        </is>
      </c>
      <c r="G1112" t="inlineStr">
        <is>
          <t>0</t>
        </is>
      </c>
      <c r="H1112" t="inlineStr">
        <is>
          <t>0</t>
        </is>
      </c>
      <c r="I1112" t="inlineStr">
        <is>
          <t>1¹, 59¹</t>
        </is>
      </c>
      <c r="J1112" t="n">
        <v>2</v>
      </c>
      <c r="K1112" t="inlineStr">
        <is>
          <t>1², 58¹</t>
        </is>
      </c>
      <c r="L1112" t="inlineStr">
        <is>
          <t>1A⁰</t>
        </is>
      </c>
      <c r="M1112" t="inlineStr">
        <is>
          <t>118A¹⁰, 118A¹⁴, 177A¹⁵, 177A¹⁹, 236B²⁰</t>
        </is>
      </c>
      <c r="N1112" t="inlineStr">
        <is>
          <t>1A⁰</t>
        </is>
      </c>
      <c r="O1112" t="inlineStr">
        <is>
          <t>118A¹⁴, 236B²⁰, 236A²⁰, 177A¹⁹, 177A¹⁵, 118A¹⁰</t>
        </is>
      </c>
    </row>
    <row r="1113">
      <c r="A1113">
        <f>HYPERLINK("https://mathstats.uncg.edu/sites/pauli/congruence/csg5.html#group60A5", "60A⁵")</f>
        <v/>
      </c>
      <c r="B1113" t="n">
        <v>5</v>
      </c>
      <c r="C1113" t="inlineStr"/>
      <c r="D1113" t="inlineStr">
        <is>
          <t>108</t>
        </is>
      </c>
      <c r="E1113" t="inlineStr">
        <is>
          <t>1</t>
        </is>
      </c>
      <c r="F1113" t="inlineStr">
        <is>
          <t>18</t>
        </is>
      </c>
      <c r="G1113" t="inlineStr">
        <is>
          <t>12</t>
        </is>
      </c>
      <c r="H1113" t="inlineStr">
        <is>
          <t>0</t>
        </is>
      </c>
      <c r="I1113" t="inlineStr">
        <is>
          <t>6¹, 12¹, 30¹, 60¹</t>
        </is>
      </c>
      <c r="J1113" t="n">
        <v>4</v>
      </c>
      <c r="K1113" t="inlineStr">
        <is>
          <t>1⁶, 4³</t>
        </is>
      </c>
      <c r="L1113" t="inlineStr">
        <is>
          <t>12C⁰, 20E¹, 30E²</t>
        </is>
      </c>
      <c r="M1113" t="inlineStr">
        <is>
          <t>60M⁹, 60Q¹¹, 60S¹¹, 120A¹¹, 120B¹¹, 60O¹³, 60P¹³, 60X¹³, 60Y¹³, 60Z¹³, 60AA¹³, 120E¹³, 120F¹³, 120G¹³, 120H¹³, 120I¹³, 120J¹³, 60A¹⁵, 60D¹⁵, 120G¹⁵, 120H¹⁵, 120A¹⁷, 120B¹⁷, 180I²¹</t>
        </is>
      </c>
      <c r="N1113" t="inlineStr">
        <is>
          <t>20E¹, 15B⁰, 12C⁰, 30E², 4C⁰, 5B⁰, 10C⁰, 2B⁰, 3A⁰, 1A⁰, 6D⁰</t>
        </is>
      </c>
      <c r="O1113" t="inlineStr">
        <is>
          <t>120A¹¹, 120G¹³, 60X²¹, 60R²³, 60X¹³, 120B¹¹, 120H¹⁵, 120J¹³, 60Z¹³, 60P¹³, 240A²³, 120B¹⁷, 120O²¹, 60N²³, 120E¹³, 60A¹⁵, 120G¹⁵, 60Y¹³, 120I¹³, 60S¹¹, 60D¹⁵, 60AA¹³, 120F¹³, 60M⁹, 60O¹³, 60Q¹¹, 120A¹⁷, 180I²¹, 120H¹³, 240B²³</t>
        </is>
      </c>
    </row>
    <row r="1114">
      <c r="A1114">
        <f>HYPERLINK("https://mathstats.uncg.edu/sites/pauli/congruence/csg5.html#group60B5", "60B⁵")</f>
        <v/>
      </c>
      <c r="B1114" t="n">
        <v>5</v>
      </c>
      <c r="C1114" t="inlineStr"/>
      <c r="D1114" t="inlineStr">
        <is>
          <t>108</t>
        </is>
      </c>
      <c r="E1114" t="inlineStr">
        <is>
          <t>1</t>
        </is>
      </c>
      <c r="F1114" t="inlineStr">
        <is>
          <t>54</t>
        </is>
      </c>
      <c r="G1114" t="inlineStr">
        <is>
          <t>8</t>
        </is>
      </c>
      <c r="H1114" t="inlineStr">
        <is>
          <t>0</t>
        </is>
      </c>
      <c r="I1114" t="inlineStr">
        <is>
          <t>3², 12¹, 15², 60¹</t>
        </is>
      </c>
      <c r="J1114" t="n">
        <v>6</v>
      </c>
      <c r="K1114" t="inlineStr">
        <is>
          <t>1⁶, 2⁶, 4³, 8³</t>
        </is>
      </c>
      <c r="L1114" t="inlineStr">
        <is>
          <t>12D⁰, 30E²</t>
        </is>
      </c>
      <c r="M1114" t="inlineStr">
        <is>
          <t>60N⁹, 60N¹¹, 60P¹¹, 60S¹¹, 60U¹¹, 60S¹³, 60T¹³, 60AE¹³, 60AF¹³, 60I¹⁵, 60N¹⁵, 180J²¹, 180M²³</t>
        </is>
      </c>
      <c r="N1114" t="inlineStr">
        <is>
          <t>15B⁰, 30E², 5B⁰, 10C⁰, 2B⁰, 12D⁰, 3A⁰, 1A⁰, 6D⁰</t>
        </is>
      </c>
      <c r="O1114" t="inlineStr">
        <is>
          <t>60U¹¹, 60X²¹, 60N¹¹, 120S²³, 60W²¹, 120R²³, 60N¹⁵, 180J²¹, 60N⁹, 60S¹³, 120Q²³, 60S¹¹, 60I¹⁵, 60P¹¹, 180M²³, 60T¹³, 60AF¹³, 60AE¹³</t>
        </is>
      </c>
    </row>
    <row r="1115">
      <c r="A1115">
        <f>HYPERLINK("https://mathstats.uncg.edu/sites/pauli/congruence/csg5.html#group60C5", "60C⁵")</f>
        <v/>
      </c>
      <c r="B1115" t="n">
        <v>5</v>
      </c>
      <c r="C1115" t="inlineStr"/>
      <c r="D1115" t="inlineStr">
        <is>
          <t>144</t>
        </is>
      </c>
      <c r="E1115" t="inlineStr">
        <is>
          <t>1</t>
        </is>
      </c>
      <c r="F1115" t="inlineStr">
        <is>
          <t>24</t>
        </is>
      </c>
      <c r="G1115" t="inlineStr">
        <is>
          <t>24</t>
        </is>
      </c>
      <c r="H1115" t="inlineStr">
        <is>
          <t>0</t>
        </is>
      </c>
      <c r="I1115" t="inlineStr">
        <is>
          <t>12², 60²</t>
        </is>
      </c>
      <c r="J1115" t="n">
        <v>4</v>
      </c>
      <c r="K1115" t="inlineStr">
        <is>
          <t>2⁴, 8²</t>
        </is>
      </c>
      <c r="L1115" t="inlineStr">
        <is>
          <t>30A⁰, 20G¹, 60B³</t>
        </is>
      </c>
      <c r="M1115" t="inlineStr">
        <is>
          <t>60AK¹³, 60AE¹⁵, 60AG¹⁵, 60W¹⁷, 120I¹⁷, 120J¹⁷, 120K¹⁷, 120L¹⁷, 120P¹⁷, 120Q¹⁷, 60F²¹</t>
        </is>
      </c>
      <c r="N1115" t="inlineStr">
        <is>
          <t>30A⁰, 15B⁰, 12A⁰, 4A⁰, 20G¹, 5B⁰, 60B³, 3A⁰, 1A⁰, 20B¹, 10B⁰</t>
        </is>
      </c>
      <c r="O1115" t="inlineStr">
        <is>
          <t>60W¹⁷, 120L¹⁷, 120P¹⁷, 60AG¹⁵, 120J¹⁷, 60F²¹, 60AK¹³, 120I¹⁷, 60AE¹⁵, 120K¹⁷, 120Q¹⁷</t>
        </is>
      </c>
    </row>
    <row r="1116">
      <c r="A1116">
        <f>HYPERLINK("https://mathstats.uncg.edu/sites/pauli/congruence/csg5.html#group63A5", "63A⁵")</f>
        <v/>
      </c>
      <c r="B1116" t="n">
        <v>5</v>
      </c>
      <c r="C1116" t="inlineStr">
        <is>
          <t>Γ₀(63)</t>
        </is>
      </c>
      <c r="D1116" t="inlineStr">
        <is>
          <t>96</t>
        </is>
      </c>
      <c r="E1116" t="inlineStr">
        <is>
          <t>1</t>
        </is>
      </c>
      <c r="F1116" t="inlineStr">
        <is>
          <t>32</t>
        </is>
      </c>
      <c r="G1116" t="inlineStr">
        <is>
          <t>0</t>
        </is>
      </c>
      <c r="H1116" t="inlineStr">
        <is>
          <t>0</t>
        </is>
      </c>
      <c r="I1116" t="inlineStr">
        <is>
          <t>1³, 7³, 9¹, 63¹</t>
        </is>
      </c>
      <c r="J1116" t="n">
        <v>8</v>
      </c>
      <c r="K1116" t="inlineStr">
        <is>
          <t>1⁴, 2², 6², 12¹</t>
        </is>
      </c>
      <c r="L1116" t="inlineStr">
        <is>
          <t>9B⁰, 21B¹</t>
        </is>
      </c>
      <c r="M1116" t="inlineStr">
        <is>
          <t>63E⁹, 63E¹³, 126D¹³, 126E¹³, 63E¹⁷, 63F¹⁷, 63G¹⁷, 126J¹⁷, 189A¹⁷, 189B¹⁷, 63I¹⁹, 63N¹⁹, 189C¹⁹, 189E¹⁹, 189B²¹, 189D²¹</t>
        </is>
      </c>
      <c r="N1116" t="inlineStr">
        <is>
          <t>3B⁰, 9B⁰, 21B¹, 1A⁰, 7B⁰</t>
        </is>
      </c>
      <c r="O1116" t="inlineStr">
        <is>
          <t>63E¹³, 126J¹⁷, 63I¹⁹, 63E⁹, 63E¹⁷, 189B²¹, 126D¹³, 126E¹³, 63G¹⁷, 189B¹⁷, 189E¹⁹, 63F¹⁷, 189A¹⁷, 63N¹⁹, 189D²¹, 189C¹⁹</t>
        </is>
      </c>
    </row>
    <row r="1117">
      <c r="A1117">
        <f>HYPERLINK("https://mathstats.uncg.edu/sites/pauli/congruence/csg5.html#group63B5", "63B⁵")</f>
        <v/>
      </c>
      <c r="B1117" t="n">
        <v>5</v>
      </c>
      <c r="C1117" t="inlineStr"/>
      <c r="D1117" t="inlineStr">
        <is>
          <t>96</t>
        </is>
      </c>
      <c r="E1117" t="inlineStr">
        <is>
          <t>1</t>
        </is>
      </c>
      <c r="F1117" t="inlineStr">
        <is>
          <t>32</t>
        </is>
      </c>
      <c r="G1117" t="inlineStr">
        <is>
          <t>0</t>
        </is>
      </c>
      <c r="H1117" t="inlineStr">
        <is>
          <t>6</t>
        </is>
      </c>
      <c r="I1117" t="inlineStr">
        <is>
          <t>3¹, 9¹, 21¹, 63¹</t>
        </is>
      </c>
      <c r="J1117" t="n">
        <v>4</v>
      </c>
      <c r="K1117" t="inlineStr">
        <is>
          <t>1⁴, 2², 6², 12¹</t>
        </is>
      </c>
      <c r="L1117" t="inlineStr">
        <is>
          <t>9C⁰, 21B¹</t>
        </is>
      </c>
      <c r="M1117" t="inlineStr">
        <is>
          <t>63F⁹, 126B¹¹, 126C¹¹, 63F¹⁶, 63I¹⁷, 63J¹⁷, 63K¹⁷, 63G¹⁹, 63I¹⁹, 189D¹⁹, 189C²⁰, 126J²¹, 189C²¹, 189E²¹, 189A²², 189A²³</t>
        </is>
      </c>
      <c r="N1117" t="inlineStr">
        <is>
          <t>9C⁰, 3B⁰, 21B¹, 1A⁰, 7B⁰</t>
        </is>
      </c>
      <c r="O1117" t="inlineStr">
        <is>
          <t>252B²³, 63F⁹, 63I¹⁹, 126J²¹, 189C²¹, 189E²¹, 63I¹⁷, 63F¹⁶, 252A²³, 126S²¹, 189C²⁰, 189D¹⁹, 63J¹⁷, 189A²³, 126B¹¹, 63K¹⁷, 189A²², 126C¹¹, 63G¹⁹</t>
        </is>
      </c>
    </row>
    <row r="1118">
      <c r="A1118">
        <f>HYPERLINK("https://mathstats.uncg.edu/sites/pauli/congruence/csg5.html#group64A5", "64A⁵")</f>
        <v/>
      </c>
      <c r="B1118" t="n">
        <v>5</v>
      </c>
      <c r="C1118" t="inlineStr"/>
      <c r="D1118" t="inlineStr">
        <is>
          <t>96</t>
        </is>
      </c>
      <c r="E1118" t="inlineStr">
        <is>
          <t>1</t>
        </is>
      </c>
      <c r="F1118" t="inlineStr">
        <is>
          <t>12</t>
        </is>
      </c>
      <c r="G1118" t="inlineStr">
        <is>
          <t>0</t>
        </is>
      </c>
      <c r="H1118" t="inlineStr">
        <is>
          <t>0</t>
        </is>
      </c>
      <c r="I1118" t="inlineStr">
        <is>
          <t>2⁴, 4², 16¹, 64¹</t>
        </is>
      </c>
      <c r="J1118" t="n">
        <v>8</v>
      </c>
      <c r="K1118" t="inlineStr">
        <is>
          <t>1⁴, 2², 4¹</t>
        </is>
      </c>
      <c r="L1118" t="inlineStr">
        <is>
          <t>32A¹</t>
        </is>
      </c>
      <c r="M1118" t="inlineStr">
        <is>
          <t>64A⁹, 64B⁹, 64E⁹, 128A¹³, 128B¹³, 192A²¹</t>
        </is>
      </c>
      <c r="N1118" t="inlineStr">
        <is>
          <t>8C⁰, 2B⁰, 32A¹, 4B⁰, 1A⁰, 16C⁰</t>
        </is>
      </c>
      <c r="O1118" t="inlineStr">
        <is>
          <t>64E⁹, 64A¹⁷, 128C²¹, 64F²¹, 64A²¹, 128B¹³, 128D²¹, 64A⁹, 192A²¹, 64B¹⁷, 64K²¹, 128B²¹, 64B⁹, 128A¹³</t>
        </is>
      </c>
    </row>
    <row r="1119">
      <c r="A1119">
        <f>HYPERLINK("https://mathstats.uncg.edu/sites/pauli/congruence/csg5.html#group64B5", "64B⁵")</f>
        <v/>
      </c>
      <c r="B1119" t="n">
        <v>5</v>
      </c>
      <c r="C1119" t="inlineStr"/>
      <c r="D1119" t="inlineStr">
        <is>
          <t>96</t>
        </is>
      </c>
      <c r="E1119" t="inlineStr">
        <is>
          <t>1</t>
        </is>
      </c>
      <c r="F1119" t="inlineStr">
        <is>
          <t>12</t>
        </is>
      </c>
      <c r="G1119" t="inlineStr">
        <is>
          <t>0</t>
        </is>
      </c>
      <c r="H1119" t="inlineStr">
        <is>
          <t>0</t>
        </is>
      </c>
      <c r="I1119" t="inlineStr">
        <is>
          <t>2⁴, 4², 16¹, 64¹</t>
        </is>
      </c>
      <c r="J1119" t="n">
        <v>8</v>
      </c>
      <c r="K1119" t="inlineStr">
        <is>
          <t>1⁴, 2², 4¹</t>
        </is>
      </c>
      <c r="L1119" t="inlineStr">
        <is>
          <t>32A¹</t>
        </is>
      </c>
      <c r="M1119" t="inlineStr">
        <is>
          <t>64A⁹, 64C⁹, 64D⁹, 128C¹³, 128D¹³, 192B²¹</t>
        </is>
      </c>
      <c r="N1119" t="inlineStr">
        <is>
          <t>8C⁰, 2B⁰, 32A¹, 4B⁰, 1A⁰, 16C⁰</t>
        </is>
      </c>
      <c r="O1119" t="inlineStr">
        <is>
          <t>64C⁹, 64D⁹, 128E²¹, 64A¹⁷, 64F²¹, 128F²¹, 128C¹³, 64A⁹, 192B²¹, 64J²¹, 64B¹⁷, 64B²¹, 128D¹³</t>
        </is>
      </c>
    </row>
    <row r="1120">
      <c r="A1120">
        <f>HYPERLINK("https://mathstats.uncg.edu/sites/pauli/congruence/csg5.html#group64C5", "64C⁵")</f>
        <v/>
      </c>
      <c r="B1120" t="n">
        <v>5</v>
      </c>
      <c r="C1120" t="inlineStr"/>
      <c r="D1120" t="inlineStr">
        <is>
          <t>192</t>
        </is>
      </c>
      <c r="E1120" t="inlineStr">
        <is>
          <t>1</t>
        </is>
      </c>
      <c r="F1120" t="inlineStr">
        <is>
          <t>12</t>
        </is>
      </c>
      <c r="G1120" t="inlineStr">
        <is>
          <t>0</t>
        </is>
      </c>
      <c r="H1120" t="inlineStr">
        <is>
          <t>0</t>
        </is>
      </c>
      <c r="I1120" t="inlineStr">
        <is>
          <t>1¹⁶, 4⁴, 16², 64²</t>
        </is>
      </c>
      <c r="J1120" t="n">
        <v>24</v>
      </c>
      <c r="K1120" t="inlineStr">
        <is>
          <t>1⁴, 2², 4¹</t>
        </is>
      </c>
      <c r="L1120" t="inlineStr">
        <is>
          <t>32E¹, 64A³, 64B³</t>
        </is>
      </c>
      <c r="M1120" t="inlineStr">
        <is>
          <t>64W¹³, 128E¹³, 64A¹⁷, 128A¹⁷, 128A²¹</t>
        </is>
      </c>
      <c r="N1120" t="inlineStr">
        <is>
          <t>32A¹, 4B⁰, 16C⁰, 16D⁰, 32A⁰, 64B³, 1A⁰, 8C⁰, 2B⁰, 8I⁰, 64A³, 32E¹, 16H⁰</t>
        </is>
      </c>
      <c r="O1120" t="inlineStr">
        <is>
          <t>128A²¹, 128A¹⁷, 64A¹⁷, 128E¹³, 64W¹³</t>
        </is>
      </c>
    </row>
    <row r="1121">
      <c r="A1121">
        <f>HYPERLINK("https://mathstats.uncg.edu/sites/pauli/congruence/csg5.html#group64D5", "64D⁵")</f>
        <v/>
      </c>
      <c r="B1121" t="n">
        <v>5</v>
      </c>
      <c r="C1121" t="inlineStr"/>
      <c r="D1121" t="inlineStr">
        <is>
          <t>192</t>
        </is>
      </c>
      <c r="E1121" t="inlineStr">
        <is>
          <t>1</t>
        </is>
      </c>
      <c r="F1121" t="inlineStr">
        <is>
          <t>24</t>
        </is>
      </c>
      <c r="G1121" t="inlineStr">
        <is>
          <t>0</t>
        </is>
      </c>
      <c r="H1121" t="inlineStr">
        <is>
          <t>0</t>
        </is>
      </c>
      <c r="I1121" t="inlineStr">
        <is>
          <t>1⁸, 2¹², 16², 64²</t>
        </is>
      </c>
      <c r="J1121" t="n">
        <v>24</v>
      </c>
      <c r="K1121" t="inlineStr">
        <is>
          <t>1⁴, 2², 4², 8¹</t>
        </is>
      </c>
      <c r="L1121" t="inlineStr">
        <is>
          <t>32E¹, 64A²</t>
        </is>
      </c>
      <c r="M1121" t="inlineStr">
        <is>
          <t>64V¹³, 64W¹³, 64B¹⁷, 128B¹⁷</t>
        </is>
      </c>
      <c r="N1121" t="inlineStr">
        <is>
          <t>32A¹, 16C⁰, 16D⁰, 32A⁰, 1A⁰, 8C⁰, 2B⁰, 8I⁰, 64A², 4B⁰, 32E¹, 16H⁰</t>
        </is>
      </c>
      <c r="O1121" t="inlineStr">
        <is>
          <t>128B¹⁷, 64B¹⁷, 64W¹³, 64V¹³</t>
        </is>
      </c>
    </row>
    <row r="1122">
      <c r="A1122">
        <f>HYPERLINK("https://mathstats.uncg.edu/sites/pauli/congruence/csg5.html#group65A5", "65A⁵")</f>
        <v/>
      </c>
      <c r="B1122" t="n">
        <v>5</v>
      </c>
      <c r="C1122" t="inlineStr">
        <is>
          <t>Γ₀(65)</t>
        </is>
      </c>
      <c r="D1122" t="inlineStr">
        <is>
          <t>84</t>
        </is>
      </c>
      <c r="E1122" t="inlineStr">
        <is>
          <t>1</t>
        </is>
      </c>
      <c r="F1122" t="inlineStr">
        <is>
          <t>84</t>
        </is>
      </c>
      <c r="G1122" t="inlineStr">
        <is>
          <t>4</t>
        </is>
      </c>
      <c r="H1122" t="inlineStr">
        <is>
          <t>0</t>
        </is>
      </c>
      <c r="I1122" t="inlineStr">
        <is>
          <t>1¹, 5¹, 13¹, 65¹</t>
        </is>
      </c>
      <c r="J1122" t="n">
        <v>4</v>
      </c>
      <c r="K1122" t="inlineStr">
        <is>
          <t>1⁴, 4², 12², 48¹</t>
        </is>
      </c>
      <c r="L1122" t="inlineStr">
        <is>
          <t>5B⁰, 13A⁰</t>
        </is>
      </c>
      <c r="M1122" t="inlineStr">
        <is>
          <t>65B⁹, 65A¹¹, 65B¹¹, 130A¹¹, 130B¹¹, 65A¹³, 130A¹³, 130B¹³, 130A¹⁷, 195A¹⁷, 195B¹⁷</t>
        </is>
      </c>
      <c r="N1122" t="inlineStr">
        <is>
          <t>5B⁰, 13A⁰, 1A⁰</t>
        </is>
      </c>
      <c r="O1122" t="inlineStr">
        <is>
          <t>65B¹¹, 65A²¹, 195A¹⁷, 130B²³, 130C²¹, 130B¹³, 130B¹¹, 130A¹¹, 195B¹⁷, 65A¹¹, 130A²³, 65A¹³, 65B⁹, 130A¹⁷, 130A¹³, 65C¹⁹, 65D¹⁹</t>
        </is>
      </c>
    </row>
    <row r="1123">
      <c r="A1123">
        <f>HYPERLINK("https://mathstats.uncg.edu/sites/pauli/congruence/csg5.html#group67A5", "67A⁵")</f>
        <v/>
      </c>
      <c r="B1123" t="n">
        <v>5</v>
      </c>
      <c r="C1123" t="inlineStr">
        <is>
          <t>Γ₀(67)</t>
        </is>
      </c>
      <c r="D1123" t="inlineStr">
        <is>
          <t>68</t>
        </is>
      </c>
      <c r="E1123" t="inlineStr">
        <is>
          <t>1</t>
        </is>
      </c>
      <c r="F1123" t="inlineStr">
        <is>
          <t>68</t>
        </is>
      </c>
      <c r="G1123" t="inlineStr">
        <is>
          <t>0</t>
        </is>
      </c>
      <c r="H1123" t="inlineStr">
        <is>
          <t>2</t>
        </is>
      </c>
      <c r="I1123" t="inlineStr">
        <is>
          <t>1¹, 67¹</t>
        </is>
      </c>
      <c r="J1123" t="n">
        <v>2</v>
      </c>
      <c r="K1123" t="inlineStr">
        <is>
          <t>1², 66¹</t>
        </is>
      </c>
      <c r="L1123" t="inlineStr">
        <is>
          <t>1A⁰</t>
        </is>
      </c>
      <c r="M1123" t="inlineStr">
        <is>
          <t>134A¹⁰, 67A¹⁵, 134A¹⁶, 201A¹⁶, 201A¹⁷, 201A²¹, 268A²²</t>
        </is>
      </c>
      <c r="N1123" t="inlineStr">
        <is>
          <t>1A⁰</t>
        </is>
      </c>
      <c r="O1123" t="inlineStr">
        <is>
          <t>134A¹⁶, 67A¹⁵, 201A¹⁷, 201A¹⁶, 201A²¹, 268A²⁰, 134A¹⁰, 268A²²</t>
        </is>
      </c>
    </row>
    <row r="1124">
      <c r="A1124">
        <f>HYPERLINK("https://mathstats.uncg.edu/sites/pauli/congruence/csg5.html#group68A5", "68A⁵")</f>
        <v/>
      </c>
      <c r="B1124" t="n">
        <v>5</v>
      </c>
      <c r="C1124" t="inlineStr"/>
      <c r="D1124" t="inlineStr">
        <is>
          <t>72</t>
        </is>
      </c>
      <c r="E1124" t="inlineStr">
        <is>
          <t>1</t>
        </is>
      </c>
      <c r="F1124" t="inlineStr">
        <is>
          <t>72</t>
        </is>
      </c>
      <c r="G1124" t="inlineStr">
        <is>
          <t>4</t>
        </is>
      </c>
      <c r="H1124" t="inlineStr">
        <is>
          <t>0</t>
        </is>
      </c>
      <c r="I1124" t="inlineStr">
        <is>
          <t>4¹, 68¹</t>
        </is>
      </c>
      <c r="J1124" t="n">
        <v>2</v>
      </c>
      <c r="K1124" t="inlineStr">
        <is>
          <t>2⁴, 32²</t>
        </is>
      </c>
      <c r="L1124" t="inlineStr">
        <is>
          <t>4A⁰, 17A¹</t>
        </is>
      </c>
      <c r="M1124" t="inlineStr">
        <is>
          <t>68A⁹, 68A¹¹, 68B¹¹, 136A¹¹, 136B¹¹, 68F¹⁵, 204A¹⁵, 136A²¹, 204C²³</t>
        </is>
      </c>
      <c r="N1124" t="inlineStr">
        <is>
          <t>17A¹, 1A⁰, 4A⁰</t>
        </is>
      </c>
      <c r="O1124" t="inlineStr">
        <is>
          <t>68A¹⁷, 204C²³, 136B²¹, 68A²¹, 136A¹¹, 136C²³, 272B²³, 136B²³, 272A²³, 68F¹⁵, 68B²¹, 136A²¹, 68A¹¹, 136B¹¹, 204A¹⁵, 136C²¹, 136A²³, 68A⁹, 68B¹¹</t>
        </is>
      </c>
    </row>
    <row r="1125">
      <c r="A1125">
        <f>HYPERLINK("https://mathstats.uncg.edu/sites/pauli/congruence/csg5.html#group70A5", "70A⁵")</f>
        <v/>
      </c>
      <c r="B1125" t="n">
        <v>5</v>
      </c>
      <c r="C1125" t="inlineStr"/>
      <c r="D1125" t="inlineStr">
        <is>
          <t>70</t>
        </is>
      </c>
      <c r="E1125" t="inlineStr">
        <is>
          <t>2</t>
        </is>
      </c>
      <c r="F1125" t="inlineStr">
        <is>
          <t>35</t>
        </is>
      </c>
      <c r="G1125" t="inlineStr">
        <is>
          <t>0</t>
        </is>
      </c>
      <c r="H1125" t="inlineStr">
        <is>
          <t>4</t>
        </is>
      </c>
      <c r="I1125" t="inlineStr">
        <is>
          <t>70¹</t>
        </is>
      </c>
      <c r="J1125" t="n">
        <v>1</v>
      </c>
      <c r="K1125" t="inlineStr">
        <is>
          <t>2¹, 6², 8¹, 24²</t>
        </is>
      </c>
      <c r="L1125" t="inlineStr">
        <is>
          <t>10A⁰, 14A¹, 35A²</t>
        </is>
      </c>
      <c r="M1125" t="inlineStr">
        <is>
          <t>70B⁹, 70B¹⁵, 210A¹⁶, 210B¹⁶, 210C¹⁶, 70A¹⁷, 70B¹⁷, 70C¹⁷, 210A¹⁷, 210B¹⁷, 210A¹⁸, 70A²¹, 70E²¹, 140A²², 210B²²</t>
        </is>
      </c>
      <c r="N1125" t="inlineStr">
        <is>
          <t>2A⁰, 5A⁰, 10A⁰, 14A¹, 1A⁰, 35A², 7A⁰</t>
        </is>
      </c>
      <c r="O1125" t="inlineStr">
        <is>
          <t>210B¹⁷, 70A²¹, 210C¹⁶, 70B¹⁵, 210B²², 210A¹⁶, 70A¹⁷, 210A¹⁸, 140A²², 210A¹⁷, 70C¹⁷, 70B⁹, 70B¹⁷, 210B¹⁶, 70E²¹</t>
        </is>
      </c>
    </row>
    <row r="1126">
      <c r="A1126">
        <f>HYPERLINK("https://mathstats.uncg.edu/sites/pauli/congruence/csg5.html#group70B5", "70B⁵")</f>
        <v/>
      </c>
      <c r="B1126" t="n">
        <v>5</v>
      </c>
      <c r="C1126" t="inlineStr"/>
      <c r="D1126" t="inlineStr">
        <is>
          <t>84</t>
        </is>
      </c>
      <c r="E1126" t="inlineStr">
        <is>
          <t>2</t>
        </is>
      </c>
      <c r="F1126" t="inlineStr">
        <is>
          <t>42</t>
        </is>
      </c>
      <c r="G1126" t="inlineStr">
        <is>
          <t>8</t>
        </is>
      </c>
      <c r="H1126" t="inlineStr">
        <is>
          <t>0</t>
        </is>
      </c>
      <c r="I1126" t="inlineStr">
        <is>
          <t>14¹, 70¹</t>
        </is>
      </c>
      <c r="J1126" t="n">
        <v>2</v>
      </c>
      <c r="K1126" t="inlineStr">
        <is>
          <t>2², 6⁴, 8¹, 24²</t>
        </is>
      </c>
      <c r="L1126" t="inlineStr">
        <is>
          <t>14A⁰, 35C²</t>
        </is>
      </c>
      <c r="M1126" t="inlineStr">
        <is>
          <t>70E⁹, 70B¹³, 70D¹³, 210C¹⁵, 70F¹⁷, 70G¹⁷, 70H¹⁷, 70I²¹, 140H²³</t>
        </is>
      </c>
      <c r="N1126" t="inlineStr">
        <is>
          <t>35C², 5B⁰, 14A⁰, 1A⁰, 7A⁰</t>
        </is>
      </c>
      <c r="O1126" t="inlineStr">
        <is>
          <t>70B¹³, 70D¹³, 70I²¹, 210C¹⁵, 70G¹⁷, 140E²³, 140H²³, 70F¹⁷, 70H¹⁷, 140F²³, 70E⁹</t>
        </is>
      </c>
    </row>
    <row r="1127">
      <c r="A1127">
        <f>HYPERLINK("https://mathstats.uncg.edu/sites/pauli/congruence/csg5.html#group72A5", "72A⁵")</f>
        <v/>
      </c>
      <c r="B1127" t="n">
        <v>5</v>
      </c>
      <c r="C1127" t="inlineStr"/>
      <c r="D1127" t="inlineStr">
        <is>
          <t>108</t>
        </is>
      </c>
      <c r="E1127" t="inlineStr">
        <is>
          <t>2</t>
        </is>
      </c>
      <c r="F1127" t="inlineStr">
        <is>
          <t>27</t>
        </is>
      </c>
      <c r="G1127" t="inlineStr">
        <is>
          <t>16</t>
        </is>
      </c>
      <c r="H1127" t="inlineStr">
        <is>
          <t>0</t>
        </is>
      </c>
      <c r="I1127" t="inlineStr">
        <is>
          <t>36¹, 72¹</t>
        </is>
      </c>
      <c r="J1127" t="n">
        <v>2</v>
      </c>
      <c r="K1127" t="inlineStr">
        <is>
          <t>2⁹, 6⁶</t>
        </is>
      </c>
      <c r="L1127" t="inlineStr">
        <is>
          <t>24D¹, 36B²</t>
        </is>
      </c>
      <c r="M1127" t="inlineStr">
        <is>
          <t>72H⁹, 72M¹¹, 72R¹¹, 72M¹³, 72N¹³, 72O¹³, 72P¹³, 72N¹⁵, 72Q¹⁵, 72J¹⁷, 72K¹⁷, 72W¹⁹, 72X²¹</t>
        </is>
      </c>
      <c r="N1127" t="inlineStr">
        <is>
          <t>12C⁰, 9A⁰, 36B², 24D¹, 4C⁰, 2B⁰, 18E¹, 3A⁰, 1A⁰, 6D⁰</t>
        </is>
      </c>
      <c r="O1127" t="inlineStr">
        <is>
          <t>72AA²¹, 72H⁹, 72W¹⁹, 72X²¹, 72N¹⁵, 72R¹¹, 72J¹⁷, 72P¹³, 144Y²³, 144J¹⁹, 72K¹⁷, 72Q¹⁵, 72M¹¹, 72M¹³, 72O¹³, 72N¹³</t>
        </is>
      </c>
    </row>
    <row r="1128">
      <c r="A1128">
        <f>HYPERLINK("https://mathstats.uncg.edu/sites/pauli/congruence/csg5.html#group72B5", "72B⁵")</f>
        <v/>
      </c>
      <c r="B1128" t="n">
        <v>5</v>
      </c>
      <c r="C1128" t="inlineStr">
        <is>
          <t>Γ₀(72)</t>
        </is>
      </c>
      <c r="D1128" t="inlineStr">
        <is>
          <t>144</t>
        </is>
      </c>
      <c r="E1128" t="inlineStr">
        <is>
          <t>1</t>
        </is>
      </c>
      <c r="F1128" t="inlineStr">
        <is>
          <t>24</t>
        </is>
      </c>
      <c r="G1128" t="inlineStr">
        <is>
          <t>0</t>
        </is>
      </c>
      <c r="H1128" t="inlineStr">
        <is>
          <t>0</t>
        </is>
      </c>
      <c r="I1128" t="inlineStr">
        <is>
          <t>1⁶, 2³, 8³, 9², 18¹, 72¹</t>
        </is>
      </c>
      <c r="J1128" t="n">
        <v>16</v>
      </c>
      <c r="K1128" t="inlineStr">
        <is>
          <t>1⁸, 2⁶, 4¹</t>
        </is>
      </c>
      <c r="L1128" t="inlineStr">
        <is>
          <t>24G¹, 36C¹</t>
        </is>
      </c>
      <c r="M1128" t="inlineStr">
        <is>
          <t>72I⁹, 72R¹³, 72S¹³, 72U¹³, 72T¹³, 144H¹³, 144G¹³, 144J¹³, 144I¹³, 144E¹⁷, 144D¹⁷, 72AC²¹, 216B²¹</t>
        </is>
      </c>
      <c r="N1128" t="inlineStr">
        <is>
          <t>3B⁰, 18E⁰, 24G¹, 9B⁰, 1A⁰, 8C⁰, 2B⁰, 36C¹, 4B⁰, 6F⁰, 12E⁰</t>
        </is>
      </c>
      <c r="O1128" t="inlineStr">
        <is>
          <t>72S¹³, 144H¹³, 72AC²¹, 216B²¹, 144D¹⁷, 144J¹³, 144G¹³, 72U¹³, 72R¹³, 72I⁹, 144I¹³, 144E¹⁷, 72T¹³</t>
        </is>
      </c>
    </row>
    <row r="1129">
      <c r="A1129">
        <f>HYPERLINK("https://mathstats.uncg.edu/sites/pauli/congruence/csg5.html#group73A5", "73A⁵")</f>
        <v/>
      </c>
      <c r="B1129" t="n">
        <v>5</v>
      </c>
      <c r="C1129" t="inlineStr">
        <is>
          <t>Γ₀(73)</t>
        </is>
      </c>
      <c r="D1129" t="inlineStr">
        <is>
          <t>74</t>
        </is>
      </c>
      <c r="E1129" t="inlineStr">
        <is>
          <t>1</t>
        </is>
      </c>
      <c r="F1129" t="inlineStr">
        <is>
          <t>74</t>
        </is>
      </c>
      <c r="G1129" t="inlineStr">
        <is>
          <t>2</t>
        </is>
      </c>
      <c r="H1129" t="inlineStr">
        <is>
          <t>2</t>
        </is>
      </c>
      <c r="I1129" t="inlineStr">
        <is>
          <t>1¹, 73¹</t>
        </is>
      </c>
      <c r="J1129" t="n">
        <v>2</v>
      </c>
      <c r="K1129" t="inlineStr">
        <is>
          <t>1², 72¹</t>
        </is>
      </c>
      <c r="L1129" t="inlineStr">
        <is>
          <t>1A⁰</t>
        </is>
      </c>
      <c r="M1129" t="inlineStr">
        <is>
          <t>73A⁹, 146A¹¹, 146B¹¹, 73A¹³, 146A¹⁷, 219A¹⁷, 219B¹⁷, 219A²³, 292A²³</t>
        </is>
      </c>
      <c r="N1129" t="inlineStr">
        <is>
          <t>1A⁰</t>
        </is>
      </c>
      <c r="O1129" t="inlineStr">
        <is>
          <t>146B¹¹, 146A¹⁷, 219A¹⁷, 292A²³, 73A⁹, 146A²¹, 146A¹⁹, 219B¹⁷, 146A¹¹, 73A¹⁹, 219A²³, 73A¹³</t>
        </is>
      </c>
    </row>
    <row r="1130">
      <c r="A1130">
        <f>HYPERLINK("https://mathstats.uncg.edu/sites/pauli/congruence/csg5.html#group74A5", "74A⁵")</f>
        <v/>
      </c>
      <c r="B1130" t="n">
        <v>5</v>
      </c>
      <c r="C1130" t="inlineStr"/>
      <c r="D1130" t="inlineStr">
        <is>
          <t>76</t>
        </is>
      </c>
      <c r="E1130" t="inlineStr">
        <is>
          <t>1</t>
        </is>
      </c>
      <c r="F1130" t="inlineStr">
        <is>
          <t>38</t>
        </is>
      </c>
      <c r="G1130" t="inlineStr">
        <is>
          <t>0</t>
        </is>
      </c>
      <c r="H1130" t="inlineStr">
        <is>
          <t>4</t>
        </is>
      </c>
      <c r="I1130" t="inlineStr">
        <is>
          <t>2¹, 74¹</t>
        </is>
      </c>
      <c r="J1130" t="n">
        <v>2</v>
      </c>
      <c r="K1130" t="inlineStr">
        <is>
          <t>1², 36¹</t>
        </is>
      </c>
      <c r="L1130" t="inlineStr">
        <is>
          <t>2A⁰, 37A²</t>
        </is>
      </c>
      <c r="M1130" t="inlineStr">
        <is>
          <t>74A⁹, 74A¹³, 74A¹⁷, 74B¹⁷, 222A¹⁷, 222C¹⁷, 222A¹⁹, 222B¹⁹, 148B²³, 222B²³</t>
        </is>
      </c>
      <c r="N1130" t="inlineStr">
        <is>
          <t>37A², 2A⁰, 1A⁰</t>
        </is>
      </c>
      <c r="O1130" t="inlineStr">
        <is>
          <t>222A¹⁹, 74A⁹, 148A¹⁹, 74A¹⁷, 222B²³, 222C¹⁷, 222A¹⁷, 148B²³, 222B¹⁹, 74B¹⁷, 74A¹³</t>
        </is>
      </c>
    </row>
    <row r="1131">
      <c r="A1131">
        <f>HYPERLINK("https://mathstats.uncg.edu/sites/pauli/congruence/csg5.html#group75A5", "75A⁵")</f>
        <v/>
      </c>
      <c r="B1131" t="n">
        <v>5</v>
      </c>
      <c r="C1131" t="inlineStr">
        <is>
          <t>Γ₀(75)</t>
        </is>
      </c>
      <c r="D1131" t="inlineStr">
        <is>
          <t>120</t>
        </is>
      </c>
      <c r="E1131" t="inlineStr">
        <is>
          <t>1</t>
        </is>
      </c>
      <c r="F1131" t="inlineStr">
        <is>
          <t>120</t>
        </is>
      </c>
      <c r="G1131" t="inlineStr">
        <is>
          <t>0</t>
        </is>
      </c>
      <c r="H1131" t="inlineStr">
        <is>
          <t>0</t>
        </is>
      </c>
      <c r="I1131" t="inlineStr">
        <is>
          <t>1⁵, 3⁵, 25¹, 75¹</t>
        </is>
      </c>
      <c r="J1131" t="n">
        <v>12</v>
      </c>
      <c r="K1131" t="inlineStr">
        <is>
          <t>1⁴, 2², 4⁴, 8², 20², 40¹</t>
        </is>
      </c>
      <c r="L1131" t="inlineStr">
        <is>
          <t>25A⁰, 15C¹</t>
        </is>
      </c>
      <c r="M1131" t="inlineStr">
        <is>
          <t>75F⁹, 150I¹⁵, 150J¹⁵, 75D¹⁹, 150I¹⁹, 225A¹⁹</t>
        </is>
      </c>
      <c r="N1131" t="inlineStr">
        <is>
          <t>25A⁰, 15C¹, 5B⁰, 3B⁰, 1A⁰</t>
        </is>
      </c>
      <c r="O1131" t="inlineStr">
        <is>
          <t>75D¹⁹, 150J¹⁵, 75F⁹, 75F¹⁷, 150I¹⁵, 150I¹⁹, 225A¹⁹</t>
        </is>
      </c>
    </row>
    <row r="1132">
      <c r="A1132">
        <f>HYPERLINK("https://mathstats.uncg.edu/sites/pauli/congruence/csg5.html#group78A5", "78A⁵")</f>
        <v/>
      </c>
      <c r="B1132" t="n">
        <v>5</v>
      </c>
      <c r="C1132" t="inlineStr"/>
      <c r="D1132" t="inlineStr">
        <is>
          <t>84</t>
        </is>
      </c>
      <c r="E1132" t="inlineStr">
        <is>
          <t>1</t>
        </is>
      </c>
      <c r="F1132" t="inlineStr">
        <is>
          <t>28</t>
        </is>
      </c>
      <c r="G1132" t="inlineStr">
        <is>
          <t>0</t>
        </is>
      </c>
      <c r="H1132" t="inlineStr">
        <is>
          <t>6</t>
        </is>
      </c>
      <c r="I1132" t="inlineStr">
        <is>
          <t>6¹, 78¹</t>
        </is>
      </c>
      <c r="J1132" t="n">
        <v>2</v>
      </c>
      <c r="K1132" t="inlineStr">
        <is>
          <t>2², 24¹</t>
        </is>
      </c>
      <c r="L1132" t="inlineStr">
        <is>
          <t>6A⁰, 26A¹</t>
        </is>
      </c>
      <c r="M1132" t="inlineStr">
        <is>
          <t>78A⁹, 78D¹⁶, 78B¹⁹, 78C¹⁹, 78E²³</t>
        </is>
      </c>
      <c r="N1132" t="inlineStr">
        <is>
          <t>13A⁰, 2A⁰, 26A¹, 6A⁰, 1A⁰</t>
        </is>
      </c>
      <c r="O1132" t="inlineStr">
        <is>
          <t>78D¹⁶, 78E²³, 78C¹⁹, 156D¹⁹, 78A⁹, 78B¹⁹</t>
        </is>
      </c>
    </row>
    <row r="1133">
      <c r="A1133">
        <f>HYPERLINK("https://mathstats.uncg.edu/sites/pauli/congruence/csg5.html#group78B5", "78B⁵")</f>
        <v/>
      </c>
      <c r="B1133" t="n">
        <v>5</v>
      </c>
      <c r="C1133" t="inlineStr"/>
      <c r="D1133" t="inlineStr">
        <is>
          <t>84</t>
        </is>
      </c>
      <c r="E1133" t="inlineStr">
        <is>
          <t>1</t>
        </is>
      </c>
      <c r="F1133" t="inlineStr">
        <is>
          <t>42</t>
        </is>
      </c>
      <c r="G1133" t="inlineStr">
        <is>
          <t>8</t>
        </is>
      </c>
      <c r="H1133" t="inlineStr">
        <is>
          <t>0</t>
        </is>
      </c>
      <c r="I1133" t="inlineStr">
        <is>
          <t>6¹, 78¹</t>
        </is>
      </c>
      <c r="J1133" t="n">
        <v>2</v>
      </c>
      <c r="K1133" t="inlineStr">
        <is>
          <t>1², 2², 12¹, 24¹</t>
        </is>
      </c>
      <c r="L1133" t="inlineStr">
        <is>
          <t>6B⁰, 39A²</t>
        </is>
      </c>
      <c r="M1133" t="inlineStr">
        <is>
          <t>78B⁹, 78A¹¹, 78E¹¹, 78D¹³, 78E¹³, 78H¹³, 78B¹⁷, 234A¹⁷, 234A¹⁹, 234B¹⁹, 156F²³</t>
        </is>
      </c>
      <c r="N1133" t="inlineStr">
        <is>
          <t>13A⁰, 39A², 6B⁰, 3A⁰, 1A⁰</t>
        </is>
      </c>
      <c r="O1133" t="inlineStr">
        <is>
          <t>78A¹¹, 234A¹⁹, 156B²³, 156F²³, 78D¹³, 78B⁹, 78A²¹, 78H¹³, 156A²³, 78E¹¹, 234B¹⁹, 156H²³, 78E¹³, 78B¹⁷, 234A¹⁷</t>
        </is>
      </c>
    </row>
    <row r="1134">
      <c r="A1134">
        <f>HYPERLINK("https://mathstats.uncg.edu/sites/pauli/congruence/csg5.html#group78C5", "78C⁵")</f>
        <v/>
      </c>
      <c r="B1134" t="n">
        <v>5</v>
      </c>
      <c r="C1134" t="inlineStr"/>
      <c r="D1134" t="inlineStr">
        <is>
          <t>84</t>
        </is>
      </c>
      <c r="E1134" t="inlineStr">
        <is>
          <t>2</t>
        </is>
      </c>
      <c r="F1134" t="inlineStr">
        <is>
          <t>14</t>
        </is>
      </c>
      <c r="G1134" t="inlineStr">
        <is>
          <t>0</t>
        </is>
      </c>
      <c r="H1134" t="inlineStr">
        <is>
          <t>6</t>
        </is>
      </c>
      <c r="I1134" t="inlineStr">
        <is>
          <t>6¹, 78¹</t>
        </is>
      </c>
      <c r="J1134" t="n">
        <v>2</v>
      </c>
      <c r="K1134" t="inlineStr">
        <is>
          <t>2², 24¹</t>
        </is>
      </c>
      <c r="L1134" t="inlineStr">
        <is>
          <t>26A¹, 39A¹</t>
        </is>
      </c>
      <c r="M1134" t="inlineStr">
        <is>
          <t>78C⁹, 78D¹⁶, 78A¹⁹, 78E¹⁹, 78H²³</t>
        </is>
      </c>
      <c r="N1134" t="inlineStr">
        <is>
          <t>13A⁰, 2A⁰, 26A¹, 39A¹, 1A⁰</t>
        </is>
      </c>
      <c r="O1134" t="inlineStr">
        <is>
          <t>78C⁹, 78D¹⁶, 78E¹⁹, 156E¹⁹, 78A¹⁹, 78H²³</t>
        </is>
      </c>
    </row>
    <row r="1135">
      <c r="A1135">
        <f>HYPERLINK("https://mathstats.uncg.edu/sites/pauli/congruence/csg5.html#group88A5", "88A⁵")</f>
        <v/>
      </c>
      <c r="B1135" t="n">
        <v>5</v>
      </c>
      <c r="C1135" t="inlineStr"/>
      <c r="D1135" t="inlineStr">
        <is>
          <t>88</t>
        </is>
      </c>
      <c r="E1135" t="inlineStr">
        <is>
          <t>2</t>
        </is>
      </c>
      <c r="F1135" t="inlineStr">
        <is>
          <t>44</t>
        </is>
      </c>
      <c r="G1135" t="inlineStr">
        <is>
          <t>6</t>
        </is>
      </c>
      <c r="H1135" t="inlineStr">
        <is>
          <t>4</t>
        </is>
      </c>
      <c r="I1135" t="inlineStr">
        <is>
          <t>88¹</t>
        </is>
      </c>
      <c r="J1135" t="n">
        <v>1</v>
      </c>
      <c r="K1135" t="inlineStr">
        <is>
          <t>8², 40⁴</t>
        </is>
      </c>
      <c r="L1135" t="inlineStr">
        <is>
          <t>8A⁰, 44A²</t>
        </is>
      </c>
      <c r="M1135" t="inlineStr">
        <is>
          <t>176A¹¹, 88A¹², 264A¹⁸, 88D²⁰, 88A²⁴</t>
        </is>
      </c>
      <c r="N1135" t="inlineStr">
        <is>
          <t>8A⁰, 11A⁰, 44A², 1A⁰, 4A⁰</t>
        </is>
      </c>
      <c r="O1135" t="inlineStr">
        <is>
          <t>176A¹¹, 264A¹⁸, 88A²⁴, 176A²⁴, 88D²⁰, 88A¹²</t>
        </is>
      </c>
    </row>
    <row r="1136">
      <c r="A1136">
        <f>HYPERLINK("https://mathstats.uncg.edu/sites/pauli/congruence/csg5.html#group88B5", "88B⁵")</f>
        <v/>
      </c>
      <c r="B1136" t="n">
        <v>5</v>
      </c>
      <c r="C1136" t="inlineStr"/>
      <c r="D1136" t="inlineStr">
        <is>
          <t>88</t>
        </is>
      </c>
      <c r="E1136" t="inlineStr">
        <is>
          <t>2</t>
        </is>
      </c>
      <c r="F1136" t="inlineStr">
        <is>
          <t>44</t>
        </is>
      </c>
      <c r="G1136" t="inlineStr">
        <is>
          <t>6</t>
        </is>
      </c>
      <c r="H1136" t="inlineStr">
        <is>
          <t>4</t>
        </is>
      </c>
      <c r="I1136" t="inlineStr">
        <is>
          <t>88¹</t>
        </is>
      </c>
      <c r="J1136" t="n">
        <v>1</v>
      </c>
      <c r="K1136" t="inlineStr">
        <is>
          <t>8², 40⁴</t>
        </is>
      </c>
      <c r="L1136" t="inlineStr">
        <is>
          <t>8A⁰, 44A²</t>
        </is>
      </c>
      <c r="M1136" t="inlineStr">
        <is>
          <t>176B¹¹, 88A¹², 264B¹⁸, 88D²⁰, 88B²⁴</t>
        </is>
      </c>
      <c r="N1136" t="inlineStr">
        <is>
          <t>8A⁰, 11A⁰, 44A², 1A⁰, 4A⁰</t>
        </is>
      </c>
      <c r="O1136" t="inlineStr">
        <is>
          <t>88B²⁴, 264B¹⁸, 176A²⁴, 176B¹¹, 88D²⁰, 88A¹²</t>
        </is>
      </c>
    </row>
    <row r="1137">
      <c r="A1137">
        <f>HYPERLINK("https://mathstats.uncg.edu/sites/pauli/congruence/csg5.html#group90A5", "90A⁵")</f>
        <v/>
      </c>
      <c r="B1137" t="n">
        <v>5</v>
      </c>
      <c r="C1137" t="inlineStr"/>
      <c r="D1137" t="inlineStr">
        <is>
          <t>108</t>
        </is>
      </c>
      <c r="E1137" t="inlineStr">
        <is>
          <t>2</t>
        </is>
      </c>
      <c r="F1137" t="inlineStr">
        <is>
          <t>54</t>
        </is>
      </c>
      <c r="G1137" t="inlineStr">
        <is>
          <t>16</t>
        </is>
      </c>
      <c r="H1137" t="inlineStr">
        <is>
          <t>0</t>
        </is>
      </c>
      <c r="I1137" t="inlineStr">
        <is>
          <t>18¹, 90¹</t>
        </is>
      </c>
      <c r="J1137" t="n">
        <v>2</v>
      </c>
      <c r="K1137" t="inlineStr">
        <is>
          <t>2⁶, 6⁴, 8³, 24²</t>
        </is>
      </c>
      <c r="L1137" t="inlineStr">
        <is>
          <t>18A⁰, 30C¹, 45A²</t>
        </is>
      </c>
      <c r="M1137" t="inlineStr">
        <is>
          <t>90G⁹, 90H¹¹, 90K¹¹, 90M¹⁵, 90N¹⁵, 90J¹⁷, 90K¹⁷, 90J¹⁹, 90J²¹, 90K²¹, 90L²¹</t>
        </is>
      </c>
      <c r="N1137" t="inlineStr">
        <is>
          <t>45A², 15B⁰, 6B⁰, 9A⁰, 5B⁰, 3A⁰, 1A⁰, 18A⁰, 30C¹</t>
        </is>
      </c>
      <c r="O1137" t="inlineStr">
        <is>
          <t>90J²¹, 90N¹⁵, 90M¹⁵, 90J¹⁹, 90G⁹, 90N²¹, 90K¹⁷, 90H¹¹, 90K²¹, 90J¹⁷, 90K¹¹, 90L²¹</t>
        </is>
      </c>
    </row>
    <row r="1138">
      <c r="A1138">
        <f>HYPERLINK("https://mathstats.uncg.edu/sites/pauli/congruence/csg5.html#group96A5", "96A⁵")</f>
        <v/>
      </c>
      <c r="B1138" t="n">
        <v>5</v>
      </c>
      <c r="C1138" t="inlineStr"/>
      <c r="D1138" t="inlineStr">
        <is>
          <t>144</t>
        </is>
      </c>
      <c r="E1138" t="inlineStr">
        <is>
          <t>1</t>
        </is>
      </c>
      <c r="F1138" t="inlineStr">
        <is>
          <t>36</t>
        </is>
      </c>
      <c r="G1138" t="inlineStr">
        <is>
          <t>28</t>
        </is>
      </c>
      <c r="H1138" t="inlineStr">
        <is>
          <t>0</t>
        </is>
      </c>
      <c r="I1138" t="inlineStr">
        <is>
          <t>48¹, 96¹</t>
        </is>
      </c>
      <c r="J1138" t="n">
        <v>2</v>
      </c>
      <c r="K1138" t="inlineStr">
        <is>
          <t>2⁶, 4⁶</t>
        </is>
      </c>
      <c r="L1138" t="inlineStr">
        <is>
          <t>48A⁰</t>
        </is>
      </c>
      <c r="M1138" t="inlineStr">
        <is>
          <t>96K¹¹, 96G¹³, 96H¹³, 96O¹⁵, 96Q¹⁵, 96S¹⁵, 96T¹⁵, 96U¹⁵, 96V¹⁵, 96P¹⁷, 96R¹⁷, 96AD¹⁷, 96AE¹⁷, 96AF¹⁷, 96AG¹⁷, 96V¹⁹, 96AY¹⁹, 96AA²¹, 96P²³, 288A²³</t>
        </is>
      </c>
      <c r="N1138" t="inlineStr">
        <is>
          <t>16B⁰, 12C⁰, 24A⁰, 4C⁰, 8B⁰, 48A⁰, 2B⁰, 3A⁰, 1A⁰, 6D⁰</t>
        </is>
      </c>
      <c r="O1138" t="inlineStr">
        <is>
          <t>96U¹⁵, 96V¹⁵, 96R¹⁷, 96S¹⁵, 96H¹³, 96Q¹⁵, 96G¹³, 96T¹⁵, 96P²³, 96AG¹⁷, 96P¹⁷, 96AY¹⁹, 96K¹¹, 96O¹⁵, 288A²³, 96AD¹⁷, 96AE¹⁷, 96V¹⁹, 96AF¹⁷, 96AA²¹</t>
        </is>
      </c>
    </row>
    <row r="1139">
      <c r="A1139">
        <f>HYPERLINK("https://mathstats.uncg.edu/sites/pauli/congruence/csg5.html#group98A5", "98A⁵")</f>
        <v/>
      </c>
      <c r="B1139" t="n">
        <v>5</v>
      </c>
      <c r="C1139" t="inlineStr"/>
      <c r="D1139" t="inlineStr">
        <is>
          <t>112</t>
        </is>
      </c>
      <c r="E1139" t="inlineStr">
        <is>
          <t>1</t>
        </is>
      </c>
      <c r="F1139" t="inlineStr">
        <is>
          <t>56</t>
        </is>
      </c>
      <c r="G1139" t="inlineStr">
        <is>
          <t>0</t>
        </is>
      </c>
      <c r="H1139" t="inlineStr">
        <is>
          <t>4</t>
        </is>
      </c>
      <c r="I1139" t="inlineStr">
        <is>
          <t>2⁷, 98¹</t>
        </is>
      </c>
      <c r="J1139" t="n">
        <v>8</v>
      </c>
      <c r="K1139" t="inlineStr">
        <is>
          <t>1², 6², 42¹</t>
        </is>
      </c>
      <c r="L1139" t="inlineStr">
        <is>
          <t>14B⁰, 49A¹</t>
        </is>
      </c>
      <c r="M1139" t="inlineStr">
        <is>
          <t>196A¹³, 98A¹⁵, 98A¹⁷, 98B¹⁷, 294A²³, 294B²³, 294A²⁴</t>
        </is>
      </c>
      <c r="N1139" t="inlineStr">
        <is>
          <t>49A¹, 2A⁰, 1A⁰, 7B⁰, 14B⁰</t>
        </is>
      </c>
      <c r="O1139" t="inlineStr">
        <is>
          <t>98A¹⁵, 98B¹⁷, 294A²⁴, 196A¹³, 98A¹⁷, 294B²³, 294A²³</t>
        </is>
      </c>
    </row>
    <row r="1140">
      <c r="A1140">
        <f>HYPERLINK("https://mathstats.uncg.edu/sites/pauli/congruence/csg5.html#group99A5", "99A⁵")</f>
        <v/>
      </c>
      <c r="B1140" t="n">
        <v>5</v>
      </c>
      <c r="C1140" t="inlineStr"/>
      <c r="D1140" t="inlineStr">
        <is>
          <t>99</t>
        </is>
      </c>
      <c r="E1140" t="inlineStr">
        <is>
          <t>2</t>
        </is>
      </c>
      <c r="F1140" t="inlineStr">
        <is>
          <t>99</t>
        </is>
      </c>
      <c r="G1140" t="inlineStr">
        <is>
          <t>15</t>
        </is>
      </c>
      <c r="H1140" t="inlineStr">
        <is>
          <t>0</t>
        </is>
      </c>
      <c r="I1140" t="inlineStr">
        <is>
          <t>99¹</t>
        </is>
      </c>
      <c r="J1140" t="n">
        <v>1</v>
      </c>
      <c r="K1140" t="inlineStr">
        <is>
          <t>2¹, 4¹, 10², 12¹, 20², 60²</t>
        </is>
      </c>
      <c r="L1140" t="inlineStr">
        <is>
          <t>9A⁰, 33A¹</t>
        </is>
      </c>
      <c r="M1140" t="inlineStr">
        <is>
          <t>198A¹¹, 198B¹¹, 99A¹², 198A¹⁴, 99A¹⁵, 99B¹⁵, 198A¹⁷, 99A¹⁹, 198E²¹</t>
        </is>
      </c>
      <c r="N1140" t="inlineStr">
        <is>
          <t>11A⁰, 9A⁰, 3A⁰, 1A⁰, 33A¹</t>
        </is>
      </c>
      <c r="O1140" t="inlineStr">
        <is>
          <t>99A¹², 198E²¹, 99A¹⁹, 198A¹⁴, 198A¹¹, 99B¹⁵, 198B¹¹, 198A²⁴, 99A¹⁵, 198A¹⁷</t>
        </is>
      </c>
    </row>
    <row r="1141">
      <c r="A1141">
        <f>HYPERLINK("https://mathstats.uncg.edu/sites/pauli/congruence/csg5.html#group126A5", "126A⁵")</f>
        <v/>
      </c>
      <c r="B1141" t="n">
        <v>5</v>
      </c>
      <c r="C1141" t="inlineStr"/>
      <c r="D1141" t="inlineStr">
        <is>
          <t>126</t>
        </is>
      </c>
      <c r="E1141" t="inlineStr">
        <is>
          <t>2</t>
        </is>
      </c>
      <c r="F1141" t="inlineStr">
        <is>
          <t>63</t>
        </is>
      </c>
      <c r="G1141" t="inlineStr">
        <is>
          <t>24</t>
        </is>
      </c>
      <c r="H1141" t="inlineStr">
        <is>
          <t>0</t>
        </is>
      </c>
      <c r="I1141" t="inlineStr">
        <is>
          <t>126¹</t>
        </is>
      </c>
      <c r="J1141" t="n">
        <v>1</v>
      </c>
      <c r="K1141" t="inlineStr">
        <is>
          <t>4³, 12⁸, 36⁴</t>
        </is>
      </c>
      <c r="L1141" t="inlineStr">
        <is>
          <t>18A⁰, 42B¹, 63A²</t>
        </is>
      </c>
      <c r="M1141" t="inlineStr">
        <is>
          <t>126J¹², 126J¹³, 126F¹⁴, 126A¹⁶, 126C¹⁷, 126D¹⁸, 126G²¹, 126R²¹, 126A²²</t>
        </is>
      </c>
      <c r="N1141" t="inlineStr">
        <is>
          <t>6B⁰, 7A⁰, 9A⁰, 21A⁰, 42B¹, 3A⁰, 1A⁰, 18A⁰, 63A²</t>
        </is>
      </c>
      <c r="O1141" t="inlineStr">
        <is>
          <t>126C¹⁷, 126J¹³, 126R²¹, 126F¹⁴, 126G²¹, 126A¹⁶, 126D¹⁸, 126A²², 126J¹²</t>
        </is>
      </c>
    </row>
    <row r="1142">
      <c r="A1142">
        <f>HYPERLINK("https://mathstats.uncg.edu/sites/pauli/congruence/csg5.html#group126B5", "126B⁵")</f>
        <v/>
      </c>
      <c r="B1142" t="n">
        <v>5</v>
      </c>
      <c r="C1142" t="inlineStr"/>
      <c r="D1142" t="inlineStr">
        <is>
          <t>126</t>
        </is>
      </c>
      <c r="E1142" t="inlineStr">
        <is>
          <t>2</t>
        </is>
      </c>
      <c r="F1142" t="inlineStr">
        <is>
          <t>63</t>
        </is>
      </c>
      <c r="G1142" t="inlineStr">
        <is>
          <t>24</t>
        </is>
      </c>
      <c r="H1142" t="inlineStr">
        <is>
          <t>0</t>
        </is>
      </c>
      <c r="I1142" t="inlineStr">
        <is>
          <t>126¹</t>
        </is>
      </c>
      <c r="J1142" t="n">
        <v>1</v>
      </c>
      <c r="K1142" t="inlineStr">
        <is>
          <t>4³, 12⁸, 36⁴</t>
        </is>
      </c>
      <c r="L1142" t="inlineStr">
        <is>
          <t>18A⁰, 42B¹, 63A²</t>
        </is>
      </c>
      <c r="M1142" t="inlineStr">
        <is>
          <t>126J¹², 126K¹³, 126E¹⁴, 126B¹⁶, 126D¹⁷, 126E¹⁸, 126H²¹, 126R²¹, 126A²²</t>
        </is>
      </c>
      <c r="N1142" t="inlineStr">
        <is>
          <t>6B⁰, 7A⁰, 9A⁰, 21A⁰, 42B¹, 3A⁰, 1A⁰, 18A⁰, 63A²</t>
        </is>
      </c>
      <c r="O1142" t="inlineStr">
        <is>
          <t>126R²¹, 126E¹⁴, 126K¹³, 126E¹⁸, 126A²², 126D¹⁷, 126B¹⁶, 126J¹², 126H²¹</t>
        </is>
      </c>
    </row>
    <row r="1143">
      <c r="A1143">
        <f>HYPERLINK("https://mathstats.uncg.edu/sites/pauli/congruence/csg6.html#group10A6", "10A⁶")</f>
        <v/>
      </c>
      <c r="B1143" t="n">
        <v>6</v>
      </c>
      <c r="C1143" t="inlineStr"/>
      <c r="D1143" t="inlineStr">
        <is>
          <t>180</t>
        </is>
      </c>
      <c r="E1143" t="inlineStr">
        <is>
          <t>1</t>
        </is>
      </c>
      <c r="F1143" t="inlineStr">
        <is>
          <t>45</t>
        </is>
      </c>
      <c r="G1143" t="inlineStr">
        <is>
          <t>4</t>
        </is>
      </c>
      <c r="H1143" t="inlineStr">
        <is>
          <t>0</t>
        </is>
      </c>
      <c r="I1143" t="inlineStr">
        <is>
          <t>10¹⁸</t>
        </is>
      </c>
      <c r="J1143" t="n">
        <v>18</v>
      </c>
      <c r="K1143" t="inlineStr">
        <is>
          <t>1³, 2³, 4⁹</t>
        </is>
      </c>
      <c r="L1143" t="inlineStr">
        <is>
          <t>10G⁰, 10J¹, 10C², 10E², 10F², 10C³</t>
        </is>
      </c>
      <c r="M1143" t="inlineStr">
        <is>
          <t>10A¹³, 20I¹⁵, 20B¹⁷, 20B¹⁹, 20A²¹</t>
        </is>
      </c>
      <c r="N1143" t="inlineStr">
        <is>
          <t>5A⁰, 10G⁰, 10B¹, 10D⁰, 5B⁰, 2B⁰, 10E¹, 1A⁰, 10F¹, 10B⁰, 10C³, 10J¹, 10E², 10I¹, 10F², 10C², 5E⁰, 10C⁰, 5C⁰, 5G⁰</t>
        </is>
      </c>
      <c r="O1143" t="inlineStr">
        <is>
          <t>20B¹⁷, 10A¹³, 20B¹⁹, 20I¹⁵, 20A²¹</t>
        </is>
      </c>
    </row>
    <row r="1144">
      <c r="A1144">
        <f>HYPERLINK("https://mathstats.uncg.edu/sites/pauli/congruence/csg6.html#group11A6", "11A⁶")</f>
        <v/>
      </c>
      <c r="B1144" t="n">
        <v>6</v>
      </c>
      <c r="C1144" t="inlineStr"/>
      <c r="D1144" t="inlineStr">
        <is>
          <t>132</t>
        </is>
      </c>
      <c r="E1144" t="inlineStr">
        <is>
          <t>1</t>
        </is>
      </c>
      <c r="F1144" t="inlineStr">
        <is>
          <t>66</t>
        </is>
      </c>
      <c r="G1144" t="inlineStr">
        <is>
          <t>0</t>
        </is>
      </c>
      <c r="H1144" t="inlineStr">
        <is>
          <t>0</t>
        </is>
      </c>
      <c r="I1144" t="inlineStr">
        <is>
          <t>11¹²</t>
        </is>
      </c>
      <c r="J1144" t="n">
        <v>12</v>
      </c>
      <c r="K1144" t="inlineStr">
        <is>
          <t>1¹, 5¹, 10⁶</t>
        </is>
      </c>
      <c r="L1144" t="inlineStr">
        <is>
          <t>11A¹, 11A²</t>
        </is>
      </c>
      <c r="M1144" t="inlineStr">
        <is>
          <t>22A¹⁷, 22A²²</t>
        </is>
      </c>
      <c r="N1144" t="inlineStr">
        <is>
          <t>11A⁰, 1A⁰, 11A¹, 11A²</t>
        </is>
      </c>
      <c r="O1144" t="inlineStr">
        <is>
          <t>22A²², 22A¹⁷</t>
        </is>
      </c>
    </row>
    <row r="1145">
      <c r="A1145">
        <f>HYPERLINK("https://mathstats.uncg.edu/sites/pauli/congruence/csg6.html#group14A6", "14A⁶")</f>
        <v/>
      </c>
      <c r="B1145" t="n">
        <v>6</v>
      </c>
      <c r="C1145" t="inlineStr"/>
      <c r="D1145" t="inlineStr">
        <is>
          <t>126</t>
        </is>
      </c>
      <c r="E1145" t="inlineStr">
        <is>
          <t>2</t>
        </is>
      </c>
      <c r="F1145" t="inlineStr">
        <is>
          <t>63</t>
        </is>
      </c>
      <c r="G1145" t="inlineStr">
        <is>
          <t>4</t>
        </is>
      </c>
      <c r="H1145" t="inlineStr">
        <is>
          <t>0</t>
        </is>
      </c>
      <c r="I1145" t="inlineStr">
        <is>
          <t>14⁹</t>
        </is>
      </c>
      <c r="J1145" t="n">
        <v>9</v>
      </c>
      <c r="K1145" t="inlineStr">
        <is>
          <t>6²¹</t>
        </is>
      </c>
      <c r="L1145" t="inlineStr">
        <is>
          <t>14F¹, 14B², 14C², 14F²</t>
        </is>
      </c>
      <c r="M1145" t="inlineStr">
        <is>
          <t>14A¹¹, 14B¹³, 14C¹³, 28B¹⁴, 28C¹⁴, 28D¹⁶, 28E¹⁶</t>
        </is>
      </c>
      <c r="N1145" t="inlineStr">
        <is>
          <t>14A⁰, 14B², 14F¹, 7D⁰, 14B¹, 14C², 14F², 2B⁰, 1A⁰, 7A⁰</t>
        </is>
      </c>
      <c r="O1145" t="inlineStr">
        <is>
          <t>14A¹¹, 28E¹⁶, 14B¹³, 14C¹³, 28D¹⁶, 28C¹⁴, 28B¹⁴, 14A²³</t>
        </is>
      </c>
    </row>
    <row r="1146">
      <c r="A1146">
        <f>HYPERLINK("https://mathstats.uncg.edu/sites/pauli/congruence/csg6.html#group14B6", "14B⁶")</f>
        <v/>
      </c>
      <c r="B1146" t="n">
        <v>6</v>
      </c>
      <c r="C1146" t="inlineStr"/>
      <c r="D1146" t="inlineStr">
        <is>
          <t>168</t>
        </is>
      </c>
      <c r="E1146" t="inlineStr">
        <is>
          <t>1</t>
        </is>
      </c>
      <c r="F1146" t="inlineStr">
        <is>
          <t>168</t>
        </is>
      </c>
      <c r="G1146" t="inlineStr">
        <is>
          <t>8</t>
        </is>
      </c>
      <c r="H1146" t="inlineStr">
        <is>
          <t>3</t>
        </is>
      </c>
      <c r="I1146" t="inlineStr">
        <is>
          <t>14¹²</t>
        </is>
      </c>
      <c r="J1146" t="n">
        <v>12</v>
      </c>
      <c r="K1146" t="inlineStr">
        <is>
          <t>3², 6²⁷</t>
        </is>
      </c>
      <c r="L1146" t="inlineStr">
        <is>
          <t>14F¹, 14G¹</t>
        </is>
      </c>
      <c r="M1146" t="inlineStr">
        <is>
          <t>14A¹⁵, 28A¹⁹, 28B¹⁹, 14A²³</t>
        </is>
      </c>
      <c r="N1146" t="inlineStr">
        <is>
          <t>7F⁰, 14A⁰, 14F¹, 14G¹, 1A⁰, 7A⁰</t>
        </is>
      </c>
      <c r="O1146" t="inlineStr">
        <is>
          <t>28B¹⁹, 14A²³, 28A¹⁹, 14A¹⁵</t>
        </is>
      </c>
    </row>
    <row r="1147">
      <c r="A1147">
        <f>HYPERLINK("https://mathstats.uncg.edu/sites/pauli/congruence/csg6.html#group16A6", "16A⁶")</f>
        <v/>
      </c>
      <c r="B1147" t="n">
        <v>6</v>
      </c>
      <c r="C1147" t="inlineStr"/>
      <c r="D1147" t="inlineStr">
        <is>
          <t>96</t>
        </is>
      </c>
      <c r="E1147" t="inlineStr">
        <is>
          <t>1</t>
        </is>
      </c>
      <c r="F1147" t="inlineStr">
        <is>
          <t>4</t>
        </is>
      </c>
      <c r="G1147" t="inlineStr">
        <is>
          <t>0</t>
        </is>
      </c>
      <c r="H1147" t="inlineStr">
        <is>
          <t>0</t>
        </is>
      </c>
      <c r="I1147" t="inlineStr">
        <is>
          <t>16⁶</t>
        </is>
      </c>
      <c r="J1147" t="n">
        <v>6</v>
      </c>
      <c r="K1147" t="inlineStr">
        <is>
          <t>2²</t>
        </is>
      </c>
      <c r="L1147" t="inlineStr">
        <is>
          <t>16F⁰, 8A², 16G³</t>
        </is>
      </c>
      <c r="M1147" t="inlineStr">
        <is>
          <t>16A¹¹, 48A²²</t>
        </is>
      </c>
      <c r="N1147" t="inlineStr">
        <is>
          <t>2A⁰, 16A⁰, 4C⁰, 8A⁰, 8E⁰, 16G³, 4G⁰, 2B⁰, 4E⁰, 4B⁰, 1A⁰, 8D¹, 8A², 4A⁰, 4D⁰, 16F⁰, 4F⁰, 2C⁰</t>
        </is>
      </c>
      <c r="O1147" t="inlineStr">
        <is>
          <t>48A²², 16B²¹, 16A¹¹, 16D²¹, 16E²¹</t>
        </is>
      </c>
    </row>
    <row r="1148">
      <c r="A1148">
        <f>HYPERLINK("https://mathstats.uncg.edu/sites/pauli/congruence/csg6.html#group16B6", "16B⁶")</f>
        <v/>
      </c>
      <c r="B1148" t="n">
        <v>6</v>
      </c>
      <c r="C1148" t="inlineStr"/>
      <c r="D1148" t="inlineStr">
        <is>
          <t>96</t>
        </is>
      </c>
      <c r="E1148" t="inlineStr">
        <is>
          <t>1</t>
        </is>
      </c>
      <c r="F1148" t="inlineStr">
        <is>
          <t>24</t>
        </is>
      </c>
      <c r="G1148" t="inlineStr">
        <is>
          <t>0</t>
        </is>
      </c>
      <c r="H1148" t="inlineStr">
        <is>
          <t>0</t>
        </is>
      </c>
      <c r="I1148" t="inlineStr">
        <is>
          <t>16⁶</t>
        </is>
      </c>
      <c r="J1148" t="n">
        <v>6</v>
      </c>
      <c r="K1148" t="inlineStr">
        <is>
          <t>4², 8²</t>
        </is>
      </c>
      <c r="L1148" t="inlineStr">
        <is>
          <t>8B², 16G³</t>
        </is>
      </c>
      <c r="M1148" t="inlineStr">
        <is>
          <t>16A¹¹, 16D¹¹, 48C²²</t>
        </is>
      </c>
      <c r="N1148" t="inlineStr">
        <is>
          <t>16A⁰, 8C¹, 8A¹, 8D⁰, 4A⁰, 8K⁰, 4C⁰, 8B², 8A⁰, 16G³, 2B⁰, 4F⁰, 1A⁰, 8D¹</t>
        </is>
      </c>
      <c r="O1148" t="inlineStr">
        <is>
          <t>32F²³, 16B²¹, 16A¹¹, 16E²¹, 16D²¹, 16D¹¹, 48C²²</t>
        </is>
      </c>
    </row>
    <row r="1149">
      <c r="A1149">
        <f>HYPERLINK("https://mathstats.uncg.edu/sites/pauli/congruence/csg6.html#group16C6", "16C⁶")</f>
        <v/>
      </c>
      <c r="B1149" t="n">
        <v>6</v>
      </c>
      <c r="C1149" t="inlineStr"/>
      <c r="D1149" t="inlineStr">
        <is>
          <t>192</t>
        </is>
      </c>
      <c r="E1149" t="inlineStr">
        <is>
          <t>1</t>
        </is>
      </c>
      <c r="F1149" t="inlineStr">
        <is>
          <t>48</t>
        </is>
      </c>
      <c r="G1149" t="inlineStr">
        <is>
          <t>4</t>
        </is>
      </c>
      <c r="H1149" t="inlineStr">
        <is>
          <t>0</t>
        </is>
      </c>
      <c r="I1149" t="inlineStr">
        <is>
          <t>8¹⁶, 16⁴</t>
        </is>
      </c>
      <c r="J1149" t="n">
        <v>20</v>
      </c>
      <c r="K1149" t="inlineStr">
        <is>
          <t>4², 8⁵</t>
        </is>
      </c>
      <c r="L1149" t="inlineStr">
        <is>
          <t>8C², 16P³, 16Q³</t>
        </is>
      </c>
      <c r="M1149" t="inlineStr">
        <is>
          <t>16B¹³, 32A¹⁸, 32B¹⁸, 16A¹⁹, 16F²¹</t>
        </is>
      </c>
      <c r="N1149" t="inlineStr">
        <is>
          <t>8D⁰, 4C⁰, 8C², 8B⁰, 16P³, 8A⁰, 8L⁰, 2B⁰, 1A⁰, 8K⁰, 8D¹, 8H¹, 8H⁰, 16L¹, 8F⁰, 4A⁰, 8I¹, 4F⁰, 8M⁰, 16Q³, 8P⁰, 16K¹</t>
        </is>
      </c>
      <c r="O1149" t="inlineStr">
        <is>
          <t>32A¹⁸, 16F²¹, 16A¹⁹, 16B¹³, 32B¹⁸</t>
        </is>
      </c>
    </row>
    <row r="1150">
      <c r="A1150">
        <f>HYPERLINK("https://mathstats.uncg.edu/sites/pauli/congruence/csg6.html#group17A6", "17A⁶")</f>
        <v/>
      </c>
      <c r="B1150" t="n">
        <v>6</v>
      </c>
      <c r="C1150" t="inlineStr"/>
      <c r="D1150" t="inlineStr">
        <is>
          <t>136</t>
        </is>
      </c>
      <c r="E1150" t="inlineStr">
        <is>
          <t>1</t>
        </is>
      </c>
      <c r="F1150" t="inlineStr">
        <is>
          <t>136</t>
        </is>
      </c>
      <c r="G1150" t="inlineStr">
        <is>
          <t>8</t>
        </is>
      </c>
      <c r="H1150" t="inlineStr">
        <is>
          <t>1</t>
        </is>
      </c>
      <c r="I1150" t="inlineStr">
        <is>
          <t>17⁸</t>
        </is>
      </c>
      <c r="J1150" t="n">
        <v>8</v>
      </c>
      <c r="K1150" t="inlineStr">
        <is>
          <t>8¹, 16⁸</t>
        </is>
      </c>
      <c r="L1150" t="inlineStr">
        <is>
          <t>1A⁰</t>
        </is>
      </c>
      <c r="M1150" t="inlineStr">
        <is>
          <t>17A¹⁵, 34A¹⁵, 34A¹⁹, 17A²⁰</t>
        </is>
      </c>
      <c r="N1150" t="inlineStr">
        <is>
          <t>1A⁰</t>
        </is>
      </c>
      <c r="O1150" t="inlineStr">
        <is>
          <t>34A¹⁹, 17A¹⁵, 34A¹⁵, 17A²⁰</t>
        </is>
      </c>
    </row>
    <row r="1151">
      <c r="A1151">
        <f>HYPERLINK("https://mathstats.uncg.edu/sites/pauli/congruence/csg6.html#group18A6", "18A⁶")</f>
        <v/>
      </c>
      <c r="B1151" t="n">
        <v>6</v>
      </c>
      <c r="C1151" t="inlineStr"/>
      <c r="D1151" t="inlineStr">
        <is>
          <t>108</t>
        </is>
      </c>
      <c r="E1151" t="inlineStr">
        <is>
          <t>1</t>
        </is>
      </c>
      <c r="F1151" t="inlineStr">
        <is>
          <t>9</t>
        </is>
      </c>
      <c r="G1151" t="inlineStr">
        <is>
          <t>0</t>
        </is>
      </c>
      <c r="H1151" t="inlineStr">
        <is>
          <t>0</t>
        </is>
      </c>
      <c r="I1151" t="inlineStr">
        <is>
          <t>9⁴, 18⁴</t>
        </is>
      </c>
      <c r="J1151" t="n">
        <v>8</v>
      </c>
      <c r="K1151" t="inlineStr">
        <is>
          <t>1³, 2³</t>
        </is>
      </c>
      <c r="L1151" t="inlineStr">
        <is>
          <t>6K⁰, 9A², 18I², 18E³</t>
        </is>
      </c>
      <c r="M1151" t="inlineStr">
        <is>
          <t>18B¹³, 36C¹³, 36A¹⁵, 18A¹⁶, 18B¹⁶</t>
        </is>
      </c>
      <c r="N1151" t="inlineStr">
        <is>
          <t>3B⁰, 6G⁰, 2B⁰, 1A⁰, 9B¹, 18E³, 9D⁰, 9A², 9A⁰, 6F⁰, 3C⁰, 6K⁰, 18E¹, 3A⁰, 3D⁰, 18I², 6D⁰</t>
        </is>
      </c>
      <c r="O1151" t="inlineStr">
        <is>
          <t>36A¹⁵, 18B¹³, 18A¹⁶, 18B¹⁶, 36C¹³</t>
        </is>
      </c>
    </row>
    <row r="1152">
      <c r="A1152">
        <f>HYPERLINK("https://mathstats.uncg.edu/sites/pauli/congruence/csg6.html#group18B6", "18B⁶")</f>
        <v/>
      </c>
      <c r="B1152" t="n">
        <v>6</v>
      </c>
      <c r="C1152" t="inlineStr"/>
      <c r="D1152" t="inlineStr">
        <is>
          <t>108</t>
        </is>
      </c>
      <c r="E1152" t="inlineStr">
        <is>
          <t>1</t>
        </is>
      </c>
      <c r="F1152" t="inlineStr">
        <is>
          <t>27</t>
        </is>
      </c>
      <c r="G1152" t="inlineStr">
        <is>
          <t>4</t>
        </is>
      </c>
      <c r="H1152" t="inlineStr">
        <is>
          <t>0</t>
        </is>
      </c>
      <c r="I1152" t="inlineStr">
        <is>
          <t>18⁶</t>
        </is>
      </c>
      <c r="J1152" t="n">
        <v>6</v>
      </c>
      <c r="K1152" t="inlineStr">
        <is>
          <t>3¹, 6⁴</t>
        </is>
      </c>
      <c r="L1152" t="inlineStr">
        <is>
          <t>18F¹, 9B², 18G², 18K²</t>
        </is>
      </c>
      <c r="M1152" t="inlineStr">
        <is>
          <t>18A¹³, 36E¹⁵, 18C¹⁶, 18A¹⁸, 54A²¹, 54B²¹, 54A²⁴, 54B²⁴</t>
        </is>
      </c>
      <c r="N1152" t="inlineStr">
        <is>
          <t>6B⁰, 9G⁰, 18K², 9B², 9E⁰, 1A⁰, 18A⁰, 9B¹, 6E⁰, 9A⁰, 3C⁰, 18F¹, 18G², 3A⁰, 18A¹</t>
        </is>
      </c>
      <c r="O1152" t="inlineStr">
        <is>
          <t>18C¹⁶, 36E¹⁵, 54B²⁴, 18A¹⁸, 54B²¹, 18A¹³, 54A²¹, 54A²⁴</t>
        </is>
      </c>
    </row>
    <row r="1153">
      <c r="A1153">
        <f>HYPERLINK("https://mathstats.uncg.edu/sites/pauli/congruence/csg6.html#group18C6", "18C⁶")</f>
        <v/>
      </c>
      <c r="B1153" t="n">
        <v>6</v>
      </c>
      <c r="C1153" t="inlineStr"/>
      <c r="D1153" t="inlineStr">
        <is>
          <t>108</t>
        </is>
      </c>
      <c r="E1153" t="inlineStr">
        <is>
          <t>1</t>
        </is>
      </c>
      <c r="F1153" t="inlineStr">
        <is>
          <t>108</t>
        </is>
      </c>
      <c r="G1153" t="inlineStr">
        <is>
          <t>4</t>
        </is>
      </c>
      <c r="H1153" t="inlineStr">
        <is>
          <t>0</t>
        </is>
      </c>
      <c r="I1153" t="inlineStr">
        <is>
          <t>18⁶</t>
        </is>
      </c>
      <c r="J1153" t="n">
        <v>6</v>
      </c>
      <c r="K1153" t="inlineStr">
        <is>
          <t>3², 6¹⁷</t>
        </is>
      </c>
      <c r="L1153" t="inlineStr">
        <is>
          <t>18F¹, 18G¹, 18H²</t>
        </is>
      </c>
      <c r="M1153" t="inlineStr">
        <is>
          <t>18E¹³, 36G¹⁵, 36H¹⁵, 18F¹⁶, 18A¹⁸</t>
        </is>
      </c>
      <c r="N1153" t="inlineStr">
        <is>
          <t>6B⁰, 18H², 6E⁰, 18B¹, 3C⁰, 18G¹, 18F¹, 9E⁰, 3A⁰, 1A⁰</t>
        </is>
      </c>
      <c r="O1153" t="inlineStr">
        <is>
          <t>18F¹⁶, 18E¹³, 36H¹⁵, 18A¹⁸, 36G¹⁵</t>
        </is>
      </c>
    </row>
    <row r="1154">
      <c r="A1154">
        <f>HYPERLINK("https://mathstats.uncg.edu/sites/pauli/congruence/csg6.html#group18D6", "18D⁶")</f>
        <v/>
      </c>
      <c r="B1154" t="n">
        <v>6</v>
      </c>
      <c r="C1154" t="inlineStr"/>
      <c r="D1154" t="inlineStr">
        <is>
          <t>108</t>
        </is>
      </c>
      <c r="E1154" t="inlineStr">
        <is>
          <t>2</t>
        </is>
      </c>
      <c r="F1154" t="inlineStr">
        <is>
          <t>27</t>
        </is>
      </c>
      <c r="G1154" t="inlineStr">
        <is>
          <t>4</t>
        </is>
      </c>
      <c r="H1154" t="inlineStr">
        <is>
          <t>0</t>
        </is>
      </c>
      <c r="I1154" t="inlineStr">
        <is>
          <t>18⁶</t>
        </is>
      </c>
      <c r="J1154" t="n">
        <v>6</v>
      </c>
      <c r="K1154" t="inlineStr">
        <is>
          <t>2⁹, 6⁶</t>
        </is>
      </c>
      <c r="L1154" t="inlineStr">
        <is>
          <t>6L⁰, 18G², 18H², 18L², 18D³, 18E³</t>
        </is>
      </c>
      <c r="M1154" t="inlineStr">
        <is>
          <t>18B¹³, 36P¹³, 36S¹³, 36I¹⁵, 36L¹⁵, 18G¹⁶, 18A¹⁸</t>
        </is>
      </c>
      <c r="N1154" t="inlineStr">
        <is>
          <t>6B⁰, 18B¹, 6G⁰, 2B⁰, 1A⁰, 9B¹, 18A⁰, 18L², 18E³, 18D³, 18H², 6E⁰, 6L⁰, 9A⁰, 18E¹, 3C⁰, 18G², 6H⁰, 3A⁰, 18A¹, 6D⁰</t>
        </is>
      </c>
      <c r="O1154" t="inlineStr">
        <is>
          <t>36L¹⁵, 18G¹⁶, 18B¹³, 36P¹³, 18A¹⁸, 36S¹³, 36I¹⁵</t>
        </is>
      </c>
    </row>
    <row r="1155">
      <c r="A1155">
        <f>HYPERLINK("https://mathstats.uncg.edu/sites/pauli/congruence/csg6.html#group18E6", "18E⁶")</f>
        <v/>
      </c>
      <c r="B1155" t="n">
        <v>6</v>
      </c>
      <c r="C1155" t="inlineStr"/>
      <c r="D1155" t="inlineStr">
        <is>
          <t>108</t>
        </is>
      </c>
      <c r="E1155" t="inlineStr">
        <is>
          <t>2</t>
        </is>
      </c>
      <c r="F1155" t="inlineStr">
        <is>
          <t>54</t>
        </is>
      </c>
      <c r="G1155" t="inlineStr">
        <is>
          <t>4</t>
        </is>
      </c>
      <c r="H1155" t="inlineStr">
        <is>
          <t>0</t>
        </is>
      </c>
      <c r="I1155" t="inlineStr">
        <is>
          <t>18⁶</t>
        </is>
      </c>
      <c r="J1155" t="n">
        <v>6</v>
      </c>
      <c r="K1155" t="inlineStr">
        <is>
          <t>6¹⁸</t>
        </is>
      </c>
      <c r="L1155" t="inlineStr">
        <is>
          <t>18G¹, 18G², 18H², 18M²</t>
        </is>
      </c>
      <c r="M1155" t="inlineStr">
        <is>
          <t>18H¹³, 36O¹⁵, 18H¹⁶, 18A¹⁸</t>
        </is>
      </c>
      <c r="N1155" t="inlineStr">
        <is>
          <t>6B⁰, 3A⁰, 18H², 6E⁰, 9B¹, 9A⁰, 18B¹, 3C⁰, 18G¹, 18G², 18M², 1A⁰, 18A⁰, 18A¹</t>
        </is>
      </c>
      <c r="O1155" t="inlineStr">
        <is>
          <t>36O¹⁵, 18H¹³, 18H¹⁶, 18A¹⁸</t>
        </is>
      </c>
    </row>
    <row r="1156">
      <c r="A1156">
        <f>HYPERLINK("https://mathstats.uncg.edu/sites/pauli/congruence/csg6.html#group20A6", "20A⁶")</f>
        <v/>
      </c>
      <c r="B1156" t="n">
        <v>6</v>
      </c>
      <c r="C1156" t="inlineStr"/>
      <c r="D1156" t="inlineStr">
        <is>
          <t>120</t>
        </is>
      </c>
      <c r="E1156" t="inlineStr">
        <is>
          <t>1</t>
        </is>
      </c>
      <c r="F1156" t="inlineStr">
        <is>
          <t>40</t>
        </is>
      </c>
      <c r="G1156" t="inlineStr">
        <is>
          <t>0</t>
        </is>
      </c>
      <c r="H1156" t="inlineStr">
        <is>
          <t>6</t>
        </is>
      </c>
      <c r="I1156" t="inlineStr">
        <is>
          <t>20⁶</t>
        </is>
      </c>
      <c r="J1156" t="n">
        <v>6</v>
      </c>
      <c r="K1156" t="inlineStr">
        <is>
          <t>4², 8⁴</t>
        </is>
      </c>
      <c r="L1156" t="inlineStr">
        <is>
          <t>10E⁰, 20D²</t>
        </is>
      </c>
      <c r="M1156" t="inlineStr">
        <is>
          <t>40A¹⁴, 20A²²</t>
        </is>
      </c>
      <c r="N1156" t="inlineStr">
        <is>
          <t>2A⁰, 5A⁰, 10A⁰, 20D², 10E⁰, 4A⁰, 4D⁰, 20A¹, 1A⁰</t>
        </is>
      </c>
      <c r="O1156" t="inlineStr">
        <is>
          <t>20A²², 40A¹⁴</t>
        </is>
      </c>
    </row>
    <row r="1157">
      <c r="A1157">
        <f>HYPERLINK("https://mathstats.uncg.edu/sites/pauli/congruence/csg6.html#group20B6", "20B⁶")</f>
        <v/>
      </c>
      <c r="B1157" t="n">
        <v>6</v>
      </c>
      <c r="C1157" t="inlineStr"/>
      <c r="D1157" t="inlineStr">
        <is>
          <t>120</t>
        </is>
      </c>
      <c r="E1157" t="inlineStr">
        <is>
          <t>1</t>
        </is>
      </c>
      <c r="F1157" t="inlineStr">
        <is>
          <t>60</t>
        </is>
      </c>
      <c r="G1157" t="inlineStr">
        <is>
          <t>8</t>
        </is>
      </c>
      <c r="H1157" t="inlineStr">
        <is>
          <t>0</t>
        </is>
      </c>
      <c r="I1157" t="inlineStr">
        <is>
          <t>20⁶</t>
        </is>
      </c>
      <c r="J1157" t="n">
        <v>6</v>
      </c>
      <c r="K1157" t="inlineStr">
        <is>
          <t>2², 4², 8⁶</t>
        </is>
      </c>
      <c r="L1157" t="inlineStr">
        <is>
          <t>10E¹, 20D³</t>
        </is>
      </c>
      <c r="M1157" t="inlineStr">
        <is>
          <t>20B¹³, 20F¹⁵, 40D¹⁶, 40E¹⁶, 20B²⁰, 60C²²</t>
        </is>
      </c>
      <c r="N1157" t="inlineStr">
        <is>
          <t>5A⁰, 4A⁰, 5E⁰, 20A¹, 10E¹, 1A⁰, 20D³</t>
        </is>
      </c>
      <c r="O1157" t="inlineStr">
        <is>
          <t>20B²⁰, 20B¹³, 20F¹⁵, 60C²², 40D¹⁶, 40E¹⁶</t>
        </is>
      </c>
    </row>
    <row r="1158">
      <c r="A1158">
        <f>HYPERLINK("https://mathstats.uncg.edu/sites/pauli/congruence/csg6.html#group20C6", "20C⁶")</f>
        <v/>
      </c>
      <c r="B1158" t="n">
        <v>6</v>
      </c>
      <c r="C1158" t="inlineStr"/>
      <c r="D1158" t="inlineStr">
        <is>
          <t>120</t>
        </is>
      </c>
      <c r="E1158" t="inlineStr">
        <is>
          <t>1</t>
        </is>
      </c>
      <c r="F1158" t="inlineStr">
        <is>
          <t>120</t>
        </is>
      </c>
      <c r="G1158" t="inlineStr">
        <is>
          <t>0</t>
        </is>
      </c>
      <c r="H1158" t="inlineStr">
        <is>
          <t>6</t>
        </is>
      </c>
      <c r="I1158" t="inlineStr">
        <is>
          <t>20⁶</t>
        </is>
      </c>
      <c r="J1158" t="n">
        <v>6</v>
      </c>
      <c r="K1158" t="inlineStr">
        <is>
          <t>4², 8¹⁴</t>
        </is>
      </c>
      <c r="L1158" t="inlineStr">
        <is>
          <t>10E⁰</t>
        </is>
      </c>
      <c r="M1158" t="inlineStr">
        <is>
          <t>40B¹⁴, 20B²²</t>
        </is>
      </c>
      <c r="N1158" t="inlineStr">
        <is>
          <t>2A⁰, 5A⁰, 10A⁰, 1A⁰, 10E⁰</t>
        </is>
      </c>
      <c r="O1158" t="inlineStr">
        <is>
          <t>40B¹⁴, 20B²²</t>
        </is>
      </c>
    </row>
    <row r="1159">
      <c r="A1159">
        <f>HYPERLINK("https://mathstats.uncg.edu/sites/pauli/congruence/csg6.html#group20D6", "20D⁶")</f>
        <v/>
      </c>
      <c r="B1159" t="n">
        <v>6</v>
      </c>
      <c r="C1159" t="inlineStr"/>
      <c r="D1159" t="inlineStr">
        <is>
          <t>180</t>
        </is>
      </c>
      <c r="E1159" t="inlineStr">
        <is>
          <t>1</t>
        </is>
      </c>
      <c r="F1159" t="inlineStr">
        <is>
          <t>45</t>
        </is>
      </c>
      <c r="G1159" t="inlineStr">
        <is>
          <t>4</t>
        </is>
      </c>
      <c r="H1159" t="inlineStr">
        <is>
          <t>0</t>
        </is>
      </c>
      <c r="I1159" t="inlineStr">
        <is>
          <t>5¹², 20⁶</t>
        </is>
      </c>
      <c r="J1159" t="n">
        <v>18</v>
      </c>
      <c r="K1159" t="inlineStr">
        <is>
          <t>1³, 2³, 4⁹</t>
        </is>
      </c>
      <c r="L1159" t="inlineStr">
        <is>
          <t>20A⁰, 10F², 20F², 20P³</t>
        </is>
      </c>
      <c r="M1159" t="inlineStr">
        <is>
          <t>20G¹³, 40AJ¹⁵, 20B¹⁷, 20C¹⁹, 40G²¹</t>
        </is>
      </c>
      <c r="N1159" t="inlineStr">
        <is>
          <t>5A⁰, 10B¹, 5B⁰, 2B⁰, 20F², 1A⁰, 10F¹, 20A⁰, 10I¹, 10F², 5E⁰, 20P³, 10C⁰, 5C⁰, 5G⁰</t>
        </is>
      </c>
      <c r="O1159" t="inlineStr">
        <is>
          <t>20B¹⁷, 40G²¹, 20G¹³, 40AJ¹⁵, 20C¹⁹</t>
        </is>
      </c>
    </row>
    <row r="1160">
      <c r="A1160">
        <f>HYPERLINK("https://mathstats.uncg.edu/sites/pauli/congruence/csg6.html#group21A6", "21A⁶")</f>
        <v/>
      </c>
      <c r="B1160" t="n">
        <v>6</v>
      </c>
      <c r="C1160" t="inlineStr"/>
      <c r="D1160" t="inlineStr">
        <is>
          <t>84</t>
        </is>
      </c>
      <c r="E1160" t="inlineStr">
        <is>
          <t>2</t>
        </is>
      </c>
      <c r="F1160" t="inlineStr">
        <is>
          <t>7</t>
        </is>
      </c>
      <c r="G1160" t="inlineStr">
        <is>
          <t>0</t>
        </is>
      </c>
      <c r="H1160" t="inlineStr">
        <is>
          <t>0</t>
        </is>
      </c>
      <c r="I1160" t="inlineStr">
        <is>
          <t>21⁴</t>
        </is>
      </c>
      <c r="J1160" t="n">
        <v>4</v>
      </c>
      <c r="K1160" t="inlineStr">
        <is>
          <t>2¹, 6²</t>
        </is>
      </c>
      <c r="L1160" t="inlineStr">
        <is>
          <t>3D⁰, 21B², 21D²</t>
        </is>
      </c>
      <c r="M1160" t="inlineStr">
        <is>
          <t>21B¹¹, 42B¹³, 42C¹³, 21A¹⁶, 42B¹⁸, 63A¹⁸, 63C¹⁹, 63A²⁰, 21A²¹</t>
        </is>
      </c>
      <c r="N1160" t="inlineStr">
        <is>
          <t>3B⁰, 21D², 21B², 21A⁰, 3C⁰, 7A⁰, 3A⁰, 1A⁰, 3D⁰</t>
        </is>
      </c>
      <c r="O1160" t="inlineStr">
        <is>
          <t>21B¹¹, 42C¹³, 63A¹⁸, 63C¹⁹, 21A²¹, 42B¹³, 42B¹⁸, 21A¹⁶, 63A²⁰</t>
        </is>
      </c>
    </row>
    <row r="1161">
      <c r="A1161">
        <f>HYPERLINK("https://mathstats.uncg.edu/sites/pauli/congruence/csg6.html#group21B6", "21B⁶")</f>
        <v/>
      </c>
      <c r="B1161" t="n">
        <v>6</v>
      </c>
      <c r="C1161" t="inlineStr"/>
      <c r="D1161" t="inlineStr">
        <is>
          <t>112</t>
        </is>
      </c>
      <c r="E1161" t="inlineStr">
        <is>
          <t>1</t>
        </is>
      </c>
      <c r="F1161" t="inlineStr">
        <is>
          <t>112</t>
        </is>
      </c>
      <c r="G1161" t="inlineStr">
        <is>
          <t>0</t>
        </is>
      </c>
      <c r="H1161" t="inlineStr">
        <is>
          <t>1</t>
        </is>
      </c>
      <c r="I1161" t="inlineStr">
        <is>
          <t>7⁴, 21⁴</t>
        </is>
      </c>
      <c r="J1161" t="n">
        <v>8</v>
      </c>
      <c r="K1161" t="inlineStr">
        <is>
          <t>1², 2¹, 3², 6⁹, 12⁴</t>
        </is>
      </c>
      <c r="L1161" t="inlineStr">
        <is>
          <t>7F⁰, 21B²</t>
        </is>
      </c>
      <c r="M1161" t="inlineStr">
        <is>
          <t>21C¹¹, 42A¹⁵, 42B¹⁵, 21A¹⁷, 21A²¹, 42C²¹, 63C²¹, 63A²⁴</t>
        </is>
      </c>
      <c r="N1161" t="inlineStr">
        <is>
          <t>7F⁰, 3B⁰, 21B², 1A⁰, 7A⁰</t>
        </is>
      </c>
      <c r="O1161" t="inlineStr">
        <is>
          <t>63C²¹, 21C²¹, 21A²¹, 21A¹⁷, 42B¹⁵, 42A¹⁵, 42C²¹, 63A²⁴, 21C¹¹</t>
        </is>
      </c>
    </row>
    <row r="1162">
      <c r="A1162">
        <f>HYPERLINK("https://mathstats.uncg.edu/sites/pauli/congruence/csg6.html#group21C6", "21C⁶")</f>
        <v/>
      </c>
      <c r="B1162" t="n">
        <v>6</v>
      </c>
      <c r="C1162" t="inlineStr"/>
      <c r="D1162" t="inlineStr">
        <is>
          <t>126</t>
        </is>
      </c>
      <c r="E1162" t="inlineStr">
        <is>
          <t>1</t>
        </is>
      </c>
      <c r="F1162" t="inlineStr">
        <is>
          <t>63</t>
        </is>
      </c>
      <c r="G1162" t="inlineStr">
        <is>
          <t>10</t>
        </is>
      </c>
      <c r="H1162" t="inlineStr">
        <is>
          <t>0</t>
        </is>
      </c>
      <c r="I1162" t="inlineStr">
        <is>
          <t>21⁶</t>
        </is>
      </c>
      <c r="J1162" t="n">
        <v>6</v>
      </c>
      <c r="K1162" t="inlineStr">
        <is>
          <t>3¹, 6⁴, 12³</t>
        </is>
      </c>
      <c r="L1162" t="inlineStr">
        <is>
          <t>21E¹, 21D²</t>
        </is>
      </c>
      <c r="M1162" t="inlineStr">
        <is>
          <t>21A¹², 21B¹³, 21A¹⁴, 42A¹⁴, 21B¹⁵, 42C¹⁵, 21A¹⁶, 42D¹⁶, 42E¹⁷, 42A¹⁸, 42E¹⁹, 63A²², 42C²⁴, 63C²⁴</t>
        </is>
      </c>
      <c r="N1162" t="inlineStr">
        <is>
          <t>21D², 7D⁰, 21E¹, 21A⁰, 3C⁰, 3A⁰, 1A⁰, 7A⁰</t>
        </is>
      </c>
      <c r="O1162" t="inlineStr">
        <is>
          <t>21A¹⁴, 42A¹⁴, 63C²⁴, 21B¹⁵, 42C¹⁵, 21A¹⁶, 42E¹⁹, 42A¹⁸, 63A²², 42C²⁴, 42D¹⁶, 21A¹², 42E¹⁷, 21B¹³</t>
        </is>
      </c>
    </row>
    <row r="1163">
      <c r="A1163">
        <f>HYPERLINK("https://mathstats.uncg.edu/sites/pauli/congruence/csg6.html#group22A6", "22A⁶")</f>
        <v/>
      </c>
      <c r="B1163" t="n">
        <v>6</v>
      </c>
      <c r="C1163" t="inlineStr"/>
      <c r="D1163" t="inlineStr">
        <is>
          <t>120</t>
        </is>
      </c>
      <c r="E1163" t="inlineStr">
        <is>
          <t>1</t>
        </is>
      </c>
      <c r="F1163" t="inlineStr">
        <is>
          <t>12</t>
        </is>
      </c>
      <c r="G1163" t="inlineStr">
        <is>
          <t>0</t>
        </is>
      </c>
      <c r="H1163" t="inlineStr">
        <is>
          <t>0</t>
        </is>
      </c>
      <c r="I1163" t="inlineStr">
        <is>
          <t>2⁵, 22⁵</t>
        </is>
      </c>
      <c r="J1163" t="n">
        <v>10</v>
      </c>
      <c r="K1163" t="inlineStr">
        <is>
          <t>1², 10¹</t>
        </is>
      </c>
      <c r="L1163" t="inlineStr">
        <is>
          <t>11D¹, 22A²</t>
        </is>
      </c>
      <c r="M1163" t="inlineStr">
        <is>
          <t>22A¹⁶, 44A¹⁶</t>
        </is>
      </c>
      <c r="N1163" t="inlineStr">
        <is>
          <t>11D¹, 2A⁰, 1A⁰, 11A¹, 22A²</t>
        </is>
      </c>
      <c r="O1163" t="inlineStr">
        <is>
          <t>22A¹⁶, 44A¹⁶</t>
        </is>
      </c>
    </row>
    <row r="1164">
      <c r="A1164">
        <f>HYPERLINK("https://mathstats.uncg.edu/sites/pauli/congruence/csg6.html#group22B6", "22B⁶")</f>
        <v/>
      </c>
      <c r="B1164" t="n">
        <v>6</v>
      </c>
      <c r="C1164" t="inlineStr"/>
      <c r="D1164" t="inlineStr">
        <is>
          <t>132</t>
        </is>
      </c>
      <c r="E1164" t="inlineStr">
        <is>
          <t>1</t>
        </is>
      </c>
      <c r="F1164" t="inlineStr">
        <is>
          <t>66</t>
        </is>
      </c>
      <c r="G1164" t="inlineStr">
        <is>
          <t>12</t>
        </is>
      </c>
      <c r="H1164" t="inlineStr">
        <is>
          <t>0</t>
        </is>
      </c>
      <c r="I1164" t="inlineStr">
        <is>
          <t>22⁶</t>
        </is>
      </c>
      <c r="J1164" t="n">
        <v>6</v>
      </c>
      <c r="K1164" t="inlineStr">
        <is>
          <t>1¹, 5¹, 10⁶</t>
        </is>
      </c>
      <c r="L1164" t="inlineStr">
        <is>
          <t>11A²</t>
        </is>
      </c>
      <c r="M1164" t="inlineStr">
        <is>
          <t>22A¹⁷, 44A¹⁷, 44B¹⁷, 22B²², 66E²²</t>
        </is>
      </c>
      <c r="N1164" t="inlineStr">
        <is>
          <t>11A⁰, 1A⁰, 11A²</t>
        </is>
      </c>
      <c r="O1164" t="inlineStr">
        <is>
          <t>44B¹⁷, 66E²², 22B²², 44A¹⁷, 22A¹⁷</t>
        </is>
      </c>
    </row>
    <row r="1165">
      <c r="A1165">
        <f>HYPERLINK("https://mathstats.uncg.edu/sites/pauli/congruence/csg6.html#group22C6", "22C⁶")</f>
        <v/>
      </c>
      <c r="B1165" t="n">
        <v>6</v>
      </c>
      <c r="C1165" t="inlineStr">
        <is>
          <t>Γ₁(22)</t>
        </is>
      </c>
      <c r="D1165" t="inlineStr">
        <is>
          <t>180</t>
        </is>
      </c>
      <c r="E1165" t="inlineStr">
        <is>
          <t>1</t>
        </is>
      </c>
      <c r="F1165" t="inlineStr">
        <is>
          <t>36</t>
        </is>
      </c>
      <c r="G1165" t="inlineStr">
        <is>
          <t>0</t>
        </is>
      </c>
      <c r="H1165" t="inlineStr">
        <is>
          <t>0</t>
        </is>
      </c>
      <c r="I1165" t="inlineStr">
        <is>
          <t>1⁵, 2⁵, 11⁵, 22⁵</t>
        </is>
      </c>
      <c r="J1165" t="n">
        <v>20</v>
      </c>
      <c r="K1165" t="inlineStr">
        <is>
          <t>1⁶, 10³</t>
        </is>
      </c>
      <c r="L1165" t="inlineStr">
        <is>
          <t>11D¹, 22C²</t>
        </is>
      </c>
      <c r="M1165" t="inlineStr">
        <is>
          <t>22A¹⁶, 44C¹⁶, 44C²¹</t>
        </is>
      </c>
      <c r="N1165" t="inlineStr">
        <is>
          <t>2B⁰, 22C², 1A⁰, 11A¹, 11D¹</t>
        </is>
      </c>
      <c r="O1165" t="inlineStr">
        <is>
          <t>22A¹⁶, 44C¹⁶, 44C²¹</t>
        </is>
      </c>
    </row>
    <row r="1166">
      <c r="A1166">
        <f>HYPERLINK("https://mathstats.uncg.edu/sites/pauli/congruence/csg6.html#group24A6", "24A⁶")</f>
        <v/>
      </c>
      <c r="B1166" t="n">
        <v>6</v>
      </c>
      <c r="C1166" t="inlineStr"/>
      <c r="D1166" t="inlineStr">
        <is>
          <t>96</t>
        </is>
      </c>
      <c r="E1166" t="inlineStr">
        <is>
          <t>1</t>
        </is>
      </c>
      <c r="F1166" t="inlineStr">
        <is>
          <t>32</t>
        </is>
      </c>
      <c r="G1166" t="inlineStr">
        <is>
          <t>0</t>
        </is>
      </c>
      <c r="H1166" t="inlineStr">
        <is>
          <t>3</t>
        </is>
      </c>
      <c r="I1166" t="inlineStr">
        <is>
          <t>24⁴</t>
        </is>
      </c>
      <c r="J1166" t="n">
        <v>4</v>
      </c>
      <c r="K1166" t="inlineStr">
        <is>
          <t>8⁴</t>
        </is>
      </c>
      <c r="L1166" t="inlineStr">
        <is>
          <t>8E¹, 12E¹</t>
        </is>
      </c>
      <c r="M1166" t="inlineStr">
        <is>
          <t>24C¹¹, 24A¹⁹, 24A²⁴</t>
        </is>
      </c>
      <c r="N1166" t="inlineStr">
        <is>
          <t>2A⁰, 8F⁰, 6A⁰, 4A⁰, 4D⁰, 12E¹, 8E¹, 1A⁰</t>
        </is>
      </c>
      <c r="O1166" t="inlineStr">
        <is>
          <t>24A²⁴, 24C¹¹, 24A¹⁹</t>
        </is>
      </c>
    </row>
    <row r="1167">
      <c r="A1167">
        <f>HYPERLINK("https://mathstats.uncg.edu/sites/pauli/congruence/csg6.html#group24B6", "24B⁶")</f>
        <v/>
      </c>
      <c r="B1167" t="n">
        <v>6</v>
      </c>
      <c r="C1167" t="inlineStr"/>
      <c r="D1167" t="inlineStr">
        <is>
          <t>96</t>
        </is>
      </c>
      <c r="E1167" t="inlineStr">
        <is>
          <t>1</t>
        </is>
      </c>
      <c r="F1167" t="inlineStr">
        <is>
          <t>48</t>
        </is>
      </c>
      <c r="G1167" t="inlineStr">
        <is>
          <t>0</t>
        </is>
      </c>
      <c r="H1167" t="inlineStr">
        <is>
          <t>0</t>
        </is>
      </c>
      <c r="I1167" t="inlineStr">
        <is>
          <t>8³, 24³</t>
        </is>
      </c>
      <c r="J1167" t="n">
        <v>6</v>
      </c>
      <c r="K1167" t="inlineStr">
        <is>
          <t>2⁴, 4⁶, 8²</t>
        </is>
      </c>
      <c r="L1167" t="inlineStr">
        <is>
          <t>8D¹, 12G², 24A²</t>
        </is>
      </c>
      <c r="M1167" t="inlineStr">
        <is>
          <t>24B¹¹, 24F¹¹, 24G¹¹, 48A¹⁴, 24J¹⁹, 72O¹⁹, 72A²², 72B²²</t>
        </is>
      </c>
      <c r="N1167" t="inlineStr">
        <is>
          <t>3B⁰, 24A², 4A⁰, 12F¹, 12A¹, 4C⁰, 8A⁰, 6F⁰, 12G², 2B⁰, 4F⁰, 1A⁰, 8D¹</t>
        </is>
      </c>
      <c r="O1167" t="inlineStr">
        <is>
          <t>48B²³, 24B¹¹, 24G¹¹, 48A²³, 24B²¹, 72A²², 72O¹⁹, 48D²³, 48A¹⁴, 72B²², 24J²¹, 24J¹⁹, 48C²³, 24C²¹, 24G²¹, 24F¹¹, 24I²¹</t>
        </is>
      </c>
    </row>
    <row r="1168">
      <c r="A1168">
        <f>HYPERLINK("https://mathstats.uncg.edu/sites/pauli/congruence/csg6.html#group24C6", "24C⁶")</f>
        <v/>
      </c>
      <c r="B1168" t="n">
        <v>6</v>
      </c>
      <c r="C1168" t="inlineStr"/>
      <c r="D1168" t="inlineStr">
        <is>
          <t>96</t>
        </is>
      </c>
      <c r="E1168" t="inlineStr">
        <is>
          <t>1</t>
        </is>
      </c>
      <c r="F1168" t="inlineStr">
        <is>
          <t>96</t>
        </is>
      </c>
      <c r="G1168" t="inlineStr">
        <is>
          <t>0</t>
        </is>
      </c>
      <c r="H1168" t="inlineStr">
        <is>
          <t>3</t>
        </is>
      </c>
      <c r="I1168" t="inlineStr">
        <is>
          <t>24⁴</t>
        </is>
      </c>
      <c r="J1168" t="n">
        <v>4</v>
      </c>
      <c r="K1168" t="inlineStr">
        <is>
          <t>8¹²</t>
        </is>
      </c>
      <c r="L1168" t="inlineStr">
        <is>
          <t>12E¹</t>
        </is>
      </c>
      <c r="M1168" t="inlineStr">
        <is>
          <t>24J¹¹, 24E¹⁹, 24A²⁴</t>
        </is>
      </c>
      <c r="N1168" t="inlineStr">
        <is>
          <t>2A⁰, 6A⁰, 1A⁰, 4A⁰, 4D⁰, 12E¹</t>
        </is>
      </c>
      <c r="O1168" t="inlineStr">
        <is>
          <t>24A²⁴, 24J¹¹, 24E¹⁹</t>
        </is>
      </c>
    </row>
    <row r="1169">
      <c r="A1169">
        <f>HYPERLINK("https://mathstats.uncg.edu/sites/pauli/congruence/csg6.html#group24D6", "24D⁶")</f>
        <v/>
      </c>
      <c r="B1169" t="n">
        <v>6</v>
      </c>
      <c r="C1169" t="inlineStr"/>
      <c r="D1169" t="inlineStr">
        <is>
          <t>144</t>
        </is>
      </c>
      <c r="E1169" t="inlineStr">
        <is>
          <t>1</t>
        </is>
      </c>
      <c r="F1169" t="inlineStr">
        <is>
          <t>12</t>
        </is>
      </c>
      <c r="G1169" t="inlineStr">
        <is>
          <t>12</t>
        </is>
      </c>
      <c r="H1169" t="inlineStr">
        <is>
          <t>0</t>
        </is>
      </c>
      <c r="I1169" t="inlineStr">
        <is>
          <t>12⁴, 24⁴</t>
        </is>
      </c>
      <c r="J1169" t="n">
        <v>8</v>
      </c>
      <c r="K1169" t="inlineStr">
        <is>
          <t>2⁶</t>
        </is>
      </c>
      <c r="L1169" t="inlineStr">
        <is>
          <t>8P⁰, 24L², 24M²</t>
        </is>
      </c>
      <c r="M1169" t="inlineStr">
        <is>
          <t>24X¹³, 24M¹⁵, 48J¹⁵, 24A¹⁶, 24B¹⁶, 48A¹⁶, 48F¹⁶, 24B¹⁷, 48AT¹⁷, 48AJ¹⁹, 48V²¹</t>
        </is>
      </c>
      <c r="N1169" t="inlineStr">
        <is>
          <t>12C⁰, 3A⁰, 8D⁰, 4C⁰, 8B⁰, 8L⁰, 2B⁰, 24L², 1A⁰, 8H⁰, 12A⁰, 24A⁰, 4A⁰, 24M², 24C¹, 12J¹, 4F⁰, 8P⁰, 6D⁰</t>
        </is>
      </c>
      <c r="O1169" t="inlineStr">
        <is>
          <t>48F¹⁶, 48AT¹⁷, 24B¹⁷, 48AJ¹⁹, 24B¹⁶, 48J¹⁵, 24X¹³, 24A¹⁶, 48A¹⁶, 48V²¹, 24M¹⁵</t>
        </is>
      </c>
    </row>
    <row r="1170">
      <c r="A1170">
        <f>HYPERLINK("https://mathstats.uncg.edu/sites/pauli/congruence/csg6.html#group24E6", "24E⁶")</f>
        <v/>
      </c>
      <c r="B1170" t="n">
        <v>6</v>
      </c>
      <c r="C1170" t="inlineStr"/>
      <c r="D1170" t="inlineStr">
        <is>
          <t>144</t>
        </is>
      </c>
      <c r="E1170" t="inlineStr">
        <is>
          <t>1</t>
        </is>
      </c>
      <c r="F1170" t="inlineStr">
        <is>
          <t>36</t>
        </is>
      </c>
      <c r="G1170" t="inlineStr">
        <is>
          <t>8</t>
        </is>
      </c>
      <c r="H1170" t="inlineStr">
        <is>
          <t>0</t>
        </is>
      </c>
      <c r="I1170" t="inlineStr">
        <is>
          <t>12⁸, 24²</t>
        </is>
      </c>
      <c r="J1170" t="n">
        <v>10</v>
      </c>
      <c r="K1170" t="inlineStr">
        <is>
          <t>2², 4⁴, 8²</t>
        </is>
      </c>
      <c r="L1170" t="inlineStr">
        <is>
          <t>12I², 24R³</t>
        </is>
      </c>
      <c r="M1170" t="inlineStr">
        <is>
          <t>24U¹³, 24A¹⁵, 24O¹⁵, 48J¹⁶, 24AK¹⁷, 24L¹⁹</t>
        </is>
      </c>
      <c r="N1170" t="inlineStr">
        <is>
          <t>12I², 6B⁰, 12C⁰, 3A⁰, 6H⁰, 4C⁰, 12F⁰, 12M¹, 2B⁰, 1A⁰, 12A⁰, 4A⁰, 24R³, 12J¹, 12D⁰, 4F⁰, 12H⁰, 6D⁰</t>
        </is>
      </c>
      <c r="O1170" t="inlineStr">
        <is>
          <t>24U¹³, 48J¹⁶, 24AK¹⁷, 24L¹⁹, 24A¹⁵, 24O¹⁵</t>
        </is>
      </c>
    </row>
    <row r="1171">
      <c r="A1171">
        <f>HYPERLINK("https://mathstats.uncg.edu/sites/pauli/congruence/csg6.html#group24F6", "24F⁶")</f>
        <v/>
      </c>
      <c r="B1171" t="n">
        <v>6</v>
      </c>
      <c r="C1171" t="inlineStr"/>
      <c r="D1171" t="inlineStr">
        <is>
          <t>144</t>
        </is>
      </c>
      <c r="E1171" t="inlineStr">
        <is>
          <t>1</t>
        </is>
      </c>
      <c r="F1171" t="inlineStr">
        <is>
          <t>36</t>
        </is>
      </c>
      <c r="G1171" t="inlineStr">
        <is>
          <t>8</t>
        </is>
      </c>
      <c r="H1171" t="inlineStr">
        <is>
          <t>0</t>
        </is>
      </c>
      <c r="I1171" t="inlineStr">
        <is>
          <t>12⁸, 24²</t>
        </is>
      </c>
      <c r="J1171" t="n">
        <v>10</v>
      </c>
      <c r="K1171" t="inlineStr">
        <is>
          <t>2², 4⁴, 8²</t>
        </is>
      </c>
      <c r="L1171" t="inlineStr">
        <is>
          <t>12I², 24J³, 24R³</t>
        </is>
      </c>
      <c r="M1171" t="inlineStr">
        <is>
          <t>24U¹³, 24B¹⁵, 24P¹⁵, 48C¹⁶, 48B¹⁶, 48D¹⁶, 48E¹⁶, 24AL¹⁷, 24P¹⁹</t>
        </is>
      </c>
      <c r="N1171" t="inlineStr">
        <is>
          <t>12I², 6B⁰, 12C⁰, 3A⁰, 6H⁰, 4C⁰, 12F⁰, 12M¹, 2B⁰, 1A⁰, 8K⁰, 24J³, 12A⁰, 4A⁰, 24R³, 12J¹, 12D⁰, 4F⁰, 12H⁰, 6D⁰</t>
        </is>
      </c>
      <c r="O1171" t="inlineStr">
        <is>
          <t>24P¹⁹, 48D¹⁶, 48E¹⁶, 24B¹⁵, 24AL¹⁷, 24P¹⁵, 24U¹³, 48C¹⁶, 48B¹⁶</t>
        </is>
      </c>
    </row>
    <row r="1172">
      <c r="A1172">
        <f>HYPERLINK("https://mathstats.uncg.edu/sites/pauli/congruence/csg6.html#group24G6", "24G⁶")</f>
        <v/>
      </c>
      <c r="B1172" t="n">
        <v>6</v>
      </c>
      <c r="C1172" t="inlineStr"/>
      <c r="D1172" t="inlineStr">
        <is>
          <t>144</t>
        </is>
      </c>
      <c r="E1172" t="inlineStr">
        <is>
          <t>1</t>
        </is>
      </c>
      <c r="F1172" t="inlineStr">
        <is>
          <t>36</t>
        </is>
      </c>
      <c r="G1172" t="inlineStr">
        <is>
          <t>12</t>
        </is>
      </c>
      <c r="H1172" t="inlineStr">
        <is>
          <t>0</t>
        </is>
      </c>
      <c r="I1172" t="inlineStr">
        <is>
          <t>12⁴, 24⁴</t>
        </is>
      </c>
      <c r="J1172" t="n">
        <v>8</v>
      </c>
      <c r="K1172" t="inlineStr">
        <is>
          <t>2⁶, 4⁶</t>
        </is>
      </c>
      <c r="L1172" t="inlineStr">
        <is>
          <t>24L², 24Q²</t>
        </is>
      </c>
      <c r="M1172" t="inlineStr">
        <is>
          <t>24V¹³, 24X¹³, 24M¹⁵, 24N¹⁵, 48Y¹⁵, 24C¹⁶, 24D¹⁶, 24E¹⁶, 48H¹⁶, 48G¹⁶, 48I¹⁶, 24F¹⁷, 48AU¹⁷, 48BZ¹⁷, 48AK¹⁹, 48BA¹⁹, 48AX²¹</t>
        </is>
      </c>
      <c r="N1172" t="inlineStr">
        <is>
          <t>12C⁰, 8D⁰, 4C⁰, 8B⁰, 24Q², 2B⁰, 24L², 1A⁰, 8H⁰, 12A⁰, 24A⁰, 4A⁰, 24C¹, 12J¹, 4F⁰, 3A⁰, 6D⁰</t>
        </is>
      </c>
      <c r="O1172" t="inlineStr">
        <is>
          <t>48AK¹⁹, 24E¹⁶, 48AU¹⁷, 24V¹³, 24N¹⁵, 48Y¹⁵, 24F¹⁷, 48I¹⁶, 48BZ¹⁷, 24C¹⁶, 48BA¹⁹, 48AX²¹, 48H¹⁶, 24X¹³, 24D¹⁶, 48G¹⁶, 24M¹⁵</t>
        </is>
      </c>
    </row>
    <row r="1173">
      <c r="A1173">
        <f>HYPERLINK("https://mathstats.uncg.edu/sites/pauli/congruence/csg6.html#group24H6", "24H⁶")</f>
        <v/>
      </c>
      <c r="B1173" t="n">
        <v>6</v>
      </c>
      <c r="C1173" t="inlineStr"/>
      <c r="D1173" t="inlineStr">
        <is>
          <t>144</t>
        </is>
      </c>
      <c r="E1173" t="inlineStr">
        <is>
          <t>1</t>
        </is>
      </c>
      <c r="F1173" t="inlineStr">
        <is>
          <t>36</t>
        </is>
      </c>
      <c r="G1173" t="inlineStr">
        <is>
          <t>12</t>
        </is>
      </c>
      <c r="H1173" t="inlineStr">
        <is>
          <t>0</t>
        </is>
      </c>
      <c r="I1173" t="inlineStr">
        <is>
          <t>12⁴, 24⁴</t>
        </is>
      </c>
      <c r="J1173" t="n">
        <v>8</v>
      </c>
      <c r="K1173" t="inlineStr">
        <is>
          <t>4¹⁴, 8²</t>
        </is>
      </c>
      <c r="L1173" t="inlineStr">
        <is>
          <t>24P², 24Q²</t>
        </is>
      </c>
      <c r="M1173" t="inlineStr">
        <is>
          <t>24V¹³, 24Z¹³, 24N¹⁵, 24U¹⁵, 48Z¹⁵, 24Q¹⁷, 48BA¹⁷, 48CE¹⁷, 48AN¹⁹, 48BH¹⁹, 48BH²¹</t>
        </is>
      </c>
      <c r="N1173" t="inlineStr">
        <is>
          <t>24E¹, 12C⁰, 24A⁰, 4C⁰, 8B⁰, 24P², 24Q², 12M¹, 2B⁰, 3A⁰, 1A⁰, 6D⁰</t>
        </is>
      </c>
      <c r="O1173" t="inlineStr">
        <is>
          <t>48BA¹⁷, 48Z¹⁵, 48BH²¹, 24Q¹⁷, 24V¹³, 24N¹⁵, 48BH¹⁹, 24U¹⁵, 48AN¹⁹, 24Z¹³, 48CE¹⁷</t>
        </is>
      </c>
    </row>
    <row r="1174">
      <c r="A1174">
        <f>HYPERLINK("https://mathstats.uncg.edu/sites/pauli/congruence/csg6.html#group24I6", "24I⁶")</f>
        <v/>
      </c>
      <c r="B1174" t="n">
        <v>6</v>
      </c>
      <c r="C1174" t="inlineStr"/>
      <c r="D1174" t="inlineStr">
        <is>
          <t>144</t>
        </is>
      </c>
      <c r="E1174" t="inlineStr">
        <is>
          <t>1</t>
        </is>
      </c>
      <c r="F1174" t="inlineStr">
        <is>
          <t>36</t>
        </is>
      </c>
      <c r="G1174" t="inlineStr">
        <is>
          <t>12</t>
        </is>
      </c>
      <c r="H1174" t="inlineStr">
        <is>
          <t>0</t>
        </is>
      </c>
      <c r="I1174" t="inlineStr">
        <is>
          <t>12⁴, 24⁴</t>
        </is>
      </c>
      <c r="J1174" t="n">
        <v>8</v>
      </c>
      <c r="K1174" t="inlineStr">
        <is>
          <t>4¹⁴, 8²</t>
        </is>
      </c>
      <c r="L1174" t="inlineStr">
        <is>
          <t>24P², 24Q²</t>
        </is>
      </c>
      <c r="M1174" t="inlineStr">
        <is>
          <t>24V¹³, 24AA¹³, 24N¹⁵, 24U¹⁵, 48AA¹⁵, 24Q¹⁷, 48BB¹⁷, 48CF¹⁷, 48AO¹⁹, 48BI¹⁹, 48BI²¹</t>
        </is>
      </c>
      <c r="N1174" t="inlineStr">
        <is>
          <t>24E¹, 12C⁰, 24A⁰, 4C⁰, 8B⁰, 24P², 24Q², 12M¹, 2B⁰, 3A⁰, 1A⁰, 6D⁰</t>
        </is>
      </c>
      <c r="O1174" t="inlineStr">
        <is>
          <t>48BB¹⁷, 48BI²¹, 48CF¹⁷, 48AA¹⁵, 24Q¹⁷, 24V¹³, 24N¹⁵, 48AO¹⁹, 24U¹⁵, 48BI¹⁹, 24AA¹³</t>
        </is>
      </c>
    </row>
    <row r="1175">
      <c r="A1175">
        <f>HYPERLINK("https://mathstats.uncg.edu/sites/pauli/congruence/csg6.html#group24J6", "24J⁶")</f>
        <v/>
      </c>
      <c r="B1175" t="n">
        <v>6</v>
      </c>
      <c r="C1175" t="inlineStr"/>
      <c r="D1175" t="inlineStr">
        <is>
          <t>144</t>
        </is>
      </c>
      <c r="E1175" t="inlineStr">
        <is>
          <t>1</t>
        </is>
      </c>
      <c r="F1175" t="inlineStr">
        <is>
          <t>72</t>
        </is>
      </c>
      <c r="G1175" t="inlineStr">
        <is>
          <t>8</t>
        </is>
      </c>
      <c r="H1175" t="inlineStr">
        <is>
          <t>0</t>
        </is>
      </c>
      <c r="I1175" t="inlineStr">
        <is>
          <t>12⁸, 24²</t>
        </is>
      </c>
      <c r="J1175" t="n">
        <v>10</v>
      </c>
      <c r="K1175" t="inlineStr">
        <is>
          <t>4¹⁰, 8⁴</t>
        </is>
      </c>
      <c r="L1175" t="inlineStr">
        <is>
          <t>12H²</t>
        </is>
      </c>
      <c r="M1175" t="inlineStr">
        <is>
          <t>24T¹³, 24F¹⁵, 24T¹⁵, 24AM¹⁷, 24R¹⁹</t>
        </is>
      </c>
      <c r="N1175" t="inlineStr">
        <is>
          <t>12H², 6B⁰, 12C⁰, 4C⁰, 12M¹, 2B⁰, 12D⁰, 6H⁰, 3A⁰, 12H⁰, 1A⁰, 6D⁰</t>
        </is>
      </c>
      <c r="O1175" t="inlineStr">
        <is>
          <t>24F¹⁵, 24T¹⁵, 24T¹³, 24R¹⁹, 24AM¹⁷</t>
        </is>
      </c>
    </row>
    <row r="1176">
      <c r="A1176">
        <f>HYPERLINK("https://mathstats.uncg.edu/sites/pauli/congruence/csg6.html#group24K6", "24K⁶")</f>
        <v/>
      </c>
      <c r="B1176" t="n">
        <v>6</v>
      </c>
      <c r="C1176" t="inlineStr"/>
      <c r="D1176" t="inlineStr">
        <is>
          <t>144</t>
        </is>
      </c>
      <c r="E1176" t="inlineStr">
        <is>
          <t>2</t>
        </is>
      </c>
      <c r="F1176" t="inlineStr">
        <is>
          <t>36</t>
        </is>
      </c>
      <c r="G1176" t="inlineStr">
        <is>
          <t>12</t>
        </is>
      </c>
      <c r="H1176" t="inlineStr">
        <is>
          <t>0</t>
        </is>
      </c>
      <c r="I1176" t="inlineStr">
        <is>
          <t>12⁴, 24⁴</t>
        </is>
      </c>
      <c r="J1176" t="n">
        <v>8</v>
      </c>
      <c r="K1176" t="inlineStr">
        <is>
          <t>2⁸, 4¹⁰, 8²</t>
        </is>
      </c>
      <c r="L1176" t="inlineStr">
        <is>
          <t>24M², 24P², 24Q²</t>
        </is>
      </c>
      <c r="M1176" t="inlineStr">
        <is>
          <t>24X¹³, 24Z¹³, 24AA¹³, 24M¹⁵, 24U¹⁵, 48AF¹⁵, 24U¹⁷, 48CB¹⁷, 48CG¹⁷, 48CH¹⁷, 48BF¹⁹, 48BJ¹⁹, 48BK¹⁹, 48BU²¹</t>
        </is>
      </c>
      <c r="N1176" t="inlineStr">
        <is>
          <t>24E¹, 12C⁰, 24A⁰, 24M², 4C⁰, 8B⁰, 24P², 24Q², 12M¹, 2B⁰, 8L⁰, 3A⁰, 1A⁰, 6D⁰</t>
        </is>
      </c>
      <c r="O1176" t="inlineStr">
        <is>
          <t>48BU²¹, 24U¹⁷, 48CG¹⁷, 24Z¹³, 48BJ¹⁹, 24X¹³, 48BF¹⁹, 48CH¹⁷, 24U¹⁵, 48BK¹⁹, 48AF¹⁵, 48CB¹⁷, 24AA¹³, 24M¹⁵</t>
        </is>
      </c>
    </row>
    <row r="1177">
      <c r="A1177">
        <f>HYPERLINK("https://mathstats.uncg.edu/sites/pauli/congruence/csg6.html#group25A6", "25A⁶")</f>
        <v/>
      </c>
      <c r="B1177" t="n">
        <v>6</v>
      </c>
      <c r="C1177" t="inlineStr"/>
      <c r="D1177" t="inlineStr">
        <is>
          <t>150</t>
        </is>
      </c>
      <c r="E1177" t="inlineStr">
        <is>
          <t>1</t>
        </is>
      </c>
      <c r="F1177" t="inlineStr">
        <is>
          <t>30</t>
        </is>
      </c>
      <c r="G1177" t="inlineStr">
        <is>
          <t>10</t>
        </is>
      </c>
      <c r="H1177" t="inlineStr">
        <is>
          <t>0</t>
        </is>
      </c>
      <c r="I1177" t="inlineStr">
        <is>
          <t>5⁵, 25⁵</t>
        </is>
      </c>
      <c r="J1177" t="n">
        <v>10</v>
      </c>
      <c r="K1177" t="inlineStr">
        <is>
          <t>2², 4⁴, 20²</t>
        </is>
      </c>
      <c r="L1177" t="inlineStr">
        <is>
          <t>25A²</t>
        </is>
      </c>
      <c r="M1177" t="inlineStr">
        <is>
          <t>25B¹⁶, 50A¹⁶, 50A²¹</t>
        </is>
      </c>
      <c r="N1177" t="inlineStr">
        <is>
          <t>5B⁰, 1A⁰, 25A²</t>
        </is>
      </c>
      <c r="O1177" t="inlineStr">
        <is>
          <t>50A¹⁶, 25B¹⁶, 50A²¹</t>
        </is>
      </c>
    </row>
    <row r="1178">
      <c r="A1178">
        <f>HYPERLINK("https://mathstats.uncg.edu/sites/pauli/congruence/csg6.html#group25B6", "25B⁶")</f>
        <v/>
      </c>
      <c r="B1178" t="n">
        <v>6</v>
      </c>
      <c r="C1178" t="inlineStr"/>
      <c r="D1178" t="inlineStr">
        <is>
          <t>150</t>
        </is>
      </c>
      <c r="E1178" t="inlineStr">
        <is>
          <t>1</t>
        </is>
      </c>
      <c r="F1178" t="inlineStr">
        <is>
          <t>30</t>
        </is>
      </c>
      <c r="G1178" t="inlineStr">
        <is>
          <t>10</t>
        </is>
      </c>
      <c r="H1178" t="inlineStr">
        <is>
          <t>0</t>
        </is>
      </c>
      <c r="I1178" t="inlineStr">
        <is>
          <t>5⁵, 25⁵</t>
        </is>
      </c>
      <c r="J1178" t="n">
        <v>10</v>
      </c>
      <c r="K1178" t="inlineStr">
        <is>
          <t>2², 4⁴, 20²</t>
        </is>
      </c>
      <c r="L1178" t="inlineStr">
        <is>
          <t>25B²</t>
        </is>
      </c>
      <c r="M1178" t="inlineStr">
        <is>
          <t>25C¹⁶, 50B¹⁶, 50B²¹</t>
        </is>
      </c>
      <c r="N1178" t="inlineStr">
        <is>
          <t>5B⁰, 1A⁰, 25B²</t>
        </is>
      </c>
      <c r="O1178" t="inlineStr">
        <is>
          <t>50B¹⁶, 25C¹⁶, 50B²¹</t>
        </is>
      </c>
    </row>
    <row r="1179">
      <c r="A1179">
        <f>HYPERLINK("https://mathstats.uncg.edu/sites/pauli/congruence/csg6.html#group25C6", "25C⁶")</f>
        <v/>
      </c>
      <c r="B1179" t="n">
        <v>6</v>
      </c>
      <c r="C1179" t="inlineStr"/>
      <c r="D1179" t="inlineStr">
        <is>
          <t>150</t>
        </is>
      </c>
      <c r="E1179" t="inlineStr">
        <is>
          <t>1</t>
        </is>
      </c>
      <c r="F1179" t="inlineStr">
        <is>
          <t>30</t>
        </is>
      </c>
      <c r="G1179" t="inlineStr">
        <is>
          <t>10</t>
        </is>
      </c>
      <c r="H1179" t="inlineStr">
        <is>
          <t>0</t>
        </is>
      </c>
      <c r="I1179" t="inlineStr">
        <is>
          <t>5⁵, 25⁵</t>
        </is>
      </c>
      <c r="J1179" t="n">
        <v>10</v>
      </c>
      <c r="K1179" t="inlineStr">
        <is>
          <t>2², 4⁴, 20²</t>
        </is>
      </c>
      <c r="L1179" t="inlineStr">
        <is>
          <t>25C²</t>
        </is>
      </c>
      <c r="M1179" t="inlineStr">
        <is>
          <t>25D¹⁶, 50C¹⁶, 50C²¹</t>
        </is>
      </c>
      <c r="N1179" t="inlineStr">
        <is>
          <t>5B⁰, 1A⁰, 25C²</t>
        </is>
      </c>
      <c r="O1179" t="inlineStr">
        <is>
          <t>50C²¹, 50C¹⁶, 25D¹⁶</t>
        </is>
      </c>
    </row>
    <row r="1180">
      <c r="A1180">
        <f>HYPERLINK("https://mathstats.uncg.edu/sites/pauli/congruence/csg6.html#group25D6", "25D⁶")</f>
        <v/>
      </c>
      <c r="B1180" t="n">
        <v>6</v>
      </c>
      <c r="C1180" t="inlineStr"/>
      <c r="D1180" t="inlineStr">
        <is>
          <t>150</t>
        </is>
      </c>
      <c r="E1180" t="inlineStr">
        <is>
          <t>1</t>
        </is>
      </c>
      <c r="F1180" t="inlineStr">
        <is>
          <t>30</t>
        </is>
      </c>
      <c r="G1180" t="inlineStr">
        <is>
          <t>10</t>
        </is>
      </c>
      <c r="H1180" t="inlineStr">
        <is>
          <t>0</t>
        </is>
      </c>
      <c r="I1180" t="inlineStr">
        <is>
          <t>5⁵, 25⁵</t>
        </is>
      </c>
      <c r="J1180" t="n">
        <v>10</v>
      </c>
      <c r="K1180" t="inlineStr">
        <is>
          <t>2², 4⁴, 20²</t>
        </is>
      </c>
      <c r="L1180" t="inlineStr">
        <is>
          <t>25D²</t>
        </is>
      </c>
      <c r="M1180" t="inlineStr">
        <is>
          <t>25E¹⁶, 50D¹⁶, 50D²¹</t>
        </is>
      </c>
      <c r="N1180" t="inlineStr">
        <is>
          <t>5B⁰, 1A⁰, 25D²</t>
        </is>
      </c>
      <c r="O1180" t="inlineStr">
        <is>
          <t>25E¹⁶, 50D²¹, 50D¹⁶</t>
        </is>
      </c>
    </row>
    <row r="1181">
      <c r="A1181">
        <f>HYPERLINK("https://mathstats.uncg.edu/sites/pauli/congruence/csg6.html#group25E6", "25E⁶")</f>
        <v/>
      </c>
      <c r="B1181" t="n">
        <v>6</v>
      </c>
      <c r="C1181" t="inlineStr"/>
      <c r="D1181" t="inlineStr">
        <is>
          <t>150</t>
        </is>
      </c>
      <c r="E1181" t="inlineStr">
        <is>
          <t>1</t>
        </is>
      </c>
      <c r="F1181" t="inlineStr">
        <is>
          <t>75</t>
        </is>
      </c>
      <c r="G1181" t="inlineStr">
        <is>
          <t>2</t>
        </is>
      </c>
      <c r="H1181" t="inlineStr">
        <is>
          <t>0</t>
        </is>
      </c>
      <c r="I1181" t="inlineStr">
        <is>
          <t>5¹⁰, 25⁴</t>
        </is>
      </c>
      <c r="J1181" t="n">
        <v>14</v>
      </c>
      <c r="K1181" t="inlineStr">
        <is>
          <t>2², 4⁴, 10¹, 20⁶</t>
        </is>
      </c>
      <c r="L1181" t="inlineStr">
        <is>
          <t>5G⁰, 25F²</t>
        </is>
      </c>
      <c r="M1181" t="inlineStr">
        <is>
          <t>25A¹², 50A¹⁸, 50C¹⁹, 50A²⁴</t>
        </is>
      </c>
      <c r="N1181" t="inlineStr">
        <is>
          <t>25F², 5A⁰, 5C⁰, 5B⁰, 5E⁰, 1A⁰, 5G⁰</t>
        </is>
      </c>
      <c r="O1181" t="inlineStr">
        <is>
          <t>50A¹⁸, 50C¹⁹, 50A²⁴, 25A¹²</t>
        </is>
      </c>
    </row>
    <row r="1182">
      <c r="A1182">
        <f>HYPERLINK("https://mathstats.uncg.edu/sites/pauli/congruence/csg6.html#group25F6", "25F⁶")</f>
        <v/>
      </c>
      <c r="B1182" t="n">
        <v>6</v>
      </c>
      <c r="C1182" t="inlineStr"/>
      <c r="D1182" t="inlineStr">
        <is>
          <t>150</t>
        </is>
      </c>
      <c r="E1182" t="inlineStr">
        <is>
          <t>1</t>
        </is>
      </c>
      <c r="F1182" t="inlineStr">
        <is>
          <t>75</t>
        </is>
      </c>
      <c r="G1182" t="inlineStr">
        <is>
          <t>2</t>
        </is>
      </c>
      <c r="H1182" t="inlineStr">
        <is>
          <t>0</t>
        </is>
      </c>
      <c r="I1182" t="inlineStr">
        <is>
          <t>5¹⁰, 25⁴</t>
        </is>
      </c>
      <c r="J1182" t="n">
        <v>14</v>
      </c>
      <c r="K1182" t="inlineStr">
        <is>
          <t>2², 4⁴, 10¹, 20⁶</t>
        </is>
      </c>
      <c r="L1182" t="inlineStr">
        <is>
          <t>5G⁰, 25F²</t>
        </is>
      </c>
      <c r="M1182" t="inlineStr">
        <is>
          <t>25A¹², 50B¹⁸, 50D¹⁹, 50B²⁴</t>
        </is>
      </c>
      <c r="N1182" t="inlineStr">
        <is>
          <t>25F², 5A⁰, 5C⁰, 5B⁰, 5E⁰, 1A⁰, 5G⁰</t>
        </is>
      </c>
      <c r="O1182" t="inlineStr">
        <is>
          <t>50B¹⁸, 50B²⁴, 50D¹⁹, 25A¹²</t>
        </is>
      </c>
    </row>
    <row r="1183">
      <c r="A1183">
        <f>HYPERLINK("https://mathstats.uncg.edu/sites/pauli/congruence/csg6.html#group27A6", "27A⁶")</f>
        <v/>
      </c>
      <c r="B1183" t="n">
        <v>6</v>
      </c>
      <c r="C1183" t="inlineStr"/>
      <c r="D1183" t="inlineStr">
        <is>
          <t>108</t>
        </is>
      </c>
      <c r="E1183" t="inlineStr">
        <is>
          <t>1</t>
        </is>
      </c>
      <c r="F1183" t="inlineStr">
        <is>
          <t>36</t>
        </is>
      </c>
      <c r="G1183" t="inlineStr">
        <is>
          <t>0</t>
        </is>
      </c>
      <c r="H1183" t="inlineStr">
        <is>
          <t>3</t>
        </is>
      </c>
      <c r="I1183" t="inlineStr">
        <is>
          <t>9³, 27³</t>
        </is>
      </c>
      <c r="J1183" t="n">
        <v>6</v>
      </c>
      <c r="K1183" t="inlineStr">
        <is>
          <t>3², 6⁵</t>
        </is>
      </c>
      <c r="L1183" t="inlineStr">
        <is>
          <t>9J⁰</t>
        </is>
      </c>
      <c r="M1183" t="inlineStr">
        <is>
          <t>54A¹⁴, 27E¹⁶, 27A¹⁸, 27B¹⁸, 27A¹⁹, 27D¹⁹, 27C¹⁹, 54F²²</t>
        </is>
      </c>
      <c r="N1183" t="inlineStr">
        <is>
          <t>3B⁰, 1A⁰, 9J⁰, 9C⁰</t>
        </is>
      </c>
      <c r="O1183" t="inlineStr">
        <is>
          <t>27E¹⁶, 27D¹⁹, 27A¹⁹, 27C¹⁹, 27A¹⁸, 54F²², 27B¹⁸, 54A¹⁴</t>
        </is>
      </c>
    </row>
    <row r="1184">
      <c r="A1184">
        <f>HYPERLINK("https://mathstats.uncg.edu/sites/pauli/congruence/csg6.html#group28A6", "28A⁶")</f>
        <v/>
      </c>
      <c r="B1184" t="n">
        <v>6</v>
      </c>
      <c r="C1184" t="inlineStr"/>
      <c r="D1184" t="inlineStr">
        <is>
          <t>84</t>
        </is>
      </c>
      <c r="E1184" t="inlineStr">
        <is>
          <t>2</t>
        </is>
      </c>
      <c r="F1184" t="inlineStr">
        <is>
          <t>21</t>
        </is>
      </c>
      <c r="G1184" t="inlineStr">
        <is>
          <t>0</t>
        </is>
      </c>
      <c r="H1184" t="inlineStr">
        <is>
          <t>0</t>
        </is>
      </c>
      <c r="I1184" t="inlineStr">
        <is>
          <t>14², 28²</t>
        </is>
      </c>
      <c r="J1184" t="n">
        <v>4</v>
      </c>
      <c r="K1184" t="inlineStr">
        <is>
          <t>2³, 6⁶</t>
        </is>
      </c>
      <c r="L1184" t="inlineStr">
        <is>
          <t>14C², 28A³, 28B³</t>
        </is>
      </c>
      <c r="M1184" t="inlineStr">
        <is>
          <t>28C¹¹, 56C¹², 28E¹⁶, 84A²⁰, 28B²¹</t>
        </is>
      </c>
      <c r="N1184" t="inlineStr">
        <is>
          <t>14A⁰, 14B¹, 14C², 28A³, 2B⁰, 28B³, 4B⁰, 1A⁰, 7A⁰</t>
        </is>
      </c>
      <c r="O1184" t="inlineStr">
        <is>
          <t>28E¹⁶, 84A²⁰, 56E²⁴, 56C¹², 56F²³, 28C²³, 28C¹¹, 112G²⁴, 56A²³, 28B²¹</t>
        </is>
      </c>
    </row>
    <row r="1185">
      <c r="A1185">
        <f>HYPERLINK("https://mathstats.uncg.edu/sites/pauli/congruence/csg6.html#group28B6", "28B⁶")</f>
        <v/>
      </c>
      <c r="B1185" t="n">
        <v>6</v>
      </c>
      <c r="C1185" t="inlineStr"/>
      <c r="D1185" t="inlineStr">
        <is>
          <t>84</t>
        </is>
      </c>
      <c r="E1185" t="inlineStr">
        <is>
          <t>2</t>
        </is>
      </c>
      <c r="F1185" t="inlineStr">
        <is>
          <t>21</t>
        </is>
      </c>
      <c r="G1185" t="inlineStr">
        <is>
          <t>0</t>
        </is>
      </c>
      <c r="H1185" t="inlineStr">
        <is>
          <t>0</t>
        </is>
      </c>
      <c r="I1185" t="inlineStr">
        <is>
          <t>14², 28²</t>
        </is>
      </c>
      <c r="J1185" t="n">
        <v>4</v>
      </c>
      <c r="K1185" t="inlineStr">
        <is>
          <t>2³, 6⁶</t>
        </is>
      </c>
      <c r="L1185" t="inlineStr">
        <is>
          <t>28B², 14B³, 28B³</t>
        </is>
      </c>
      <c r="M1185" t="inlineStr">
        <is>
          <t>28C¹¹, 28C¹², 28F¹⁶, 84B²⁰, 28C²¹</t>
        </is>
      </c>
      <c r="N1185" t="inlineStr">
        <is>
          <t>2A⁰, 14B³, 14B¹, 14A¹, 2B⁰, 28B³, 1A⁰, 2C⁰, 28B², 7A⁰</t>
        </is>
      </c>
      <c r="O1185" t="inlineStr">
        <is>
          <t>84B²⁰, 28C¹², 56F²³, 28F¹⁶, 28C²³, 28C¹¹, 56A²³, 56G²⁴, 28C²¹</t>
        </is>
      </c>
    </row>
    <row r="1186">
      <c r="A1186">
        <f>HYPERLINK("https://mathstats.uncg.edu/sites/pauli/congruence/csg6.html#group28C6", "28C⁶")</f>
        <v/>
      </c>
      <c r="B1186" t="n">
        <v>6</v>
      </c>
      <c r="C1186" t="inlineStr"/>
      <c r="D1186" t="inlineStr">
        <is>
          <t>84</t>
        </is>
      </c>
      <c r="E1186" t="inlineStr">
        <is>
          <t>2</t>
        </is>
      </c>
      <c r="F1186" t="inlineStr">
        <is>
          <t>21</t>
        </is>
      </c>
      <c r="G1186" t="inlineStr">
        <is>
          <t>0</t>
        </is>
      </c>
      <c r="H1186" t="inlineStr">
        <is>
          <t>0</t>
        </is>
      </c>
      <c r="I1186" t="inlineStr">
        <is>
          <t>14², 28²</t>
        </is>
      </c>
      <c r="J1186" t="n">
        <v>4</v>
      </c>
      <c r="K1186" t="inlineStr">
        <is>
          <t>2³, 6⁶</t>
        </is>
      </c>
      <c r="L1186" t="inlineStr">
        <is>
          <t>4E⁰, 28C², 14B³, 28A³</t>
        </is>
      </c>
      <c r="M1186" t="inlineStr">
        <is>
          <t>28C¹¹, 28B¹², 28C¹², 56A¹², 56B¹², 56H¹², 56I¹², 56C¹³, 56D¹³, 28C¹⁶, 84C²⁰, 28D²¹</t>
        </is>
      </c>
      <c r="N1186" t="inlineStr">
        <is>
          <t>28C², 2A⁰, 14B³, 14B¹, 4C⁰, 14A¹, 28A³, 2B⁰, 4E⁰, 4B⁰, 1A⁰, 2C⁰, 7A⁰</t>
        </is>
      </c>
      <c r="O1186" t="inlineStr">
        <is>
          <t>56D¹³, 56F²⁴, 56A¹², 28B¹², 56I¹², 56D²⁴, 56B¹², 56F²³, 28D²¹, 28C¹⁶, 28C¹¹, 56A²⁴, 56A²³, 56H¹², 56G²⁴, 56C¹³, 84C²⁰, 56B²⁴, 56C²⁴, 28C¹², 112B²⁴, 28C²³, 112A²⁴</t>
        </is>
      </c>
    </row>
    <row r="1187">
      <c r="A1187">
        <f>HYPERLINK("https://mathstats.uncg.edu/sites/pauli/congruence/csg6.html#group28D6", "28D⁶")</f>
        <v/>
      </c>
      <c r="B1187" t="n">
        <v>6</v>
      </c>
      <c r="C1187" t="inlineStr"/>
      <c r="D1187" t="inlineStr">
        <is>
          <t>96</t>
        </is>
      </c>
      <c r="E1187" t="inlineStr">
        <is>
          <t>1</t>
        </is>
      </c>
      <c r="F1187" t="inlineStr">
        <is>
          <t>8</t>
        </is>
      </c>
      <c r="G1187" t="inlineStr">
        <is>
          <t>0</t>
        </is>
      </c>
      <c r="H1187" t="inlineStr">
        <is>
          <t>0</t>
        </is>
      </c>
      <c r="I1187" t="inlineStr">
        <is>
          <t>4³, 28³</t>
        </is>
      </c>
      <c r="J1187" t="n">
        <v>6</v>
      </c>
      <c r="K1187" t="inlineStr">
        <is>
          <t>1², 6¹</t>
        </is>
      </c>
      <c r="L1187" t="inlineStr">
        <is>
          <t>28A⁰, 14D²</t>
        </is>
      </c>
      <c r="M1187" t="inlineStr">
        <is>
          <t>28G¹⁶, 28N²¹, 84B²², 84C²²</t>
        </is>
      </c>
      <c r="N1187" t="inlineStr">
        <is>
          <t>2A⁰, 7E⁰, 14B⁰, 28A⁰, 1A⁰, 7B⁰, 14D²</t>
        </is>
      </c>
      <c r="O1187" t="inlineStr">
        <is>
          <t>84C²², 28G¹⁶, 84B²², 28N²¹</t>
        </is>
      </c>
    </row>
    <row r="1188">
      <c r="A1188">
        <f>HYPERLINK("https://mathstats.uncg.edu/sites/pauli/congruence/csg6.html#group28E6", "28E⁶")</f>
        <v/>
      </c>
      <c r="B1188" t="n">
        <v>6</v>
      </c>
      <c r="C1188" t="inlineStr"/>
      <c r="D1188" t="inlineStr">
        <is>
          <t>96</t>
        </is>
      </c>
      <c r="E1188" t="inlineStr">
        <is>
          <t>1</t>
        </is>
      </c>
      <c r="F1188" t="inlineStr">
        <is>
          <t>8</t>
        </is>
      </c>
      <c r="G1188" t="inlineStr">
        <is>
          <t>0</t>
        </is>
      </c>
      <c r="H1188" t="inlineStr">
        <is>
          <t>0</t>
        </is>
      </c>
      <c r="I1188" t="inlineStr">
        <is>
          <t>4³, 28³</t>
        </is>
      </c>
      <c r="J1188" t="n">
        <v>6</v>
      </c>
      <c r="K1188" t="inlineStr">
        <is>
          <t>1², 6¹</t>
        </is>
      </c>
      <c r="L1188" t="inlineStr">
        <is>
          <t>28A⁰, 14E²</t>
        </is>
      </c>
      <c r="M1188" t="inlineStr">
        <is>
          <t>28F¹¹, 28G¹⁶, 84A²², 84K²²</t>
        </is>
      </c>
      <c r="N1188" t="inlineStr">
        <is>
          <t>2A⁰, 28A⁰, 7B⁰, 14B⁰, 14C¹, 2B⁰, 14E², 1A⁰, 2C⁰</t>
        </is>
      </c>
      <c r="O1188" t="inlineStr">
        <is>
          <t>28G¹⁶, 56W²³, 84K²², 84A²², 28M²¹, 28F¹¹</t>
        </is>
      </c>
    </row>
    <row r="1189">
      <c r="A1189">
        <f>HYPERLINK("https://mathstats.uncg.edu/sites/pauli/congruence/csg6.html#group28F6", "28F⁶")</f>
        <v/>
      </c>
      <c r="B1189" t="n">
        <v>6</v>
      </c>
      <c r="C1189" t="inlineStr"/>
      <c r="D1189" t="inlineStr">
        <is>
          <t>96</t>
        </is>
      </c>
      <c r="E1189" t="inlineStr">
        <is>
          <t>1</t>
        </is>
      </c>
      <c r="F1189" t="inlineStr">
        <is>
          <t>32</t>
        </is>
      </c>
      <c r="G1189" t="inlineStr">
        <is>
          <t>0</t>
        </is>
      </c>
      <c r="H1189" t="inlineStr">
        <is>
          <t>0</t>
        </is>
      </c>
      <c r="I1189" t="inlineStr">
        <is>
          <t>4³, 28³</t>
        </is>
      </c>
      <c r="J1189" t="n">
        <v>6</v>
      </c>
      <c r="K1189" t="inlineStr">
        <is>
          <t>2⁴, 12²</t>
        </is>
      </c>
      <c r="L1189" t="inlineStr">
        <is>
          <t>7E⁰, 28A²</t>
        </is>
      </c>
      <c r="M1189" t="inlineStr">
        <is>
          <t>28G¹¹, 56B¹⁴, 28H¹⁶, 84G²²</t>
        </is>
      </c>
      <c r="N1189" t="inlineStr">
        <is>
          <t>7E⁰, 4A⁰, 1A⁰, 7B⁰, 28A²</t>
        </is>
      </c>
      <c r="O1189" t="inlineStr">
        <is>
          <t>56B¹⁴, 28N²¹, 28H¹⁶, 28G¹¹, 84G²²</t>
        </is>
      </c>
    </row>
    <row r="1190">
      <c r="A1190">
        <f>HYPERLINK("https://mathstats.uncg.edu/sites/pauli/congruence/csg6.html#group28G6", "28G⁶")</f>
        <v/>
      </c>
      <c r="B1190" t="n">
        <v>6</v>
      </c>
      <c r="C1190" t="inlineStr"/>
      <c r="D1190" t="inlineStr">
        <is>
          <t>96</t>
        </is>
      </c>
      <c r="E1190" t="inlineStr">
        <is>
          <t>1</t>
        </is>
      </c>
      <c r="F1190" t="inlineStr">
        <is>
          <t>48</t>
        </is>
      </c>
      <c r="G1190" t="inlineStr">
        <is>
          <t>0</t>
        </is>
      </c>
      <c r="H1190" t="inlineStr">
        <is>
          <t>0</t>
        </is>
      </c>
      <c r="I1190" t="inlineStr">
        <is>
          <t>4³, 28³</t>
        </is>
      </c>
      <c r="J1190" t="n">
        <v>6</v>
      </c>
      <c r="K1190" t="inlineStr">
        <is>
          <t>1⁴, 2⁴, 6², 12²</t>
        </is>
      </c>
      <c r="L1190" t="inlineStr">
        <is>
          <t>4F⁰, 28A², 28C³</t>
        </is>
      </c>
      <c r="M1190" t="inlineStr">
        <is>
          <t>28E¹¹, 56L¹², 56I¹³, 56J¹³, 56A¹⁴, 28H¹⁶, 84I²², 84L²²</t>
        </is>
      </c>
      <c r="N1190" t="inlineStr">
        <is>
          <t>7B⁰, 4A⁰, 4C⁰, 14C¹, 2B⁰, 4F⁰, 28C³, 1A⁰, 28A²</t>
        </is>
      </c>
      <c r="O1190" t="inlineStr">
        <is>
          <t>28E¹¹, 28M²¹, 28H¹⁶, 56O²³, 56L¹², 84I²², 56P²³, 56I¹³, 56J¹³, 56A¹⁴, 84L²²</t>
        </is>
      </c>
    </row>
    <row r="1191">
      <c r="A1191">
        <f>HYPERLINK("https://mathstats.uncg.edu/sites/pauli/congruence/csg6.html#group28H6", "28H⁶")</f>
        <v/>
      </c>
      <c r="B1191" t="n">
        <v>6</v>
      </c>
      <c r="C1191" t="inlineStr"/>
      <c r="D1191" t="inlineStr">
        <is>
          <t>112</t>
        </is>
      </c>
      <c r="E1191" t="inlineStr">
        <is>
          <t>1</t>
        </is>
      </c>
      <c r="F1191" t="inlineStr">
        <is>
          <t>112</t>
        </is>
      </c>
      <c r="G1191" t="inlineStr">
        <is>
          <t>8</t>
        </is>
      </c>
      <c r="H1191" t="inlineStr">
        <is>
          <t>1</t>
        </is>
      </c>
      <c r="I1191" t="inlineStr">
        <is>
          <t>28⁴</t>
        </is>
      </c>
      <c r="J1191" t="n">
        <v>4</v>
      </c>
      <c r="K1191" t="inlineStr">
        <is>
          <t>2², 6², 12⁸</t>
        </is>
      </c>
      <c r="L1191" t="inlineStr">
        <is>
          <t>7F⁰, 28A¹</t>
        </is>
      </c>
      <c r="M1191" t="inlineStr">
        <is>
          <t>28H¹¹, 28A¹⁵, 28B¹⁵, 56B¹⁵, 56C¹⁵, 28F²¹, 28J²¹, 84M²¹</t>
        </is>
      </c>
      <c r="N1191" t="inlineStr">
        <is>
          <t>7F⁰, 28A¹, 1A⁰, 4A⁰, 7A⁰</t>
        </is>
      </c>
      <c r="O1191" t="inlineStr">
        <is>
          <t>28B¹⁵, 28F²¹, 56C¹⁵, 56B¹⁵, 28J²¹, 28A¹⁵, 84M²¹, 28H¹¹</t>
        </is>
      </c>
    </row>
    <row r="1192">
      <c r="A1192">
        <f>HYPERLINK("https://mathstats.uncg.edu/sites/pauli/congruence/csg6.html#group28I6", "28I⁶")</f>
        <v/>
      </c>
      <c r="B1192" t="n">
        <v>6</v>
      </c>
      <c r="C1192" t="inlineStr"/>
      <c r="D1192" t="inlineStr">
        <is>
          <t>126</t>
        </is>
      </c>
      <c r="E1192" t="inlineStr">
        <is>
          <t>1</t>
        </is>
      </c>
      <c r="F1192" t="inlineStr">
        <is>
          <t>63</t>
        </is>
      </c>
      <c r="G1192" t="inlineStr">
        <is>
          <t>10</t>
        </is>
      </c>
      <c r="H1192" t="inlineStr">
        <is>
          <t>0</t>
        </is>
      </c>
      <c r="I1192" t="inlineStr">
        <is>
          <t>14³, 28³</t>
        </is>
      </c>
      <c r="J1192" t="n">
        <v>6</v>
      </c>
      <c r="K1192" t="inlineStr">
        <is>
          <t>3³, 6⁹</t>
        </is>
      </c>
      <c r="L1192" t="inlineStr">
        <is>
          <t>14F², 28C²</t>
        </is>
      </c>
      <c r="M1192" t="inlineStr">
        <is>
          <t>28D¹², 28E¹³, 28C¹⁴, 56G¹⁴, 28D¹⁵, 28E¹⁵, 28F¹⁵, 28H¹⁵, 56E¹⁵, 56F¹⁵, 56G¹⁵, 56H¹⁵, 28C¹⁶, 56C¹⁶, 56B¹⁷, 56A¹⁸, 56A¹⁹, 84N²²</t>
        </is>
      </c>
      <c r="N1192" t="inlineStr">
        <is>
          <t>28C², 7D⁰, 14B¹, 4C⁰, 14F², 2B⁰, 1A⁰, 7A⁰</t>
        </is>
      </c>
      <c r="O1192" t="inlineStr">
        <is>
          <t>28E¹⁵, 56C¹⁶, 28C¹⁶, 56G¹⁴, 28D¹², 28E¹³, 56B¹⁷, 28C¹⁴, 56A¹⁹, 56E¹⁵, 28D¹⁵, 28H¹⁵, 56G¹⁵, 56A¹⁸, 28F¹⁵, 84N²², 56H¹⁵, 56F¹⁵</t>
        </is>
      </c>
    </row>
    <row r="1193">
      <c r="A1193">
        <f>HYPERLINK("https://mathstats.uncg.edu/sites/pauli/congruence/csg6.html#group28J6", "28J⁶")</f>
        <v/>
      </c>
      <c r="B1193" t="n">
        <v>6</v>
      </c>
      <c r="C1193" t="inlineStr"/>
      <c r="D1193" t="inlineStr">
        <is>
          <t>126</t>
        </is>
      </c>
      <c r="E1193" t="inlineStr">
        <is>
          <t>2</t>
        </is>
      </c>
      <c r="F1193" t="inlineStr">
        <is>
          <t>63</t>
        </is>
      </c>
      <c r="G1193" t="inlineStr">
        <is>
          <t>4</t>
        </is>
      </c>
      <c r="H1193" t="inlineStr">
        <is>
          <t>0</t>
        </is>
      </c>
      <c r="I1193" t="inlineStr">
        <is>
          <t>7⁶, 28³</t>
        </is>
      </c>
      <c r="J1193" t="n">
        <v>9</v>
      </c>
      <c r="K1193" t="inlineStr">
        <is>
          <t>6²¹</t>
        </is>
      </c>
      <c r="L1193" t="inlineStr">
        <is>
          <t>14F², 28B²</t>
        </is>
      </c>
      <c r="M1193" t="inlineStr">
        <is>
          <t>28I¹¹, 28B¹³, 28D¹³, 28A¹⁴, 28C¹⁴, 28D¹⁶, 28F¹⁶</t>
        </is>
      </c>
      <c r="N1193" t="inlineStr">
        <is>
          <t>14F², 2B⁰, 7D⁰, 14B¹, 1A⁰, 28B², 7A⁰</t>
        </is>
      </c>
      <c r="O1193" t="inlineStr">
        <is>
          <t>28F¹⁶, 28C¹⁴, 28D¹⁶, 28A¹⁴, 28D¹³, 28E²³, 28B¹³, 28I¹¹</t>
        </is>
      </c>
    </row>
    <row r="1194">
      <c r="A1194">
        <f>HYPERLINK("https://mathstats.uncg.edu/sites/pauli/congruence/csg6.html#group30A6", "30A⁶")</f>
        <v/>
      </c>
      <c r="B1194" t="n">
        <v>6</v>
      </c>
      <c r="C1194" t="inlineStr"/>
      <c r="D1194" t="inlineStr">
        <is>
          <t>90</t>
        </is>
      </c>
      <c r="E1194" t="inlineStr">
        <is>
          <t>1</t>
        </is>
      </c>
      <c r="F1194" t="inlineStr">
        <is>
          <t>45</t>
        </is>
      </c>
      <c r="G1194" t="inlineStr">
        <is>
          <t>2</t>
        </is>
      </c>
      <c r="H1194" t="inlineStr">
        <is>
          <t>0</t>
        </is>
      </c>
      <c r="I1194" t="inlineStr">
        <is>
          <t>15², 30²</t>
        </is>
      </c>
      <c r="J1194" t="n">
        <v>4</v>
      </c>
      <c r="K1194" t="inlineStr">
        <is>
          <t>1³, 2³, 4³, 8³</t>
        </is>
      </c>
      <c r="L1194" t="inlineStr">
        <is>
          <t>6G⁰, 15A², 30D³</t>
        </is>
      </c>
      <c r="M1194" t="inlineStr">
        <is>
          <t>30A¹², 30E¹², 60B¹², 30C¹³, 60C¹³, 60D¹³, 60C¹⁴, 30B¹⁶, 90G¹⁹, 90A²⁰, 90B²⁰, 90B²¹, 30F²³</t>
        </is>
      </c>
      <c r="N1194" t="inlineStr">
        <is>
          <t>30D³, 5A⁰, 15A², 10B¹, 6D⁰, 6G⁰, 3C⁰, 2B⁰, 3A⁰, 1A⁰, 15A¹</t>
        </is>
      </c>
      <c r="O1194" t="inlineStr">
        <is>
          <t>90G¹⁹, 60C¹⁴, 90B²¹, 60C¹³, 60D¹³, 30E¹², 60B¹², 30B¹⁶, 90B²⁰, 30F²³, 30A¹², 90A²⁰, 30C¹³</t>
        </is>
      </c>
    </row>
    <row r="1195">
      <c r="A1195">
        <f>HYPERLINK("https://mathstats.uncg.edu/sites/pauli/congruence/csg6.html#group30B6", "30B⁶")</f>
        <v/>
      </c>
      <c r="B1195" t="n">
        <v>6</v>
      </c>
      <c r="C1195" t="inlineStr"/>
      <c r="D1195" t="inlineStr">
        <is>
          <t>90</t>
        </is>
      </c>
      <c r="E1195" t="inlineStr">
        <is>
          <t>1</t>
        </is>
      </c>
      <c r="F1195" t="inlineStr">
        <is>
          <t>45</t>
        </is>
      </c>
      <c r="G1195" t="inlineStr">
        <is>
          <t>4</t>
        </is>
      </c>
      <c r="H1195" t="inlineStr">
        <is>
          <t>0</t>
        </is>
      </c>
      <c r="I1195" t="inlineStr">
        <is>
          <t>30³</t>
        </is>
      </c>
      <c r="J1195" t="n">
        <v>3</v>
      </c>
      <c r="K1195" t="inlineStr">
        <is>
          <t>1³, 2³, 4³, 8³</t>
        </is>
      </c>
      <c r="L1195" t="inlineStr">
        <is>
          <t>6H⁰, 30A², 30D³</t>
        </is>
      </c>
      <c r="M1195" t="inlineStr">
        <is>
          <t>30E¹², 60C¹², 30C¹³, 60H¹³, 60D¹⁴, 30D¹⁶, 90D²⁰, 90A²¹</t>
        </is>
      </c>
      <c r="N1195" t="inlineStr">
        <is>
          <t>30D³, 5A⁰, 30A², 6B⁰, 10B¹, 6D⁰, 2B⁰, 6H⁰, 3A⁰, 1A⁰, 15A¹</t>
        </is>
      </c>
      <c r="O1195" t="inlineStr">
        <is>
          <t>60H¹³, 30D¹⁶, 90A²¹, 60C¹², 90D²⁰, 30E¹², 60D¹⁴, 30C¹³</t>
        </is>
      </c>
    </row>
    <row r="1196">
      <c r="A1196">
        <f>HYPERLINK("https://mathstats.uncg.edu/sites/pauli/congruence/csg6.html#group30C6", "30C⁶")</f>
        <v/>
      </c>
      <c r="B1196" t="n">
        <v>6</v>
      </c>
      <c r="C1196" t="inlineStr"/>
      <c r="D1196" t="inlineStr">
        <is>
          <t>108</t>
        </is>
      </c>
      <c r="E1196" t="inlineStr">
        <is>
          <t>1</t>
        </is>
      </c>
      <c r="F1196" t="inlineStr">
        <is>
          <t>18</t>
        </is>
      </c>
      <c r="G1196" t="inlineStr">
        <is>
          <t>0</t>
        </is>
      </c>
      <c r="H1196" t="inlineStr">
        <is>
          <t>0</t>
        </is>
      </c>
      <c r="I1196" t="inlineStr">
        <is>
          <t>3², 6², 15², 30²</t>
        </is>
      </c>
      <c r="J1196" t="n">
        <v>8</v>
      </c>
      <c r="K1196" t="inlineStr">
        <is>
          <t>1⁶, 4³</t>
        </is>
      </c>
      <c r="L1196" t="inlineStr">
        <is>
          <t>10F⁰, 15B², 30E²</t>
        </is>
      </c>
      <c r="M1196" t="inlineStr">
        <is>
          <t>30H¹¹, 30H¹³, 30L¹³, 60N¹³, 60S¹³, 60A¹⁵, 60J¹⁵, 90A²⁴</t>
        </is>
      </c>
      <c r="N1196" t="inlineStr">
        <is>
          <t>15B⁰, 30E², 15B², 5B⁰, 5D⁰, 10C⁰, 2B⁰, 3A⁰, 1A⁰, 10F⁰, 6D⁰</t>
        </is>
      </c>
      <c r="O1196" t="inlineStr">
        <is>
          <t>60J¹⁵, 60A¹⁵, 60S¹³, 60N¹³, 90A²⁴, 30G²¹, 30H¹¹, 30L¹³, 30H¹³</t>
        </is>
      </c>
    </row>
    <row r="1197">
      <c r="A1197">
        <f>HYPERLINK("https://mathstats.uncg.edu/sites/pauli/congruence/csg6.html#group30D6", "30D⁶")</f>
        <v/>
      </c>
      <c r="B1197" t="n">
        <v>6</v>
      </c>
      <c r="C1197" t="inlineStr"/>
      <c r="D1197" t="inlineStr">
        <is>
          <t>108</t>
        </is>
      </c>
      <c r="E1197" t="inlineStr">
        <is>
          <t>1</t>
        </is>
      </c>
      <c r="F1197" t="inlineStr">
        <is>
          <t>54</t>
        </is>
      </c>
      <c r="G1197" t="inlineStr">
        <is>
          <t>4</t>
        </is>
      </c>
      <c r="H1197" t="inlineStr">
        <is>
          <t>0</t>
        </is>
      </c>
      <c r="I1197" t="inlineStr">
        <is>
          <t>6³, 30³</t>
        </is>
      </c>
      <c r="J1197" t="n">
        <v>6</v>
      </c>
      <c r="K1197" t="inlineStr">
        <is>
          <t>1⁶, 2⁶, 4³, 8³</t>
        </is>
      </c>
      <c r="L1197" t="inlineStr">
        <is>
          <t>30C², 30E²</t>
        </is>
      </c>
      <c r="M1197" t="inlineStr">
        <is>
          <t>30J¹¹, 30K¹¹, 30I¹³, 30K¹³, 30L¹³, 60W¹³, 60X¹³, 60AE¹³, 60I¹⁵, 60K¹⁵, 60O¹⁵, 90G²², 90C²⁴</t>
        </is>
      </c>
      <c r="N1197" t="inlineStr">
        <is>
          <t>15B⁰, 30E², 5B⁰, 10C⁰, 2B⁰, 3A⁰, 1A⁰, 6D⁰, 30C²</t>
        </is>
      </c>
      <c r="O1197" t="inlineStr">
        <is>
          <t>30J¹¹, 60X¹³, 30H²¹, 60O¹⁵, 60I¹⁵, 30K¹¹, 60K¹⁵, 90C²⁴, 30K¹³, 30L¹³, 90G²², 30I¹³, 60AE¹³, 60W¹³</t>
        </is>
      </c>
    </row>
    <row r="1198">
      <c r="A1198">
        <f>HYPERLINK("https://mathstats.uncg.edu/sites/pauli/congruence/csg6.html#group30E6", "30E⁶")</f>
        <v/>
      </c>
      <c r="B1198" t="n">
        <v>6</v>
      </c>
      <c r="C1198" t="inlineStr"/>
      <c r="D1198" t="inlineStr">
        <is>
          <t>120</t>
        </is>
      </c>
      <c r="E1198" t="inlineStr">
        <is>
          <t>1</t>
        </is>
      </c>
      <c r="F1198" t="inlineStr">
        <is>
          <t>40</t>
        </is>
      </c>
      <c r="G1198" t="inlineStr">
        <is>
          <t>0</t>
        </is>
      </c>
      <c r="H1198" t="inlineStr">
        <is>
          <t>6</t>
        </is>
      </c>
      <c r="I1198" t="inlineStr">
        <is>
          <t>10³, 30³</t>
        </is>
      </c>
      <c r="J1198" t="n">
        <v>6</v>
      </c>
      <c r="K1198" t="inlineStr">
        <is>
          <t>2², 4⁵, 8²</t>
        </is>
      </c>
      <c r="L1198" t="inlineStr">
        <is>
          <t>10E⁰, 30D²</t>
        </is>
      </c>
      <c r="M1198" t="inlineStr">
        <is>
          <t>60G¹⁴, 30A²², 30D²², 90J²², 90L²²</t>
        </is>
      </c>
      <c r="N1198" t="inlineStr">
        <is>
          <t>2A⁰, 3B⁰, 5A⁰, 10A⁰, 10E⁰, 30D², 6C⁰, 15B¹, 1A⁰</t>
        </is>
      </c>
      <c r="O1198" t="inlineStr">
        <is>
          <t>30A²², 30D²², 60G¹⁴, 90L²², 90J²²</t>
        </is>
      </c>
    </row>
    <row r="1199">
      <c r="A1199">
        <f>HYPERLINK("https://mathstats.uncg.edu/sites/pauli/congruence/csg6.html#group30F6", "30F⁶")</f>
        <v/>
      </c>
      <c r="B1199" t="n">
        <v>6</v>
      </c>
      <c r="C1199" t="inlineStr"/>
      <c r="D1199" t="inlineStr">
        <is>
          <t>120</t>
        </is>
      </c>
      <c r="E1199" t="inlineStr">
        <is>
          <t>2</t>
        </is>
      </c>
      <c r="F1199" t="inlineStr">
        <is>
          <t>60</t>
        </is>
      </c>
      <c r="G1199" t="inlineStr">
        <is>
          <t>4</t>
        </is>
      </c>
      <c r="H1199" t="inlineStr">
        <is>
          <t>6</t>
        </is>
      </c>
      <c r="I1199" t="inlineStr">
        <is>
          <t>30⁴</t>
        </is>
      </c>
      <c r="J1199" t="n">
        <v>4</v>
      </c>
      <c r="K1199" t="inlineStr">
        <is>
          <t>8¹⁵</t>
        </is>
      </c>
      <c r="L1199" t="inlineStr">
        <is>
          <t>15E²</t>
        </is>
      </c>
      <c r="M1199" t="inlineStr">
        <is>
          <t>30O¹³, 30E²², 30A²⁴</t>
        </is>
      </c>
      <c r="N1199" t="inlineStr">
        <is>
          <t>5A⁰, 15E², 1A⁰, 15A⁰</t>
        </is>
      </c>
      <c r="O1199" t="inlineStr">
        <is>
          <t>30A²⁴, 30O¹³, 30E²²</t>
        </is>
      </c>
    </row>
    <row r="1200">
      <c r="A1200">
        <f>HYPERLINK("https://mathstats.uncg.edu/sites/pauli/congruence/csg6.html#group31A6", "31A⁶")</f>
        <v/>
      </c>
      <c r="B1200" t="n">
        <v>6</v>
      </c>
      <c r="C1200" t="inlineStr"/>
      <c r="D1200" t="inlineStr">
        <is>
          <t>96</t>
        </is>
      </c>
      <c r="E1200" t="inlineStr">
        <is>
          <t>1</t>
        </is>
      </c>
      <c r="F1200" t="inlineStr">
        <is>
          <t>32</t>
        </is>
      </c>
      <c r="G1200" t="inlineStr">
        <is>
          <t>0</t>
        </is>
      </c>
      <c r="H1200" t="inlineStr">
        <is>
          <t>0</t>
        </is>
      </c>
      <c r="I1200" t="inlineStr">
        <is>
          <t>1³, 31³</t>
        </is>
      </c>
      <c r="J1200" t="n">
        <v>6</v>
      </c>
      <c r="K1200" t="inlineStr">
        <is>
          <t>1², 30¹</t>
        </is>
      </c>
      <c r="L1200" t="inlineStr">
        <is>
          <t>31A²</t>
        </is>
      </c>
      <c r="M1200" t="inlineStr">
        <is>
          <t>62A¹⁴, 62A¹⁹, 93A²²</t>
        </is>
      </c>
      <c r="N1200" t="inlineStr">
        <is>
          <t>31A², 1A⁰</t>
        </is>
      </c>
      <c r="O1200" t="inlineStr">
        <is>
          <t>62A¹⁹, 93A²², 62A¹⁴</t>
        </is>
      </c>
    </row>
    <row r="1201">
      <c r="A1201">
        <f>HYPERLINK("https://mathstats.uncg.edu/sites/pauli/congruence/csg6.html#group31B6", "31B⁶")</f>
        <v/>
      </c>
      <c r="B1201" t="n">
        <v>6</v>
      </c>
      <c r="C1201" t="inlineStr"/>
      <c r="D1201" t="inlineStr">
        <is>
          <t>160</t>
        </is>
      </c>
      <c r="E1201" t="inlineStr">
        <is>
          <t>1</t>
        </is>
      </c>
      <c r="F1201" t="inlineStr">
        <is>
          <t>32</t>
        </is>
      </c>
      <c r="G1201" t="inlineStr">
        <is>
          <t>0</t>
        </is>
      </c>
      <c r="H1201" t="inlineStr">
        <is>
          <t>10</t>
        </is>
      </c>
      <c r="I1201" t="inlineStr">
        <is>
          <t>1⁵, 31⁵</t>
        </is>
      </c>
      <c r="J1201" t="n">
        <v>10</v>
      </c>
      <c r="K1201" t="inlineStr">
        <is>
          <t>1², 30¹</t>
        </is>
      </c>
      <c r="L1201" t="inlineStr">
        <is>
          <t>31A²</t>
        </is>
      </c>
      <c r="M1201" t="inlineStr">
        <is>
          <t>62A¹⁶</t>
        </is>
      </c>
      <c r="N1201" t="inlineStr">
        <is>
          <t>31A², 1A⁰</t>
        </is>
      </c>
      <c r="O1201" t="inlineStr">
        <is>
          <t>62A¹⁶</t>
        </is>
      </c>
    </row>
    <row r="1202">
      <c r="A1202">
        <f>HYPERLINK("https://mathstats.uncg.edu/sites/pauli/congruence/csg6.html#group32A6", "32A⁶")</f>
        <v/>
      </c>
      <c r="B1202" t="n">
        <v>6</v>
      </c>
      <c r="C1202" t="inlineStr"/>
      <c r="D1202" t="inlineStr">
        <is>
          <t>96</t>
        </is>
      </c>
      <c r="E1202" t="inlineStr">
        <is>
          <t>1</t>
        </is>
      </c>
      <c r="F1202" t="inlineStr">
        <is>
          <t>12</t>
        </is>
      </c>
      <c r="G1202" t="inlineStr">
        <is>
          <t>0</t>
        </is>
      </c>
      <c r="H1202" t="inlineStr">
        <is>
          <t>0</t>
        </is>
      </c>
      <c r="I1202" t="inlineStr">
        <is>
          <t>8⁴, 32²</t>
        </is>
      </c>
      <c r="J1202" t="n">
        <v>6</v>
      </c>
      <c r="K1202" t="inlineStr">
        <is>
          <t>2⁶</t>
        </is>
      </c>
      <c r="L1202" t="inlineStr">
        <is>
          <t>16C², 32I³</t>
        </is>
      </c>
      <c r="M1202" t="inlineStr">
        <is>
          <t>32A¹¹, 32B¹¹, 96A²²</t>
        </is>
      </c>
      <c r="N1202" t="inlineStr">
        <is>
          <t>2A⁰, 16C², 8D⁰, 4C⁰, 32I³, 2B⁰, 8C⁰, 4E⁰, 4B⁰, 1A⁰, 8G⁰, 16C¹, 2C⁰</t>
        </is>
      </c>
      <c r="O1202" t="inlineStr">
        <is>
          <t>32G²¹, 32E²¹, 32C²¹, 96A²², 32B¹¹, 32H²¹, 32D²¹, 32A¹¹</t>
        </is>
      </c>
    </row>
    <row r="1203">
      <c r="A1203">
        <f>HYPERLINK("https://mathstats.uncg.edu/sites/pauli/congruence/csg6.html#group32B6", "32B⁶")</f>
        <v/>
      </c>
      <c r="B1203" t="n">
        <v>6</v>
      </c>
      <c r="C1203" t="inlineStr"/>
      <c r="D1203" t="inlineStr">
        <is>
          <t>96</t>
        </is>
      </c>
      <c r="E1203" t="inlineStr">
        <is>
          <t>1</t>
        </is>
      </c>
      <c r="F1203" t="inlineStr">
        <is>
          <t>24</t>
        </is>
      </c>
      <c r="G1203" t="inlineStr">
        <is>
          <t>0</t>
        </is>
      </c>
      <c r="H1203" t="inlineStr">
        <is>
          <t>0</t>
        </is>
      </c>
      <c r="I1203" t="inlineStr">
        <is>
          <t>8⁴, 32²</t>
        </is>
      </c>
      <c r="J1203" t="n">
        <v>6</v>
      </c>
      <c r="K1203" t="inlineStr">
        <is>
          <t>2⁴, 8²</t>
        </is>
      </c>
      <c r="L1203" t="inlineStr">
        <is>
          <t>16D², 32I³</t>
        </is>
      </c>
      <c r="M1203" t="inlineStr">
        <is>
          <t>32A¹¹, 32H¹¹, 96B²²</t>
        </is>
      </c>
      <c r="N1203" t="inlineStr">
        <is>
          <t>16D², 16E⁰, 8C¹, 8A¹, 8D⁰, 4A⁰, 16C¹, 4C⁰, 32I³, 2B⁰, 4F⁰, 1A⁰</t>
        </is>
      </c>
      <c r="O1203" t="inlineStr">
        <is>
          <t>32H¹¹, 64A²³, 32D²¹, 32A¹¹, 32E²¹, 96B²², 32C²¹</t>
        </is>
      </c>
    </row>
    <row r="1204">
      <c r="A1204">
        <f>HYPERLINK("https://mathstats.uncg.edu/sites/pauli/congruence/csg6.html#group32C6", "32C⁶")</f>
        <v/>
      </c>
      <c r="B1204" t="n">
        <v>6</v>
      </c>
      <c r="C1204" t="inlineStr"/>
      <c r="D1204" t="inlineStr">
        <is>
          <t>96</t>
        </is>
      </c>
      <c r="E1204" t="inlineStr">
        <is>
          <t>2</t>
        </is>
      </c>
      <c r="F1204" t="inlineStr">
        <is>
          <t>24</t>
        </is>
      </c>
      <c r="G1204" t="inlineStr">
        <is>
          <t>4</t>
        </is>
      </c>
      <c r="H1204" t="inlineStr">
        <is>
          <t>0</t>
        </is>
      </c>
      <c r="I1204" t="inlineStr">
        <is>
          <t>16², 32²</t>
        </is>
      </c>
      <c r="J1204" t="n">
        <v>4</v>
      </c>
      <c r="K1204" t="inlineStr">
        <is>
          <t>2⁸, 4⁴, 8²</t>
        </is>
      </c>
      <c r="L1204" t="inlineStr">
        <is>
          <t>16E², 32E³, 32G³</t>
        </is>
      </c>
      <c r="M1204" t="inlineStr">
        <is>
          <t>32K¹¹, 32A¹², 32C¹², 32C¹³, 32Q¹³, 64A¹⁴, 64B¹⁴, 64C¹⁴, 64D¹⁴, 96G²⁰</t>
        </is>
      </c>
      <c r="N1204" t="inlineStr">
        <is>
          <t>8H⁰, 16D¹, 8D⁰, 4A⁰, 4C⁰, 8B⁰, 32E³, 2B⁰, 32G³, 4F⁰, 1A⁰, 16E²</t>
        </is>
      </c>
      <c r="O1204" t="inlineStr">
        <is>
          <t>32H²³, 64B¹⁴, 32C¹², 32K¹¹, 32E²³, 32A²⁴, 96G²⁰, 64A¹⁴, 32Q¹³, 64C¹⁴, 64D¹⁴, 32A¹², 32D²⁴, 32Y²¹, 32C¹³</t>
        </is>
      </c>
    </row>
    <row r="1205">
      <c r="A1205">
        <f>HYPERLINK("https://mathstats.uncg.edu/sites/pauli/congruence/csg6.html#group32D6", "32D⁶")</f>
        <v/>
      </c>
      <c r="B1205" t="n">
        <v>6</v>
      </c>
      <c r="C1205" t="inlineStr"/>
      <c r="D1205" t="inlineStr">
        <is>
          <t>96</t>
        </is>
      </c>
      <c r="E1205" t="inlineStr">
        <is>
          <t>2</t>
        </is>
      </c>
      <c r="F1205" t="inlineStr">
        <is>
          <t>24</t>
        </is>
      </c>
      <c r="G1205" t="inlineStr">
        <is>
          <t>4</t>
        </is>
      </c>
      <c r="H1205" t="inlineStr">
        <is>
          <t>0</t>
        </is>
      </c>
      <c r="I1205" t="inlineStr">
        <is>
          <t>16², 32²</t>
        </is>
      </c>
      <c r="J1205" t="n">
        <v>4</v>
      </c>
      <c r="K1205" t="inlineStr">
        <is>
          <t>2⁸, 4⁴, 8²</t>
        </is>
      </c>
      <c r="L1205" t="inlineStr">
        <is>
          <t>16E², 32F³, 32H³</t>
        </is>
      </c>
      <c r="M1205" t="inlineStr">
        <is>
          <t>32K¹¹, 32B¹², 32C¹², 32F¹³, 32Q¹³, 96H²⁰</t>
        </is>
      </c>
      <c r="N1205" t="inlineStr">
        <is>
          <t>8H⁰, 16D¹, 8D⁰, 4A⁰, 4C⁰, 8B⁰, 2B⁰, 4F⁰, 32F³, 1A⁰, 16E², 32H³</t>
        </is>
      </c>
      <c r="O1205" t="inlineStr">
        <is>
          <t>32H²³, 96H²⁰, 32C¹², 32K¹¹, 32E²³, 32C²⁴, 32B¹², 32Q¹³, 32B²⁴, 32F¹³, 32Y²¹</t>
        </is>
      </c>
    </row>
    <row r="1206">
      <c r="A1206">
        <f>HYPERLINK("https://mathstats.uncg.edu/sites/pauli/congruence/csg6.html#group32E6", "32E⁶")</f>
        <v/>
      </c>
      <c r="B1206" t="n">
        <v>6</v>
      </c>
      <c r="C1206" t="inlineStr"/>
      <c r="D1206" t="inlineStr">
        <is>
          <t>96</t>
        </is>
      </c>
      <c r="E1206" t="inlineStr">
        <is>
          <t>2</t>
        </is>
      </c>
      <c r="F1206" t="inlineStr">
        <is>
          <t>24</t>
        </is>
      </c>
      <c r="G1206" t="inlineStr">
        <is>
          <t>4</t>
        </is>
      </c>
      <c r="H1206" t="inlineStr">
        <is>
          <t>0</t>
        </is>
      </c>
      <c r="I1206" t="inlineStr">
        <is>
          <t>16², 32²</t>
        </is>
      </c>
      <c r="J1206" t="n">
        <v>4</v>
      </c>
      <c r="K1206" t="inlineStr">
        <is>
          <t>2⁸, 4⁴, 8²</t>
        </is>
      </c>
      <c r="L1206" t="inlineStr">
        <is>
          <t>16F², 32E³, 32H³</t>
        </is>
      </c>
      <c r="M1206" t="inlineStr">
        <is>
          <t>32K¹¹, 32D¹³, 32Q¹³, 64E¹⁴, 64F¹⁴, 96I²⁰</t>
        </is>
      </c>
      <c r="N1206" t="inlineStr">
        <is>
          <t>16D¹, 16F², 4C⁰, 8B⁰, 16B¹, 32E³, 8L⁰, 2B⁰, 1A⁰, 32H³</t>
        </is>
      </c>
      <c r="O1206" t="inlineStr">
        <is>
          <t>32H²³, 32K¹¹, 96I²⁰, 32E²³, 32Q¹³, 64E¹⁴, 64F¹⁴, 32D¹³, 32Y²¹</t>
        </is>
      </c>
    </row>
    <row r="1207">
      <c r="A1207">
        <f>HYPERLINK("https://mathstats.uncg.edu/sites/pauli/congruence/csg6.html#group32F6", "32F⁶")</f>
        <v/>
      </c>
      <c r="B1207" t="n">
        <v>6</v>
      </c>
      <c r="C1207" t="inlineStr"/>
      <c r="D1207" t="inlineStr">
        <is>
          <t>96</t>
        </is>
      </c>
      <c r="E1207" t="inlineStr">
        <is>
          <t>2</t>
        </is>
      </c>
      <c r="F1207" t="inlineStr">
        <is>
          <t>24</t>
        </is>
      </c>
      <c r="G1207" t="inlineStr">
        <is>
          <t>4</t>
        </is>
      </c>
      <c r="H1207" t="inlineStr">
        <is>
          <t>0</t>
        </is>
      </c>
      <c r="I1207" t="inlineStr">
        <is>
          <t>16², 32²</t>
        </is>
      </c>
      <c r="J1207" t="n">
        <v>4</v>
      </c>
      <c r="K1207" t="inlineStr">
        <is>
          <t>2⁸, 4⁴, 8²</t>
        </is>
      </c>
      <c r="L1207" t="inlineStr">
        <is>
          <t>16F², 32F³, 32G³</t>
        </is>
      </c>
      <c r="M1207" t="inlineStr">
        <is>
          <t>32K¹¹, 32E¹³, 32Q¹³, 64G¹⁴, 64H¹⁴, 96J²⁰</t>
        </is>
      </c>
      <c r="N1207" t="inlineStr">
        <is>
          <t>16D¹, 16F², 4C⁰, 8B⁰, 16B¹, 8L⁰, 2B⁰, 32G³, 32F³, 1A⁰</t>
        </is>
      </c>
      <c r="O1207" t="inlineStr">
        <is>
          <t>32H²³, 32K¹¹, 32E²³, 32E¹³, 32Q¹³, 64H¹⁴, 64G¹⁴, 32Y²¹, 96J²⁰</t>
        </is>
      </c>
    </row>
    <row r="1208">
      <c r="A1208">
        <f>HYPERLINK("https://mathstats.uncg.edu/sites/pauli/congruence/csg6.html#group32G6", "32G⁶")</f>
        <v/>
      </c>
      <c r="B1208" t="n">
        <v>6</v>
      </c>
      <c r="C1208" t="inlineStr"/>
      <c r="D1208" t="inlineStr">
        <is>
          <t>128</t>
        </is>
      </c>
      <c r="E1208" t="inlineStr">
        <is>
          <t>2</t>
        </is>
      </c>
      <c r="F1208" t="inlineStr">
        <is>
          <t>64</t>
        </is>
      </c>
      <c r="G1208" t="inlineStr">
        <is>
          <t>4</t>
        </is>
      </c>
      <c r="H1208" t="inlineStr">
        <is>
          <t>8</t>
        </is>
      </c>
      <c r="I1208" t="inlineStr">
        <is>
          <t>32⁴</t>
        </is>
      </c>
      <c r="J1208" t="n">
        <v>4</v>
      </c>
      <c r="K1208" t="inlineStr">
        <is>
          <t>16⁸</t>
        </is>
      </c>
      <c r="L1208" t="inlineStr">
        <is>
          <t>16H²</t>
        </is>
      </c>
      <c r="M1208" t="inlineStr">
        <is>
          <t>32S¹³, 64I¹⁴</t>
        </is>
      </c>
      <c r="N1208" t="inlineStr">
        <is>
          <t>8A⁰, 8F⁰, 16A⁰, 4A⁰, 8M⁰, 1A⁰, 16H²</t>
        </is>
      </c>
      <c r="O1208" t="inlineStr">
        <is>
          <t>64I¹⁴, 32S¹³</t>
        </is>
      </c>
    </row>
    <row r="1209">
      <c r="A1209">
        <f>HYPERLINK("https://mathstats.uncg.edu/sites/pauli/congruence/csg6.html#group32H6", "32H⁶")</f>
        <v/>
      </c>
      <c r="B1209" t="n">
        <v>6</v>
      </c>
      <c r="C1209" t="inlineStr"/>
      <c r="D1209" t="inlineStr">
        <is>
          <t>192</t>
        </is>
      </c>
      <c r="E1209" t="inlineStr">
        <is>
          <t>1</t>
        </is>
      </c>
      <c r="F1209" t="inlineStr">
        <is>
          <t>48</t>
        </is>
      </c>
      <c r="G1209" t="inlineStr">
        <is>
          <t>4</t>
        </is>
      </c>
      <c r="H1209" t="inlineStr">
        <is>
          <t>0</t>
        </is>
      </c>
      <c r="I1209" t="inlineStr">
        <is>
          <t>4¹⁶, 32⁴</t>
        </is>
      </c>
      <c r="J1209" t="n">
        <v>20</v>
      </c>
      <c r="K1209" t="inlineStr">
        <is>
          <t>2², 4³, 8⁴</t>
        </is>
      </c>
      <c r="L1209" t="inlineStr">
        <is>
          <t>16L², 32P³, 32Q³</t>
        </is>
      </c>
      <c r="M1209" t="inlineStr">
        <is>
          <t>32T¹³, 64A¹⁸, 64B¹⁸, 32E¹⁹, 32P²¹</t>
        </is>
      </c>
      <c r="N1209" t="inlineStr">
        <is>
          <t>16I¹, 8D⁰, 4C⁰, 8B⁰, 8L⁰, 2B⁰, 32D¹, 16H¹, 16L², 1A⁰, 32Q³, 8H⁰, 16E⁰, 32C¹, 4A⁰, 16C¹, 4F⁰, 8P⁰, 32P³</t>
        </is>
      </c>
      <c r="O1209" t="inlineStr">
        <is>
          <t>32T¹³, 64A¹⁸, 64B¹⁸, 32P²¹, 32E¹⁹</t>
        </is>
      </c>
    </row>
    <row r="1210">
      <c r="A1210">
        <f>HYPERLINK("https://mathstats.uncg.edu/sites/pauli/congruence/csg6.html#group35A6", "35A⁶")</f>
        <v/>
      </c>
      <c r="B1210" t="n">
        <v>6</v>
      </c>
      <c r="C1210" t="inlineStr"/>
      <c r="D1210" t="inlineStr">
        <is>
          <t>84</t>
        </is>
      </c>
      <c r="E1210" t="inlineStr">
        <is>
          <t>2</t>
        </is>
      </c>
      <c r="F1210" t="inlineStr">
        <is>
          <t>42</t>
        </is>
      </c>
      <c r="G1210" t="inlineStr">
        <is>
          <t>0</t>
        </is>
      </c>
      <c r="H1210" t="inlineStr">
        <is>
          <t>0</t>
        </is>
      </c>
      <c r="I1210" t="inlineStr">
        <is>
          <t>7², 35²</t>
        </is>
      </c>
      <c r="J1210" t="n">
        <v>4</v>
      </c>
      <c r="K1210" t="inlineStr">
        <is>
          <t>2², 6⁴, 8¹, 24²</t>
        </is>
      </c>
      <c r="L1210" t="inlineStr">
        <is>
          <t>5D⁰, 35C²</t>
        </is>
      </c>
      <c r="M1210" t="inlineStr">
        <is>
          <t>35A¹¹, 70B¹³, 70C¹³, 35A¹⁶, 70F¹⁸, 105A²⁰, 35A²¹</t>
        </is>
      </c>
      <c r="N1210" t="inlineStr">
        <is>
          <t>35C², 5B⁰, 5D⁰, 1A⁰, 7A⁰</t>
        </is>
      </c>
      <c r="O1210" t="inlineStr">
        <is>
          <t>70C¹³, 105A²⁰, 35A¹⁶, 70B¹³, 35A¹¹, 70F¹⁸, 35A²¹</t>
        </is>
      </c>
    </row>
    <row r="1211">
      <c r="A1211">
        <f>HYPERLINK("https://mathstats.uncg.edu/sites/pauli/congruence/csg6.html#group35B6", "35B⁶")</f>
        <v/>
      </c>
      <c r="B1211" t="n">
        <v>6</v>
      </c>
      <c r="C1211" t="inlineStr"/>
      <c r="D1211" t="inlineStr">
        <is>
          <t>105</t>
        </is>
      </c>
      <c r="E1211" t="inlineStr">
        <is>
          <t>2</t>
        </is>
      </c>
      <c r="F1211" t="inlineStr">
        <is>
          <t>35</t>
        </is>
      </c>
      <c r="G1211" t="inlineStr">
        <is>
          <t>9</t>
        </is>
      </c>
      <c r="H1211" t="inlineStr">
        <is>
          <t>0</t>
        </is>
      </c>
      <c r="I1211" t="inlineStr">
        <is>
          <t>35³</t>
        </is>
      </c>
      <c r="J1211" t="n">
        <v>3</v>
      </c>
      <c r="K1211" t="inlineStr">
        <is>
          <t>2¹, 6², 8¹, 24²</t>
        </is>
      </c>
      <c r="L1211" t="inlineStr">
        <is>
          <t>5E⁰, 35A²</t>
        </is>
      </c>
      <c r="M1211" t="inlineStr">
        <is>
          <t>35B¹³, 35A¹⁴, 35C¹⁴, 70A¹⁴, 70B¹⁴, 70C¹⁵, 70B¹⁷, 35C¹⁹, 105C¹⁹, 70A²²</t>
        </is>
      </c>
      <c r="N1211" t="inlineStr">
        <is>
          <t>5E⁰, 5A⁰, 1A⁰, 35A², 7A⁰</t>
        </is>
      </c>
      <c r="O1211" t="inlineStr">
        <is>
          <t>70A²², 35A¹⁴, 105C¹⁹, 35C¹⁹, 70A¹⁴, 35C¹⁴, 70B¹⁴, 35B¹³, 70B¹⁷, 70C¹⁵</t>
        </is>
      </c>
    </row>
    <row r="1212">
      <c r="A1212">
        <f>HYPERLINK("https://mathstats.uncg.edu/sites/pauli/congruence/csg6.html#group35C6", "35C⁶")</f>
        <v/>
      </c>
      <c r="B1212" t="n">
        <v>6</v>
      </c>
      <c r="C1212" t="inlineStr"/>
      <c r="D1212" t="inlineStr">
        <is>
          <t>120</t>
        </is>
      </c>
      <c r="E1212" t="inlineStr">
        <is>
          <t>1</t>
        </is>
      </c>
      <c r="F1212" t="inlineStr">
        <is>
          <t>40</t>
        </is>
      </c>
      <c r="G1212" t="inlineStr">
        <is>
          <t>0</t>
        </is>
      </c>
      <c r="H1212" t="inlineStr">
        <is>
          <t>6</t>
        </is>
      </c>
      <c r="I1212" t="inlineStr">
        <is>
          <t>5³, 35³</t>
        </is>
      </c>
      <c r="J1212" t="n">
        <v>6</v>
      </c>
      <c r="K1212" t="inlineStr">
        <is>
          <t>2², 4⁴, 12¹, 24²</t>
        </is>
      </c>
      <c r="L1212" t="inlineStr">
        <is>
          <t>35B²</t>
        </is>
      </c>
      <c r="M1212" t="inlineStr">
        <is>
          <t>70D¹⁴, 35A²²</t>
        </is>
      </c>
      <c r="N1212" t="inlineStr">
        <is>
          <t>5A⁰, 1A⁰, 7B⁰, 35B²</t>
        </is>
      </c>
      <c r="O1212" t="inlineStr">
        <is>
          <t>70D¹⁴, 35A²²</t>
        </is>
      </c>
    </row>
    <row r="1213">
      <c r="A1213">
        <f>HYPERLINK("https://mathstats.uncg.edu/sites/pauli/congruence/csg6.html#group35D6", "35D⁶")</f>
        <v/>
      </c>
      <c r="B1213" t="n">
        <v>6</v>
      </c>
      <c r="C1213" t="inlineStr"/>
      <c r="D1213" t="inlineStr">
        <is>
          <t>120</t>
        </is>
      </c>
      <c r="E1213" t="inlineStr">
        <is>
          <t>1</t>
        </is>
      </c>
      <c r="F1213" t="inlineStr">
        <is>
          <t>40</t>
        </is>
      </c>
      <c r="G1213" t="inlineStr">
        <is>
          <t>0</t>
        </is>
      </c>
      <c r="H1213" t="inlineStr">
        <is>
          <t>6</t>
        </is>
      </c>
      <c r="I1213" t="inlineStr">
        <is>
          <t>5³, 35³</t>
        </is>
      </c>
      <c r="J1213" t="n">
        <v>6</v>
      </c>
      <c r="K1213" t="inlineStr">
        <is>
          <t>2², 4⁴, 12¹, 24²</t>
        </is>
      </c>
      <c r="L1213" t="inlineStr">
        <is>
          <t>35B²</t>
        </is>
      </c>
      <c r="M1213" t="inlineStr">
        <is>
          <t>70E¹⁴, 35A²²</t>
        </is>
      </c>
      <c r="N1213" t="inlineStr">
        <is>
          <t>5A⁰, 1A⁰, 7B⁰, 35B²</t>
        </is>
      </c>
      <c r="O1213" t="inlineStr">
        <is>
          <t>35A²², 70E¹⁴</t>
        </is>
      </c>
    </row>
    <row r="1214">
      <c r="A1214">
        <f>HYPERLINK("https://mathstats.uncg.edu/sites/pauli/congruence/csg6.html#group35E6", "35E⁶")</f>
        <v/>
      </c>
      <c r="B1214" t="n">
        <v>6</v>
      </c>
      <c r="C1214" t="inlineStr"/>
      <c r="D1214" t="inlineStr">
        <is>
          <t>126</t>
        </is>
      </c>
      <c r="E1214" t="inlineStr">
        <is>
          <t>1</t>
        </is>
      </c>
      <c r="F1214" t="inlineStr">
        <is>
          <t>126</t>
        </is>
      </c>
      <c r="G1214" t="inlineStr">
        <is>
          <t>10</t>
        </is>
      </c>
      <c r="H1214" t="inlineStr">
        <is>
          <t>0</t>
        </is>
      </c>
      <c r="I1214" t="inlineStr">
        <is>
          <t>7³, 35³</t>
        </is>
      </c>
      <c r="J1214" t="n">
        <v>6</v>
      </c>
      <c r="K1214" t="inlineStr">
        <is>
          <t>3², 6⁶, 12¹, 24³</t>
        </is>
      </c>
      <c r="L1214" t="inlineStr">
        <is>
          <t>7D⁰, 35C²</t>
        </is>
      </c>
      <c r="M1214" t="inlineStr">
        <is>
          <t>35B¹², 35C¹³, 35D¹⁴, 70H¹⁴, 35D¹⁵, 70E¹⁵, 35A¹⁶, 70G¹⁶, 70F¹⁷, 70E¹⁸, 70A¹⁹, 105D²², 70A²⁴</t>
        </is>
      </c>
      <c r="N1214" t="inlineStr">
        <is>
          <t>35C², 5B⁰, 7D⁰, 1A⁰, 7A⁰</t>
        </is>
      </c>
      <c r="O1214" t="inlineStr">
        <is>
          <t>35C¹³, 70G¹⁶, 35A¹⁶, 70E¹⁵, 35D¹⁵, 70H¹⁴, 35D¹⁴, 35B¹², 70A¹⁹, 105D²², 70F¹⁷, 70E¹⁸, 70A²⁴</t>
        </is>
      </c>
    </row>
    <row r="1215">
      <c r="A1215">
        <f>HYPERLINK("https://mathstats.uncg.edu/sites/pauli/congruence/csg6.html#group36A6", "36A⁶")</f>
        <v/>
      </c>
      <c r="B1215" t="n">
        <v>6</v>
      </c>
      <c r="C1215" t="inlineStr"/>
      <c r="D1215" t="inlineStr">
        <is>
          <t>72</t>
        </is>
      </c>
      <c r="E1215" t="inlineStr">
        <is>
          <t>1</t>
        </is>
      </c>
      <c r="F1215" t="inlineStr">
        <is>
          <t>36</t>
        </is>
      </c>
      <c r="G1215" t="inlineStr">
        <is>
          <t>0</t>
        </is>
      </c>
      <c r="H1215" t="inlineStr">
        <is>
          <t>0</t>
        </is>
      </c>
      <c r="I1215" t="inlineStr">
        <is>
          <t>36²</t>
        </is>
      </c>
      <c r="J1215" t="n">
        <v>2</v>
      </c>
      <c r="K1215" t="inlineStr">
        <is>
          <t>2², 4², 12²</t>
        </is>
      </c>
      <c r="L1215" t="inlineStr">
        <is>
          <t>36A¹, 12A², 18A²</t>
        </is>
      </c>
      <c r="M1215" t="inlineStr">
        <is>
          <t>36D¹¹, 36F¹¹, 72A¹², 72B¹², 72C¹², 36A¹⁶, 36D¹⁶, 72E²³</t>
        </is>
      </c>
      <c r="N1215" t="inlineStr">
        <is>
          <t>36A¹, 2A⁰, 12A⁰, 4A⁰, 4D⁰, 9A⁰, 12A², 6A¹, 18A², 3A⁰, 1A⁰</t>
        </is>
      </c>
      <c r="O1215" t="inlineStr">
        <is>
          <t>36F¹¹, 72A²³, 72B²³, 144A²⁴, 36D¹⁶, 72H²³, 72G²³, 36A²¹, 36A¹⁶, 144C²⁴, 72A¹², 72E²³, 36D¹¹, 72B¹², 144B²⁴, 72C¹²</t>
        </is>
      </c>
    </row>
    <row r="1216">
      <c r="A1216">
        <f>HYPERLINK("https://mathstats.uncg.edu/sites/pauli/congruence/csg6.html#group36B6", "36B⁶")</f>
        <v/>
      </c>
      <c r="B1216" t="n">
        <v>6</v>
      </c>
      <c r="C1216" t="inlineStr"/>
      <c r="D1216" t="inlineStr">
        <is>
          <t>96</t>
        </is>
      </c>
      <c r="E1216" t="inlineStr">
        <is>
          <t>1</t>
        </is>
      </c>
      <c r="F1216" t="inlineStr">
        <is>
          <t>32</t>
        </is>
      </c>
      <c r="G1216" t="inlineStr">
        <is>
          <t>0</t>
        </is>
      </c>
      <c r="H1216" t="inlineStr">
        <is>
          <t>3</t>
        </is>
      </c>
      <c r="I1216" t="inlineStr">
        <is>
          <t>12², 36²</t>
        </is>
      </c>
      <c r="J1216" t="n">
        <v>4</v>
      </c>
      <c r="K1216" t="inlineStr">
        <is>
          <t>4⁸</t>
        </is>
      </c>
      <c r="L1216" t="inlineStr">
        <is>
          <t>12I¹, 18D¹</t>
        </is>
      </c>
      <c r="M1216" t="inlineStr">
        <is>
          <t>36H¹¹, 72D¹³, 72C¹³, 36F¹⁶, 36B¹⁹, 36G¹⁹, 36H¹⁹</t>
        </is>
      </c>
      <c r="N1216" t="inlineStr">
        <is>
          <t>2A⁰, 3B⁰, 12I¹, 4A⁰, 4D⁰, 12A¹, 6C⁰, 1A⁰, 18D¹</t>
        </is>
      </c>
      <c r="O1216" t="inlineStr">
        <is>
          <t>36F¹⁶, 36H¹⁹, 36G¹⁹, 36H¹¹, 36B¹⁹, 72D¹³, 72C¹³</t>
        </is>
      </c>
    </row>
    <row r="1217">
      <c r="A1217">
        <f>HYPERLINK("https://mathstats.uncg.edu/sites/pauli/congruence/csg6.html#group36C6", "36C⁶")</f>
        <v/>
      </c>
      <c r="B1217" t="n">
        <v>6</v>
      </c>
      <c r="C1217" t="inlineStr"/>
      <c r="D1217" t="inlineStr">
        <is>
          <t>108</t>
        </is>
      </c>
      <c r="E1217" t="inlineStr">
        <is>
          <t>1</t>
        </is>
      </c>
      <c r="F1217" t="inlineStr">
        <is>
          <t>27</t>
        </is>
      </c>
      <c r="G1217" t="inlineStr">
        <is>
          <t>8</t>
        </is>
      </c>
      <c r="H1217" t="inlineStr">
        <is>
          <t>0</t>
        </is>
      </c>
      <c r="I1217" t="inlineStr">
        <is>
          <t>18², 36²</t>
        </is>
      </c>
      <c r="J1217" t="n">
        <v>4</v>
      </c>
      <c r="K1217" t="inlineStr">
        <is>
          <t>1³, 2³, 6³</t>
        </is>
      </c>
      <c r="L1217" t="inlineStr">
        <is>
          <t>12H⁰, 36B², 18D³, 36D³</t>
        </is>
      </c>
      <c r="M1217" t="inlineStr">
        <is>
          <t>36P¹³, 72I¹³, 36A¹⁴, 36B¹⁴, 72B¹⁴, 72C¹⁴, 36D¹⁵, 72Q¹⁵, 72D¹⁷, 36B¹⁸</t>
        </is>
      </c>
      <c r="N1217" t="inlineStr">
        <is>
          <t>6B⁰, 12C⁰, 6H⁰, 36B², 4C⁰, 18B¹, 2B⁰, 12H⁰, 1A⁰, 18D³, 9A⁰, 12D⁰, 18E¹, 3A⁰, 36D³, 18A¹, 6D⁰</t>
        </is>
      </c>
      <c r="O1217" t="inlineStr">
        <is>
          <t>36B¹⁴, 72B¹⁴, 72I¹³, 72D¹⁷, 36A¹⁴, 72C¹⁴, 36D¹⁵, 36B¹⁸, 36P¹³, 72Q¹⁵</t>
        </is>
      </c>
    </row>
    <row r="1218">
      <c r="A1218">
        <f>HYPERLINK("https://mathstats.uncg.edu/sites/pauli/congruence/csg6.html#group36D6", "36D⁶")</f>
        <v/>
      </c>
      <c r="B1218" t="n">
        <v>6</v>
      </c>
      <c r="C1218" t="inlineStr"/>
      <c r="D1218" t="inlineStr">
        <is>
          <t>108</t>
        </is>
      </c>
      <c r="E1218" t="inlineStr">
        <is>
          <t>1</t>
        </is>
      </c>
      <c r="F1218" t="inlineStr">
        <is>
          <t>54</t>
        </is>
      </c>
      <c r="G1218" t="inlineStr">
        <is>
          <t>0</t>
        </is>
      </c>
      <c r="H1218" t="inlineStr">
        <is>
          <t>0</t>
        </is>
      </c>
      <c r="I1218" t="inlineStr">
        <is>
          <t>6³, 12³, 18¹, 36¹</t>
        </is>
      </c>
      <c r="J1218" t="n">
        <v>8</v>
      </c>
      <c r="K1218" t="inlineStr">
        <is>
          <t>1³, 2³, 3³, 6⁶</t>
        </is>
      </c>
      <c r="L1218" t="inlineStr">
        <is>
          <t>18I¹, 12C²</t>
        </is>
      </c>
      <c r="M1218" t="inlineStr">
        <is>
          <t>36I¹¹, 36L¹¹, 36M¹¹, 36A²², 36C²²</t>
        </is>
      </c>
      <c r="N1218" t="inlineStr">
        <is>
          <t>12C¹, 18I¹, 6G⁰, 3C⁰, 1A⁰, 2B⁰, 9E⁰, 3A⁰, 12C², 6D⁰</t>
        </is>
      </c>
      <c r="O1218" t="inlineStr">
        <is>
          <t>36L¹¹, 36E²¹, 36A²², 36M¹¹, 36C²², 36I¹¹</t>
        </is>
      </c>
    </row>
    <row r="1219">
      <c r="A1219">
        <f>HYPERLINK("https://mathstats.uncg.edu/sites/pauli/congruence/csg6.html#group36E6", "36E⁶")</f>
        <v/>
      </c>
      <c r="B1219" t="n">
        <v>6</v>
      </c>
      <c r="C1219" t="inlineStr"/>
      <c r="D1219" t="inlineStr">
        <is>
          <t>108</t>
        </is>
      </c>
      <c r="E1219" t="inlineStr">
        <is>
          <t>1</t>
        </is>
      </c>
      <c r="F1219" t="inlineStr">
        <is>
          <t>54</t>
        </is>
      </c>
      <c r="G1219" t="inlineStr">
        <is>
          <t>10</t>
        </is>
      </c>
      <c r="H1219" t="inlineStr">
        <is>
          <t>0</t>
        </is>
      </c>
      <c r="I1219" t="inlineStr">
        <is>
          <t>36³</t>
        </is>
      </c>
      <c r="J1219" t="n">
        <v>3</v>
      </c>
      <c r="K1219" t="inlineStr">
        <is>
          <t>1², 2⁴, 4², 6², 12²</t>
        </is>
      </c>
      <c r="L1219" t="inlineStr">
        <is>
          <t>12M¹, 36B²</t>
        </is>
      </c>
      <c r="M1219" t="inlineStr">
        <is>
          <t>36E¹², 72G¹², 36I¹³, 72O¹³, 36B¹⁴, 72E¹⁴, 36M¹⁵, 72K¹⁵, 36B¹⁶, 72N¹⁶, 72G¹⁷, 36C²⁰</t>
        </is>
      </c>
      <c r="N1219" t="inlineStr">
        <is>
          <t>12C⁰, 9A⁰, 36B², 4C⁰, 12M¹, 2B⁰, 18E¹, 3A⁰, 1A⁰, 6D⁰</t>
        </is>
      </c>
      <c r="O1219" t="inlineStr">
        <is>
          <t>72K¹⁵, 36B¹⁴, 36B¹⁶, 36I¹³, 72N¹⁶, 36E¹², 72G¹⁷, 72E¹⁴, 36M¹⁵, 36C²⁰, 72G¹², 72O¹³</t>
        </is>
      </c>
    </row>
    <row r="1220">
      <c r="A1220">
        <f>HYPERLINK("https://mathstats.uncg.edu/sites/pauli/congruence/csg6.html#group36F6", "36F⁶")</f>
        <v/>
      </c>
      <c r="B1220" t="n">
        <v>6</v>
      </c>
      <c r="C1220" t="inlineStr"/>
      <c r="D1220" t="inlineStr">
        <is>
          <t>108</t>
        </is>
      </c>
      <c r="E1220" t="inlineStr">
        <is>
          <t>1</t>
        </is>
      </c>
      <c r="F1220" t="inlineStr">
        <is>
          <t>54</t>
        </is>
      </c>
      <c r="G1220" t="inlineStr">
        <is>
          <t>10</t>
        </is>
      </c>
      <c r="H1220" t="inlineStr">
        <is>
          <t>0</t>
        </is>
      </c>
      <c r="I1220" t="inlineStr">
        <is>
          <t>36³</t>
        </is>
      </c>
      <c r="J1220" t="n">
        <v>3</v>
      </c>
      <c r="K1220" t="inlineStr">
        <is>
          <t>1², 2⁴, 4², 6², 12²</t>
        </is>
      </c>
      <c r="L1220" t="inlineStr">
        <is>
          <t>12J¹, 36A¹, 36B²</t>
        </is>
      </c>
      <c r="M1220" t="inlineStr">
        <is>
          <t>36F¹², 72F¹², 36I¹³, 72M¹³, 36B¹⁴, 72D¹⁴, 72F¹⁴, 72G¹⁴, 72J¹⁴, 36N¹⁵, 72J¹⁵, 72L¹⁵, 72M¹⁵, 72X¹⁵, 36A¹⁶, 72L¹⁶, 72F¹⁷, 36B²⁰</t>
        </is>
      </c>
      <c r="N1220" t="inlineStr">
        <is>
          <t>36A¹, 12A⁰, 12C⁰, 4A⁰, 9A⁰, 36B², 4C⁰, 12J¹, 2B⁰, 4F⁰, 18E¹, 3A⁰, 1A⁰, 6D⁰</t>
        </is>
      </c>
      <c r="O1220" t="inlineStr">
        <is>
          <t>36N¹⁵, 72X¹⁵, 36I¹³, 72F¹⁴, 72L¹⁶, 72D¹⁴, 72M¹³, 36B¹⁴, 72J¹⁵, 72L¹⁵, 72G¹⁴, 72F¹², 36A¹⁶, 72F¹⁷, 72M¹⁵, 72J¹⁴, 36B²⁰, 36F¹²</t>
        </is>
      </c>
    </row>
    <row r="1221">
      <c r="A1221">
        <f>HYPERLINK("https://mathstats.uncg.edu/sites/pauli/congruence/csg6.html#group36G6", "36G⁶")</f>
        <v/>
      </c>
      <c r="B1221" t="n">
        <v>6</v>
      </c>
      <c r="C1221" t="inlineStr"/>
      <c r="D1221" t="inlineStr">
        <is>
          <t>108</t>
        </is>
      </c>
      <c r="E1221" t="inlineStr">
        <is>
          <t>1</t>
        </is>
      </c>
      <c r="F1221" t="inlineStr">
        <is>
          <t>108</t>
        </is>
      </c>
      <c r="G1221" t="inlineStr">
        <is>
          <t>6</t>
        </is>
      </c>
      <c r="H1221" t="inlineStr">
        <is>
          <t>3</t>
        </is>
      </c>
      <c r="I1221" t="inlineStr">
        <is>
          <t>36³</t>
        </is>
      </c>
      <c r="J1221" t="n">
        <v>3</v>
      </c>
      <c r="K1221" t="inlineStr">
        <is>
          <t>6², 12⁸</t>
        </is>
      </c>
      <c r="L1221" t="inlineStr">
        <is>
          <t>4A⁰, 9F⁰</t>
        </is>
      </c>
      <c r="M1221" t="inlineStr">
        <is>
          <t>36C¹⁴, 72I¹⁴, 36P¹⁹, 36G²²</t>
        </is>
      </c>
      <c r="N1221" t="inlineStr">
        <is>
          <t>9F⁰, 1A⁰, 4A⁰</t>
        </is>
      </c>
      <c r="O1221" t="inlineStr">
        <is>
          <t>36P¹⁹, 36G²², 72I¹⁴, 36C¹⁴</t>
        </is>
      </c>
    </row>
    <row r="1222">
      <c r="A1222">
        <f>HYPERLINK("https://mathstats.uncg.edu/sites/pauli/congruence/csg6.html#group36H6", "36H⁶")</f>
        <v/>
      </c>
      <c r="B1222" t="n">
        <v>6</v>
      </c>
      <c r="C1222" t="inlineStr"/>
      <c r="D1222" t="inlineStr">
        <is>
          <t>108</t>
        </is>
      </c>
      <c r="E1222" t="inlineStr">
        <is>
          <t>2</t>
        </is>
      </c>
      <c r="F1222" t="inlineStr">
        <is>
          <t>27</t>
        </is>
      </c>
      <c r="G1222" t="inlineStr">
        <is>
          <t>4</t>
        </is>
      </c>
      <c r="H1222" t="inlineStr">
        <is>
          <t>0</t>
        </is>
      </c>
      <c r="I1222" t="inlineStr">
        <is>
          <t>9⁴, 36²</t>
        </is>
      </c>
      <c r="J1222" t="n">
        <v>6</v>
      </c>
      <c r="K1222" t="inlineStr">
        <is>
          <t>2⁹, 6⁶</t>
        </is>
      </c>
      <c r="L1222" t="inlineStr">
        <is>
          <t>12G⁰, 36C², 18E³, 36D³</t>
        </is>
      </c>
      <c r="M1222" t="inlineStr">
        <is>
          <t>36C¹³, 36P¹³, 72L¹³, 36J¹⁵, 72T¹⁵, 36I¹⁶, 36A¹⁸</t>
        </is>
      </c>
      <c r="N1222" t="inlineStr">
        <is>
          <t>12G⁰, 9B¹, 9A⁰, 6D⁰, 6G⁰, 3C⁰, 2B⁰, 12D⁰, 18E¹, 3A⁰, 1A⁰, 36D³, 18E³, 36C²</t>
        </is>
      </c>
      <c r="O1222" t="inlineStr">
        <is>
          <t>72L¹³, 36A¹⁸, 36I¹⁶, 72T¹⁵, 36J¹⁵, 36P¹³, 36C¹³</t>
        </is>
      </c>
    </row>
    <row r="1223">
      <c r="A1223">
        <f>HYPERLINK("https://mathstats.uncg.edu/sites/pauli/congruence/csg6.html#group36I6", "36I⁶")</f>
        <v/>
      </c>
      <c r="B1223" t="n">
        <v>6</v>
      </c>
      <c r="C1223" t="inlineStr"/>
      <c r="D1223" t="inlineStr">
        <is>
          <t>108</t>
        </is>
      </c>
      <c r="E1223" t="inlineStr">
        <is>
          <t>2</t>
        </is>
      </c>
      <c r="F1223" t="inlineStr">
        <is>
          <t>54</t>
        </is>
      </c>
      <c r="G1223" t="inlineStr">
        <is>
          <t>10</t>
        </is>
      </c>
      <c r="H1223" t="inlineStr">
        <is>
          <t>0</t>
        </is>
      </c>
      <c r="I1223" t="inlineStr">
        <is>
          <t>36³</t>
        </is>
      </c>
      <c r="J1223" t="n">
        <v>3</v>
      </c>
      <c r="K1223" t="inlineStr">
        <is>
          <t>2⁶, 4⁶, 6⁴, 12⁴</t>
        </is>
      </c>
      <c r="L1223" t="inlineStr">
        <is>
          <t>12M¹, 36B²</t>
        </is>
      </c>
      <c r="M1223" t="inlineStr">
        <is>
          <t>36E¹², 36F¹², 72N¹², 36H¹³, 72N¹³, 72P¹³, 36A¹⁴, 72H¹⁴, 36M¹⁵, 36N¹⁵, 72W¹⁵, 36E¹⁶, 72M¹⁶, 72O¹⁶, 72L¹⁷, 36A²⁰, 36C²⁰</t>
        </is>
      </c>
      <c r="N1223" t="inlineStr">
        <is>
          <t>12C⁰, 9A⁰, 36B², 4C⁰, 12M¹, 2B⁰, 18E¹, 3A⁰, 1A⁰, 6D⁰</t>
        </is>
      </c>
      <c r="O1223" t="inlineStr">
        <is>
          <t>36N¹⁵, 72M¹⁶, 72L¹⁷, 36H¹³, 72P¹³, 36C²⁰, 36M¹⁵, 72N¹², 72H¹⁴, 36E¹⁶, 36A²⁰, 36A¹⁴, 72O¹⁶, 36E¹², 72W¹⁵, 36F¹², 72N¹³</t>
        </is>
      </c>
    </row>
    <row r="1224">
      <c r="A1224">
        <f>HYPERLINK("https://mathstats.uncg.edu/sites/pauli/congruence/csg6.html#group36J6", "36J⁶")</f>
        <v/>
      </c>
      <c r="B1224" t="n">
        <v>6</v>
      </c>
      <c r="C1224" t="inlineStr"/>
      <c r="D1224" t="inlineStr">
        <is>
          <t>144</t>
        </is>
      </c>
      <c r="E1224" t="inlineStr">
        <is>
          <t>1</t>
        </is>
      </c>
      <c r="F1224" t="inlineStr">
        <is>
          <t>12</t>
        </is>
      </c>
      <c r="G1224" t="inlineStr">
        <is>
          <t>0</t>
        </is>
      </c>
      <c r="H1224" t="inlineStr">
        <is>
          <t>12</t>
        </is>
      </c>
      <c r="I1224" t="inlineStr">
        <is>
          <t>12³, 36³</t>
        </is>
      </c>
      <c r="J1224" t="n">
        <v>6</v>
      </c>
      <c r="K1224" t="inlineStr">
        <is>
          <t>1², 2², 6¹</t>
        </is>
      </c>
      <c r="L1224" t="inlineStr">
        <is>
          <t>36A⁰, 18N²</t>
        </is>
      </c>
      <c r="M1224" t="inlineStr">
        <is>
          <t>36M²², 108B²²</t>
        </is>
      </c>
      <c r="N1224" t="inlineStr">
        <is>
          <t>3B⁰, 2A⁰, 9J⁰, 18B⁰, 18N², 6C⁰, 9C⁰, 1A⁰, 36A⁰, 12B⁰</t>
        </is>
      </c>
      <c r="O1224" t="inlineStr">
        <is>
          <t>108B²², 36M²²</t>
        </is>
      </c>
    </row>
    <row r="1225">
      <c r="A1225">
        <f>HYPERLINK("https://mathstats.uncg.edu/sites/pauli/congruence/csg6.html#group36K6", "36K⁶")</f>
        <v/>
      </c>
      <c r="B1225" t="n">
        <v>6</v>
      </c>
      <c r="C1225" t="inlineStr"/>
      <c r="D1225" t="inlineStr">
        <is>
          <t>144</t>
        </is>
      </c>
      <c r="E1225" t="inlineStr">
        <is>
          <t>1</t>
        </is>
      </c>
      <c r="F1225" t="inlineStr">
        <is>
          <t>24</t>
        </is>
      </c>
      <c r="G1225" t="inlineStr">
        <is>
          <t>0</t>
        </is>
      </c>
      <c r="H1225" t="inlineStr">
        <is>
          <t>12</t>
        </is>
      </c>
      <c r="I1225" t="inlineStr">
        <is>
          <t>12³, 36³</t>
        </is>
      </c>
      <c r="J1225" t="n">
        <v>6</v>
      </c>
      <c r="K1225" t="inlineStr">
        <is>
          <t>1⁴, 2⁴, 6²</t>
        </is>
      </c>
      <c r="L1225" t="inlineStr">
        <is>
          <t>36A⁰, 18O²</t>
        </is>
      </c>
      <c r="M1225" t="inlineStr">
        <is>
          <t>36M²², 108D²²</t>
        </is>
      </c>
      <c r="N1225" t="inlineStr">
        <is>
          <t>3B⁰, 2A⁰, 18B⁰, 6C⁰, 9C⁰, 18O², 1A⁰, 36A⁰, 12B⁰</t>
        </is>
      </c>
      <c r="O1225" t="inlineStr">
        <is>
          <t>108D²², 36M²²</t>
        </is>
      </c>
    </row>
    <row r="1226">
      <c r="A1226">
        <f>HYPERLINK("https://mathstats.uncg.edu/sites/pauli/congruence/csg6.html#group39A6", "39A⁶")</f>
        <v/>
      </c>
      <c r="B1226" t="n">
        <v>6</v>
      </c>
      <c r="C1226" t="inlineStr"/>
      <c r="D1226" t="inlineStr">
        <is>
          <t>84</t>
        </is>
      </c>
      <c r="E1226" t="inlineStr">
        <is>
          <t>1</t>
        </is>
      </c>
      <c r="F1226" t="inlineStr">
        <is>
          <t>14</t>
        </is>
      </c>
      <c r="G1226" t="inlineStr">
        <is>
          <t>0</t>
        </is>
      </c>
      <c r="H1226" t="inlineStr">
        <is>
          <t>0</t>
        </is>
      </c>
      <c r="I1226" t="inlineStr">
        <is>
          <t>3², 39²</t>
        </is>
      </c>
      <c r="J1226" t="n">
        <v>4</v>
      </c>
      <c r="K1226" t="inlineStr">
        <is>
          <t>1², 12¹</t>
        </is>
      </c>
      <c r="L1226" t="inlineStr">
        <is>
          <t>13B⁰, 39A²</t>
        </is>
      </c>
      <c r="M1226" t="inlineStr">
        <is>
          <t>39B¹¹, 78A¹³, 78D¹³, 39A¹⁶, 78A¹⁸, 117A²⁰</t>
        </is>
      </c>
      <c r="N1226" t="inlineStr">
        <is>
          <t>13A⁰, 39A², 13B⁰, 3A⁰, 1A⁰</t>
        </is>
      </c>
      <c r="O1226" t="inlineStr">
        <is>
          <t>78A¹³, 39B¹¹, 39A¹⁶, 117A²⁰, 39B²¹, 78A¹⁸, 78D¹³</t>
        </is>
      </c>
    </row>
    <row r="1227">
      <c r="A1227">
        <f>HYPERLINK("https://mathstats.uncg.edu/sites/pauli/congruence/csg6.html#group42A6", "42A⁶")</f>
        <v/>
      </c>
      <c r="B1227" t="n">
        <v>6</v>
      </c>
      <c r="C1227" t="inlineStr"/>
      <c r="D1227" t="inlineStr">
        <is>
          <t>84</t>
        </is>
      </c>
      <c r="E1227" t="inlineStr">
        <is>
          <t>2</t>
        </is>
      </c>
      <c r="F1227" t="inlineStr">
        <is>
          <t>21</t>
        </is>
      </c>
      <c r="G1227" t="inlineStr">
        <is>
          <t>4</t>
        </is>
      </c>
      <c r="H1227" t="inlineStr">
        <is>
          <t>0</t>
        </is>
      </c>
      <c r="I1227" t="inlineStr">
        <is>
          <t>42²</t>
        </is>
      </c>
      <c r="J1227" t="n">
        <v>2</v>
      </c>
      <c r="K1227" t="inlineStr">
        <is>
          <t>2¹, 4¹, 6², 12²</t>
        </is>
      </c>
      <c r="L1227" t="inlineStr">
        <is>
          <t>21D², 42A²</t>
        </is>
      </c>
      <c r="M1227" t="inlineStr">
        <is>
          <t>42B¹¹, 42B¹³, 42D¹³, 42D¹⁶, 42C¹⁸, 126A¹⁸, 126D¹⁹, 126B²⁰, 126A²⁰</t>
        </is>
      </c>
      <c r="N1227" t="inlineStr">
        <is>
          <t>21A⁰, 3C⁰, 21D², 42A², 3A⁰, 1A⁰, 7A⁰</t>
        </is>
      </c>
      <c r="O1227" t="inlineStr">
        <is>
          <t>42B¹¹, 126A¹⁸, 42D¹³, 126D¹⁹, 42B¹³, 126A²⁰, 126B²⁰, 42D¹⁶, 42C¹⁸</t>
        </is>
      </c>
    </row>
    <row r="1228">
      <c r="A1228">
        <f>HYPERLINK("https://mathstats.uncg.edu/sites/pauli/congruence/csg6.html#group42B6", "42B⁶")</f>
        <v/>
      </c>
      <c r="B1228" t="n">
        <v>6</v>
      </c>
      <c r="C1228" t="inlineStr"/>
      <c r="D1228" t="inlineStr">
        <is>
          <t>84</t>
        </is>
      </c>
      <c r="E1228" t="inlineStr">
        <is>
          <t>2</t>
        </is>
      </c>
      <c r="F1228" t="inlineStr">
        <is>
          <t>28</t>
        </is>
      </c>
      <c r="G1228" t="inlineStr">
        <is>
          <t>0</t>
        </is>
      </c>
      <c r="H1228" t="inlineStr">
        <is>
          <t>3</t>
        </is>
      </c>
      <c r="I1228" t="inlineStr">
        <is>
          <t>42²</t>
        </is>
      </c>
      <c r="J1228" t="n">
        <v>2</v>
      </c>
      <c r="K1228" t="inlineStr">
        <is>
          <t>4², 12⁴</t>
        </is>
      </c>
      <c r="L1228" t="inlineStr">
        <is>
          <t>14D¹</t>
        </is>
      </c>
      <c r="M1228" t="inlineStr">
        <is>
          <t>42B¹⁶, 42H¹⁹, 42I¹⁹, 42J¹⁹, 42A²⁴, 42B²⁴</t>
        </is>
      </c>
      <c r="N1228" t="inlineStr">
        <is>
          <t>2A⁰, 14A⁰, 1A⁰, 14D¹, 14A¹, 7C⁰, 7A⁰</t>
        </is>
      </c>
      <c r="O1228" t="inlineStr">
        <is>
          <t>42I¹⁹, 42B¹⁶, 42J¹⁹, 42B²⁴, 42A²⁴, 42H¹⁹</t>
        </is>
      </c>
    </row>
    <row r="1229">
      <c r="A1229">
        <f>HYPERLINK("https://mathstats.uncg.edu/sites/pauli/congruence/csg6.html#group42C6", "42C⁶")</f>
        <v/>
      </c>
      <c r="B1229" t="n">
        <v>6</v>
      </c>
      <c r="C1229" t="inlineStr"/>
      <c r="D1229" t="inlineStr">
        <is>
          <t>84</t>
        </is>
      </c>
      <c r="E1229" t="inlineStr">
        <is>
          <t>2</t>
        </is>
      </c>
      <c r="F1229" t="inlineStr">
        <is>
          <t>84</t>
        </is>
      </c>
      <c r="G1229" t="inlineStr">
        <is>
          <t>0</t>
        </is>
      </c>
      <c r="H1229" t="inlineStr">
        <is>
          <t>0</t>
        </is>
      </c>
      <c r="I1229" t="inlineStr">
        <is>
          <t>7¹, 14¹, 21¹, 42¹</t>
        </is>
      </c>
      <c r="J1229" t="n">
        <v>4</v>
      </c>
      <c r="K1229" t="inlineStr">
        <is>
          <t>2⁶, 4³, 6¹², 12⁶</t>
        </is>
      </c>
      <c r="L1229" t="inlineStr">
        <is>
          <t>6F⁰, 14B¹, 21B²</t>
        </is>
      </c>
      <c r="M1229" t="inlineStr">
        <is>
          <t>42C¹¹, 42D¹², 42G¹², 84A¹², 84B¹², 84B¹³, 84C¹³, 42A¹⁶, 42B¹⁸, 126F¹⁸, 126C²⁰, 126D²⁰, 42C²¹</t>
        </is>
      </c>
      <c r="N1229" t="inlineStr">
        <is>
          <t>3B⁰, 21B², 14B¹, 6F⁰, 2B⁰, 1A⁰, 7A⁰</t>
        </is>
      </c>
      <c r="O1229" t="inlineStr">
        <is>
          <t>84C¹³, 84B¹², 42F²³, 84B²⁴, 42C¹¹, 84A¹², 42A¹⁶, 126D²⁰, 42G¹², 84C²⁴, 168B²⁴, 42B¹⁸, 42D¹², 126C²⁰, 42C²¹, 168A²⁴, 84A²⁴, 84B¹³, 126F¹⁸, 84D²⁴, 84B²³</t>
        </is>
      </c>
    </row>
    <row r="1230">
      <c r="A1230">
        <f>HYPERLINK("https://mathstats.uncg.edu/sites/pauli/congruence/csg6.html#group42D6", "42D⁶")</f>
        <v/>
      </c>
      <c r="B1230" t="n">
        <v>6</v>
      </c>
      <c r="C1230" t="inlineStr"/>
      <c r="D1230" t="inlineStr">
        <is>
          <t>126</t>
        </is>
      </c>
      <c r="E1230" t="inlineStr">
        <is>
          <t>2</t>
        </is>
      </c>
      <c r="F1230" t="inlineStr">
        <is>
          <t>63</t>
        </is>
      </c>
      <c r="G1230" t="inlineStr">
        <is>
          <t>16</t>
        </is>
      </c>
      <c r="H1230" t="inlineStr">
        <is>
          <t>0</t>
        </is>
      </c>
      <c r="I1230" t="inlineStr">
        <is>
          <t>42³</t>
        </is>
      </c>
      <c r="J1230" t="n">
        <v>3</v>
      </c>
      <c r="K1230" t="inlineStr">
        <is>
          <t>6⁷, 12⁷</t>
        </is>
      </c>
      <c r="L1230" t="inlineStr">
        <is>
          <t>21E¹, 42A²</t>
        </is>
      </c>
      <c r="M1230" t="inlineStr">
        <is>
          <t>42I¹³, 42K¹³, 42B¹⁴, 42C¹⁴, 42E¹⁴, 42F¹⁴, 42E¹⁵, 42F¹⁵, 42D¹⁶, 42F¹⁶, 42G¹⁶, 42A¹⁷, 42E¹⁷, 42M¹⁹, 42D²⁴, 126E²⁴, 126D²⁴</t>
        </is>
      </c>
      <c r="N1230" t="inlineStr">
        <is>
          <t>21A⁰, 1A⁰, 42A², 3A⁰, 21E¹, 7D⁰, 7A⁰</t>
        </is>
      </c>
      <c r="O1230" t="inlineStr">
        <is>
          <t>126E²⁴, 42G¹⁶, 42M¹⁹, 126D²⁴, 42D²⁴, 42E¹⁴, 42F¹⁵, 42A¹⁷, 42C¹⁴, 42D¹⁶, 42F¹⁴, 42E¹⁷, 42K¹³, 42E¹⁵, 42I¹³, 42F¹⁶, 42B¹⁴</t>
        </is>
      </c>
    </row>
    <row r="1231">
      <c r="A1231">
        <f>HYPERLINK("https://mathstats.uncg.edu/sites/pauli/congruence/csg6.html#group44A6", "44A⁶")</f>
        <v/>
      </c>
      <c r="B1231" t="n">
        <v>6</v>
      </c>
      <c r="C1231" t="inlineStr"/>
      <c r="D1231" t="inlineStr">
        <is>
          <t>88</t>
        </is>
      </c>
      <c r="E1231" t="inlineStr">
        <is>
          <t>2</t>
        </is>
      </c>
      <c r="F1231" t="inlineStr">
        <is>
          <t>44</t>
        </is>
      </c>
      <c r="G1231" t="inlineStr">
        <is>
          <t>0</t>
        </is>
      </c>
      <c r="H1231" t="inlineStr">
        <is>
          <t>4</t>
        </is>
      </c>
      <c r="I1231" t="inlineStr">
        <is>
          <t>44²</t>
        </is>
      </c>
      <c r="J1231" t="n">
        <v>2</v>
      </c>
      <c r="K1231" t="inlineStr">
        <is>
          <t>4², 20⁴</t>
        </is>
      </c>
      <c r="L1231" t="inlineStr">
        <is>
          <t>4D⁰, 22A¹, 44A²</t>
        </is>
      </c>
      <c r="M1231" t="inlineStr">
        <is>
          <t>88A¹², 44A²⁰, 132A²⁰, 132A²²</t>
        </is>
      </c>
      <c r="N1231" t="inlineStr">
        <is>
          <t>11A⁰, 2A⁰, 22A¹, 44A², 4A⁰, 4D⁰, 1A⁰</t>
        </is>
      </c>
      <c r="O1231" t="inlineStr">
        <is>
          <t>132A²⁰, 132A²², 176A²⁴, 44A²⁰, 88A¹²</t>
        </is>
      </c>
    </row>
    <row r="1232">
      <c r="A1232">
        <f>HYPERLINK("https://mathstats.uncg.edu/sites/pauli/congruence/csg6.html#group45A6", "45A⁶")</f>
        <v/>
      </c>
      <c r="B1232" t="n">
        <v>6</v>
      </c>
      <c r="C1232" t="inlineStr"/>
      <c r="D1232" t="inlineStr">
        <is>
          <t>90</t>
        </is>
      </c>
      <c r="E1232" t="inlineStr">
        <is>
          <t>1</t>
        </is>
      </c>
      <c r="F1232" t="inlineStr">
        <is>
          <t>15</t>
        </is>
      </c>
      <c r="G1232" t="inlineStr">
        <is>
          <t>6</t>
        </is>
      </c>
      <c r="H1232" t="inlineStr">
        <is>
          <t>0</t>
        </is>
      </c>
      <c r="I1232" t="inlineStr">
        <is>
          <t>45²</t>
        </is>
      </c>
      <c r="J1232" t="n">
        <v>2</v>
      </c>
      <c r="K1232" t="inlineStr">
        <is>
          <t>1¹, 2¹, 4¹, 8¹</t>
        </is>
      </c>
      <c r="L1232" t="inlineStr">
        <is>
          <t>9D⁰, 15A², 45A³</t>
        </is>
      </c>
      <c r="M1232" t="inlineStr">
        <is>
          <t>90A¹², 45A¹⁴, 90A¹⁵, 45B¹⁶, 45A¹⁹, 45C¹⁹, 90A²⁰</t>
        </is>
      </c>
      <c r="N1232" t="inlineStr">
        <is>
          <t>5A⁰, 9D⁰, 15A², 9A⁰, 3C⁰, 3A⁰, 1A⁰, 15A¹, 45A³</t>
        </is>
      </c>
      <c r="O1232" t="inlineStr">
        <is>
          <t>45B¹⁶, 90A¹⁵, 90A¹², 45A¹⁹, 45C¹⁹, 90A²⁰, 45A¹⁴</t>
        </is>
      </c>
    </row>
    <row r="1233">
      <c r="A1233">
        <f>HYPERLINK("https://mathstats.uncg.edu/sites/pauli/congruence/csg6.html#group45B6", "45B⁶")</f>
        <v/>
      </c>
      <c r="B1233" t="n">
        <v>6</v>
      </c>
      <c r="C1233" t="inlineStr"/>
      <c r="D1233" t="inlineStr">
        <is>
          <t>90</t>
        </is>
      </c>
      <c r="E1233" t="inlineStr">
        <is>
          <t>1</t>
        </is>
      </c>
      <c r="F1233" t="inlineStr">
        <is>
          <t>30</t>
        </is>
      </c>
      <c r="G1233" t="inlineStr">
        <is>
          <t>6</t>
        </is>
      </c>
      <c r="H1233" t="inlineStr">
        <is>
          <t>0</t>
        </is>
      </c>
      <c r="I1233" t="inlineStr">
        <is>
          <t>45²</t>
        </is>
      </c>
      <c r="J1233" t="n">
        <v>2</v>
      </c>
      <c r="K1233" t="inlineStr">
        <is>
          <t>2¹, 4¹, 8³</t>
        </is>
      </c>
      <c r="L1233" t="inlineStr">
        <is>
          <t>15A²</t>
        </is>
      </c>
      <c r="M1233" t="inlineStr">
        <is>
          <t>90B¹², 45B¹⁴, 90B¹⁵, 45B¹⁶, 45D¹⁹, 45E¹⁹, 90B²⁰</t>
        </is>
      </c>
      <c r="N1233" t="inlineStr">
        <is>
          <t>3C⁰, 5A⁰, 3A⁰, 15A², 1A⁰, 15A¹</t>
        </is>
      </c>
      <c r="O1233" t="inlineStr">
        <is>
          <t>90B¹², 45B¹⁶, 45E¹⁹, 90B²⁰, 45D¹⁹, 45B¹⁴, 90B¹⁵</t>
        </is>
      </c>
    </row>
    <row r="1234">
      <c r="A1234">
        <f>HYPERLINK("https://mathstats.uncg.edu/sites/pauli/congruence/csg6.html#group45C6", "45C⁶")</f>
        <v/>
      </c>
      <c r="B1234" t="n">
        <v>6</v>
      </c>
      <c r="C1234" t="inlineStr"/>
      <c r="D1234" t="inlineStr">
        <is>
          <t>90</t>
        </is>
      </c>
      <c r="E1234" t="inlineStr">
        <is>
          <t>1</t>
        </is>
      </c>
      <c r="F1234" t="inlineStr">
        <is>
          <t>90</t>
        </is>
      </c>
      <c r="G1234" t="inlineStr">
        <is>
          <t>2</t>
        </is>
      </c>
      <c r="H1234" t="inlineStr">
        <is>
          <t>0</t>
        </is>
      </c>
      <c r="I1234" t="inlineStr">
        <is>
          <t>15³, 45¹</t>
        </is>
      </c>
      <c r="J1234" t="n">
        <v>4</v>
      </c>
      <c r="K1234" t="inlineStr">
        <is>
          <t>1¹, 2¹, 3¹, 4¹, 6², 8¹, 12¹, 24²</t>
        </is>
      </c>
      <c r="L1234" t="inlineStr">
        <is>
          <t>9E⁰, 15A²</t>
        </is>
      </c>
      <c r="M1234" t="inlineStr">
        <is>
          <t>45A¹², 90A¹³, 90C¹⁴, 45C¹⁶, 45A¹⁹, 45D¹⁹, 90G¹⁹, 45A²⁰, 45C²³</t>
        </is>
      </c>
      <c r="N1234" t="inlineStr">
        <is>
          <t>3C⁰, 5A⁰, 3A⁰, 9E⁰, 15A², 1A⁰, 15A¹</t>
        </is>
      </c>
      <c r="O1234" t="inlineStr">
        <is>
          <t>90G¹⁹, 45A²⁰, 45A¹⁹, 45C²³, 45D¹⁹, 90C¹⁴, 45A¹², 90A¹³, 45C¹⁶</t>
        </is>
      </c>
    </row>
    <row r="1235">
      <c r="A1235">
        <f>HYPERLINK("https://mathstats.uncg.edu/sites/pauli/congruence/csg6.html#group45D6", "45D⁶")</f>
        <v/>
      </c>
      <c r="B1235" t="n">
        <v>6</v>
      </c>
      <c r="C1235" t="inlineStr"/>
      <c r="D1235" t="inlineStr">
        <is>
          <t>108</t>
        </is>
      </c>
      <c r="E1235" t="inlineStr">
        <is>
          <t>1</t>
        </is>
      </c>
      <c r="F1235" t="inlineStr">
        <is>
          <t>54</t>
        </is>
      </c>
      <c r="G1235" t="inlineStr">
        <is>
          <t>8</t>
        </is>
      </c>
      <c r="H1235" t="inlineStr">
        <is>
          <t>0</t>
        </is>
      </c>
      <c r="I1235" t="inlineStr">
        <is>
          <t>9², 45²</t>
        </is>
      </c>
      <c r="J1235" t="n">
        <v>4</v>
      </c>
      <c r="K1235" t="inlineStr">
        <is>
          <t>1², 2², 4¹, 6², 8¹, 24¹</t>
        </is>
      </c>
      <c r="L1235" t="inlineStr">
        <is>
          <t>15C⁰, 45A²</t>
        </is>
      </c>
      <c r="M1235" t="inlineStr">
        <is>
          <t>45N¹³, 90E¹³, 45B¹⁵, 90M¹⁵, 90E¹⁷, 45C¹⁸, 90E²²</t>
        </is>
      </c>
      <c r="N1235" t="inlineStr">
        <is>
          <t>5B⁰, 45A², 15B⁰, 3A⁰, 1A⁰, 9A⁰, 15C⁰</t>
        </is>
      </c>
      <c r="O1235" t="inlineStr">
        <is>
          <t>45C¹⁸, 90E¹³, 45B¹⁵, 90E¹⁷, 90M¹⁵, 45N¹³, 90E²²</t>
        </is>
      </c>
    </row>
    <row r="1236">
      <c r="A1236">
        <f>HYPERLINK("https://mathstats.uncg.edu/sites/pauli/congruence/csg6.html#group48A6", "48A⁶")</f>
        <v/>
      </c>
      <c r="B1236" t="n">
        <v>6</v>
      </c>
      <c r="C1236" t="inlineStr"/>
      <c r="D1236" t="inlineStr">
        <is>
          <t>72</t>
        </is>
      </c>
      <c r="E1236" t="inlineStr">
        <is>
          <t>1</t>
        </is>
      </c>
      <c r="F1236" t="inlineStr">
        <is>
          <t>3</t>
        </is>
      </c>
      <c r="G1236" t="inlineStr">
        <is>
          <t>0</t>
        </is>
      </c>
      <c r="H1236" t="inlineStr">
        <is>
          <t>0</t>
        </is>
      </c>
      <c r="I1236" t="inlineStr">
        <is>
          <t>24¹, 48¹</t>
        </is>
      </c>
      <c r="J1236" t="n">
        <v>2</v>
      </c>
      <c r="K1236" t="inlineStr">
        <is>
          <t>1³</t>
        </is>
      </c>
      <c r="L1236" t="inlineStr">
        <is>
          <t>24A⁰, 16A²</t>
        </is>
      </c>
      <c r="M1236" t="inlineStr">
        <is>
          <t>48B¹¹, 48C¹¹, 48G¹¹, 48H¹¹, 48K¹¹, 48L¹¹, 48Q¹¹, 144A¹⁸</t>
        </is>
      </c>
      <c r="N1236" t="inlineStr">
        <is>
          <t>12C⁰, 24A⁰, 4C⁰, 8B⁰, 2B⁰, 3A⁰, 1A⁰, 6D⁰, 16A²</t>
        </is>
      </c>
      <c r="O1236" t="inlineStr">
        <is>
          <t>48G¹¹, 48AW²¹, 48S²¹, 48H¹¹, 48U²¹, 96N²³, 48AF²¹, 48B¹¹, 48AE²¹, 48BI²¹, 48BF²¹, 48J²¹, 96G²³, 96V²³, 48F²¹, 48V²¹, 144A¹⁸, 48M²¹, 48AA²¹, 48BU²¹, 48AK²¹, 48AS²¹, 48K¹¹, 96M²³, 48T²¹, 48AB²¹, 48N²¹, 96P²³, 48BG²¹, 48AX²¹, 48L¹¹, 48BB²¹, 48BH²¹, 48D²¹, 96U²³, 48Q¹¹, 48AR²¹, 48C¹¹</t>
        </is>
      </c>
    </row>
    <row r="1237">
      <c r="A1237">
        <f>HYPERLINK("https://mathstats.uncg.edu/sites/pauli/congruence/csg6.html#group48B6", "48B⁶")</f>
        <v/>
      </c>
      <c r="B1237" t="n">
        <v>6</v>
      </c>
      <c r="C1237" t="inlineStr"/>
      <c r="D1237" t="inlineStr">
        <is>
          <t>72</t>
        </is>
      </c>
      <c r="E1237" t="inlineStr">
        <is>
          <t>1</t>
        </is>
      </c>
      <c r="F1237" t="inlineStr">
        <is>
          <t>12</t>
        </is>
      </c>
      <c r="G1237" t="inlineStr">
        <is>
          <t>0</t>
        </is>
      </c>
      <c r="H1237" t="inlineStr">
        <is>
          <t>0</t>
        </is>
      </c>
      <c r="I1237" t="inlineStr">
        <is>
          <t>24¹, 48¹</t>
        </is>
      </c>
      <c r="J1237" t="n">
        <v>2</v>
      </c>
      <c r="K1237" t="inlineStr">
        <is>
          <t>1⁴, 2², 4¹</t>
        </is>
      </c>
      <c r="L1237" t="inlineStr">
        <is>
          <t>16B², 24A³</t>
        </is>
      </c>
      <c r="M1237" t="inlineStr">
        <is>
          <t>48D¹¹, 48J¹¹, 48R¹¹, 48S¹¹, 48V¹¹, 96B¹², 96A¹², 96C¹², 96D¹², 144B¹⁸</t>
        </is>
      </c>
      <c r="N1237" t="inlineStr">
        <is>
          <t>24A³, 16B², 8A¹, 12C⁰, 4C⁰, 2B⁰, 3A⁰, 1A⁰, 6D⁰</t>
        </is>
      </c>
      <c r="O1237" t="inlineStr">
        <is>
          <t>96I²³, 96Z²³, 48I²¹, 48AQ²¹, 48AY²¹, 48BE²¹, 48R¹¹, 96AG²³, 96K²³, 96B¹², 96X²³, 96W²³, 48AZ²¹, 48D¹¹, 96T²³, 48BN²¹, 96S²³, 48AN²¹, 96D²³, 48BT²¹, 48J²¹, 96C²³, 144B¹⁸, 96J²³, 48J¹¹, 96E²³, 96Q²³, 48X²¹, 96L²³, 48BK²¹, 48BJ²¹, 96A¹², 96AE²³, 96Y²³, 96AC²³, 48AJ²¹, 96AF²³, 48V¹¹, 96D¹², 48E²¹, 48AM²¹, 96R²³, 96B²³, 96AH²³, 48AP²¹, 96AD²³, 48S¹¹, 96C¹²</t>
        </is>
      </c>
    </row>
    <row r="1238">
      <c r="A1238">
        <f>HYPERLINK("https://mathstats.uncg.edu/sites/pauli/congruence/csg6.html#group48C6", "48C⁶")</f>
        <v/>
      </c>
      <c r="B1238" t="n">
        <v>6</v>
      </c>
      <c r="C1238" t="inlineStr"/>
      <c r="D1238" t="inlineStr">
        <is>
          <t>72</t>
        </is>
      </c>
      <c r="E1238" t="inlineStr">
        <is>
          <t>1</t>
        </is>
      </c>
      <c r="F1238" t="inlineStr">
        <is>
          <t>36</t>
        </is>
      </c>
      <c r="G1238" t="inlineStr">
        <is>
          <t>0</t>
        </is>
      </c>
      <c r="H1238" t="inlineStr">
        <is>
          <t>0</t>
        </is>
      </c>
      <c r="I1238" t="inlineStr">
        <is>
          <t>24¹, 48¹</t>
        </is>
      </c>
      <c r="J1238" t="n">
        <v>2</v>
      </c>
      <c r="K1238" t="inlineStr">
        <is>
          <t>1⁴, 2⁶, 4³, 8¹</t>
        </is>
      </c>
      <c r="L1238" t="inlineStr">
        <is>
          <t>24A³</t>
        </is>
      </c>
      <c r="M1238" t="inlineStr">
        <is>
          <t>48M¹¹, 48N¹¹, 48O¹¹, 48P¹¹, 48R¹¹, 48S¹¹, 48T¹¹, 48U¹¹, 48V¹¹, 144C¹⁸, 144D¹⁸</t>
        </is>
      </c>
      <c r="N1238" t="inlineStr">
        <is>
          <t>24A³, 8A¹, 12C⁰, 4C⁰, 2B⁰, 3A⁰, 1A⁰, 6D⁰</t>
        </is>
      </c>
      <c r="O1238" t="inlineStr">
        <is>
          <t>48AO²¹, 48M¹¹, 96Z²³, 48O¹¹, 48BE²¹, 48AY²¹, 48R¹¹, 48T¹¹, 96AG²³, 48L²¹, 48BL²¹, 48BM²¹, 48AH²¹, 96X²³, 48P¹¹, 96W²³, 48AZ²¹, 96T²³, 96S²³, 48AI²¹, 48AN²¹, 48BT²¹, 48BV²¹, 96AB²³, 48BR²¹, 48BS²¹, 48N¹¹, 48AK²¹, 96Q²³, 48X²¹, 48BK²¹, 48BJ²¹, 48AT²¹, 96AE²³, 144D¹⁸, 96Y²³, 48AL²¹, 96AA²³, 96AF²³, 48V¹¹, 48BA²¹, 144C¹⁸, 96R²³, 48AP²¹, 96AH²³, 48AG²¹, 48S¹¹, 48U¹¹</t>
        </is>
      </c>
    </row>
    <row r="1239">
      <c r="A1239">
        <f>HYPERLINK("https://mathstats.uncg.edu/sites/pauli/congruence/csg6.html#group48D6", "48D⁶")</f>
        <v/>
      </c>
      <c r="B1239" t="n">
        <v>6</v>
      </c>
      <c r="C1239" t="inlineStr"/>
      <c r="D1239" t="inlineStr">
        <is>
          <t>96</t>
        </is>
      </c>
      <c r="E1239" t="inlineStr">
        <is>
          <t>1</t>
        </is>
      </c>
      <c r="F1239" t="inlineStr">
        <is>
          <t>48</t>
        </is>
      </c>
      <c r="G1239" t="inlineStr">
        <is>
          <t>0</t>
        </is>
      </c>
      <c r="H1239" t="inlineStr">
        <is>
          <t>0</t>
        </is>
      </c>
      <c r="I1239" t="inlineStr">
        <is>
          <t>4², 12², 16¹, 48¹</t>
        </is>
      </c>
      <c r="J1239" t="n">
        <v>6</v>
      </c>
      <c r="K1239" t="inlineStr">
        <is>
          <t>1⁴, 2⁴, 4⁵, 8²</t>
        </is>
      </c>
      <c r="L1239" t="inlineStr">
        <is>
          <t>16C¹, 24I²</t>
        </is>
      </c>
      <c r="M1239" t="inlineStr">
        <is>
          <t>48X¹¹, 48AA¹¹, 48AB¹¹, 96A¹⁴, 48J¹⁹, 144I¹⁹, 144A²², 144B²²</t>
        </is>
      </c>
      <c r="N1239" t="inlineStr">
        <is>
          <t>3B⁰, 24I², 8D⁰, 12F¹, 16C¹, 4C⁰, 6F⁰, 2B⁰, 1A⁰</t>
        </is>
      </c>
      <c r="O1239" t="inlineStr">
        <is>
          <t>96AI²³, 144B²², 48AA¹¹, 144I¹⁹, 96A¹⁴, 96AK²³, 48CG²¹, 48J¹⁹, 144A²², 48BZ²¹, 48CF²¹, 48CO²¹, 48X¹¹, 48CK²¹, 96AJ²³, 48CN²¹, 48AB¹¹, 96AL²³, 48CA²¹</t>
        </is>
      </c>
    </row>
    <row r="1240">
      <c r="A1240">
        <f>HYPERLINK("https://mathstats.uncg.edu/sites/pauli/congruence/csg6.html#group48E6", "48E⁶")</f>
        <v/>
      </c>
      <c r="B1240" t="n">
        <v>6</v>
      </c>
      <c r="C1240" t="inlineStr"/>
      <c r="D1240" t="inlineStr">
        <is>
          <t>96</t>
        </is>
      </c>
      <c r="E1240" t="inlineStr">
        <is>
          <t>1</t>
        </is>
      </c>
      <c r="F1240" t="inlineStr">
        <is>
          <t>48</t>
        </is>
      </c>
      <c r="G1240" t="inlineStr">
        <is>
          <t>8</t>
        </is>
      </c>
      <c r="H1240" t="inlineStr">
        <is>
          <t>0</t>
        </is>
      </c>
      <c r="I1240" t="inlineStr">
        <is>
          <t>48²</t>
        </is>
      </c>
      <c r="J1240" t="n">
        <v>2</v>
      </c>
      <c r="K1240" t="inlineStr">
        <is>
          <t>16⁶</t>
        </is>
      </c>
      <c r="L1240" t="inlineStr">
        <is>
          <t>24G²</t>
        </is>
      </c>
      <c r="M1240" t="inlineStr">
        <is>
          <t>48Q¹³, 48C¹⁵, 48E²⁰, 144G²⁰, 144C²², 144D²², 144E²²</t>
        </is>
      </c>
      <c r="N1240" t="inlineStr">
        <is>
          <t>12A⁰, 6B⁰, 4A⁰, 12F⁰, 24B¹, 3A⁰, 1A⁰, 24G²</t>
        </is>
      </c>
      <c r="O1240" t="inlineStr">
        <is>
          <t>144D²², 48E²⁰, 48Q¹³, 144E²², 48C¹⁵, 144C²², 144G²⁰</t>
        </is>
      </c>
    </row>
    <row r="1241">
      <c r="A1241">
        <f>HYPERLINK("https://mathstats.uncg.edu/sites/pauli/congruence/csg6.html#group48F6", "48F⁶")</f>
        <v/>
      </c>
      <c r="B1241" t="n">
        <v>6</v>
      </c>
      <c r="C1241" t="inlineStr"/>
      <c r="D1241" t="inlineStr">
        <is>
          <t>96</t>
        </is>
      </c>
      <c r="E1241" t="inlineStr">
        <is>
          <t>1</t>
        </is>
      </c>
      <c r="F1241" t="inlineStr">
        <is>
          <t>48</t>
        </is>
      </c>
      <c r="G1241" t="inlineStr">
        <is>
          <t>8</t>
        </is>
      </c>
      <c r="H1241" t="inlineStr">
        <is>
          <t>0</t>
        </is>
      </c>
      <c r="I1241" t="inlineStr">
        <is>
          <t>48²</t>
        </is>
      </c>
      <c r="J1241" t="n">
        <v>2</v>
      </c>
      <c r="K1241" t="inlineStr">
        <is>
          <t>16⁶</t>
        </is>
      </c>
      <c r="L1241" t="inlineStr">
        <is>
          <t>24H²</t>
        </is>
      </c>
      <c r="M1241" t="inlineStr">
        <is>
          <t>48Q¹³, 48C¹⁵, 48F²⁰, 144H²⁰, 144F²², 144G²², 144H²²</t>
        </is>
      </c>
      <c r="N1241" t="inlineStr">
        <is>
          <t>12A⁰, 6B⁰, 4A⁰, 12F⁰, 24B¹, 3A⁰, 1A⁰, 24H²</t>
        </is>
      </c>
      <c r="O1241" t="inlineStr">
        <is>
          <t>144H²⁰, 144G²², 48Q¹³, 144H²², 48C¹⁵, 48F²⁰, 144F²²</t>
        </is>
      </c>
    </row>
    <row r="1242">
      <c r="A1242">
        <f>HYPERLINK("https://mathstats.uncg.edu/sites/pauli/congruence/csg6.html#group48G6", "48G⁶")</f>
        <v/>
      </c>
      <c r="B1242" t="n">
        <v>6</v>
      </c>
      <c r="C1242" t="inlineStr"/>
      <c r="D1242" t="inlineStr">
        <is>
          <t>96</t>
        </is>
      </c>
      <c r="E1242" t="inlineStr">
        <is>
          <t>2</t>
        </is>
      </c>
      <c r="F1242" t="inlineStr">
        <is>
          <t>24</t>
        </is>
      </c>
      <c r="G1242" t="inlineStr">
        <is>
          <t>8</t>
        </is>
      </c>
      <c r="H1242" t="inlineStr">
        <is>
          <t>0</t>
        </is>
      </c>
      <c r="I1242" t="inlineStr">
        <is>
          <t>48²</t>
        </is>
      </c>
      <c r="J1242" t="n">
        <v>2</v>
      </c>
      <c r="K1242" t="inlineStr">
        <is>
          <t>8², 16²</t>
        </is>
      </c>
      <c r="L1242" t="inlineStr">
        <is>
          <t>24K², 48B³</t>
        </is>
      </c>
      <c r="M1242" t="inlineStr">
        <is>
          <t>48R¹³, 48A¹⁵, 48G²⁰, 144C²⁰, 144D²⁰, 144I²², 144M²²</t>
        </is>
      </c>
      <c r="N1242" t="inlineStr">
        <is>
          <t>12A⁰, 24K², 24A¹, 6B⁰, 4A⁰, 12F⁰, 8A⁰, 24B¹, 3A⁰, 1A⁰, 48B³</t>
        </is>
      </c>
      <c r="O1242" t="inlineStr">
        <is>
          <t>144D²⁰, 48R¹³, 48A¹⁵, 48G²⁰, 144M²², 144I²², 144C²⁰</t>
        </is>
      </c>
    </row>
    <row r="1243">
      <c r="A1243">
        <f>HYPERLINK("https://mathstats.uncg.edu/sites/pauli/congruence/csg6.html#group48H6", "48H⁶")</f>
        <v/>
      </c>
      <c r="B1243" t="n">
        <v>6</v>
      </c>
      <c r="C1243" t="inlineStr"/>
      <c r="D1243" t="inlineStr">
        <is>
          <t>96</t>
        </is>
      </c>
      <c r="E1243" t="inlineStr">
        <is>
          <t>2</t>
        </is>
      </c>
      <c r="F1243" t="inlineStr">
        <is>
          <t>24</t>
        </is>
      </c>
      <c r="G1243" t="inlineStr">
        <is>
          <t>8</t>
        </is>
      </c>
      <c r="H1243" t="inlineStr">
        <is>
          <t>0</t>
        </is>
      </c>
      <c r="I1243" t="inlineStr">
        <is>
          <t>48²</t>
        </is>
      </c>
      <c r="J1243" t="n">
        <v>2</v>
      </c>
      <c r="K1243" t="inlineStr">
        <is>
          <t>8², 16²</t>
        </is>
      </c>
      <c r="L1243" t="inlineStr">
        <is>
          <t>24K², 48A³, 48B³</t>
        </is>
      </c>
      <c r="M1243" t="inlineStr">
        <is>
          <t>48R¹³, 48B¹⁵, 48I²⁰, 144E²⁰, 144F²⁰, 144J²², 144N²²</t>
        </is>
      </c>
      <c r="N1243" t="inlineStr">
        <is>
          <t>12A⁰, 48A³, 24K², 24A¹, 16A⁰, 6B⁰, 4A⁰, 8A⁰, 12F⁰, 24B¹, 3A⁰, 1A⁰, 48B³</t>
        </is>
      </c>
      <c r="O1243" t="inlineStr">
        <is>
          <t>48I²⁰, 48R¹³, 144J²², 144N²², 48B¹⁵, 144E²⁰, 144F²⁰</t>
        </is>
      </c>
    </row>
    <row r="1244">
      <c r="A1244">
        <f>HYPERLINK("https://mathstats.uncg.edu/sites/pauli/congruence/csg6.html#group48I6", "48I⁶")</f>
        <v/>
      </c>
      <c r="B1244" t="n">
        <v>6</v>
      </c>
      <c r="C1244" t="inlineStr"/>
      <c r="D1244" t="inlineStr">
        <is>
          <t>144</t>
        </is>
      </c>
      <c r="E1244" t="inlineStr">
        <is>
          <t>1</t>
        </is>
      </c>
      <c r="F1244" t="inlineStr">
        <is>
          <t>36</t>
        </is>
      </c>
      <c r="G1244" t="inlineStr">
        <is>
          <t>8</t>
        </is>
      </c>
      <c r="H1244" t="inlineStr">
        <is>
          <t>0</t>
        </is>
      </c>
      <c r="I1244" t="inlineStr">
        <is>
          <t>6⁸, 48²</t>
        </is>
      </c>
      <c r="J1244" t="n">
        <v>10</v>
      </c>
      <c r="K1244" t="inlineStr">
        <is>
          <t>2⁴, 4³, 8²</t>
        </is>
      </c>
      <c r="L1244" t="inlineStr">
        <is>
          <t>24O², 48G³</t>
        </is>
      </c>
      <c r="M1244" t="inlineStr">
        <is>
          <t>48AD¹³, 48E¹⁵, 48U¹⁵, 96E¹⁶, 48BU¹⁷, 48U¹⁹</t>
        </is>
      </c>
      <c r="N1244" t="inlineStr">
        <is>
          <t>24O², 24E¹, 6B⁰, 12C⁰, 48G³, 8D⁰, 4C⁰, 24C¹, 2B⁰, 12D⁰, 12H⁰, 6H⁰, 3A⁰, 1A⁰, 6D⁰</t>
        </is>
      </c>
      <c r="O1244" t="inlineStr">
        <is>
          <t>48AD¹³, 96E¹⁶, 48U¹⁹, 48U¹⁵, 48E¹⁵, 48BU¹⁷</t>
        </is>
      </c>
    </row>
    <row r="1245">
      <c r="A1245">
        <f>HYPERLINK("https://mathstats.uncg.edu/sites/pauli/congruence/csg6.html#group48J6", "48J⁶")</f>
        <v/>
      </c>
      <c r="B1245" t="n">
        <v>6</v>
      </c>
      <c r="C1245" t="inlineStr"/>
      <c r="D1245" t="inlineStr">
        <is>
          <t>144</t>
        </is>
      </c>
      <c r="E1245" t="inlineStr">
        <is>
          <t>1</t>
        </is>
      </c>
      <c r="F1245" t="inlineStr">
        <is>
          <t>36</t>
        </is>
      </c>
      <c r="G1245" t="inlineStr">
        <is>
          <t>8</t>
        </is>
      </c>
      <c r="H1245" t="inlineStr">
        <is>
          <t>0</t>
        </is>
      </c>
      <c r="I1245" t="inlineStr">
        <is>
          <t>6⁸, 48²</t>
        </is>
      </c>
      <c r="J1245" t="n">
        <v>10</v>
      </c>
      <c r="K1245" t="inlineStr">
        <is>
          <t>1², 2³, 4³, 8²</t>
        </is>
      </c>
      <c r="L1245" t="inlineStr">
        <is>
          <t>24O², 48D³, 48G³</t>
        </is>
      </c>
      <c r="M1245" t="inlineStr">
        <is>
          <t>48AD¹³, 48F¹⁵, 48V¹⁵, 96A¹⁶, 96B¹⁶, 96C¹⁶, 96D¹⁶, 48BV¹⁷, 48Y¹⁹</t>
        </is>
      </c>
      <c r="N1245" t="inlineStr">
        <is>
          <t>24O², 24E¹, 6B⁰, 12C⁰, 48G³, 8D⁰, 4C⁰, 2B⁰, 12H⁰, 1A⁰, 16E⁰, 24C¹, 12D⁰, 48D³, 6H⁰, 3A⁰, 6D⁰</t>
        </is>
      </c>
      <c r="O1245" t="inlineStr">
        <is>
          <t>96B¹⁶, 48F¹⁵, 48BV¹⁷, 96A¹⁶, 48Y¹⁹, 96D¹⁶, 96C¹⁶, 48AD¹³, 48V¹⁵</t>
        </is>
      </c>
    </row>
    <row r="1246">
      <c r="A1246">
        <f>HYPERLINK("https://mathstats.uncg.edu/sites/pauli/congruence/csg6.html#group48K6", "48K⁶")</f>
        <v/>
      </c>
      <c r="B1246" t="n">
        <v>6</v>
      </c>
      <c r="C1246" t="inlineStr"/>
      <c r="D1246" t="inlineStr">
        <is>
          <t>144</t>
        </is>
      </c>
      <c r="E1246" t="inlineStr">
        <is>
          <t>1</t>
        </is>
      </c>
      <c r="F1246" t="inlineStr">
        <is>
          <t>72</t>
        </is>
      </c>
      <c r="G1246" t="inlineStr">
        <is>
          <t>8</t>
        </is>
      </c>
      <c r="H1246" t="inlineStr">
        <is>
          <t>0</t>
        </is>
      </c>
      <c r="I1246" t="inlineStr">
        <is>
          <t>6⁸, 48²</t>
        </is>
      </c>
      <c r="J1246" t="n">
        <v>10</v>
      </c>
      <c r="K1246" t="inlineStr">
        <is>
          <t>4¹⁰, 8⁴</t>
        </is>
      </c>
      <c r="L1246" t="inlineStr">
        <is>
          <t>24N²</t>
        </is>
      </c>
      <c r="M1246" t="inlineStr">
        <is>
          <t>48AC¹³, 48K¹⁵, 48AC¹⁵, 48CI¹⁷, 48AQ¹⁹</t>
        </is>
      </c>
      <c r="N1246" t="inlineStr">
        <is>
          <t>24E¹, 6B⁰, 12C⁰, 24N², 4C⁰, 2B⁰, 12D⁰, 12H⁰, 6H⁰, 3A⁰, 1A⁰, 6D⁰</t>
        </is>
      </c>
      <c r="O1246" t="inlineStr">
        <is>
          <t>48CI¹⁷, 48K¹⁵, 48AQ¹⁹, 48AC¹³, 48AC¹⁵</t>
        </is>
      </c>
    </row>
    <row r="1247">
      <c r="A1247">
        <f>HYPERLINK("https://mathstats.uncg.edu/sites/pauli/congruence/csg6.html#group50A6", "50A⁶")</f>
        <v/>
      </c>
      <c r="B1247" t="n">
        <v>6</v>
      </c>
      <c r="C1247" t="inlineStr"/>
      <c r="D1247" t="inlineStr">
        <is>
          <t>90</t>
        </is>
      </c>
      <c r="E1247" t="inlineStr">
        <is>
          <t>1</t>
        </is>
      </c>
      <c r="F1247" t="inlineStr">
        <is>
          <t>90</t>
        </is>
      </c>
      <c r="G1247" t="inlineStr">
        <is>
          <t>2</t>
        </is>
      </c>
      <c r="H1247" t="inlineStr">
        <is>
          <t>0</t>
        </is>
      </c>
      <c r="I1247" t="inlineStr">
        <is>
          <t>5¹, 10¹, 25¹, 50¹</t>
        </is>
      </c>
      <c r="J1247" t="n">
        <v>4</v>
      </c>
      <c r="K1247" t="inlineStr">
        <is>
          <t>2⁶, 4¹², 20⁶</t>
        </is>
      </c>
      <c r="L1247" t="inlineStr">
        <is>
          <t>10C⁰, 25A²</t>
        </is>
      </c>
      <c r="M1247" t="inlineStr">
        <is>
          <t>50A¹², 50E¹², 100A¹², 50A¹³, 100A¹³, 100E¹³, 100A¹⁴, 150A²⁰</t>
        </is>
      </c>
      <c r="N1247" t="inlineStr">
        <is>
          <t>5B⁰, 10C⁰, 2B⁰, 25A², 1A⁰</t>
        </is>
      </c>
      <c r="O1247" t="inlineStr">
        <is>
          <t>100A¹³, 100A¹², 50A¹², 100A¹⁴, 50E¹², 100E¹³, 50A¹³, 150A²⁰</t>
        </is>
      </c>
    </row>
    <row r="1248">
      <c r="A1248">
        <f>HYPERLINK("https://mathstats.uncg.edu/sites/pauli/congruence/csg6.html#group50B6", "50B⁶")</f>
        <v/>
      </c>
      <c r="B1248" t="n">
        <v>6</v>
      </c>
      <c r="C1248" t="inlineStr"/>
      <c r="D1248" t="inlineStr">
        <is>
          <t>90</t>
        </is>
      </c>
      <c r="E1248" t="inlineStr">
        <is>
          <t>1</t>
        </is>
      </c>
      <c r="F1248" t="inlineStr">
        <is>
          <t>90</t>
        </is>
      </c>
      <c r="G1248" t="inlineStr">
        <is>
          <t>2</t>
        </is>
      </c>
      <c r="H1248" t="inlineStr">
        <is>
          <t>0</t>
        </is>
      </c>
      <c r="I1248" t="inlineStr">
        <is>
          <t>5¹, 10¹, 25¹, 50¹</t>
        </is>
      </c>
      <c r="J1248" t="n">
        <v>4</v>
      </c>
      <c r="K1248" t="inlineStr">
        <is>
          <t>2⁶, 4¹², 20⁶</t>
        </is>
      </c>
      <c r="L1248" t="inlineStr">
        <is>
          <t>10C⁰, 25B²</t>
        </is>
      </c>
      <c r="M1248" t="inlineStr">
        <is>
          <t>50B¹², 50F¹², 100B¹², 50B¹³, 100B¹³, 100F¹³, 100B¹⁴, 150B²⁰</t>
        </is>
      </c>
      <c r="N1248" t="inlineStr">
        <is>
          <t>5B⁰, 10C⁰, 2B⁰, 1A⁰, 25B²</t>
        </is>
      </c>
      <c r="O1248" t="inlineStr">
        <is>
          <t>100B¹³, 100B¹², 50F¹², 50B¹³, 50B¹², 100B¹⁴, 100F¹³, 150B²⁰</t>
        </is>
      </c>
    </row>
    <row r="1249">
      <c r="A1249">
        <f>HYPERLINK("https://mathstats.uncg.edu/sites/pauli/congruence/csg6.html#group50C6", "50C⁶")</f>
        <v/>
      </c>
      <c r="B1249" t="n">
        <v>6</v>
      </c>
      <c r="C1249" t="inlineStr"/>
      <c r="D1249" t="inlineStr">
        <is>
          <t>90</t>
        </is>
      </c>
      <c r="E1249" t="inlineStr">
        <is>
          <t>1</t>
        </is>
      </c>
      <c r="F1249" t="inlineStr">
        <is>
          <t>90</t>
        </is>
      </c>
      <c r="G1249" t="inlineStr">
        <is>
          <t>2</t>
        </is>
      </c>
      <c r="H1249" t="inlineStr">
        <is>
          <t>0</t>
        </is>
      </c>
      <c r="I1249" t="inlineStr">
        <is>
          <t>5¹, 10¹, 25¹, 50¹</t>
        </is>
      </c>
      <c r="J1249" t="n">
        <v>4</v>
      </c>
      <c r="K1249" t="inlineStr">
        <is>
          <t>2⁶, 4¹², 20⁶</t>
        </is>
      </c>
      <c r="L1249" t="inlineStr">
        <is>
          <t>10C⁰, 25C²</t>
        </is>
      </c>
      <c r="M1249" t="inlineStr">
        <is>
          <t>50C¹², 50G¹², 100C¹², 50C¹³, 100C¹³, 100G¹³, 100C¹⁴, 150C²⁰</t>
        </is>
      </c>
      <c r="N1249" t="inlineStr">
        <is>
          <t>5B⁰, 10C⁰, 2B⁰, 1A⁰, 25C²</t>
        </is>
      </c>
      <c r="O1249" t="inlineStr">
        <is>
          <t>100C¹⁴, 100C¹², 50G¹², 150C²⁰, 50C¹², 50C¹³, 100C¹³, 100G¹³</t>
        </is>
      </c>
    </row>
    <row r="1250">
      <c r="A1250">
        <f>HYPERLINK("https://mathstats.uncg.edu/sites/pauli/congruence/csg6.html#group50D6", "50D⁶")</f>
        <v/>
      </c>
      <c r="B1250" t="n">
        <v>6</v>
      </c>
      <c r="C1250" t="inlineStr"/>
      <c r="D1250" t="inlineStr">
        <is>
          <t>90</t>
        </is>
      </c>
      <c r="E1250" t="inlineStr">
        <is>
          <t>1</t>
        </is>
      </c>
      <c r="F1250" t="inlineStr">
        <is>
          <t>90</t>
        </is>
      </c>
      <c r="G1250" t="inlineStr">
        <is>
          <t>2</t>
        </is>
      </c>
      <c r="H1250" t="inlineStr">
        <is>
          <t>0</t>
        </is>
      </c>
      <c r="I1250" t="inlineStr">
        <is>
          <t>5¹, 10¹, 25¹, 50¹</t>
        </is>
      </c>
      <c r="J1250" t="n">
        <v>4</v>
      </c>
      <c r="K1250" t="inlineStr">
        <is>
          <t>2⁶, 4¹², 20⁶</t>
        </is>
      </c>
      <c r="L1250" t="inlineStr">
        <is>
          <t>10C⁰, 25D²</t>
        </is>
      </c>
      <c r="M1250" t="inlineStr">
        <is>
          <t>50D¹², 50H¹², 100D¹², 50D¹³, 100D¹³, 100H¹³, 100D¹⁴, 150D²⁰</t>
        </is>
      </c>
      <c r="N1250" t="inlineStr">
        <is>
          <t>5B⁰, 10C⁰, 2B⁰, 1A⁰, 25D²</t>
        </is>
      </c>
      <c r="O1250" t="inlineStr">
        <is>
          <t>50D¹³, 150D²⁰, 50H¹², 100H¹³, 100D¹⁴, 100D¹², 50D¹², 100D¹³</t>
        </is>
      </c>
    </row>
    <row r="1251">
      <c r="A1251">
        <f>HYPERLINK("https://mathstats.uncg.edu/sites/pauli/congruence/csg6.html#group50E6", "50E⁶")</f>
        <v/>
      </c>
      <c r="B1251" t="n">
        <v>6</v>
      </c>
      <c r="C1251" t="inlineStr"/>
      <c r="D1251" t="inlineStr">
        <is>
          <t>180</t>
        </is>
      </c>
      <c r="E1251" t="inlineStr">
        <is>
          <t>1</t>
        </is>
      </c>
      <c r="F1251" t="inlineStr">
        <is>
          <t>90</t>
        </is>
      </c>
      <c r="G1251" t="inlineStr">
        <is>
          <t>4</t>
        </is>
      </c>
      <c r="H1251" t="inlineStr">
        <is>
          <t>0</t>
        </is>
      </c>
      <c r="I1251" t="inlineStr">
        <is>
          <t>2¹⁵, 50³</t>
        </is>
      </c>
      <c r="J1251" t="n">
        <v>18</v>
      </c>
      <c r="K1251" t="inlineStr">
        <is>
          <t>1⁶, 4⁶, 20³</t>
        </is>
      </c>
      <c r="L1251" t="inlineStr">
        <is>
          <t>10G⁰, 50A², 50B²</t>
        </is>
      </c>
      <c r="M1251" t="inlineStr">
        <is>
          <t>50E¹³, 100D¹⁵, 100E¹⁷, 100O¹⁹, 100C²¹</t>
        </is>
      </c>
      <c r="N1251" t="inlineStr">
        <is>
          <t>10G⁰, 50A², 25A⁰, 10C⁰, 5B⁰, 2B⁰, 50B², 1A⁰, 10B⁰</t>
        </is>
      </c>
      <c r="O1251" t="inlineStr">
        <is>
          <t>100D¹⁵, 100C²¹, 100O¹⁹, 100E¹⁷, 50E¹³</t>
        </is>
      </c>
    </row>
    <row r="1252">
      <c r="A1252">
        <f>HYPERLINK("https://mathstats.uncg.edu/sites/pauli/congruence/csg6.html#group52A6", "52A⁶")</f>
        <v/>
      </c>
      <c r="B1252" t="n">
        <v>6</v>
      </c>
      <c r="C1252" t="inlineStr"/>
      <c r="D1252" t="inlineStr">
        <is>
          <t>84</t>
        </is>
      </c>
      <c r="E1252" t="inlineStr">
        <is>
          <t>1</t>
        </is>
      </c>
      <c r="F1252" t="inlineStr">
        <is>
          <t>42</t>
        </is>
      </c>
      <c r="G1252" t="inlineStr">
        <is>
          <t>0</t>
        </is>
      </c>
      <c r="H1252" t="inlineStr">
        <is>
          <t>0</t>
        </is>
      </c>
      <c r="I1252" t="inlineStr">
        <is>
          <t>2¹, 4¹, 26¹, 52¹</t>
        </is>
      </c>
      <c r="J1252" t="n">
        <v>4</v>
      </c>
      <c r="K1252" t="inlineStr">
        <is>
          <t>1⁶, 12³</t>
        </is>
      </c>
      <c r="L1252" t="inlineStr">
        <is>
          <t>26A²</t>
        </is>
      </c>
      <c r="M1252" t="inlineStr">
        <is>
          <t>52B¹¹, 52A¹¹, 52C¹¹, 52A¹⁶, 156A²⁰, 156B²⁰</t>
        </is>
      </c>
      <c r="N1252" t="inlineStr">
        <is>
          <t>13A⁰, 1A⁰, 26A², 2B⁰</t>
        </is>
      </c>
      <c r="O1252" t="inlineStr">
        <is>
          <t>52C¹¹, 104D²³, 156B²⁰, 52B¹¹, 52A¹⁶, 156A²⁰, 52C²¹, 52G²³, 104E²³, 104S²³, 52A¹¹, 52D²³, 52H²³</t>
        </is>
      </c>
    </row>
    <row r="1253">
      <c r="A1253">
        <f>HYPERLINK("https://mathstats.uncg.edu/sites/pauli/congruence/csg6.html#group54A6", "54A⁶")</f>
        <v/>
      </c>
      <c r="B1253" t="n">
        <v>6</v>
      </c>
      <c r="C1253" t="inlineStr"/>
      <c r="D1253" t="inlineStr">
        <is>
          <t>72</t>
        </is>
      </c>
      <c r="E1253" t="inlineStr">
        <is>
          <t>1</t>
        </is>
      </c>
      <c r="F1253" t="inlineStr">
        <is>
          <t>12</t>
        </is>
      </c>
      <c r="G1253" t="inlineStr">
        <is>
          <t>0</t>
        </is>
      </c>
      <c r="H1253" t="inlineStr">
        <is>
          <t>0</t>
        </is>
      </c>
      <c r="I1253" t="inlineStr">
        <is>
          <t>18¹, 54¹</t>
        </is>
      </c>
      <c r="J1253" t="n">
        <v>2</v>
      </c>
      <c r="K1253" t="inlineStr">
        <is>
          <t>1², 2², 6¹</t>
        </is>
      </c>
      <c r="L1253" t="inlineStr">
        <is>
          <t>18B⁰, 27A³</t>
        </is>
      </c>
      <c r="M1253" t="inlineStr">
        <is>
          <t>108A¹², 54B¹⁶, 54C¹⁶, 54E¹⁶, 54G¹⁶, 54J¹⁶, 54M¹⁶, 54P¹⁶, 108A²³</t>
        </is>
      </c>
      <c r="N1253" t="inlineStr">
        <is>
          <t>3B⁰, 2A⁰, 9C⁰, 1A⁰, 18B⁰, 27A³, 6C⁰</t>
        </is>
      </c>
      <c r="O1253" t="inlineStr">
        <is>
          <t>54E¹⁶, 54B¹⁶, 108A²³, 54G¹⁶, 108A¹², 54M¹⁶, 54C¹⁶, 54J¹⁶, 54P¹⁶</t>
        </is>
      </c>
    </row>
    <row r="1254">
      <c r="A1254">
        <f>HYPERLINK("https://mathstats.uncg.edu/sites/pauli/congruence/csg6.html#group54B6", "54B⁶")</f>
        <v/>
      </c>
      <c r="B1254" t="n">
        <v>6</v>
      </c>
      <c r="C1254" t="inlineStr"/>
      <c r="D1254" t="inlineStr">
        <is>
          <t>108</t>
        </is>
      </c>
      <c r="E1254" t="inlineStr">
        <is>
          <t>1</t>
        </is>
      </c>
      <c r="F1254" t="inlineStr">
        <is>
          <t>36</t>
        </is>
      </c>
      <c r="G1254" t="inlineStr">
        <is>
          <t>0</t>
        </is>
      </c>
      <c r="H1254" t="inlineStr">
        <is>
          <t>0</t>
        </is>
      </c>
      <c r="I1254" t="inlineStr">
        <is>
          <t>3³, 6³, 27¹, 54¹</t>
        </is>
      </c>
      <c r="J1254" t="n">
        <v>8</v>
      </c>
      <c r="K1254" t="inlineStr">
        <is>
          <t>1⁶, 2⁶, 6³</t>
        </is>
      </c>
      <c r="L1254" t="inlineStr">
        <is>
          <t>18E⁰, 27A²</t>
        </is>
      </c>
      <c r="M1254" t="inlineStr">
        <is>
          <t>54B¹³, 108B¹³, 108A¹⁵, 54R¹⁶, 54S¹⁶, 54T¹⁶</t>
        </is>
      </c>
      <c r="N1254" t="inlineStr">
        <is>
          <t>6F⁰, 3B⁰, 9B⁰, 2B⁰, 18E⁰, 27A², 1A⁰</t>
        </is>
      </c>
      <c r="O1254" t="inlineStr">
        <is>
          <t>108B¹³, 54S¹⁶, 54B¹³, 54R¹⁶, 108A¹⁵, 54T¹⁶</t>
        </is>
      </c>
    </row>
    <row r="1255">
      <c r="A1255">
        <f>HYPERLINK("https://mathstats.uncg.edu/sites/pauli/congruence/csg6.html#group56A6", "56A⁶")</f>
        <v/>
      </c>
      <c r="B1255" t="n">
        <v>6</v>
      </c>
      <c r="C1255" t="inlineStr"/>
      <c r="D1255" t="inlineStr">
        <is>
          <t>84</t>
        </is>
      </c>
      <c r="E1255" t="inlineStr">
        <is>
          <t>2</t>
        </is>
      </c>
      <c r="F1255" t="inlineStr">
        <is>
          <t>21</t>
        </is>
      </c>
      <c r="G1255" t="inlineStr">
        <is>
          <t>4</t>
        </is>
      </c>
      <c r="H1255" t="inlineStr">
        <is>
          <t>0</t>
        </is>
      </c>
      <c r="I1255" t="inlineStr">
        <is>
          <t>28¹, 56¹</t>
        </is>
      </c>
      <c r="J1255" t="n">
        <v>2</v>
      </c>
      <c r="K1255" t="inlineStr">
        <is>
          <t>2³, 6⁶</t>
        </is>
      </c>
      <c r="L1255" t="inlineStr">
        <is>
          <t>28C²</t>
        </is>
      </c>
      <c r="M1255" t="inlineStr">
        <is>
          <t>56A¹¹, 56E¹², 56D¹², 56A¹³, 56C¹³, 56C¹⁶, 168E¹⁸</t>
        </is>
      </c>
      <c r="N1255" t="inlineStr">
        <is>
          <t>28C², 4C⁰, 2B⁰, 14B¹, 1A⁰, 7A⁰</t>
        </is>
      </c>
      <c r="O1255" t="inlineStr">
        <is>
          <t>56H²³, 56A¹¹, 56C¹³, 56A¹³, 56E¹², 56D¹², 56C¹⁶, 56D²³, 168E¹⁸, 112A²³</t>
        </is>
      </c>
    </row>
    <row r="1256">
      <c r="A1256">
        <f>HYPERLINK("https://mathstats.uncg.edu/sites/pauli/congruence/csg6.html#group56B6", "56B⁶")</f>
        <v/>
      </c>
      <c r="B1256" t="n">
        <v>6</v>
      </c>
      <c r="C1256" t="inlineStr"/>
      <c r="D1256" t="inlineStr">
        <is>
          <t>84</t>
        </is>
      </c>
      <c r="E1256" t="inlineStr">
        <is>
          <t>2</t>
        </is>
      </c>
      <c r="F1256" t="inlineStr">
        <is>
          <t>42</t>
        </is>
      </c>
      <c r="G1256" t="inlineStr">
        <is>
          <t>0</t>
        </is>
      </c>
      <c r="H1256" t="inlineStr">
        <is>
          <t>0</t>
        </is>
      </c>
      <c r="I1256" t="inlineStr">
        <is>
          <t>7², 14¹, 56¹</t>
        </is>
      </c>
      <c r="J1256" t="n">
        <v>4</v>
      </c>
      <c r="K1256" t="inlineStr">
        <is>
          <t>2⁴, 4¹, 6⁸, 12²</t>
        </is>
      </c>
      <c r="L1256" t="inlineStr">
        <is>
          <t>28A³</t>
        </is>
      </c>
      <c r="M1256" t="inlineStr">
        <is>
          <t>56B¹¹, 56A¹², 56C¹², 56D¹⁶, 168A²⁰, 56E²¹</t>
        </is>
      </c>
      <c r="N1256" t="inlineStr">
        <is>
          <t>28A³, 2B⁰, 4B⁰, 14B¹, 1A⁰, 7A⁰</t>
        </is>
      </c>
      <c r="O1256" t="inlineStr">
        <is>
          <t>56F²⁴, 112F²³, 56E²³, 56A¹², 56B¹¹, 56E²⁴, 56E²¹, 56D¹⁶, 56C¹², 168A²⁰, 112B²³, 112G²⁴, 56A²³</t>
        </is>
      </c>
    </row>
    <row r="1257">
      <c r="A1257">
        <f>HYPERLINK("https://mathstats.uncg.edu/sites/pauli/congruence/csg6.html#group56C6", "56C⁶")</f>
        <v/>
      </c>
      <c r="B1257" t="n">
        <v>6</v>
      </c>
      <c r="C1257" t="inlineStr"/>
      <c r="D1257" t="inlineStr">
        <is>
          <t>84</t>
        </is>
      </c>
      <c r="E1257" t="inlineStr">
        <is>
          <t>2</t>
        </is>
      </c>
      <c r="F1257" t="inlineStr">
        <is>
          <t>42</t>
        </is>
      </c>
      <c r="G1257" t="inlineStr">
        <is>
          <t>0</t>
        </is>
      </c>
      <c r="H1257" t="inlineStr">
        <is>
          <t>0</t>
        </is>
      </c>
      <c r="I1257" t="inlineStr">
        <is>
          <t>7², 14¹, 56¹</t>
        </is>
      </c>
      <c r="J1257" t="n">
        <v>4</v>
      </c>
      <c r="K1257" t="inlineStr">
        <is>
          <t>2⁴, 4¹, 6⁸, 12²</t>
        </is>
      </c>
      <c r="L1257" t="inlineStr">
        <is>
          <t>8C⁰, 28A³</t>
        </is>
      </c>
      <c r="M1257" t="inlineStr">
        <is>
          <t>56B¹¹, 56B¹², 56C¹², 56F¹², 56G¹², 112B¹², 112C¹², 112D¹², 112E¹², 112A¹³, 112B¹³, 56B¹⁶, 168B²⁰, 56F²¹</t>
        </is>
      </c>
      <c r="N1257" t="inlineStr">
        <is>
          <t>28A³, 8C⁰, 2B⁰, 4B⁰, 14B¹, 1A⁰, 7A⁰</t>
        </is>
      </c>
      <c r="O1257" t="inlineStr">
        <is>
          <t>168B²⁰, 112F²³, 224B²⁴, 56E²³, 112C²⁴, 56D²⁴, 56B¹², 56G¹², 112B¹³, 56B¹¹, 56B¹⁶, 56A²³, 112E¹², 56F²¹, 112A¹³, 56F¹², 112B¹², 56E²⁴, 56C¹², 112D²⁴, 112F²⁴, 56C²⁴, 112B²⁴, 112B²³, 112E²⁴, 112A²⁴, 112C¹², 224A²⁴, 112G²⁴, 112D¹²</t>
        </is>
      </c>
    </row>
    <row r="1258">
      <c r="A1258">
        <f>HYPERLINK("https://mathstats.uncg.edu/sites/pauli/congruence/csg6.html#group56D6", "56D⁶")</f>
        <v/>
      </c>
      <c r="B1258" t="n">
        <v>6</v>
      </c>
      <c r="C1258" t="inlineStr"/>
      <c r="D1258" t="inlineStr">
        <is>
          <t>96</t>
        </is>
      </c>
      <c r="E1258" t="inlineStr">
        <is>
          <t>1</t>
        </is>
      </c>
      <c r="F1258" t="inlineStr">
        <is>
          <t>24</t>
        </is>
      </c>
      <c r="G1258" t="inlineStr">
        <is>
          <t>0</t>
        </is>
      </c>
      <c r="H1258" t="inlineStr">
        <is>
          <t>0</t>
        </is>
      </c>
      <c r="I1258" t="inlineStr">
        <is>
          <t>2², 8¹, 14², 56¹</t>
        </is>
      </c>
      <c r="J1258" t="n">
        <v>6</v>
      </c>
      <c r="K1258" t="inlineStr">
        <is>
          <t>1⁶, 6³</t>
        </is>
      </c>
      <c r="L1258" t="inlineStr">
        <is>
          <t>28D²</t>
        </is>
      </c>
      <c r="M1258" t="inlineStr">
        <is>
          <t>56L¹¹, 56N¹¹, 56E¹⁶, 168A²², 168E²²</t>
        </is>
      </c>
      <c r="N1258" t="inlineStr">
        <is>
          <t>2B⁰, 4B⁰, 1A⁰, 7B⁰, 28D², 14C¹</t>
        </is>
      </c>
      <c r="O1258" t="inlineStr">
        <is>
          <t>56L²¹, 56U²³, 112U²³, 168E²², 56L¹¹, 168A²², 56V²³, 56N¹¹, 56E¹⁶</t>
        </is>
      </c>
    </row>
    <row r="1259">
      <c r="A1259">
        <f>HYPERLINK("https://mathstats.uncg.edu/sites/pauli/congruence/csg6.html#group56E6", "56E⁶")</f>
        <v/>
      </c>
      <c r="B1259" t="n">
        <v>6</v>
      </c>
      <c r="C1259" t="inlineStr"/>
      <c r="D1259" t="inlineStr">
        <is>
          <t>96</t>
        </is>
      </c>
      <c r="E1259" t="inlineStr">
        <is>
          <t>1</t>
        </is>
      </c>
      <c r="F1259" t="inlineStr">
        <is>
          <t>48</t>
        </is>
      </c>
      <c r="G1259" t="inlineStr">
        <is>
          <t>0</t>
        </is>
      </c>
      <c r="H1259" t="inlineStr">
        <is>
          <t>0</t>
        </is>
      </c>
      <c r="I1259" t="inlineStr">
        <is>
          <t>2², 8¹, 14², 56¹</t>
        </is>
      </c>
      <c r="J1259" t="n">
        <v>6</v>
      </c>
      <c r="K1259" t="inlineStr">
        <is>
          <t>1⁴, 2⁴, 6², 12²</t>
        </is>
      </c>
      <c r="L1259" t="inlineStr">
        <is>
          <t>8D⁰, 28C³</t>
        </is>
      </c>
      <c r="M1259" t="inlineStr">
        <is>
          <t>56M¹¹, 112H¹², 56I¹³, 56J¹³, 112D¹⁴, 56F¹⁶, 168B²², 168F²²</t>
        </is>
      </c>
      <c r="N1259" t="inlineStr">
        <is>
          <t>1A⁰, 2B⁰, 28C³, 8D⁰, 7B⁰, 4C⁰, 14C¹</t>
        </is>
      </c>
      <c r="O1259" t="inlineStr">
        <is>
          <t>56F¹⁶, 56L²¹, 168B²², 112P²³, 112D¹⁴, 112O²³, 168F²², 56R²³, 56I¹³, 56J¹³, 56Q²³, 56M¹¹, 112H¹²</t>
        </is>
      </c>
    </row>
    <row r="1260">
      <c r="A1260">
        <f>HYPERLINK("https://mathstats.uncg.edu/sites/pauli/congruence/csg6.html#group56F6", "56F⁶")</f>
        <v/>
      </c>
      <c r="B1260" t="n">
        <v>6</v>
      </c>
      <c r="C1260" t="inlineStr"/>
      <c r="D1260" t="inlineStr">
        <is>
          <t>112</t>
        </is>
      </c>
      <c r="E1260" t="inlineStr">
        <is>
          <t>2</t>
        </is>
      </c>
      <c r="F1260" t="inlineStr">
        <is>
          <t>28</t>
        </is>
      </c>
      <c r="G1260" t="inlineStr">
        <is>
          <t>8</t>
        </is>
      </c>
      <c r="H1260" t="inlineStr">
        <is>
          <t>4</t>
        </is>
      </c>
      <c r="I1260" t="inlineStr">
        <is>
          <t>56²</t>
        </is>
      </c>
      <c r="J1260" t="n">
        <v>2</v>
      </c>
      <c r="K1260" t="inlineStr">
        <is>
          <t>8², 24⁴</t>
        </is>
      </c>
      <c r="L1260" t="inlineStr">
        <is>
          <t>28E², 56A³, 56C³</t>
        </is>
      </c>
      <c r="M1260" t="inlineStr">
        <is>
          <t>112E¹⁴, 56A¹⁵, 56K²², 168G²², 56J²⁴, 56M²⁴</t>
        </is>
      </c>
      <c r="N1260" t="inlineStr">
        <is>
          <t>28E², 14A⁰, 4A⁰, 8A⁰, 56C³, 28A¹, 1A⁰, 7A⁰, 56A³</t>
        </is>
      </c>
      <c r="O1260" t="inlineStr">
        <is>
          <t>56M²⁴, 56A¹⁵, 168G²², 112E¹⁴, 56K²², 56J²⁴</t>
        </is>
      </c>
    </row>
    <row r="1261">
      <c r="A1261">
        <f>HYPERLINK("https://mathstats.uncg.edu/sites/pauli/congruence/csg6.html#group56G6", "56G⁶")</f>
        <v/>
      </c>
      <c r="B1261" t="n">
        <v>6</v>
      </c>
      <c r="C1261" t="inlineStr"/>
      <c r="D1261" t="inlineStr">
        <is>
          <t>112</t>
        </is>
      </c>
      <c r="E1261" t="inlineStr">
        <is>
          <t>2</t>
        </is>
      </c>
      <c r="F1261" t="inlineStr">
        <is>
          <t>28</t>
        </is>
      </c>
      <c r="G1261" t="inlineStr">
        <is>
          <t>8</t>
        </is>
      </c>
      <c r="H1261" t="inlineStr">
        <is>
          <t>4</t>
        </is>
      </c>
      <c r="I1261" t="inlineStr">
        <is>
          <t>56²</t>
        </is>
      </c>
      <c r="J1261" t="n">
        <v>2</v>
      </c>
      <c r="K1261" t="inlineStr">
        <is>
          <t>8², 24⁴</t>
        </is>
      </c>
      <c r="L1261" t="inlineStr">
        <is>
          <t>28E², 56B³, 56D³</t>
        </is>
      </c>
      <c r="M1261" t="inlineStr">
        <is>
          <t>112F¹⁴, 56A¹⁵, 56L²², 168H²², 56J²⁴, 56N²⁴</t>
        </is>
      </c>
      <c r="N1261" t="inlineStr">
        <is>
          <t>28E², 14A⁰, 56D³, 56B³, 4A⁰, 8A⁰, 28A¹, 1A⁰, 7A⁰</t>
        </is>
      </c>
      <c r="O1261" t="inlineStr">
        <is>
          <t>56A¹⁵, 56L²², 168H²², 56N²⁴, 112F¹⁴, 56J²⁴</t>
        </is>
      </c>
    </row>
    <row r="1262">
      <c r="A1262">
        <f>HYPERLINK("https://mathstats.uncg.edu/sites/pauli/congruence/csg6.html#group56H6", "56H⁶")</f>
        <v/>
      </c>
      <c r="B1262" t="n">
        <v>6</v>
      </c>
      <c r="C1262" t="inlineStr"/>
      <c r="D1262" t="inlineStr">
        <is>
          <t>112</t>
        </is>
      </c>
      <c r="E1262" t="inlineStr">
        <is>
          <t>2</t>
        </is>
      </c>
      <c r="F1262" t="inlineStr">
        <is>
          <t>112</t>
        </is>
      </c>
      <c r="G1262" t="inlineStr">
        <is>
          <t>12</t>
        </is>
      </c>
      <c r="H1262" t="inlineStr">
        <is>
          <t>1</t>
        </is>
      </c>
      <c r="I1262" t="inlineStr">
        <is>
          <t>56²</t>
        </is>
      </c>
      <c r="J1262" t="n">
        <v>2</v>
      </c>
      <c r="K1262" t="inlineStr">
        <is>
          <t>8⁴, 24⁸</t>
        </is>
      </c>
      <c r="L1262" t="inlineStr">
        <is>
          <t>8F⁰, 28A¹</t>
        </is>
      </c>
      <c r="M1262" t="inlineStr">
        <is>
          <t>56M¹³, 56C¹⁴, 56D¹⁴, 56E¹⁴, 56F¹⁴, 56D¹⁵, 56A¹⁷, 168C¹⁹, 56I²¹, 56N²³</t>
        </is>
      </c>
      <c r="N1262" t="inlineStr">
        <is>
          <t>8F⁰, 28A¹, 1A⁰, 4A⁰, 7A⁰</t>
        </is>
      </c>
      <c r="O1262" t="inlineStr">
        <is>
          <t>56N²³, 56E¹⁴, 56C¹⁴, 56D¹⁴, 168C¹⁹, 56M¹³, 56I²¹, 56D¹⁵, 56F¹⁴, 56A¹⁷</t>
        </is>
      </c>
    </row>
    <row r="1263">
      <c r="A1263">
        <f>HYPERLINK("https://mathstats.uncg.edu/sites/pauli/congruence/csg6.html#group58A6", "58A⁶")</f>
        <v/>
      </c>
      <c r="B1263" t="n">
        <v>6</v>
      </c>
      <c r="C1263" t="inlineStr">
        <is>
          <t>Γ₀(58)</t>
        </is>
      </c>
      <c r="D1263" t="inlineStr">
        <is>
          <t>90</t>
        </is>
      </c>
      <c r="E1263" t="inlineStr">
        <is>
          <t>1</t>
        </is>
      </c>
      <c r="F1263" t="inlineStr">
        <is>
          <t>90</t>
        </is>
      </c>
      <c r="G1263" t="inlineStr">
        <is>
          <t>2</t>
        </is>
      </c>
      <c r="H1263" t="inlineStr">
        <is>
          <t>0</t>
        </is>
      </c>
      <c r="I1263" t="inlineStr">
        <is>
          <t>1¹, 2¹, 29¹, 58¹</t>
        </is>
      </c>
      <c r="J1263" t="n">
        <v>4</v>
      </c>
      <c r="K1263" t="inlineStr">
        <is>
          <t>1⁶, 28³</t>
        </is>
      </c>
      <c r="L1263" t="inlineStr">
        <is>
          <t>2B⁰, 29A²</t>
        </is>
      </c>
      <c r="M1263" t="inlineStr">
        <is>
          <t>58A¹², 58B¹², 116A¹², 58A¹³, 116A¹³, 116B¹³, 116A¹⁴, 174A²⁰</t>
        </is>
      </c>
      <c r="N1263" t="inlineStr">
        <is>
          <t>1A⁰, 2B⁰, 29A²</t>
        </is>
      </c>
      <c r="O1263" t="inlineStr">
        <is>
          <t>174A²⁰, 116A¹³, 116A¹², 58B¹², 58A¹³, 116A¹⁴, 58A¹², 116B¹³</t>
        </is>
      </c>
    </row>
    <row r="1264">
      <c r="A1264">
        <f>HYPERLINK("https://mathstats.uncg.edu/sites/pauli/congruence/csg6.html#group60A6", "60A⁶")</f>
        <v/>
      </c>
      <c r="B1264" t="n">
        <v>6</v>
      </c>
      <c r="C1264" t="inlineStr"/>
      <c r="D1264" t="inlineStr">
        <is>
          <t>80</t>
        </is>
      </c>
      <c r="E1264" t="inlineStr">
        <is>
          <t>1</t>
        </is>
      </c>
      <c r="F1264" t="inlineStr">
        <is>
          <t>80</t>
        </is>
      </c>
      <c r="G1264" t="inlineStr">
        <is>
          <t>0</t>
        </is>
      </c>
      <c r="H1264" t="inlineStr">
        <is>
          <t>2</t>
        </is>
      </c>
      <c r="I1264" t="inlineStr">
        <is>
          <t>20¹, 60¹</t>
        </is>
      </c>
      <c r="J1264" t="n">
        <v>2</v>
      </c>
      <c r="K1264" t="inlineStr">
        <is>
          <t>2⁴, 4², 8⁴, 16²</t>
        </is>
      </c>
      <c r="L1264" t="inlineStr">
        <is>
          <t>12A¹, 15B¹, 20A¹</t>
        </is>
      </c>
      <c r="M1264" t="inlineStr">
        <is>
          <t>60J¹¹, 120A¹², 60D¹⁸, 60G¹⁸, 60I¹⁸, 180A¹⁸, 180C¹⁸, 60C¹⁹, 180B¹⁹, 180C¹⁹, 180C²⁰, 180E²⁰, 60C²³</t>
        </is>
      </c>
      <c r="N1264" t="inlineStr">
        <is>
          <t>3B⁰, 5A⁰, 4A⁰, 12A¹, 15B¹, 20A¹, 1A⁰</t>
        </is>
      </c>
      <c r="O1264" t="inlineStr">
        <is>
          <t>120A¹², 180C²⁰, 120L²³, 60T²¹, 180C¹⁸, 60C¹⁹, 180A¹⁸, 60G¹⁸, 60I¹⁸, 180E²⁰, 60C²³, 120K²³, 60J¹¹, 180C¹⁹, 240A²⁴, 60D¹⁸, 180B¹⁹</t>
        </is>
      </c>
    </row>
    <row r="1265">
      <c r="A1265">
        <f>HYPERLINK("https://mathstats.uncg.edu/sites/pauli/congruence/csg6.html#group60B6", "60B⁶")</f>
        <v/>
      </c>
      <c r="B1265" t="n">
        <v>6</v>
      </c>
      <c r="C1265" t="inlineStr"/>
      <c r="D1265" t="inlineStr">
        <is>
          <t>90</t>
        </is>
      </c>
      <c r="E1265" t="inlineStr">
        <is>
          <t>1</t>
        </is>
      </c>
      <c r="F1265" t="inlineStr">
        <is>
          <t>15</t>
        </is>
      </c>
      <c r="G1265" t="inlineStr">
        <is>
          <t>6</t>
        </is>
      </c>
      <c r="H1265" t="inlineStr">
        <is>
          <t>0</t>
        </is>
      </c>
      <c r="I1265" t="inlineStr">
        <is>
          <t>30¹, 60¹</t>
        </is>
      </c>
      <c r="J1265" t="n">
        <v>2</v>
      </c>
      <c r="K1265" t="inlineStr">
        <is>
          <t>1³, 4³</t>
        </is>
      </c>
      <c r="L1265" t="inlineStr">
        <is>
          <t>12C⁰, 20B², 30D³</t>
        </is>
      </c>
      <c r="M1265" t="inlineStr">
        <is>
          <t>60C¹², 120B¹², 60B¹³, 60D¹³, 60F¹³, 120A¹³, 120B¹³, 120C¹³, 60A¹⁴, 120B¹⁴, 120A¹⁵, 60D¹⁶, 180F²⁰</t>
        </is>
      </c>
      <c r="N1265" t="inlineStr">
        <is>
          <t>30D³, 5A⁰, 12C⁰, 10B¹, 20B², 6D⁰, 4C⁰, 2B⁰, 3A⁰, 1A⁰, 15A¹</t>
        </is>
      </c>
      <c r="O1265" t="inlineStr">
        <is>
          <t>120B¹⁴, 60A¹⁴, 60D¹⁶, 60D¹³, 120A¹⁵, 120B¹², 60C¹², 120A¹³, 120C¹³, 60F¹³, 240B²⁴, 180F²⁰, 120B¹³, 60B¹³</t>
        </is>
      </c>
    </row>
    <row r="1266">
      <c r="A1266">
        <f>HYPERLINK("https://mathstats.uncg.edu/sites/pauli/congruence/csg6.html#group60C6", "60C⁶")</f>
        <v/>
      </c>
      <c r="B1266" t="n">
        <v>6</v>
      </c>
      <c r="C1266" t="inlineStr"/>
      <c r="D1266" t="inlineStr">
        <is>
          <t>90</t>
        </is>
      </c>
      <c r="E1266" t="inlineStr">
        <is>
          <t>1</t>
        </is>
      </c>
      <c r="F1266" t="inlineStr">
        <is>
          <t>45</t>
        </is>
      </c>
      <c r="G1266" t="inlineStr">
        <is>
          <t>4</t>
        </is>
      </c>
      <c r="H1266" t="inlineStr">
        <is>
          <t>0</t>
        </is>
      </c>
      <c r="I1266" t="inlineStr">
        <is>
          <t>15², 60¹</t>
        </is>
      </c>
      <c r="J1266" t="n">
        <v>3</v>
      </c>
      <c r="K1266" t="inlineStr">
        <is>
          <t>1³, 2³, 4³, 8³</t>
        </is>
      </c>
      <c r="L1266" t="inlineStr">
        <is>
          <t>12D⁰, 30D³</t>
        </is>
      </c>
      <c r="M1266" t="inlineStr">
        <is>
          <t>60B¹², 60C¹², 60C¹³, 60H¹³, 60E¹⁴, 60E¹⁶, 180G²⁰, 180A²¹</t>
        </is>
      </c>
      <c r="N1266" t="inlineStr">
        <is>
          <t>30D³, 5A⁰, 10B¹, 6D⁰, 2B⁰, 12D⁰, 3A⁰, 1A⁰, 15A¹</t>
        </is>
      </c>
      <c r="O1266" t="inlineStr">
        <is>
          <t>60H¹³, 180A²¹, 60E¹⁴, 60C¹³, 60B¹², 60E¹⁶, 60C¹², 180G²⁰</t>
        </is>
      </c>
    </row>
    <row r="1267">
      <c r="A1267">
        <f>HYPERLINK("https://mathstats.uncg.edu/sites/pauli/congruence/csg6.html#group60D6", "60D⁶")</f>
        <v/>
      </c>
      <c r="B1267" t="n">
        <v>6</v>
      </c>
      <c r="C1267" t="inlineStr"/>
      <c r="D1267" t="inlineStr">
        <is>
          <t>90</t>
        </is>
      </c>
      <c r="E1267" t="inlineStr">
        <is>
          <t>2</t>
        </is>
      </c>
      <c r="F1267" t="inlineStr">
        <is>
          <t>15</t>
        </is>
      </c>
      <c r="G1267" t="inlineStr">
        <is>
          <t>6</t>
        </is>
      </c>
      <c r="H1267" t="inlineStr">
        <is>
          <t>0</t>
        </is>
      </c>
      <c r="I1267" t="inlineStr">
        <is>
          <t>30¹, 60¹</t>
        </is>
      </c>
      <c r="J1267" t="n">
        <v>2</v>
      </c>
      <c r="K1267" t="inlineStr">
        <is>
          <t>2³, 8³</t>
        </is>
      </c>
      <c r="L1267" t="inlineStr">
        <is>
          <t>20B², 30E³</t>
        </is>
      </c>
      <c r="M1267" t="inlineStr">
        <is>
          <t>120C¹², 60G¹³, 120D¹³, 60F¹⁴, 120B¹⁵, 60D¹⁶</t>
        </is>
      </c>
      <c r="N1267" t="inlineStr">
        <is>
          <t>5A⁰, 30E³, 10B¹, 20B², 4C⁰, 2B⁰, 1A⁰, 15A⁰</t>
        </is>
      </c>
      <c r="O1267" t="inlineStr">
        <is>
          <t>120D¹³, 60F¹⁴, 120C¹², 60G¹³, 60D¹⁶, 240C²⁴, 120B¹⁵</t>
        </is>
      </c>
    </row>
    <row r="1268">
      <c r="A1268">
        <f>HYPERLINK("https://mathstats.uncg.edu/sites/pauli/congruence/csg6.html#group60E6", "60E⁶")</f>
        <v/>
      </c>
      <c r="B1268" t="n">
        <v>6</v>
      </c>
      <c r="C1268" t="inlineStr"/>
      <c r="D1268" t="inlineStr">
        <is>
          <t>108</t>
        </is>
      </c>
      <c r="E1268" t="inlineStr">
        <is>
          <t>1</t>
        </is>
      </c>
      <c r="F1268" t="inlineStr">
        <is>
          <t>54</t>
        </is>
      </c>
      <c r="G1268" t="inlineStr">
        <is>
          <t>4</t>
        </is>
      </c>
      <c r="H1268" t="inlineStr">
        <is>
          <t>0</t>
        </is>
      </c>
      <c r="I1268" t="inlineStr">
        <is>
          <t>3², 12¹, 15², 60¹</t>
        </is>
      </c>
      <c r="J1268" t="n">
        <v>6</v>
      </c>
      <c r="K1268" t="inlineStr">
        <is>
          <t>1⁶, 2⁶, 4³, 8³</t>
        </is>
      </c>
      <c r="L1268" t="inlineStr">
        <is>
          <t>30E²</t>
        </is>
      </c>
      <c r="M1268" t="inlineStr">
        <is>
          <t>60O¹¹, 60U¹¹, 60Q¹³, 60R¹³, 60S¹³, 60V¹³, 60X¹³, 60AD¹³, 60H¹⁵, 60L¹⁵, 60O¹⁵, 180C²², 180B²⁴</t>
        </is>
      </c>
      <c r="N1268" t="inlineStr">
        <is>
          <t>15B⁰, 30E², 5B⁰, 10C⁰, 2B⁰, 3A⁰, 1A⁰, 6D⁰</t>
        </is>
      </c>
      <c r="O1268" t="inlineStr">
        <is>
          <t>60U¹¹, 180C²², 60S¹³, 60X¹³, 180B²⁴, 60AD¹³, 60W²¹, 60O¹¹, 60Q¹³, 60H¹⁵, 60V¹³, 60L¹⁵, 60O¹⁵, 60R¹³</t>
        </is>
      </c>
    </row>
    <row r="1269">
      <c r="A1269">
        <f>HYPERLINK("https://mathstats.uncg.edu/sites/pauli/congruence/csg6.html#group60F6", "60F⁶")</f>
        <v/>
      </c>
      <c r="B1269" t="n">
        <v>6</v>
      </c>
      <c r="C1269" t="inlineStr"/>
      <c r="D1269" t="inlineStr">
        <is>
          <t>108</t>
        </is>
      </c>
      <c r="E1269" t="inlineStr">
        <is>
          <t>1</t>
        </is>
      </c>
      <c r="F1269" t="inlineStr">
        <is>
          <t>54</t>
        </is>
      </c>
      <c r="G1269" t="inlineStr">
        <is>
          <t>8</t>
        </is>
      </c>
      <c r="H1269" t="inlineStr">
        <is>
          <t>0</t>
        </is>
      </c>
      <c r="I1269" t="inlineStr">
        <is>
          <t>6¹, 12¹, 30¹, 60¹</t>
        </is>
      </c>
      <c r="J1269" t="n">
        <v>4</v>
      </c>
      <c r="K1269" t="inlineStr">
        <is>
          <t>1⁶, 2⁶, 4³, 8³</t>
        </is>
      </c>
      <c r="L1269" t="inlineStr">
        <is>
          <t>30E²</t>
        </is>
      </c>
      <c r="M1269" t="inlineStr">
        <is>
          <t>60P¹¹, 60Q¹¹, 60R¹¹, 60U¹³, 60AC¹³, 60AD¹³, 60AE¹³, 60G¹⁵, 60J¹⁵, 60K¹⁵, 60L¹⁵, 180D²², 180A²⁴</t>
        </is>
      </c>
      <c r="N1269" t="inlineStr">
        <is>
          <t>15B⁰, 30E², 5B⁰, 10C⁰, 2B⁰, 3A⁰, 1A⁰, 6D⁰</t>
        </is>
      </c>
      <c r="O1269" t="inlineStr">
        <is>
          <t>60G¹⁵, 60J¹⁵, 60AC¹³, 60X²¹, 60R¹¹, 60AD¹³, 60P¹¹, 60K¹⁵, 60Q¹¹, 180D²², 180A²⁴, 60U¹³, 60L¹⁵, 60AE¹³</t>
        </is>
      </c>
    </row>
    <row r="1270">
      <c r="A1270">
        <f>HYPERLINK("https://mathstats.uncg.edu/sites/pauli/congruence/csg6.html#group63A6", "63A⁶")</f>
        <v/>
      </c>
      <c r="B1270" t="n">
        <v>6</v>
      </c>
      <c r="C1270" t="inlineStr"/>
      <c r="D1270" t="inlineStr">
        <is>
          <t>72</t>
        </is>
      </c>
      <c r="E1270" t="inlineStr">
        <is>
          <t>1</t>
        </is>
      </c>
      <c r="F1270" t="inlineStr">
        <is>
          <t>72</t>
        </is>
      </c>
      <c r="G1270" t="inlineStr">
        <is>
          <t>0</t>
        </is>
      </c>
      <c r="H1270" t="inlineStr">
        <is>
          <t>0</t>
        </is>
      </c>
      <c r="I1270" t="inlineStr">
        <is>
          <t>9¹, 63¹</t>
        </is>
      </c>
      <c r="J1270" t="n">
        <v>2</v>
      </c>
      <c r="K1270" t="inlineStr">
        <is>
          <t>1², 2², 6³, 12¹, 36¹</t>
        </is>
      </c>
      <c r="L1270" t="inlineStr">
        <is>
          <t>9A⁰, 21A²</t>
        </is>
      </c>
      <c r="M1270" t="inlineStr">
        <is>
          <t>63A¹¹, 63C¹¹, 126A¹², 126B¹², 126D¹², 63A¹⁶, 63B¹⁶, 126A¹⁷, 252C²⁴</t>
        </is>
      </c>
      <c r="N1270" t="inlineStr">
        <is>
          <t>21A², 3A⁰, 1A⁰, 7B⁰, 9A⁰</t>
        </is>
      </c>
      <c r="O1270" t="inlineStr">
        <is>
          <t>126A¹², 126D¹², 252D²⁴, 126B²³, 63B¹⁶, 252A²⁴, 126A¹⁷, 252B²⁴, 252C²⁴, 126A²³, 126B¹², 126G²³, 126H²³, 63A¹⁶, 63A¹¹, 63A²¹, 63C¹¹</t>
        </is>
      </c>
    </row>
    <row r="1271">
      <c r="A1271">
        <f>HYPERLINK("https://mathstats.uncg.edu/sites/pauli/congruence/csg6.html#group63B6", "63B⁶")</f>
        <v/>
      </c>
      <c r="B1271" t="n">
        <v>6</v>
      </c>
      <c r="C1271" t="inlineStr"/>
      <c r="D1271" t="inlineStr">
        <is>
          <t>84</t>
        </is>
      </c>
      <c r="E1271" t="inlineStr">
        <is>
          <t>2</t>
        </is>
      </c>
      <c r="F1271" t="inlineStr">
        <is>
          <t>28</t>
        </is>
      </c>
      <c r="G1271" t="inlineStr">
        <is>
          <t>0</t>
        </is>
      </c>
      <c r="H1271" t="inlineStr">
        <is>
          <t>0</t>
        </is>
      </c>
      <c r="I1271" t="inlineStr">
        <is>
          <t>7³, 63¹</t>
        </is>
      </c>
      <c r="J1271" t="n">
        <v>4</v>
      </c>
      <c r="K1271" t="inlineStr">
        <is>
          <t>2², 4¹, 6⁴, 12²</t>
        </is>
      </c>
      <c r="L1271" t="inlineStr">
        <is>
          <t>9B⁰, 21B²</t>
        </is>
      </c>
      <c r="M1271" t="inlineStr">
        <is>
          <t>63D¹¹, 126A¹³, 126B¹³, 63C¹⁶, 63D¹⁸, 126F¹⁸, 189A¹⁸, 63C¹⁹, 189A¹⁹, 189A²⁰, 63C²¹</t>
        </is>
      </c>
      <c r="N1271" t="inlineStr">
        <is>
          <t>3B⁰, 9B⁰, 21B², 1A⁰, 7A⁰</t>
        </is>
      </c>
      <c r="O1271" t="inlineStr">
        <is>
          <t>63C²¹, 126B¹³, 63C¹⁶, 126A¹³, 63C¹⁹, 189A¹⁸, 189A²⁰, 126F¹⁸, 63D¹⁸, 189A¹⁹, 63D¹¹</t>
        </is>
      </c>
    </row>
    <row r="1272">
      <c r="A1272">
        <f>HYPERLINK("https://mathstats.uncg.edu/sites/pauli/congruence/csg6.html#group63C6", "63C⁶")</f>
        <v/>
      </c>
      <c r="B1272" t="n">
        <v>6</v>
      </c>
      <c r="C1272" t="inlineStr"/>
      <c r="D1272" t="inlineStr">
        <is>
          <t>84</t>
        </is>
      </c>
      <c r="E1272" t="inlineStr">
        <is>
          <t>2</t>
        </is>
      </c>
      <c r="F1272" t="inlineStr">
        <is>
          <t>28</t>
        </is>
      </c>
      <c r="G1272" t="inlineStr">
        <is>
          <t>0</t>
        </is>
      </c>
      <c r="H1272" t="inlineStr">
        <is>
          <t>3</t>
        </is>
      </c>
      <c r="I1272" t="inlineStr">
        <is>
          <t>21¹, 63¹</t>
        </is>
      </c>
      <c r="J1272" t="n">
        <v>2</v>
      </c>
      <c r="K1272" t="inlineStr">
        <is>
          <t>2², 4¹, 6⁴, 12²</t>
        </is>
      </c>
      <c r="L1272" t="inlineStr">
        <is>
          <t>9C⁰, 21B²</t>
        </is>
      </c>
      <c r="M1272" t="inlineStr">
        <is>
          <t>63E¹¹, 126E¹², 126F¹², 63E¹⁸, 63A¹⁹, 63C¹⁹, 189B¹⁹, 126C²⁰, 189B²⁰, 189A²¹, 63A²⁴</t>
        </is>
      </c>
      <c r="N1272" t="inlineStr">
        <is>
          <t>3B⁰, 21B², 9C⁰, 1A⁰, 7A⁰</t>
        </is>
      </c>
      <c r="O1272" t="inlineStr">
        <is>
          <t>126E¹², 63E¹⁸, 63C¹⁹, 189A²¹, 126J²³, 252E²⁴, 126C²⁰, 63A¹⁹, 126F¹², 189B²⁰, 63A²⁴, 189B¹⁹, 252F²⁴, 63E¹¹</t>
        </is>
      </c>
    </row>
    <row r="1273">
      <c r="A1273">
        <f>HYPERLINK("https://mathstats.uncg.edu/sites/pauli/congruence/csg6.html#group63D6", "63D⁶")</f>
        <v/>
      </c>
      <c r="B1273" t="n">
        <v>6</v>
      </c>
      <c r="C1273" t="inlineStr"/>
      <c r="D1273" t="inlineStr">
        <is>
          <t>96</t>
        </is>
      </c>
      <c r="E1273" t="inlineStr">
        <is>
          <t>2</t>
        </is>
      </c>
      <c r="F1273" t="inlineStr">
        <is>
          <t>32</t>
        </is>
      </c>
      <c r="G1273" t="inlineStr">
        <is>
          <t>0</t>
        </is>
      </c>
      <c r="H1273" t="inlineStr">
        <is>
          <t>3</t>
        </is>
      </c>
      <c r="I1273" t="inlineStr">
        <is>
          <t>3¹, 9¹, 21¹, 63¹</t>
        </is>
      </c>
      <c r="J1273" t="n">
        <v>4</v>
      </c>
      <c r="K1273" t="inlineStr">
        <is>
          <t>2⁸, 12⁴</t>
        </is>
      </c>
      <c r="L1273" t="inlineStr">
        <is>
          <t>21B¹</t>
        </is>
      </c>
      <c r="M1273" t="inlineStr">
        <is>
          <t>63F¹¹, 126H¹³, 126G¹³, 63F¹⁶, 63H¹⁹, 63N¹⁹, 63O¹⁹, 126O²¹</t>
        </is>
      </c>
      <c r="N1273" t="inlineStr">
        <is>
          <t>3B⁰, 1A⁰, 7B⁰, 21B¹</t>
        </is>
      </c>
      <c r="O1273" t="inlineStr">
        <is>
          <t>63F¹¹, 63O¹⁹, 126H¹³, 126G¹³, 63N¹⁹, 126O²¹, 63F¹⁶, 63H¹⁹</t>
        </is>
      </c>
    </row>
    <row r="1274">
      <c r="A1274">
        <f>HYPERLINK("https://mathstats.uncg.edu/sites/pauli/congruence/csg6.html#group63E6", "63E⁶")</f>
        <v/>
      </c>
      <c r="B1274" t="n">
        <v>6</v>
      </c>
      <c r="C1274" t="inlineStr"/>
      <c r="D1274" t="inlineStr">
        <is>
          <t>126</t>
        </is>
      </c>
      <c r="E1274" t="inlineStr">
        <is>
          <t>2</t>
        </is>
      </c>
      <c r="F1274" t="inlineStr">
        <is>
          <t>21</t>
        </is>
      </c>
      <c r="G1274" t="inlineStr">
        <is>
          <t>18</t>
        </is>
      </c>
      <c r="H1274" t="inlineStr">
        <is>
          <t>0</t>
        </is>
      </c>
      <c r="I1274" t="inlineStr">
        <is>
          <t>63²</t>
        </is>
      </c>
      <c r="J1274" t="n">
        <v>2</v>
      </c>
      <c r="K1274" t="inlineStr">
        <is>
          <t>2¹, 4¹, 6², 12²</t>
        </is>
      </c>
      <c r="L1274" t="inlineStr">
        <is>
          <t>9D⁰, 21D², 63A²</t>
        </is>
      </c>
      <c r="M1274" t="inlineStr">
        <is>
          <t>126J¹², 63B¹⁴, 126F¹⁵, 63A¹⁷, 126A¹⁸, 63A²⁰, 126A²¹, 63A²²</t>
        </is>
      </c>
      <c r="N1274" t="inlineStr">
        <is>
          <t>21D², 9D⁰, 9A⁰, 21A⁰, 3C⁰, 7A⁰, 3A⁰, 1A⁰, 63A²</t>
        </is>
      </c>
      <c r="O1274" t="inlineStr">
        <is>
          <t>126A¹⁸, 63B¹⁴, 126A²¹, 126F¹⁵, 63A¹⁷, 63A²², 63A²⁰, 126J¹²</t>
        </is>
      </c>
    </row>
    <row r="1275">
      <c r="A1275">
        <f>HYPERLINK("https://mathstats.uncg.edu/sites/pauli/congruence/csg6.html#group63F6", "63F⁶")</f>
        <v/>
      </c>
      <c r="B1275" t="n">
        <v>6</v>
      </c>
      <c r="C1275" t="inlineStr"/>
      <c r="D1275" t="inlineStr">
        <is>
          <t>126</t>
        </is>
      </c>
      <c r="E1275" t="inlineStr">
        <is>
          <t>2</t>
        </is>
      </c>
      <c r="F1275" t="inlineStr">
        <is>
          <t>63</t>
        </is>
      </c>
      <c r="G1275" t="inlineStr">
        <is>
          <t>18</t>
        </is>
      </c>
      <c r="H1275" t="inlineStr">
        <is>
          <t>0</t>
        </is>
      </c>
      <c r="I1275" t="inlineStr">
        <is>
          <t>63²</t>
        </is>
      </c>
      <c r="J1275" t="n">
        <v>2</v>
      </c>
      <c r="K1275" t="inlineStr">
        <is>
          <t>4³, 12⁸, 36⁴</t>
        </is>
      </c>
      <c r="L1275" t="inlineStr">
        <is>
          <t>21D¹, 63A²</t>
        </is>
      </c>
      <c r="M1275" t="inlineStr">
        <is>
          <t>126J¹³, 63B¹⁴, 126E¹⁴, 63B¹⁸, 126C¹⁸, 63D¹⁹, 126E²¹, 63A²³, 63D²⁴, 63F²⁴, 63H²⁴</t>
        </is>
      </c>
      <c r="N1275" t="inlineStr">
        <is>
          <t>21D¹, 9A⁰, 63A², 21A⁰, 3A⁰, 1A⁰, 7A⁰</t>
        </is>
      </c>
      <c r="O1275" t="inlineStr">
        <is>
          <t>63B¹⁴, 63B¹⁸, 126J¹³, 126E¹⁴, 126C¹⁸, 63D¹⁹, 63F²⁴, 63H²⁴, 63A²³, 63D²⁴, 126E²¹</t>
        </is>
      </c>
    </row>
    <row r="1276">
      <c r="A1276">
        <f>HYPERLINK("https://mathstats.uncg.edu/sites/pauli/congruence/csg6.html#group63G6", "63G⁶")</f>
        <v/>
      </c>
      <c r="B1276" t="n">
        <v>6</v>
      </c>
      <c r="C1276" t="inlineStr"/>
      <c r="D1276" t="inlineStr">
        <is>
          <t>126</t>
        </is>
      </c>
      <c r="E1276" t="inlineStr">
        <is>
          <t>2</t>
        </is>
      </c>
      <c r="F1276" t="inlineStr">
        <is>
          <t>63</t>
        </is>
      </c>
      <c r="G1276" t="inlineStr">
        <is>
          <t>18</t>
        </is>
      </c>
      <c r="H1276" t="inlineStr">
        <is>
          <t>0</t>
        </is>
      </c>
      <c r="I1276" t="inlineStr">
        <is>
          <t>63²</t>
        </is>
      </c>
      <c r="J1276" t="n">
        <v>2</v>
      </c>
      <c r="K1276" t="inlineStr">
        <is>
          <t>4³, 12⁸, 36⁴</t>
        </is>
      </c>
      <c r="L1276" t="inlineStr">
        <is>
          <t>21D¹, 63A²</t>
        </is>
      </c>
      <c r="M1276" t="inlineStr">
        <is>
          <t>126K¹³, 63B¹⁴, 126F¹⁴, 63C¹⁸, 126B¹⁸, 63E¹⁹, 126F²¹, 63A²³, 63E²⁴, 63G²⁴, 63I²⁴</t>
        </is>
      </c>
      <c r="N1276" t="inlineStr">
        <is>
          <t>21D¹, 9A⁰, 63A², 21A⁰, 3A⁰, 1A⁰, 7A⁰</t>
        </is>
      </c>
      <c r="O1276" t="inlineStr">
        <is>
          <t>63I²⁴, 63B¹⁴, 126F¹⁴, 63A²³, 126F²¹, 126K¹³, 63E¹⁹, 126B¹⁸, 63G²⁴, 63C¹⁸, 63E²⁴</t>
        </is>
      </c>
    </row>
    <row r="1277">
      <c r="A1277">
        <f>HYPERLINK("https://mathstats.uncg.edu/sites/pauli/congruence/csg6.html#group64A6", "64A⁶")</f>
        <v/>
      </c>
      <c r="B1277" t="n">
        <v>6</v>
      </c>
      <c r="C1277" t="inlineStr"/>
      <c r="D1277" t="inlineStr">
        <is>
          <t>96</t>
        </is>
      </c>
      <c r="E1277" t="inlineStr">
        <is>
          <t>1</t>
        </is>
      </c>
      <c r="F1277" t="inlineStr">
        <is>
          <t>24</t>
        </is>
      </c>
      <c r="G1277" t="inlineStr">
        <is>
          <t>0</t>
        </is>
      </c>
      <c r="H1277" t="inlineStr">
        <is>
          <t>0</t>
        </is>
      </c>
      <c r="I1277" t="inlineStr">
        <is>
          <t>4⁴, 16¹, 64¹</t>
        </is>
      </c>
      <c r="J1277" t="n">
        <v>6</v>
      </c>
      <c r="K1277" t="inlineStr">
        <is>
          <t>2⁸, 8¹</t>
        </is>
      </c>
      <c r="L1277" t="inlineStr">
        <is>
          <t>32A²</t>
        </is>
      </c>
      <c r="M1277" t="inlineStr">
        <is>
          <t>64A¹¹, 64B¹¹, 192A²²</t>
        </is>
      </c>
      <c r="N1277" t="inlineStr">
        <is>
          <t>32A², 8C⁰, 2B⁰, 4B⁰, 1A⁰, 16C⁰</t>
        </is>
      </c>
      <c r="O1277" t="inlineStr">
        <is>
          <t>192A²², 64C²¹, 64B¹¹, 64E²¹, 64J²¹, 64D²¹, 64K²¹, 64A¹¹</t>
        </is>
      </c>
    </row>
    <row r="1278">
      <c r="A1278">
        <f>HYPERLINK("https://mathstats.uncg.edu/sites/pauli/congruence/csg6.html#group66A6", "66A⁶")</f>
        <v/>
      </c>
      <c r="B1278" t="n">
        <v>6</v>
      </c>
      <c r="C1278" t="inlineStr"/>
      <c r="D1278" t="inlineStr">
        <is>
          <t>66</t>
        </is>
      </c>
      <c r="E1278" t="inlineStr">
        <is>
          <t>2</t>
        </is>
      </c>
      <c r="F1278" t="inlineStr">
        <is>
          <t>11</t>
        </is>
      </c>
      <c r="G1278" t="inlineStr">
        <is>
          <t>0</t>
        </is>
      </c>
      <c r="H1278" t="inlineStr">
        <is>
          <t>0</t>
        </is>
      </c>
      <c r="I1278" t="inlineStr">
        <is>
          <t>66¹</t>
        </is>
      </c>
      <c r="J1278" t="n">
        <v>1</v>
      </c>
      <c r="K1278" t="inlineStr">
        <is>
          <t>2¹, 10²</t>
        </is>
      </c>
      <c r="L1278" t="inlineStr">
        <is>
          <t>6A¹, 22A¹, 33A¹</t>
        </is>
      </c>
      <c r="M1278" t="inlineStr">
        <is>
          <t>66A¹¹, 66A¹⁶, 198A¹⁷, 132A²²</t>
        </is>
      </c>
      <c r="N1278" t="inlineStr">
        <is>
          <t>11A⁰, 2A⁰, 22A¹, 33A¹, 6A¹, 3A⁰, 1A⁰</t>
        </is>
      </c>
      <c r="O1278" t="inlineStr">
        <is>
          <t>132A²², 66A¹⁶, 66A²¹, 198A¹⁷, 66A¹¹</t>
        </is>
      </c>
    </row>
    <row r="1279">
      <c r="A1279">
        <f>HYPERLINK("https://mathstats.uncg.edu/sites/pauli/congruence/csg6.html#group66B6", "66B⁶")</f>
        <v/>
      </c>
      <c r="B1279" t="n">
        <v>6</v>
      </c>
      <c r="C1279" t="inlineStr"/>
      <c r="D1279" t="inlineStr">
        <is>
          <t>72</t>
        </is>
      </c>
      <c r="E1279" t="inlineStr">
        <is>
          <t>1</t>
        </is>
      </c>
      <c r="F1279" t="inlineStr">
        <is>
          <t>12</t>
        </is>
      </c>
      <c r="G1279" t="inlineStr">
        <is>
          <t>0</t>
        </is>
      </c>
      <c r="H1279" t="inlineStr">
        <is>
          <t>0</t>
        </is>
      </c>
      <c r="I1279" t="inlineStr">
        <is>
          <t>6¹, 66¹</t>
        </is>
      </c>
      <c r="J1279" t="n">
        <v>2</v>
      </c>
      <c r="K1279" t="inlineStr">
        <is>
          <t>1², 10¹</t>
        </is>
      </c>
      <c r="L1279" t="inlineStr">
        <is>
          <t>6A¹, 22A², 33A³</t>
        </is>
      </c>
      <c r="M1279" t="inlineStr">
        <is>
          <t>66C¹¹, 132A¹², 132C¹², 66B¹⁶, 198B¹⁸, 132C²³</t>
        </is>
      </c>
      <c r="N1279" t="inlineStr">
        <is>
          <t>2A⁰, 11A¹, 22A², 6A¹, 3A⁰, 33A³, 1A⁰</t>
        </is>
      </c>
      <c r="O1279" t="inlineStr">
        <is>
          <t>132B²³, 132C¹², 132A¹², 132C²³, 66C¹¹, 66B¹⁶, 198B¹⁸, 66C²¹, 132A²³</t>
        </is>
      </c>
    </row>
    <row r="1280">
      <c r="A1280">
        <f>HYPERLINK("https://mathstats.uncg.edu/sites/pauli/congruence/csg6.html#group66C6", "66C⁶")</f>
        <v/>
      </c>
      <c r="B1280" t="n">
        <v>6</v>
      </c>
      <c r="C1280" t="inlineStr"/>
      <c r="D1280" t="inlineStr">
        <is>
          <t>72</t>
        </is>
      </c>
      <c r="E1280" t="inlineStr">
        <is>
          <t>1</t>
        </is>
      </c>
      <c r="F1280" t="inlineStr">
        <is>
          <t>24</t>
        </is>
      </c>
      <c r="G1280" t="inlineStr">
        <is>
          <t>0</t>
        </is>
      </c>
      <c r="H1280" t="inlineStr">
        <is>
          <t>0</t>
        </is>
      </c>
      <c r="I1280" t="inlineStr">
        <is>
          <t>6¹, 66¹</t>
        </is>
      </c>
      <c r="J1280" t="n">
        <v>2</v>
      </c>
      <c r="K1280" t="inlineStr">
        <is>
          <t>2², 20¹</t>
        </is>
      </c>
      <c r="L1280" t="inlineStr">
        <is>
          <t>6A⁰, 22A²</t>
        </is>
      </c>
      <c r="M1280" t="inlineStr">
        <is>
          <t>132B¹², 66B¹⁶, 66D²¹, 132E²³, 132H²³</t>
        </is>
      </c>
      <c r="N1280" t="inlineStr">
        <is>
          <t>2A⁰, 6A⁰, 1A⁰, 11A¹, 22A²</t>
        </is>
      </c>
      <c r="O1280" t="inlineStr">
        <is>
          <t>66D²¹, 132E²³, 132B¹², 132H²³, 66B¹⁶</t>
        </is>
      </c>
    </row>
    <row r="1281">
      <c r="A1281">
        <f>HYPERLINK("https://mathstats.uncg.edu/sites/pauli/congruence/csg6.html#group66D6", "66D⁶")</f>
        <v/>
      </c>
      <c r="B1281" t="n">
        <v>6</v>
      </c>
      <c r="C1281" t="inlineStr"/>
      <c r="D1281" t="inlineStr">
        <is>
          <t>72</t>
        </is>
      </c>
      <c r="E1281" t="inlineStr">
        <is>
          <t>1</t>
        </is>
      </c>
      <c r="F1281" t="inlineStr">
        <is>
          <t>36</t>
        </is>
      </c>
      <c r="G1281" t="inlineStr">
        <is>
          <t>0</t>
        </is>
      </c>
      <c r="H1281" t="inlineStr">
        <is>
          <t>0</t>
        </is>
      </c>
      <c r="I1281" t="inlineStr">
        <is>
          <t>6¹, 66¹</t>
        </is>
      </c>
      <c r="J1281" t="n">
        <v>2</v>
      </c>
      <c r="K1281" t="inlineStr">
        <is>
          <t>1², 2², 10¹, 20¹</t>
        </is>
      </c>
      <c r="L1281" t="inlineStr">
        <is>
          <t>6B⁰, 33A³</t>
        </is>
      </c>
      <c r="M1281" t="inlineStr">
        <is>
          <t>66B¹¹, 66C¹¹, 66C¹⁶, 198A¹⁸, 198C¹⁸, 198D¹⁸, 132F²³</t>
        </is>
      </c>
      <c r="N1281" t="inlineStr">
        <is>
          <t>6B⁰, 3A⁰, 33A³, 1A⁰, 11A¹</t>
        </is>
      </c>
      <c r="O1281" t="inlineStr">
        <is>
          <t>198A¹⁸, 132B²³, 66B¹¹, 132D²³, 132F²³, 66C¹¹, 66C¹⁶, 198D¹⁸, 198C¹⁸, 66C²¹, 132A²³</t>
        </is>
      </c>
    </row>
    <row r="1282">
      <c r="A1282">
        <f>HYPERLINK("https://mathstats.uncg.edu/sites/pauli/congruence/csg6.html#group66E6", "66E⁶")</f>
        <v/>
      </c>
      <c r="B1282" t="n">
        <v>6</v>
      </c>
      <c r="C1282" t="inlineStr"/>
      <c r="D1282" t="inlineStr">
        <is>
          <t>88</t>
        </is>
      </c>
      <c r="E1282" t="inlineStr">
        <is>
          <t>2</t>
        </is>
      </c>
      <c r="F1282" t="inlineStr">
        <is>
          <t>44</t>
        </is>
      </c>
      <c r="G1282" t="inlineStr">
        <is>
          <t>0</t>
        </is>
      </c>
      <c r="H1282" t="inlineStr">
        <is>
          <t>4</t>
        </is>
      </c>
      <c r="I1282" t="inlineStr">
        <is>
          <t>22¹, 66¹</t>
        </is>
      </c>
      <c r="J1282" t="n">
        <v>2</v>
      </c>
      <c r="K1282" t="inlineStr">
        <is>
          <t>2², 4¹, 10⁴, 20²</t>
        </is>
      </c>
      <c r="L1282" t="inlineStr">
        <is>
          <t>6C⁰, 22A¹, 33B³</t>
        </is>
      </c>
      <c r="M1282" t="inlineStr">
        <is>
          <t>132E¹², 198E¹⁸, 66A¹⁹, 198A¹⁹, 66A²⁰, 198A²⁰, 66A²¹, 198A²¹, 198A²², 198B²²</t>
        </is>
      </c>
      <c r="N1282" t="inlineStr">
        <is>
          <t>11A⁰, 3B⁰, 2A⁰, 22A¹, 33B³, 6C⁰, 1A⁰</t>
        </is>
      </c>
      <c r="O1282" t="inlineStr">
        <is>
          <t>66A²⁰, 66A¹⁹, 132E¹², 198B²², 198A²², 198E¹⁸, 198A²¹, 198A¹⁹, 66A²¹, 198A²⁰</t>
        </is>
      </c>
    </row>
    <row r="1283">
      <c r="A1283">
        <f>HYPERLINK("https://mathstats.uncg.edu/sites/pauli/congruence/csg6.html#group66F6", "66F⁶")</f>
        <v/>
      </c>
      <c r="B1283" t="n">
        <v>6</v>
      </c>
      <c r="C1283" t="inlineStr"/>
      <c r="D1283" t="inlineStr">
        <is>
          <t>99</t>
        </is>
      </c>
      <c r="E1283" t="inlineStr">
        <is>
          <t>2</t>
        </is>
      </c>
      <c r="F1283" t="inlineStr">
        <is>
          <t>33</t>
        </is>
      </c>
      <c r="G1283" t="inlineStr">
        <is>
          <t>9</t>
        </is>
      </c>
      <c r="H1283" t="inlineStr">
        <is>
          <t>0</t>
        </is>
      </c>
      <c r="I1283" t="inlineStr">
        <is>
          <t>33¹, 66¹</t>
        </is>
      </c>
      <c r="J1283" t="n">
        <v>2</v>
      </c>
      <c r="K1283" t="inlineStr">
        <is>
          <t>2³, 10⁶</t>
        </is>
      </c>
      <c r="L1283" t="inlineStr">
        <is>
          <t>6D⁰, 33A¹, 22B²</t>
        </is>
      </c>
      <c r="M1283" t="inlineStr">
        <is>
          <t>132F¹², 66B¹³, 132A¹³, 66A¹⁴, 132D¹⁵, 66A¹⁶, 132A¹⁶, 198E²¹</t>
        </is>
      </c>
      <c r="N1283" t="inlineStr">
        <is>
          <t>11A⁰, 33A¹, 2B⁰, 22B², 3A⁰, 1A⁰, 6D⁰</t>
        </is>
      </c>
      <c r="O1283" t="inlineStr">
        <is>
          <t>66A¹⁶, 66B¹³, 132A¹⁶, 264C²⁴, 132D¹⁵, 132A¹³, 66A¹⁴, 132F¹², 198E²¹</t>
        </is>
      </c>
    </row>
    <row r="1284">
      <c r="A1284">
        <f>HYPERLINK("https://mathstats.uncg.edu/sites/pauli/congruence/csg6.html#group69A6", "69A⁶")</f>
        <v/>
      </c>
      <c r="B1284" t="n">
        <v>6</v>
      </c>
      <c r="C1284" t="inlineStr"/>
      <c r="D1284" t="inlineStr">
        <is>
          <t>72</t>
        </is>
      </c>
      <c r="E1284" t="inlineStr">
        <is>
          <t>1</t>
        </is>
      </c>
      <c r="F1284" t="inlineStr">
        <is>
          <t>24</t>
        </is>
      </c>
      <c r="G1284" t="inlineStr">
        <is>
          <t>0</t>
        </is>
      </c>
      <c r="H1284" t="inlineStr">
        <is>
          <t>0</t>
        </is>
      </c>
      <c r="I1284" t="inlineStr">
        <is>
          <t>3¹, 69¹</t>
        </is>
      </c>
      <c r="J1284" t="n">
        <v>2</v>
      </c>
      <c r="K1284" t="inlineStr">
        <is>
          <t>1², 22¹</t>
        </is>
      </c>
      <c r="L1284" t="inlineStr">
        <is>
          <t>3A⁰, 23A²</t>
        </is>
      </c>
      <c r="M1284" t="inlineStr">
        <is>
          <t>69A¹¹, 138A¹², 138C¹², 138A¹⁷, 207A¹⁸, 276D²⁴</t>
        </is>
      </c>
      <c r="N1284" t="inlineStr">
        <is>
          <t>3A⁰, 1A⁰, 23A²</t>
        </is>
      </c>
      <c r="O1284" t="inlineStr">
        <is>
          <t>276C²⁴, 138A¹², 276D²⁴, 276A²⁴, 69A¹¹, 138C¹², 69A²¹, 138B²³, 207A¹⁸, 138A²³, 138A¹⁷</t>
        </is>
      </c>
    </row>
    <row r="1285">
      <c r="A1285">
        <f>HYPERLINK("https://mathstats.uncg.edu/sites/pauli/congruence/csg6.html#group70A6", "70A⁶")</f>
        <v/>
      </c>
      <c r="B1285" t="n">
        <v>6</v>
      </c>
      <c r="C1285" t="inlineStr"/>
      <c r="D1285" t="inlineStr">
        <is>
          <t>84</t>
        </is>
      </c>
      <c r="E1285" t="inlineStr">
        <is>
          <t>2</t>
        </is>
      </c>
      <c r="F1285" t="inlineStr">
        <is>
          <t>42</t>
        </is>
      </c>
      <c r="G1285" t="inlineStr">
        <is>
          <t>4</t>
        </is>
      </c>
      <c r="H1285" t="inlineStr">
        <is>
          <t>0</t>
        </is>
      </c>
      <c r="I1285" t="inlineStr">
        <is>
          <t>14¹, 70¹</t>
        </is>
      </c>
      <c r="J1285" t="n">
        <v>2</v>
      </c>
      <c r="K1285" t="inlineStr">
        <is>
          <t>2², 6⁴, 8¹, 24²</t>
        </is>
      </c>
      <c r="L1285" t="inlineStr">
        <is>
          <t>35C²</t>
        </is>
      </c>
      <c r="M1285" t="inlineStr">
        <is>
          <t>70D¹¹, 70A¹³, 70B¹³, 70G¹⁶, 70G¹⁸, 210F¹⁸</t>
        </is>
      </c>
      <c r="N1285" t="inlineStr">
        <is>
          <t>35C², 5B⁰, 1A⁰, 7A⁰</t>
        </is>
      </c>
      <c r="O1285" t="inlineStr">
        <is>
          <t>70G¹⁸, 70G¹⁶, 70D¹¹, 70B¹³, 210F¹⁸, 70A¹³</t>
        </is>
      </c>
    </row>
    <row r="1286">
      <c r="A1286">
        <f>HYPERLINK("https://mathstats.uncg.edu/sites/pauli/congruence/csg6.html#group71A6", "71A⁶")</f>
        <v/>
      </c>
      <c r="B1286" t="n">
        <v>6</v>
      </c>
      <c r="C1286" t="inlineStr">
        <is>
          <t>Γ₀(71)</t>
        </is>
      </c>
      <c r="D1286" t="inlineStr">
        <is>
          <t>72</t>
        </is>
      </c>
      <c r="E1286" t="inlineStr">
        <is>
          <t>1</t>
        </is>
      </c>
      <c r="F1286" t="inlineStr">
        <is>
          <t>72</t>
        </is>
      </c>
      <c r="G1286" t="inlineStr">
        <is>
          <t>0</t>
        </is>
      </c>
      <c r="H1286" t="inlineStr">
        <is>
          <t>0</t>
        </is>
      </c>
      <c r="I1286" t="inlineStr">
        <is>
          <t>1¹, 71¹</t>
        </is>
      </c>
      <c r="J1286" t="n">
        <v>2</v>
      </c>
      <c r="K1286" t="inlineStr">
        <is>
          <t>1², 70¹</t>
        </is>
      </c>
      <c r="L1286" t="inlineStr">
        <is>
          <t>1A⁰</t>
        </is>
      </c>
      <c r="M1286" t="inlineStr">
        <is>
          <t>142A¹², 142A¹⁷, 213A¹⁸, 213A²³, 284B²⁴</t>
        </is>
      </c>
      <c r="N1286" t="inlineStr">
        <is>
          <t>1A⁰</t>
        </is>
      </c>
      <c r="O1286" t="inlineStr">
        <is>
          <t>142A¹⁷, 284B²⁴, 213A¹⁸, 142A¹², 284A²⁴, 213A²³</t>
        </is>
      </c>
    </row>
    <row r="1287">
      <c r="A1287">
        <f>HYPERLINK("https://mathstats.uncg.edu/sites/pauli/congruence/csg6.html#group72A6", "72A⁶")</f>
        <v/>
      </c>
      <c r="B1287" t="n">
        <v>6</v>
      </c>
      <c r="C1287" t="inlineStr"/>
      <c r="D1287" t="inlineStr">
        <is>
          <t>96</t>
        </is>
      </c>
      <c r="E1287" t="inlineStr">
        <is>
          <t>2</t>
        </is>
      </c>
      <c r="F1287" t="inlineStr">
        <is>
          <t>16</t>
        </is>
      </c>
      <c r="G1287" t="inlineStr">
        <is>
          <t>0</t>
        </is>
      </c>
      <c r="H1287" t="inlineStr">
        <is>
          <t>6</t>
        </is>
      </c>
      <c r="I1287" t="inlineStr">
        <is>
          <t>24¹, 72¹</t>
        </is>
      </c>
      <c r="J1287" t="n">
        <v>2</v>
      </c>
      <c r="K1287" t="inlineStr">
        <is>
          <t>4⁴, 8²</t>
        </is>
      </c>
      <c r="L1287" t="inlineStr">
        <is>
          <t>24A², 36C³</t>
        </is>
      </c>
      <c r="M1287" t="inlineStr">
        <is>
          <t>72J¹¹, 144A¹², 72C²⁰, 216A²⁰, 72A²², 72C²², 216B²², 216A²⁴</t>
        </is>
      </c>
      <c r="N1287" t="inlineStr">
        <is>
          <t>3B⁰, 24A², 4A⁰, 12A¹, 8A⁰, 9C⁰, 1A⁰, 36C³</t>
        </is>
      </c>
      <c r="O1287" t="inlineStr">
        <is>
          <t>72C²⁰, 144A¹², 216A²⁰, 144V²³, 72Y²¹, 72J¹¹, 216B²², 144U²³, 72A²², 216A²⁴, 72C²²</t>
        </is>
      </c>
    </row>
    <row r="1288">
      <c r="A1288">
        <f>HYPERLINK("https://mathstats.uncg.edu/sites/pauli/congruence/csg6.html#group72B6", "72B⁶")</f>
        <v/>
      </c>
      <c r="B1288" t="n">
        <v>6</v>
      </c>
      <c r="C1288" t="inlineStr"/>
      <c r="D1288" t="inlineStr">
        <is>
          <t>108</t>
        </is>
      </c>
      <c r="E1288" t="inlineStr">
        <is>
          <t>1</t>
        </is>
      </c>
      <c r="F1288" t="inlineStr">
        <is>
          <t>27</t>
        </is>
      </c>
      <c r="G1288" t="inlineStr">
        <is>
          <t>12</t>
        </is>
      </c>
      <c r="H1288" t="inlineStr">
        <is>
          <t>0</t>
        </is>
      </c>
      <c r="I1288" t="inlineStr">
        <is>
          <t>36¹, 72¹</t>
        </is>
      </c>
      <c r="J1288" t="n">
        <v>2</v>
      </c>
      <c r="K1288" t="inlineStr">
        <is>
          <t>1³, 2³, 6³</t>
        </is>
      </c>
      <c r="L1288" t="inlineStr">
        <is>
          <t>24C², 36B²</t>
        </is>
      </c>
      <c r="M1288" t="inlineStr">
        <is>
          <t>72N¹¹, 72R¹¹, 72D¹⁴, 72E¹⁴, 72H¹⁴, 72D¹⁷, 72E¹⁷, 72I¹⁷, 72J²²</t>
        </is>
      </c>
      <c r="N1288" t="inlineStr">
        <is>
          <t>12C⁰, 9A⁰, 36B², 4C⁰, 2B⁰, 24C², 18E¹, 3A⁰, 1A⁰, 6D⁰</t>
        </is>
      </c>
      <c r="O1288" t="inlineStr">
        <is>
          <t>72E¹⁷, 72J²², 72AA²¹, 72D¹⁷, 72I¹⁷, 144X²³, 144W²³, 72R¹¹, 72E¹⁴, 72H¹⁴, 72D¹⁴, 72N¹¹</t>
        </is>
      </c>
    </row>
    <row r="1289">
      <c r="A1289">
        <f>HYPERLINK("https://mathstats.uncg.edu/sites/pauli/congruence/csg6.html#group72C6", "72C⁶")</f>
        <v/>
      </c>
      <c r="B1289" t="n">
        <v>6</v>
      </c>
      <c r="C1289" t="inlineStr"/>
      <c r="D1289" t="inlineStr">
        <is>
          <t>108</t>
        </is>
      </c>
      <c r="E1289" t="inlineStr">
        <is>
          <t>1</t>
        </is>
      </c>
      <c r="F1289" t="inlineStr">
        <is>
          <t>54</t>
        </is>
      </c>
      <c r="G1289" t="inlineStr">
        <is>
          <t>10</t>
        </is>
      </c>
      <c r="H1289" t="inlineStr">
        <is>
          <t>0</t>
        </is>
      </c>
      <c r="I1289" t="inlineStr">
        <is>
          <t>18², 72¹</t>
        </is>
      </c>
      <c r="J1289" t="n">
        <v>3</v>
      </c>
      <c r="K1289" t="inlineStr">
        <is>
          <t>1², 2⁴, 4², 6², 12²</t>
        </is>
      </c>
      <c r="L1289" t="inlineStr">
        <is>
          <t>24C¹, 36B²</t>
        </is>
      </c>
      <c r="M1289" t="inlineStr">
        <is>
          <t>72F¹², 72M¹², 72H¹³, 72N¹³, 72C¹⁴, 72E¹⁴, 144B¹⁴, 144C¹⁴, 144D¹⁴, 72K¹⁵, 72V¹⁵, 144B¹⁵, 144C¹⁵, 144D¹⁵, 72A¹⁶, 72M¹⁶, 72F¹⁷, 72D²⁰</t>
        </is>
      </c>
      <c r="N1289" t="inlineStr">
        <is>
          <t>12C⁰, 8D⁰, 9A⁰, 36B², 4C⁰, 24C¹, 2B⁰, 18E¹, 3A⁰, 1A⁰, 6D⁰</t>
        </is>
      </c>
      <c r="O1289" t="inlineStr">
        <is>
          <t>72V¹⁵, 72M¹⁶, 144D¹⁵, 72D²⁰, 144B¹⁴, 144D¹⁴, 72A¹⁶, 144C¹⁵, 72H¹³, 72K¹⁵, 72F¹², 72F¹⁷, 144C¹⁴, 72M¹², 144B¹⁵, 72E¹⁴, 72C¹⁴, 72N¹³</t>
        </is>
      </c>
    </row>
    <row r="1290">
      <c r="A1290">
        <f>HYPERLINK("https://mathstats.uncg.edu/sites/pauli/congruence/csg6.html#group72D6", "72D⁶")</f>
        <v/>
      </c>
      <c r="B1290" t="n">
        <v>6</v>
      </c>
      <c r="C1290" t="inlineStr"/>
      <c r="D1290" t="inlineStr">
        <is>
          <t>108</t>
        </is>
      </c>
      <c r="E1290" t="inlineStr">
        <is>
          <t>1</t>
        </is>
      </c>
      <c r="F1290" t="inlineStr">
        <is>
          <t>54</t>
        </is>
      </c>
      <c r="G1290" t="inlineStr">
        <is>
          <t>10</t>
        </is>
      </c>
      <c r="H1290" t="inlineStr">
        <is>
          <t>0</t>
        </is>
      </c>
      <c r="I1290" t="inlineStr">
        <is>
          <t>18², 72¹</t>
        </is>
      </c>
      <c r="J1290" t="n">
        <v>3</v>
      </c>
      <c r="K1290" t="inlineStr">
        <is>
          <t>1², 2⁴, 4², 6², 12²</t>
        </is>
      </c>
      <c r="L1290" t="inlineStr">
        <is>
          <t>24E¹, 36B²</t>
        </is>
      </c>
      <c r="M1290" t="inlineStr">
        <is>
          <t>72G¹², 72L¹², 72H¹³, 72P¹³, 72C¹⁴, 72D¹⁴, 72J¹⁵, 72U¹⁵, 72B¹⁶, 72O¹⁶, 72G¹⁷, 72F²⁰</t>
        </is>
      </c>
      <c r="N1290" t="inlineStr">
        <is>
          <t>24E¹, 12C⁰, 9A⁰, 36B², 4C⁰, 2B⁰, 18E¹, 3A⁰, 1A⁰, 6D⁰</t>
        </is>
      </c>
      <c r="O1290" t="inlineStr">
        <is>
          <t>72J¹⁵, 72L¹², 72O¹⁶, 72P¹³, 72G¹⁷, 72B¹⁶, 72C¹⁴, 72U¹⁵, 72F²⁰, 72H¹³, 72D¹⁴, 72G¹²</t>
        </is>
      </c>
    </row>
    <row r="1291">
      <c r="A1291">
        <f>HYPERLINK("https://mathstats.uncg.edu/sites/pauli/congruence/csg6.html#group72E6", "72E⁶")</f>
        <v/>
      </c>
      <c r="B1291" t="n">
        <v>6</v>
      </c>
      <c r="C1291" t="inlineStr"/>
      <c r="D1291" t="inlineStr">
        <is>
          <t>108</t>
        </is>
      </c>
      <c r="E1291" t="inlineStr">
        <is>
          <t>2</t>
        </is>
      </c>
      <c r="F1291" t="inlineStr">
        <is>
          <t>54</t>
        </is>
      </c>
      <c r="G1291" t="inlineStr">
        <is>
          <t>10</t>
        </is>
      </c>
      <c r="H1291" t="inlineStr">
        <is>
          <t>0</t>
        </is>
      </c>
      <c r="I1291" t="inlineStr">
        <is>
          <t>18², 72¹</t>
        </is>
      </c>
      <c r="J1291" t="n">
        <v>3</v>
      </c>
      <c r="K1291" t="inlineStr">
        <is>
          <t>2⁶, 4⁶, 6⁴, 12⁴</t>
        </is>
      </c>
      <c r="L1291" t="inlineStr">
        <is>
          <t>24E¹, 36B²</t>
        </is>
      </c>
      <c r="M1291" t="inlineStr">
        <is>
          <t>72M¹², 72L¹², 72N¹², 72G¹³, 72M¹³, 72O¹³, 72B¹⁴, 72H¹⁴, 72V¹⁵, 72U¹⁵, 72W¹⁵, 72I¹⁶, 72L¹⁶, 72N¹⁶, 72L¹⁷, 72E²⁰, 72F²⁰</t>
        </is>
      </c>
      <c r="N1291" t="inlineStr">
        <is>
          <t>24E¹, 12C⁰, 9A⁰, 36B², 4C⁰, 2B⁰, 18E¹, 3A⁰, 1A⁰, 6D⁰</t>
        </is>
      </c>
      <c r="O1291" t="inlineStr">
        <is>
          <t>72V¹⁵, 72B¹⁴, 72L¹⁷, 72I¹⁶, 72L¹², 72U¹⁵, 72N¹², 72H¹⁴, 72L¹⁶, 72N¹⁶, 72M¹³, 72E²⁰, 72O¹³, 72M¹², 72W¹⁵, 72G¹³, 72F²⁰</t>
        </is>
      </c>
    </row>
    <row r="1292">
      <c r="A1292">
        <f>HYPERLINK("https://mathstats.uncg.edu/sites/pauli/congruence/csg6.html#group75A6", "75A⁶")</f>
        <v/>
      </c>
      <c r="B1292" t="n">
        <v>6</v>
      </c>
      <c r="C1292" t="inlineStr"/>
      <c r="D1292" t="inlineStr">
        <is>
          <t>90</t>
        </is>
      </c>
      <c r="E1292" t="inlineStr">
        <is>
          <t>1</t>
        </is>
      </c>
      <c r="F1292" t="inlineStr">
        <is>
          <t>30</t>
        </is>
      </c>
      <c r="G1292" t="inlineStr">
        <is>
          <t>6</t>
        </is>
      </c>
      <c r="H1292" t="inlineStr">
        <is>
          <t>0</t>
        </is>
      </c>
      <c r="I1292" t="inlineStr">
        <is>
          <t>15¹, 75¹</t>
        </is>
      </c>
      <c r="J1292" t="n">
        <v>2</v>
      </c>
      <c r="K1292" t="inlineStr">
        <is>
          <t>2², 4⁴, 20²</t>
        </is>
      </c>
      <c r="L1292" t="inlineStr">
        <is>
          <t>15B⁰, 25A²</t>
        </is>
      </c>
      <c r="M1292" t="inlineStr">
        <is>
          <t>75A¹², 150A¹², 75A¹³, 150C¹³, 75A¹⁴, 150A¹⁴, 150A¹⁵, 150A²⁰, 225A²⁰</t>
        </is>
      </c>
      <c r="N1292" t="inlineStr">
        <is>
          <t>5B⁰, 15B⁰, 25A², 3A⁰, 1A⁰</t>
        </is>
      </c>
      <c r="O1292" t="inlineStr">
        <is>
          <t>75A¹³, 150A¹², 75A¹², 150A¹⁵, 225A²⁰, 150A¹⁴, 75A¹⁴, 150A²⁰, 150C¹³</t>
        </is>
      </c>
    </row>
    <row r="1293">
      <c r="A1293">
        <f>HYPERLINK("https://mathstats.uncg.edu/sites/pauli/congruence/csg6.html#group75B6", "75B⁶")</f>
        <v/>
      </c>
      <c r="B1293" t="n">
        <v>6</v>
      </c>
      <c r="C1293" t="inlineStr"/>
      <c r="D1293" t="inlineStr">
        <is>
          <t>90</t>
        </is>
      </c>
      <c r="E1293" t="inlineStr">
        <is>
          <t>1</t>
        </is>
      </c>
      <c r="F1293" t="inlineStr">
        <is>
          <t>30</t>
        </is>
      </c>
      <c r="G1293" t="inlineStr">
        <is>
          <t>6</t>
        </is>
      </c>
      <c r="H1293" t="inlineStr">
        <is>
          <t>0</t>
        </is>
      </c>
      <c r="I1293" t="inlineStr">
        <is>
          <t>15¹, 75¹</t>
        </is>
      </c>
      <c r="J1293" t="n">
        <v>2</v>
      </c>
      <c r="K1293" t="inlineStr">
        <is>
          <t>2², 4⁴, 20²</t>
        </is>
      </c>
      <c r="L1293" t="inlineStr">
        <is>
          <t>15B⁰, 25B²</t>
        </is>
      </c>
      <c r="M1293" t="inlineStr">
        <is>
          <t>75B¹², 150B¹², 75B¹³, 150D¹³, 75B¹⁴, 150B¹⁴, 150B¹⁵, 150B²⁰, 225B²⁰</t>
        </is>
      </c>
      <c r="N1293" t="inlineStr">
        <is>
          <t>5B⁰, 15B⁰, 3A⁰, 1A⁰, 25B²</t>
        </is>
      </c>
      <c r="O1293" t="inlineStr">
        <is>
          <t>150B¹², 225B²⁰, 75B¹², 75B¹⁴, 150D¹³, 150B¹⁴, 75B¹³, 150B¹⁵, 150B²⁰</t>
        </is>
      </c>
    </row>
    <row r="1294">
      <c r="A1294">
        <f>HYPERLINK("https://mathstats.uncg.edu/sites/pauli/congruence/csg6.html#group75C6", "75C⁶")</f>
        <v/>
      </c>
      <c r="B1294" t="n">
        <v>6</v>
      </c>
      <c r="C1294" t="inlineStr"/>
      <c r="D1294" t="inlineStr">
        <is>
          <t>90</t>
        </is>
      </c>
      <c r="E1294" t="inlineStr">
        <is>
          <t>1</t>
        </is>
      </c>
      <c r="F1294" t="inlineStr">
        <is>
          <t>30</t>
        </is>
      </c>
      <c r="G1294" t="inlineStr">
        <is>
          <t>6</t>
        </is>
      </c>
      <c r="H1294" t="inlineStr">
        <is>
          <t>0</t>
        </is>
      </c>
      <c r="I1294" t="inlineStr">
        <is>
          <t>15¹, 75¹</t>
        </is>
      </c>
      <c r="J1294" t="n">
        <v>2</v>
      </c>
      <c r="K1294" t="inlineStr">
        <is>
          <t>2², 4⁴, 20²</t>
        </is>
      </c>
      <c r="L1294" t="inlineStr">
        <is>
          <t>15B⁰, 25C²</t>
        </is>
      </c>
      <c r="M1294" t="inlineStr">
        <is>
          <t>75C¹², 150C¹², 75C¹³, 150E¹³, 75C¹⁴, 150C¹⁴, 150C¹⁵, 150C²⁰, 225C²⁰</t>
        </is>
      </c>
      <c r="N1294" t="inlineStr">
        <is>
          <t>5B⁰, 15B⁰, 3A⁰, 1A⁰, 25C²</t>
        </is>
      </c>
      <c r="O1294" t="inlineStr">
        <is>
          <t>75C¹², 150C¹⁵, 75C¹³, 75C¹⁴, 150C²⁰, 225C²⁰, 150C¹⁴, 150E¹³, 150C¹²</t>
        </is>
      </c>
    </row>
    <row r="1295">
      <c r="A1295">
        <f>HYPERLINK("https://mathstats.uncg.edu/sites/pauli/congruence/csg6.html#group75D6", "75D⁶")</f>
        <v/>
      </c>
      <c r="B1295" t="n">
        <v>6</v>
      </c>
      <c r="C1295" t="inlineStr"/>
      <c r="D1295" t="inlineStr">
        <is>
          <t>90</t>
        </is>
      </c>
      <c r="E1295" t="inlineStr">
        <is>
          <t>1</t>
        </is>
      </c>
      <c r="F1295" t="inlineStr">
        <is>
          <t>30</t>
        </is>
      </c>
      <c r="G1295" t="inlineStr">
        <is>
          <t>6</t>
        </is>
      </c>
      <c r="H1295" t="inlineStr">
        <is>
          <t>0</t>
        </is>
      </c>
      <c r="I1295" t="inlineStr">
        <is>
          <t>15¹, 75¹</t>
        </is>
      </c>
      <c r="J1295" t="n">
        <v>2</v>
      </c>
      <c r="K1295" t="inlineStr">
        <is>
          <t>2², 4⁴, 20²</t>
        </is>
      </c>
      <c r="L1295" t="inlineStr">
        <is>
          <t>15B⁰, 25D²</t>
        </is>
      </c>
      <c r="M1295" t="inlineStr">
        <is>
          <t>75D¹², 150D¹², 75D¹³, 150F¹³, 75D¹⁴, 150D¹⁴, 150D¹⁵, 150D²⁰, 225D²⁰</t>
        </is>
      </c>
      <c r="N1295" t="inlineStr">
        <is>
          <t>5B⁰, 15B⁰, 3A⁰, 1A⁰, 25D²</t>
        </is>
      </c>
      <c r="O1295" t="inlineStr">
        <is>
          <t>150D²⁰, 150D¹⁴, 150F¹³, 75D¹², 75D¹⁴, 225D²⁰, 150D¹⁵, 75D¹³, 150D¹²</t>
        </is>
      </c>
    </row>
    <row r="1296">
      <c r="A1296">
        <f>HYPERLINK("https://mathstats.uncg.edu/sites/pauli/congruence/csg6.html#group76A6", "76A⁶")</f>
        <v/>
      </c>
      <c r="B1296" t="n">
        <v>6</v>
      </c>
      <c r="C1296" t="inlineStr"/>
      <c r="D1296" t="inlineStr">
        <is>
          <t>80</t>
        </is>
      </c>
      <c r="E1296" t="inlineStr">
        <is>
          <t>1</t>
        </is>
      </c>
      <c r="F1296" t="inlineStr">
        <is>
          <t>80</t>
        </is>
      </c>
      <c r="G1296" t="inlineStr">
        <is>
          <t>0</t>
        </is>
      </c>
      <c r="H1296" t="inlineStr">
        <is>
          <t>2</t>
        </is>
      </c>
      <c r="I1296" t="inlineStr">
        <is>
          <t>4¹, 76¹</t>
        </is>
      </c>
      <c r="J1296" t="n">
        <v>2</v>
      </c>
      <c r="K1296" t="inlineStr">
        <is>
          <t>2⁴, 36²</t>
        </is>
      </c>
      <c r="L1296" t="inlineStr">
        <is>
          <t>4A⁰, 19A¹</t>
        </is>
      </c>
      <c r="M1296" t="inlineStr">
        <is>
          <t>76A¹¹, 152A¹², 76B¹⁶, 76C¹⁸, 228C²⁰, 228E²⁰</t>
        </is>
      </c>
      <c r="N1296" t="inlineStr">
        <is>
          <t>19A¹, 1A⁰, 4A⁰</t>
        </is>
      </c>
      <c r="O1296" t="inlineStr">
        <is>
          <t>76A²¹, 152B²³, 76B¹⁶, 152A¹², 76A¹¹, 76C¹⁸, 228E²⁰, 304A²⁴, 152A²³, 228C²⁰</t>
        </is>
      </c>
    </row>
    <row r="1297">
      <c r="A1297">
        <f>HYPERLINK("https://mathstats.uncg.edu/sites/pauli/congruence/csg6.html#group77A6", "77A⁶")</f>
        <v/>
      </c>
      <c r="B1297" t="n">
        <v>6</v>
      </c>
      <c r="C1297" t="inlineStr"/>
      <c r="D1297" t="inlineStr">
        <is>
          <t>88</t>
        </is>
      </c>
      <c r="E1297" t="inlineStr">
        <is>
          <t>2</t>
        </is>
      </c>
      <c r="F1297" t="inlineStr">
        <is>
          <t>88</t>
        </is>
      </c>
      <c r="G1297" t="inlineStr">
        <is>
          <t>0</t>
        </is>
      </c>
      <c r="H1297" t="inlineStr">
        <is>
          <t>4</t>
        </is>
      </c>
      <c r="I1297" t="inlineStr">
        <is>
          <t>11¹, 77¹</t>
        </is>
      </c>
      <c r="J1297" t="n">
        <v>2</v>
      </c>
      <c r="K1297" t="inlineStr">
        <is>
          <t>2², 10⁴, 12¹, 60²</t>
        </is>
      </c>
      <c r="L1297" t="inlineStr">
        <is>
          <t>7B⁰, 11A⁰</t>
        </is>
      </c>
      <c r="M1297" t="inlineStr">
        <is>
          <t>154C¹², 77A²⁰, 231A²⁰, 231B²⁰, 154A²¹, 231A²²</t>
        </is>
      </c>
      <c r="N1297" t="inlineStr">
        <is>
          <t>11A⁰, 1A⁰, 7B⁰</t>
        </is>
      </c>
      <c r="O1297" t="inlineStr">
        <is>
          <t>77A²⁰, 231A²⁰, 231B²⁰, 154A²¹, 154C¹², 308A²⁴, 231A²²</t>
        </is>
      </c>
    </row>
    <row r="1298">
      <c r="A1298">
        <f>HYPERLINK("https://mathstats.uncg.edu/sites/pauli/congruence/csg6.html#group78A6", "78A⁶")</f>
        <v/>
      </c>
      <c r="B1298" t="n">
        <v>6</v>
      </c>
      <c r="C1298" t="inlineStr"/>
      <c r="D1298" t="inlineStr">
        <is>
          <t>84</t>
        </is>
      </c>
      <c r="E1298" t="inlineStr">
        <is>
          <t>1</t>
        </is>
      </c>
      <c r="F1298" t="inlineStr">
        <is>
          <t>42</t>
        </is>
      </c>
      <c r="G1298" t="inlineStr">
        <is>
          <t>4</t>
        </is>
      </c>
      <c r="H1298" t="inlineStr">
        <is>
          <t>0</t>
        </is>
      </c>
      <c r="I1298" t="inlineStr">
        <is>
          <t>6¹, 78¹</t>
        </is>
      </c>
      <c r="J1298" t="n">
        <v>2</v>
      </c>
      <c r="K1298" t="inlineStr">
        <is>
          <t>1², 2², 12¹, 24¹</t>
        </is>
      </c>
      <c r="L1298" t="inlineStr">
        <is>
          <t>39A²</t>
        </is>
      </c>
      <c r="M1298" t="inlineStr">
        <is>
          <t>78B¹¹, 78E¹¹, 78B¹³, 78C¹³, 78D¹³, 78A¹⁶, 78B¹⁸, 234A¹⁸, 234A²⁰</t>
        </is>
      </c>
      <c r="N1298" t="inlineStr">
        <is>
          <t>3A⁰, 39A², 1A⁰, 13A⁰</t>
        </is>
      </c>
      <c r="O1298" t="inlineStr">
        <is>
          <t>78B¹³, 234A¹⁸, 78A²¹, 78D¹³, 78C¹³, 78B¹¹, 78A¹⁶, 78B¹⁸, 78E¹¹, 234A²⁰</t>
        </is>
      </c>
    </row>
    <row r="1299">
      <c r="A1299">
        <f>HYPERLINK("https://mathstats.uncg.edu/sites/pauli/congruence/csg6.html#group78B6", "78B⁶")</f>
        <v/>
      </c>
      <c r="B1299" t="n">
        <v>6</v>
      </c>
      <c r="C1299" t="inlineStr"/>
      <c r="D1299" t="inlineStr">
        <is>
          <t>84</t>
        </is>
      </c>
      <c r="E1299" t="inlineStr">
        <is>
          <t>2</t>
        </is>
      </c>
      <c r="F1299" t="inlineStr">
        <is>
          <t>28</t>
        </is>
      </c>
      <c r="G1299" t="inlineStr">
        <is>
          <t>0</t>
        </is>
      </c>
      <c r="H1299" t="inlineStr">
        <is>
          <t>3</t>
        </is>
      </c>
      <c r="I1299" t="inlineStr">
        <is>
          <t>6¹, 78¹</t>
        </is>
      </c>
      <c r="J1299" t="n">
        <v>2</v>
      </c>
      <c r="K1299" t="inlineStr">
        <is>
          <t>2⁴, 24²</t>
        </is>
      </c>
      <c r="L1299" t="inlineStr">
        <is>
          <t>26A¹</t>
        </is>
      </c>
      <c r="M1299" t="inlineStr">
        <is>
          <t>78D¹¹, 78D¹⁶, 78C¹⁹, 78D¹⁹, 78E¹⁹, 78A²⁴</t>
        </is>
      </c>
      <c r="N1299" t="inlineStr">
        <is>
          <t>13A⁰, 2A⁰, 1A⁰, 26A¹</t>
        </is>
      </c>
      <c r="O1299" t="inlineStr">
        <is>
          <t>78D¹¹, 78A²⁴, 78D¹⁶, 156G²³, 78C¹⁹, 78E¹⁹, 78D¹⁹</t>
        </is>
      </c>
    </row>
    <row r="1300">
      <c r="A1300">
        <f>HYPERLINK("https://mathstats.uncg.edu/sites/pauli/congruence/csg6.html#group79A6", "79A⁶")</f>
        <v/>
      </c>
      <c r="B1300" t="n">
        <v>6</v>
      </c>
      <c r="C1300" t="inlineStr">
        <is>
          <t>Γ₀(79)</t>
        </is>
      </c>
      <c r="D1300" t="inlineStr">
        <is>
          <t>80</t>
        </is>
      </c>
      <c r="E1300" t="inlineStr">
        <is>
          <t>1</t>
        </is>
      </c>
      <c r="F1300" t="inlineStr">
        <is>
          <t>80</t>
        </is>
      </c>
      <c r="G1300" t="inlineStr">
        <is>
          <t>0</t>
        </is>
      </c>
      <c r="H1300" t="inlineStr">
        <is>
          <t>2</t>
        </is>
      </c>
      <c r="I1300" t="inlineStr">
        <is>
          <t>1¹, 79¹</t>
        </is>
      </c>
      <c r="J1300" t="n">
        <v>2</v>
      </c>
      <c r="K1300" t="inlineStr">
        <is>
          <t>1², 78¹</t>
        </is>
      </c>
      <c r="L1300" t="inlineStr">
        <is>
          <t>1A⁰</t>
        </is>
      </c>
      <c r="M1300" t="inlineStr">
        <is>
          <t>158A¹², 79A¹⁸, 158A¹⁹, 237A¹⁹, 237A²⁰</t>
        </is>
      </c>
      <c r="N1300" t="inlineStr">
        <is>
          <t>1A⁰</t>
        </is>
      </c>
      <c r="O1300" t="inlineStr">
        <is>
          <t>158A¹⁹, 237A²⁰, 79A¹⁸, 237A¹⁹, 316A²⁴, 158A¹²</t>
        </is>
      </c>
    </row>
    <row r="1301">
      <c r="A1301">
        <f>HYPERLINK("https://mathstats.uncg.edu/sites/pauli/congruence/csg6.html#group84A6", "84A⁶")</f>
        <v/>
      </c>
      <c r="B1301" t="n">
        <v>6</v>
      </c>
      <c r="C1301" t="inlineStr"/>
      <c r="D1301" t="inlineStr">
        <is>
          <t>96</t>
        </is>
      </c>
      <c r="E1301" t="inlineStr">
        <is>
          <t>2</t>
        </is>
      </c>
      <c r="F1301" t="inlineStr">
        <is>
          <t>16</t>
        </is>
      </c>
      <c r="G1301" t="inlineStr">
        <is>
          <t>0</t>
        </is>
      </c>
      <c r="H1301" t="inlineStr">
        <is>
          <t>6</t>
        </is>
      </c>
      <c r="I1301" t="inlineStr">
        <is>
          <t>12¹, 84¹</t>
        </is>
      </c>
      <c r="J1301" t="n">
        <v>2</v>
      </c>
      <c r="K1301" t="inlineStr">
        <is>
          <t>2⁴, 12²</t>
        </is>
      </c>
      <c r="L1301" t="inlineStr">
        <is>
          <t>28A⁰, 42B³</t>
        </is>
      </c>
      <c r="M1301" t="inlineStr">
        <is>
          <t>84K¹⁶, 84C²², 84D²², 84K²²</t>
        </is>
      </c>
      <c r="N1301" t="inlineStr">
        <is>
          <t>2A⁰, 28A⁰, 1A⁰, 7B⁰, 42B³, 14B⁰</t>
        </is>
      </c>
      <c r="O1301" t="inlineStr">
        <is>
          <t>84C²², 84K¹⁶, 84D²², 84K²²</t>
        </is>
      </c>
    </row>
    <row r="1302">
      <c r="A1302">
        <f>HYPERLINK("https://mathstats.uncg.edu/sites/pauli/congruence/csg6.html#group84B6", "84B⁶")</f>
        <v/>
      </c>
      <c r="B1302" t="n">
        <v>6</v>
      </c>
      <c r="C1302" t="inlineStr"/>
      <c r="D1302" t="inlineStr">
        <is>
          <t>126</t>
        </is>
      </c>
      <c r="E1302" t="inlineStr">
        <is>
          <t>2</t>
        </is>
      </c>
      <c r="F1302" t="inlineStr">
        <is>
          <t>21</t>
        </is>
      </c>
      <c r="G1302" t="inlineStr">
        <is>
          <t>18</t>
        </is>
      </c>
      <c r="H1302" t="inlineStr">
        <is>
          <t>0</t>
        </is>
      </c>
      <c r="I1302" t="inlineStr">
        <is>
          <t>42¹, 84¹</t>
        </is>
      </c>
      <c r="J1302" t="n">
        <v>2</v>
      </c>
      <c r="K1302" t="inlineStr">
        <is>
          <t>2³, 6⁶</t>
        </is>
      </c>
      <c r="L1302" t="inlineStr">
        <is>
          <t>12C⁰, 28C², 42C³</t>
        </is>
      </c>
      <c r="M1302" t="inlineStr">
        <is>
          <t>168A¹², 84C¹⁴, 84D¹⁴, 84I¹⁵, 168A¹⁵, 168B¹⁵, 84A¹⁶, 84B¹⁶, 84F¹⁶, 84I¹⁶, 84J¹⁶, 168C¹⁶, 168D¹⁶, 168E¹⁶, 168F¹⁶, 168G¹⁶, 84D¹⁷, 84H¹⁷, 168A¹⁷, 168E¹⁸, 168F¹⁸, 84C²⁰, 168A²¹, 84N²², 252G²⁴</t>
        </is>
      </c>
      <c r="N1302" t="inlineStr">
        <is>
          <t>28C², 12C⁰, 14B¹, 4C⁰, 21A⁰, 2B⁰, 3A⁰, 1A⁰, 42C³, 6D⁰, 7A⁰</t>
        </is>
      </c>
      <c r="O1302" t="inlineStr">
        <is>
          <t>168A¹⁵, 168C¹⁶, 84D¹⁴, 336I²⁴, 84F¹⁶, 168E¹⁶, 252G²⁴, 168G¹⁶, 84I¹⁶, 168A¹², 168A²¹, 84C¹⁴, 84J¹⁶, 84B¹⁶, 84I¹⁵, 168A¹⁷, 168F¹⁶, 168D¹⁶, 84C²⁰, 84N²², 84A¹⁶, 84D¹⁷, 168E¹⁸, 168B¹⁵, 168F¹⁸, 84H¹⁷</t>
        </is>
      </c>
    </row>
    <row r="1303">
      <c r="A1303">
        <f>HYPERLINK("https://mathstats.uncg.edu/sites/pauli/congruence/csg6.html#group86A6", "86A⁶")</f>
        <v/>
      </c>
      <c r="B1303" t="n">
        <v>6</v>
      </c>
      <c r="C1303" t="inlineStr"/>
      <c r="D1303" t="inlineStr">
        <is>
          <t>88</t>
        </is>
      </c>
      <c r="E1303" t="inlineStr">
        <is>
          <t>1</t>
        </is>
      </c>
      <c r="F1303" t="inlineStr">
        <is>
          <t>44</t>
        </is>
      </c>
      <c r="G1303" t="inlineStr">
        <is>
          <t>0</t>
        </is>
      </c>
      <c r="H1303" t="inlineStr">
        <is>
          <t>4</t>
        </is>
      </c>
      <c r="I1303" t="inlineStr">
        <is>
          <t>2¹, 86¹</t>
        </is>
      </c>
      <c r="J1303" t="n">
        <v>2</v>
      </c>
      <c r="K1303" t="inlineStr">
        <is>
          <t>1², 42¹</t>
        </is>
      </c>
      <c r="L1303" t="inlineStr">
        <is>
          <t>2A⁰, 43A³</t>
        </is>
      </c>
      <c r="M1303" t="inlineStr">
        <is>
          <t>172A¹², 86A¹⁸, 86A²⁰, 86B²⁰, 258A²⁰, 258B²⁰, 258A²¹, 258A²²</t>
        </is>
      </c>
      <c r="N1303" t="inlineStr">
        <is>
          <t>2A⁰, 1A⁰, 43A³</t>
        </is>
      </c>
      <c r="O1303" t="inlineStr">
        <is>
          <t>258A²², 172A¹², 258A²¹, 258A²⁰, 86A¹⁸, 86A²⁰, 258B²⁰, 86B²⁰</t>
        </is>
      </c>
    </row>
    <row r="1304">
      <c r="A1304">
        <f>HYPERLINK("https://mathstats.uncg.edu/sites/pauli/congruence/csg6.html#group87A6", "87A⁶")</f>
        <v/>
      </c>
      <c r="B1304" t="n">
        <v>6</v>
      </c>
      <c r="C1304" t="inlineStr"/>
      <c r="D1304" t="inlineStr">
        <is>
          <t>90</t>
        </is>
      </c>
      <c r="E1304" t="inlineStr">
        <is>
          <t>1</t>
        </is>
      </c>
      <c r="F1304" t="inlineStr">
        <is>
          <t>30</t>
        </is>
      </c>
      <c r="G1304" t="inlineStr">
        <is>
          <t>6</t>
        </is>
      </c>
      <c r="H1304" t="inlineStr">
        <is>
          <t>0</t>
        </is>
      </c>
      <c r="I1304" t="inlineStr">
        <is>
          <t>3¹, 87¹</t>
        </is>
      </c>
      <c r="J1304" t="n">
        <v>2</v>
      </c>
      <c r="K1304" t="inlineStr">
        <is>
          <t>1², 28¹</t>
        </is>
      </c>
      <c r="L1304" t="inlineStr">
        <is>
          <t>3A⁰, 29A²</t>
        </is>
      </c>
      <c r="M1304" t="inlineStr">
        <is>
          <t>87A¹², 174A¹², 87A¹³, 174A¹³, 87A¹⁴, 174A¹⁴, 174A¹⁵, 174A²⁰, 261A²⁰</t>
        </is>
      </c>
      <c r="N1304" t="inlineStr">
        <is>
          <t>3A⁰, 1A⁰, 29A²</t>
        </is>
      </c>
      <c r="O1304" t="inlineStr">
        <is>
          <t>174A²⁰, 174A¹², 174A¹⁴, 87A¹², 174A¹⁵, 87A¹⁴, 261A²⁰, 174A¹³, 87A¹³</t>
        </is>
      </c>
    </row>
    <row r="1305">
      <c r="A1305">
        <f>HYPERLINK("https://mathstats.uncg.edu/sites/pauli/congruence/csg6.html#group90A6", "90A⁶")</f>
        <v/>
      </c>
      <c r="B1305" t="n">
        <v>6</v>
      </c>
      <c r="C1305" t="inlineStr"/>
      <c r="D1305" t="inlineStr">
        <is>
          <t>90</t>
        </is>
      </c>
      <c r="E1305" t="inlineStr">
        <is>
          <t>2</t>
        </is>
      </c>
      <c r="F1305" t="inlineStr">
        <is>
          <t>45</t>
        </is>
      </c>
      <c r="G1305" t="inlineStr">
        <is>
          <t>8</t>
        </is>
      </c>
      <c r="H1305" t="inlineStr">
        <is>
          <t>0</t>
        </is>
      </c>
      <c r="I1305" t="inlineStr">
        <is>
          <t>90¹</t>
        </is>
      </c>
      <c r="J1305" t="n">
        <v>1</v>
      </c>
      <c r="K1305" t="inlineStr">
        <is>
          <t>2³, 6², 8³, 24²</t>
        </is>
      </c>
      <c r="L1305" t="inlineStr">
        <is>
          <t>18A⁰, 30A², 45A³</t>
        </is>
      </c>
      <c r="M1305" t="inlineStr">
        <is>
          <t>90A¹², 90D¹⁴, 90F¹⁵, 90B¹⁶, 90F¹⁹, 90C²⁰, 90D²⁰, 90E²⁰</t>
        </is>
      </c>
      <c r="N1305" t="inlineStr">
        <is>
          <t>5A⁰, 30A², 6B⁰, 9A⁰, 3A⁰, 1A⁰, 18A⁰, 15A¹, 45A³</t>
        </is>
      </c>
      <c r="O1305" t="inlineStr">
        <is>
          <t>90E²⁰, 90F¹⁵, 90B¹⁶, 90D²⁰, 90A¹², 90F¹⁹, 90D¹⁴, 90C²⁰</t>
        </is>
      </c>
    </row>
    <row r="1306">
      <c r="A1306">
        <f>HYPERLINK("https://mathstats.uncg.edu/sites/pauli/congruence/csg6.html#group90B6", "90B⁶")</f>
        <v/>
      </c>
      <c r="B1306" t="n">
        <v>6</v>
      </c>
      <c r="C1306" t="inlineStr"/>
      <c r="D1306" t="inlineStr">
        <is>
          <t>108</t>
        </is>
      </c>
      <c r="E1306" t="inlineStr">
        <is>
          <t>1</t>
        </is>
      </c>
      <c r="F1306" t="inlineStr">
        <is>
          <t>54</t>
        </is>
      </c>
      <c r="G1306" t="inlineStr">
        <is>
          <t>12</t>
        </is>
      </c>
      <c r="H1306" t="inlineStr">
        <is>
          <t>0</t>
        </is>
      </c>
      <c r="I1306" t="inlineStr">
        <is>
          <t>18¹, 90¹</t>
        </is>
      </c>
      <c r="J1306" t="n">
        <v>2</v>
      </c>
      <c r="K1306" t="inlineStr">
        <is>
          <t>1², 2², 4¹, 6², 8¹, 24¹</t>
        </is>
      </c>
      <c r="L1306" t="inlineStr">
        <is>
          <t>30C², 45A²</t>
        </is>
      </c>
      <c r="M1306" t="inlineStr">
        <is>
          <t>90I¹¹, 90K¹¹, 90F¹⁷, 90E¹⁷, 90I¹⁷, 90G²², 90H²²</t>
        </is>
      </c>
      <c r="N1306" t="inlineStr">
        <is>
          <t>5B⁰, 45A², 15B⁰, 3A⁰, 1A⁰, 9A⁰, 30C²</t>
        </is>
      </c>
      <c r="O1306" t="inlineStr">
        <is>
          <t>90I¹⁷, 90N²¹, 90F¹⁷, 90I¹¹, 90E¹⁷, 90K¹¹, 90H²², 90G²²</t>
        </is>
      </c>
    </row>
    <row r="1307">
      <c r="A1307">
        <f>HYPERLINK("https://mathstats.uncg.edu/sites/pauli/congruence/csg6.html#group90C6", "90C⁶")</f>
        <v/>
      </c>
      <c r="B1307" t="n">
        <v>6</v>
      </c>
      <c r="C1307" t="inlineStr"/>
      <c r="D1307" t="inlineStr">
        <is>
          <t>120</t>
        </is>
      </c>
      <c r="E1307" t="inlineStr">
        <is>
          <t>1</t>
        </is>
      </c>
      <c r="F1307" t="inlineStr">
        <is>
          <t>20</t>
        </is>
      </c>
      <c r="G1307" t="inlineStr">
        <is>
          <t>0</t>
        </is>
      </c>
      <c r="H1307" t="inlineStr">
        <is>
          <t>12</t>
        </is>
      </c>
      <c r="I1307" t="inlineStr">
        <is>
          <t>30¹, 90¹</t>
        </is>
      </c>
      <c r="J1307" t="n">
        <v>2</v>
      </c>
      <c r="K1307" t="inlineStr">
        <is>
          <t>1², 2¹, 4², 8¹</t>
        </is>
      </c>
      <c r="L1307" t="inlineStr">
        <is>
          <t>18B⁰, 30D², 45B³</t>
        </is>
      </c>
      <c r="M1307" t="inlineStr">
        <is>
          <t>180A¹², 90I²², 90J²², 90K²², 270A²², 90D²⁴, 90E²⁴, 90F²⁴, 90G²⁴, 90H²⁴, 90I²⁴, 270A²⁴, 270B²⁴</t>
        </is>
      </c>
      <c r="N1307" t="inlineStr">
        <is>
          <t>3B⁰, 2A⁰, 5A⁰, 45B³, 10A⁰, 18B⁰, 30D², 6C⁰, 15B¹, 9C⁰, 1A⁰</t>
        </is>
      </c>
      <c r="O1307" t="inlineStr">
        <is>
          <t>90K²², 90G²⁴, 90H²⁴, 90I²², 270A²², 90D²⁴, 90E²⁴, 90F²⁴, 270B²⁴, 180A¹², 270A²⁴, 90J²², 90I²⁴</t>
        </is>
      </c>
    </row>
    <row r="1308">
      <c r="A1308">
        <f>HYPERLINK("https://mathstats.uncg.edu/sites/pauli/congruence/csg6.html#group91A6", "91A⁶")</f>
        <v/>
      </c>
      <c r="B1308" t="n">
        <v>6</v>
      </c>
      <c r="C1308" t="inlineStr"/>
      <c r="D1308" t="inlineStr">
        <is>
          <t>98</t>
        </is>
      </c>
      <c r="E1308" t="inlineStr">
        <is>
          <t>2</t>
        </is>
      </c>
      <c r="F1308" t="inlineStr">
        <is>
          <t>98</t>
        </is>
      </c>
      <c r="G1308" t="inlineStr">
        <is>
          <t>6</t>
        </is>
      </c>
      <c r="H1308" t="inlineStr">
        <is>
          <t>2</t>
        </is>
      </c>
      <c r="I1308" t="inlineStr">
        <is>
          <t>7¹, 91¹</t>
        </is>
      </c>
      <c r="J1308" t="n">
        <v>2</v>
      </c>
      <c r="K1308" t="inlineStr">
        <is>
          <t>2², 6⁴, 24¹, 72²</t>
        </is>
      </c>
      <c r="L1308" t="inlineStr">
        <is>
          <t>7A⁰, 13A⁰</t>
        </is>
      </c>
      <c r="M1308" t="inlineStr">
        <is>
          <t>91A¹², 182A¹², 91A¹³, 182A¹³, 91A¹⁴, 182A¹⁴, 182A¹⁵, 91A¹⁸, 273A¹⁹, 273B¹⁹, 91A²⁰, 273A²⁰, 182A²²</t>
        </is>
      </c>
      <c r="N1308" t="inlineStr">
        <is>
          <t>13A⁰, 1A⁰, 7A⁰</t>
        </is>
      </c>
      <c r="O1308" t="inlineStr">
        <is>
          <t>182A¹⁴, 91A¹³, 182A¹⁵, 91A¹², 273A²⁰, 182A²², 91A¹⁴, 91A¹⁸, 273A¹⁹, 182A¹³, 182A¹², 273B¹⁹, 91A²⁰</t>
        </is>
      </c>
    </row>
    <row r="1309">
      <c r="A1309">
        <f>HYPERLINK("https://mathstats.uncg.edu/sites/pauli/congruence/csg6.html#group100A6", "100A⁶")</f>
        <v/>
      </c>
      <c r="B1309" t="n">
        <v>6</v>
      </c>
      <c r="C1309" t="inlineStr"/>
      <c r="D1309" t="inlineStr">
        <is>
          <t>180</t>
        </is>
      </c>
      <c r="E1309" t="inlineStr">
        <is>
          <t>1</t>
        </is>
      </c>
      <c r="F1309" t="inlineStr">
        <is>
          <t>90</t>
        </is>
      </c>
      <c r="G1309" t="inlineStr">
        <is>
          <t>4</t>
        </is>
      </c>
      <c r="H1309" t="inlineStr">
        <is>
          <t>0</t>
        </is>
      </c>
      <c r="I1309" t="inlineStr">
        <is>
          <t>1¹⁰, 4⁵, 25², 100¹</t>
        </is>
      </c>
      <c r="J1309" t="n">
        <v>18</v>
      </c>
      <c r="K1309" t="inlineStr">
        <is>
          <t>1⁶, 4⁶, 20³</t>
        </is>
      </c>
      <c r="L1309" t="inlineStr">
        <is>
          <t>20A⁰, 50B²</t>
        </is>
      </c>
      <c r="M1309" t="inlineStr">
        <is>
          <t>100J¹³, 200A¹⁵, 100E¹⁷, 100P¹⁹, 200C²¹</t>
        </is>
      </c>
      <c r="N1309" t="inlineStr">
        <is>
          <t>25A⁰, 10C⁰, 20A⁰, 5B⁰, 2B⁰, 50B², 1A⁰</t>
        </is>
      </c>
      <c r="O1309" t="inlineStr">
        <is>
          <t>100E¹⁷, 100P¹⁹, 200A¹⁵, 200C²¹, 100J¹³</t>
        </is>
      </c>
    </row>
    <row r="1310">
      <c r="A1310">
        <f>HYPERLINK("https://mathstats.uncg.edu/sites/pauli/congruence/csg6.html#group105A6", "105A⁶")</f>
        <v/>
      </c>
      <c r="B1310" t="n">
        <v>6</v>
      </c>
      <c r="C1310" t="inlineStr"/>
      <c r="D1310" t="inlineStr">
        <is>
          <t>105</t>
        </is>
      </c>
      <c r="E1310" t="inlineStr">
        <is>
          <t>2</t>
        </is>
      </c>
      <c r="F1310" t="inlineStr">
        <is>
          <t>35</t>
        </is>
      </c>
      <c r="G1310" t="inlineStr">
        <is>
          <t>9</t>
        </is>
      </c>
      <c r="H1310" t="inlineStr">
        <is>
          <t>3</t>
        </is>
      </c>
      <c r="I1310" t="inlineStr">
        <is>
          <t>105¹</t>
        </is>
      </c>
      <c r="J1310" t="n">
        <v>1</v>
      </c>
      <c r="K1310" t="inlineStr">
        <is>
          <t>4¹, 12², 16¹, 48²</t>
        </is>
      </c>
      <c r="L1310" t="inlineStr">
        <is>
          <t>15A⁰, 35A²</t>
        </is>
      </c>
      <c r="M1310" t="inlineStr">
        <is>
          <t>210A¹³, 105A¹⁴, 210A¹⁶, 105C¹⁹, 105C²², 210B²⁴</t>
        </is>
      </c>
      <c r="N1310" t="inlineStr">
        <is>
          <t>5A⁰, 1A⁰, 35A², 7A⁰, 15A⁰</t>
        </is>
      </c>
      <c r="O1310" t="inlineStr">
        <is>
          <t>210A¹³, 105C¹⁹, 210B²⁴, 105C²², 210A¹⁶, 105A¹⁴</t>
        </is>
      </c>
    </row>
    <row r="1311">
      <c r="A1311">
        <f>HYPERLINK("https://mathstats.uncg.edu/sites/pauli/congruence/csg6.html#group105B6", "105B⁶")</f>
        <v/>
      </c>
      <c r="B1311" t="n">
        <v>6</v>
      </c>
      <c r="C1311" t="inlineStr"/>
      <c r="D1311" t="inlineStr">
        <is>
          <t>105</t>
        </is>
      </c>
      <c r="E1311" t="inlineStr">
        <is>
          <t>2</t>
        </is>
      </c>
      <c r="F1311" t="inlineStr">
        <is>
          <t>35</t>
        </is>
      </c>
      <c r="G1311" t="inlineStr">
        <is>
          <t>9</t>
        </is>
      </c>
      <c r="H1311" t="inlineStr">
        <is>
          <t>3</t>
        </is>
      </c>
      <c r="I1311" t="inlineStr">
        <is>
          <t>105¹</t>
        </is>
      </c>
      <c r="J1311" t="n">
        <v>1</v>
      </c>
      <c r="K1311" t="inlineStr">
        <is>
          <t>4¹, 12², 16¹, 48²</t>
        </is>
      </c>
      <c r="L1311" t="inlineStr">
        <is>
          <t>15A⁰, 35A²</t>
        </is>
      </c>
      <c r="M1311" t="inlineStr">
        <is>
          <t>210B¹³, 105B¹⁴, 210B¹⁶, 105C¹⁹, 105C²², 210C²⁴</t>
        </is>
      </c>
      <c r="N1311" t="inlineStr">
        <is>
          <t>5A⁰, 1A⁰, 35A², 7A⁰, 15A⁰</t>
        </is>
      </c>
      <c r="O1311" t="inlineStr">
        <is>
          <t>105C¹⁹, 105C²², 210B¹⁶, 210B¹³, 210C²⁴, 105B¹⁴</t>
        </is>
      </c>
    </row>
    <row r="1312">
      <c r="A1312">
        <f>HYPERLINK("https://mathstats.uncg.edu/sites/pauli/congruence/csg6.html#group105C6", "105C⁶")</f>
        <v/>
      </c>
      <c r="B1312" t="n">
        <v>6</v>
      </c>
      <c r="C1312" t="inlineStr"/>
      <c r="D1312" t="inlineStr">
        <is>
          <t>126</t>
        </is>
      </c>
      <c r="E1312" t="inlineStr">
        <is>
          <t>2</t>
        </is>
      </c>
      <c r="F1312" t="inlineStr">
        <is>
          <t>42</t>
        </is>
      </c>
      <c r="G1312" t="inlineStr">
        <is>
          <t>18</t>
        </is>
      </c>
      <c r="H1312" t="inlineStr">
        <is>
          <t>0</t>
        </is>
      </c>
      <c r="I1312" t="inlineStr">
        <is>
          <t>21¹, 105¹</t>
        </is>
      </c>
      <c r="J1312" t="n">
        <v>2</v>
      </c>
      <c r="K1312" t="inlineStr">
        <is>
          <t>2², 6⁴, 8¹, 24²</t>
        </is>
      </c>
      <c r="L1312" t="inlineStr">
        <is>
          <t>15B⁰, 21A⁰, 35C²</t>
        </is>
      </c>
      <c r="M1312" t="inlineStr">
        <is>
          <t>210A¹², 105D¹⁴, 105E¹⁴, 105D¹⁵, 210C¹⁵, 210D¹⁵, 105C¹⁶, 210H¹⁶, 105A¹⁷, 105C¹⁷, 210E¹⁷, 210F¹⁸, 210G¹⁸, 105A²⁰, 210A²¹, 105D²², 315A²⁴</t>
        </is>
      </c>
      <c r="N1312" t="inlineStr">
        <is>
          <t>35C², 15B⁰, 5B⁰, 21A⁰, 3A⁰, 1A⁰, 7A⁰</t>
        </is>
      </c>
      <c r="O1312" t="inlineStr">
        <is>
          <t>105A¹⁷, 210D¹⁵, 210F¹⁸, 105D¹⁵, 210H¹⁶, 315A²⁴, 105E¹⁴, 210A¹², 105C¹⁷, 210C¹⁵, 210E¹⁷, 105D¹⁴, 105A²⁰, 105D²², 210G¹⁸, 210A²¹, 105C¹⁶</t>
        </is>
      </c>
    </row>
    <row r="1313">
      <c r="A1313">
        <f>HYPERLINK("https://mathstats.uncg.edu/sites/pauli/congruence/csg6.html#group108A6", "108A⁶")</f>
        <v/>
      </c>
      <c r="B1313" t="n">
        <v>6</v>
      </c>
      <c r="C1313" t="inlineStr"/>
      <c r="D1313" t="inlineStr">
        <is>
          <t>144</t>
        </is>
      </c>
      <c r="E1313" t="inlineStr">
        <is>
          <t>1</t>
        </is>
      </c>
      <c r="F1313" t="inlineStr">
        <is>
          <t>24</t>
        </is>
      </c>
      <c r="G1313" t="inlineStr">
        <is>
          <t>0</t>
        </is>
      </c>
      <c r="H1313" t="inlineStr">
        <is>
          <t>18</t>
        </is>
      </c>
      <c r="I1313" t="inlineStr">
        <is>
          <t>36¹, 108¹</t>
        </is>
      </c>
      <c r="J1313" t="n">
        <v>2</v>
      </c>
      <c r="K1313" t="inlineStr">
        <is>
          <t>2⁶, 6²</t>
        </is>
      </c>
      <c r="L1313" t="inlineStr">
        <is>
          <t>36A⁰, 54C³</t>
        </is>
      </c>
      <c r="M1313" t="inlineStr">
        <is>
          <t>108C²², 108D²²</t>
        </is>
      </c>
      <c r="N1313" t="inlineStr">
        <is>
          <t>3B⁰, 2A⁰, 18B⁰, 6C⁰, 9C⁰, 1A⁰, 54C³, 36A⁰, 12B⁰</t>
        </is>
      </c>
      <c r="O1313" t="inlineStr">
        <is>
          <t>108D²², 108C²²</t>
        </is>
      </c>
    </row>
    <row r="1314">
      <c r="A1314">
        <f>HYPERLINK("https://mathstats.uncg.edu/sites/pauli/congruence/csg6.html#group121A6", "121A⁶")</f>
        <v/>
      </c>
      <c r="B1314" t="n">
        <v>6</v>
      </c>
      <c r="C1314" t="inlineStr">
        <is>
          <t>Γ₀(121)</t>
        </is>
      </c>
      <c r="D1314" t="inlineStr">
        <is>
          <t>132</t>
        </is>
      </c>
      <c r="E1314" t="inlineStr">
        <is>
          <t>1</t>
        </is>
      </c>
      <c r="F1314" t="inlineStr">
        <is>
          <t>132</t>
        </is>
      </c>
      <c r="G1314" t="inlineStr">
        <is>
          <t>0</t>
        </is>
      </c>
      <c r="H1314" t="inlineStr">
        <is>
          <t>0</t>
        </is>
      </c>
      <c r="I1314" t="inlineStr">
        <is>
          <t>1¹¹, 121¹</t>
        </is>
      </c>
      <c r="J1314" t="n">
        <v>12</v>
      </c>
      <c r="K1314" t="inlineStr">
        <is>
          <t>1², 10², 110¹</t>
        </is>
      </c>
      <c r="L1314" t="inlineStr">
        <is>
          <t>11A¹</t>
        </is>
      </c>
      <c r="M1314" t="inlineStr">
        <is>
          <t>242A¹⁷, 242A²²</t>
        </is>
      </c>
      <c r="N1314" t="inlineStr">
        <is>
          <t>1A⁰, 11A¹</t>
        </is>
      </c>
      <c r="O1314" t="inlineStr">
        <is>
          <t>242A²², 242A¹⁷</t>
        </is>
      </c>
    </row>
    <row r="1315">
      <c r="A1315">
        <f>HYPERLINK("https://mathstats.uncg.edu/sites/pauli/congruence/csg6.html#group125A6", "125A⁶")</f>
        <v/>
      </c>
      <c r="B1315" t="n">
        <v>6</v>
      </c>
      <c r="C1315" t="inlineStr"/>
      <c r="D1315" t="inlineStr">
        <is>
          <t>150</t>
        </is>
      </c>
      <c r="E1315" t="inlineStr">
        <is>
          <t>1</t>
        </is>
      </c>
      <c r="F1315" t="inlineStr">
        <is>
          <t>150</t>
        </is>
      </c>
      <c r="G1315" t="inlineStr">
        <is>
          <t>2</t>
        </is>
      </c>
      <c r="H1315" t="inlineStr">
        <is>
          <t>0</t>
        </is>
      </c>
      <c r="I1315" t="inlineStr">
        <is>
          <t>1¹⁰, 5³, 125¹</t>
        </is>
      </c>
      <c r="J1315" t="n">
        <v>14</v>
      </c>
      <c r="K1315" t="inlineStr">
        <is>
          <t>2², 4⁴, 20⁴, 100²</t>
        </is>
      </c>
      <c r="L1315" t="inlineStr">
        <is>
          <t>25A⁰</t>
        </is>
      </c>
      <c r="M1315" t="inlineStr">
        <is>
          <t>125A¹², 250A¹⁸, 250A¹⁹, 250A²⁴</t>
        </is>
      </c>
      <c r="N1315" t="inlineStr">
        <is>
          <t>25A⁰, 5B⁰, 1A⁰</t>
        </is>
      </c>
      <c r="O1315" t="inlineStr">
        <is>
          <t>125A¹², 250A²⁴, 250A¹⁹, 250A¹⁸</t>
        </is>
      </c>
    </row>
    <row r="1316">
      <c r="A1316">
        <f>HYPERLINK("https://mathstats.uncg.edu/sites/pauli/congruence/csg6.html#group125B6", "125B⁶")</f>
        <v/>
      </c>
      <c r="B1316" t="n">
        <v>6</v>
      </c>
      <c r="C1316" t="inlineStr"/>
      <c r="D1316" t="inlineStr">
        <is>
          <t>150</t>
        </is>
      </c>
      <c r="E1316" t="inlineStr">
        <is>
          <t>1</t>
        </is>
      </c>
      <c r="F1316" t="inlineStr">
        <is>
          <t>150</t>
        </is>
      </c>
      <c r="G1316" t="inlineStr">
        <is>
          <t>2</t>
        </is>
      </c>
      <c r="H1316" t="inlineStr">
        <is>
          <t>0</t>
        </is>
      </c>
      <c r="I1316" t="inlineStr">
        <is>
          <t>1¹⁰, 5³, 125¹</t>
        </is>
      </c>
      <c r="J1316" t="n">
        <v>14</v>
      </c>
      <c r="K1316" t="inlineStr">
        <is>
          <t>2², 4⁴, 20⁴, 100²</t>
        </is>
      </c>
      <c r="L1316" t="inlineStr">
        <is>
          <t>25A⁰</t>
        </is>
      </c>
      <c r="M1316" t="inlineStr">
        <is>
          <t>125B¹², 250B¹⁸, 250B¹⁹, 250B²⁴</t>
        </is>
      </c>
      <c r="N1316" t="inlineStr">
        <is>
          <t>25A⁰, 5B⁰, 1A⁰</t>
        </is>
      </c>
      <c r="O1316" t="inlineStr">
        <is>
          <t>125B¹², 250B¹⁹, 250B¹⁸, 250B²⁴</t>
        </is>
      </c>
    </row>
    <row r="1317">
      <c r="A1317">
        <f>HYPERLINK("https://mathstats.uncg.edu/sites/pauli/congruence/csg6.html#group126A6", "126A⁶")</f>
        <v/>
      </c>
      <c r="B1317" t="n">
        <v>6</v>
      </c>
      <c r="C1317" t="inlineStr"/>
      <c r="D1317" t="inlineStr">
        <is>
          <t>126</t>
        </is>
      </c>
      <c r="E1317" t="inlineStr">
        <is>
          <t>2</t>
        </is>
      </c>
      <c r="F1317" t="inlineStr">
        <is>
          <t>63</t>
        </is>
      </c>
      <c r="G1317" t="inlineStr">
        <is>
          <t>20</t>
        </is>
      </c>
      <c r="H1317" t="inlineStr">
        <is>
          <t>0</t>
        </is>
      </c>
      <c r="I1317" t="inlineStr">
        <is>
          <t>126¹</t>
        </is>
      </c>
      <c r="J1317" t="n">
        <v>1</v>
      </c>
      <c r="K1317" t="inlineStr">
        <is>
          <t>2¹, 4¹, 6², 12³, 36²</t>
        </is>
      </c>
      <c r="L1317" t="inlineStr">
        <is>
          <t>42A¹, 63A²</t>
        </is>
      </c>
      <c r="M1317" t="inlineStr">
        <is>
          <t>126J¹³, 126K¹³, 126F¹⁵, 126B¹⁷, 126C¹⁹, 126B¹⁹, 126C²¹, 126C²⁴</t>
        </is>
      </c>
      <c r="N1317" t="inlineStr">
        <is>
          <t>14A⁰, 42A¹, 9A⁰, 63A², 21A⁰, 3A⁰, 1A⁰, 7A⁰</t>
        </is>
      </c>
      <c r="O1317" t="inlineStr">
        <is>
          <t>126J¹³, 126K¹³, 126C²⁴, 126F¹⁵, 126B¹⁹, 126C¹⁹, 126B¹⁷, 126C²¹</t>
        </is>
      </c>
    </row>
    <row r="1318">
      <c r="A1318">
        <f>HYPERLINK("https://mathstats.uncg.edu/sites/pauli/congruence/csg7.html#group10A7", "10A⁷")</f>
        <v/>
      </c>
      <c r="B1318" t="n">
        <v>7</v>
      </c>
      <c r="C1318" t="inlineStr"/>
      <c r="D1318" t="inlineStr">
        <is>
          <t>180</t>
        </is>
      </c>
      <c r="E1318" t="inlineStr">
        <is>
          <t>1</t>
        </is>
      </c>
      <c r="F1318" t="inlineStr">
        <is>
          <t>15</t>
        </is>
      </c>
      <c r="G1318" t="inlineStr">
        <is>
          <t>0</t>
        </is>
      </c>
      <c r="H1318" t="inlineStr">
        <is>
          <t>0</t>
        </is>
      </c>
      <c r="I1318" t="inlineStr">
        <is>
          <t>10¹⁸</t>
        </is>
      </c>
      <c r="J1318" t="n">
        <v>18</v>
      </c>
      <c r="K1318" t="inlineStr">
        <is>
          <t>1¹, 2¹, 4³</t>
        </is>
      </c>
      <c r="L1318" t="inlineStr">
        <is>
          <t>10G¹, 10F², 10A³, 10B³, 10C³, 10A⁴</t>
        </is>
      </c>
      <c r="M1318" t="inlineStr">
        <is>
          <t>10A¹³, 20C¹⁹, 20D¹⁹</t>
        </is>
      </c>
      <c r="N1318" t="inlineStr">
        <is>
          <t>2A⁰, 5A⁰, 10A⁴, 10A², 10B¹, 5B⁰, 10A¹, 10A³, 2B⁰, 10B², 10E¹, 1A⁰, 10F¹, 10C³, 10A⁰, 10I¹, 10F², 10E⁰, 10B³, 5E⁰, 10C⁰, 10C¹, 5C⁰, 2C⁰, 5G⁰, 10G¹</t>
        </is>
      </c>
      <c r="O1318" t="inlineStr">
        <is>
          <t>20C¹⁹, 10A¹³, 20D¹⁹</t>
        </is>
      </c>
    </row>
    <row r="1319">
      <c r="A1319">
        <f>HYPERLINK("https://mathstats.uncg.edu/sites/pauli/congruence/csg7.html#group12A7", "12A⁷")</f>
        <v/>
      </c>
      <c r="B1319" t="n">
        <v>7</v>
      </c>
      <c r="C1319" t="inlineStr"/>
      <c r="D1319" t="inlineStr">
        <is>
          <t>144</t>
        </is>
      </c>
      <c r="E1319" t="inlineStr">
        <is>
          <t>1</t>
        </is>
      </c>
      <c r="F1319" t="inlineStr">
        <is>
          <t>1</t>
        </is>
      </c>
      <c r="G1319" t="inlineStr">
        <is>
          <t>0</t>
        </is>
      </c>
      <c r="H1319" t="inlineStr">
        <is>
          <t>0</t>
        </is>
      </c>
      <c r="I1319" t="inlineStr">
        <is>
          <t>12¹²</t>
        </is>
      </c>
      <c r="J1319" t="n">
        <v>12</v>
      </c>
      <c r="K1319" t="inlineStr">
        <is>
          <t>1¹</t>
        </is>
      </c>
      <c r="L1319" t="inlineStr">
        <is>
          <t>6F¹, 12O¹, 12F², 12A³, 12H³</t>
        </is>
      </c>
      <c r="M1319" t="inlineStr">
        <is>
          <t>12B¹³</t>
        </is>
      </c>
      <c r="N1319" t="inlineStr">
        <is>
          <t>2A⁰, 12D¹, 6C¹, 6G⁰, 2B⁰, 1A⁰, 12F², 6B¹, 3C⁰, 6K⁰, 6A¹, 6H⁰, 3A⁰, 12O¹, 6F⁰, 12H³, 6E¹, 3B⁰, 6B⁰, 12A³, 6I⁰, 6F¹, 6C⁰, 6D¹, 6A⁰, 6E⁰, 6L⁰, 6J⁰, 3D⁰, 2C⁰, 6D⁰, 12B⁰</t>
        </is>
      </c>
      <c r="O1319" t="inlineStr">
        <is>
          <t>12B¹³</t>
        </is>
      </c>
    </row>
    <row r="1320">
      <c r="A1320">
        <f>HYPERLINK("https://mathstats.uncg.edu/sites/pauli/congruence/csg7.html#group12B7", "12B⁷")</f>
        <v/>
      </c>
      <c r="B1320" t="n">
        <v>7</v>
      </c>
      <c r="C1320" t="inlineStr"/>
      <c r="D1320" t="inlineStr">
        <is>
          <t>144</t>
        </is>
      </c>
      <c r="E1320" t="inlineStr">
        <is>
          <t>1</t>
        </is>
      </c>
      <c r="F1320" t="inlineStr">
        <is>
          <t>3</t>
        </is>
      </c>
      <c r="G1320" t="inlineStr">
        <is>
          <t>0</t>
        </is>
      </c>
      <c r="H1320" t="inlineStr">
        <is>
          <t>0</t>
        </is>
      </c>
      <c r="I1320" t="inlineStr">
        <is>
          <t>12¹²</t>
        </is>
      </c>
      <c r="J1320" t="n">
        <v>12</v>
      </c>
      <c r="K1320" t="inlineStr">
        <is>
          <t>1¹, 2¹</t>
        </is>
      </c>
      <c r="L1320" t="inlineStr">
        <is>
          <t>12I², 12C³, 12G³, 12J³, 12A⁴, 12C⁴</t>
        </is>
      </c>
      <c r="M1320" t="inlineStr">
        <is>
          <t>12A¹³, 24A¹⁵, 24B¹⁵, 24G¹⁷, 24J¹⁷, 24B¹⁹, 24C¹⁹</t>
        </is>
      </c>
      <c r="N1320" t="inlineStr">
        <is>
          <t>12I², 2A⁰, 12C⁰, 12K¹, 12D², 6C¹, 4C⁰, 12B², 12E², 6G⁰, 4G⁰, 2B⁰, 4E⁰, 12M¹, 4B⁰, 12G³, 1A⁰, 12A⁴, 6B¹, 4D⁰, 12A², 3C⁰, 6A¹, 12B¹, 6H⁰, 3A⁰, 12G¹, 6E¹, 6B⁰, 12E¹, 12C³, 12F⁰, 12L¹, 12J³, 12A⁰, 6A⁰, 12C¹, 4A⁰, 12J¹, 12D⁰, 4F⁰, 12C⁴, 12H⁰, 2C⁰, 6D⁰</t>
        </is>
      </c>
      <c r="O1320" t="inlineStr">
        <is>
          <t>24C¹⁹, 24J¹⁷, 12A¹³, 24A¹⁵, 24B¹⁵, 24B¹⁹, 24G¹⁷</t>
        </is>
      </c>
    </row>
    <row r="1321">
      <c r="A1321">
        <f>HYPERLINK("https://mathstats.uncg.edu/sites/pauli/congruence/csg7.html#group12C7", "12C⁷")</f>
        <v/>
      </c>
      <c r="B1321" t="n">
        <v>7</v>
      </c>
      <c r="C1321" t="inlineStr"/>
      <c r="D1321" t="inlineStr">
        <is>
          <t>144</t>
        </is>
      </c>
      <c r="E1321" t="inlineStr">
        <is>
          <t>1</t>
        </is>
      </c>
      <c r="F1321" t="inlineStr">
        <is>
          <t>6</t>
        </is>
      </c>
      <c r="G1321" t="inlineStr">
        <is>
          <t>0</t>
        </is>
      </c>
      <c r="H1321" t="inlineStr">
        <is>
          <t>0</t>
        </is>
      </c>
      <c r="I1321" t="inlineStr">
        <is>
          <t>12¹²</t>
        </is>
      </c>
      <c r="J1321" t="n">
        <v>12</v>
      </c>
      <c r="K1321" t="inlineStr">
        <is>
          <t>1², 2²</t>
        </is>
      </c>
      <c r="L1321" t="inlineStr">
        <is>
          <t>12G², 12B³, 12D³, 12I³, 12J³</t>
        </is>
      </c>
      <c r="M1321" t="inlineStr">
        <is>
          <t>12A¹³, 24C¹⁵, 24D¹⁷, 24E¹⁷, 24J¹⁹</t>
        </is>
      </c>
      <c r="N1321" t="inlineStr">
        <is>
          <t>12G¹, 3B⁰, 12C⁰, 12B³, 12F¹, 4C⁰, 12C², 6G⁰, 2B⁰, 12M¹, 1A⁰, 12L¹, 12J³, 12A⁰, 12D³, 12C¹, 12I³, 4A⁰, 12A¹, 6F⁰, 3C⁰, 6K⁰, 12G², 12J¹, 4F⁰, 3A⁰, 3D⁰, 6D⁰</t>
        </is>
      </c>
      <c r="O1321" t="inlineStr">
        <is>
          <t>24E¹⁷, 12A¹³, 24J¹⁹, 24C¹⁵, 24D¹⁷</t>
        </is>
      </c>
    </row>
    <row r="1322">
      <c r="A1322">
        <f>HYPERLINK("https://mathstats.uncg.edu/sites/pauli/congruence/csg7.html#group12D7", "12D⁷")</f>
        <v/>
      </c>
      <c r="B1322" t="n">
        <v>7</v>
      </c>
      <c r="C1322" t="inlineStr"/>
      <c r="D1322" t="inlineStr">
        <is>
          <t>144</t>
        </is>
      </c>
      <c r="E1322" t="inlineStr">
        <is>
          <t>1</t>
        </is>
      </c>
      <c r="F1322" t="inlineStr">
        <is>
          <t>9</t>
        </is>
      </c>
      <c r="G1322" t="inlineStr">
        <is>
          <t>0</t>
        </is>
      </c>
      <c r="H1322" t="inlineStr">
        <is>
          <t>0</t>
        </is>
      </c>
      <c r="I1322" t="inlineStr">
        <is>
          <t>12¹²</t>
        </is>
      </c>
      <c r="J1322" t="n">
        <v>12</v>
      </c>
      <c r="K1322" t="inlineStr">
        <is>
          <t>1³, 2³</t>
        </is>
      </c>
      <c r="L1322" t="inlineStr">
        <is>
          <t>12H², 12F³, 12G³, 12I³, 12B⁴, 12C⁴</t>
        </is>
      </c>
      <c r="M1322" t="inlineStr">
        <is>
          <t>12A¹³, 24F¹⁵, 24J¹⁵, 24H¹⁷, 24I¹⁷, 24Y¹⁷, 24K¹⁹</t>
        </is>
      </c>
      <c r="N1322" t="inlineStr">
        <is>
          <t>2A⁰, 12C⁰, 12K¹, 12D², 12F³, 4C⁰, 6C¹, 6G⁰, 12E², 12B⁴, 12M¹, 2B⁰, 12B², 12N¹, 4E⁰, 12G³, 1A⁰, 4B⁰, 12H², 6B¹, 3C⁰, 6A¹, 12B¹, 6H⁰, 3A⁰, 6E¹, 6B⁰, 12H¹, 12L¹, 12G⁰, 12C¹, 6A⁰, 12I³, 12D⁰, 12C⁴, 12H⁰, 12C², 2C⁰, 6D⁰</t>
        </is>
      </c>
      <c r="O1322" t="inlineStr">
        <is>
          <t>24F¹⁵, 24J¹⁵, 24K¹⁹, 24H¹⁷, 24Y¹⁷, 24I¹⁷, 12A¹³</t>
        </is>
      </c>
    </row>
    <row r="1323">
      <c r="A1323">
        <f>HYPERLINK("https://mathstats.uncg.edu/sites/pauli/congruence/csg7.html#group12E7", "12E⁷")</f>
        <v/>
      </c>
      <c r="B1323" t="n">
        <v>7</v>
      </c>
      <c r="C1323" t="inlineStr"/>
      <c r="D1323" t="inlineStr">
        <is>
          <t>144</t>
        </is>
      </c>
      <c r="E1323" t="inlineStr">
        <is>
          <t>1</t>
        </is>
      </c>
      <c r="F1323" t="inlineStr">
        <is>
          <t>18</t>
        </is>
      </c>
      <c r="G1323" t="inlineStr">
        <is>
          <t>0</t>
        </is>
      </c>
      <c r="H1323" t="inlineStr">
        <is>
          <t>0</t>
        </is>
      </c>
      <c r="I1323" t="inlineStr">
        <is>
          <t>12¹²</t>
        </is>
      </c>
      <c r="J1323" t="n">
        <v>12</v>
      </c>
      <c r="K1323" t="inlineStr">
        <is>
          <t>2³, 4³</t>
        </is>
      </c>
      <c r="L1323" t="inlineStr">
        <is>
          <t>12U¹, 12E³, 12H³</t>
        </is>
      </c>
      <c r="M1323" t="inlineStr">
        <is>
          <t>12B¹³, 24X¹⁷</t>
        </is>
      </c>
      <c r="N1323" t="inlineStr">
        <is>
          <t>12U¹, 12D¹, 6B⁰, 12K¹, 12D², 6G⁰, 2B⁰, 12N¹, 4B⁰, 1A⁰, 12C¹, 6E⁰, 6L⁰, 12E³, 3C⁰, 12B¹, 12D⁰, 6H⁰, 3A⁰, 12C², 12H³, 6D⁰</t>
        </is>
      </c>
      <c r="O1323" t="inlineStr">
        <is>
          <t>12B¹³, 24X¹⁷</t>
        </is>
      </c>
    </row>
    <row r="1324">
      <c r="A1324">
        <f>HYPERLINK("https://mathstats.uncg.edu/sites/pauli/congruence/csg7.html#group12F7", "12F⁷")</f>
        <v/>
      </c>
      <c r="B1324" t="n">
        <v>7</v>
      </c>
      <c r="C1324" t="inlineStr"/>
      <c r="D1324" t="inlineStr">
        <is>
          <t>192</t>
        </is>
      </c>
      <c r="E1324" t="inlineStr">
        <is>
          <t>1</t>
        </is>
      </c>
      <c r="F1324" t="inlineStr">
        <is>
          <t>32</t>
        </is>
      </c>
      <c r="G1324" t="inlineStr">
        <is>
          <t>0</t>
        </is>
      </c>
      <c r="H1324" t="inlineStr">
        <is>
          <t>6</t>
        </is>
      </c>
      <c r="I1324" t="inlineStr">
        <is>
          <t>12¹⁶</t>
        </is>
      </c>
      <c r="J1324" t="n">
        <v>16</v>
      </c>
      <c r="K1324" t="inlineStr">
        <is>
          <t>4⁸</t>
        </is>
      </c>
      <c r="L1324" t="inlineStr">
        <is>
          <t>12O¹, 12R¹, 12D⁴</t>
        </is>
      </c>
      <c r="M1324" t="inlineStr">
        <is>
          <t>24H²¹</t>
        </is>
      </c>
      <c r="N1324" t="inlineStr">
        <is>
          <t>3B⁰, 2A⁰, 12I¹, 12H¹, 6C⁰, 12E¹, 1A⁰, 12D⁴, 6A⁰, 4A⁰, 4D⁰, 12A¹, 6J⁰, 12R¹, 12O¹, 12B⁰</t>
        </is>
      </c>
      <c r="O1324" t="inlineStr">
        <is>
          <t>24H²¹</t>
        </is>
      </c>
    </row>
    <row r="1325">
      <c r="A1325">
        <f>HYPERLINK("https://mathstats.uncg.edu/sites/pauli/congruence/csg7.html#group13A7", "13A⁷")</f>
        <v/>
      </c>
      <c r="B1325" t="n">
        <v>7</v>
      </c>
      <c r="C1325" t="inlineStr"/>
      <c r="D1325" t="inlineStr">
        <is>
          <t>182</t>
        </is>
      </c>
      <c r="E1325" t="inlineStr">
        <is>
          <t>1</t>
        </is>
      </c>
      <c r="F1325" t="inlineStr">
        <is>
          <t>91</t>
        </is>
      </c>
      <c r="G1325" t="inlineStr">
        <is>
          <t>6</t>
        </is>
      </c>
      <c r="H1325" t="inlineStr">
        <is>
          <t>2</t>
        </is>
      </c>
      <c r="I1325" t="inlineStr">
        <is>
          <t>13¹⁴</t>
        </is>
      </c>
      <c r="J1325" t="n">
        <v>14</v>
      </c>
      <c r="K1325" t="inlineStr">
        <is>
          <t>2¹, 6², 12¹⁴</t>
        </is>
      </c>
      <c r="L1325" t="inlineStr">
        <is>
          <t>13C³</t>
        </is>
      </c>
      <c r="M1325" t="inlineStr">
        <is>
          <t>13A¹⁶, 26A²⁰, 26B²³, 13A²⁴</t>
        </is>
      </c>
      <c r="N1325" t="inlineStr">
        <is>
          <t>13C³, 1A⁰</t>
        </is>
      </c>
      <c r="O1325" t="inlineStr">
        <is>
          <t>13A¹⁶, 26A²⁰, 26B²³, 13A²⁴</t>
        </is>
      </c>
    </row>
    <row r="1326">
      <c r="A1326">
        <f>HYPERLINK("https://mathstats.uncg.edu/sites/pauli/congruence/csg7.html#group13B7", "13B⁷")</f>
        <v/>
      </c>
      <c r="B1326" t="n">
        <v>7</v>
      </c>
      <c r="C1326" t="inlineStr"/>
      <c r="D1326" t="inlineStr">
        <is>
          <t>182</t>
        </is>
      </c>
      <c r="E1326" t="inlineStr">
        <is>
          <t>1</t>
        </is>
      </c>
      <c r="F1326" t="inlineStr">
        <is>
          <t>91</t>
        </is>
      </c>
      <c r="G1326" t="inlineStr">
        <is>
          <t>6</t>
        </is>
      </c>
      <c r="H1326" t="inlineStr">
        <is>
          <t>2</t>
        </is>
      </c>
      <c r="I1326" t="inlineStr">
        <is>
          <t>13¹⁴</t>
        </is>
      </c>
      <c r="J1326" t="n">
        <v>14</v>
      </c>
      <c r="K1326" t="inlineStr">
        <is>
          <t>2¹, 6², 12¹⁴</t>
        </is>
      </c>
      <c r="L1326" t="inlineStr">
        <is>
          <t>13C³</t>
        </is>
      </c>
      <c r="M1326" t="inlineStr">
        <is>
          <t>13A¹⁶, 26B²⁰, 26C²³, 13A²⁴</t>
        </is>
      </c>
      <c r="N1326" t="inlineStr">
        <is>
          <t>13C³, 1A⁰</t>
        </is>
      </c>
      <c r="O1326" t="inlineStr">
        <is>
          <t>13A¹⁶, 26B²⁰, 13A²⁴, 26C²³</t>
        </is>
      </c>
    </row>
    <row r="1327">
      <c r="A1327">
        <f>HYPERLINK("https://mathstats.uncg.edu/sites/pauli/congruence/csg7.html#group14A7", "14A⁷")</f>
        <v/>
      </c>
      <c r="B1327" t="n">
        <v>7</v>
      </c>
      <c r="C1327" t="inlineStr"/>
      <c r="D1327" t="inlineStr">
        <is>
          <t>126</t>
        </is>
      </c>
      <c r="E1327" t="inlineStr">
        <is>
          <t>1</t>
        </is>
      </c>
      <c r="F1327" t="inlineStr">
        <is>
          <t>21</t>
        </is>
      </c>
      <c r="G1327" t="inlineStr">
        <is>
          <t>0</t>
        </is>
      </c>
      <c r="H1327" t="inlineStr">
        <is>
          <t>0</t>
        </is>
      </c>
      <c r="I1327" t="inlineStr">
        <is>
          <t>14⁹</t>
        </is>
      </c>
      <c r="J1327" t="n">
        <v>9</v>
      </c>
      <c r="K1327" t="inlineStr">
        <is>
          <t>3¹, 6³</t>
        </is>
      </c>
      <c r="L1327" t="inlineStr">
        <is>
          <t>14F², 14A³, 14B³</t>
        </is>
      </c>
      <c r="M1327" t="inlineStr">
        <is>
          <t>14A¹³, 14C¹³, 28B¹⁶, 28C¹⁶, 28F¹⁶</t>
        </is>
      </c>
      <c r="N1327" t="inlineStr">
        <is>
          <t>2A⁰, 7D⁰, 14B³, 14B¹, 14A³, 14A¹, 14F², 2B⁰, 1A⁰, 2C⁰, 7A⁰</t>
        </is>
      </c>
      <c r="O1327" t="inlineStr">
        <is>
          <t>28F¹⁶, 28B¹⁶, 28C¹⁶, 14C¹³, 14A¹³</t>
        </is>
      </c>
    </row>
    <row r="1328">
      <c r="A1328">
        <f>HYPERLINK("https://mathstats.uncg.edu/sites/pauli/congruence/csg7.html#group14B7", "14B⁷")</f>
        <v/>
      </c>
      <c r="B1328" t="n">
        <v>7</v>
      </c>
      <c r="C1328" t="inlineStr"/>
      <c r="D1328" t="inlineStr">
        <is>
          <t>168</t>
        </is>
      </c>
      <c r="E1328" t="inlineStr">
        <is>
          <t>1</t>
        </is>
      </c>
      <c r="F1328" t="inlineStr">
        <is>
          <t>21</t>
        </is>
      </c>
      <c r="G1328" t="inlineStr">
        <is>
          <t>8</t>
        </is>
      </c>
      <c r="H1328" t="inlineStr">
        <is>
          <t>0</t>
        </is>
      </c>
      <c r="I1328" t="inlineStr">
        <is>
          <t>14¹²</t>
        </is>
      </c>
      <c r="J1328" t="n">
        <v>12</v>
      </c>
      <c r="K1328" t="inlineStr">
        <is>
          <t>3¹, 6³</t>
        </is>
      </c>
      <c r="L1328" t="inlineStr">
        <is>
          <t>7C¹, 14G¹, 14F³</t>
        </is>
      </c>
      <c r="M1328" t="inlineStr">
        <is>
          <t>14A¹⁷, 28A²¹, 14A²³</t>
        </is>
      </c>
      <c r="N1328" t="inlineStr">
        <is>
          <t>14A⁰, 14B², 7D⁰, 7C⁰, 7C¹, 7A¹, 7F⁰, 14F³, 1A⁰, 7G⁰, 14G¹, 14E¹, 7A⁰</t>
        </is>
      </c>
      <c r="O1328" t="inlineStr">
        <is>
          <t>14A¹⁷, 14A²³, 28A²¹</t>
        </is>
      </c>
    </row>
    <row r="1329">
      <c r="A1329">
        <f>HYPERLINK("https://mathstats.uncg.edu/sites/pauli/congruence/csg7.html#group14C7", "14C⁷")</f>
        <v/>
      </c>
      <c r="B1329" t="n">
        <v>7</v>
      </c>
      <c r="C1329" t="inlineStr"/>
      <c r="D1329" t="inlineStr">
        <is>
          <t>168</t>
        </is>
      </c>
      <c r="E1329" t="inlineStr">
        <is>
          <t>1</t>
        </is>
      </c>
      <c r="F1329" t="inlineStr">
        <is>
          <t>84</t>
        </is>
      </c>
      <c r="G1329" t="inlineStr">
        <is>
          <t>0</t>
        </is>
      </c>
      <c r="H1329" t="inlineStr">
        <is>
          <t>0</t>
        </is>
      </c>
      <c r="I1329" t="inlineStr">
        <is>
          <t>7⁸, 14⁸</t>
        </is>
      </c>
      <c r="J1329" t="n">
        <v>16</v>
      </c>
      <c r="K1329" t="inlineStr">
        <is>
          <t>1³, 3³, 6¹²</t>
        </is>
      </c>
      <c r="L1329" t="inlineStr">
        <is>
          <t>7B¹, 14C¹, 14A², 14D³</t>
        </is>
      </c>
      <c r="M1329" t="inlineStr">
        <is>
          <t>14B¹⁷, 28A¹⁷, 14A¹⁹, 28E²¹</t>
        </is>
      </c>
      <c r="N1329" t="inlineStr">
        <is>
          <t>14A², 14B¹, 7B⁰, 7C⁰, 14C¹, 7F⁰, 2B⁰, 1A⁰, 7B¹, 7A⁰, 14D³</t>
        </is>
      </c>
      <c r="O1329" t="inlineStr">
        <is>
          <t>28E²¹, 14A¹⁹, 28A¹⁷, 14B¹⁷</t>
        </is>
      </c>
    </row>
    <row r="1330">
      <c r="A1330">
        <f>HYPERLINK("https://mathstats.uncg.edu/sites/pauli/congruence/csg7.html#group14D7", "14D⁷")</f>
        <v/>
      </c>
      <c r="B1330" t="n">
        <v>7</v>
      </c>
      <c r="C1330" t="inlineStr"/>
      <c r="D1330" t="inlineStr">
        <is>
          <t>168</t>
        </is>
      </c>
      <c r="E1330" t="inlineStr">
        <is>
          <t>1</t>
        </is>
      </c>
      <c r="F1330" t="inlineStr">
        <is>
          <t>84</t>
        </is>
      </c>
      <c r="G1330" t="inlineStr">
        <is>
          <t>8</t>
        </is>
      </c>
      <c r="H1330" t="inlineStr">
        <is>
          <t>0</t>
        </is>
      </c>
      <c r="I1330" t="inlineStr">
        <is>
          <t>14¹²</t>
        </is>
      </c>
      <c r="J1330" t="n">
        <v>12</v>
      </c>
      <c r="K1330" t="inlineStr">
        <is>
          <t>1³, 3³, 6¹²</t>
        </is>
      </c>
      <c r="L1330" t="inlineStr">
        <is>
          <t>14G¹, 14C², 14D³</t>
        </is>
      </c>
      <c r="M1330" t="inlineStr">
        <is>
          <t>14B¹⁷, 28B¹⁷, 28C¹⁷, 28D¹⁷, 28B²¹, 28G²¹, 28H²¹, 14A²³</t>
        </is>
      </c>
      <c r="N1330" t="inlineStr">
        <is>
          <t>14A⁰, 14B¹, 14C², 7F⁰, 2B⁰, 14G¹, 1A⁰, 7A⁰, 14D³</t>
        </is>
      </c>
      <c r="O1330" t="inlineStr">
        <is>
          <t>28C¹⁷, 14A²³, 28B¹⁷, 14B¹⁷, 28G²¹, 28H²¹, 28D¹⁷, 28B²¹</t>
        </is>
      </c>
    </row>
    <row r="1331">
      <c r="A1331">
        <f>HYPERLINK("https://mathstats.uncg.edu/sites/pauli/congruence/csg7.html#group15A7", "15A⁷")</f>
        <v/>
      </c>
      <c r="B1331" t="n">
        <v>7</v>
      </c>
      <c r="C1331" t="inlineStr"/>
      <c r="D1331" t="inlineStr">
        <is>
          <t>120</t>
        </is>
      </c>
      <c r="E1331" t="inlineStr">
        <is>
          <t>1</t>
        </is>
      </c>
      <c r="F1331" t="inlineStr">
        <is>
          <t>10</t>
        </is>
      </c>
      <c r="G1331" t="inlineStr">
        <is>
          <t>0</t>
        </is>
      </c>
      <c r="H1331" t="inlineStr">
        <is>
          <t>0</t>
        </is>
      </c>
      <c r="I1331" t="inlineStr">
        <is>
          <t>15⁸</t>
        </is>
      </c>
      <c r="J1331" t="n">
        <v>8</v>
      </c>
      <c r="K1331" t="inlineStr">
        <is>
          <t>2¹, 4²</t>
        </is>
      </c>
      <c r="L1331" t="inlineStr">
        <is>
          <t>3D⁰, 15C², 15C³</t>
        </is>
      </c>
      <c r="M1331" t="inlineStr">
        <is>
          <t>15A¹³, 30A¹⁷, 30B¹⁷, 15B¹⁹, 30A²³, 45A²³</t>
        </is>
      </c>
      <c r="N1331" t="inlineStr">
        <is>
          <t>3B⁰, 15D¹, 5C⁰, 3C⁰, 15C², 15C³, 3A⁰, 1A⁰, 3D⁰</t>
        </is>
      </c>
      <c r="O1331" t="inlineStr">
        <is>
          <t>15B¹⁹, 30A¹⁷, 30A²³, 45A²³, 15A¹³, 30B¹⁷</t>
        </is>
      </c>
    </row>
    <row r="1332">
      <c r="A1332">
        <f>HYPERLINK("https://mathstats.uncg.edu/sites/pauli/congruence/csg7.html#group15B7", "15B⁷")</f>
        <v/>
      </c>
      <c r="B1332" t="n">
        <v>7</v>
      </c>
      <c r="C1332" t="inlineStr"/>
      <c r="D1332" t="inlineStr">
        <is>
          <t>120</t>
        </is>
      </c>
      <c r="E1332" t="inlineStr">
        <is>
          <t>1</t>
        </is>
      </c>
      <c r="F1332" t="inlineStr">
        <is>
          <t>30</t>
        </is>
      </c>
      <c r="G1332" t="inlineStr">
        <is>
          <t>0</t>
        </is>
      </c>
      <c r="H1332" t="inlineStr">
        <is>
          <t>0</t>
        </is>
      </c>
      <c r="I1332" t="inlineStr">
        <is>
          <t>15⁸</t>
        </is>
      </c>
      <c r="J1332" t="n">
        <v>8</v>
      </c>
      <c r="K1332" t="inlineStr">
        <is>
          <t>2¹, 4³, 8²</t>
        </is>
      </c>
      <c r="L1332" t="inlineStr">
        <is>
          <t>15A², 15D², 15C³, 15B⁴</t>
        </is>
      </c>
      <c r="M1332" t="inlineStr">
        <is>
          <t>15A¹³, 30D¹⁷, 30E¹⁷, 15A¹⁹, 30F²³, 45C²³</t>
        </is>
      </c>
      <c r="N1332" t="inlineStr">
        <is>
          <t>5A⁰, 15D¹, 15A², 15B⁴, 5C⁰, 15D², 3C⁰, 5F⁰, 15C³, 3A⁰, 1A⁰, 15A¹</t>
        </is>
      </c>
      <c r="O1332" t="inlineStr">
        <is>
          <t>30F²³, 45C²³, 30D¹⁷, 15A¹⁹, 15A¹³, 30E¹⁷</t>
        </is>
      </c>
    </row>
    <row r="1333">
      <c r="A1333">
        <f>HYPERLINK("https://mathstats.uncg.edu/sites/pauli/congruence/csg7.html#group15C7", "15C⁷")</f>
        <v/>
      </c>
      <c r="B1333" t="n">
        <v>7</v>
      </c>
      <c r="C1333" t="inlineStr"/>
      <c r="D1333" t="inlineStr">
        <is>
          <t>180</t>
        </is>
      </c>
      <c r="E1333" t="inlineStr">
        <is>
          <t>2</t>
        </is>
      </c>
      <c r="F1333" t="inlineStr">
        <is>
          <t>15</t>
        </is>
      </c>
      <c r="G1333" t="inlineStr">
        <is>
          <t>12</t>
        </is>
      </c>
      <c r="H1333" t="inlineStr">
        <is>
          <t>0</t>
        </is>
      </c>
      <c r="I1333" t="inlineStr">
        <is>
          <t>15¹²</t>
        </is>
      </c>
      <c r="J1333" t="n">
        <v>12</v>
      </c>
      <c r="K1333" t="inlineStr">
        <is>
          <t>2¹, 4¹, 8³</t>
        </is>
      </c>
      <c r="L1333" t="inlineStr">
        <is>
          <t>15E², 15H³</t>
        </is>
      </c>
      <c r="M1333" t="inlineStr">
        <is>
          <t>15A¹⁶, 15A¹⁷, 30F²¹, 30E²²</t>
        </is>
      </c>
      <c r="N1333" t="inlineStr">
        <is>
          <t>15E², 5A⁰, 15A¹, 15F¹, 5E⁰, 3A⁰, 1A⁰, 15H³, 15A⁰</t>
        </is>
      </c>
      <c r="O1333" t="inlineStr">
        <is>
          <t>30F²¹, 30E²², 15A¹⁶, 15A¹⁷</t>
        </is>
      </c>
    </row>
    <row r="1334">
      <c r="A1334">
        <f>HYPERLINK("https://mathstats.uncg.edu/sites/pauli/congruence/csg7.html#group16A7", "16A⁷")</f>
        <v/>
      </c>
      <c r="B1334" t="n">
        <v>7</v>
      </c>
      <c r="C1334" t="inlineStr"/>
      <c r="D1334" t="inlineStr">
        <is>
          <t>128</t>
        </is>
      </c>
      <c r="E1334" t="inlineStr">
        <is>
          <t>1</t>
        </is>
      </c>
      <c r="F1334" t="inlineStr">
        <is>
          <t>64</t>
        </is>
      </c>
      <c r="G1334" t="inlineStr">
        <is>
          <t>0</t>
        </is>
      </c>
      <c r="H1334" t="inlineStr">
        <is>
          <t>2</t>
        </is>
      </c>
      <c r="I1334" t="inlineStr">
        <is>
          <t>16⁸</t>
        </is>
      </c>
      <c r="J1334" t="n">
        <v>8</v>
      </c>
      <c r="K1334" t="inlineStr">
        <is>
          <t>8⁸</t>
        </is>
      </c>
      <c r="L1334" t="inlineStr">
        <is>
          <t>8E¹, 16G²</t>
        </is>
      </c>
      <c r="M1334" t="inlineStr">
        <is>
          <t>16A¹³, 16A²¹</t>
        </is>
      </c>
      <c r="N1334" t="inlineStr">
        <is>
          <t>2A⁰, 8F⁰, 4A⁰, 4D⁰, 16G², 8E¹, 1A⁰</t>
        </is>
      </c>
      <c r="O1334" t="inlineStr">
        <is>
          <t>16A¹³, 16A²¹</t>
        </is>
      </c>
    </row>
    <row r="1335">
      <c r="A1335">
        <f>HYPERLINK("https://mathstats.uncg.edu/sites/pauli/congruence/csg7.html#group16B7", "16B⁷")</f>
        <v/>
      </c>
      <c r="B1335" t="n">
        <v>7</v>
      </c>
      <c r="C1335" t="inlineStr"/>
      <c r="D1335" t="inlineStr">
        <is>
          <t>192</t>
        </is>
      </c>
      <c r="E1335" t="inlineStr">
        <is>
          <t>1</t>
        </is>
      </c>
      <c r="F1335" t="inlineStr">
        <is>
          <t>6</t>
        </is>
      </c>
      <c r="G1335" t="inlineStr">
        <is>
          <t>0</t>
        </is>
      </c>
      <c r="H1335" t="inlineStr">
        <is>
          <t>0</t>
        </is>
      </c>
      <c r="I1335" t="inlineStr">
        <is>
          <t>8¹⁶, 16⁴</t>
        </is>
      </c>
      <c r="J1335" t="n">
        <v>20</v>
      </c>
      <c r="K1335" t="inlineStr">
        <is>
          <t>1², 2²</t>
        </is>
      </c>
      <c r="L1335" t="inlineStr">
        <is>
          <t>16I², 8B³, 16P³, 16Q³, 16A⁴</t>
        </is>
      </c>
      <c r="M1335" t="inlineStr">
        <is>
          <t>16B¹³, 32A¹⁹, 16D²¹, 16E²¹</t>
        </is>
      </c>
      <c r="N1335" t="inlineStr">
        <is>
          <t>2A⁰, 8B³, 16A⁴, 4C⁰, 8A⁰, 16P³, 4G⁰, 2B⁰, 4E⁰, 8C⁰, 4B⁰, 8F¹, 1A⁰, 8K⁰, 8H¹, 8G⁰, 4D⁰, 16Q³, 16K¹, 8N⁰, 8A¹, 8D⁰, 16I², 8B², 8B⁰, 8E⁰, 8B¹, 8D¹, 8H⁰, 8A², 16L¹, 8C¹, 4A⁰, 4F⁰, 8J⁰, 2C⁰</t>
        </is>
      </c>
      <c r="O1335" t="inlineStr">
        <is>
          <t>16B¹³, 16D²¹, 16E²¹, 32A¹⁹</t>
        </is>
      </c>
    </row>
    <row r="1336">
      <c r="A1336">
        <f>HYPERLINK("https://mathstats.uncg.edu/sites/pauli/congruence/csg7.html#group16C7", "16C⁷")</f>
        <v/>
      </c>
      <c r="B1336" t="n">
        <v>7</v>
      </c>
      <c r="C1336" t="inlineStr"/>
      <c r="D1336" t="inlineStr">
        <is>
          <t>192</t>
        </is>
      </c>
      <c r="E1336" t="inlineStr">
        <is>
          <t>1</t>
        </is>
      </c>
      <c r="F1336" t="inlineStr">
        <is>
          <t>12</t>
        </is>
      </c>
      <c r="G1336" t="inlineStr">
        <is>
          <t>0</t>
        </is>
      </c>
      <c r="H1336" t="inlineStr">
        <is>
          <t>0</t>
        </is>
      </c>
      <c r="I1336" t="inlineStr">
        <is>
          <t>4⁸, 8⁴, 16⁸</t>
        </is>
      </c>
      <c r="J1336" t="n">
        <v>20</v>
      </c>
      <c r="K1336" t="inlineStr">
        <is>
          <t>1⁴, 2², 4¹</t>
        </is>
      </c>
      <c r="L1336" t="inlineStr">
        <is>
          <t>16K², 16J³</t>
        </is>
      </c>
      <c r="M1336" t="inlineStr">
        <is>
          <t>16C¹³, 32C¹⁹, 32H²¹, 32G²¹</t>
        </is>
      </c>
      <c r="N1336" t="inlineStr">
        <is>
          <t>2A⁰, 16C², 8D⁰, 16E¹, 4C⁰, 16A¹, 8C⁰, 4E⁰, 2B⁰, 8I⁰, 16J³, 4B⁰, 1A⁰, 16K², 8G⁰, 16C⁰, 16C¹, 8J⁰, 2C⁰, 8O⁰</t>
        </is>
      </c>
      <c r="O1336" t="inlineStr">
        <is>
          <t>32C¹⁹, 32G²¹, 32H²¹, 16C¹³</t>
        </is>
      </c>
    </row>
    <row r="1337">
      <c r="A1337">
        <f>HYPERLINK("https://mathstats.uncg.edu/sites/pauli/congruence/csg7.html#group16D7", "16D⁷")</f>
        <v/>
      </c>
      <c r="B1337" t="n">
        <v>7</v>
      </c>
      <c r="C1337" t="inlineStr"/>
      <c r="D1337" t="inlineStr">
        <is>
          <t>192</t>
        </is>
      </c>
      <c r="E1337" t="inlineStr">
        <is>
          <t>1</t>
        </is>
      </c>
      <c r="F1337" t="inlineStr">
        <is>
          <t>24</t>
        </is>
      </c>
      <c r="G1337" t="inlineStr">
        <is>
          <t>8</t>
        </is>
      </c>
      <c r="H1337" t="inlineStr">
        <is>
          <t>0</t>
        </is>
      </c>
      <c r="I1337" t="inlineStr">
        <is>
          <t>8⁸, 16⁸</t>
        </is>
      </c>
      <c r="J1337" t="n">
        <v>16</v>
      </c>
      <c r="K1337" t="inlineStr">
        <is>
          <t>2², 4⁵</t>
        </is>
      </c>
      <c r="L1337" t="inlineStr">
        <is>
          <t>8C², 16L², 16K³, 16L³, 16M³, 16C⁴, 16B⁴</t>
        </is>
      </c>
      <c r="M1337" t="inlineStr">
        <is>
          <t>16A¹⁵, 16A¹⁷, 16A¹⁹, 16B¹⁹, 32D¹⁹, 32E¹⁹, 32M²¹, 32E²³</t>
        </is>
      </c>
      <c r="N1337" t="inlineStr">
        <is>
          <t>16I¹, 4C⁰, 8C², 8A⁰, 8L⁰, 2B⁰, 8K⁰, 1A⁰, 8H¹, 16E², 16B⁰, 16E⁰, 16B⁴, 16D¹, 16F¹, 8P⁰, 8M⁰, 16H¹, 8D⁰, 16M³, 8B⁰, 16B¹, 16L², 16J¹, 8D¹, 8H⁰, 16K³, 8F⁰, 16L³, 16F², 4A⁰, 8I¹, 16C¹, 16C⁴, 4F⁰</t>
        </is>
      </c>
      <c r="O1337" t="inlineStr">
        <is>
          <t>16B¹⁹, 16A¹⁹, 32D¹⁹, 32M²¹, 16A¹⁵, 32E²³, 32E¹⁹, 16A¹⁷</t>
        </is>
      </c>
    </row>
    <row r="1338">
      <c r="A1338">
        <f>HYPERLINK("https://mathstats.uncg.edu/sites/pauli/congruence/csg7.html#group16E7", "16E⁷")</f>
        <v/>
      </c>
      <c r="B1338" t="n">
        <v>7</v>
      </c>
      <c r="C1338" t="inlineStr"/>
      <c r="D1338" t="inlineStr">
        <is>
          <t>192</t>
        </is>
      </c>
      <c r="E1338" t="inlineStr">
        <is>
          <t>2</t>
        </is>
      </c>
      <c r="F1338" t="inlineStr">
        <is>
          <t>24</t>
        </is>
      </c>
      <c r="G1338" t="inlineStr">
        <is>
          <t>8</t>
        </is>
      </c>
      <c r="H1338" t="inlineStr">
        <is>
          <t>0</t>
        </is>
      </c>
      <c r="I1338" t="inlineStr">
        <is>
          <t>8⁸, 16⁸</t>
        </is>
      </c>
      <c r="J1338" t="n">
        <v>16</v>
      </c>
      <c r="K1338" t="inlineStr">
        <is>
          <t>2⁸, 4⁴, 8²</t>
        </is>
      </c>
      <c r="L1338" t="inlineStr">
        <is>
          <t>16M³, 16R³, 16S³</t>
        </is>
      </c>
      <c r="M1338" t="inlineStr">
        <is>
          <t>16A¹⁵, 16B¹⁷, 32Y²¹, 32H²³</t>
        </is>
      </c>
      <c r="N1338" t="inlineStr">
        <is>
          <t>8D⁰, 16M³, 4C⁰, 8B⁰, 16F¹, 16S³, 8L⁰, 2B⁰, 16B¹, 16J¹, 1A⁰, 16E², 16B⁰, 8H⁰, 16D¹, 16F², 4A⁰, 4F⁰, 16R³, 8P⁰</t>
        </is>
      </c>
      <c r="O1338" t="inlineStr">
        <is>
          <t>32H²³, 16A¹⁵, 32Y²¹, 16B¹⁷</t>
        </is>
      </c>
    </row>
    <row r="1339">
      <c r="A1339">
        <f>HYPERLINK("https://mathstats.uncg.edu/sites/pauli/congruence/csg7.html#group17A7", "17A⁷")</f>
        <v/>
      </c>
      <c r="B1339" t="n">
        <v>7</v>
      </c>
      <c r="C1339" t="inlineStr"/>
      <c r="D1339" t="inlineStr">
        <is>
          <t>153</t>
        </is>
      </c>
      <c r="E1339" t="inlineStr">
        <is>
          <t>1</t>
        </is>
      </c>
      <c r="F1339" t="inlineStr">
        <is>
          <t>153</t>
        </is>
      </c>
      <c r="G1339" t="inlineStr">
        <is>
          <t>9</t>
        </is>
      </c>
      <c r="H1339" t="inlineStr">
        <is>
          <t>0</t>
        </is>
      </c>
      <c r="I1339" t="inlineStr">
        <is>
          <t>17⁹</t>
        </is>
      </c>
      <c r="J1339" t="n">
        <v>9</v>
      </c>
      <c r="K1339" t="inlineStr">
        <is>
          <t>1¹, 8¹, 16⁹</t>
        </is>
      </c>
      <c r="L1339" t="inlineStr">
        <is>
          <t>1A⁰</t>
        </is>
      </c>
      <c r="M1339" t="inlineStr">
        <is>
          <t>17B¹⁵, 17C¹⁵, 17A¹⁷, 34A¹⁸, 34A²⁰, 34B²⁰, 34A²²</t>
        </is>
      </c>
      <c r="N1339" t="inlineStr">
        <is>
          <t>1A⁰</t>
        </is>
      </c>
      <c r="O1339" t="inlineStr">
        <is>
          <t>34B²⁰, 17C¹⁵, 34A²², 17A¹⁷, 17B¹⁵, 34A¹⁸, 34A²⁰</t>
        </is>
      </c>
    </row>
    <row r="1340">
      <c r="A1340">
        <f>HYPERLINK("https://mathstats.uncg.edu/sites/pauli/congruence/csg7.html#group18A7", "18A⁷")</f>
        <v/>
      </c>
      <c r="B1340" t="n">
        <v>7</v>
      </c>
      <c r="C1340" t="inlineStr"/>
      <c r="D1340" t="inlineStr">
        <is>
          <t>108</t>
        </is>
      </c>
      <c r="E1340" t="inlineStr">
        <is>
          <t>1</t>
        </is>
      </c>
      <c r="F1340" t="inlineStr">
        <is>
          <t>3</t>
        </is>
      </c>
      <c r="G1340" t="inlineStr">
        <is>
          <t>0</t>
        </is>
      </c>
      <c r="H1340" t="inlineStr">
        <is>
          <t>0</t>
        </is>
      </c>
      <c r="I1340" t="inlineStr">
        <is>
          <t>18⁶</t>
        </is>
      </c>
      <c r="J1340" t="n">
        <v>6</v>
      </c>
      <c r="K1340" t="inlineStr">
        <is>
          <t>1¹, 2¹</t>
        </is>
      </c>
      <c r="L1340" t="inlineStr">
        <is>
          <t>6E¹, 18I², 18A³, 18B³, 18D³, 18A⁴</t>
        </is>
      </c>
      <c r="M1340" t="inlineStr">
        <is>
          <t>18B¹³, 36C¹⁵, 36D¹⁵, 18A¹⁹, 18E¹⁹</t>
        </is>
      </c>
      <c r="N1340" t="inlineStr">
        <is>
          <t>6E¹, 2A⁰, 6B⁰, 6C¹, 18A³, 6G⁰, 18B¹, 2B⁰, 18A², 1A⁰, 18D³, 9D⁰, 6A⁰, 6B¹, 18A⁴, 18B³, 9A⁰, 18E¹, 3C⁰, 6A¹, 6H⁰, 3A⁰, 18A¹, 2C⁰, 18I², 6D⁰</t>
        </is>
      </c>
      <c r="O1340" t="inlineStr">
        <is>
          <t>36C¹⁵, 18E¹⁹, 18B¹³, 36D¹⁵, 18A¹⁹</t>
        </is>
      </c>
    </row>
    <row r="1341">
      <c r="A1341">
        <f>HYPERLINK("https://mathstats.uncg.edu/sites/pauli/congruence/csg7.html#group18B7", "18B⁷")</f>
        <v/>
      </c>
      <c r="B1341" t="n">
        <v>7</v>
      </c>
      <c r="C1341" t="inlineStr"/>
      <c r="D1341" t="inlineStr">
        <is>
          <t>108</t>
        </is>
      </c>
      <c r="E1341" t="inlineStr">
        <is>
          <t>1</t>
        </is>
      </c>
      <c r="F1341" t="inlineStr">
        <is>
          <t>18</t>
        </is>
      </c>
      <c r="G1341" t="inlineStr">
        <is>
          <t>0</t>
        </is>
      </c>
      <c r="H1341" t="inlineStr">
        <is>
          <t>0</t>
        </is>
      </c>
      <c r="I1341" t="inlineStr">
        <is>
          <t>18⁶</t>
        </is>
      </c>
      <c r="J1341" t="n">
        <v>6</v>
      </c>
      <c r="K1341" t="inlineStr">
        <is>
          <t>1¹, 2¹, 3¹, 6²</t>
        </is>
      </c>
      <c r="L1341" t="inlineStr">
        <is>
          <t>9E¹, 18F², 18A³</t>
        </is>
      </c>
      <c r="M1341" t="inlineStr">
        <is>
          <t>18C¹³, 18A¹⁹, 18B¹⁹, 54I²²</t>
        </is>
      </c>
      <c r="N1341" t="inlineStr">
        <is>
          <t>18F², 2A⁰, 6B⁰, 9D⁰, 6B¹, 9A⁰, 18A³, 3C⁰, 9E¹, 6A¹, 18A², 9E⁰, 3A⁰, 1A⁰, 18A¹</t>
        </is>
      </c>
      <c r="O1341" t="inlineStr">
        <is>
          <t>18A¹⁹, 18B¹⁹, 18C¹³, 54I²²</t>
        </is>
      </c>
    </row>
    <row r="1342">
      <c r="A1342">
        <f>HYPERLINK("https://mathstats.uncg.edu/sites/pauli/congruence/csg7.html#group18C7", "18C⁷")</f>
        <v/>
      </c>
      <c r="B1342" t="n">
        <v>7</v>
      </c>
      <c r="C1342" t="inlineStr"/>
      <c r="D1342" t="inlineStr">
        <is>
          <t>108</t>
        </is>
      </c>
      <c r="E1342" t="inlineStr">
        <is>
          <t>1</t>
        </is>
      </c>
      <c r="F1342" t="inlineStr">
        <is>
          <t>27</t>
        </is>
      </c>
      <c r="G1342" t="inlineStr">
        <is>
          <t>0</t>
        </is>
      </c>
      <c r="H1342" t="inlineStr">
        <is>
          <t>0</t>
        </is>
      </c>
      <c r="I1342" t="inlineStr">
        <is>
          <t>18⁶</t>
        </is>
      </c>
      <c r="J1342" t="n">
        <v>6</v>
      </c>
      <c r="K1342" t="inlineStr">
        <is>
          <t>3¹, 6⁴</t>
        </is>
      </c>
      <c r="L1342" t="inlineStr">
        <is>
          <t>18H¹, 9B², 18F², 18C³, 18B⁴</t>
        </is>
      </c>
      <c r="M1342" t="inlineStr">
        <is>
          <t>18A¹³, 18B¹⁹, 18C¹⁹, 18D¹⁹, 54H²²</t>
        </is>
      </c>
      <c r="N1342" t="inlineStr">
        <is>
          <t>18F², 2A⁰, 6B⁰, 18B⁴, 18H¹, 9G⁰, 18A², 9B², 9E⁰, 1A⁰, 18A⁰, 9B¹, 6B¹, 9A⁰, 18C³, 3C⁰, 6A¹, 3A⁰</t>
        </is>
      </c>
      <c r="O1342" t="inlineStr">
        <is>
          <t>18B¹⁹, 18A¹³, 18D¹⁹, 18C¹⁹, 54H²²</t>
        </is>
      </c>
    </row>
    <row r="1343">
      <c r="A1343">
        <f>HYPERLINK("https://mathstats.uncg.edu/sites/pauli/congruence/csg7.html#group18D7", "18D⁷")</f>
        <v/>
      </c>
      <c r="B1343" t="n">
        <v>7</v>
      </c>
      <c r="C1343" t="inlineStr"/>
      <c r="D1343" t="inlineStr">
        <is>
          <t>108</t>
        </is>
      </c>
      <c r="E1343" t="inlineStr">
        <is>
          <t>1</t>
        </is>
      </c>
      <c r="F1343" t="inlineStr">
        <is>
          <t>36</t>
        </is>
      </c>
      <c r="G1343" t="inlineStr">
        <is>
          <t>0</t>
        </is>
      </c>
      <c r="H1343" t="inlineStr">
        <is>
          <t>0</t>
        </is>
      </c>
      <c r="I1343" t="inlineStr">
        <is>
          <t>18⁶</t>
        </is>
      </c>
      <c r="J1343" t="n">
        <v>6</v>
      </c>
      <c r="K1343" t="inlineStr">
        <is>
          <t>2³, 6⁵</t>
        </is>
      </c>
      <c r="L1343" t="inlineStr">
        <is>
          <t>18F², 18B³</t>
        </is>
      </c>
      <c r="M1343" t="inlineStr">
        <is>
          <t>18D¹³, 18A¹⁹, 18D¹⁹</t>
        </is>
      </c>
      <c r="N1343" t="inlineStr">
        <is>
          <t>18F², 2A⁰, 6B⁰, 6B¹, 18B³, 18B¹, 3C⁰, 6A¹, 9E⁰, 3A⁰, 1A⁰</t>
        </is>
      </c>
      <c r="O1343" t="inlineStr">
        <is>
          <t>18A¹⁹, 18D¹⁹, 18D¹³</t>
        </is>
      </c>
    </row>
    <row r="1344">
      <c r="A1344">
        <f>HYPERLINK("https://mathstats.uncg.edu/sites/pauli/congruence/csg7.html#group18E7", "18E⁷")</f>
        <v/>
      </c>
      <c r="B1344" t="n">
        <v>7</v>
      </c>
      <c r="C1344" t="inlineStr"/>
      <c r="D1344" t="inlineStr">
        <is>
          <t>108</t>
        </is>
      </c>
      <c r="E1344" t="inlineStr">
        <is>
          <t>2</t>
        </is>
      </c>
      <c r="F1344" t="inlineStr">
        <is>
          <t>9</t>
        </is>
      </c>
      <c r="G1344" t="inlineStr">
        <is>
          <t>0</t>
        </is>
      </c>
      <c r="H1344" t="inlineStr">
        <is>
          <t>0</t>
        </is>
      </c>
      <c r="I1344" t="inlineStr">
        <is>
          <t>18⁶</t>
        </is>
      </c>
      <c r="J1344" t="n">
        <v>6</v>
      </c>
      <c r="K1344" t="inlineStr">
        <is>
          <t>2³, 6²</t>
        </is>
      </c>
      <c r="L1344" t="inlineStr">
        <is>
          <t>6E¹, 18L², 18C³, 18E³, 18A⁴</t>
        </is>
      </c>
      <c r="M1344" t="inlineStr">
        <is>
          <t>18B¹³, 36K¹⁵, 36J¹⁵, 18C¹⁹, 18E¹⁹</t>
        </is>
      </c>
      <c r="N1344" t="inlineStr">
        <is>
          <t>6E¹, 2A⁰, 6B⁰, 6C¹, 6G⁰, 2B⁰, 18A², 1A⁰, 18A⁰, 9B¹, 18L², 18E³, 6A⁰, 6B¹, 18A⁴, 9A⁰, 18C³, 18E¹, 3C⁰, 6A¹, 6H⁰, 3A⁰, 2C⁰, 6D⁰</t>
        </is>
      </c>
      <c r="O1344" t="inlineStr">
        <is>
          <t>18E¹⁹, 36K¹⁵, 18C¹⁹, 18B¹³, 36J¹⁵</t>
        </is>
      </c>
    </row>
    <row r="1345">
      <c r="A1345">
        <f>HYPERLINK("https://mathstats.uncg.edu/sites/pauli/congruence/csg7.html#group18F7", "18F⁷")</f>
        <v/>
      </c>
      <c r="B1345" t="n">
        <v>7</v>
      </c>
      <c r="C1345" t="inlineStr"/>
      <c r="D1345" t="inlineStr">
        <is>
          <t>108</t>
        </is>
      </c>
      <c r="E1345" t="inlineStr">
        <is>
          <t>2</t>
        </is>
      </c>
      <c r="F1345" t="inlineStr">
        <is>
          <t>9</t>
        </is>
      </c>
      <c r="G1345" t="inlineStr">
        <is>
          <t>0</t>
        </is>
      </c>
      <c r="H1345" t="inlineStr">
        <is>
          <t>0</t>
        </is>
      </c>
      <c r="I1345" t="inlineStr">
        <is>
          <t>18⁶</t>
        </is>
      </c>
      <c r="J1345" t="n">
        <v>6</v>
      </c>
      <c r="K1345" t="inlineStr">
        <is>
          <t>2³, 6²</t>
        </is>
      </c>
      <c r="L1345" t="inlineStr">
        <is>
          <t>9F¹, 18K², 18A³, 18C³, 18B⁴</t>
        </is>
      </c>
      <c r="M1345" t="inlineStr">
        <is>
          <t>18A¹³, 18B¹⁹, 18E¹⁹</t>
        </is>
      </c>
      <c r="N1345" t="inlineStr">
        <is>
          <t>2A⁰, 6B⁰, 18B⁴, 9G⁰, 18K², 18A³, 18A², 1A⁰, 18A⁰, 9B¹, 9D⁰, 6B¹, 9A⁰, 18C³, 3C⁰, 6A¹, 3A⁰, 18A¹, 9F¹</t>
        </is>
      </c>
      <c r="O1345" t="inlineStr">
        <is>
          <t>18B¹⁹, 18A¹³, 18E¹⁹</t>
        </is>
      </c>
    </row>
    <row r="1346">
      <c r="A1346">
        <f>HYPERLINK("https://mathstats.uncg.edu/sites/pauli/congruence/csg7.html#group18G7", "18G⁷")</f>
        <v/>
      </c>
      <c r="B1346" t="n">
        <v>7</v>
      </c>
      <c r="C1346" t="inlineStr"/>
      <c r="D1346" t="inlineStr">
        <is>
          <t>108</t>
        </is>
      </c>
      <c r="E1346" t="inlineStr">
        <is>
          <t>2</t>
        </is>
      </c>
      <c r="F1346" t="inlineStr">
        <is>
          <t>18</t>
        </is>
      </c>
      <c r="G1346" t="inlineStr">
        <is>
          <t>0</t>
        </is>
      </c>
      <c r="H1346" t="inlineStr">
        <is>
          <t>0</t>
        </is>
      </c>
      <c r="I1346" t="inlineStr">
        <is>
          <t>18⁶</t>
        </is>
      </c>
      <c r="J1346" t="n">
        <v>6</v>
      </c>
      <c r="K1346" t="inlineStr">
        <is>
          <t>2⁶, 6⁴</t>
        </is>
      </c>
      <c r="L1346" t="inlineStr">
        <is>
          <t>18M², 18B³, 18C³</t>
        </is>
      </c>
      <c r="M1346" t="inlineStr">
        <is>
          <t>18H¹³, 18D¹⁹, 18E¹⁹</t>
        </is>
      </c>
      <c r="N1346" t="inlineStr">
        <is>
          <t>2A⁰, 6B⁰, 18B¹, 18A², 18M², 1A⁰, 18A⁰, 9B¹, 6B¹, 18B³, 9A⁰, 18C³, 3C⁰, 6A¹, 3A⁰</t>
        </is>
      </c>
      <c r="O1346" t="inlineStr">
        <is>
          <t>18H¹³, 18E¹⁹, 18D¹⁹</t>
        </is>
      </c>
    </row>
    <row r="1347">
      <c r="A1347">
        <f>HYPERLINK("https://mathstats.uncg.edu/sites/pauli/congruence/csg7.html#group18H7", "18H⁷")</f>
        <v/>
      </c>
      <c r="B1347" t="n">
        <v>7</v>
      </c>
      <c r="C1347" t="inlineStr"/>
      <c r="D1347" t="inlineStr">
        <is>
          <t>162</t>
        </is>
      </c>
      <c r="E1347" t="inlineStr">
        <is>
          <t>1</t>
        </is>
      </c>
      <c r="F1347" t="inlineStr">
        <is>
          <t>54</t>
        </is>
      </c>
      <c r="G1347" t="inlineStr">
        <is>
          <t>0</t>
        </is>
      </c>
      <c r="H1347" t="inlineStr">
        <is>
          <t>9</t>
        </is>
      </c>
      <c r="I1347" t="inlineStr">
        <is>
          <t>18⁹</t>
        </is>
      </c>
      <c r="J1347" t="n">
        <v>9</v>
      </c>
      <c r="K1347" t="inlineStr">
        <is>
          <t>6⁹</t>
        </is>
      </c>
      <c r="L1347" t="inlineStr">
        <is>
          <t>6A⁰, 18J²</t>
        </is>
      </c>
      <c r="M1347" t="inlineStr"/>
      <c r="N1347" t="inlineStr">
        <is>
          <t>2A⁰, 18J², 6A⁰, 9F⁰, 1A⁰</t>
        </is>
      </c>
      <c r="O1347" t="inlineStr"/>
    </row>
    <row r="1348">
      <c r="A1348">
        <f>HYPERLINK("https://mathstats.uncg.edu/sites/pauli/congruence/csg7.html#group18I7", "18I⁷")</f>
        <v/>
      </c>
      <c r="B1348" t="n">
        <v>7</v>
      </c>
      <c r="C1348" t="inlineStr"/>
      <c r="D1348" t="inlineStr">
        <is>
          <t>162</t>
        </is>
      </c>
      <c r="E1348" t="inlineStr">
        <is>
          <t>1</t>
        </is>
      </c>
      <c r="F1348" t="inlineStr">
        <is>
          <t>54</t>
        </is>
      </c>
      <c r="G1348" t="inlineStr">
        <is>
          <t>6</t>
        </is>
      </c>
      <c r="H1348" t="inlineStr">
        <is>
          <t>0</t>
        </is>
      </c>
      <c r="I1348" t="inlineStr">
        <is>
          <t>9⁶, 18⁶</t>
        </is>
      </c>
      <c r="J1348" t="n">
        <v>12</v>
      </c>
      <c r="K1348" t="inlineStr">
        <is>
          <t>1³, 2³, 3³, 6⁶</t>
        </is>
      </c>
      <c r="L1348" t="inlineStr">
        <is>
          <t>9E¹, 18I¹, 18I²</t>
        </is>
      </c>
      <c r="M1348" t="inlineStr">
        <is>
          <t>18B¹⁶, 18D¹⁶, 36G¹⁶, 18A¹⁹, 36M¹⁹, 36N¹⁹, 18A²², 36A²²</t>
        </is>
      </c>
      <c r="N1348" t="inlineStr">
        <is>
          <t>9D⁰, 18I¹, 9A⁰, 6G⁰, 3C⁰, 9E¹, 2B⁰, 18E¹, 9E⁰, 3A⁰, 1A⁰, 18I², 6D⁰</t>
        </is>
      </c>
      <c r="O1348" t="inlineStr">
        <is>
          <t>36A²², 36G¹⁶, 18D¹⁶, 36M¹⁹, 18A¹⁹, 18B¹⁶, 18A²², 36N¹⁹</t>
        </is>
      </c>
    </row>
    <row r="1349">
      <c r="A1349">
        <f>HYPERLINK("https://mathstats.uncg.edu/sites/pauli/congruence/csg7.html#group18J7", "18J⁷")</f>
        <v/>
      </c>
      <c r="B1349" t="n">
        <v>7</v>
      </c>
      <c r="C1349" t="inlineStr"/>
      <c r="D1349" t="inlineStr">
        <is>
          <t>162</t>
        </is>
      </c>
      <c r="E1349" t="inlineStr">
        <is>
          <t>1</t>
        </is>
      </c>
      <c r="F1349" t="inlineStr">
        <is>
          <t>81</t>
        </is>
      </c>
      <c r="G1349" t="inlineStr">
        <is>
          <t>12</t>
        </is>
      </c>
      <c r="H1349" t="inlineStr">
        <is>
          <t>0</t>
        </is>
      </c>
      <c r="I1349" t="inlineStr">
        <is>
          <t>18⁹</t>
        </is>
      </c>
      <c r="J1349" t="n">
        <v>9</v>
      </c>
      <c r="K1349" t="inlineStr">
        <is>
          <t>3¹, 6¹³</t>
        </is>
      </c>
      <c r="L1349" t="inlineStr">
        <is>
          <t>9G¹, 18H¹, 18K²</t>
        </is>
      </c>
      <c r="M1349" t="inlineStr">
        <is>
          <t>18C¹⁶, 18B¹⁹</t>
        </is>
      </c>
      <c r="N1349" t="inlineStr">
        <is>
          <t>6B⁰, 18H¹, 9A⁰, 18K², 9G⁰, 9G¹, 3A⁰, 9F⁰, 1A⁰, 18A⁰, 18A¹</t>
        </is>
      </c>
      <c r="O1349" t="inlineStr">
        <is>
          <t>18B¹⁹, 18C¹⁶</t>
        </is>
      </c>
    </row>
    <row r="1350">
      <c r="A1350">
        <f>HYPERLINK("https://mathstats.uncg.edu/sites/pauli/congruence/csg7.html#group18K7", "18K⁷")</f>
        <v/>
      </c>
      <c r="B1350" t="n">
        <v>7</v>
      </c>
      <c r="C1350" t="inlineStr"/>
      <c r="D1350" t="inlineStr">
        <is>
          <t>162</t>
        </is>
      </c>
      <c r="E1350" t="inlineStr">
        <is>
          <t>1</t>
        </is>
      </c>
      <c r="F1350" t="inlineStr">
        <is>
          <t>81</t>
        </is>
      </c>
      <c r="G1350" t="inlineStr">
        <is>
          <t>12</t>
        </is>
      </c>
      <c r="H1350" t="inlineStr">
        <is>
          <t>0</t>
        </is>
      </c>
      <c r="I1350" t="inlineStr">
        <is>
          <t>18⁹</t>
        </is>
      </c>
      <c r="J1350" t="n">
        <v>9</v>
      </c>
      <c r="K1350" t="inlineStr">
        <is>
          <t>3³, 6¹²</t>
        </is>
      </c>
      <c r="L1350" t="inlineStr">
        <is>
          <t>18H¹, 18L², 18J³</t>
        </is>
      </c>
      <c r="M1350" t="inlineStr">
        <is>
          <t>18G¹⁶, 36H¹⁶, 18C¹⁹, 36S¹⁹, 36D²²</t>
        </is>
      </c>
      <c r="N1350" t="inlineStr">
        <is>
          <t>6B⁰, 18H¹, 18J³, 9A⁰, 9G⁰, 6D⁰, 6H⁰, 2B⁰, 18E¹, 3A⁰, 1A⁰, 18A⁰, 18L²</t>
        </is>
      </c>
      <c r="O1350" t="inlineStr">
        <is>
          <t>18G¹⁶, 18C¹⁹, 36S¹⁹, 36D²², 36H¹⁶</t>
        </is>
      </c>
    </row>
    <row r="1351">
      <c r="A1351">
        <f>HYPERLINK("https://mathstats.uncg.edu/sites/pauli/congruence/csg7.html#group18L7", "18L⁷")</f>
        <v/>
      </c>
      <c r="B1351" t="n">
        <v>7</v>
      </c>
      <c r="C1351" t="inlineStr"/>
      <c r="D1351" t="inlineStr">
        <is>
          <t>162</t>
        </is>
      </c>
      <c r="E1351" t="inlineStr">
        <is>
          <t>1</t>
        </is>
      </c>
      <c r="F1351" t="inlineStr">
        <is>
          <t>162</t>
        </is>
      </c>
      <c r="G1351" t="inlineStr">
        <is>
          <t>12</t>
        </is>
      </c>
      <c r="H1351" t="inlineStr">
        <is>
          <t>0</t>
        </is>
      </c>
      <c r="I1351" t="inlineStr">
        <is>
          <t>18⁹</t>
        </is>
      </c>
      <c r="J1351" t="n">
        <v>9</v>
      </c>
      <c r="K1351" t="inlineStr">
        <is>
          <t>6²⁷</t>
        </is>
      </c>
      <c r="L1351" t="inlineStr">
        <is>
          <t>18H¹, 18M²</t>
        </is>
      </c>
      <c r="M1351" t="inlineStr">
        <is>
          <t>18H¹⁶, 18D¹⁹</t>
        </is>
      </c>
      <c r="N1351" t="inlineStr">
        <is>
          <t>6B⁰, 3A⁰, 18H¹, 9A⁰, 9G⁰, 18B¹, 18M², 1A⁰, 18A⁰</t>
        </is>
      </c>
      <c r="O1351" t="inlineStr">
        <is>
          <t>18D¹⁹, 18H¹⁶</t>
        </is>
      </c>
    </row>
    <row r="1352">
      <c r="A1352">
        <f>HYPERLINK("https://mathstats.uncg.edu/sites/pauli/congruence/csg7.html#group18M7", "18M⁷")</f>
        <v/>
      </c>
      <c r="B1352" t="n">
        <v>7</v>
      </c>
      <c r="C1352" t="inlineStr"/>
      <c r="D1352" t="inlineStr">
        <is>
          <t>162</t>
        </is>
      </c>
      <c r="E1352" t="inlineStr">
        <is>
          <t>2</t>
        </is>
      </c>
      <c r="F1352" t="inlineStr">
        <is>
          <t>27</t>
        </is>
      </c>
      <c r="G1352" t="inlineStr">
        <is>
          <t>6</t>
        </is>
      </c>
      <c r="H1352" t="inlineStr">
        <is>
          <t>0</t>
        </is>
      </c>
      <c r="I1352" t="inlineStr">
        <is>
          <t>9⁶, 18⁶</t>
        </is>
      </c>
      <c r="J1352" t="n">
        <v>12</v>
      </c>
      <c r="K1352" t="inlineStr">
        <is>
          <t>2⁹, 6⁶</t>
        </is>
      </c>
      <c r="L1352" t="inlineStr">
        <is>
          <t>9F¹, 18I², 18E³, 18J³</t>
        </is>
      </c>
      <c r="M1352" t="inlineStr">
        <is>
          <t>18A¹⁶, 18G¹⁶, 36I¹⁶, 18E¹⁹, 36Q¹⁹, 36R¹⁹, 18A²², 36H²²</t>
        </is>
      </c>
      <c r="N1352" t="inlineStr">
        <is>
          <t>9G⁰, 6G⁰, 2B⁰, 1A⁰, 9B¹, 18E³, 9D⁰, 18J³, 9A⁰, 3C⁰, 18E¹, 3A⁰, 18I², 6D⁰, 9F¹</t>
        </is>
      </c>
      <c r="O1352" t="inlineStr">
        <is>
          <t>18G¹⁶, 36Q¹⁹, 36R¹⁹, 36H²², 18E¹⁹, 18A¹⁶, 36I¹⁶, 18A²²</t>
        </is>
      </c>
    </row>
    <row r="1353">
      <c r="A1353">
        <f>HYPERLINK("https://mathstats.uncg.edu/sites/pauli/congruence/csg7.html#group18N7", "18N⁷")</f>
        <v/>
      </c>
      <c r="B1353" t="n">
        <v>7</v>
      </c>
      <c r="C1353" t="inlineStr"/>
      <c r="D1353" t="inlineStr">
        <is>
          <t>216</t>
        </is>
      </c>
      <c r="E1353" t="inlineStr">
        <is>
          <t>1</t>
        </is>
      </c>
      <c r="F1353" t="inlineStr">
        <is>
          <t>6</t>
        </is>
      </c>
      <c r="G1353" t="inlineStr">
        <is>
          <t>0</t>
        </is>
      </c>
      <c r="H1353" t="inlineStr">
        <is>
          <t>0</t>
        </is>
      </c>
      <c r="I1353" t="inlineStr">
        <is>
          <t>6¹⁸, 18⁶</t>
        </is>
      </c>
      <c r="J1353" t="n">
        <v>24</v>
      </c>
      <c r="K1353" t="inlineStr">
        <is>
          <t>1², 2²</t>
        </is>
      </c>
      <c r="L1353" t="inlineStr">
        <is>
          <t>6F¹, 18P², 18F³, 18H³, 18K³, 18N⁴</t>
        </is>
      </c>
      <c r="M1353" t="inlineStr">
        <is>
          <t>36I¹⁷, 36E²¹</t>
        </is>
      </c>
      <c r="N1353" t="inlineStr">
        <is>
          <t>2A⁰, 6C¹, 6G⁰, 2B⁰, 9E⁰, 1A⁰, 18F³, 18N⁴, 6B¹, 18H³, 3C⁰, 18K³, 6A¹, 18G¹, 6K⁰, 6H⁰, 3A⁰, 6F⁰, 6E¹, 18F², 3B⁰, 6B⁰, 18I¹, 6I⁰, 6F¹, 6C⁰, 6D¹, 6A⁰, 6E⁰, 6L⁰, 6J⁰, 18P², 18F¹, 9H⁰, 3D⁰, 2C⁰, 6D⁰</t>
        </is>
      </c>
      <c r="O1353" t="inlineStr">
        <is>
          <t>36I¹⁷, 36E²¹</t>
        </is>
      </c>
    </row>
    <row r="1354">
      <c r="A1354">
        <f>HYPERLINK("https://mathstats.uncg.edu/sites/pauli/congruence/csg7.html#group18O7", "18O⁷")</f>
        <v/>
      </c>
      <c r="B1354" t="n">
        <v>7</v>
      </c>
      <c r="C1354" t="inlineStr"/>
      <c r="D1354" t="inlineStr">
        <is>
          <t>216</t>
        </is>
      </c>
      <c r="E1354" t="inlineStr">
        <is>
          <t>1</t>
        </is>
      </c>
      <c r="F1354" t="inlineStr">
        <is>
          <t>12</t>
        </is>
      </c>
      <c r="G1354" t="inlineStr">
        <is>
          <t>0</t>
        </is>
      </c>
      <c r="H1354" t="inlineStr">
        <is>
          <t>0</t>
        </is>
      </c>
      <c r="I1354" t="inlineStr">
        <is>
          <t>2⁹, 6⁶, 18⁹</t>
        </is>
      </c>
      <c r="J1354" t="n">
        <v>24</v>
      </c>
      <c r="K1354" t="inlineStr">
        <is>
          <t>1², 2², 6¹</t>
        </is>
      </c>
      <c r="L1354" t="inlineStr">
        <is>
          <t>18J¹, 18Q², 18G³, 18I³</t>
        </is>
      </c>
      <c r="M1354" t="inlineStr">
        <is>
          <t>36J¹⁷, 36F²¹</t>
        </is>
      </c>
      <c r="N1354" t="inlineStr">
        <is>
          <t>3B⁰, 2A⁰, 6I⁰, 6C⁰, 9B⁰, 2B⁰, 18J¹, 1A⁰, 18C⁰, 18E⁰, 18Q², 18G³, 18C¹, 9I⁰, 18I³, 6F⁰, 2C⁰</t>
        </is>
      </c>
      <c r="O1354" t="inlineStr">
        <is>
          <t>36F²¹, 36J¹⁷</t>
        </is>
      </c>
    </row>
    <row r="1355">
      <c r="A1355">
        <f>HYPERLINK("https://mathstats.uncg.edu/sites/pauli/congruence/csg7.html#group18P7", "18P⁷")</f>
        <v/>
      </c>
      <c r="B1355" t="n">
        <v>7</v>
      </c>
      <c r="C1355" t="inlineStr"/>
      <c r="D1355" t="inlineStr">
        <is>
          <t>216</t>
        </is>
      </c>
      <c r="E1355" t="inlineStr">
        <is>
          <t>1</t>
        </is>
      </c>
      <c r="F1355" t="inlineStr">
        <is>
          <t>24</t>
        </is>
      </c>
      <c r="G1355" t="inlineStr">
        <is>
          <t>0</t>
        </is>
      </c>
      <c r="H1355" t="inlineStr">
        <is>
          <t>9</t>
        </is>
      </c>
      <c r="I1355" t="inlineStr">
        <is>
          <t>6⁹, 18⁹</t>
        </is>
      </c>
      <c r="J1355" t="n">
        <v>18</v>
      </c>
      <c r="K1355" t="inlineStr">
        <is>
          <t>2⁶, 6²</t>
        </is>
      </c>
      <c r="L1355" t="inlineStr">
        <is>
          <t>18K¹, 18N², 18O²</t>
        </is>
      </c>
      <c r="M1355" t="inlineStr">
        <is>
          <t>36M²²</t>
        </is>
      </c>
      <c r="N1355" t="inlineStr">
        <is>
          <t>18C⁰, 3B⁰, 2A⁰, 9J⁰, 6A⁰, 18K¹, 18B⁰, 18N², 6C⁰, 6J⁰, 9C⁰, 18O², 1A⁰, 18D¹</t>
        </is>
      </c>
      <c r="O1355" t="inlineStr">
        <is>
          <t>36M²²</t>
        </is>
      </c>
    </row>
    <row r="1356">
      <c r="A1356">
        <f>HYPERLINK("https://mathstats.uncg.edu/sites/pauli/congruence/csg7.html#group19A7", "19A⁷")</f>
        <v/>
      </c>
      <c r="B1356" t="n">
        <v>7</v>
      </c>
      <c r="C1356" t="inlineStr">
        <is>
          <t>Γ₁(19)</t>
        </is>
      </c>
      <c r="D1356" t="inlineStr">
        <is>
          <t>180</t>
        </is>
      </c>
      <c r="E1356" t="inlineStr">
        <is>
          <t>1</t>
        </is>
      </c>
      <c r="F1356" t="inlineStr">
        <is>
          <t>20</t>
        </is>
      </c>
      <c r="G1356" t="inlineStr">
        <is>
          <t>0</t>
        </is>
      </c>
      <c r="H1356" t="inlineStr">
        <is>
          <t>0</t>
        </is>
      </c>
      <c r="I1356" t="inlineStr">
        <is>
          <t>1⁹, 19⁹</t>
        </is>
      </c>
      <c r="J1356" t="n">
        <v>18</v>
      </c>
      <c r="K1356" t="inlineStr">
        <is>
          <t>1², 18¹</t>
        </is>
      </c>
      <c r="L1356" t="inlineStr">
        <is>
          <t>19B¹</t>
        </is>
      </c>
      <c r="M1356" t="inlineStr">
        <is>
          <t>38B²²</t>
        </is>
      </c>
      <c r="N1356" t="inlineStr">
        <is>
          <t>19A¹, 1A⁰, 19B¹</t>
        </is>
      </c>
      <c r="O1356" t="inlineStr">
        <is>
          <t>38B²²</t>
        </is>
      </c>
    </row>
    <row r="1357">
      <c r="A1357">
        <f>HYPERLINK("https://mathstats.uncg.edu/sites/pauli/congruence/csg7.html#group20A7", "20A⁷")</f>
        <v/>
      </c>
      <c r="B1357" t="n">
        <v>7</v>
      </c>
      <c r="C1357" t="inlineStr"/>
      <c r="D1357" t="inlineStr">
        <is>
          <t>120</t>
        </is>
      </c>
      <c r="E1357" t="inlineStr">
        <is>
          <t>1</t>
        </is>
      </c>
      <c r="F1357" t="inlineStr">
        <is>
          <t>30</t>
        </is>
      </c>
      <c r="G1357" t="inlineStr">
        <is>
          <t>0</t>
        </is>
      </c>
      <c r="H1357" t="inlineStr">
        <is>
          <t>0</t>
        </is>
      </c>
      <c r="I1357" t="inlineStr">
        <is>
          <t>10⁴, 20⁴</t>
        </is>
      </c>
      <c r="J1357" t="n">
        <v>8</v>
      </c>
      <c r="K1357" t="inlineStr">
        <is>
          <t>2³, 4⁶</t>
        </is>
      </c>
      <c r="L1357" t="inlineStr">
        <is>
          <t>10E², 20E³, 20B⁴</t>
        </is>
      </c>
      <c r="M1357" t="inlineStr">
        <is>
          <t>20A¹³, 20H¹⁵, 40E¹⁵, 40I¹⁷, 20B¹⁹</t>
        </is>
      </c>
      <c r="N1357" t="inlineStr">
        <is>
          <t>10E², 20E³, 10D⁰, 5C⁰, 20B⁴, 2B⁰, 4B⁰, 1A⁰, 10F¹</t>
        </is>
      </c>
      <c r="O1357" t="inlineStr">
        <is>
          <t>20A¹³, 40I¹⁷, 20H¹⁵, 20B¹⁹, 40E¹⁵</t>
        </is>
      </c>
    </row>
    <row r="1358">
      <c r="A1358">
        <f>HYPERLINK("https://mathstats.uncg.edu/sites/pauli/congruence/csg7.html#group20B7", "20B⁷")</f>
        <v/>
      </c>
      <c r="B1358" t="n">
        <v>7</v>
      </c>
      <c r="C1358" t="inlineStr"/>
      <c r="D1358" t="inlineStr">
        <is>
          <t>120</t>
        </is>
      </c>
      <c r="E1358" t="inlineStr">
        <is>
          <t>1</t>
        </is>
      </c>
      <c r="F1358" t="inlineStr">
        <is>
          <t>30</t>
        </is>
      </c>
      <c r="G1358" t="inlineStr">
        <is>
          <t>0</t>
        </is>
      </c>
      <c r="H1358" t="inlineStr">
        <is>
          <t>0</t>
        </is>
      </c>
      <c r="I1358" t="inlineStr">
        <is>
          <t>10⁴, 20⁴</t>
        </is>
      </c>
      <c r="J1358" t="n">
        <v>8</v>
      </c>
      <c r="K1358" t="inlineStr">
        <is>
          <t>2³, 4⁶</t>
        </is>
      </c>
      <c r="L1358" t="inlineStr">
        <is>
          <t>20F², 10A³, 20B⁴</t>
        </is>
      </c>
      <c r="M1358" t="inlineStr">
        <is>
          <t>20A¹³, 20E¹⁵, 40T¹⁵, 40H¹⁷, 20C¹⁹</t>
        </is>
      </c>
      <c r="N1358" t="inlineStr">
        <is>
          <t>2A⁰, 5C⁰, 20B⁴, 10A³, 2B⁰, 10C¹, 20F², 1A⁰, 2C⁰, 10F¹</t>
        </is>
      </c>
      <c r="O1358" t="inlineStr">
        <is>
          <t>20A¹³, 20E¹⁵, 40T¹⁵, 40H¹⁷, 20C¹⁹</t>
        </is>
      </c>
    </row>
    <row r="1359">
      <c r="A1359">
        <f>HYPERLINK("https://mathstats.uncg.edu/sites/pauli/congruence/csg7.html#group20C7", "20C⁷")</f>
        <v/>
      </c>
      <c r="B1359" t="n">
        <v>7</v>
      </c>
      <c r="C1359" t="inlineStr"/>
      <c r="D1359" t="inlineStr">
        <is>
          <t>120</t>
        </is>
      </c>
      <c r="E1359" t="inlineStr">
        <is>
          <t>1</t>
        </is>
      </c>
      <c r="F1359" t="inlineStr">
        <is>
          <t>30</t>
        </is>
      </c>
      <c r="G1359" t="inlineStr">
        <is>
          <t>0</t>
        </is>
      </c>
      <c r="H1359" t="inlineStr">
        <is>
          <t>0</t>
        </is>
      </c>
      <c r="I1359" t="inlineStr">
        <is>
          <t>10⁴, 20⁴</t>
        </is>
      </c>
      <c r="J1359" t="n">
        <v>8</v>
      </c>
      <c r="K1359" t="inlineStr">
        <is>
          <t>2³, 4⁶</t>
        </is>
      </c>
      <c r="L1359" t="inlineStr">
        <is>
          <t>4E⁰, 10A³, 20E³, 20F³</t>
        </is>
      </c>
      <c r="M1359" t="inlineStr">
        <is>
          <t>20A¹³, 20D¹⁵, 20E¹⁵, 40B¹⁵, 40C¹⁵, 40N¹⁵, 40O¹⁵, 40C¹⁷, 40D¹⁷, 20D¹⁹</t>
        </is>
      </c>
      <c r="N1359" t="inlineStr">
        <is>
          <t>2A⁰, 2C⁰, 20E³, 4C⁰, 10A³, 10C¹, 4E⁰, 2B⁰, 1A⁰, 4B⁰, 5C⁰, 20F³, 10F¹</t>
        </is>
      </c>
      <c r="O1359" t="inlineStr">
        <is>
          <t>20A¹³, 40N¹⁵, 40O¹⁵, 20D¹⁹, 40C¹⁷, 20D¹⁵, 20E¹⁵, 40B¹⁵, 40C¹⁵, 40D¹⁷</t>
        </is>
      </c>
    </row>
    <row r="1360">
      <c r="A1360">
        <f>HYPERLINK("https://mathstats.uncg.edu/sites/pauli/congruence/csg7.html#group20D7", "20D⁷")</f>
        <v/>
      </c>
      <c r="B1360" t="n">
        <v>7</v>
      </c>
      <c r="C1360" t="inlineStr"/>
      <c r="D1360" t="inlineStr">
        <is>
          <t>120</t>
        </is>
      </c>
      <c r="E1360" t="inlineStr">
        <is>
          <t>1</t>
        </is>
      </c>
      <c r="F1360" t="inlineStr">
        <is>
          <t>30</t>
        </is>
      </c>
      <c r="G1360" t="inlineStr">
        <is>
          <t>0</t>
        </is>
      </c>
      <c r="H1360" t="inlineStr">
        <is>
          <t>0</t>
        </is>
      </c>
      <c r="I1360" t="inlineStr">
        <is>
          <t>10⁴, 20⁴</t>
        </is>
      </c>
      <c r="J1360" t="n">
        <v>8</v>
      </c>
      <c r="K1360" t="inlineStr">
        <is>
          <t>2³, 4⁶</t>
        </is>
      </c>
      <c r="L1360" t="inlineStr">
        <is>
          <t>10D², 20B², 20F³, 20B⁴</t>
        </is>
      </c>
      <c r="M1360" t="inlineStr">
        <is>
          <t>20A¹³, 20G¹⁵, 40D¹⁵, 40E¹⁷, 40F¹⁷, 20A¹⁹</t>
        </is>
      </c>
      <c r="N1360" t="inlineStr">
        <is>
          <t>5A⁰, 10B¹, 20B², 5C⁰, 4C⁰, 5F⁰, 20B⁴, 2B⁰, 1A⁰, 10D², 20F³, 10F¹</t>
        </is>
      </c>
      <c r="O1360" t="inlineStr">
        <is>
          <t>20A¹³, 20A¹⁹, 40E¹⁷, 40F¹⁷, 20G¹⁵, 40D¹⁵</t>
        </is>
      </c>
    </row>
    <row r="1361">
      <c r="A1361">
        <f>HYPERLINK("https://mathstats.uncg.edu/sites/pauli/congruence/csg7.html#group20E7", "20E⁷")</f>
        <v/>
      </c>
      <c r="B1361" t="n">
        <v>7</v>
      </c>
      <c r="C1361" t="inlineStr"/>
      <c r="D1361" t="inlineStr">
        <is>
          <t>120</t>
        </is>
      </c>
      <c r="E1361" t="inlineStr">
        <is>
          <t>1</t>
        </is>
      </c>
      <c r="F1361" t="inlineStr">
        <is>
          <t>30</t>
        </is>
      </c>
      <c r="G1361" t="inlineStr">
        <is>
          <t>4</t>
        </is>
      </c>
      <c r="H1361" t="inlineStr">
        <is>
          <t>0</t>
        </is>
      </c>
      <c r="I1361" t="inlineStr">
        <is>
          <t>20⁶</t>
        </is>
      </c>
      <c r="J1361" t="n">
        <v>6</v>
      </c>
      <c r="K1361" t="inlineStr">
        <is>
          <t>2¹, 4¹, 8³</t>
        </is>
      </c>
      <c r="L1361" t="inlineStr">
        <is>
          <t>20C¹, 20F¹, 10C²</t>
        </is>
      </c>
      <c r="M1361" t="inlineStr">
        <is>
          <t>20A¹⁵, 20A²¹</t>
        </is>
      </c>
      <c r="N1361" t="inlineStr">
        <is>
          <t>20C¹, 5A⁰, 10D⁰, 10C², 5B⁰, 5E⁰, 1A⁰, 10B⁰, 10E¹, 5C⁰, 5G⁰, 20F¹</t>
        </is>
      </c>
      <c r="O1361" t="inlineStr">
        <is>
          <t>20A¹⁵, 20A²¹</t>
        </is>
      </c>
    </row>
    <row r="1362">
      <c r="A1362">
        <f>HYPERLINK("https://mathstats.uncg.edu/sites/pauli/congruence/csg7.html#group20F7", "20F⁷")</f>
        <v/>
      </c>
      <c r="B1362" t="n">
        <v>7</v>
      </c>
      <c r="C1362" t="inlineStr"/>
      <c r="D1362" t="inlineStr">
        <is>
          <t>120</t>
        </is>
      </c>
      <c r="E1362" t="inlineStr">
        <is>
          <t>1</t>
        </is>
      </c>
      <c r="F1362" t="inlineStr">
        <is>
          <t>60</t>
        </is>
      </c>
      <c r="G1362" t="inlineStr">
        <is>
          <t>4</t>
        </is>
      </c>
      <c r="H1362" t="inlineStr">
        <is>
          <t>0</t>
        </is>
      </c>
      <c r="I1362" t="inlineStr">
        <is>
          <t>20⁶</t>
        </is>
      </c>
      <c r="J1362" t="n">
        <v>6</v>
      </c>
      <c r="K1362" t="inlineStr">
        <is>
          <t>2², 4², 8⁶</t>
        </is>
      </c>
      <c r="L1362" t="inlineStr">
        <is>
          <t>5G⁰, 20B¹, 20E², 20D³</t>
        </is>
      </c>
      <c r="M1362" t="inlineStr">
        <is>
          <t>20B¹³, 20B¹⁵, 20F¹⁵, 40R¹⁷, 40S¹⁷, 20C²¹</t>
        </is>
      </c>
      <c r="N1362" t="inlineStr">
        <is>
          <t>5A⁰, 4A⁰, 5C⁰, 5B⁰, 5E⁰, 20A¹, 1A⁰, 20E², 5G⁰, 20B¹, 20D³</t>
        </is>
      </c>
      <c r="O1362" t="inlineStr">
        <is>
          <t>20B¹³, 20F¹⁵, 20B¹⁵, 40R¹⁷, 20C²¹, 40S¹⁷</t>
        </is>
      </c>
    </row>
    <row r="1363">
      <c r="A1363">
        <f>HYPERLINK("https://mathstats.uncg.edu/sites/pauli/congruence/csg7.html#group20G7", "20G⁷")</f>
        <v/>
      </c>
      <c r="B1363" t="n">
        <v>7</v>
      </c>
      <c r="C1363" t="inlineStr"/>
      <c r="D1363" t="inlineStr">
        <is>
          <t>120</t>
        </is>
      </c>
      <c r="E1363" t="inlineStr">
        <is>
          <t>1</t>
        </is>
      </c>
      <c r="F1363" t="inlineStr">
        <is>
          <t>60</t>
        </is>
      </c>
      <c r="G1363" t="inlineStr">
        <is>
          <t>4</t>
        </is>
      </c>
      <c r="H1363" t="inlineStr">
        <is>
          <t>0</t>
        </is>
      </c>
      <c r="I1363" t="inlineStr">
        <is>
          <t>20⁶</t>
        </is>
      </c>
      <c r="J1363" t="n">
        <v>6</v>
      </c>
      <c r="K1363" t="inlineStr">
        <is>
          <t>2², 4⁶, 8⁴</t>
        </is>
      </c>
      <c r="L1363" t="inlineStr">
        <is>
          <t>20F³</t>
        </is>
      </c>
      <c r="M1363" t="inlineStr">
        <is>
          <t>20C¹³, 20E¹⁵, 20G¹⁵, 40G¹⁵, 40F¹⁵, 40K¹⁷, 40J¹⁷, 20B²¹</t>
        </is>
      </c>
      <c r="N1363" t="inlineStr">
        <is>
          <t>1A⁰, 2B⁰, 5C⁰, 20F³, 4C⁰, 10F¹</t>
        </is>
      </c>
      <c r="O1363" t="inlineStr">
        <is>
          <t>20B²¹, 20C¹³, 40J¹⁷, 40F¹⁵, 20E¹⁵, 40K¹⁷, 20G¹⁵, 40G¹⁵</t>
        </is>
      </c>
    </row>
    <row r="1364">
      <c r="A1364">
        <f>HYPERLINK("https://mathstats.uncg.edu/sites/pauli/congruence/csg7.html#group20H7", "20H⁷")</f>
        <v/>
      </c>
      <c r="B1364" t="n">
        <v>7</v>
      </c>
      <c r="C1364" t="inlineStr"/>
      <c r="D1364" t="inlineStr">
        <is>
          <t>120</t>
        </is>
      </c>
      <c r="E1364" t="inlineStr">
        <is>
          <t>1</t>
        </is>
      </c>
      <c r="F1364" t="inlineStr">
        <is>
          <t>60</t>
        </is>
      </c>
      <c r="G1364" t="inlineStr">
        <is>
          <t>4</t>
        </is>
      </c>
      <c r="H1364" t="inlineStr">
        <is>
          <t>0</t>
        </is>
      </c>
      <c r="I1364" t="inlineStr">
        <is>
          <t>20⁶</t>
        </is>
      </c>
      <c r="J1364" t="n">
        <v>6</v>
      </c>
      <c r="K1364" t="inlineStr">
        <is>
          <t>2², 4⁶, 8⁴</t>
        </is>
      </c>
      <c r="L1364" t="inlineStr">
        <is>
          <t>4F⁰, 20E², 20F³</t>
        </is>
      </c>
      <c r="M1364" t="inlineStr">
        <is>
          <t>20C¹³, 20D¹⁵, 20G¹⁵, 40H¹⁵, 40I¹⁵, 40P¹⁵, 40Q¹⁵, 40L¹⁷, 40M¹⁷, 40P¹⁷, 40Q¹⁷, 20C²¹</t>
        </is>
      </c>
      <c r="N1364" t="inlineStr">
        <is>
          <t>20E², 4A⁰, 4C⁰, 1A⁰, 2B⁰, 4F⁰, 5C⁰, 20F³, 10F¹</t>
        </is>
      </c>
      <c r="O1364" t="inlineStr">
        <is>
          <t>40L¹⁷, 40Q¹⁵, 20C¹³, 40P¹⁵, 20C²¹, 40I¹⁵, 40Q¹⁷, 20D¹⁵, 40P¹⁷, 40M¹⁷, 20G¹⁵, 40H¹⁵</t>
        </is>
      </c>
    </row>
    <row r="1365">
      <c r="A1365">
        <f>HYPERLINK("https://mathstats.uncg.edu/sites/pauli/congruence/csg7.html#group20I7", "20I⁷")</f>
        <v/>
      </c>
      <c r="B1365" t="n">
        <v>7</v>
      </c>
      <c r="C1365" t="inlineStr"/>
      <c r="D1365" t="inlineStr">
        <is>
          <t>120</t>
        </is>
      </c>
      <c r="E1365" t="inlineStr">
        <is>
          <t>2</t>
        </is>
      </c>
      <c r="F1365" t="inlineStr">
        <is>
          <t>30</t>
        </is>
      </c>
      <c r="G1365" t="inlineStr">
        <is>
          <t>4</t>
        </is>
      </c>
      <c r="H1365" t="inlineStr">
        <is>
          <t>0</t>
        </is>
      </c>
      <c r="I1365" t="inlineStr">
        <is>
          <t>20⁶</t>
        </is>
      </c>
      <c r="J1365" t="n">
        <v>6</v>
      </c>
      <c r="K1365" t="inlineStr">
        <is>
          <t>4³, 8⁶</t>
        </is>
      </c>
      <c r="L1365" t="inlineStr">
        <is>
          <t>20F¹, 10E²</t>
        </is>
      </c>
      <c r="M1365" t="inlineStr">
        <is>
          <t>20D¹³, 20C¹⁵, 20H¹⁵, 20A²¹</t>
        </is>
      </c>
      <c r="N1365" t="inlineStr">
        <is>
          <t>10F¹, 2B⁰, 10E², 1A⁰, 10D⁰, 5C⁰, 20F¹</t>
        </is>
      </c>
      <c r="O1365" t="inlineStr">
        <is>
          <t>20H¹⁵, 20D¹³, 20C¹⁵, 20A²¹</t>
        </is>
      </c>
    </row>
    <row r="1366">
      <c r="A1366">
        <f>HYPERLINK("https://mathstats.uncg.edu/sites/pauli/congruence/csg7.html#group20J7", "20J⁷")</f>
        <v/>
      </c>
      <c r="B1366" t="n">
        <v>7</v>
      </c>
      <c r="C1366" t="inlineStr"/>
      <c r="D1366" t="inlineStr">
        <is>
          <t>144</t>
        </is>
      </c>
      <c r="E1366" t="inlineStr">
        <is>
          <t>1</t>
        </is>
      </c>
      <c r="F1366" t="inlineStr">
        <is>
          <t>6</t>
        </is>
      </c>
      <c r="G1366" t="inlineStr">
        <is>
          <t>0</t>
        </is>
      </c>
      <c r="H1366" t="inlineStr">
        <is>
          <t>0</t>
        </is>
      </c>
      <c r="I1366" t="inlineStr">
        <is>
          <t>4⁶, 20⁶</t>
        </is>
      </c>
      <c r="J1366" t="n">
        <v>12</v>
      </c>
      <c r="K1366" t="inlineStr">
        <is>
          <t>1², 4¹</t>
        </is>
      </c>
      <c r="L1366" t="inlineStr">
        <is>
          <t>10K¹, 20A³, 20M³</t>
        </is>
      </c>
      <c r="M1366" t="inlineStr">
        <is>
          <t>20F¹³</t>
        </is>
      </c>
      <c r="N1366" t="inlineStr">
        <is>
          <t>2A⁰, 20C¹, 20M³, 10G⁰, 5B⁰, 5D⁰, 10A¹, 2B⁰, 10D¹, 1A⁰, 10F⁰, 20A³, 10B⁰, 10C⁰, 10K¹, 2C⁰, 10G¹</t>
        </is>
      </c>
      <c r="O1366" t="inlineStr">
        <is>
          <t>20F¹³</t>
        </is>
      </c>
    </row>
    <row r="1367">
      <c r="A1367">
        <f>HYPERLINK("https://mathstats.uncg.edu/sites/pauli/congruence/csg7.html#group20K7", "20K⁷")</f>
        <v/>
      </c>
      <c r="B1367" t="n">
        <v>7</v>
      </c>
      <c r="C1367" t="inlineStr"/>
      <c r="D1367" t="inlineStr">
        <is>
          <t>144</t>
        </is>
      </c>
      <c r="E1367" t="inlineStr">
        <is>
          <t>1</t>
        </is>
      </c>
      <c r="F1367" t="inlineStr">
        <is>
          <t>6</t>
        </is>
      </c>
      <c r="G1367" t="inlineStr">
        <is>
          <t>0</t>
        </is>
      </c>
      <c r="H1367" t="inlineStr">
        <is>
          <t>0</t>
        </is>
      </c>
      <c r="I1367" t="inlineStr">
        <is>
          <t>4⁶, 20⁶</t>
        </is>
      </c>
      <c r="J1367" t="n">
        <v>12</v>
      </c>
      <c r="K1367" t="inlineStr">
        <is>
          <t>1², 4¹</t>
        </is>
      </c>
      <c r="L1367" t="inlineStr">
        <is>
          <t>4G⁰, 20C³, 20J³, 20L³</t>
        </is>
      </c>
      <c r="M1367" t="inlineStr">
        <is>
          <t>20E¹³, 40U¹⁵, 40V¹⁵, 40U¹⁷, 40X¹⁷, 40A¹⁹, 40B¹⁹</t>
        </is>
      </c>
      <c r="N1367" t="inlineStr">
        <is>
          <t>20E¹, 2A⁰, 4C⁰, 20C³, 5B⁰, 10A¹, 4G⁰, 20D¹, 4E⁰, 2B⁰, 4B⁰, 1A⁰, 20B¹, 10G¹, 4A⁰, 4D⁰, 10C⁰, 4F⁰, 20J³, 2C⁰, 20L³</t>
        </is>
      </c>
      <c r="O1367" t="inlineStr">
        <is>
          <t>40X¹⁷, 40U¹⁵, 40V¹⁵, 40U¹⁷, 40A¹⁹, 40B¹⁹, 20E¹³</t>
        </is>
      </c>
    </row>
    <row r="1368">
      <c r="A1368">
        <f>HYPERLINK("https://mathstats.uncg.edu/sites/pauli/congruence/csg7.html#group20L7", "20L⁷")</f>
        <v/>
      </c>
      <c r="B1368" t="n">
        <v>7</v>
      </c>
      <c r="C1368" t="inlineStr"/>
      <c r="D1368" t="inlineStr">
        <is>
          <t>144</t>
        </is>
      </c>
      <c r="E1368" t="inlineStr">
        <is>
          <t>1</t>
        </is>
      </c>
      <c r="F1368" t="inlineStr">
        <is>
          <t>18</t>
        </is>
      </c>
      <c r="G1368" t="inlineStr">
        <is>
          <t>0</t>
        </is>
      </c>
      <c r="H1368" t="inlineStr">
        <is>
          <t>0</t>
        </is>
      </c>
      <c r="I1368" t="inlineStr">
        <is>
          <t>4⁶, 20⁶</t>
        </is>
      </c>
      <c r="J1368" t="n">
        <v>12</v>
      </c>
      <c r="K1368" t="inlineStr">
        <is>
          <t>1⁶, 4³</t>
        </is>
      </c>
      <c r="L1368" t="inlineStr">
        <is>
          <t>20I³, 20J³, 20K³</t>
        </is>
      </c>
      <c r="M1368" t="inlineStr">
        <is>
          <t>20E¹³, 40Y¹⁵, 40AD¹⁵, 40W¹⁷, 40V¹⁷, 40AR¹⁷, 40C¹⁹</t>
        </is>
      </c>
      <c r="N1368" t="inlineStr">
        <is>
          <t>2A⁰, 20E¹, 4C⁰, 5B⁰, 10A¹, 2B⁰, 20D¹, 4E⁰, 20K³, 4B⁰, 1A⁰, 20A⁰, 10C⁰, 20I³, 20J³, 2C⁰, 20C², 10G¹</t>
        </is>
      </c>
      <c r="O1368" t="inlineStr">
        <is>
          <t>40Y¹⁵, 40AR¹⁷, 40AD¹⁵, 40W¹⁷, 40C¹⁹, 20E¹³, 40V¹⁷</t>
        </is>
      </c>
    </row>
    <row r="1369">
      <c r="A1369">
        <f>HYPERLINK("https://mathstats.uncg.edu/sites/pauli/congruence/csg7.html#group20M7", "20M⁷")</f>
        <v/>
      </c>
      <c r="B1369" t="n">
        <v>7</v>
      </c>
      <c r="C1369" t="inlineStr"/>
      <c r="D1369" t="inlineStr">
        <is>
          <t>144</t>
        </is>
      </c>
      <c r="E1369" t="inlineStr">
        <is>
          <t>1</t>
        </is>
      </c>
      <c r="F1369" t="inlineStr">
        <is>
          <t>36</t>
        </is>
      </c>
      <c r="G1369" t="inlineStr">
        <is>
          <t>0</t>
        </is>
      </c>
      <c r="H1369" t="inlineStr">
        <is>
          <t>0</t>
        </is>
      </c>
      <c r="I1369" t="inlineStr">
        <is>
          <t>4⁶, 20⁶</t>
        </is>
      </c>
      <c r="J1369" t="n">
        <v>12</v>
      </c>
      <c r="K1369" t="inlineStr">
        <is>
          <t>1⁴, 2⁴, 4², 8²</t>
        </is>
      </c>
      <c r="L1369" t="inlineStr">
        <is>
          <t>20B³, 20G³, 20K³, 20L³</t>
        </is>
      </c>
      <c r="M1369" t="inlineStr">
        <is>
          <t>20E¹³, 40AC¹⁵, 40AB¹⁷, 40AA¹⁷, 40H¹⁹</t>
        </is>
      </c>
      <c r="N1369" t="inlineStr">
        <is>
          <t>20E¹, 20G³, 4C⁰, 5B⁰, 5D⁰, 2B⁰, 20K³, 1A⁰, 20B³, 10F⁰, 20B¹, 4A⁰, 10C⁰, 4F⁰, 20L³, 20C²</t>
        </is>
      </c>
      <c r="O1369" t="inlineStr">
        <is>
          <t>40AB¹⁷, 40AA¹⁷, 40H¹⁹, 20E¹³, 40AC¹⁵</t>
        </is>
      </c>
    </row>
    <row r="1370">
      <c r="A1370">
        <f>HYPERLINK("https://mathstats.uncg.edu/sites/pauli/congruence/csg7.html#group20N7", "20N⁷")</f>
        <v/>
      </c>
      <c r="B1370" t="n">
        <v>7</v>
      </c>
      <c r="C1370" t="inlineStr"/>
      <c r="D1370" t="inlineStr">
        <is>
          <t>144</t>
        </is>
      </c>
      <c r="E1370" t="inlineStr">
        <is>
          <t>2</t>
        </is>
      </c>
      <c r="F1370" t="inlineStr">
        <is>
          <t>18</t>
        </is>
      </c>
      <c r="G1370" t="inlineStr">
        <is>
          <t>0</t>
        </is>
      </c>
      <c r="H1370" t="inlineStr">
        <is>
          <t>0</t>
        </is>
      </c>
      <c r="I1370" t="inlineStr">
        <is>
          <t>4⁶, 20⁶</t>
        </is>
      </c>
      <c r="J1370" t="n">
        <v>12</v>
      </c>
      <c r="K1370" t="inlineStr">
        <is>
          <t>2⁶, 8³</t>
        </is>
      </c>
      <c r="L1370" t="inlineStr">
        <is>
          <t>20J¹, 20H³, 20M³</t>
        </is>
      </c>
      <c r="M1370" t="inlineStr">
        <is>
          <t>20F¹³, 40AS¹⁷</t>
        </is>
      </c>
      <c r="N1370" t="inlineStr">
        <is>
          <t>20C¹, 20C², 20M³, 10G⁰, 5B⁰, 10C⁰, 1A⁰, 2B⁰, 20D¹, 4B⁰, 20J¹, 20H³, 10B⁰</t>
        </is>
      </c>
      <c r="O1370" t="inlineStr">
        <is>
          <t>40AS¹⁷, 20F¹³</t>
        </is>
      </c>
    </row>
    <row r="1371">
      <c r="A1371">
        <f>HYPERLINK("https://mathstats.uncg.edu/sites/pauli/congruence/csg7.html#group20O7", "20O⁷")</f>
        <v/>
      </c>
      <c r="B1371" t="n">
        <v>7</v>
      </c>
      <c r="C1371" t="inlineStr"/>
      <c r="D1371" t="inlineStr">
        <is>
          <t>160</t>
        </is>
      </c>
      <c r="E1371" t="inlineStr">
        <is>
          <t>2</t>
        </is>
      </c>
      <c r="F1371" t="inlineStr">
        <is>
          <t>40</t>
        </is>
      </c>
      <c r="G1371" t="inlineStr">
        <is>
          <t>8</t>
        </is>
      </c>
      <c r="H1371" t="inlineStr">
        <is>
          <t>4</t>
        </is>
      </c>
      <c r="I1371" t="inlineStr">
        <is>
          <t>20⁸</t>
        </is>
      </c>
      <c r="J1371" t="n">
        <v>8</v>
      </c>
      <c r="K1371" t="inlineStr">
        <is>
          <t>4⁴, 8⁸</t>
        </is>
      </c>
      <c r="L1371" t="inlineStr">
        <is>
          <t>20F¹, 20O³</t>
        </is>
      </c>
      <c r="M1371" t="inlineStr">
        <is>
          <t>20A¹⁷, 40J¹⁹, 40K¹⁹</t>
        </is>
      </c>
      <c r="N1371" t="inlineStr">
        <is>
          <t>20E², 20O³, 1A⁰, 4A⁰, 10D⁰, 5C⁰, 20F¹</t>
        </is>
      </c>
      <c r="O1371" t="inlineStr">
        <is>
          <t>20A¹⁷, 40K¹⁹, 40J¹⁹</t>
        </is>
      </c>
    </row>
    <row r="1372">
      <c r="A1372">
        <f>HYPERLINK("https://mathstats.uncg.edu/sites/pauli/congruence/csg7.html#group20P7", "20P⁷")</f>
        <v/>
      </c>
      <c r="B1372" t="n">
        <v>7</v>
      </c>
      <c r="C1372" t="inlineStr"/>
      <c r="D1372" t="inlineStr">
        <is>
          <t>180</t>
        </is>
      </c>
      <c r="E1372" t="inlineStr">
        <is>
          <t>1</t>
        </is>
      </c>
      <c r="F1372" t="inlineStr">
        <is>
          <t>45</t>
        </is>
      </c>
      <c r="G1372" t="inlineStr">
        <is>
          <t>0</t>
        </is>
      </c>
      <c r="H1372" t="inlineStr">
        <is>
          <t>0</t>
        </is>
      </c>
      <c r="I1372" t="inlineStr">
        <is>
          <t>5¹², 20⁶</t>
        </is>
      </c>
      <c r="J1372" t="n">
        <v>18</v>
      </c>
      <c r="K1372" t="inlineStr">
        <is>
          <t>1³, 2³, 4⁹</t>
        </is>
      </c>
      <c r="L1372" t="inlineStr">
        <is>
          <t>20D¹, 10F², 20E³, 20P³, 20D⁴</t>
        </is>
      </c>
      <c r="M1372" t="inlineStr">
        <is>
          <t>20G¹³, 20B¹⁹, 20D¹⁹, 40L¹⁹, 40M¹⁹</t>
        </is>
      </c>
      <c r="N1372" t="inlineStr">
        <is>
          <t>20A², 20D⁴, 5A⁰, 20E³, 10B¹, 5B⁰, 20D¹, 2B⁰, 4B⁰, 1A⁰, 10F¹, 10I¹, 10F², 5E⁰, 20P³, 10C⁰, 5C⁰, 5G⁰</t>
        </is>
      </c>
      <c r="O1372" t="inlineStr">
        <is>
          <t>40M¹⁹, 20D¹⁹, 20B¹⁹, 20G¹³, 40L¹⁹</t>
        </is>
      </c>
    </row>
    <row r="1373">
      <c r="A1373">
        <f>HYPERLINK("https://mathstats.uncg.edu/sites/pauli/congruence/csg7.html#group21A7", "21A⁷")</f>
        <v/>
      </c>
      <c r="B1373" t="n">
        <v>7</v>
      </c>
      <c r="C1373" t="inlineStr"/>
      <c r="D1373" t="inlineStr">
        <is>
          <t>126</t>
        </is>
      </c>
      <c r="E1373" t="inlineStr">
        <is>
          <t>1</t>
        </is>
      </c>
      <c r="F1373" t="inlineStr">
        <is>
          <t>21</t>
        </is>
      </c>
      <c r="G1373" t="inlineStr">
        <is>
          <t>6</t>
        </is>
      </c>
      <c r="H1373" t="inlineStr">
        <is>
          <t>0</t>
        </is>
      </c>
      <c r="I1373" t="inlineStr">
        <is>
          <t>21⁶</t>
        </is>
      </c>
      <c r="J1373" t="n">
        <v>6</v>
      </c>
      <c r="K1373" t="inlineStr">
        <is>
          <t>3¹, 6³</t>
        </is>
      </c>
      <c r="L1373" t="inlineStr">
        <is>
          <t>7A¹, 21E¹</t>
        </is>
      </c>
      <c r="M1373" t="inlineStr">
        <is>
          <t>21A¹³, 21A¹⁵, 21B¹⁵, 42A¹⁷, 42B¹⁷, 42A¹⁹, 42B¹⁹</t>
        </is>
      </c>
      <c r="N1373" t="inlineStr">
        <is>
          <t>21A⁰, 1A⁰, 3A⁰, 21E¹, 7D⁰, 7A⁰, 7A¹</t>
        </is>
      </c>
      <c r="O1373" t="inlineStr">
        <is>
          <t>21A¹³, 42A¹⁷, 42A¹⁹, 42B¹⁹, 21A¹⁵, 42B¹⁷, 21B¹⁵</t>
        </is>
      </c>
    </row>
    <row r="1374">
      <c r="A1374">
        <f>HYPERLINK("https://mathstats.uncg.edu/sites/pauli/congruence/csg7.html#group21B7", "21B⁷")</f>
        <v/>
      </c>
      <c r="B1374" t="n">
        <v>7</v>
      </c>
      <c r="C1374" t="inlineStr"/>
      <c r="D1374" t="inlineStr">
        <is>
          <t>144</t>
        </is>
      </c>
      <c r="E1374" t="inlineStr">
        <is>
          <t>1</t>
        </is>
      </c>
      <c r="F1374" t="inlineStr">
        <is>
          <t>24</t>
        </is>
      </c>
      <c r="G1374" t="inlineStr">
        <is>
          <t>0</t>
        </is>
      </c>
      <c r="H1374" t="inlineStr">
        <is>
          <t>0</t>
        </is>
      </c>
      <c r="I1374" t="inlineStr">
        <is>
          <t>3⁶, 21⁶</t>
        </is>
      </c>
      <c r="J1374" t="n">
        <v>12</v>
      </c>
      <c r="K1374" t="inlineStr">
        <is>
          <t>1², 2², 6¹, 12¹</t>
        </is>
      </c>
      <c r="L1374" t="inlineStr">
        <is>
          <t>21A³, 21A⁴</t>
        </is>
      </c>
      <c r="M1374" t="inlineStr">
        <is>
          <t>21C¹³, 42N¹⁹, 42O¹⁹</t>
        </is>
      </c>
      <c r="N1374" t="inlineStr">
        <is>
          <t>21A², 7B⁰, 3C⁰, 21A⁴, 7E⁰, 3A⁰, 1A⁰, 21A³, 21A¹</t>
        </is>
      </c>
      <c r="O1374" t="inlineStr">
        <is>
          <t>42O¹⁹, 42N¹⁹, 21C¹³</t>
        </is>
      </c>
    </row>
    <row r="1375">
      <c r="A1375">
        <f>HYPERLINK("https://mathstats.uncg.edu/sites/pauli/congruence/csg7.html#group21C7", "21C⁷")</f>
        <v/>
      </c>
      <c r="B1375" t="n">
        <v>7</v>
      </c>
      <c r="C1375" t="inlineStr"/>
      <c r="D1375" t="inlineStr">
        <is>
          <t>168</t>
        </is>
      </c>
      <c r="E1375" t="inlineStr">
        <is>
          <t>1</t>
        </is>
      </c>
      <c r="F1375" t="inlineStr">
        <is>
          <t>84</t>
        </is>
      </c>
      <c r="G1375" t="inlineStr">
        <is>
          <t>16</t>
        </is>
      </c>
      <c r="H1375" t="inlineStr">
        <is>
          <t>0</t>
        </is>
      </c>
      <c r="I1375" t="inlineStr">
        <is>
          <t>21⁸</t>
        </is>
      </c>
      <c r="J1375" t="n">
        <v>8</v>
      </c>
      <c r="K1375" t="inlineStr">
        <is>
          <t>1¹, 2¹, 3¹, 6⁵, 12⁴</t>
        </is>
      </c>
      <c r="L1375" t="inlineStr">
        <is>
          <t>21D¹, 21C³</t>
        </is>
      </c>
      <c r="M1375" t="inlineStr">
        <is>
          <t>21B¹⁷, 42K¹⁷, 21B²¹, 42E²¹</t>
        </is>
      </c>
      <c r="N1375" t="inlineStr">
        <is>
          <t>7F⁰, 21A⁰, 3A⁰, 1A⁰, 21C³, 21D¹, 7A⁰</t>
        </is>
      </c>
      <c r="O1375" t="inlineStr">
        <is>
          <t>21B¹⁷, 42K¹⁷, 21B²¹, 42E²¹</t>
        </is>
      </c>
    </row>
    <row r="1376">
      <c r="A1376">
        <f>HYPERLINK("https://mathstats.uncg.edu/sites/pauli/congruence/csg7.html#group21D7", "21D⁷")</f>
        <v/>
      </c>
      <c r="B1376" t="n">
        <v>7</v>
      </c>
      <c r="C1376" t="inlineStr"/>
      <c r="D1376" t="inlineStr">
        <is>
          <t>192</t>
        </is>
      </c>
      <c r="E1376" t="inlineStr">
        <is>
          <t>2</t>
        </is>
      </c>
      <c r="F1376" t="inlineStr">
        <is>
          <t>32</t>
        </is>
      </c>
      <c r="G1376" t="inlineStr">
        <is>
          <t>0</t>
        </is>
      </c>
      <c r="H1376" t="inlineStr">
        <is>
          <t>6</t>
        </is>
      </c>
      <c r="I1376" t="inlineStr">
        <is>
          <t>3⁸, 21⁸</t>
        </is>
      </c>
      <c r="J1376" t="n">
        <v>16</v>
      </c>
      <c r="K1376" t="inlineStr">
        <is>
          <t>2⁸, 12⁴</t>
        </is>
      </c>
      <c r="L1376" t="inlineStr">
        <is>
          <t>21F¹, 21C⁴</t>
        </is>
      </c>
      <c r="M1376" t="inlineStr">
        <is>
          <t>42J²¹</t>
        </is>
      </c>
      <c r="N1376" t="inlineStr">
        <is>
          <t>3B⁰, 21B¹, 7B⁰, 21A¹, 1A⁰, 21F¹, 21C⁴</t>
        </is>
      </c>
      <c r="O1376" t="inlineStr">
        <is>
          <t>42J²¹</t>
        </is>
      </c>
    </row>
    <row r="1377">
      <c r="A1377">
        <f>HYPERLINK("https://mathstats.uncg.edu/sites/pauli/congruence/csg7.html#group22A7", "22A⁷")</f>
        <v/>
      </c>
      <c r="B1377" t="n">
        <v>7</v>
      </c>
      <c r="C1377" t="inlineStr"/>
      <c r="D1377" t="inlineStr">
        <is>
          <t>110</t>
        </is>
      </c>
      <c r="E1377" t="inlineStr">
        <is>
          <t>1</t>
        </is>
      </c>
      <c r="F1377" t="inlineStr">
        <is>
          <t>55</t>
        </is>
      </c>
      <c r="G1377" t="inlineStr">
        <is>
          <t>0</t>
        </is>
      </c>
      <c r="H1377" t="inlineStr">
        <is>
          <t>2</t>
        </is>
      </c>
      <c r="I1377" t="inlineStr">
        <is>
          <t>22⁵</t>
        </is>
      </c>
      <c r="J1377" t="n">
        <v>5</v>
      </c>
      <c r="K1377" t="inlineStr">
        <is>
          <t>5¹, 10⁵</t>
        </is>
      </c>
      <c r="L1377" t="inlineStr">
        <is>
          <t>2A⁰, 11C¹</t>
        </is>
      </c>
      <c r="M1377" t="inlineStr">
        <is>
          <t>22A¹³, 22B¹³, 22A²¹, 22B²¹</t>
        </is>
      </c>
      <c r="N1377" t="inlineStr">
        <is>
          <t>2A⁰, 11C¹, 1A⁰</t>
        </is>
      </c>
      <c r="O1377" t="inlineStr">
        <is>
          <t>22A²¹, 22A¹³, 22B²¹, 22B¹³</t>
        </is>
      </c>
    </row>
    <row r="1378">
      <c r="A1378">
        <f>HYPERLINK("https://mathstats.uncg.edu/sites/pauli/congruence/csg7.html#group24A7", "24A⁷")</f>
        <v/>
      </c>
      <c r="B1378" t="n">
        <v>7</v>
      </c>
      <c r="C1378" t="inlineStr"/>
      <c r="D1378" t="inlineStr">
        <is>
          <t>96</t>
        </is>
      </c>
      <c r="E1378" t="inlineStr">
        <is>
          <t>1</t>
        </is>
      </c>
      <c r="F1378" t="inlineStr">
        <is>
          <t>12</t>
        </is>
      </c>
      <c r="G1378" t="inlineStr">
        <is>
          <t>0</t>
        </is>
      </c>
      <c r="H1378" t="inlineStr">
        <is>
          <t>0</t>
        </is>
      </c>
      <c r="I1378" t="inlineStr">
        <is>
          <t>24⁴</t>
        </is>
      </c>
      <c r="J1378" t="n">
        <v>4</v>
      </c>
      <c r="K1378" t="inlineStr">
        <is>
          <t>2², 4²</t>
        </is>
      </c>
      <c r="L1378" t="inlineStr">
        <is>
          <t>24G², 24H², 12C³, 24D³, 24B⁴</t>
        </is>
      </c>
      <c r="M1378" t="inlineStr">
        <is>
          <t>24B¹³, 48C¹⁵, 24B¹⁹, 72M²¹, 72A²³, 72D²³, 72G²³</t>
        </is>
      </c>
      <c r="N1378" t="inlineStr">
        <is>
          <t>12G¹, 2A⁰, 6B⁰, 24D³, 12C³, 12F⁰, 24B¹, 1A⁰, 12A⁰, 6B¹, 4A⁰, 4D⁰, 24B⁴, 12A², 3C⁰, 6A¹, 3A⁰, 24G², 24H²</t>
        </is>
      </c>
      <c r="O1378" t="inlineStr">
        <is>
          <t>72D²³, 72G²³, 72M²¹, 48C¹⁵, 72A²³, 24B¹³, 24B¹⁹</t>
        </is>
      </c>
    </row>
    <row r="1379">
      <c r="A1379">
        <f>HYPERLINK("https://mathstats.uncg.edu/sites/pauli/congruence/csg7.html#group24B7", "24B⁷")</f>
        <v/>
      </c>
      <c r="B1379" t="n">
        <v>7</v>
      </c>
      <c r="C1379" t="inlineStr"/>
      <c r="D1379" t="inlineStr">
        <is>
          <t>96</t>
        </is>
      </c>
      <c r="E1379" t="inlineStr">
        <is>
          <t>1</t>
        </is>
      </c>
      <c r="F1379" t="inlineStr">
        <is>
          <t>12</t>
        </is>
      </c>
      <c r="G1379" t="inlineStr">
        <is>
          <t>0</t>
        </is>
      </c>
      <c r="H1379" t="inlineStr">
        <is>
          <t>0</t>
        </is>
      </c>
      <c r="I1379" t="inlineStr">
        <is>
          <t>24⁴</t>
        </is>
      </c>
      <c r="J1379" t="n">
        <v>4</v>
      </c>
      <c r="K1379" t="inlineStr">
        <is>
          <t>2², 4²</t>
        </is>
      </c>
      <c r="L1379" t="inlineStr">
        <is>
          <t>24K², 12C³, 24E³, 24A⁴, 24B⁴</t>
        </is>
      </c>
      <c r="M1379" t="inlineStr">
        <is>
          <t>24B¹³, 48A¹⁵, 48B¹⁵, 24C¹⁹, 72N²¹, 72B²³, 72C²³, 72H²³</t>
        </is>
      </c>
      <c r="N1379" t="inlineStr">
        <is>
          <t>12G¹, 2A⁰, 6B⁰, 12C³, 24A⁴, 8A⁰, 12F⁰, 8E⁰, 24B¹, 1A⁰, 24E³, 12A⁰, 24K², 24A¹, 6B¹, 4A⁰, 4D⁰, 24B⁴, 12A², 3C⁰, 6A¹, 3A⁰</t>
        </is>
      </c>
      <c r="O1379" t="inlineStr">
        <is>
          <t>48A¹⁵, 72H²³, 48B¹⁵, 72C²³, 24B¹³, 72N²¹, 24C¹⁹, 72B²³</t>
        </is>
      </c>
    </row>
    <row r="1380">
      <c r="A1380">
        <f>HYPERLINK("https://mathstats.uncg.edu/sites/pauli/congruence/csg7.html#group24C7", "24C⁷")</f>
        <v/>
      </c>
      <c r="B1380" t="n">
        <v>7</v>
      </c>
      <c r="C1380" t="inlineStr"/>
      <c r="D1380" t="inlineStr">
        <is>
          <t>96</t>
        </is>
      </c>
      <c r="E1380" t="inlineStr">
        <is>
          <t>1</t>
        </is>
      </c>
      <c r="F1380" t="inlineStr">
        <is>
          <t>16</t>
        </is>
      </c>
      <c r="G1380" t="inlineStr">
        <is>
          <t>0</t>
        </is>
      </c>
      <c r="H1380" t="inlineStr">
        <is>
          <t>0</t>
        </is>
      </c>
      <c r="I1380" t="inlineStr">
        <is>
          <t>24⁴</t>
        </is>
      </c>
      <c r="J1380" t="n">
        <v>4</v>
      </c>
      <c r="K1380" t="inlineStr">
        <is>
          <t>4⁴</t>
        </is>
      </c>
      <c r="L1380" t="inlineStr">
        <is>
          <t>8E¹, 24F¹, 12A²</t>
        </is>
      </c>
      <c r="M1380" t="inlineStr">
        <is>
          <t>24D¹³, 24E¹³, 24F¹³, 24A¹⁹, 72E²³</t>
        </is>
      </c>
      <c r="N1380" t="inlineStr">
        <is>
          <t>24F¹, 2A⁰, 12A⁰, 8F⁰, 4A⁰, 4D⁰, 12A², 6A¹, 8E¹, 3A⁰, 1A⁰</t>
        </is>
      </c>
      <c r="O1380" t="inlineStr">
        <is>
          <t>72E²³, 24E¹³, 24D¹³, 24A¹⁹, 24F¹³</t>
        </is>
      </c>
    </row>
    <row r="1381">
      <c r="A1381">
        <f>HYPERLINK("https://mathstats.uncg.edu/sites/pauli/congruence/csg7.html#group24D7", "24D⁷")</f>
        <v/>
      </c>
      <c r="B1381" t="n">
        <v>7</v>
      </c>
      <c r="C1381" t="inlineStr"/>
      <c r="D1381" t="inlineStr">
        <is>
          <t>96</t>
        </is>
      </c>
      <c r="E1381" t="inlineStr">
        <is>
          <t>2</t>
        </is>
      </c>
      <c r="F1381" t="inlineStr">
        <is>
          <t>4</t>
        </is>
      </c>
      <c r="G1381" t="inlineStr">
        <is>
          <t>0</t>
        </is>
      </c>
      <c r="H1381" t="inlineStr">
        <is>
          <t>0</t>
        </is>
      </c>
      <c r="I1381" t="inlineStr">
        <is>
          <t>24⁴</t>
        </is>
      </c>
      <c r="J1381" t="n">
        <v>4</v>
      </c>
      <c r="K1381" t="inlineStr">
        <is>
          <t>4²</t>
        </is>
      </c>
      <c r="L1381" t="inlineStr">
        <is>
          <t>24A², 12B³, 24D³, 24E³</t>
        </is>
      </c>
      <c r="M1381" t="inlineStr">
        <is>
          <t>24B¹³, 48D¹⁵, 24J¹⁹, 72O²¹, 72C²², 72F²³</t>
        </is>
      </c>
      <c r="N1381" t="inlineStr">
        <is>
          <t>12G¹, 3B⁰, 24D³, 12B³, 24A², 8A⁰, 24B¹, 1A⁰, 24E³, 12A⁰, 24A¹, 4A⁰, 12A¹, 3C⁰, 3A⁰, 3D⁰</t>
        </is>
      </c>
      <c r="O1381" t="inlineStr">
        <is>
          <t>72C²², 72O²¹, 48D¹⁵, 24J¹⁹, 72F²³, 24B¹³</t>
        </is>
      </c>
    </row>
    <row r="1382">
      <c r="A1382">
        <f>HYPERLINK("https://mathstats.uncg.edu/sites/pauli/congruence/csg7.html#group24E7", "24E⁷")</f>
        <v/>
      </c>
      <c r="B1382" t="n">
        <v>7</v>
      </c>
      <c r="C1382" t="inlineStr"/>
      <c r="D1382" t="inlineStr">
        <is>
          <t>128</t>
        </is>
      </c>
      <c r="E1382" t="inlineStr">
        <is>
          <t>1</t>
        </is>
      </c>
      <c r="F1382" t="inlineStr">
        <is>
          <t>64</t>
        </is>
      </c>
      <c r="G1382" t="inlineStr">
        <is>
          <t>0</t>
        </is>
      </c>
      <c r="H1382" t="inlineStr">
        <is>
          <t>2</t>
        </is>
      </c>
      <c r="I1382" t="inlineStr">
        <is>
          <t>8⁴, 24⁴</t>
        </is>
      </c>
      <c r="J1382" t="n">
        <v>8</v>
      </c>
      <c r="K1382" t="inlineStr">
        <is>
          <t>4⁸, 8⁴</t>
        </is>
      </c>
      <c r="L1382" t="inlineStr">
        <is>
          <t>8E¹, 12I¹, 24C⁴</t>
        </is>
      </c>
      <c r="M1382" t="inlineStr">
        <is>
          <t>24G¹³, 24H¹³, 24I¹³, 24A²¹, 24A²⁴, 72B²⁴</t>
        </is>
      </c>
      <c r="N1382" t="inlineStr">
        <is>
          <t>24C⁴, 3B⁰, 2A⁰, 8F⁰, 12I¹, 4A⁰, 4D⁰, 12A¹, 6C⁰, 8E¹, 1A⁰</t>
        </is>
      </c>
      <c r="O1382" t="inlineStr">
        <is>
          <t>24A²¹, 72B²⁴, 24G¹³, 24A²⁴, 24I¹³, 24H¹³</t>
        </is>
      </c>
    </row>
    <row r="1383">
      <c r="A1383">
        <f>HYPERLINK("https://mathstats.uncg.edu/sites/pauli/congruence/csg7.html#group24F7", "24F⁷")</f>
        <v/>
      </c>
      <c r="B1383" t="n">
        <v>7</v>
      </c>
      <c r="C1383" t="inlineStr"/>
      <c r="D1383" t="inlineStr">
        <is>
          <t>128</t>
        </is>
      </c>
      <c r="E1383" t="inlineStr">
        <is>
          <t>2</t>
        </is>
      </c>
      <c r="F1383" t="inlineStr">
        <is>
          <t>64</t>
        </is>
      </c>
      <c r="G1383" t="inlineStr">
        <is>
          <t>0</t>
        </is>
      </c>
      <c r="H1383" t="inlineStr">
        <is>
          <t>2</t>
        </is>
      </c>
      <c r="I1383" t="inlineStr">
        <is>
          <t>8⁴, 24⁴</t>
        </is>
      </c>
      <c r="J1383" t="n">
        <v>8</v>
      </c>
      <c r="K1383" t="inlineStr">
        <is>
          <t>4¹⁶, 8⁸</t>
        </is>
      </c>
      <c r="L1383" t="inlineStr">
        <is>
          <t>8M⁰, 24A², 24C⁴</t>
        </is>
      </c>
      <c r="M1383" t="inlineStr">
        <is>
          <t>24I¹³, 48A¹⁷, 24J²¹</t>
        </is>
      </c>
      <c r="N1383" t="inlineStr">
        <is>
          <t>24C⁴, 3B⁰, 8F⁰, 24A², 4A⁰, 12A¹, 8A⁰, 8M⁰, 1A⁰</t>
        </is>
      </c>
      <c r="O1383" t="inlineStr">
        <is>
          <t>24J²¹, 48A¹⁷, 24I¹³</t>
        </is>
      </c>
    </row>
    <row r="1384">
      <c r="A1384">
        <f>HYPERLINK("https://mathstats.uncg.edu/sites/pauli/congruence/csg7.html#group24G7", "24G⁷")</f>
        <v/>
      </c>
      <c r="B1384" t="n">
        <v>7</v>
      </c>
      <c r="C1384" t="inlineStr"/>
      <c r="D1384" t="inlineStr">
        <is>
          <t>144</t>
        </is>
      </c>
      <c r="E1384" t="inlineStr">
        <is>
          <t>1</t>
        </is>
      </c>
      <c r="F1384" t="inlineStr">
        <is>
          <t>3</t>
        </is>
      </c>
      <c r="G1384" t="inlineStr">
        <is>
          <t>0</t>
        </is>
      </c>
      <c r="H1384" t="inlineStr">
        <is>
          <t>0</t>
        </is>
      </c>
      <c r="I1384" t="inlineStr">
        <is>
          <t>6⁸, 24⁴</t>
        </is>
      </c>
      <c r="J1384" t="n">
        <v>12</v>
      </c>
      <c r="K1384" t="inlineStr">
        <is>
          <t>1³</t>
        </is>
      </c>
      <c r="L1384" t="inlineStr">
        <is>
          <t>12S¹, 24F², 24M³</t>
        </is>
      </c>
      <c r="M1384" t="inlineStr">
        <is>
          <t>24J¹³, 24L¹³</t>
        </is>
      </c>
      <c r="N1384" t="inlineStr">
        <is>
          <t>3B⁰, 12K¹, 3A⁰, 6G⁰, 12S¹, 24M³, 2B⁰, 4B⁰, 1A⁰, 3D⁰, 12G⁰, 6D⁰, 3C⁰, 6K⁰, 12B¹, 12D⁰, 24F², 6F⁰, 12E⁰</t>
        </is>
      </c>
      <c r="O1384" t="inlineStr">
        <is>
          <t>24L¹³, 24J¹³</t>
        </is>
      </c>
    </row>
    <row r="1385">
      <c r="A1385">
        <f>HYPERLINK("https://mathstats.uncg.edu/sites/pauli/congruence/csg7.html#group24H7", "24H⁷")</f>
        <v/>
      </c>
      <c r="B1385" t="n">
        <v>7</v>
      </c>
      <c r="C1385" t="inlineStr"/>
      <c r="D1385" t="inlineStr">
        <is>
          <t>144</t>
        </is>
      </c>
      <c r="E1385" t="inlineStr">
        <is>
          <t>1</t>
        </is>
      </c>
      <c r="F1385" t="inlineStr">
        <is>
          <t>6</t>
        </is>
      </c>
      <c r="G1385" t="inlineStr">
        <is>
          <t>0</t>
        </is>
      </c>
      <c r="H1385" t="inlineStr">
        <is>
          <t>0</t>
        </is>
      </c>
      <c r="I1385" t="inlineStr">
        <is>
          <t>6⁸, 24⁴</t>
        </is>
      </c>
      <c r="J1385" t="n">
        <v>12</v>
      </c>
      <c r="K1385" t="inlineStr">
        <is>
          <t>1², 2²</t>
        </is>
      </c>
      <c r="L1385" t="inlineStr">
        <is>
          <t>24I², 12D³, 24N³, 24O³</t>
        </is>
      </c>
      <c r="M1385" t="inlineStr">
        <is>
          <t>24K¹³, 48G¹⁵, 24D¹⁷, 24E¹⁷, 48J¹⁹</t>
        </is>
      </c>
      <c r="N1385" t="inlineStr">
        <is>
          <t>3B⁰, 24E¹, 12C⁰, 8D⁰, 12F¹, 4C⁰, 6G⁰, 2B⁰, 1A⁰, 24O³, 12L¹, 3D⁰, 12D³, 24I², 12C¹, 24N³, 6F⁰, 24C¹, 3C⁰, 6K⁰, 3A⁰, 12C², 6D⁰</t>
        </is>
      </c>
      <c r="O1385" t="inlineStr">
        <is>
          <t>48J¹⁹, 48G¹⁵, 24K¹³, 24E¹⁷, 24D¹⁷</t>
        </is>
      </c>
    </row>
    <row r="1386">
      <c r="A1386">
        <f>HYPERLINK("https://mathstats.uncg.edu/sites/pauli/congruence/csg7.html#group24I7", "24I⁷")</f>
        <v/>
      </c>
      <c r="B1386" t="n">
        <v>7</v>
      </c>
      <c r="C1386" t="inlineStr"/>
      <c r="D1386" t="inlineStr">
        <is>
          <t>144</t>
        </is>
      </c>
      <c r="E1386" t="inlineStr">
        <is>
          <t>1</t>
        </is>
      </c>
      <c r="F1386" t="inlineStr">
        <is>
          <t>9</t>
        </is>
      </c>
      <c r="G1386" t="inlineStr">
        <is>
          <t>0</t>
        </is>
      </c>
      <c r="H1386" t="inlineStr">
        <is>
          <t>0</t>
        </is>
      </c>
      <c r="I1386" t="inlineStr">
        <is>
          <t>6⁸, 24⁴</t>
        </is>
      </c>
      <c r="J1386" t="n">
        <v>12</v>
      </c>
      <c r="K1386" t="inlineStr">
        <is>
          <t>1³, 2³</t>
        </is>
      </c>
      <c r="L1386" t="inlineStr">
        <is>
          <t>24N², 12G³, 24K³, 24N³, 24E⁴, 24I⁴</t>
        </is>
      </c>
      <c r="M1386" t="inlineStr">
        <is>
          <t>24K¹³, 24I¹⁵, 48K¹⁵, 24G¹⁷, 24I¹⁷, 48U¹⁷, 48K¹⁹</t>
        </is>
      </c>
      <c r="N1386" t="inlineStr">
        <is>
          <t>24I⁴, 2A⁰, 24E¹, 12C⁰, 12K¹, 12D², 4C⁰, 6C¹, 12B², 6G⁰, 12E², 2B⁰, 4E⁰, 4B⁰, 12G³, 1A⁰, 6B¹, 24N³, 24D², 3C⁰, 12B¹, 24K³, 6A¹, 6H⁰, 3A⁰, 6E¹, 6B⁰, 24N², 12L¹, 12C¹, 6A⁰, 24E⁴, 12D⁰, 12H⁰, 2C⁰, 6D⁰</t>
        </is>
      </c>
      <c r="O1386" t="inlineStr">
        <is>
          <t>48K¹⁵, 48U¹⁷, 24I¹⁵, 24I¹⁷, 24K¹³, 48K¹⁹, 24G¹⁷</t>
        </is>
      </c>
    </row>
    <row r="1387">
      <c r="A1387">
        <f>HYPERLINK("https://mathstats.uncg.edu/sites/pauli/congruence/csg7.html#group24J7", "24J⁷")</f>
        <v/>
      </c>
      <c r="B1387" t="n">
        <v>7</v>
      </c>
      <c r="C1387" t="inlineStr"/>
      <c r="D1387" t="inlineStr">
        <is>
          <t>144</t>
        </is>
      </c>
      <c r="E1387" t="inlineStr">
        <is>
          <t>1</t>
        </is>
      </c>
      <c r="F1387" t="inlineStr">
        <is>
          <t>9</t>
        </is>
      </c>
      <c r="G1387" t="inlineStr">
        <is>
          <t>0</t>
        </is>
      </c>
      <c r="H1387" t="inlineStr">
        <is>
          <t>0</t>
        </is>
      </c>
      <c r="I1387" t="inlineStr">
        <is>
          <t>6⁸, 24⁴</t>
        </is>
      </c>
      <c r="J1387" t="n">
        <v>12</v>
      </c>
      <c r="K1387" t="inlineStr">
        <is>
          <t>1³, 2³</t>
        </is>
      </c>
      <c r="L1387" t="inlineStr">
        <is>
          <t>24O², 12G³, 24L³, 24O³, 24D⁴, 24E⁴, 24J⁴</t>
        </is>
      </c>
      <c r="M1387" t="inlineStr">
        <is>
          <t>24K¹³, 24D¹⁵, 24E¹⁵, 48E¹⁵, 48F¹⁵, 24H¹⁷, 24J¹⁷, 48E¹⁷, 48K¹⁷, 48E¹⁹, 48F¹⁹</t>
        </is>
      </c>
      <c r="N1387" t="inlineStr">
        <is>
          <t>24O², 24E¹, 2A⁰, 12C⁰, 12K¹, 12D², 4C⁰, 6C¹, 12B², 6G⁰, 12E², 2B⁰, 8C⁰, 4E⁰, 4B⁰, 12G³, 1A⁰, 24O³, 24B², 6B¹, 8G⁰, 24D², 3C⁰, 12B¹, 6A¹, 6H⁰, 3A⁰, 6E¹, 6B⁰, 8D⁰, 24J⁴, 12L¹, 24D⁴, 12C¹, 6A⁰, 24C¹, 24E⁴, 12D⁰, 12H⁰, 24L³, 2C⁰, 6D⁰</t>
        </is>
      </c>
      <c r="O1387" t="inlineStr">
        <is>
          <t>48F¹⁵, 48F¹⁹, 48E¹⁵, 48K¹⁷, 48E¹⁹, 24D¹⁵, 24H¹⁷, 24J¹⁷, 24K¹³, 24E¹⁵, 48E¹⁷</t>
        </is>
      </c>
    </row>
    <row r="1388">
      <c r="A1388">
        <f>HYPERLINK("https://mathstats.uncg.edu/sites/pauli/congruence/csg7.html#group24K7", "24K⁷")</f>
        <v/>
      </c>
      <c r="B1388" t="n">
        <v>7</v>
      </c>
      <c r="C1388" t="inlineStr"/>
      <c r="D1388" t="inlineStr">
        <is>
          <t>144</t>
        </is>
      </c>
      <c r="E1388" t="inlineStr">
        <is>
          <t>1</t>
        </is>
      </c>
      <c r="F1388" t="inlineStr">
        <is>
          <t>12</t>
        </is>
      </c>
      <c r="G1388" t="inlineStr">
        <is>
          <t>12</t>
        </is>
      </c>
      <c r="H1388" t="inlineStr">
        <is>
          <t>0</t>
        </is>
      </c>
      <c r="I1388" t="inlineStr">
        <is>
          <t>24⁶</t>
        </is>
      </c>
      <c r="J1388" t="n">
        <v>6</v>
      </c>
      <c r="K1388" t="inlineStr">
        <is>
          <t>2², 4²</t>
        </is>
      </c>
      <c r="L1388" t="inlineStr">
        <is>
          <t>8H¹, 24L², 24J³, 24H⁴</t>
        </is>
      </c>
      <c r="M1388" t="inlineStr">
        <is>
          <t>24P¹⁵, 48H¹⁵, 24A¹⁶, 24C¹⁶, 24AF¹⁷, 48S¹⁷, 48T¹⁷, 48AM¹⁷, 48BN¹⁷, 48BO¹⁷, 48E¹⁸, 48L¹⁸, 24D¹⁹, 48S¹⁹, 48T¹⁹, 48AB¹⁹, 48AU¹⁹, 48AV¹⁹, 48T²¹</t>
        </is>
      </c>
      <c r="N1388" t="inlineStr">
        <is>
          <t>12C⁰, 8D⁰, 4C⁰, 8B⁰, 8A⁰, 2B⁰, 24L², 8K⁰, 1A⁰, 8D¹, 8H¹, 24J³, 8H⁰, 24H⁴, 12A⁰, 24A¹, 24A⁰, 4A⁰, 24C¹, 12J¹, 4F⁰, 3A⁰, 6D⁰</t>
        </is>
      </c>
      <c r="O1388" t="inlineStr">
        <is>
          <t>48AU¹⁹, 48E¹⁸, 48BN¹⁷, 48T¹⁹, 48AM¹⁷, 24A¹⁶, 48H¹⁵, 48T²¹, 48S¹⁹, 48AV¹⁹, 48L¹⁸, 48S¹⁷, 24AF¹⁷, 24C¹⁶, 24P¹⁵, 48T¹⁷, 48AB¹⁹, 48BO¹⁷, 24D¹⁹</t>
        </is>
      </c>
    </row>
    <row r="1389">
      <c r="A1389">
        <f>HYPERLINK("https://mathstats.uncg.edu/sites/pauli/congruence/csg7.html#group24L7", "24L⁷")</f>
        <v/>
      </c>
      <c r="B1389" t="n">
        <v>7</v>
      </c>
      <c r="C1389" t="inlineStr"/>
      <c r="D1389" t="inlineStr">
        <is>
          <t>144</t>
        </is>
      </c>
      <c r="E1389" t="inlineStr">
        <is>
          <t>1</t>
        </is>
      </c>
      <c r="F1389" t="inlineStr">
        <is>
          <t>12</t>
        </is>
      </c>
      <c r="G1389" t="inlineStr">
        <is>
          <t>12</t>
        </is>
      </c>
      <c r="H1389" t="inlineStr">
        <is>
          <t>0</t>
        </is>
      </c>
      <c r="I1389" t="inlineStr">
        <is>
          <t>24⁶</t>
        </is>
      </c>
      <c r="J1389" t="n">
        <v>6</v>
      </c>
      <c r="K1389" t="inlineStr">
        <is>
          <t>1², 2¹, 4²</t>
        </is>
      </c>
      <c r="L1389" t="inlineStr">
        <is>
          <t>8I¹, 24F¹, 24L²</t>
        </is>
      </c>
      <c r="M1389" t="inlineStr">
        <is>
          <t>24R¹⁵, 48I¹⁵, 24A¹⁶, 24D¹⁶, 24AH¹⁷, 48AO¹⁷, 48F¹⁸, 48M¹⁸, 24A¹⁹, 48AD¹⁹, 48U²¹</t>
        </is>
      </c>
      <c r="N1389" t="inlineStr">
        <is>
          <t>12C⁰, 8D⁰, 4C⁰, 8B⁰, 2B⁰, 24L², 1A⁰, 24F¹, 8H⁰, 12A⁰, 8F⁰, 24A⁰, 4A⁰, 8I¹, 24C¹, 12J¹, 4F⁰, 3A⁰, 6D⁰</t>
        </is>
      </c>
      <c r="O1389" t="inlineStr">
        <is>
          <t>48AD¹⁹, 48U²¹, 48M¹⁸, 24A¹⁹, 48F¹⁸, 24A¹⁶, 24D¹⁶, 24AH¹⁷, 24R¹⁵, 48AO¹⁷, 48I¹⁵</t>
        </is>
      </c>
    </row>
    <row r="1390">
      <c r="A1390">
        <f>HYPERLINK("https://mathstats.uncg.edu/sites/pauli/congruence/csg7.html#group24M7", "24M⁷")</f>
        <v/>
      </c>
      <c r="B1390" t="n">
        <v>7</v>
      </c>
      <c r="C1390" t="inlineStr"/>
      <c r="D1390" t="inlineStr">
        <is>
          <t>144</t>
        </is>
      </c>
      <c r="E1390" t="inlineStr">
        <is>
          <t>1</t>
        </is>
      </c>
      <c r="F1390" t="inlineStr">
        <is>
          <t>18</t>
        </is>
      </c>
      <c r="G1390" t="inlineStr">
        <is>
          <t>0</t>
        </is>
      </c>
      <c r="H1390" t="inlineStr">
        <is>
          <t>0</t>
        </is>
      </c>
      <c r="I1390" t="inlineStr">
        <is>
          <t>6⁸, 24⁴</t>
        </is>
      </c>
      <c r="J1390" t="n">
        <v>12</v>
      </c>
      <c r="K1390" t="inlineStr">
        <is>
          <t>2³, 4³</t>
        </is>
      </c>
      <c r="L1390" t="inlineStr">
        <is>
          <t>24I¹, 12F³, 24M³</t>
        </is>
      </c>
      <c r="M1390" t="inlineStr">
        <is>
          <t>24J¹³, 24Y¹⁷</t>
        </is>
      </c>
      <c r="N1390" t="inlineStr">
        <is>
          <t>2A⁰, 12F³, 6C¹, 6G⁰, 12E², 24M³, 2B⁰, 12N¹, 1A⁰, 6B¹, 3C⁰, 6A¹, 6H⁰, 3A⁰, 6E¹, 24I¹, 6B⁰, 12G⁰, 6A⁰, 12C¹, 12D⁰, 12C², 2C⁰, 6D⁰</t>
        </is>
      </c>
      <c r="O1390" t="inlineStr">
        <is>
          <t>24Y¹⁷, 24J¹³</t>
        </is>
      </c>
    </row>
    <row r="1391">
      <c r="A1391">
        <f>HYPERLINK("https://mathstats.uncg.edu/sites/pauli/congruence/csg7.html#group24N7", "24N⁷")</f>
        <v/>
      </c>
      <c r="B1391" t="n">
        <v>7</v>
      </c>
      <c r="C1391" t="inlineStr"/>
      <c r="D1391" t="inlineStr">
        <is>
          <t>144</t>
        </is>
      </c>
      <c r="E1391" t="inlineStr">
        <is>
          <t>1</t>
        </is>
      </c>
      <c r="F1391" t="inlineStr">
        <is>
          <t>18</t>
        </is>
      </c>
      <c r="G1391" t="inlineStr">
        <is>
          <t>0</t>
        </is>
      </c>
      <c r="H1391" t="inlineStr">
        <is>
          <t>0</t>
        </is>
      </c>
      <c r="I1391" t="inlineStr">
        <is>
          <t>6⁸, 24⁴</t>
        </is>
      </c>
      <c r="J1391" t="n">
        <v>12</v>
      </c>
      <c r="K1391" t="inlineStr">
        <is>
          <t>1⁴, 2⁵, 4¹</t>
        </is>
      </c>
      <c r="L1391" t="inlineStr">
        <is>
          <t>12E³, 24K³, 24L³, 24I⁴, 24J⁴</t>
        </is>
      </c>
      <c r="M1391" t="inlineStr">
        <is>
          <t>24K¹³, 24G¹⁵, 24H¹⁵, 48R¹⁵, 24X¹⁷, 48G¹⁷, 48F¹⁷, 48V¹⁷, 48AA¹⁹</t>
        </is>
      </c>
      <c r="N1391" t="inlineStr">
        <is>
          <t>24I⁴, 6B⁰, 12K¹, 12D², 24J⁴, 6G⁰, 2B⁰, 8C⁰, 12N¹, 4B⁰, 1A⁰, 24B², 12C¹, 6E⁰, 6L⁰, 24D², 12E³, 3C⁰, 12B¹, 24K³, 12D⁰, 6H⁰, 3A⁰, 24L³, 12C², 6D⁰</t>
        </is>
      </c>
      <c r="O1391" t="inlineStr">
        <is>
          <t>48V¹⁷, 24G¹⁵, 24X¹⁷, 48R¹⁵, 24H¹⁵, 24K¹³, 48G¹⁷, 48F¹⁷, 48AA¹⁹</t>
        </is>
      </c>
    </row>
    <row r="1392">
      <c r="A1392">
        <f>HYPERLINK("https://mathstats.uncg.edu/sites/pauli/congruence/csg7.html#group24O7", "24O⁷")</f>
        <v/>
      </c>
      <c r="B1392" t="n">
        <v>7</v>
      </c>
      <c r="C1392" t="inlineStr"/>
      <c r="D1392" t="inlineStr">
        <is>
          <t>144</t>
        </is>
      </c>
      <c r="E1392" t="inlineStr">
        <is>
          <t>1</t>
        </is>
      </c>
      <c r="F1392" t="inlineStr">
        <is>
          <t>18</t>
        </is>
      </c>
      <c r="G1392" t="inlineStr">
        <is>
          <t>8</t>
        </is>
      </c>
      <c r="H1392" t="inlineStr">
        <is>
          <t>0</t>
        </is>
      </c>
      <c r="I1392" t="inlineStr">
        <is>
          <t>12⁴, 24⁴</t>
        </is>
      </c>
      <c r="J1392" t="n">
        <v>8</v>
      </c>
      <c r="K1392" t="inlineStr">
        <is>
          <t>1², 2⁴, 4²</t>
        </is>
      </c>
      <c r="L1392" t="inlineStr">
        <is>
          <t>24P², 12I³, 24I³, 24N³, 24P⁴</t>
        </is>
      </c>
      <c r="M1392" t="inlineStr">
        <is>
          <t>24R¹³, 24U¹⁵, 24D¹⁷, 24I¹⁷, 48N¹⁷, 48O¹⁷, 48BB¹⁹, 48AB²¹, 48AC²¹</t>
        </is>
      </c>
      <c r="N1392" t="inlineStr">
        <is>
          <t>24E¹, 12C⁰, 24P⁴, 4C⁰, 24I³, 6G⁰, 24P², 8B⁰, 12M¹, 2B⁰, 24C², 1A⁰, 12L¹, 12C¹, 12I³, 24A⁰, 24N³, 3C⁰, 3A⁰, 6D⁰</t>
        </is>
      </c>
      <c r="O1392" t="inlineStr">
        <is>
          <t>48AC²¹, 48O¹⁷, 48N¹⁷, 24D¹⁷, 24R¹³, 48BB¹⁹, 24I¹⁷, 24U¹⁵, 48AB²¹</t>
        </is>
      </c>
    </row>
    <row r="1393">
      <c r="A1393">
        <f>HYPERLINK("https://mathstats.uncg.edu/sites/pauli/congruence/csg7.html#group24P7", "24P⁷")</f>
        <v/>
      </c>
      <c r="B1393" t="n">
        <v>7</v>
      </c>
      <c r="C1393" t="inlineStr"/>
      <c r="D1393" t="inlineStr">
        <is>
          <t>144</t>
        </is>
      </c>
      <c r="E1393" t="inlineStr">
        <is>
          <t>1</t>
        </is>
      </c>
      <c r="F1393" t="inlineStr">
        <is>
          <t>18</t>
        </is>
      </c>
      <c r="G1393" t="inlineStr">
        <is>
          <t>8</t>
        </is>
      </c>
      <c r="H1393" t="inlineStr">
        <is>
          <t>0</t>
        </is>
      </c>
      <c r="I1393" t="inlineStr">
        <is>
          <t>12⁴, 24⁴</t>
        </is>
      </c>
      <c r="J1393" t="n">
        <v>8</v>
      </c>
      <c r="K1393" t="inlineStr">
        <is>
          <t>1², 2⁴, 4²</t>
        </is>
      </c>
      <c r="L1393" t="inlineStr">
        <is>
          <t>12I³, 24H³, 24O³, 24Q³, 24T³</t>
        </is>
      </c>
      <c r="M1393" t="inlineStr">
        <is>
          <t>24R¹³, 24E¹⁷, 24H¹⁷, 24AI¹⁷, 48AJ¹⁷, 48AI¹⁷, 48AF¹⁹, 48AG¹⁹</t>
        </is>
      </c>
      <c r="N1393" t="inlineStr">
        <is>
          <t>24Q³, 24E¹, 12C⁰, 8D⁰, 4C⁰, 24D¹, 6G⁰, 12M¹, 2B⁰, 1A⁰, 24O³, 12L¹, 12C¹, 24H³, 12I³, 24T³, 24C¹, 3C⁰, 3A⁰, 6D⁰</t>
        </is>
      </c>
      <c r="O1393" t="inlineStr">
        <is>
          <t>24R¹³, 48AI¹⁷, 24H¹⁷, 48AF¹⁹, 24E¹⁷, 48AG¹⁹, 48AJ¹⁷, 24AI¹⁷</t>
        </is>
      </c>
    </row>
    <row r="1394">
      <c r="A1394">
        <f>HYPERLINK("https://mathstats.uncg.edu/sites/pauli/congruence/csg7.html#group24Q7", "24Q⁷")</f>
        <v/>
      </c>
      <c r="B1394" t="n">
        <v>7</v>
      </c>
      <c r="C1394" t="inlineStr"/>
      <c r="D1394" t="inlineStr">
        <is>
          <t>144</t>
        </is>
      </c>
      <c r="E1394" t="inlineStr">
        <is>
          <t>1</t>
        </is>
      </c>
      <c r="F1394" t="inlineStr">
        <is>
          <t>18</t>
        </is>
      </c>
      <c r="G1394" t="inlineStr">
        <is>
          <t>8</t>
        </is>
      </c>
      <c r="H1394" t="inlineStr">
        <is>
          <t>0</t>
        </is>
      </c>
      <c r="I1394" t="inlineStr">
        <is>
          <t>12⁴, 24⁴</t>
        </is>
      </c>
      <c r="J1394" t="n">
        <v>8</v>
      </c>
      <c r="K1394" t="inlineStr">
        <is>
          <t>1², 2⁴, 4²</t>
        </is>
      </c>
      <c r="L1394" t="inlineStr">
        <is>
          <t>12J³, 24H³, 24N³, 24P³, 24T³</t>
        </is>
      </c>
      <c r="M1394" t="inlineStr">
        <is>
          <t>24R¹³, 24E¹⁷, 24G¹⁷, 24AC¹⁷, 24AB¹⁷, 48BM¹⁷, 48AH¹⁹, 48AI¹⁹</t>
        </is>
      </c>
      <c r="N1394" t="inlineStr">
        <is>
          <t>12G¹, 24E¹, 12C⁰, 4C⁰, 24D¹, 6G⁰, 2B⁰, 24P³, 12M¹, 1A⁰, 12L¹, 12J³, 12A⁰, 12C¹, 24H³, 24N³, 4A⁰, 24T³, 3C⁰, 12J¹, 4F⁰, 3A⁰, 6D⁰</t>
        </is>
      </c>
      <c r="O1394" t="inlineStr">
        <is>
          <t>48BM¹⁷, 24G¹⁷, 24R¹³, 48AI¹⁹, 24E¹⁷, 24AC¹⁷, 48AH¹⁹, 24AB¹⁷</t>
        </is>
      </c>
    </row>
    <row r="1395">
      <c r="A1395">
        <f>HYPERLINK("https://mathstats.uncg.edu/sites/pauli/congruence/csg7.html#group24R7", "24R⁷")</f>
        <v/>
      </c>
      <c r="B1395" t="n">
        <v>7</v>
      </c>
      <c r="C1395" t="inlineStr"/>
      <c r="D1395" t="inlineStr">
        <is>
          <t>144</t>
        </is>
      </c>
      <c r="E1395" t="inlineStr">
        <is>
          <t>1</t>
        </is>
      </c>
      <c r="F1395" t="inlineStr">
        <is>
          <t>18</t>
        </is>
      </c>
      <c r="G1395" t="inlineStr">
        <is>
          <t>8</t>
        </is>
      </c>
      <c r="H1395" t="inlineStr">
        <is>
          <t>0</t>
        </is>
      </c>
      <c r="I1395" t="inlineStr">
        <is>
          <t>12⁴, 24⁴</t>
        </is>
      </c>
      <c r="J1395" t="n">
        <v>8</v>
      </c>
      <c r="K1395" t="inlineStr">
        <is>
          <t>1², 2⁴, 4²</t>
        </is>
      </c>
      <c r="L1395" t="inlineStr">
        <is>
          <t>24L², 24P², 12J³, 24I³, 24O³, 24K⁴, 24L⁴</t>
        </is>
      </c>
      <c r="M1395" t="inlineStr">
        <is>
          <t>24R¹³, 24M¹⁵, 24N¹⁵, 24D¹⁷, 24J¹⁷, 24AD¹⁷, 24AF¹⁷, 24AG¹⁷, 24AH¹⁷, 48P¹⁷, 48Q¹⁷, 48AE¹⁷, 48AF¹⁷, 48AK¹⁷, 48AL¹⁷, 48AL¹⁹, 48AM¹⁹, 48AD²¹, 48AF²¹</t>
        </is>
      </c>
      <c r="N1395" t="inlineStr">
        <is>
          <t>12G¹, 24E¹, 12C⁰, 8D⁰, 4C⁰, 24I³, 8B⁰, 24P², 6G⁰, 12M¹, 2B⁰, 24C², 24L², 1A⁰, 24O³, 12J³, 12L¹, 8H⁰, 12A⁰, 12C¹, 24A⁰, 4A⁰, 24K⁴, 24C¹, 3C⁰, 12J¹, 4F⁰, 3A⁰, 24L⁴, 6D⁰</t>
        </is>
      </c>
      <c r="O1395" t="inlineStr">
        <is>
          <t>24AG¹⁷, 48AD²¹, 24R¹³, 48AL¹⁹, 24N¹⁵, 24J¹⁷, 48P¹⁷, 48AK¹⁷, 48AL¹⁷, 48AF²¹, 24AF¹⁷, 48AF¹⁷, 48AE¹⁷, 24D¹⁷, 24AH¹⁷, 48Q¹⁷, 48AM¹⁹, 24AD¹⁷, 24M¹⁵</t>
        </is>
      </c>
    </row>
    <row r="1396">
      <c r="A1396">
        <f>HYPERLINK("https://mathstats.uncg.edu/sites/pauli/congruence/csg7.html#group24S7", "24S⁷")</f>
        <v/>
      </c>
      <c r="B1396" t="n">
        <v>7</v>
      </c>
      <c r="C1396" t="inlineStr"/>
      <c r="D1396" t="inlineStr">
        <is>
          <t>144</t>
        </is>
      </c>
      <c r="E1396" t="inlineStr">
        <is>
          <t>1</t>
        </is>
      </c>
      <c r="F1396" t="inlineStr">
        <is>
          <t>18</t>
        </is>
      </c>
      <c r="G1396" t="inlineStr">
        <is>
          <t>8</t>
        </is>
      </c>
      <c r="H1396" t="inlineStr">
        <is>
          <t>0</t>
        </is>
      </c>
      <c r="I1396" t="inlineStr">
        <is>
          <t>12⁴, 24⁴</t>
        </is>
      </c>
      <c r="J1396" t="n">
        <v>8</v>
      </c>
      <c r="K1396" t="inlineStr">
        <is>
          <t>2⁷, 4¹</t>
        </is>
      </c>
      <c r="L1396" t="inlineStr">
        <is>
          <t>12T¹, 24Q⁴</t>
        </is>
      </c>
      <c r="M1396" t="inlineStr">
        <is>
          <t>24S¹³, 24L¹⁵, 24K¹⁵, 24A¹⁷, 24O¹⁷</t>
        </is>
      </c>
      <c r="N1396" t="inlineStr">
        <is>
          <t>12T¹, 24Q⁴, 6B⁰, 12C⁰, 3A⁰, 4C⁰, 6G⁰, 2B⁰, 12N¹, 1A⁰, 12L¹, 12G⁰, 12C¹, 6E⁰, 6L⁰, 3C⁰, 12D⁰, 6H⁰, 12H⁰, 6D⁰</t>
        </is>
      </c>
      <c r="O1396" t="inlineStr">
        <is>
          <t>24S¹³, 24L¹⁵, 24A¹⁷, 24O¹⁷, 24K¹⁵</t>
        </is>
      </c>
    </row>
    <row r="1397">
      <c r="A1397">
        <f>HYPERLINK("https://mathstats.uncg.edu/sites/pauli/congruence/csg7.html#group24T7", "24T⁷")</f>
        <v/>
      </c>
      <c r="B1397" t="n">
        <v>7</v>
      </c>
      <c r="C1397" t="inlineStr"/>
      <c r="D1397" t="inlineStr">
        <is>
          <t>144</t>
        </is>
      </c>
      <c r="E1397" t="inlineStr">
        <is>
          <t>1</t>
        </is>
      </c>
      <c r="F1397" t="inlineStr">
        <is>
          <t>36</t>
        </is>
      </c>
      <c r="G1397" t="inlineStr">
        <is>
          <t>0</t>
        </is>
      </c>
      <c r="H1397" t="inlineStr">
        <is>
          <t>0</t>
        </is>
      </c>
      <c r="I1397" t="inlineStr">
        <is>
          <t>3⁴, 6², 12², 24⁴</t>
        </is>
      </c>
      <c r="J1397" t="n">
        <v>12</v>
      </c>
      <c r="K1397" t="inlineStr">
        <is>
          <t>1⁴, 2⁶, 4³, 8¹</t>
        </is>
      </c>
      <c r="L1397" t="inlineStr">
        <is>
          <t>24L³, 24M⁴</t>
        </is>
      </c>
      <c r="M1397" t="inlineStr">
        <is>
          <t>24N¹³, 24D¹⁵, 24H¹⁵, 48O¹⁵, 48N¹⁵, 48Z¹⁷, 48Y¹⁷</t>
        </is>
      </c>
      <c r="N1397" t="inlineStr">
        <is>
          <t>24B², 12K¹, 3A⁰, 24M⁴, 24D², 6G⁰, 3C⁰, 12B¹, 2B⁰, 8C⁰, 12D⁰, 4B⁰, 24L³, 1A⁰, 6D⁰</t>
        </is>
      </c>
      <c r="O1397" t="inlineStr">
        <is>
          <t>24D¹⁵, 24H¹⁵, 48O¹⁵, 48Y¹⁷, 24N¹³, 48N¹⁵, 48Z¹⁷</t>
        </is>
      </c>
    </row>
    <row r="1398">
      <c r="A1398">
        <f>HYPERLINK("https://mathstats.uncg.edu/sites/pauli/congruence/csg7.html#group24U7", "24U⁷")</f>
        <v/>
      </c>
      <c r="B1398" t="n">
        <v>7</v>
      </c>
      <c r="C1398" t="inlineStr"/>
      <c r="D1398" t="inlineStr">
        <is>
          <t>144</t>
        </is>
      </c>
      <c r="E1398" t="inlineStr">
        <is>
          <t>1</t>
        </is>
      </c>
      <c r="F1398" t="inlineStr">
        <is>
          <t>36</t>
        </is>
      </c>
      <c r="G1398" t="inlineStr">
        <is>
          <t>0</t>
        </is>
      </c>
      <c r="H1398" t="inlineStr">
        <is>
          <t>0</t>
        </is>
      </c>
      <c r="I1398" t="inlineStr">
        <is>
          <t>3⁴, 6², 12², 24⁴</t>
        </is>
      </c>
      <c r="J1398" t="n">
        <v>12</v>
      </c>
      <c r="K1398" t="inlineStr">
        <is>
          <t>1⁴, 2⁶, 4³, 8¹</t>
        </is>
      </c>
      <c r="L1398" t="inlineStr">
        <is>
          <t>24L³, 24F⁴, 24M⁴</t>
        </is>
      </c>
      <c r="M1398" t="inlineStr">
        <is>
          <t>24N¹³, 24E¹⁵, 24H¹⁵, 48P¹⁵, 48Q¹⁵, 48AA¹⁷, 48AB¹⁷</t>
        </is>
      </c>
      <c r="N1398" t="inlineStr">
        <is>
          <t>24F⁴, 12K¹, 6G⁰, 2B⁰, 8C⁰, 8I⁰, 4B⁰, 1A⁰, 24B², 24M⁴, 24D², 3C⁰, 12B¹, 12D⁰, 3A⁰, 24L³, 6D⁰</t>
        </is>
      </c>
      <c r="O1398" t="inlineStr">
        <is>
          <t>48AB¹⁷, 24H¹⁵, 48Q¹⁵, 24E¹⁵, 48P¹⁵, 24N¹³, 48AA¹⁷</t>
        </is>
      </c>
    </row>
    <row r="1399">
      <c r="A1399">
        <f>HYPERLINK("https://mathstats.uncg.edu/sites/pauli/congruence/csg7.html#group24V7", "24V⁷")</f>
        <v/>
      </c>
      <c r="B1399" t="n">
        <v>7</v>
      </c>
      <c r="C1399" t="inlineStr"/>
      <c r="D1399" t="inlineStr">
        <is>
          <t>144</t>
        </is>
      </c>
      <c r="E1399" t="inlineStr">
        <is>
          <t>1</t>
        </is>
      </c>
      <c r="F1399" t="inlineStr">
        <is>
          <t>36</t>
        </is>
      </c>
      <c r="G1399" t="inlineStr">
        <is>
          <t>0</t>
        </is>
      </c>
      <c r="H1399" t="inlineStr">
        <is>
          <t>0</t>
        </is>
      </c>
      <c r="I1399" t="inlineStr">
        <is>
          <t>6⁴, 12⁶, 24²</t>
        </is>
      </c>
      <c r="J1399" t="n">
        <v>12</v>
      </c>
      <c r="K1399" t="inlineStr">
        <is>
          <t>1⁸, 2¹⁰, 4²</t>
        </is>
      </c>
      <c r="L1399" t="inlineStr">
        <is>
          <t>12G³, 24N⁴</t>
        </is>
      </c>
      <c r="M1399" t="inlineStr">
        <is>
          <t>24P¹³, 24A¹⁵, 24D¹⁵, 24I¹⁵, 24J¹⁵, 24T¹⁷, 24Z¹⁷</t>
        </is>
      </c>
      <c r="N1399" t="inlineStr">
        <is>
          <t>6E¹, 2A⁰, 6B⁰, 12K¹, 12C⁰, 12D², 6C¹, 4C⁰, 12B², 12E², 6G⁰, 2B⁰, 4E⁰, 4B⁰, 12G³, 12L¹, 1A⁰, 12H⁰, 6A⁰, 12C¹, 6B¹, 24N⁴, 3C⁰, 6A¹, 12B¹, 12D⁰, 6H⁰, 3A⁰, 2C⁰, 6D⁰</t>
        </is>
      </c>
      <c r="O1399" t="inlineStr">
        <is>
          <t>24J¹⁵, 24Z¹⁷, 24A¹⁵, 24I¹⁵, 24P¹³, 24T¹⁷, 24D¹⁵</t>
        </is>
      </c>
    </row>
    <row r="1400">
      <c r="A1400">
        <f>HYPERLINK("https://mathstats.uncg.edu/sites/pauli/congruence/csg7.html#group24W7", "24W⁷")</f>
        <v/>
      </c>
      <c r="B1400" t="n">
        <v>7</v>
      </c>
      <c r="C1400" t="inlineStr"/>
      <c r="D1400" t="inlineStr">
        <is>
          <t>144</t>
        </is>
      </c>
      <c r="E1400" t="inlineStr">
        <is>
          <t>1</t>
        </is>
      </c>
      <c r="F1400" t="inlineStr">
        <is>
          <t>36</t>
        </is>
      </c>
      <c r="G1400" t="inlineStr">
        <is>
          <t>0</t>
        </is>
      </c>
      <c r="H1400" t="inlineStr">
        <is>
          <t>0</t>
        </is>
      </c>
      <c r="I1400" t="inlineStr">
        <is>
          <t>6⁴, 12⁶, 24²</t>
        </is>
      </c>
      <c r="J1400" t="n">
        <v>12</v>
      </c>
      <c r="K1400" t="inlineStr">
        <is>
          <t>1⁸, 2¹⁰, 4²</t>
        </is>
      </c>
      <c r="L1400" t="inlineStr">
        <is>
          <t>12G³, 24G⁴, 24N⁴</t>
        </is>
      </c>
      <c r="M1400" t="inlineStr">
        <is>
          <t>24P¹³, 24B¹⁵, 24E¹⁵, 24I¹⁵, 24J¹⁵, 24V¹⁷, 24Z¹⁷</t>
        </is>
      </c>
      <c r="N1400" t="inlineStr">
        <is>
          <t>6E¹, 2A⁰, 6B⁰, 12K¹, 12C⁰, 12D², 6C¹, 4C⁰, 12B², 12E², 6G⁰, 2B⁰, 4E⁰, 4B⁰, 12G³, 12L¹, 1A⁰, 12H⁰, 6A⁰, 12C¹, 6B¹, 24N⁴, 3C⁰, 6A¹, 12B¹, 12D⁰, 6H⁰, 3A⁰, 8J⁰, 2C⁰, 6D⁰, 24G⁴</t>
        </is>
      </c>
      <c r="O1400" t="inlineStr">
        <is>
          <t>24J¹⁵, 24Z¹⁷, 24I¹⁵, 24V¹⁷, 24P¹³, 24E¹⁵, 24B¹⁵</t>
        </is>
      </c>
    </row>
    <row r="1401">
      <c r="A1401">
        <f>HYPERLINK("https://mathstats.uncg.edu/sites/pauli/congruence/csg7.html#group24X7", "24X⁷")</f>
        <v/>
      </c>
      <c r="B1401" t="n">
        <v>7</v>
      </c>
      <c r="C1401" t="inlineStr"/>
      <c r="D1401" t="inlineStr">
        <is>
          <t>144</t>
        </is>
      </c>
      <c r="E1401" t="inlineStr">
        <is>
          <t>1</t>
        </is>
      </c>
      <c r="F1401" t="inlineStr">
        <is>
          <t>36</t>
        </is>
      </c>
      <c r="G1401" t="inlineStr">
        <is>
          <t>4</t>
        </is>
      </c>
      <c r="H1401" t="inlineStr">
        <is>
          <t>0</t>
        </is>
      </c>
      <c r="I1401" t="inlineStr">
        <is>
          <t>12⁸, 24²</t>
        </is>
      </c>
      <c r="J1401" t="n">
        <v>10</v>
      </c>
      <c r="K1401" t="inlineStr">
        <is>
          <t>2², 4⁴, 8²</t>
        </is>
      </c>
      <c r="L1401" t="inlineStr">
        <is>
          <t>12J³, 24R³</t>
        </is>
      </c>
      <c r="M1401" t="inlineStr">
        <is>
          <t>24U¹³, 24A¹⁵, 24C¹⁵, 24AB¹⁷, 24AD¹⁷, 24M¹⁹, 24N¹⁹</t>
        </is>
      </c>
      <c r="N1401" t="inlineStr">
        <is>
          <t>12G¹, 12C⁰, 4C⁰, 6G⁰, 12M¹, 2B⁰, 1A⁰, 12L¹, 12J³, 12A⁰, 12C¹, 4A⁰, 3C⁰, 24R³, 12J¹, 4F⁰, 3A⁰, 6D⁰</t>
        </is>
      </c>
      <c r="O1401" t="inlineStr">
        <is>
          <t>24U¹³, 24C¹⁵, 24M¹⁹, 24N¹⁹, 24AD¹⁷, 24A¹⁵, 24AB¹⁷</t>
        </is>
      </c>
    </row>
    <row r="1402">
      <c r="A1402">
        <f>HYPERLINK("https://mathstats.uncg.edu/sites/pauli/congruence/csg7.html#group24Y7", "24Y⁷")</f>
        <v/>
      </c>
      <c r="B1402" t="n">
        <v>7</v>
      </c>
      <c r="C1402" t="inlineStr"/>
      <c r="D1402" t="inlineStr">
        <is>
          <t>144</t>
        </is>
      </c>
      <c r="E1402" t="inlineStr">
        <is>
          <t>1</t>
        </is>
      </c>
      <c r="F1402" t="inlineStr">
        <is>
          <t>36</t>
        </is>
      </c>
      <c r="G1402" t="inlineStr">
        <is>
          <t>4</t>
        </is>
      </c>
      <c r="H1402" t="inlineStr">
        <is>
          <t>0</t>
        </is>
      </c>
      <c r="I1402" t="inlineStr">
        <is>
          <t>12⁸, 24²</t>
        </is>
      </c>
      <c r="J1402" t="n">
        <v>10</v>
      </c>
      <c r="K1402" t="inlineStr">
        <is>
          <t>2², 4⁴, 8²</t>
        </is>
      </c>
      <c r="L1402" t="inlineStr">
        <is>
          <t>12J³, 24J³, 24R³</t>
        </is>
      </c>
      <c r="M1402" t="inlineStr">
        <is>
          <t>24U¹³, 24B¹⁵, 24C¹⁵, 24AC¹⁷, 24AF¹⁷, 48BJ¹⁷, 48BI¹⁷, 48BK¹⁷, 48BL¹⁷, 24O¹⁹, 24Q¹⁹</t>
        </is>
      </c>
      <c r="N1402" t="inlineStr">
        <is>
          <t>12G¹, 12C⁰, 4C⁰, 6G⁰, 12M¹, 2B⁰, 1A⁰, 12L¹, 12J³, 8K⁰, 24J³, 12A⁰, 12C¹, 4A⁰, 3C⁰, 24R³, 12J¹, 4F⁰, 3A⁰, 6D⁰</t>
        </is>
      </c>
      <c r="O1402" t="inlineStr">
        <is>
          <t>24AF¹⁷, 24B¹⁵, 48BK¹⁷, 48BJ¹⁷, 24O¹⁹, 24U¹³, 48BL¹⁷, 48BI¹⁷, 24Q¹⁹, 24AC¹⁷, 24C¹⁵</t>
        </is>
      </c>
    </row>
    <row r="1403">
      <c r="A1403">
        <f>HYPERLINK("https://mathstats.uncg.edu/sites/pauli/congruence/csg7.html#group24Z7", "24Z⁷")</f>
        <v/>
      </c>
      <c r="B1403" t="n">
        <v>7</v>
      </c>
      <c r="C1403" t="inlineStr"/>
      <c r="D1403" t="inlineStr">
        <is>
          <t>144</t>
        </is>
      </c>
      <c r="E1403" t="inlineStr">
        <is>
          <t>1</t>
        </is>
      </c>
      <c r="F1403" t="inlineStr">
        <is>
          <t>36</t>
        </is>
      </c>
      <c r="G1403" t="inlineStr">
        <is>
          <t>8</t>
        </is>
      </c>
      <c r="H1403" t="inlineStr">
        <is>
          <t>0</t>
        </is>
      </c>
      <c r="I1403" t="inlineStr">
        <is>
          <t>12⁴, 24⁴</t>
        </is>
      </c>
      <c r="J1403" t="n">
        <v>8</v>
      </c>
      <c r="K1403" t="inlineStr">
        <is>
          <t>1⁴, 2⁶, 4³, 8¹</t>
        </is>
      </c>
      <c r="L1403" t="inlineStr">
        <is>
          <t>24Q², 24I³</t>
        </is>
      </c>
      <c r="M1403" t="inlineStr">
        <is>
          <t>24Y¹³, 24N¹⁵, 24U¹⁵, 24L¹⁷, 24T¹⁷, 48AW¹⁷, 48AX¹⁷, 48BC¹⁹, 48BD¹⁹, 48BB²¹, 48BC²¹</t>
        </is>
      </c>
      <c r="N1403" t="inlineStr">
        <is>
          <t>12C⁰, 12C¹, 24A⁰, 12L¹, 4C⁰, 24I³, 8B⁰, 24Q², 6G⁰, 3C⁰, 2B⁰, 24C², 3A⁰, 1A⁰, 6D⁰</t>
        </is>
      </c>
      <c r="O1403" t="inlineStr">
        <is>
          <t>48AW¹⁷, 24Y¹³, 48BD¹⁹, 48BC¹⁹, 48BB²¹, 24T¹⁷, 24N¹⁵, 24U¹⁵, 48BC²¹, 24L¹⁷, 48AX¹⁷</t>
        </is>
      </c>
    </row>
    <row r="1404">
      <c r="A1404">
        <f>HYPERLINK("https://mathstats.uncg.edu/sites/pauli/congruence/csg7.html#group24AA7", "24AA⁷")</f>
        <v/>
      </c>
      <c r="B1404" t="n">
        <v>7</v>
      </c>
      <c r="C1404" t="inlineStr"/>
      <c r="D1404" t="inlineStr">
        <is>
          <t>144</t>
        </is>
      </c>
      <c r="E1404" t="inlineStr">
        <is>
          <t>1</t>
        </is>
      </c>
      <c r="F1404" t="inlineStr">
        <is>
          <t>36</t>
        </is>
      </c>
      <c r="G1404" t="inlineStr">
        <is>
          <t>8</t>
        </is>
      </c>
      <c r="H1404" t="inlineStr">
        <is>
          <t>0</t>
        </is>
      </c>
      <c r="I1404" t="inlineStr">
        <is>
          <t>12⁴, 24⁴</t>
        </is>
      </c>
      <c r="J1404" t="n">
        <v>8</v>
      </c>
      <c r="K1404" t="inlineStr">
        <is>
          <t>1⁴, 2⁶, 4³, 8¹</t>
        </is>
      </c>
      <c r="L1404" t="inlineStr">
        <is>
          <t>24M², 24Q², 24I³</t>
        </is>
      </c>
      <c r="M1404" t="inlineStr">
        <is>
          <t>24Y¹³, 24M¹⁵, 24U¹⁵, 24L¹⁷, 24V¹⁷, 48AY¹⁷, 48AZ¹⁷, 48BE¹⁹, 48BG¹⁹, 48BD²¹, 48BG²¹</t>
        </is>
      </c>
      <c r="N1404" t="inlineStr">
        <is>
          <t>12C⁰, 4C⁰, 24I³, 8B⁰, 24Q², 6G⁰, 2B⁰, 8L⁰, 24C², 1A⁰, 12L¹, 12C¹, 24A⁰, 24M², 3C⁰, 3A⁰, 6D⁰</t>
        </is>
      </c>
      <c r="O1404" t="inlineStr">
        <is>
          <t>24Y¹³, 24V¹⁷, 48BG²¹, 48BE¹⁹, 48BG¹⁹, 48AZ¹⁷, 24U¹⁵, 48AY¹⁷, 48BD²¹, 24L¹⁷, 24M¹⁵</t>
        </is>
      </c>
    </row>
    <row r="1405">
      <c r="A1405">
        <f>HYPERLINK("https://mathstats.uncg.edu/sites/pauli/congruence/csg7.html#group24AB7", "24AB⁷")</f>
        <v/>
      </c>
      <c r="B1405" t="n">
        <v>7</v>
      </c>
      <c r="C1405" t="inlineStr"/>
      <c r="D1405" t="inlineStr">
        <is>
          <t>144</t>
        </is>
      </c>
      <c r="E1405" t="inlineStr">
        <is>
          <t>1</t>
        </is>
      </c>
      <c r="F1405" t="inlineStr">
        <is>
          <t>36</t>
        </is>
      </c>
      <c r="G1405" t="inlineStr">
        <is>
          <t>12</t>
        </is>
      </c>
      <c r="H1405" t="inlineStr">
        <is>
          <t>0</t>
        </is>
      </c>
      <c r="I1405" t="inlineStr">
        <is>
          <t>24⁶</t>
        </is>
      </c>
      <c r="J1405" t="n">
        <v>6</v>
      </c>
      <c r="K1405" t="inlineStr">
        <is>
          <t>2², 4⁴, 8²</t>
        </is>
      </c>
      <c r="L1405" t="inlineStr">
        <is>
          <t>24L², 24R³, 24O⁴</t>
        </is>
      </c>
      <c r="M1405" t="inlineStr">
        <is>
          <t>24O¹⁵, 24P¹⁵, 48W¹⁵, 24B¹⁶, 24D¹⁶, 24E¹⁶, 24AD¹⁷, 24AF¹⁷, 48AN¹⁷, 48BW¹⁷, 48N¹⁸, 48O¹⁸, 48S¹⁸, 24G¹⁹, 48AC¹⁹, 48AY¹⁹, 48AR²¹</t>
        </is>
      </c>
      <c r="N1405" t="inlineStr">
        <is>
          <t>24O⁴, 12C⁰, 8D⁰, 4C⁰, 8B⁰, 2B⁰, 24B¹, 24L², 1A⁰, 8H⁰, 12A⁰, 24A⁰, 4A⁰, 24C¹, 24R³, 12J¹, 4F⁰, 3A⁰, 6D⁰</t>
        </is>
      </c>
      <c r="O1405" t="inlineStr">
        <is>
          <t>48O¹⁸, 24E¹⁶, 48BW¹⁷, 24B¹⁶, 48AN¹⁷, 48S¹⁸, 24O¹⁵, 24AF¹⁷, 48AY¹⁹, 24P¹⁵, 24D¹⁶, 48N¹⁸, 48AR²¹, 24G¹⁹, 48AC¹⁹, 24AD¹⁷, 48W¹⁵</t>
        </is>
      </c>
    </row>
    <row r="1406">
      <c r="A1406">
        <f>HYPERLINK("https://mathstats.uncg.edu/sites/pauli/congruence/csg7.html#group24AC7", "24AC⁷")</f>
        <v/>
      </c>
      <c r="B1406" t="n">
        <v>7</v>
      </c>
      <c r="C1406" t="inlineStr"/>
      <c r="D1406" t="inlineStr">
        <is>
          <t>144</t>
        </is>
      </c>
      <c r="E1406" t="inlineStr">
        <is>
          <t>1</t>
        </is>
      </c>
      <c r="F1406" t="inlineStr">
        <is>
          <t>36</t>
        </is>
      </c>
      <c r="G1406" t="inlineStr">
        <is>
          <t>12</t>
        </is>
      </c>
      <c r="H1406" t="inlineStr">
        <is>
          <t>0</t>
        </is>
      </c>
      <c r="I1406" t="inlineStr">
        <is>
          <t>24⁶</t>
        </is>
      </c>
      <c r="J1406" t="n">
        <v>6</v>
      </c>
      <c r="K1406" t="inlineStr">
        <is>
          <t>1², 2³, 4³, 8²</t>
        </is>
      </c>
      <c r="L1406" t="inlineStr">
        <is>
          <t>24L²</t>
        </is>
      </c>
      <c r="M1406" t="inlineStr">
        <is>
          <t>24Q¹⁵, 24R¹⁵, 48X¹⁵, 24B¹⁶, 24C¹⁶, 24E¹⁶, 24AG¹⁷, 24AH¹⁷, 48AP¹⁷, 48BX¹⁷, 48P¹⁸, 48Q¹⁸, 48T¹⁸, 24F¹⁹, 48AE¹⁹, 48AZ¹⁹, 48AS²¹</t>
        </is>
      </c>
      <c r="N1406" t="inlineStr">
        <is>
          <t>12C⁰, 8D⁰, 4C⁰, 8B⁰, 2B⁰, 24L², 1A⁰, 8H⁰, 12A⁰, 24A⁰, 4A⁰, 24C¹, 12J¹, 4F⁰, 3A⁰, 6D⁰</t>
        </is>
      </c>
      <c r="O1406" t="inlineStr">
        <is>
          <t>24AG¹⁷, 24E¹⁶, 48AS²¹, 24B¹⁶, 24F¹⁹, 48AZ¹⁹, 48T¹⁸, 24Q¹⁵, 24C¹⁶, 48AP¹⁷, 48Q¹⁸, 24R¹⁵, 24AH¹⁷, 48X¹⁵, 48BX¹⁷, 48AE¹⁹, 48P¹⁸</t>
        </is>
      </c>
    </row>
    <row r="1407">
      <c r="A1407">
        <f>HYPERLINK("https://mathstats.uncg.edu/sites/pauli/congruence/csg7.html#group24AD7", "24AD⁷")</f>
        <v/>
      </c>
      <c r="B1407" t="n">
        <v>7</v>
      </c>
      <c r="C1407" t="inlineStr"/>
      <c r="D1407" t="inlineStr">
        <is>
          <t>144</t>
        </is>
      </c>
      <c r="E1407" t="inlineStr">
        <is>
          <t>2</t>
        </is>
      </c>
      <c r="F1407" t="inlineStr">
        <is>
          <t>18</t>
        </is>
      </c>
      <c r="G1407" t="inlineStr">
        <is>
          <t>8</t>
        </is>
      </c>
      <c r="H1407" t="inlineStr">
        <is>
          <t>0</t>
        </is>
      </c>
      <c r="I1407" t="inlineStr">
        <is>
          <t>12⁴, 24⁴</t>
        </is>
      </c>
      <c r="J1407" t="n">
        <v>8</v>
      </c>
      <c r="K1407" t="inlineStr">
        <is>
          <t>2⁶, 4⁶</t>
        </is>
      </c>
      <c r="L1407" t="inlineStr">
        <is>
          <t>12H², 24O², 24Q³, 24S³, 24T³, 24L⁴, 24P⁴</t>
        </is>
      </c>
      <c r="M1407" t="inlineStr">
        <is>
          <t>24R¹³, 24H¹⁷, 24N¹⁷, 24AM¹⁷, 48BV¹⁷, 48BU¹⁷, 48BN¹⁹</t>
        </is>
      </c>
      <c r="N1407" t="inlineStr">
        <is>
          <t>24O², 24Q³, 24E¹, 6B⁰, 12C⁰, 24P⁴, 8D⁰, 4C⁰, 24D¹, 2B⁰, 12M¹, 24C², 12H⁰, 1A⁰, 12H², 24S³, 24T³, 24C¹, 12D⁰, 6H⁰, 3A⁰, 24L⁴, 6D⁰</t>
        </is>
      </c>
      <c r="O1407" t="inlineStr">
        <is>
          <t>24H¹⁷, 48BV¹⁷, 48BU¹⁷, 24N¹⁷, 48BN¹⁹, 24AM¹⁷, 24R¹³</t>
        </is>
      </c>
    </row>
    <row r="1408">
      <c r="A1408">
        <f>HYPERLINK("https://mathstats.uncg.edu/sites/pauli/congruence/csg7.html#group24AE7", "24AE⁷")</f>
        <v/>
      </c>
      <c r="B1408" t="n">
        <v>7</v>
      </c>
      <c r="C1408" t="inlineStr"/>
      <c r="D1408" t="inlineStr">
        <is>
          <t>144</t>
        </is>
      </c>
      <c r="E1408" t="inlineStr">
        <is>
          <t>2</t>
        </is>
      </c>
      <c r="F1408" t="inlineStr">
        <is>
          <t>18</t>
        </is>
      </c>
      <c r="G1408" t="inlineStr">
        <is>
          <t>8</t>
        </is>
      </c>
      <c r="H1408" t="inlineStr">
        <is>
          <t>0</t>
        </is>
      </c>
      <c r="I1408" t="inlineStr">
        <is>
          <t>12⁴, 24⁴</t>
        </is>
      </c>
      <c r="J1408" t="n">
        <v>8</v>
      </c>
      <c r="K1408" t="inlineStr">
        <is>
          <t>2⁶, 4⁶</t>
        </is>
      </c>
      <c r="L1408" t="inlineStr">
        <is>
          <t>12I², 24N², 24P³, 24S³, 24T³, 24K⁴, 24P⁴</t>
        </is>
      </c>
      <c r="M1408" t="inlineStr">
        <is>
          <t>24R¹³, 24G¹⁷, 24N¹⁷, 24AL¹⁷, 24AK¹⁷, 48CI¹⁷, 48BM¹⁹</t>
        </is>
      </c>
      <c r="N1408" t="inlineStr">
        <is>
          <t>12I², 24E¹, 6B⁰, 12C⁰, 3A⁰, 24P⁴, 24N², 4C⁰, 24D¹, 12F⁰, 12M¹, 24P³, 2B⁰, 24C², 1A⁰, 12A⁰, 24S³, 4A⁰, 24K⁴, 24T³, 12J¹, 12D⁰, 4F⁰, 6H⁰, 12H⁰, 6D⁰</t>
        </is>
      </c>
      <c r="O1408" t="inlineStr">
        <is>
          <t>48CI¹⁷, 48BM¹⁹, 24AK¹⁷, 24N¹⁷, 24AL¹⁷, 24G¹⁷, 24R¹³</t>
        </is>
      </c>
    </row>
    <row r="1409">
      <c r="A1409">
        <f>HYPERLINK("https://mathstats.uncg.edu/sites/pauli/congruence/csg7.html#group24AF7", "24AF⁷")</f>
        <v/>
      </c>
      <c r="B1409" t="n">
        <v>7</v>
      </c>
      <c r="C1409" t="inlineStr"/>
      <c r="D1409" t="inlineStr">
        <is>
          <t>192</t>
        </is>
      </c>
      <c r="E1409" t="inlineStr">
        <is>
          <t>1</t>
        </is>
      </c>
      <c r="F1409" t="inlineStr">
        <is>
          <t>12</t>
        </is>
      </c>
      <c r="G1409" t="inlineStr">
        <is>
          <t>0</t>
        </is>
      </c>
      <c r="H1409" t="inlineStr">
        <is>
          <t>0</t>
        </is>
      </c>
      <c r="I1409" t="inlineStr">
        <is>
          <t>4⁸, 8², 12⁸, 24²</t>
        </is>
      </c>
      <c r="J1409" t="n">
        <v>20</v>
      </c>
      <c r="K1409" t="inlineStr">
        <is>
          <t>1⁶, 2³</t>
        </is>
      </c>
      <c r="L1409" t="inlineStr">
        <is>
          <t>12K³, 24Z³</t>
        </is>
      </c>
      <c r="M1409" t="inlineStr">
        <is>
          <t>24AB¹³, 24AN¹⁷, 24AT¹⁷, 24C²¹, 24D²¹</t>
        </is>
      </c>
      <c r="N1409" t="inlineStr">
        <is>
          <t>2A⁰, 3B⁰, 12I¹, 24Z³, 12F¹, 6I⁰, 4C⁰, 6C⁰, 4G⁰, 2B⁰, 4E⁰, 12P¹, 4B⁰, 1A⁰, 4A⁰, 4D⁰, 12A¹, 12G², 12K³, 4F⁰, 6F⁰, 2C⁰, 12E⁰</t>
        </is>
      </c>
      <c r="O1409" t="inlineStr">
        <is>
          <t>24AT¹⁷, 24AB¹³, 24C²¹, 24AN¹⁷, 24D²¹</t>
        </is>
      </c>
    </row>
    <row r="1410">
      <c r="A1410">
        <f>HYPERLINK("https://mathstats.uncg.edu/sites/pauli/congruence/csg7.html#group24AG7", "24AG⁷")</f>
        <v/>
      </c>
      <c r="B1410" t="n">
        <v>7</v>
      </c>
      <c r="C1410" t="inlineStr"/>
      <c r="D1410" t="inlineStr">
        <is>
          <t>192</t>
        </is>
      </c>
      <c r="E1410" t="inlineStr">
        <is>
          <t>1</t>
        </is>
      </c>
      <c r="F1410" t="inlineStr">
        <is>
          <t>12</t>
        </is>
      </c>
      <c r="G1410" t="inlineStr">
        <is>
          <t>0</t>
        </is>
      </c>
      <c r="H1410" t="inlineStr">
        <is>
          <t>0</t>
        </is>
      </c>
      <c r="I1410" t="inlineStr">
        <is>
          <t>4⁸, 8², 12⁸, 24²</t>
        </is>
      </c>
      <c r="J1410" t="n">
        <v>20</v>
      </c>
      <c r="K1410" t="inlineStr">
        <is>
          <t>1⁶, 2³</t>
        </is>
      </c>
      <c r="L1410" t="inlineStr">
        <is>
          <t>8N⁰, 12K³, 24AA³, 24R⁴</t>
        </is>
      </c>
      <c r="M1410" t="inlineStr">
        <is>
          <t>24AB¹³, 24AO¹⁷, 24AT¹⁷, 48BO¹⁹, 48BP¹⁹, 24E²¹, 24G²¹</t>
        </is>
      </c>
      <c r="N1410" t="inlineStr">
        <is>
          <t>2A⁰, 3B⁰, 8N⁰, 12I¹, 24AA³, 6I⁰, 12F¹, 4C⁰, 6C⁰, 4G⁰, 2B⁰, 4E⁰, 12P¹, 4B⁰, 1A⁰, 8K⁰, 4A⁰, 4D⁰, 12A¹, 24R⁴, 12G², 12K³, 4F⁰, 6F⁰, 2C⁰, 12E⁰, 8J⁰</t>
        </is>
      </c>
      <c r="O1410" t="inlineStr">
        <is>
          <t>24E²¹, 24AT¹⁷, 24AB¹³, 48BO¹⁹, 48BP¹⁹, 24G²¹, 24AO¹⁷</t>
        </is>
      </c>
    </row>
    <row r="1411">
      <c r="A1411">
        <f>HYPERLINK("https://mathstats.uncg.edu/sites/pauli/congruence/csg7.html#group24AH7", "24AH⁷")</f>
        <v/>
      </c>
      <c r="B1411" t="n">
        <v>7</v>
      </c>
      <c r="C1411" t="inlineStr"/>
      <c r="D1411" t="inlineStr">
        <is>
          <t>192</t>
        </is>
      </c>
      <c r="E1411" t="inlineStr">
        <is>
          <t>1</t>
        </is>
      </c>
      <c r="F1411" t="inlineStr">
        <is>
          <t>24</t>
        </is>
      </c>
      <c r="G1411" t="inlineStr">
        <is>
          <t>0</t>
        </is>
      </c>
      <c r="H1411" t="inlineStr">
        <is>
          <t>0</t>
        </is>
      </c>
      <c r="I1411" t="inlineStr">
        <is>
          <t>2⁴, 4², 6⁴, 8⁴, 12², 24⁴</t>
        </is>
      </c>
      <c r="J1411" t="n">
        <v>20</v>
      </c>
      <c r="K1411" t="inlineStr">
        <is>
          <t>1⁸, 2⁶, 4¹</t>
        </is>
      </c>
      <c r="L1411" t="inlineStr">
        <is>
          <t>24V³, 24X³, 24Z³</t>
        </is>
      </c>
      <c r="M1411" t="inlineStr">
        <is>
          <t>24AC¹³, 24AN¹⁷, 24AR¹⁷, 48CK¹⁷, 48CJ¹⁷, 48CG²¹, 48CH²¹</t>
        </is>
      </c>
      <c r="N1411" t="inlineStr">
        <is>
          <t>3B⁰, 2A⁰, 24V³, 24Z³, 8D⁰, 12F¹, 6I⁰, 24G¹, 4C⁰, 6C⁰, 8C⁰, 2B⁰, 4E⁰, 12P¹, 4B⁰, 1A⁰, 24X³, 24I², 8G⁰, 6F⁰, 2C⁰, 12E⁰</t>
        </is>
      </c>
      <c r="O1411" t="inlineStr">
        <is>
          <t>48CJ¹⁷, 24AR¹⁷, 48CH²¹, 24AC¹³, 48CK¹⁷, 24AN¹⁷, 48CG²¹</t>
        </is>
      </c>
    </row>
    <row r="1412">
      <c r="A1412">
        <f>HYPERLINK("https://mathstats.uncg.edu/sites/pauli/congruence/csg7.html#group24AI7", "24AI⁷")</f>
        <v/>
      </c>
      <c r="B1412" t="n">
        <v>7</v>
      </c>
      <c r="C1412" t="inlineStr"/>
      <c r="D1412" t="inlineStr">
        <is>
          <t>192</t>
        </is>
      </c>
      <c r="E1412" t="inlineStr">
        <is>
          <t>1</t>
        </is>
      </c>
      <c r="F1412" t="inlineStr">
        <is>
          <t>24</t>
        </is>
      </c>
      <c r="G1412" t="inlineStr">
        <is>
          <t>0</t>
        </is>
      </c>
      <c r="H1412" t="inlineStr">
        <is>
          <t>0</t>
        </is>
      </c>
      <c r="I1412" t="inlineStr">
        <is>
          <t>2⁴, 4², 6⁴, 8⁴, 12², 24⁴</t>
        </is>
      </c>
      <c r="J1412" t="n">
        <v>20</v>
      </c>
      <c r="K1412" t="inlineStr">
        <is>
          <t>1⁸, 2⁶, 4¹</t>
        </is>
      </c>
      <c r="L1412" t="inlineStr">
        <is>
          <t>8O⁰, 24V³, 24Y³, 24AA³</t>
        </is>
      </c>
      <c r="M1412" t="inlineStr">
        <is>
          <t>24AC¹³, 24AO¹⁷, 24AR¹⁷, 48CL¹⁷, 48CM¹⁷, 48BS¹⁹, 48BT¹⁹, 48CI²¹, 48CK²¹</t>
        </is>
      </c>
      <c r="N1412" t="inlineStr">
        <is>
          <t>2A⁰, 3B⁰, 24V³, 24AA³, 8D⁰, 6I⁰, 12F¹, 24G¹, 4C⁰, 6C⁰, 2B⁰, 4E⁰, 8C⁰, 12P¹, 4B⁰, 8I⁰, 1A⁰, 24I², 8G⁰, 24Y³, 6F⁰, 2C⁰, 12E⁰, 8J⁰, 8O⁰</t>
        </is>
      </c>
      <c r="O1412" t="inlineStr">
        <is>
          <t>48CM¹⁷, 48BS¹⁹, 24AR¹⁷, 48CL¹⁷, 48BT¹⁹, 48CK²¹, 24AC¹³, 48CI²¹, 24AO¹⁷</t>
        </is>
      </c>
    </row>
    <row r="1413">
      <c r="A1413">
        <f>HYPERLINK("https://mathstats.uncg.edu/sites/pauli/congruence/csg7.html#group24AJ7", "24AJ⁷")</f>
        <v/>
      </c>
      <c r="B1413" t="n">
        <v>7</v>
      </c>
      <c r="C1413" t="inlineStr"/>
      <c r="D1413" t="inlineStr">
        <is>
          <t>192</t>
        </is>
      </c>
      <c r="E1413" t="inlineStr">
        <is>
          <t>1</t>
        </is>
      </c>
      <c r="F1413" t="inlineStr">
        <is>
          <t>48</t>
        </is>
      </c>
      <c r="G1413" t="inlineStr">
        <is>
          <t>0</t>
        </is>
      </c>
      <c r="H1413" t="inlineStr">
        <is>
          <t>0</t>
        </is>
      </c>
      <c r="I1413" t="inlineStr">
        <is>
          <t>2⁴, 4², 6⁴, 8⁴, 12², 24⁴</t>
        </is>
      </c>
      <c r="J1413" t="n">
        <v>20</v>
      </c>
      <c r="K1413" t="inlineStr">
        <is>
          <t>1⁸, 2⁸, 4⁴, 8¹</t>
        </is>
      </c>
      <c r="L1413" t="inlineStr">
        <is>
          <t>24W³, 24X³, 24Y³</t>
        </is>
      </c>
      <c r="M1413" t="inlineStr">
        <is>
          <t>24AC¹³, 48CQ¹⁷, 48CP¹⁷</t>
        </is>
      </c>
      <c r="N1413" t="inlineStr">
        <is>
          <t>24F², 3B⁰, 24X³, 24G¹, 6F⁰, 12J⁰, 24W³, 2B⁰, 8C⁰, 24Y³, 8I⁰, 4B⁰, 1A⁰, 12E⁰</t>
        </is>
      </c>
      <c r="O1413" t="inlineStr">
        <is>
          <t>24AC¹³, 48CQ¹⁷, 48CP¹⁷</t>
        </is>
      </c>
    </row>
    <row r="1414">
      <c r="A1414">
        <f>HYPERLINK("https://mathstats.uncg.edu/sites/pauli/congruence/csg7.html#group24AK7", "24AK⁷")</f>
        <v/>
      </c>
      <c r="B1414" t="n">
        <v>7</v>
      </c>
      <c r="C1414" t="inlineStr"/>
      <c r="D1414" t="inlineStr">
        <is>
          <t>192</t>
        </is>
      </c>
      <c r="E1414" t="inlineStr">
        <is>
          <t>1</t>
        </is>
      </c>
      <c r="F1414" t="inlineStr">
        <is>
          <t>48</t>
        </is>
      </c>
      <c r="G1414" t="inlineStr">
        <is>
          <t>0</t>
        </is>
      </c>
      <c r="H1414" t="inlineStr">
        <is>
          <t>0</t>
        </is>
      </c>
      <c r="I1414" t="inlineStr">
        <is>
          <t>2⁴, 4², 6⁴, 8⁴, 12², 24⁴</t>
        </is>
      </c>
      <c r="J1414" t="n">
        <v>20</v>
      </c>
      <c r="K1414" t="inlineStr">
        <is>
          <t>1¹⁶, 2¹², 4²</t>
        </is>
      </c>
      <c r="L1414" t="inlineStr">
        <is>
          <t>24U³, 24Z³, 24AA³</t>
        </is>
      </c>
      <c r="M1414" t="inlineStr">
        <is>
          <t>24AC¹³, 24AS¹⁷, 24AT¹⁷</t>
        </is>
      </c>
      <c r="N1414" t="inlineStr">
        <is>
          <t>2A⁰, 3B⁰, 24Z³, 24AA³, 6I⁰, 12F¹, 4C⁰, 6C⁰, 2B⁰, 4E⁰, 12P¹, 4B⁰, 1A⁰, 24U³, 24B⁰, 24F², 6F⁰, 2C⁰, 12E⁰, 8J⁰</t>
        </is>
      </c>
      <c r="O1414" t="inlineStr">
        <is>
          <t>24AC¹³, 24AT¹⁷, 24AS¹⁷</t>
        </is>
      </c>
    </row>
    <row r="1415">
      <c r="A1415">
        <f>HYPERLINK("https://mathstats.uncg.edu/sites/pauli/congruence/csg7.html#group24AL7", "24AL⁷")</f>
        <v/>
      </c>
      <c r="B1415" t="n">
        <v>7</v>
      </c>
      <c r="C1415" t="inlineStr"/>
      <c r="D1415" t="inlineStr">
        <is>
          <t>192</t>
        </is>
      </c>
      <c r="E1415" t="inlineStr">
        <is>
          <t>1</t>
        </is>
      </c>
      <c r="F1415" t="inlineStr">
        <is>
          <t>48</t>
        </is>
      </c>
      <c r="G1415" t="inlineStr">
        <is>
          <t>0</t>
        </is>
      </c>
      <c r="H1415" t="inlineStr">
        <is>
          <t>0</t>
        </is>
      </c>
      <c r="I1415" t="inlineStr">
        <is>
          <t>4⁸, 8², 12⁸, 24²</t>
        </is>
      </c>
      <c r="J1415" t="n">
        <v>20</v>
      </c>
      <c r="K1415" t="inlineStr">
        <is>
          <t>1¹⁶, 2¹², 4²</t>
        </is>
      </c>
      <c r="L1415" t="inlineStr">
        <is>
          <t>12L³, 24Z³, 24AA³</t>
        </is>
      </c>
      <c r="M1415" t="inlineStr">
        <is>
          <t>24AB¹³, 24AR¹⁷, 24AS¹⁷</t>
        </is>
      </c>
      <c r="N1415" t="inlineStr">
        <is>
          <t>2A⁰, 3B⁰, 24Z³, 24AA³, 6I⁰, 12F¹, 4C⁰, 6C⁰, 12I⁰, 2B⁰, 4E⁰, 12P¹, 4B⁰, 1A⁰, 12F², 12L³, 6F⁰, 2C⁰, 12E⁰, 8J⁰, 12B⁰</t>
        </is>
      </c>
      <c r="O1415" t="inlineStr">
        <is>
          <t>24AS¹⁷, 24AR¹⁷, 24AB¹³</t>
        </is>
      </c>
    </row>
    <row r="1416">
      <c r="A1416">
        <f>HYPERLINK("https://mathstats.uncg.edu/sites/pauli/congruence/csg7.html#group27A7", "27A⁷")</f>
        <v/>
      </c>
      <c r="B1416" t="n">
        <v>7</v>
      </c>
      <c r="C1416" t="inlineStr"/>
      <c r="D1416" t="inlineStr">
        <is>
          <t>108</t>
        </is>
      </c>
      <c r="E1416" t="inlineStr">
        <is>
          <t>1</t>
        </is>
      </c>
      <c r="F1416" t="inlineStr">
        <is>
          <t>12</t>
        </is>
      </c>
      <c r="G1416" t="inlineStr">
        <is>
          <t>0</t>
        </is>
      </c>
      <c r="H1416" t="inlineStr">
        <is>
          <t>0</t>
        </is>
      </c>
      <c r="I1416" t="inlineStr">
        <is>
          <t>9³, 27³</t>
        </is>
      </c>
      <c r="J1416" t="n">
        <v>6</v>
      </c>
      <c r="K1416" t="inlineStr">
        <is>
          <t>1², 2², 6¹</t>
        </is>
      </c>
      <c r="L1416" t="inlineStr">
        <is>
          <t>9C¹</t>
        </is>
      </c>
      <c r="M1416" t="inlineStr">
        <is>
          <t>54A¹⁶, 27A¹⁹, 27E¹⁹, 54A²²</t>
        </is>
      </c>
      <c r="N1416" t="inlineStr">
        <is>
          <t>3B⁰, 9A¹, 9B⁰, 3C⁰, 9C¹, 9C⁰, 3A⁰, 1A⁰, 3D⁰</t>
        </is>
      </c>
      <c r="O1416" t="inlineStr">
        <is>
          <t>27E¹⁹, 27A¹⁹, 54A¹⁶, 54A²²</t>
        </is>
      </c>
    </row>
    <row r="1417">
      <c r="A1417">
        <f>HYPERLINK("https://mathstats.uncg.edu/sites/pauli/congruence/csg7.html#group27B7", "27B⁷")</f>
        <v/>
      </c>
      <c r="B1417" t="n">
        <v>7</v>
      </c>
      <c r="C1417" t="inlineStr"/>
      <c r="D1417" t="inlineStr">
        <is>
          <t>108</t>
        </is>
      </c>
      <c r="E1417" t="inlineStr">
        <is>
          <t>1</t>
        </is>
      </c>
      <c r="F1417" t="inlineStr">
        <is>
          <t>12</t>
        </is>
      </c>
      <c r="G1417" t="inlineStr">
        <is>
          <t>0</t>
        </is>
      </c>
      <c r="H1417" t="inlineStr">
        <is>
          <t>0</t>
        </is>
      </c>
      <c r="I1417" t="inlineStr">
        <is>
          <t>9³, 27³</t>
        </is>
      </c>
      <c r="J1417" t="n">
        <v>6</v>
      </c>
      <c r="K1417" t="inlineStr">
        <is>
          <t>1², 2², 6¹</t>
        </is>
      </c>
      <c r="L1417" t="inlineStr">
        <is>
          <t>9J⁰, 27B¹, 27A³</t>
        </is>
      </c>
      <c r="M1417" t="inlineStr">
        <is>
          <t>54B¹⁶, 27B¹⁹, 27C¹⁹, 54C²²</t>
        </is>
      </c>
      <c r="N1417" t="inlineStr">
        <is>
          <t>3B⁰, 27B¹, 9J⁰, 9C⁰, 1A⁰, 27A³</t>
        </is>
      </c>
      <c r="O1417" t="inlineStr">
        <is>
          <t>27B¹⁹, 54B¹⁶, 27C¹⁹, 54C²²</t>
        </is>
      </c>
    </row>
    <row r="1418">
      <c r="A1418">
        <f>HYPERLINK("https://mathstats.uncg.edu/sites/pauli/congruence/csg7.html#group27C7", "27C⁷")</f>
        <v/>
      </c>
      <c r="B1418" t="n">
        <v>7</v>
      </c>
      <c r="C1418" t="inlineStr"/>
      <c r="D1418" t="inlineStr">
        <is>
          <t>108</t>
        </is>
      </c>
      <c r="E1418" t="inlineStr">
        <is>
          <t>1</t>
        </is>
      </c>
      <c r="F1418" t="inlineStr">
        <is>
          <t>12</t>
        </is>
      </c>
      <c r="G1418" t="inlineStr">
        <is>
          <t>0</t>
        </is>
      </c>
      <c r="H1418" t="inlineStr">
        <is>
          <t>0</t>
        </is>
      </c>
      <c r="I1418" t="inlineStr">
        <is>
          <t>9³, 27³</t>
        </is>
      </c>
      <c r="J1418" t="n">
        <v>6</v>
      </c>
      <c r="K1418" t="inlineStr">
        <is>
          <t>1², 2², 6¹</t>
        </is>
      </c>
      <c r="L1418" t="inlineStr">
        <is>
          <t>9J⁰, 27B², 27A³</t>
        </is>
      </c>
      <c r="M1418" t="inlineStr">
        <is>
          <t>54C¹⁶, 27B¹⁹, 27D¹⁹, 54D²²</t>
        </is>
      </c>
      <c r="N1418" t="inlineStr">
        <is>
          <t>3B⁰, 9J⁰, 9C⁰, 27B², 1A⁰, 27A³</t>
        </is>
      </c>
      <c r="O1418" t="inlineStr">
        <is>
          <t>54C¹⁶, 27D¹⁹, 27B¹⁹, 54D²²</t>
        </is>
      </c>
    </row>
    <row r="1419">
      <c r="A1419">
        <f>HYPERLINK("https://mathstats.uncg.edu/sites/pauli/congruence/csg7.html#group27D7", "27D⁷")</f>
        <v/>
      </c>
      <c r="B1419" t="n">
        <v>7</v>
      </c>
      <c r="C1419" t="inlineStr"/>
      <c r="D1419" t="inlineStr">
        <is>
          <t>108</t>
        </is>
      </c>
      <c r="E1419" t="inlineStr">
        <is>
          <t>1</t>
        </is>
      </c>
      <c r="F1419" t="inlineStr">
        <is>
          <t>12</t>
        </is>
      </c>
      <c r="G1419" t="inlineStr">
        <is>
          <t>0</t>
        </is>
      </c>
      <c r="H1419" t="inlineStr">
        <is>
          <t>0</t>
        </is>
      </c>
      <c r="I1419" t="inlineStr">
        <is>
          <t>9³, 27³</t>
        </is>
      </c>
      <c r="J1419" t="n">
        <v>6</v>
      </c>
      <c r="K1419" t="inlineStr">
        <is>
          <t>1², 2², 6¹</t>
        </is>
      </c>
      <c r="L1419" t="inlineStr">
        <is>
          <t>9C¹, 27B¹, 27B², 27A³</t>
        </is>
      </c>
      <c r="M1419" t="inlineStr">
        <is>
          <t>54G¹⁶, 27B¹⁹, 27E¹⁹, 54E²²</t>
        </is>
      </c>
      <c r="N1419" t="inlineStr">
        <is>
          <t>3B⁰, 27B², 9A¹, 9B⁰, 3C⁰, 27B¹, 9C¹, 9C⁰, 3A⁰, 1A⁰, 27A³, 3D⁰</t>
        </is>
      </c>
      <c r="O1419" t="inlineStr">
        <is>
          <t>27B¹⁹, 27E¹⁹, 54E²², 54G¹⁶</t>
        </is>
      </c>
    </row>
    <row r="1420">
      <c r="A1420">
        <f>HYPERLINK("https://mathstats.uncg.edu/sites/pauli/congruence/csg7.html#group27E7", "27E⁷")</f>
        <v/>
      </c>
      <c r="B1420" t="n">
        <v>7</v>
      </c>
      <c r="C1420" t="inlineStr"/>
      <c r="D1420" t="inlineStr">
        <is>
          <t>108</t>
        </is>
      </c>
      <c r="E1420" t="inlineStr">
        <is>
          <t>1</t>
        </is>
      </c>
      <c r="F1420" t="inlineStr">
        <is>
          <t>36</t>
        </is>
      </c>
      <c r="G1420" t="inlineStr">
        <is>
          <t>0</t>
        </is>
      </c>
      <c r="H1420" t="inlineStr">
        <is>
          <t>0</t>
        </is>
      </c>
      <c r="I1420" t="inlineStr">
        <is>
          <t>9³, 27³</t>
        </is>
      </c>
      <c r="J1420" t="n">
        <v>6</v>
      </c>
      <c r="K1420" t="inlineStr">
        <is>
          <t>3², 6⁵</t>
        </is>
      </c>
      <c r="L1420" t="inlineStr">
        <is>
          <t>9D¹</t>
        </is>
      </c>
      <c r="M1420" t="inlineStr">
        <is>
          <t>54N¹⁶, 27B¹⁹, 27F¹⁹, 54G²²</t>
        </is>
      </c>
      <c r="N1420" t="inlineStr">
        <is>
          <t>3B⁰, 9D¹, 1A⁰, 9A¹</t>
        </is>
      </c>
      <c r="O1420" t="inlineStr">
        <is>
          <t>54N¹⁶, 27F¹⁹, 27B¹⁹, 54G²²</t>
        </is>
      </c>
    </row>
    <row r="1421">
      <c r="A1421">
        <f>HYPERLINK("https://mathstats.uncg.edu/sites/pauli/congruence/csg7.html#group27F7", "27F⁷")</f>
        <v/>
      </c>
      <c r="B1421" t="n">
        <v>7</v>
      </c>
      <c r="C1421" t="inlineStr"/>
      <c r="D1421" t="inlineStr">
        <is>
          <t>162</t>
        </is>
      </c>
      <c r="E1421" t="inlineStr">
        <is>
          <t>1</t>
        </is>
      </c>
      <c r="F1421" t="inlineStr">
        <is>
          <t>18</t>
        </is>
      </c>
      <c r="G1421" t="inlineStr">
        <is>
          <t>18</t>
        </is>
      </c>
      <c r="H1421" t="inlineStr">
        <is>
          <t>0</t>
        </is>
      </c>
      <c r="I1421" t="inlineStr">
        <is>
          <t>27⁶</t>
        </is>
      </c>
      <c r="J1421" t="n">
        <v>6</v>
      </c>
      <c r="K1421" t="inlineStr">
        <is>
          <t>1¹, 2¹, 3¹, 6²</t>
        </is>
      </c>
      <c r="L1421" t="inlineStr">
        <is>
          <t>9E¹</t>
        </is>
      </c>
      <c r="M1421" t="inlineStr">
        <is>
          <t>54Q¹⁶, 27A²²</t>
        </is>
      </c>
      <c r="N1421" t="inlineStr">
        <is>
          <t>3C⁰, 9E¹, 9D⁰, 9E⁰, 3A⁰, 1A⁰, 9A⁰</t>
        </is>
      </c>
      <c r="O1421" t="inlineStr">
        <is>
          <t>27A²², 54Q¹⁶</t>
        </is>
      </c>
    </row>
    <row r="1422">
      <c r="A1422">
        <f>HYPERLINK("https://mathstats.uncg.edu/sites/pauli/congruence/csg7.html#group27G7", "27G⁷")</f>
        <v/>
      </c>
      <c r="B1422" t="n">
        <v>7</v>
      </c>
      <c r="C1422" t="inlineStr"/>
      <c r="D1422" t="inlineStr">
        <is>
          <t>162</t>
        </is>
      </c>
      <c r="E1422" t="inlineStr">
        <is>
          <t>1</t>
        </is>
      </c>
      <c r="F1422" t="inlineStr">
        <is>
          <t>162</t>
        </is>
      </c>
      <c r="G1422" t="inlineStr">
        <is>
          <t>6</t>
        </is>
      </c>
      <c r="H1422" t="inlineStr">
        <is>
          <t>0</t>
        </is>
      </c>
      <c r="I1422" t="inlineStr">
        <is>
          <t>9⁹, 27³</t>
        </is>
      </c>
      <c r="J1422" t="n">
        <v>12</v>
      </c>
      <c r="K1422" t="inlineStr">
        <is>
          <t>1¹, 2⁴, 6³, 9¹, 18⁷</t>
        </is>
      </c>
      <c r="L1422" t="inlineStr">
        <is>
          <t>9E¹</t>
        </is>
      </c>
      <c r="M1422" t="inlineStr">
        <is>
          <t>27B¹⁶, 54A¹⁹, 27C²², 54I²²</t>
        </is>
      </c>
      <c r="N1422" t="inlineStr">
        <is>
          <t>3C⁰, 9E¹, 9D⁰, 9E⁰, 3A⁰, 1A⁰, 9A⁰</t>
        </is>
      </c>
      <c r="O1422" t="inlineStr">
        <is>
          <t>54I²², 27C²², 54A¹⁹, 27B¹⁶</t>
        </is>
      </c>
    </row>
    <row r="1423">
      <c r="A1423">
        <f>HYPERLINK("https://mathstats.uncg.edu/sites/pauli/congruence/csg7.html#group27H7", "27H⁷")</f>
        <v/>
      </c>
      <c r="B1423" t="n">
        <v>7</v>
      </c>
      <c r="C1423" t="inlineStr"/>
      <c r="D1423" t="inlineStr">
        <is>
          <t>162</t>
        </is>
      </c>
      <c r="E1423" t="inlineStr">
        <is>
          <t>2</t>
        </is>
      </c>
      <c r="F1423" t="inlineStr">
        <is>
          <t>9</t>
        </is>
      </c>
      <c r="G1423" t="inlineStr">
        <is>
          <t>18</t>
        </is>
      </c>
      <c r="H1423" t="inlineStr">
        <is>
          <t>0</t>
        </is>
      </c>
      <c r="I1423" t="inlineStr">
        <is>
          <t>27⁶</t>
        </is>
      </c>
      <c r="J1423" t="n">
        <v>6</v>
      </c>
      <c r="K1423" t="inlineStr">
        <is>
          <t>2³, 6²</t>
        </is>
      </c>
      <c r="L1423" t="inlineStr">
        <is>
          <t>9F¹, 27B³</t>
        </is>
      </c>
      <c r="M1423" t="inlineStr">
        <is>
          <t>54V¹⁶, 27B²²</t>
        </is>
      </c>
      <c r="N1423" t="inlineStr">
        <is>
          <t>9D⁰, 9G⁰, 9A⁰, 27B³, 3C⁰, 3A⁰, 1A⁰, 9B¹, 9F¹</t>
        </is>
      </c>
      <c r="O1423" t="inlineStr">
        <is>
          <t>54V¹⁶, 27B²²</t>
        </is>
      </c>
    </row>
    <row r="1424">
      <c r="A1424">
        <f>HYPERLINK("https://mathstats.uncg.edu/sites/pauli/congruence/csg7.html#group28A7", "28A⁷")</f>
        <v/>
      </c>
      <c r="B1424" t="n">
        <v>7</v>
      </c>
      <c r="C1424" t="inlineStr"/>
      <c r="D1424" t="inlineStr">
        <is>
          <t>112</t>
        </is>
      </c>
      <c r="E1424" t="inlineStr">
        <is>
          <t>2</t>
        </is>
      </c>
      <c r="F1424" t="inlineStr">
        <is>
          <t>28</t>
        </is>
      </c>
      <c r="G1424" t="inlineStr">
        <is>
          <t>0</t>
        </is>
      </c>
      <c r="H1424" t="inlineStr">
        <is>
          <t>4</t>
        </is>
      </c>
      <c r="I1424" t="inlineStr">
        <is>
          <t>28⁴</t>
        </is>
      </c>
      <c r="J1424" t="n">
        <v>4</v>
      </c>
      <c r="K1424" t="inlineStr">
        <is>
          <t>4², 12⁴</t>
        </is>
      </c>
      <c r="L1424" t="inlineStr">
        <is>
          <t>14D¹, 28E², 28D³, 28A⁴</t>
        </is>
      </c>
      <c r="M1424" t="inlineStr">
        <is>
          <t>56A¹⁵, 28K²¹, 28C²³, 28D²³</t>
        </is>
      </c>
      <c r="N1424" t="inlineStr">
        <is>
          <t>28D³, 28E², 2A⁰, 14A⁰, 4A⁰, 28A⁴, 7C⁰, 14A¹, 4D⁰, 1A⁰, 28A¹, 14D¹, 7A⁰</t>
        </is>
      </c>
      <c r="O1424" t="inlineStr">
        <is>
          <t>28D²³, 28K²¹, 28C²³, 56A¹⁵</t>
        </is>
      </c>
    </row>
    <row r="1425">
      <c r="A1425">
        <f>HYPERLINK("https://mathstats.uncg.edu/sites/pauli/congruence/csg7.html#group28B7", "28B⁷")</f>
        <v/>
      </c>
      <c r="B1425" t="n">
        <v>7</v>
      </c>
      <c r="C1425" t="inlineStr"/>
      <c r="D1425" t="inlineStr">
        <is>
          <t>126</t>
        </is>
      </c>
      <c r="E1425" t="inlineStr">
        <is>
          <t>1</t>
        </is>
      </c>
      <c r="F1425" t="inlineStr">
        <is>
          <t>63</t>
        </is>
      </c>
      <c r="G1425" t="inlineStr">
        <is>
          <t>0</t>
        </is>
      </c>
      <c r="H1425" t="inlineStr">
        <is>
          <t>0</t>
        </is>
      </c>
      <c r="I1425" t="inlineStr">
        <is>
          <t>7⁶, 28³</t>
        </is>
      </c>
      <c r="J1425" t="n">
        <v>9</v>
      </c>
      <c r="K1425" t="inlineStr">
        <is>
          <t>3³, 6⁹</t>
        </is>
      </c>
      <c r="L1425" t="inlineStr">
        <is>
          <t>14F², 28A³</t>
        </is>
      </c>
      <c r="M1425" t="inlineStr">
        <is>
          <t>28C¹³, 28D¹³, 28A¹⁶, 28C¹⁶, 28E¹⁶, 56A¹⁶, 56B¹⁶, 56D¹⁶</t>
        </is>
      </c>
      <c r="N1425" t="inlineStr">
        <is>
          <t>7D⁰, 14B¹, 14F², 28A³, 2B⁰, 4B⁰, 1A⁰, 7A⁰</t>
        </is>
      </c>
      <c r="O1425" t="inlineStr">
        <is>
          <t>28E¹⁶, 28C¹³, 56D¹⁶, 56A¹⁶, 28A¹⁶, 28C¹⁶, 28D¹³, 56B¹⁶</t>
        </is>
      </c>
    </row>
    <row r="1426">
      <c r="A1426">
        <f>HYPERLINK("https://mathstats.uncg.edu/sites/pauli/congruence/csg7.html#group28C7", "28C⁷")</f>
        <v/>
      </c>
      <c r="B1426" t="n">
        <v>7</v>
      </c>
      <c r="C1426" t="inlineStr"/>
      <c r="D1426" t="inlineStr">
        <is>
          <t>126</t>
        </is>
      </c>
      <c r="E1426" t="inlineStr">
        <is>
          <t>2</t>
        </is>
      </c>
      <c r="F1426" t="inlineStr">
        <is>
          <t>63</t>
        </is>
      </c>
      <c r="G1426" t="inlineStr">
        <is>
          <t>6</t>
        </is>
      </c>
      <c r="H1426" t="inlineStr">
        <is>
          <t>0</t>
        </is>
      </c>
      <c r="I1426" t="inlineStr">
        <is>
          <t>14³, 28³</t>
        </is>
      </c>
      <c r="J1426" t="n">
        <v>6</v>
      </c>
      <c r="K1426" t="inlineStr">
        <is>
          <t>6²¹</t>
        </is>
      </c>
      <c r="L1426" t="inlineStr">
        <is>
          <t>14F², 28B³</t>
        </is>
      </c>
      <c r="M1426" t="inlineStr">
        <is>
          <t>28E¹³, 28A¹⁴, 28B¹⁴, 28C¹⁵, 28G¹⁵, 28E¹⁶, 28F¹⁶</t>
        </is>
      </c>
      <c r="N1426" t="inlineStr">
        <is>
          <t>14F², 2B⁰, 28B³, 7D⁰, 14B¹, 1A⁰, 7A⁰</t>
        </is>
      </c>
      <c r="O1426" t="inlineStr">
        <is>
          <t>28E¹³, 28G¹⁵, 28F¹⁶, 28E¹⁶, 28C¹⁵, 28A¹⁴, 28B¹⁴</t>
        </is>
      </c>
    </row>
    <row r="1427">
      <c r="A1427">
        <f>HYPERLINK("https://mathstats.uncg.edu/sites/pauli/congruence/csg7.html#group28D7", "28D⁷")</f>
        <v/>
      </c>
      <c r="B1427" t="n">
        <v>7</v>
      </c>
      <c r="C1427" t="inlineStr"/>
      <c r="D1427" t="inlineStr">
        <is>
          <t>144</t>
        </is>
      </c>
      <c r="E1427" t="inlineStr">
        <is>
          <t>1</t>
        </is>
      </c>
      <c r="F1427" t="inlineStr">
        <is>
          <t>24</t>
        </is>
      </c>
      <c r="G1427" t="inlineStr">
        <is>
          <t>0</t>
        </is>
      </c>
      <c r="H1427" t="inlineStr">
        <is>
          <t>0</t>
        </is>
      </c>
      <c r="I1427" t="inlineStr">
        <is>
          <t>2³, 4³, 14³, 28³</t>
        </is>
      </c>
      <c r="J1427" t="n">
        <v>12</v>
      </c>
      <c r="K1427" t="inlineStr">
        <is>
          <t>1⁶, 6³</t>
        </is>
      </c>
      <c r="L1427" t="inlineStr">
        <is>
          <t>14H¹, 28C³</t>
        </is>
      </c>
      <c r="M1427" t="inlineStr">
        <is>
          <t>28F¹³, 28H¹⁶, 56F¹⁶, 56B¹⁹, 56C¹⁹</t>
        </is>
      </c>
      <c r="N1427" t="inlineStr">
        <is>
          <t>7B⁰, 4C⁰, 14H¹, 14C¹, 2B⁰, 7E⁰, 28C³, 1A⁰</t>
        </is>
      </c>
      <c r="O1427" t="inlineStr">
        <is>
          <t>56F¹⁶, 28F¹³, 56C¹⁹, 28H¹⁶, 56B¹⁹</t>
        </is>
      </c>
    </row>
    <row r="1428">
      <c r="A1428">
        <f>HYPERLINK("https://mathstats.uncg.edu/sites/pauli/congruence/csg7.html#group28E7", "28E⁷")</f>
        <v/>
      </c>
      <c r="B1428" t="n">
        <v>7</v>
      </c>
      <c r="C1428" t="inlineStr"/>
      <c r="D1428" t="inlineStr">
        <is>
          <t>168</t>
        </is>
      </c>
      <c r="E1428" t="inlineStr">
        <is>
          <t>1</t>
        </is>
      </c>
      <c r="F1428" t="inlineStr">
        <is>
          <t>84</t>
        </is>
      </c>
      <c r="G1428" t="inlineStr">
        <is>
          <t>8</t>
        </is>
      </c>
      <c r="H1428" t="inlineStr">
        <is>
          <t>0</t>
        </is>
      </c>
      <c r="I1428" t="inlineStr">
        <is>
          <t>7⁸, 28⁴</t>
        </is>
      </c>
      <c r="J1428" t="n">
        <v>12</v>
      </c>
      <c r="K1428" t="inlineStr">
        <is>
          <t>1³, 3³, 6¹²</t>
        </is>
      </c>
      <c r="L1428" t="inlineStr">
        <is>
          <t>28B², 14D³</t>
        </is>
      </c>
      <c r="M1428" t="inlineStr">
        <is>
          <t>28A¹⁷, 28D¹⁷, 56E¹⁷, 56F¹⁷, 28C²¹, 56A²¹, 56B²¹, 28E²³</t>
        </is>
      </c>
      <c r="N1428" t="inlineStr">
        <is>
          <t>14B¹, 7F⁰, 2B⁰, 1A⁰, 28B², 7A⁰, 14D³</t>
        </is>
      </c>
      <c r="O1428" t="inlineStr">
        <is>
          <t>56A²¹, 56E¹⁷, 56B²¹, 28A¹⁷, 28E²³, 28D¹⁷, 56F¹⁷, 28C²¹</t>
        </is>
      </c>
    </row>
    <row r="1429">
      <c r="A1429">
        <f>HYPERLINK("https://mathstats.uncg.edu/sites/pauli/congruence/csg7.html#group30A7", "30A⁷")</f>
        <v/>
      </c>
      <c r="B1429" t="n">
        <v>7</v>
      </c>
      <c r="C1429" t="inlineStr"/>
      <c r="D1429" t="inlineStr">
        <is>
          <t>90</t>
        </is>
      </c>
      <c r="E1429" t="inlineStr">
        <is>
          <t>1</t>
        </is>
      </c>
      <c r="F1429" t="inlineStr">
        <is>
          <t>5</t>
        </is>
      </c>
      <c r="G1429" t="inlineStr">
        <is>
          <t>0</t>
        </is>
      </c>
      <c r="H1429" t="inlineStr">
        <is>
          <t>0</t>
        </is>
      </c>
      <c r="I1429" t="inlineStr">
        <is>
          <t>30³</t>
        </is>
      </c>
      <c r="J1429" t="n">
        <v>3</v>
      </c>
      <c r="K1429" t="inlineStr">
        <is>
          <t>1¹, 4¹</t>
        </is>
      </c>
      <c r="L1429" t="inlineStr">
        <is>
          <t>15F¹, 30B¹, 10A², 30A³</t>
        </is>
      </c>
      <c r="M1429" t="inlineStr">
        <is>
          <t>30B¹³, 30D¹³, 30G¹³, 30A¹⁹, 90A²²</t>
        </is>
      </c>
      <c r="N1429" t="inlineStr">
        <is>
          <t>2A⁰, 30A³, 5A⁰, 10A², 10A⁰, 30B¹, 15F¹, 5E⁰, 6A¹, 3A⁰, 1A⁰, 15A¹, 15A⁰</t>
        </is>
      </c>
      <c r="O1429" t="inlineStr">
        <is>
          <t>30B¹³, 30D¹³, 30G¹³, 90A²², 30A¹⁹</t>
        </is>
      </c>
    </row>
    <row r="1430">
      <c r="A1430">
        <f>HYPERLINK("https://mathstats.uncg.edu/sites/pauli/congruence/csg7.html#group30B7", "30B⁷")</f>
        <v/>
      </c>
      <c r="B1430" t="n">
        <v>7</v>
      </c>
      <c r="C1430" t="inlineStr"/>
      <c r="D1430" t="inlineStr">
        <is>
          <t>90</t>
        </is>
      </c>
      <c r="E1430" t="inlineStr">
        <is>
          <t>1</t>
        </is>
      </c>
      <c r="F1430" t="inlineStr">
        <is>
          <t>5</t>
        </is>
      </c>
      <c r="G1430" t="inlineStr">
        <is>
          <t>0</t>
        </is>
      </c>
      <c r="H1430" t="inlineStr">
        <is>
          <t>0</t>
        </is>
      </c>
      <c r="I1430" t="inlineStr">
        <is>
          <t>30³</t>
        </is>
      </c>
      <c r="J1430" t="n">
        <v>3</v>
      </c>
      <c r="K1430" t="inlineStr">
        <is>
          <t>1¹, 4¹</t>
        </is>
      </c>
      <c r="L1430" t="inlineStr">
        <is>
          <t>6C¹, 30A¹, 10B², 30A³, 30D³</t>
        </is>
      </c>
      <c r="M1430" t="inlineStr">
        <is>
          <t>30C¹³, 60A¹⁴, 60E¹⁴, 30A¹⁹, 90B²²</t>
        </is>
      </c>
      <c r="N1430" t="inlineStr">
        <is>
          <t>2A⁰, 30A³, 5A⁰, 15A¹, 10B¹, 6C¹, 2B⁰, 10B², 1A⁰, 30D³, 30A¹, 10A⁰, 6A⁰, 6A¹, 3A⁰, 2C⁰, 6D⁰</t>
        </is>
      </c>
      <c r="O1430" t="inlineStr">
        <is>
          <t>90B²², 60E¹⁴, 60A¹⁴, 30A¹⁹, 30C¹³</t>
        </is>
      </c>
    </row>
    <row r="1431">
      <c r="A1431">
        <f>HYPERLINK("https://mathstats.uncg.edu/sites/pauli/congruence/csg7.html#group30C7", "30C⁷")</f>
        <v/>
      </c>
      <c r="B1431" t="n">
        <v>7</v>
      </c>
      <c r="C1431" t="inlineStr"/>
      <c r="D1431" t="inlineStr">
        <is>
          <t>90</t>
        </is>
      </c>
      <c r="E1431" t="inlineStr">
        <is>
          <t>1</t>
        </is>
      </c>
      <c r="F1431" t="inlineStr">
        <is>
          <t>10</t>
        </is>
      </c>
      <c r="G1431" t="inlineStr">
        <is>
          <t>0</t>
        </is>
      </c>
      <c r="H1431" t="inlineStr">
        <is>
          <t>0</t>
        </is>
      </c>
      <c r="I1431" t="inlineStr">
        <is>
          <t>30³</t>
        </is>
      </c>
      <c r="J1431" t="n">
        <v>3</v>
      </c>
      <c r="K1431" t="inlineStr">
        <is>
          <t>2¹, 8¹</t>
        </is>
      </c>
      <c r="L1431" t="inlineStr">
        <is>
          <t>30A¹, 10A², 30B²</t>
        </is>
      </c>
      <c r="M1431" t="inlineStr">
        <is>
          <t>30E¹³, 30A¹⁹</t>
        </is>
      </c>
      <c r="N1431" t="inlineStr">
        <is>
          <t>2A⁰, 30B², 30A¹, 5A⁰, 10A², 10A⁰, 6A⁰, 5E⁰, 1A⁰</t>
        </is>
      </c>
      <c r="O1431" t="inlineStr">
        <is>
          <t>30E¹³, 30A¹⁹</t>
        </is>
      </c>
    </row>
    <row r="1432">
      <c r="A1432">
        <f>HYPERLINK("https://mathstats.uncg.edu/sites/pauli/congruence/csg7.html#group30D7", "30D⁷")</f>
        <v/>
      </c>
      <c r="B1432" t="n">
        <v>7</v>
      </c>
      <c r="C1432" t="inlineStr"/>
      <c r="D1432" t="inlineStr">
        <is>
          <t>90</t>
        </is>
      </c>
      <c r="E1432" t="inlineStr">
        <is>
          <t>1</t>
        </is>
      </c>
      <c r="F1432" t="inlineStr">
        <is>
          <t>10</t>
        </is>
      </c>
      <c r="G1432" t="inlineStr">
        <is>
          <t>0</t>
        </is>
      </c>
      <c r="H1432" t="inlineStr">
        <is>
          <t>0</t>
        </is>
      </c>
      <c r="I1432" t="inlineStr">
        <is>
          <t>30³</t>
        </is>
      </c>
      <c r="J1432" t="n">
        <v>3</v>
      </c>
      <c r="K1432" t="inlineStr">
        <is>
          <t>2¹, 4²</t>
        </is>
      </c>
      <c r="L1432" t="inlineStr">
        <is>
          <t>10E⁰, 30B², 30A³</t>
        </is>
      </c>
      <c r="M1432" t="inlineStr">
        <is>
          <t>30F¹³, 30A¹⁹, 90C²²</t>
        </is>
      </c>
      <c r="N1432" t="inlineStr">
        <is>
          <t>2A⁰, 30B², 30A³, 5A⁰, 10A⁰, 10E⁰, 6A¹, 3A⁰, 1A⁰, 15A¹</t>
        </is>
      </c>
      <c r="O1432" t="inlineStr">
        <is>
          <t>30F¹³, 30A¹⁹, 90C²²</t>
        </is>
      </c>
    </row>
    <row r="1433">
      <c r="A1433">
        <f>HYPERLINK("https://mathstats.uncg.edu/sites/pauli/congruence/csg7.html#group30E7", "30E⁷")</f>
        <v/>
      </c>
      <c r="B1433" t="n">
        <v>7</v>
      </c>
      <c r="C1433" t="inlineStr"/>
      <c r="D1433" t="inlineStr">
        <is>
          <t>90</t>
        </is>
      </c>
      <c r="E1433" t="inlineStr">
        <is>
          <t>2</t>
        </is>
      </c>
      <c r="F1433" t="inlineStr">
        <is>
          <t>5</t>
        </is>
      </c>
      <c r="G1433" t="inlineStr">
        <is>
          <t>0</t>
        </is>
      </c>
      <c r="H1433" t="inlineStr">
        <is>
          <t>0</t>
        </is>
      </c>
      <c r="I1433" t="inlineStr">
        <is>
          <t>30³</t>
        </is>
      </c>
      <c r="J1433" t="n">
        <v>3</v>
      </c>
      <c r="K1433" t="inlineStr">
        <is>
          <t>2¹, 8¹</t>
        </is>
      </c>
      <c r="L1433" t="inlineStr">
        <is>
          <t>30B¹, 10B², 30B², 30E³</t>
        </is>
      </c>
      <c r="M1433" t="inlineStr">
        <is>
          <t>60F¹⁴, 30A¹⁹</t>
        </is>
      </c>
      <c r="N1433" t="inlineStr">
        <is>
          <t>2A⁰, 30B², 5A⁰, 10A⁰, 30E³, 30B¹, 10B¹, 2B⁰, 10B², 1A⁰, 2C⁰, 15A⁰</t>
        </is>
      </c>
      <c r="O1433" t="inlineStr">
        <is>
          <t>30A¹⁹, 60F¹⁴</t>
        </is>
      </c>
    </row>
    <row r="1434">
      <c r="A1434">
        <f>HYPERLINK("https://mathstats.uncg.edu/sites/pauli/congruence/csg7.html#group30F7", "30F⁷")</f>
        <v/>
      </c>
      <c r="B1434" t="n">
        <v>7</v>
      </c>
      <c r="C1434" t="inlineStr"/>
      <c r="D1434" t="inlineStr">
        <is>
          <t>108</t>
        </is>
      </c>
      <c r="E1434" t="inlineStr">
        <is>
          <t>1</t>
        </is>
      </c>
      <c r="F1434" t="inlineStr">
        <is>
          <t>6</t>
        </is>
      </c>
      <c r="G1434" t="inlineStr">
        <is>
          <t>0</t>
        </is>
      </c>
      <c r="H1434" t="inlineStr">
        <is>
          <t>0</t>
        </is>
      </c>
      <c r="I1434" t="inlineStr">
        <is>
          <t>6³, 30³</t>
        </is>
      </c>
      <c r="J1434" t="n">
        <v>6</v>
      </c>
      <c r="K1434" t="inlineStr">
        <is>
          <t>1², 4¹</t>
        </is>
      </c>
      <c r="L1434" t="inlineStr">
        <is>
          <t>6C¹, 10G¹, 30E², 30B³, 30C³</t>
        </is>
      </c>
      <c r="M1434" t="inlineStr">
        <is>
          <t>30H¹³, 30I¹³, 30J¹³, 60C¹⁵, 60D¹⁵, 60L¹⁵, 60N¹⁵</t>
        </is>
      </c>
      <c r="N1434" t="inlineStr">
        <is>
          <t>2A⁰, 30C³, 6C¹, 5B⁰, 10A¹, 2B⁰, 1A⁰, 30B³, 15B⁰, 30E², 6A⁰, 10C⁰, 6A¹, 3A⁰, 2C⁰, 6D⁰, 10G¹</t>
        </is>
      </c>
      <c r="O1434" t="inlineStr">
        <is>
          <t>60C¹⁵, 60N¹⁵, 30J¹³, 30H¹³, 60L¹⁵, 60D¹⁵, 30I¹³</t>
        </is>
      </c>
    </row>
    <row r="1435">
      <c r="A1435">
        <f>HYPERLINK("https://mathstats.uncg.edu/sites/pauli/congruence/csg7.html#group30G7", "30G⁷")</f>
        <v/>
      </c>
      <c r="B1435" t="n">
        <v>7</v>
      </c>
      <c r="C1435" t="inlineStr"/>
      <c r="D1435" t="inlineStr">
        <is>
          <t>120</t>
        </is>
      </c>
      <c r="E1435" t="inlineStr">
        <is>
          <t>1</t>
        </is>
      </c>
      <c r="F1435" t="inlineStr">
        <is>
          <t>20</t>
        </is>
      </c>
      <c r="G1435" t="inlineStr">
        <is>
          <t>0</t>
        </is>
      </c>
      <c r="H1435" t="inlineStr">
        <is>
          <t>6</t>
        </is>
      </c>
      <c r="I1435" t="inlineStr">
        <is>
          <t>30⁴</t>
        </is>
      </c>
      <c r="J1435" t="n">
        <v>4</v>
      </c>
      <c r="K1435" t="inlineStr">
        <is>
          <t>4¹, 8²</t>
        </is>
      </c>
      <c r="L1435" t="inlineStr">
        <is>
          <t>10H¹, 30A¹, 30B⁴</t>
        </is>
      </c>
      <c r="M1435" t="inlineStr">
        <is>
          <t>60P¹⁵, 30B²²</t>
        </is>
      </c>
      <c r="N1435" t="inlineStr">
        <is>
          <t>10H¹, 2A⁰, 30A¹, 30B⁴, 5A⁰, 10A⁰, 6A⁰, 10D⁰, 5F⁰, 10C¹, 1A⁰, 5C⁰</t>
        </is>
      </c>
      <c r="O1435" t="inlineStr">
        <is>
          <t>30B²², 60P¹⁵</t>
        </is>
      </c>
    </row>
    <row r="1436">
      <c r="A1436">
        <f>HYPERLINK("https://mathstats.uncg.edu/sites/pauli/congruence/csg7.html#group30H7", "30H⁷")</f>
        <v/>
      </c>
      <c r="B1436" t="n">
        <v>7</v>
      </c>
      <c r="C1436" t="inlineStr"/>
      <c r="D1436" t="inlineStr">
        <is>
          <t>120</t>
        </is>
      </c>
      <c r="E1436" t="inlineStr">
        <is>
          <t>1</t>
        </is>
      </c>
      <c r="F1436" t="inlineStr">
        <is>
          <t>20</t>
        </is>
      </c>
      <c r="G1436" t="inlineStr">
        <is>
          <t>0</t>
        </is>
      </c>
      <c r="H1436" t="inlineStr">
        <is>
          <t>6</t>
        </is>
      </c>
      <c r="I1436" t="inlineStr">
        <is>
          <t>30⁴</t>
        </is>
      </c>
      <c r="J1436" t="n">
        <v>4</v>
      </c>
      <c r="K1436" t="inlineStr">
        <is>
          <t>4¹, 8²</t>
        </is>
      </c>
      <c r="L1436" t="inlineStr">
        <is>
          <t>10H¹, 30B¹, 15B³</t>
        </is>
      </c>
      <c r="M1436" t="inlineStr">
        <is>
          <t>60Q¹⁵, 30B²²</t>
        </is>
      </c>
      <c r="N1436" t="inlineStr">
        <is>
          <t>10H¹, 2A⁰, 5A⁰, 10A⁰, 30B¹, 10D⁰, 5F⁰, 10C¹, 15B³, 1A⁰, 5C⁰, 15A⁰</t>
        </is>
      </c>
      <c r="O1436" t="inlineStr">
        <is>
          <t>30B²², 60Q¹⁵</t>
        </is>
      </c>
    </row>
    <row r="1437">
      <c r="A1437">
        <f>HYPERLINK("https://mathstats.uncg.edu/sites/pauli/congruence/csg7.html#group30I7", "30I⁷")</f>
        <v/>
      </c>
      <c r="B1437" t="n">
        <v>7</v>
      </c>
      <c r="C1437" t="inlineStr"/>
      <c r="D1437" t="inlineStr">
        <is>
          <t>120</t>
        </is>
      </c>
      <c r="E1437" t="inlineStr">
        <is>
          <t>1</t>
        </is>
      </c>
      <c r="F1437" t="inlineStr">
        <is>
          <t>30</t>
        </is>
      </c>
      <c r="G1437" t="inlineStr">
        <is>
          <t>8</t>
        </is>
      </c>
      <c r="H1437" t="inlineStr">
        <is>
          <t>0</t>
        </is>
      </c>
      <c r="I1437" t="inlineStr">
        <is>
          <t>30⁴</t>
        </is>
      </c>
      <c r="J1437" t="n">
        <v>4</v>
      </c>
      <c r="K1437" t="inlineStr">
        <is>
          <t>2¹, 4³, 8²</t>
        </is>
      </c>
      <c r="L1437" t="inlineStr">
        <is>
          <t>6E⁰, 15C³, 30H³</t>
        </is>
      </c>
      <c r="M1437" t="inlineStr">
        <is>
          <t>30M¹³, 30B¹⁷, 30D¹⁷, 60C¹⁷, 60D¹⁷, 30B²³, 30G²³, 90C²³</t>
        </is>
      </c>
      <c r="N1437" t="inlineStr">
        <is>
          <t>15D¹, 6B⁰, 3A⁰, 6E⁰, 5C⁰, 3C⁰, 15C³, 30H³, 1A⁰</t>
        </is>
      </c>
      <c r="O1437" t="inlineStr">
        <is>
          <t>30M¹³, 30D¹⁷, 30B¹⁷, 60C¹⁷, 30G²³, 30B²³, 60D¹⁷, 90C²³</t>
        </is>
      </c>
    </row>
    <row r="1438">
      <c r="A1438">
        <f>HYPERLINK("https://mathstats.uncg.edu/sites/pauli/congruence/csg7.html#group30J7", "30J⁷")</f>
        <v/>
      </c>
      <c r="B1438" t="n">
        <v>7</v>
      </c>
      <c r="C1438" t="inlineStr"/>
      <c r="D1438" t="inlineStr">
        <is>
          <t>120</t>
        </is>
      </c>
      <c r="E1438" t="inlineStr">
        <is>
          <t>1</t>
        </is>
      </c>
      <c r="F1438" t="inlineStr">
        <is>
          <t>30</t>
        </is>
      </c>
      <c r="G1438" t="inlineStr">
        <is>
          <t>8</t>
        </is>
      </c>
      <c r="H1438" t="inlineStr">
        <is>
          <t>0</t>
        </is>
      </c>
      <c r="I1438" t="inlineStr">
        <is>
          <t>30⁴</t>
        </is>
      </c>
      <c r="J1438" t="n">
        <v>4</v>
      </c>
      <c r="K1438" t="inlineStr">
        <is>
          <t>2¹, 4³, 8²</t>
        </is>
      </c>
      <c r="L1438" t="inlineStr">
        <is>
          <t>30F², 15C³, 30C⁴</t>
        </is>
      </c>
      <c r="M1438" t="inlineStr">
        <is>
          <t>30M¹³, 30A¹⁷, 30E¹⁷, 60J¹⁷, 60K¹⁷, 30C²³, 30H²³, 30I²³, 90D²³</t>
        </is>
      </c>
      <c r="N1438" t="inlineStr">
        <is>
          <t>30C⁴, 15D¹, 10D⁰, 5C⁰, 3C⁰, 1A⁰, 15C³, 3A⁰, 30F²</t>
        </is>
      </c>
      <c r="O1438" t="inlineStr">
        <is>
          <t>30H²³, 30M¹³, 60J¹⁷, 30I²³, 30C²³, 60K¹⁷, 30A¹⁷, 90D²³, 30E¹⁷</t>
        </is>
      </c>
    </row>
    <row r="1439">
      <c r="A1439">
        <f>HYPERLINK("https://mathstats.uncg.edu/sites/pauli/congruence/csg7.html#group30K7", "30K⁷")</f>
        <v/>
      </c>
      <c r="B1439" t="n">
        <v>7</v>
      </c>
      <c r="C1439" t="inlineStr"/>
      <c r="D1439" t="inlineStr">
        <is>
          <t>120</t>
        </is>
      </c>
      <c r="E1439" t="inlineStr">
        <is>
          <t>1</t>
        </is>
      </c>
      <c r="F1439" t="inlineStr">
        <is>
          <t>40</t>
        </is>
      </c>
      <c r="G1439" t="inlineStr">
        <is>
          <t>0</t>
        </is>
      </c>
      <c r="H1439" t="inlineStr">
        <is>
          <t>6</t>
        </is>
      </c>
      <c r="I1439" t="inlineStr">
        <is>
          <t>30⁴</t>
        </is>
      </c>
      <c r="J1439" t="n">
        <v>4</v>
      </c>
      <c r="K1439" t="inlineStr">
        <is>
          <t>2⁴, 8⁴</t>
        </is>
      </c>
      <c r="L1439" t="inlineStr">
        <is>
          <t>6J⁰, 30A¹, 30D²</t>
        </is>
      </c>
      <c r="M1439" t="inlineStr">
        <is>
          <t>60T¹⁵, 30D²², 90I²²</t>
        </is>
      </c>
      <c r="N1439" t="inlineStr">
        <is>
          <t>3B⁰, 2A⁰, 30A¹, 5A⁰, 10A⁰, 6A⁰, 30D², 6C⁰, 6J⁰, 15B¹, 1A⁰</t>
        </is>
      </c>
      <c r="O1439" t="inlineStr">
        <is>
          <t>90I²², 30D²², 60T¹⁵</t>
        </is>
      </c>
    </row>
    <row r="1440">
      <c r="A1440">
        <f>HYPERLINK("https://mathstats.uncg.edu/sites/pauli/congruence/csg7.html#group30L7", "30L⁷")</f>
        <v/>
      </c>
      <c r="B1440" t="n">
        <v>7</v>
      </c>
      <c r="C1440" t="inlineStr"/>
      <c r="D1440" t="inlineStr">
        <is>
          <t>120</t>
        </is>
      </c>
      <c r="E1440" t="inlineStr">
        <is>
          <t>1</t>
        </is>
      </c>
      <c r="F1440" t="inlineStr">
        <is>
          <t>120</t>
        </is>
      </c>
      <c r="G1440" t="inlineStr">
        <is>
          <t>0</t>
        </is>
      </c>
      <c r="H1440" t="inlineStr">
        <is>
          <t>0</t>
        </is>
      </c>
      <c r="I1440" t="inlineStr">
        <is>
          <t>5², 10², 15², 30²</t>
        </is>
      </c>
      <c r="J1440" t="n">
        <v>8</v>
      </c>
      <c r="K1440" t="inlineStr">
        <is>
          <t>2⁶, 4¹⁵, 8⁶</t>
        </is>
      </c>
      <c r="L1440" t="inlineStr">
        <is>
          <t>6F⁰, 10F¹, 15C²</t>
        </is>
      </c>
      <c r="M1440" t="inlineStr">
        <is>
          <t>30N¹³, 30A¹⁵, 30E¹⁵, 60U¹⁵, 60V¹⁵, 60F¹⁷, 60G¹⁷, 30B¹⁹, 30A²³, 90E²³</t>
        </is>
      </c>
      <c r="N1440" t="inlineStr">
        <is>
          <t>3B⁰, 5C⁰, 6F⁰, 2B⁰, 15C², 1A⁰, 10F¹</t>
        </is>
      </c>
      <c r="O1440" t="inlineStr">
        <is>
          <t>30B¹⁹, 30A¹⁵, 60V¹⁵, 60G¹⁷, 90E²³, 60U¹⁵, 30N¹³, 30A²³, 60F¹⁷, 30E¹⁵</t>
        </is>
      </c>
    </row>
    <row r="1441">
      <c r="A1441">
        <f>HYPERLINK("https://mathstats.uncg.edu/sites/pauli/congruence/csg7.html#group30M7", "30M⁷")</f>
        <v/>
      </c>
      <c r="B1441" t="n">
        <v>7</v>
      </c>
      <c r="C1441" t="inlineStr"/>
      <c r="D1441" t="inlineStr">
        <is>
          <t>120</t>
        </is>
      </c>
      <c r="E1441" t="inlineStr">
        <is>
          <t>2</t>
        </is>
      </c>
      <c r="F1441" t="inlineStr">
        <is>
          <t>20</t>
        </is>
      </c>
      <c r="G1441" t="inlineStr">
        <is>
          <t>0</t>
        </is>
      </c>
      <c r="H1441" t="inlineStr">
        <is>
          <t>6</t>
        </is>
      </c>
      <c r="I1441" t="inlineStr">
        <is>
          <t>30⁴</t>
        </is>
      </c>
      <c r="J1441" t="n">
        <v>4</v>
      </c>
      <c r="K1441" t="inlineStr">
        <is>
          <t>2², 4¹, 8⁴</t>
        </is>
      </c>
      <c r="L1441" t="inlineStr">
        <is>
          <t>30B¹, 30D², 15D³</t>
        </is>
      </c>
      <c r="M1441" t="inlineStr">
        <is>
          <t>60Y¹⁵, 30D²², 90K²²</t>
        </is>
      </c>
      <c r="N1441" t="inlineStr">
        <is>
          <t>3B⁰, 2A⁰, 5A⁰, 10A⁰, 15D³, 30B¹, 30D², 6C⁰, 15B¹, 1A⁰, 15A⁰</t>
        </is>
      </c>
      <c r="O1441" t="inlineStr">
        <is>
          <t>90K²², 30D²², 60Y¹⁵</t>
        </is>
      </c>
    </row>
    <row r="1442">
      <c r="A1442">
        <f>HYPERLINK("https://mathstats.uncg.edu/sites/pauli/congruence/csg7.html#group30N7", "30N⁷")</f>
        <v/>
      </c>
      <c r="B1442" t="n">
        <v>7</v>
      </c>
      <c r="C1442" t="inlineStr"/>
      <c r="D1442" t="inlineStr">
        <is>
          <t>120</t>
        </is>
      </c>
      <c r="E1442" t="inlineStr">
        <is>
          <t>2</t>
        </is>
      </c>
      <c r="F1442" t="inlineStr">
        <is>
          <t>30</t>
        </is>
      </c>
      <c r="G1442" t="inlineStr">
        <is>
          <t>8</t>
        </is>
      </c>
      <c r="H1442" t="inlineStr">
        <is>
          <t>0</t>
        </is>
      </c>
      <c r="I1442" t="inlineStr">
        <is>
          <t>30⁴</t>
        </is>
      </c>
      <c r="J1442" t="n">
        <v>4</v>
      </c>
      <c r="K1442" t="inlineStr">
        <is>
          <t>4³, 8⁶</t>
        </is>
      </c>
      <c r="L1442" t="inlineStr">
        <is>
          <t>15D², 30H³, 30C⁴</t>
        </is>
      </c>
      <c r="M1442" t="inlineStr">
        <is>
          <t>30M¹³, 30C¹⁷, 30D¹⁷, 30J²³, 30K²³, 90F²³</t>
        </is>
      </c>
      <c r="N1442" t="inlineStr">
        <is>
          <t>30C⁴, 15D¹, 6B⁰, 3A⁰, 5C⁰, 15D², 30H³, 1A⁰</t>
        </is>
      </c>
      <c r="O1442" t="inlineStr">
        <is>
          <t>30M¹³, 90F²³, 30J²³, 30C¹⁷, 30D¹⁷, 30K²³</t>
        </is>
      </c>
    </row>
    <row r="1443">
      <c r="A1443">
        <f>HYPERLINK("https://mathstats.uncg.edu/sites/pauli/congruence/csg7.html#group30O7", "30O⁷")</f>
        <v/>
      </c>
      <c r="B1443" t="n">
        <v>7</v>
      </c>
      <c r="C1443" t="inlineStr"/>
      <c r="D1443" t="inlineStr">
        <is>
          <t>120</t>
        </is>
      </c>
      <c r="E1443" t="inlineStr">
        <is>
          <t>2</t>
        </is>
      </c>
      <c r="F1443" t="inlineStr">
        <is>
          <t>60</t>
        </is>
      </c>
      <c r="G1443" t="inlineStr">
        <is>
          <t>0</t>
        </is>
      </c>
      <c r="H1443" t="inlineStr">
        <is>
          <t>6</t>
        </is>
      </c>
      <c r="I1443" t="inlineStr">
        <is>
          <t>30⁴</t>
        </is>
      </c>
      <c r="J1443" t="n">
        <v>4</v>
      </c>
      <c r="K1443" t="inlineStr">
        <is>
          <t>8¹⁵</t>
        </is>
      </c>
      <c r="L1443" t="inlineStr">
        <is>
          <t>30B¹, 15E²</t>
        </is>
      </c>
      <c r="M1443" t="inlineStr">
        <is>
          <t>30O¹³, 30F²²</t>
        </is>
      </c>
      <c r="N1443" t="inlineStr">
        <is>
          <t>2A⁰, 15E², 5A⁰, 10A⁰, 30B¹, 1A⁰, 15A⁰</t>
        </is>
      </c>
      <c r="O1443" t="inlineStr">
        <is>
          <t>30O¹³, 30F²²</t>
        </is>
      </c>
    </row>
    <row r="1444">
      <c r="A1444">
        <f>HYPERLINK("https://mathstats.uncg.edu/sites/pauli/congruence/csg7.html#group30P7", "30P⁷")</f>
        <v/>
      </c>
      <c r="B1444" t="n">
        <v>7</v>
      </c>
      <c r="C1444" t="inlineStr"/>
      <c r="D1444" t="inlineStr">
        <is>
          <t>135</t>
        </is>
      </c>
      <c r="E1444" t="inlineStr">
        <is>
          <t>1</t>
        </is>
      </c>
      <c r="F1444" t="inlineStr">
        <is>
          <t>15</t>
        </is>
      </c>
      <c r="G1444" t="inlineStr">
        <is>
          <t>9</t>
        </is>
      </c>
      <c r="H1444" t="inlineStr">
        <is>
          <t>0</t>
        </is>
      </c>
      <c r="I1444" t="inlineStr">
        <is>
          <t>15³, 30³</t>
        </is>
      </c>
      <c r="J1444" t="n">
        <v>6</v>
      </c>
      <c r="K1444" t="inlineStr">
        <is>
          <t>1³, 4³</t>
        </is>
      </c>
      <c r="L1444" t="inlineStr">
        <is>
          <t>10I¹, 15F¹, 30D³, 30E³</t>
        </is>
      </c>
      <c r="M1444" t="inlineStr">
        <is>
          <t>30F¹⁵, 30B¹⁶, 30C¹⁶, 30D¹⁶, 30E¹⁶, 60D¹⁶, 60E¹⁶, 60F¹⁶, 30F¹⁷, 60M¹⁷, 60J¹⁸, 30A¹⁹, 60H¹⁹, 60I¹⁹, 60J¹⁹</t>
        </is>
      </c>
      <c r="N1444" t="inlineStr">
        <is>
          <t>30D³, 5A⁰, 10I¹, 30E³, 10B¹, 6D⁰, 15F¹, 5E⁰, 2B⁰, 3A⁰, 1A⁰, 15A¹, 15A⁰</t>
        </is>
      </c>
      <c r="O1444" t="inlineStr">
        <is>
          <t>30D¹⁶, 30C¹⁶, 60M¹⁷, 60J¹⁸, 60H¹⁹, 30A¹⁹, 60D¹⁶, 30F¹⁷, 60I¹⁹, 60F¹⁶, 30B¹⁶, 60E¹⁶, 60J¹⁹, 30E¹⁶, 30F¹⁵</t>
        </is>
      </c>
    </row>
    <row r="1445">
      <c r="A1445">
        <f>HYPERLINK("https://mathstats.uncg.edu/sites/pauli/congruence/csg7.html#group30Q7", "30Q⁷")</f>
        <v/>
      </c>
      <c r="B1445" t="n">
        <v>7</v>
      </c>
      <c r="C1445" t="inlineStr"/>
      <c r="D1445" t="inlineStr">
        <is>
          <t>144</t>
        </is>
      </c>
      <c r="E1445" t="inlineStr">
        <is>
          <t>1</t>
        </is>
      </c>
      <c r="F1445" t="inlineStr">
        <is>
          <t>24</t>
        </is>
      </c>
      <c r="G1445" t="inlineStr">
        <is>
          <t>0</t>
        </is>
      </c>
      <c r="H1445" t="inlineStr">
        <is>
          <t>0</t>
        </is>
      </c>
      <c r="I1445" t="inlineStr">
        <is>
          <t>2³, 6³, 10³, 30³</t>
        </is>
      </c>
      <c r="J1445" t="n">
        <v>12</v>
      </c>
      <c r="K1445" t="inlineStr">
        <is>
          <t>1⁴, 2², 4², 8¹</t>
        </is>
      </c>
      <c r="L1445" t="inlineStr">
        <is>
          <t>6I⁰, 10G¹, 30G³, 30K³</t>
        </is>
      </c>
      <c r="M1445" t="inlineStr">
        <is>
          <t>30P¹³, 60AA¹⁵, 60AB¹⁵, 60S¹⁷, 60T¹⁷, 60K¹⁹, 60L¹⁹</t>
        </is>
      </c>
      <c r="N1445" t="inlineStr">
        <is>
          <t>3B⁰, 2A⁰, 6I⁰, 6C⁰, 5B⁰, 10A¹, 2B⁰, 30G³, 1A⁰, 15C¹, 10C⁰, 30K³, 6F⁰, 2C⁰, 10G¹</t>
        </is>
      </c>
      <c r="O1445" t="inlineStr">
        <is>
          <t>60T¹⁷, 60AB¹⁵, 60AA¹⁵, 60S¹⁷, 60L¹⁹, 30P¹³, 60K¹⁹</t>
        </is>
      </c>
    </row>
    <row r="1446">
      <c r="A1446">
        <f>HYPERLINK("https://mathstats.uncg.edu/sites/pauli/congruence/csg7.html#group30R7", "30R⁷")</f>
        <v/>
      </c>
      <c r="B1446" t="n">
        <v>7</v>
      </c>
      <c r="C1446" t="inlineStr"/>
      <c r="D1446" t="inlineStr">
        <is>
          <t>144</t>
        </is>
      </c>
      <c r="E1446" t="inlineStr">
        <is>
          <t>1</t>
        </is>
      </c>
      <c r="F1446" t="inlineStr">
        <is>
          <t>36</t>
        </is>
      </c>
      <c r="G1446" t="inlineStr">
        <is>
          <t>8</t>
        </is>
      </c>
      <c r="H1446" t="inlineStr">
        <is>
          <t>0</t>
        </is>
      </c>
      <c r="I1446" t="inlineStr">
        <is>
          <t>6⁴, 30⁴</t>
        </is>
      </c>
      <c r="J1446" t="n">
        <v>8</v>
      </c>
      <c r="K1446" t="inlineStr">
        <is>
          <t>2⁶, 8³</t>
        </is>
      </c>
      <c r="L1446" t="inlineStr">
        <is>
          <t>15H¹</t>
        </is>
      </c>
      <c r="M1446" t="inlineStr">
        <is>
          <t>30Q¹³, 30G¹⁷, 30I¹⁷, 30L²³</t>
        </is>
      </c>
      <c r="N1446" t="inlineStr">
        <is>
          <t>15B⁰, 15E¹, 5B⁰, 3C⁰, 3A⁰, 15H¹, 1A⁰, 15C⁰</t>
        </is>
      </c>
      <c r="O1446" t="inlineStr">
        <is>
          <t>30L²³, 30I¹⁷, 30G¹⁷, 30Q¹³</t>
        </is>
      </c>
    </row>
    <row r="1447">
      <c r="A1447">
        <f>HYPERLINK("https://mathstats.uncg.edu/sites/pauli/congruence/csg7.html#group30S7", "30S⁷")</f>
        <v/>
      </c>
      <c r="B1447" t="n">
        <v>7</v>
      </c>
      <c r="C1447" t="inlineStr"/>
      <c r="D1447" t="inlineStr">
        <is>
          <t>144</t>
        </is>
      </c>
      <c r="E1447" t="inlineStr">
        <is>
          <t>1</t>
        </is>
      </c>
      <c r="F1447" t="inlineStr">
        <is>
          <t>72</t>
        </is>
      </c>
      <c r="G1447" t="inlineStr">
        <is>
          <t>0</t>
        </is>
      </c>
      <c r="H1447" t="inlineStr">
        <is>
          <t>0</t>
        </is>
      </c>
      <c r="I1447" t="inlineStr">
        <is>
          <t>2³, 6³, 10³, 30³</t>
        </is>
      </c>
      <c r="J1447" t="n">
        <v>12</v>
      </c>
      <c r="K1447" t="inlineStr">
        <is>
          <t>1¹², 2⁶, 4⁶, 8³</t>
        </is>
      </c>
      <c r="L1447" t="inlineStr">
        <is>
          <t>10G⁰, 30F³, 30K³</t>
        </is>
      </c>
      <c r="M1447" t="inlineStr">
        <is>
          <t>30P¹³, 60AF¹⁵, 60P¹⁷, 60R¹⁷, 60O¹⁹</t>
        </is>
      </c>
      <c r="N1447" t="inlineStr">
        <is>
          <t>15C¹, 3B⁰, 30F³, 10G⁰, 5B⁰, 10C⁰, 6F⁰, 2B⁰, 30K³, 1A⁰, 10B⁰</t>
        </is>
      </c>
      <c r="O1447" t="inlineStr">
        <is>
          <t>60R¹⁷, 60O¹⁹, 60P¹⁷, 60AF¹⁵, 30P¹³</t>
        </is>
      </c>
    </row>
    <row r="1448">
      <c r="A1448">
        <f>HYPERLINK("https://mathstats.uncg.edu/sites/pauli/congruence/csg7.html#group32A7", "32A⁷")</f>
        <v/>
      </c>
      <c r="B1448" t="n">
        <v>7</v>
      </c>
      <c r="C1448" t="inlineStr"/>
      <c r="D1448" t="inlineStr">
        <is>
          <t>96</t>
        </is>
      </c>
      <c r="E1448" t="inlineStr">
        <is>
          <t>1</t>
        </is>
      </c>
      <c r="F1448" t="inlineStr">
        <is>
          <t>6</t>
        </is>
      </c>
      <c r="G1448" t="inlineStr">
        <is>
          <t>0</t>
        </is>
      </c>
      <c r="H1448" t="inlineStr">
        <is>
          <t>0</t>
        </is>
      </c>
      <c r="I1448" t="inlineStr">
        <is>
          <t>16², 32²</t>
        </is>
      </c>
      <c r="J1448" t="n">
        <v>4</v>
      </c>
      <c r="K1448" t="inlineStr">
        <is>
          <t>1², 2²</t>
        </is>
      </c>
      <c r="L1448" t="inlineStr">
        <is>
          <t>16F¹, 32D³</t>
        </is>
      </c>
      <c r="M1448" t="inlineStr">
        <is>
          <t>32B¹³, 32I¹³, 32J¹³, 32K¹³, 96A²³</t>
        </is>
      </c>
      <c r="N1448" t="inlineStr">
        <is>
          <t>8D⁰, 4C⁰, 8B⁰, 16B¹, 2B⁰, 1A⁰, 16B⁰, 8H⁰, 4A⁰, 32D³, 4F⁰, 16F¹</t>
        </is>
      </c>
      <c r="O1448" t="inlineStr">
        <is>
          <t>32B¹³, 32K¹³, 32I¹³, 32J¹³, 96A²³</t>
        </is>
      </c>
    </row>
    <row r="1449">
      <c r="A1449">
        <f>HYPERLINK("https://mathstats.uncg.edu/sites/pauli/congruence/csg7.html#group32B7", "32B⁷")</f>
        <v/>
      </c>
      <c r="B1449" t="n">
        <v>7</v>
      </c>
      <c r="C1449" t="inlineStr"/>
      <c r="D1449" t="inlineStr">
        <is>
          <t>96</t>
        </is>
      </c>
      <c r="E1449" t="inlineStr">
        <is>
          <t>1</t>
        </is>
      </c>
      <c r="F1449" t="inlineStr">
        <is>
          <t>6</t>
        </is>
      </c>
      <c r="G1449" t="inlineStr">
        <is>
          <t>0</t>
        </is>
      </c>
      <c r="H1449" t="inlineStr">
        <is>
          <t>0</t>
        </is>
      </c>
      <c r="I1449" t="inlineStr">
        <is>
          <t>16², 32²</t>
        </is>
      </c>
      <c r="J1449" t="n">
        <v>4</v>
      </c>
      <c r="K1449" t="inlineStr">
        <is>
          <t>1⁴, 2¹</t>
        </is>
      </c>
      <c r="L1449" t="inlineStr">
        <is>
          <t>16D³, 32E³</t>
        </is>
      </c>
      <c r="M1449" t="inlineStr">
        <is>
          <t>32C¹³, 32D¹³, 32G¹³, 64A¹⁵, 64B¹⁵, 96B²³</t>
        </is>
      </c>
      <c r="N1449" t="inlineStr">
        <is>
          <t>2A⁰, 16D³, 8A¹, 4C⁰, 8B⁰, 2B⁰, 8B¹, 4E⁰, 4B⁰, 1A⁰, 16D¹, 16B², 32E³, 2C⁰</t>
        </is>
      </c>
      <c r="O1449" t="inlineStr">
        <is>
          <t>32D¹³, 64B¹⁵, 64A¹⁵, 96B²³, 32C¹³, 32G¹³</t>
        </is>
      </c>
    </row>
    <row r="1450">
      <c r="A1450">
        <f>HYPERLINK("https://mathstats.uncg.edu/sites/pauli/congruence/csg7.html#group32C7", "32C⁷")</f>
        <v/>
      </c>
      <c r="B1450" t="n">
        <v>7</v>
      </c>
      <c r="C1450" t="inlineStr"/>
      <c r="D1450" t="inlineStr">
        <is>
          <t>96</t>
        </is>
      </c>
      <c r="E1450" t="inlineStr">
        <is>
          <t>1</t>
        </is>
      </c>
      <c r="F1450" t="inlineStr">
        <is>
          <t>6</t>
        </is>
      </c>
      <c r="G1450" t="inlineStr">
        <is>
          <t>0</t>
        </is>
      </c>
      <c r="H1450" t="inlineStr">
        <is>
          <t>0</t>
        </is>
      </c>
      <c r="I1450" t="inlineStr">
        <is>
          <t>16², 32²</t>
        </is>
      </c>
      <c r="J1450" t="n">
        <v>4</v>
      </c>
      <c r="K1450" t="inlineStr">
        <is>
          <t>1⁴, 2¹</t>
        </is>
      </c>
      <c r="L1450" t="inlineStr">
        <is>
          <t>16D³, 32G³</t>
        </is>
      </c>
      <c r="M1450" t="inlineStr">
        <is>
          <t>32C¹³, 32E¹³, 32H¹³, 64D¹⁵, 64C¹⁵, 96C²³</t>
        </is>
      </c>
      <c r="N1450" t="inlineStr">
        <is>
          <t>2A⁰, 16D³, 16D¹, 16B², 8A¹, 4C⁰, 8B⁰, 2B⁰, 8B¹, 32G³, 4E⁰, 4B⁰, 1A⁰, 2C⁰</t>
        </is>
      </c>
      <c r="O1450" t="inlineStr">
        <is>
          <t>96C²³, 32H¹³, 64C¹⁵, 64D¹⁵, 32E¹³, 32C¹³</t>
        </is>
      </c>
    </row>
    <row r="1451">
      <c r="A1451">
        <f>HYPERLINK("https://mathstats.uncg.edu/sites/pauli/congruence/csg7.html#group32D7", "32D⁷")</f>
        <v/>
      </c>
      <c r="B1451" t="n">
        <v>7</v>
      </c>
      <c r="C1451" t="inlineStr"/>
      <c r="D1451" t="inlineStr">
        <is>
          <t>96</t>
        </is>
      </c>
      <c r="E1451" t="inlineStr">
        <is>
          <t>1</t>
        </is>
      </c>
      <c r="F1451" t="inlineStr">
        <is>
          <t>6</t>
        </is>
      </c>
      <c r="G1451" t="inlineStr">
        <is>
          <t>0</t>
        </is>
      </c>
      <c r="H1451" t="inlineStr">
        <is>
          <t>0</t>
        </is>
      </c>
      <c r="I1451" t="inlineStr">
        <is>
          <t>16², 32²</t>
        </is>
      </c>
      <c r="J1451" t="n">
        <v>4</v>
      </c>
      <c r="K1451" t="inlineStr">
        <is>
          <t>1⁴, 2¹</t>
        </is>
      </c>
      <c r="L1451" t="inlineStr">
        <is>
          <t>16D³, 32F³, 32A⁴</t>
        </is>
      </c>
      <c r="M1451" t="inlineStr">
        <is>
          <t>32E¹³, 32F¹³, 32G¹³, 64E¹⁵, 96D²³</t>
        </is>
      </c>
      <c r="N1451" t="inlineStr">
        <is>
          <t>2A⁰, 16D³, 8A¹, 4C⁰, 8B⁰, 2B⁰, 8B¹, 4E⁰, 32F³, 32A⁴, 4B⁰, 1A⁰, 16D¹, 16B², 2C⁰</t>
        </is>
      </c>
      <c r="O1451" t="inlineStr">
        <is>
          <t>96D²³, 32E¹³, 64E¹⁵, 32F¹³, 32G¹³</t>
        </is>
      </c>
    </row>
    <row r="1452">
      <c r="A1452">
        <f>HYPERLINK("https://mathstats.uncg.edu/sites/pauli/congruence/csg7.html#group32E7", "32E⁷")</f>
        <v/>
      </c>
      <c r="B1452" t="n">
        <v>7</v>
      </c>
      <c r="C1452" t="inlineStr"/>
      <c r="D1452" t="inlineStr">
        <is>
          <t>96</t>
        </is>
      </c>
      <c r="E1452" t="inlineStr">
        <is>
          <t>1</t>
        </is>
      </c>
      <c r="F1452" t="inlineStr">
        <is>
          <t>6</t>
        </is>
      </c>
      <c r="G1452" t="inlineStr">
        <is>
          <t>0</t>
        </is>
      </c>
      <c r="H1452" t="inlineStr">
        <is>
          <t>0</t>
        </is>
      </c>
      <c r="I1452" t="inlineStr">
        <is>
          <t>16², 32²</t>
        </is>
      </c>
      <c r="J1452" t="n">
        <v>4</v>
      </c>
      <c r="K1452" t="inlineStr">
        <is>
          <t>1⁴, 2¹</t>
        </is>
      </c>
      <c r="L1452" t="inlineStr">
        <is>
          <t>16D³, 32H³, 32B⁴</t>
        </is>
      </c>
      <c r="M1452" t="inlineStr">
        <is>
          <t>32D¹³, 32F¹³, 32H¹³, 64F¹⁵, 96E²³</t>
        </is>
      </c>
      <c r="N1452" t="inlineStr">
        <is>
          <t>2A⁰, 16D³, 8A¹, 4C⁰, 8B⁰, 2B⁰, 8B¹, 4E⁰, 4B⁰, 1A⁰, 32B⁴, 16D¹, 16B², 2C⁰, 32H³</t>
        </is>
      </c>
      <c r="O1452" t="inlineStr">
        <is>
          <t>32D¹³, 32H¹³, 64F¹⁵, 32F¹³, 96E²³</t>
        </is>
      </c>
    </row>
    <row r="1453">
      <c r="A1453">
        <f>HYPERLINK("https://mathstats.uncg.edu/sites/pauli/congruence/csg7.html#group32F7", "32F⁷")</f>
        <v/>
      </c>
      <c r="B1453" t="n">
        <v>7</v>
      </c>
      <c r="C1453" t="inlineStr"/>
      <c r="D1453" t="inlineStr">
        <is>
          <t>96</t>
        </is>
      </c>
      <c r="E1453" t="inlineStr">
        <is>
          <t>1</t>
        </is>
      </c>
      <c r="F1453" t="inlineStr">
        <is>
          <t>12</t>
        </is>
      </c>
      <c r="G1453" t="inlineStr">
        <is>
          <t>0</t>
        </is>
      </c>
      <c r="H1453" t="inlineStr">
        <is>
          <t>0</t>
        </is>
      </c>
      <c r="I1453" t="inlineStr">
        <is>
          <t>16², 32²</t>
        </is>
      </c>
      <c r="J1453" t="n">
        <v>4</v>
      </c>
      <c r="K1453" t="inlineStr">
        <is>
          <t>2⁶</t>
        </is>
      </c>
      <c r="L1453" t="inlineStr">
        <is>
          <t>16A³</t>
        </is>
      </c>
      <c r="M1453" t="inlineStr">
        <is>
          <t>32A¹³, 32L¹³, 96F²³</t>
        </is>
      </c>
      <c r="N1453" t="inlineStr">
        <is>
          <t>2A⁰, 8A¹, 4C⁰, 16A³, 8B⁰, 16B¹, 2B⁰, 8B¹, 4E⁰, 4B⁰, 1A⁰, 2C⁰</t>
        </is>
      </c>
      <c r="O1453" t="inlineStr">
        <is>
          <t>96F²³, 32L¹³, 32A¹³</t>
        </is>
      </c>
    </row>
    <row r="1454">
      <c r="A1454">
        <f>HYPERLINK("https://mathstats.uncg.edu/sites/pauli/congruence/csg7.html#group32G7", "32G⁷")</f>
        <v/>
      </c>
      <c r="B1454" t="n">
        <v>7</v>
      </c>
      <c r="C1454" t="inlineStr"/>
      <c r="D1454" t="inlineStr">
        <is>
          <t>96</t>
        </is>
      </c>
      <c r="E1454" t="inlineStr">
        <is>
          <t>1</t>
        </is>
      </c>
      <c r="F1454" t="inlineStr">
        <is>
          <t>12</t>
        </is>
      </c>
      <c r="G1454" t="inlineStr">
        <is>
          <t>0</t>
        </is>
      </c>
      <c r="H1454" t="inlineStr">
        <is>
          <t>0</t>
        </is>
      </c>
      <c r="I1454" t="inlineStr">
        <is>
          <t>16², 32²</t>
        </is>
      </c>
      <c r="J1454" t="n">
        <v>4</v>
      </c>
      <c r="K1454" t="inlineStr">
        <is>
          <t>2⁶</t>
        </is>
      </c>
      <c r="L1454" t="inlineStr">
        <is>
          <t>32B¹, 16B³, 32D³</t>
        </is>
      </c>
      <c r="M1454" t="inlineStr">
        <is>
          <t>32B¹³, 32M¹³, 96G²³</t>
        </is>
      </c>
      <c r="N1454" t="inlineStr">
        <is>
          <t>16B⁰, 2A⁰, 8A¹, 4C⁰, 16B³, 8B⁰, 32D³, 32B¹, 2B⁰, 8B¹, 4E⁰, 4B⁰, 1A⁰, 2C⁰, 16A²</t>
        </is>
      </c>
      <c r="O1454" t="inlineStr">
        <is>
          <t>32B¹³, 32M¹³, 96G²³</t>
        </is>
      </c>
    </row>
    <row r="1455">
      <c r="A1455">
        <f>HYPERLINK("https://mathstats.uncg.edu/sites/pauli/congruence/csg7.html#group32H7", "32H⁷")</f>
        <v/>
      </c>
      <c r="B1455" t="n">
        <v>7</v>
      </c>
      <c r="C1455" t="inlineStr"/>
      <c r="D1455" t="inlineStr">
        <is>
          <t>96</t>
        </is>
      </c>
      <c r="E1455" t="inlineStr">
        <is>
          <t>1</t>
        </is>
      </c>
      <c r="F1455" t="inlineStr">
        <is>
          <t>12</t>
        </is>
      </c>
      <c r="G1455" t="inlineStr">
        <is>
          <t>0</t>
        </is>
      </c>
      <c r="H1455" t="inlineStr">
        <is>
          <t>0</t>
        </is>
      </c>
      <c r="I1455" t="inlineStr">
        <is>
          <t>16², 32²</t>
        </is>
      </c>
      <c r="J1455" t="n">
        <v>4</v>
      </c>
      <c r="K1455" t="inlineStr">
        <is>
          <t>1⁴, 2², 4¹</t>
        </is>
      </c>
      <c r="L1455" t="inlineStr">
        <is>
          <t>16J¹, 32D³</t>
        </is>
      </c>
      <c r="M1455" t="inlineStr">
        <is>
          <t>32K¹³, 32M¹³, 32N¹³, 32O¹³, 96H²³</t>
        </is>
      </c>
      <c r="N1455" t="inlineStr">
        <is>
          <t>16B⁰, 16D¹, 4C⁰, 8B⁰, 32D³, 8L⁰, 2B⁰, 16J¹, 1A⁰</t>
        </is>
      </c>
      <c r="O1455" t="inlineStr">
        <is>
          <t>32K¹³, 32O¹³, 32N¹³, 32M¹³, 96H²³</t>
        </is>
      </c>
    </row>
    <row r="1456">
      <c r="A1456">
        <f>HYPERLINK("https://mathstats.uncg.edu/sites/pauli/congruence/csg7.html#group32I7", "32I⁷")</f>
        <v/>
      </c>
      <c r="B1456" t="n">
        <v>7</v>
      </c>
      <c r="C1456" t="inlineStr"/>
      <c r="D1456" t="inlineStr">
        <is>
          <t>96</t>
        </is>
      </c>
      <c r="E1456" t="inlineStr">
        <is>
          <t>1</t>
        </is>
      </c>
      <c r="F1456" t="inlineStr">
        <is>
          <t>24</t>
        </is>
      </c>
      <c r="G1456" t="inlineStr">
        <is>
          <t>0</t>
        </is>
      </c>
      <c r="H1456" t="inlineStr">
        <is>
          <t>0</t>
        </is>
      </c>
      <c r="I1456" t="inlineStr">
        <is>
          <t>16², 32²</t>
        </is>
      </c>
      <c r="J1456" t="n">
        <v>4</v>
      </c>
      <c r="K1456" t="inlineStr">
        <is>
          <t>2⁸, 8¹</t>
        </is>
      </c>
      <c r="L1456" t="inlineStr">
        <is>
          <t>16F³, 32E³, 32F³</t>
        </is>
      </c>
      <c r="M1456" t="inlineStr">
        <is>
          <t>32G¹³, 32Q¹³, 64G¹⁵, 64H¹⁵, 96M²³</t>
        </is>
      </c>
      <c r="N1456" t="inlineStr">
        <is>
          <t>16D¹, 16F³, 4C⁰, 8B⁰, 32E³, 2B⁰, 8L⁰, 32F³, 1A⁰, 16A²</t>
        </is>
      </c>
      <c r="O1456" t="inlineStr">
        <is>
          <t>32G¹³, 64G¹⁵, 32Q¹³, 64H¹⁵, 96M²³</t>
        </is>
      </c>
    </row>
    <row r="1457">
      <c r="A1457">
        <f>HYPERLINK("https://mathstats.uncg.edu/sites/pauli/congruence/csg7.html#group32J7", "32J⁷")</f>
        <v/>
      </c>
      <c r="B1457" t="n">
        <v>7</v>
      </c>
      <c r="C1457" t="inlineStr"/>
      <c r="D1457" t="inlineStr">
        <is>
          <t>96</t>
        </is>
      </c>
      <c r="E1457" t="inlineStr">
        <is>
          <t>1</t>
        </is>
      </c>
      <c r="F1457" t="inlineStr">
        <is>
          <t>24</t>
        </is>
      </c>
      <c r="G1457" t="inlineStr">
        <is>
          <t>0</t>
        </is>
      </c>
      <c r="H1457" t="inlineStr">
        <is>
          <t>0</t>
        </is>
      </c>
      <c r="I1457" t="inlineStr">
        <is>
          <t>16², 32²</t>
        </is>
      </c>
      <c r="J1457" t="n">
        <v>4</v>
      </c>
      <c r="K1457" t="inlineStr">
        <is>
          <t>2⁸, 8¹</t>
        </is>
      </c>
      <c r="L1457" t="inlineStr">
        <is>
          <t>16F³, 32G³, 32H³</t>
        </is>
      </c>
      <c r="M1457" t="inlineStr">
        <is>
          <t>32H¹³, 32Q¹³, 64J¹⁵, 64I¹⁵, 96N²³</t>
        </is>
      </c>
      <c r="N1457" t="inlineStr">
        <is>
          <t>16D¹, 16F³, 4C⁰, 8B⁰, 8L⁰, 2B⁰, 32G³, 1A⁰, 32H³, 16A²</t>
        </is>
      </c>
      <c r="O1457" t="inlineStr">
        <is>
          <t>64I¹⁵, 96N²³, 32H¹³, 64J¹⁵, 32Q¹³</t>
        </is>
      </c>
    </row>
    <row r="1458">
      <c r="A1458">
        <f>HYPERLINK("https://mathstats.uncg.edu/sites/pauli/congruence/csg7.html#group32K7", "32K⁷")</f>
        <v/>
      </c>
      <c r="B1458" t="n">
        <v>7</v>
      </c>
      <c r="C1458" t="inlineStr"/>
      <c r="D1458" t="inlineStr">
        <is>
          <t>96</t>
        </is>
      </c>
      <c r="E1458" t="inlineStr">
        <is>
          <t>2</t>
        </is>
      </c>
      <c r="F1458" t="inlineStr">
        <is>
          <t>24</t>
        </is>
      </c>
      <c r="G1458" t="inlineStr">
        <is>
          <t>0</t>
        </is>
      </c>
      <c r="H1458" t="inlineStr">
        <is>
          <t>0</t>
        </is>
      </c>
      <c r="I1458" t="inlineStr">
        <is>
          <t>16², 32²</t>
        </is>
      </c>
      <c r="J1458" t="n">
        <v>4</v>
      </c>
      <c r="K1458" t="inlineStr">
        <is>
          <t>2⁸, 4⁴, 8²</t>
        </is>
      </c>
      <c r="L1458" t="inlineStr">
        <is>
          <t>16E³, 32B⁴, 32A⁴</t>
        </is>
      </c>
      <c r="M1458" t="inlineStr">
        <is>
          <t>32F¹³, 32P¹³, 64K¹⁵, 64L¹⁵, 96AC²³</t>
        </is>
      </c>
      <c r="N1458" t="inlineStr">
        <is>
          <t>16B², 8A¹, 8C¹, 8D⁰, 4A⁰, 4C⁰, 2B⁰, 4F⁰, 32A⁴, 1A⁰, 32B⁴, 16E³</t>
        </is>
      </c>
      <c r="O1458" t="inlineStr">
        <is>
          <t>96AC²³, 32P¹³, 32F¹³, 64K¹⁵, 64L¹⁵</t>
        </is>
      </c>
    </row>
    <row r="1459">
      <c r="A1459">
        <f>HYPERLINK("https://mathstats.uncg.edu/sites/pauli/congruence/csg7.html#group32L7", "32L⁷")</f>
        <v/>
      </c>
      <c r="B1459" t="n">
        <v>7</v>
      </c>
      <c r="C1459" t="inlineStr"/>
      <c r="D1459" t="inlineStr">
        <is>
          <t>192</t>
        </is>
      </c>
      <c r="E1459" t="inlineStr">
        <is>
          <t>1</t>
        </is>
      </c>
      <c r="F1459" t="inlineStr">
        <is>
          <t>6</t>
        </is>
      </c>
      <c r="G1459" t="inlineStr">
        <is>
          <t>0</t>
        </is>
      </c>
      <c r="H1459" t="inlineStr">
        <is>
          <t>0</t>
        </is>
      </c>
      <c r="I1459" t="inlineStr">
        <is>
          <t>4¹⁶, 32⁴</t>
        </is>
      </c>
      <c r="J1459" t="n">
        <v>20</v>
      </c>
      <c r="K1459" t="inlineStr">
        <is>
          <t>1², 2²</t>
        </is>
      </c>
      <c r="L1459" t="inlineStr">
        <is>
          <t>32B², 16I³, 32P³, 32Q³, 32C⁴</t>
        </is>
      </c>
      <c r="M1459" t="inlineStr">
        <is>
          <t>32T¹³, 64A¹⁹, 32D²¹, 32E²¹</t>
        </is>
      </c>
      <c r="N1459" t="inlineStr">
        <is>
          <t>16G⁰, 2A⁰, 16I¹, 4C⁰, 32D¹, 8C⁰, 4E⁰, 2B⁰, 4G⁰, 4B⁰, 8F¹, 1A⁰, 32Q³, 16E⁰, 8G⁰, 4D⁰, 16D², 8A¹, 32C⁴, 16C², 8D⁰, 8B⁰, 8B¹, 16I³, 8H⁰, 32B², 32C¹, 8C¹, 4A⁰, 16D⁰, 16C¹, 4F⁰, 32P³, 2C⁰</t>
        </is>
      </c>
      <c r="O1459" t="inlineStr">
        <is>
          <t>32E²¹, 64A¹⁹, 32D²¹, 32T¹³</t>
        </is>
      </c>
    </row>
    <row r="1460">
      <c r="A1460">
        <f>HYPERLINK("https://mathstats.uncg.edu/sites/pauli/congruence/csg7.html#group32M7", "32M⁷")</f>
        <v/>
      </c>
      <c r="B1460" t="n">
        <v>7</v>
      </c>
      <c r="C1460" t="inlineStr"/>
      <c r="D1460" t="inlineStr">
        <is>
          <t>192</t>
        </is>
      </c>
      <c r="E1460" t="inlineStr">
        <is>
          <t>1</t>
        </is>
      </c>
      <c r="F1460" t="inlineStr">
        <is>
          <t>24</t>
        </is>
      </c>
      <c r="G1460" t="inlineStr">
        <is>
          <t>0</t>
        </is>
      </c>
      <c r="H1460" t="inlineStr">
        <is>
          <t>0</t>
        </is>
      </c>
      <c r="I1460" t="inlineStr">
        <is>
          <t>2⁸, 4⁴, 8⁴, 32⁴</t>
        </is>
      </c>
      <c r="J1460" t="n">
        <v>20</v>
      </c>
      <c r="K1460" t="inlineStr">
        <is>
          <t>1⁴, 2², 4², 8¹</t>
        </is>
      </c>
      <c r="L1460" t="inlineStr">
        <is>
          <t>16J², 32C², 32M³</t>
        </is>
      </c>
      <c r="M1460" t="inlineStr">
        <is>
          <t>32U¹³, 32B¹⁹, 64B¹⁹, 64J²¹, 64K²¹</t>
        </is>
      </c>
      <c r="N1460" t="inlineStr">
        <is>
          <t>32A¹, 32C², 16C⁰, 16D⁰, 32M³, 8C⁰, 2B⁰, 8I⁰, 32A², 4B⁰, 1A⁰, 16J², 16H⁰</t>
        </is>
      </c>
      <c r="O1460" t="inlineStr">
        <is>
          <t>64J²¹, 64B¹⁹, 32B¹⁹, 64K²¹, 32U¹³</t>
        </is>
      </c>
    </row>
    <row r="1461">
      <c r="A1461">
        <f>HYPERLINK("https://mathstats.uncg.edu/sites/pauli/congruence/csg7.html#group33A7", "33A⁷")</f>
        <v/>
      </c>
      <c r="B1461" t="n">
        <v>7</v>
      </c>
      <c r="C1461" t="inlineStr"/>
      <c r="D1461" t="inlineStr">
        <is>
          <t>165</t>
        </is>
      </c>
      <c r="E1461" t="inlineStr">
        <is>
          <t>1</t>
        </is>
      </c>
      <c r="F1461" t="inlineStr">
        <is>
          <t>55</t>
        </is>
      </c>
      <c r="G1461" t="inlineStr">
        <is>
          <t>21</t>
        </is>
      </c>
      <c r="H1461" t="inlineStr">
        <is>
          <t>0</t>
        </is>
      </c>
      <c r="I1461" t="inlineStr">
        <is>
          <t>33⁵</t>
        </is>
      </c>
      <c r="J1461" t="n">
        <v>5</v>
      </c>
      <c r="K1461" t="inlineStr">
        <is>
          <t>5¹, 10⁵</t>
        </is>
      </c>
      <c r="L1461" t="inlineStr">
        <is>
          <t>3A⁰, 11C¹</t>
        </is>
      </c>
      <c r="M1461" t="inlineStr">
        <is>
          <t>33C¹⁷, 66B¹⁷, 33A¹⁸, 33A¹⁹, 66D¹⁹, 33A²⁰, 66B²⁰, 66E²¹, 33A²², 66D²²</t>
        </is>
      </c>
      <c r="N1461" t="inlineStr">
        <is>
          <t>3A⁰, 11C¹, 1A⁰</t>
        </is>
      </c>
      <c r="O1461" t="inlineStr">
        <is>
          <t>66D¹⁹, 66B²⁰, 33A¹⁹, 33C¹⁷, 66D²², 33A²², 33A¹⁸, 66B¹⁷, 33A²⁰, 66E²¹</t>
        </is>
      </c>
    </row>
    <row r="1462">
      <c r="A1462">
        <f>HYPERLINK("https://mathstats.uncg.edu/sites/pauli/congruence/csg7.html#group34A7", "34A⁷")</f>
        <v/>
      </c>
      <c r="B1462" t="n">
        <v>7</v>
      </c>
      <c r="C1462" t="inlineStr"/>
      <c r="D1462" t="inlineStr">
        <is>
          <t>108</t>
        </is>
      </c>
      <c r="E1462" t="inlineStr">
        <is>
          <t>1</t>
        </is>
      </c>
      <c r="F1462" t="inlineStr">
        <is>
          <t>18</t>
        </is>
      </c>
      <c r="G1462" t="inlineStr">
        <is>
          <t>0</t>
        </is>
      </c>
      <c r="H1462" t="inlineStr">
        <is>
          <t>0</t>
        </is>
      </c>
      <c r="I1462" t="inlineStr">
        <is>
          <t>2³, 34³</t>
        </is>
      </c>
      <c r="J1462" t="n">
        <v>6</v>
      </c>
      <c r="K1462" t="inlineStr">
        <is>
          <t>1², 16¹</t>
        </is>
      </c>
      <c r="L1462" t="inlineStr">
        <is>
          <t>2C⁰, 34B³, 34C³</t>
        </is>
      </c>
      <c r="M1462" t="inlineStr">
        <is>
          <t>34C¹³, 68A¹⁵, 68D¹⁵</t>
        </is>
      </c>
      <c r="N1462" t="inlineStr">
        <is>
          <t>2A⁰, 34C³, 17A¹, 2B⁰, 34B³, 1A⁰, 2C⁰</t>
        </is>
      </c>
      <c r="O1462" t="inlineStr">
        <is>
          <t>68A¹⁵, 68D¹⁵, 34C¹³</t>
        </is>
      </c>
    </row>
    <row r="1463">
      <c r="A1463">
        <f>HYPERLINK("https://mathstats.uncg.edu/sites/pauli/congruence/csg7.html#group34B7", "34B⁷")</f>
        <v/>
      </c>
      <c r="B1463" t="n">
        <v>7</v>
      </c>
      <c r="C1463" t="inlineStr"/>
      <c r="D1463" t="inlineStr">
        <is>
          <t>108</t>
        </is>
      </c>
      <c r="E1463" t="inlineStr">
        <is>
          <t>1</t>
        </is>
      </c>
      <c r="F1463" t="inlineStr">
        <is>
          <t>54</t>
        </is>
      </c>
      <c r="G1463" t="inlineStr">
        <is>
          <t>0</t>
        </is>
      </c>
      <c r="H1463" t="inlineStr">
        <is>
          <t>0</t>
        </is>
      </c>
      <c r="I1463" t="inlineStr">
        <is>
          <t>2³, 34³</t>
        </is>
      </c>
      <c r="J1463" t="n">
        <v>6</v>
      </c>
      <c r="K1463" t="inlineStr">
        <is>
          <t>1⁶, 16³</t>
        </is>
      </c>
      <c r="L1463" t="inlineStr">
        <is>
          <t>34A³, 34C³</t>
        </is>
      </c>
      <c r="M1463" t="inlineStr">
        <is>
          <t>34C¹³, 68B¹⁵, 68C¹⁵</t>
        </is>
      </c>
      <c r="N1463" t="inlineStr">
        <is>
          <t>17A¹, 2B⁰, 34C³, 1A⁰, 34A³</t>
        </is>
      </c>
      <c r="O1463" t="inlineStr">
        <is>
          <t>68B¹⁵, 34C¹³, 68C¹⁵</t>
        </is>
      </c>
    </row>
    <row r="1464">
      <c r="A1464">
        <f>HYPERLINK("https://mathstats.uncg.edu/sites/pauli/congruence/csg7.html#group35A7", "35A⁷")</f>
        <v/>
      </c>
      <c r="B1464" t="n">
        <v>7</v>
      </c>
      <c r="C1464" t="inlineStr"/>
      <c r="D1464" t="inlineStr">
        <is>
          <t>105</t>
        </is>
      </c>
      <c r="E1464" t="inlineStr">
        <is>
          <t>1</t>
        </is>
      </c>
      <c r="F1464" t="inlineStr">
        <is>
          <t>105</t>
        </is>
      </c>
      <c r="G1464" t="inlineStr">
        <is>
          <t>5</t>
        </is>
      </c>
      <c r="H1464" t="inlineStr">
        <is>
          <t>0</t>
        </is>
      </c>
      <c r="I1464" t="inlineStr">
        <is>
          <t>35³</t>
        </is>
      </c>
      <c r="J1464" t="n">
        <v>3</v>
      </c>
      <c r="K1464" t="inlineStr">
        <is>
          <t>3¹, 6³, 12¹, 24³</t>
        </is>
      </c>
      <c r="L1464" t="inlineStr">
        <is>
          <t>7D⁰, 35A²</t>
        </is>
      </c>
      <c r="M1464" t="inlineStr">
        <is>
          <t>35B¹⁴, 35A¹⁵, 70A¹⁵, 70B¹⁶, 70A¹⁷, 35C¹⁹, 105B²², 105C²², 70A²³</t>
        </is>
      </c>
      <c r="N1464" t="inlineStr">
        <is>
          <t>5A⁰, 7D⁰, 1A⁰, 35A², 7A⁰</t>
        </is>
      </c>
      <c r="O1464" t="inlineStr">
        <is>
          <t>105C²², 35C¹⁹, 70A¹⁷, 35A¹⁵, 70A¹⁵, 105B²², 70A²³, 70B¹⁶, 35B¹⁴</t>
        </is>
      </c>
    </row>
    <row r="1465">
      <c r="A1465">
        <f>HYPERLINK("https://mathstats.uncg.edu/sites/pauli/congruence/csg7.html#group35B7", "35B⁷")</f>
        <v/>
      </c>
      <c r="B1465" t="n">
        <v>7</v>
      </c>
      <c r="C1465" t="inlineStr"/>
      <c r="D1465" t="inlineStr">
        <is>
          <t>144</t>
        </is>
      </c>
      <c r="E1465" t="inlineStr">
        <is>
          <t>1</t>
        </is>
      </c>
      <c r="F1465" t="inlineStr">
        <is>
          <t>48</t>
        </is>
      </c>
      <c r="G1465" t="inlineStr">
        <is>
          <t>0</t>
        </is>
      </c>
      <c r="H1465" t="inlineStr">
        <is>
          <t>0</t>
        </is>
      </c>
      <c r="I1465" t="inlineStr">
        <is>
          <t>1³, 5³, 7³, 35³</t>
        </is>
      </c>
      <c r="J1465" t="n">
        <v>12</v>
      </c>
      <c r="K1465" t="inlineStr">
        <is>
          <t>1⁴, 4², 6², 24¹</t>
        </is>
      </c>
      <c r="L1465" t="inlineStr">
        <is>
          <t>7E⁰, 35A³</t>
        </is>
      </c>
      <c r="M1465" t="inlineStr">
        <is>
          <t>35D¹³, 70E¹⁹, 70F¹⁹</t>
        </is>
      </c>
      <c r="N1465" t="inlineStr">
        <is>
          <t>5B⁰, 7B⁰, 7E⁰, 1A⁰, 35A³</t>
        </is>
      </c>
      <c r="O1465" t="inlineStr">
        <is>
          <t>35D¹³, 70F¹⁹, 70E¹⁹</t>
        </is>
      </c>
    </row>
    <row r="1466">
      <c r="A1466">
        <f>HYPERLINK("https://mathstats.uncg.edu/sites/pauli/congruence/csg7.html#group36A7", "36A⁷")</f>
        <v/>
      </c>
      <c r="B1466" t="n">
        <v>7</v>
      </c>
      <c r="C1466" t="inlineStr"/>
      <c r="D1466" t="inlineStr">
        <is>
          <t>96</t>
        </is>
      </c>
      <c r="E1466" t="inlineStr">
        <is>
          <t>1</t>
        </is>
      </c>
      <c r="F1466" t="inlineStr">
        <is>
          <t>16</t>
        </is>
      </c>
      <c r="G1466" t="inlineStr">
        <is>
          <t>0</t>
        </is>
      </c>
      <c r="H1466" t="inlineStr">
        <is>
          <t>0</t>
        </is>
      </c>
      <c r="I1466" t="inlineStr">
        <is>
          <t>12², 36²</t>
        </is>
      </c>
      <c r="J1466" t="n">
        <v>4</v>
      </c>
      <c r="K1466" t="inlineStr">
        <is>
          <t>2⁴, 4²</t>
        </is>
      </c>
      <c r="L1466" t="inlineStr">
        <is>
          <t>12I¹, 18B², 36C⁴</t>
        </is>
      </c>
      <c r="M1466" t="inlineStr">
        <is>
          <t>36A¹³, 72A¹⁵, 72B¹⁵, 36B¹⁹, 36E¹⁹, 36F¹⁹, 36I¹⁹, 36J¹⁹</t>
        </is>
      </c>
      <c r="N1466" t="inlineStr">
        <is>
          <t>3B⁰, 2A⁰, 18B², 12I¹, 4A⁰, 4D⁰, 12A¹, 6C⁰, 9A¹, 36C⁴, 1A⁰</t>
        </is>
      </c>
      <c r="O1466" t="inlineStr">
        <is>
          <t>72A¹⁵, 72B¹⁵, 36A¹³, 36E¹⁹, 36I¹⁹, 36F¹⁹, 36B¹⁹, 36J¹⁹</t>
        </is>
      </c>
    </row>
    <row r="1467">
      <c r="A1467">
        <f>HYPERLINK("https://mathstats.uncg.edu/sites/pauli/congruence/csg7.html#group36B7", "36B⁷")</f>
        <v/>
      </c>
      <c r="B1467" t="n">
        <v>7</v>
      </c>
      <c r="C1467" t="inlineStr"/>
      <c r="D1467" t="inlineStr">
        <is>
          <t>96</t>
        </is>
      </c>
      <c r="E1467" t="inlineStr">
        <is>
          <t>1</t>
        </is>
      </c>
      <c r="F1467" t="inlineStr">
        <is>
          <t>32</t>
        </is>
      </c>
      <c r="G1467" t="inlineStr">
        <is>
          <t>0</t>
        </is>
      </c>
      <c r="H1467" t="inlineStr">
        <is>
          <t>0</t>
        </is>
      </c>
      <c r="I1467" t="inlineStr">
        <is>
          <t>12², 36²</t>
        </is>
      </c>
      <c r="J1467" t="n">
        <v>4</v>
      </c>
      <c r="K1467" t="inlineStr">
        <is>
          <t>4⁸</t>
        </is>
      </c>
      <c r="L1467" t="inlineStr">
        <is>
          <t>12I¹, 18C²</t>
        </is>
      </c>
      <c r="M1467" t="inlineStr">
        <is>
          <t>36B¹³, 72D¹⁵, 72C¹⁵, 36A¹⁹, 36G¹⁹, 36F¹⁹, 36H¹⁹</t>
        </is>
      </c>
      <c r="N1467" t="inlineStr">
        <is>
          <t>2A⁰, 3B⁰, 12I¹, 4A⁰, 4D⁰, 12A¹, 6C⁰, 1A⁰, 18C²</t>
        </is>
      </c>
      <c r="O1467" t="inlineStr">
        <is>
          <t>36A¹⁹, 72C¹⁵, 36H¹⁹, 36G¹⁹, 36B¹³, 72D¹⁵, 36F¹⁹</t>
        </is>
      </c>
    </row>
    <row r="1468">
      <c r="A1468">
        <f>HYPERLINK("https://mathstats.uncg.edu/sites/pauli/congruence/csg7.html#group36C7", "36C⁷")</f>
        <v/>
      </c>
      <c r="B1468" t="n">
        <v>7</v>
      </c>
      <c r="C1468" t="inlineStr"/>
      <c r="D1468" t="inlineStr">
        <is>
          <t>108</t>
        </is>
      </c>
      <c r="E1468" t="inlineStr">
        <is>
          <t>1</t>
        </is>
      </c>
      <c r="F1468" t="inlineStr">
        <is>
          <t>9</t>
        </is>
      </c>
      <c r="G1468" t="inlineStr">
        <is>
          <t>0</t>
        </is>
      </c>
      <c r="H1468" t="inlineStr">
        <is>
          <t>0</t>
        </is>
      </c>
      <c r="I1468" t="inlineStr">
        <is>
          <t>9⁴, 36²</t>
        </is>
      </c>
      <c r="J1468" t="n">
        <v>6</v>
      </c>
      <c r="K1468" t="inlineStr">
        <is>
          <t>1³, 2³</t>
        </is>
      </c>
      <c r="L1468" t="inlineStr">
        <is>
          <t>12K¹, 18I², 36D³, 36D⁴</t>
        </is>
      </c>
      <c r="M1468" t="inlineStr">
        <is>
          <t>36C¹³, 36B¹⁵, 36D¹⁵, 72F¹⁵, 72G¹⁵, 36M¹⁹, 36Q¹⁹</t>
        </is>
      </c>
      <c r="N1468" t="inlineStr">
        <is>
          <t>12K¹, 6G⁰, 2B⁰, 4B⁰, 1A⁰, 9D⁰, 9A⁰, 36D⁴, 3C⁰, 12B¹, 12D⁰, 18E¹, 3A⁰, 36D³, 18I², 6D⁰</t>
        </is>
      </c>
      <c r="O1468" t="inlineStr">
        <is>
          <t>72G¹⁵, 72F¹⁵, 36B¹⁵, 36D¹⁵, 36M¹⁹, 36Q¹⁹, 36C¹³</t>
        </is>
      </c>
    </row>
    <row r="1469">
      <c r="A1469">
        <f>HYPERLINK("https://mathstats.uncg.edu/sites/pauli/congruence/csg7.html#group36D7", "36D⁷")</f>
        <v/>
      </c>
      <c r="B1469" t="n">
        <v>7</v>
      </c>
      <c r="C1469" t="inlineStr"/>
      <c r="D1469" t="inlineStr">
        <is>
          <t>108</t>
        </is>
      </c>
      <c r="E1469" t="inlineStr">
        <is>
          <t>2</t>
        </is>
      </c>
      <c r="F1469" t="inlineStr">
        <is>
          <t>27</t>
        </is>
      </c>
      <c r="G1469" t="inlineStr">
        <is>
          <t>0</t>
        </is>
      </c>
      <c r="H1469" t="inlineStr">
        <is>
          <t>0</t>
        </is>
      </c>
      <c r="I1469" t="inlineStr">
        <is>
          <t>9⁴, 36²</t>
        </is>
      </c>
      <c r="J1469" t="n">
        <v>6</v>
      </c>
      <c r="K1469" t="inlineStr">
        <is>
          <t>2⁹, 6⁶</t>
        </is>
      </c>
      <c r="L1469" t="inlineStr">
        <is>
          <t>12K¹, 36C², 18E³, 36D⁴</t>
        </is>
      </c>
      <c r="M1469" t="inlineStr">
        <is>
          <t>36C¹³, 36I¹⁵, 36K¹⁵, 72S¹⁵, 72R¹⁵, 36O¹⁹, 36Q¹⁹</t>
        </is>
      </c>
      <c r="N1469" t="inlineStr">
        <is>
          <t>12K¹, 6G⁰, 2B⁰, 4B⁰, 1A⁰, 9B¹, 18E³, 9A⁰, 36D⁴, 3C⁰, 12B¹, 12D⁰, 18E¹, 3A⁰, 6D⁰, 36C²</t>
        </is>
      </c>
      <c r="O1469" t="inlineStr">
        <is>
          <t>72R¹⁵, 36K¹⁵, 72S¹⁵, 36O¹⁹, 36Q¹⁹, 36I¹⁵, 36C¹³</t>
        </is>
      </c>
    </row>
    <row r="1470">
      <c r="A1470">
        <f>HYPERLINK("https://mathstats.uncg.edu/sites/pauli/congruence/csg7.html#group36E7", "36E⁷")</f>
        <v/>
      </c>
      <c r="B1470" t="n">
        <v>7</v>
      </c>
      <c r="C1470" t="inlineStr"/>
      <c r="D1470" t="inlineStr">
        <is>
          <t>108</t>
        </is>
      </c>
      <c r="E1470" t="inlineStr">
        <is>
          <t>2</t>
        </is>
      </c>
      <c r="F1470" t="inlineStr">
        <is>
          <t>27</t>
        </is>
      </c>
      <c r="G1470" t="inlineStr">
        <is>
          <t>4</t>
        </is>
      </c>
      <c r="H1470" t="inlineStr">
        <is>
          <t>0</t>
        </is>
      </c>
      <c r="I1470" t="inlineStr">
        <is>
          <t>18², 36²</t>
        </is>
      </c>
      <c r="J1470" t="n">
        <v>4</v>
      </c>
      <c r="K1470" t="inlineStr">
        <is>
          <t>2⁹, 6⁶</t>
        </is>
      </c>
      <c r="L1470" t="inlineStr">
        <is>
          <t>12L¹, 36B², 18E³, 36E⁴</t>
        </is>
      </c>
      <c r="M1470" t="inlineStr">
        <is>
          <t>36P¹³, 36A¹⁵, 36K¹⁵, 36M¹⁵, 36N¹⁵, 72O¹⁵, 72N¹⁵, 72V¹⁵, 72U¹⁵, 72I¹⁷, 72J¹⁷, 36R¹⁹, 36C²¹</t>
        </is>
      </c>
      <c r="N1470" t="inlineStr">
        <is>
          <t>12C⁰, 36B², 4C⁰, 6G⁰, 36E⁴, 2B⁰, 1A⁰, 12L¹, 9B¹, 18E³, 12C¹, 9A⁰, 3C⁰, 18E¹, 3A⁰, 6D⁰</t>
        </is>
      </c>
      <c r="O1470" t="inlineStr">
        <is>
          <t>72V¹⁵, 36N¹⁵, 36K¹⁵, 72O¹⁵, 72N¹⁵, 72I¹⁷, 36R¹⁹, 72J¹⁷, 36A¹⁵, 36M¹⁵, 72U¹⁵, 36P¹³, 36C²¹</t>
        </is>
      </c>
    </row>
    <row r="1471">
      <c r="A1471">
        <f>HYPERLINK("https://mathstats.uncg.edu/sites/pauli/congruence/csg7.html#group36F7", "36F⁷")</f>
        <v/>
      </c>
      <c r="B1471" t="n">
        <v>7</v>
      </c>
      <c r="C1471" t="inlineStr"/>
      <c r="D1471" t="inlineStr">
        <is>
          <t>108</t>
        </is>
      </c>
      <c r="E1471" t="inlineStr">
        <is>
          <t>2</t>
        </is>
      </c>
      <c r="F1471" t="inlineStr">
        <is>
          <t>27</t>
        </is>
      </c>
      <c r="G1471" t="inlineStr">
        <is>
          <t>4</t>
        </is>
      </c>
      <c r="H1471" t="inlineStr">
        <is>
          <t>0</t>
        </is>
      </c>
      <c r="I1471" t="inlineStr">
        <is>
          <t>18², 36²</t>
        </is>
      </c>
      <c r="J1471" t="n">
        <v>4</v>
      </c>
      <c r="K1471" t="inlineStr">
        <is>
          <t>2⁹, 6⁶</t>
        </is>
      </c>
      <c r="L1471" t="inlineStr">
        <is>
          <t>12N¹, 18L², 36D³, 36E⁴</t>
        </is>
      </c>
      <c r="M1471" t="inlineStr">
        <is>
          <t>36P¹³, 36B¹⁵, 36J¹⁵, 72R¹⁶, 36S¹⁹, 36D²¹</t>
        </is>
      </c>
      <c r="N1471" t="inlineStr">
        <is>
          <t>6B⁰, 6H⁰, 36E⁴, 2B⁰, 12N¹, 1A⁰, 18A⁰, 18L², 12C¹, 9A⁰, 12D⁰, 18E¹, 3A⁰, 36D³, 6D⁰</t>
        </is>
      </c>
      <c r="O1471" t="inlineStr">
        <is>
          <t>36B¹⁵, 36S¹⁹, 36D²¹, 72R¹⁶, 36J¹⁵, 36P¹³</t>
        </is>
      </c>
    </row>
    <row r="1472">
      <c r="A1472">
        <f>HYPERLINK("https://mathstats.uncg.edu/sites/pauli/congruence/csg7.html#group36G7", "36G⁷")</f>
        <v/>
      </c>
      <c r="B1472" t="n">
        <v>7</v>
      </c>
      <c r="C1472" t="inlineStr"/>
      <c r="D1472" t="inlineStr">
        <is>
          <t>108</t>
        </is>
      </c>
      <c r="E1472" t="inlineStr">
        <is>
          <t>2</t>
        </is>
      </c>
      <c r="F1472" t="inlineStr">
        <is>
          <t>27</t>
        </is>
      </c>
      <c r="G1472" t="inlineStr">
        <is>
          <t>4</t>
        </is>
      </c>
      <c r="H1472" t="inlineStr">
        <is>
          <t>0</t>
        </is>
      </c>
      <c r="I1472" t="inlineStr">
        <is>
          <t>18², 36²</t>
        </is>
      </c>
      <c r="J1472" t="n">
        <v>4</v>
      </c>
      <c r="K1472" t="inlineStr">
        <is>
          <t>2⁹, 6⁶</t>
        </is>
      </c>
      <c r="L1472" t="inlineStr">
        <is>
          <t>12N¹, 36C², 18D³, 36E⁴</t>
        </is>
      </c>
      <c r="M1472" t="inlineStr">
        <is>
          <t>36P¹³, 36C¹⁵, 36I¹⁵, 72S¹⁶, 36T¹⁹, 36D²¹</t>
        </is>
      </c>
      <c r="N1472" t="inlineStr">
        <is>
          <t>6B⁰, 6H⁰, 18B¹, 36E⁴, 2B⁰, 12N¹, 1A⁰, 18D³, 12C¹, 9A⁰, 12D⁰, 18E¹, 3A⁰, 18A¹, 6D⁰, 36C²</t>
        </is>
      </c>
      <c r="O1472" t="inlineStr">
        <is>
          <t>36C¹⁵, 36T¹⁹, 36P¹³, 36D²¹, 72S¹⁶, 36I¹⁵</t>
        </is>
      </c>
    </row>
    <row r="1473">
      <c r="A1473">
        <f>HYPERLINK("https://mathstats.uncg.edu/sites/pauli/congruence/csg7.html#group36H7", "36H⁷")</f>
        <v/>
      </c>
      <c r="B1473" t="n">
        <v>7</v>
      </c>
      <c r="C1473" t="inlineStr"/>
      <c r="D1473" t="inlineStr">
        <is>
          <t>144</t>
        </is>
      </c>
      <c r="E1473" t="inlineStr">
        <is>
          <t>1</t>
        </is>
      </c>
      <c r="F1473" t="inlineStr">
        <is>
          <t>4</t>
        </is>
      </c>
      <c r="G1473" t="inlineStr">
        <is>
          <t>0</t>
        </is>
      </c>
      <c r="H1473" t="inlineStr">
        <is>
          <t>0</t>
        </is>
      </c>
      <c r="I1473" t="inlineStr">
        <is>
          <t>4⁹, 36³</t>
        </is>
      </c>
      <c r="J1473" t="n">
        <v>12</v>
      </c>
      <c r="K1473" t="inlineStr">
        <is>
          <t>1², 2¹</t>
        </is>
      </c>
      <c r="L1473" t="inlineStr">
        <is>
          <t>18J¹, 36B¹, 12F², 36A³</t>
        </is>
      </c>
      <c r="M1473" t="inlineStr">
        <is>
          <t>36U¹³</t>
        </is>
      </c>
      <c r="N1473" t="inlineStr">
        <is>
          <t>3B⁰, 2A⁰, 6I⁰, 6C⁰, 9B⁰, 2B⁰, 18J¹, 1A⁰, 36A³, 12F², 18C⁰, 18E⁰, 18C¹, 36B¹, 6F⁰, 2C⁰, 12B⁰</t>
        </is>
      </c>
      <c r="O1473" t="inlineStr">
        <is>
          <t>36U¹³</t>
        </is>
      </c>
    </row>
    <row r="1474">
      <c r="A1474">
        <f>HYPERLINK("https://mathstats.uncg.edu/sites/pauli/congruence/csg7.html#group36I7", "36I⁷")</f>
        <v/>
      </c>
      <c r="B1474" t="n">
        <v>7</v>
      </c>
      <c r="C1474" t="inlineStr"/>
      <c r="D1474" t="inlineStr">
        <is>
          <t>144</t>
        </is>
      </c>
      <c r="E1474" t="inlineStr">
        <is>
          <t>1</t>
        </is>
      </c>
      <c r="F1474" t="inlineStr">
        <is>
          <t>24</t>
        </is>
      </c>
      <c r="G1474" t="inlineStr">
        <is>
          <t>0</t>
        </is>
      </c>
      <c r="H1474" t="inlineStr">
        <is>
          <t>0</t>
        </is>
      </c>
      <c r="I1474" t="inlineStr">
        <is>
          <t>4⁹, 36³</t>
        </is>
      </c>
      <c r="J1474" t="n">
        <v>12</v>
      </c>
      <c r="K1474" t="inlineStr">
        <is>
          <t>1⁴, 2⁶, 4²</t>
        </is>
      </c>
      <c r="L1474" t="inlineStr">
        <is>
          <t>12G², 36B³, 36G³</t>
        </is>
      </c>
      <c r="M1474" t="inlineStr">
        <is>
          <t>36T¹³, 72Y¹⁵, 72Q¹⁷, 72R¹⁷, 72O¹⁹</t>
        </is>
      </c>
      <c r="N1474" t="inlineStr">
        <is>
          <t>3B⁰, 18E⁰, 4A⁰, 12F¹, 12A¹, 4C⁰, 6F⁰, 9B⁰, 12G², 2B⁰, 4F⁰, 36B³, 1A⁰, 36G³</t>
        </is>
      </c>
      <c r="O1474" t="inlineStr">
        <is>
          <t>72R¹⁷, 36T¹³, 72O¹⁹, 72Q¹⁷, 72Y¹⁵</t>
        </is>
      </c>
    </row>
    <row r="1475">
      <c r="A1475">
        <f>HYPERLINK("https://mathstats.uncg.edu/sites/pauli/congruence/csg7.html#group36J7", "36J⁷")</f>
        <v/>
      </c>
      <c r="B1475" t="n">
        <v>7</v>
      </c>
      <c r="C1475" t="inlineStr"/>
      <c r="D1475" t="inlineStr">
        <is>
          <t>144</t>
        </is>
      </c>
      <c r="E1475" t="inlineStr">
        <is>
          <t>1</t>
        </is>
      </c>
      <c r="F1475" t="inlineStr">
        <is>
          <t>72</t>
        </is>
      </c>
      <c r="G1475" t="inlineStr">
        <is>
          <t>8</t>
        </is>
      </c>
      <c r="H1475" t="inlineStr">
        <is>
          <t>0</t>
        </is>
      </c>
      <c r="I1475" t="inlineStr">
        <is>
          <t>12⁶, 36²</t>
        </is>
      </c>
      <c r="J1475" t="n">
        <v>8</v>
      </c>
      <c r="K1475" t="inlineStr">
        <is>
          <t>2², 4², 6², 12⁴</t>
        </is>
      </c>
      <c r="L1475" t="inlineStr">
        <is>
          <t>12Q¹, 18F¹, 36M⁴</t>
        </is>
      </c>
      <c r="M1475" t="inlineStr">
        <is>
          <t>36Q¹⁵, 36R¹⁵, 36C¹⁷, 72S¹⁹, 72T¹⁹, 36D²³</t>
        </is>
      </c>
      <c r="N1475" t="inlineStr">
        <is>
          <t>12G¹, 12A⁰, 6B⁰, 6E⁰, 4A⁰, 12F⁰, 36M⁴, 12Q¹, 3C⁰, 18F¹, 9E⁰, 3A⁰, 1A⁰</t>
        </is>
      </c>
      <c r="O1475" t="inlineStr">
        <is>
          <t>36C¹⁷, 36D²³, 72S¹⁹, 36Q¹⁵, 72T¹⁹, 36R¹⁵</t>
        </is>
      </c>
    </row>
    <row r="1476">
      <c r="A1476">
        <f>HYPERLINK("https://mathstats.uncg.edu/sites/pauli/congruence/csg7.html#group36K7", "36K⁷")</f>
        <v/>
      </c>
      <c r="B1476" t="n">
        <v>7</v>
      </c>
      <c r="C1476" t="inlineStr"/>
      <c r="D1476" t="inlineStr">
        <is>
          <t>144</t>
        </is>
      </c>
      <c r="E1476" t="inlineStr">
        <is>
          <t>1</t>
        </is>
      </c>
      <c r="F1476" t="inlineStr">
        <is>
          <t>144</t>
        </is>
      </c>
      <c r="G1476" t="inlineStr">
        <is>
          <t>8</t>
        </is>
      </c>
      <c r="H1476" t="inlineStr">
        <is>
          <t>0</t>
        </is>
      </c>
      <c r="I1476" t="inlineStr">
        <is>
          <t>12⁶, 36²</t>
        </is>
      </c>
      <c r="J1476" t="n">
        <v>8</v>
      </c>
      <c r="K1476" t="inlineStr">
        <is>
          <t>4⁶, 6⁴, 12⁸</t>
        </is>
      </c>
      <c r="L1476" t="inlineStr">
        <is>
          <t>12Q¹, 18G¹</t>
        </is>
      </c>
      <c r="M1476" t="inlineStr">
        <is>
          <t>36S¹⁵, 36T¹⁵, 36E¹⁷, 72U¹⁹, 72V¹⁹, 36D²³</t>
        </is>
      </c>
      <c r="N1476" t="inlineStr">
        <is>
          <t>12G¹, 12A⁰, 6B⁰, 6E⁰, 4A⁰, 12F⁰, 12Q¹, 3C⁰, 18G¹, 3A⁰, 1A⁰</t>
        </is>
      </c>
      <c r="O1476" t="inlineStr">
        <is>
          <t>36D²³, 72U¹⁹, 36E¹⁷, 36S¹⁵, 72V¹⁹, 36T¹⁵</t>
        </is>
      </c>
    </row>
    <row r="1477">
      <c r="A1477">
        <f>HYPERLINK("https://mathstats.uncg.edu/sites/pauli/congruence/csg7.html#group36L7", "36L⁷")</f>
        <v/>
      </c>
      <c r="B1477" t="n">
        <v>7</v>
      </c>
      <c r="C1477" t="inlineStr"/>
      <c r="D1477" t="inlineStr">
        <is>
          <t>162</t>
        </is>
      </c>
      <c r="E1477" t="inlineStr">
        <is>
          <t>1</t>
        </is>
      </c>
      <c r="F1477" t="inlineStr">
        <is>
          <t>81</t>
        </is>
      </c>
      <c r="G1477" t="inlineStr">
        <is>
          <t>12</t>
        </is>
      </c>
      <c r="H1477" t="inlineStr">
        <is>
          <t>0</t>
        </is>
      </c>
      <c r="I1477" t="inlineStr">
        <is>
          <t>9⁶, 36³</t>
        </is>
      </c>
      <c r="J1477" t="n">
        <v>9</v>
      </c>
      <c r="K1477" t="inlineStr">
        <is>
          <t>3³, 6¹²</t>
        </is>
      </c>
      <c r="L1477" t="inlineStr">
        <is>
          <t>36C², 18J³</t>
        </is>
      </c>
      <c r="M1477" t="inlineStr">
        <is>
          <t>36H¹⁶, 36I¹⁶, 36O¹⁹, 36T¹⁹, 36E²²</t>
        </is>
      </c>
      <c r="N1477" t="inlineStr">
        <is>
          <t>18J³, 9A⁰, 9G⁰, 2B⁰, 12D⁰, 18E¹, 3A⁰, 1A⁰, 6D⁰, 36C²</t>
        </is>
      </c>
      <c r="O1477" t="inlineStr">
        <is>
          <t>36T¹⁹, 36I¹⁶, 36O¹⁹, 36H¹⁶, 36E²²</t>
        </is>
      </c>
    </row>
    <row r="1478">
      <c r="A1478">
        <f>HYPERLINK("https://mathstats.uncg.edu/sites/pauli/congruence/csg7.html#group36M7", "36M⁷")</f>
        <v/>
      </c>
      <c r="B1478" t="n">
        <v>7</v>
      </c>
      <c r="C1478" t="inlineStr"/>
      <c r="D1478" t="inlineStr">
        <is>
          <t>192</t>
        </is>
      </c>
      <c r="E1478" t="inlineStr">
        <is>
          <t>1</t>
        </is>
      </c>
      <c r="F1478" t="inlineStr">
        <is>
          <t>32</t>
        </is>
      </c>
      <c r="G1478" t="inlineStr">
        <is>
          <t>0</t>
        </is>
      </c>
      <c r="H1478" t="inlineStr">
        <is>
          <t>6</t>
        </is>
      </c>
      <c r="I1478" t="inlineStr">
        <is>
          <t>4¹², 36⁴</t>
        </is>
      </c>
      <c r="J1478" t="n">
        <v>16</v>
      </c>
      <c r="K1478" t="inlineStr">
        <is>
          <t>4⁸</t>
        </is>
      </c>
      <c r="L1478" t="inlineStr">
        <is>
          <t>12R¹, 36B¹, 36O⁴</t>
        </is>
      </c>
      <c r="M1478" t="inlineStr">
        <is>
          <t>72Z²¹</t>
        </is>
      </c>
      <c r="N1478" t="inlineStr">
        <is>
          <t>18C⁰, 3B⁰, 2A⁰, 12I¹, 4A⁰, 4D⁰, 12A¹, 6C⁰, 36B¹, 12R¹, 36O⁴, 1A⁰, 12B⁰</t>
        </is>
      </c>
      <c r="O1478" t="inlineStr">
        <is>
          <t>72Z²¹</t>
        </is>
      </c>
    </row>
    <row r="1479">
      <c r="A1479">
        <f>HYPERLINK("https://mathstats.uncg.edu/sites/pauli/congruence/csg7.html#group36N7", "36N⁷")</f>
        <v/>
      </c>
      <c r="B1479" t="n">
        <v>7</v>
      </c>
      <c r="C1479" t="inlineStr"/>
      <c r="D1479" t="inlineStr">
        <is>
          <t>216</t>
        </is>
      </c>
      <c r="E1479" t="inlineStr">
        <is>
          <t>1</t>
        </is>
      </c>
      <c r="F1479" t="inlineStr">
        <is>
          <t>18</t>
        </is>
      </c>
      <c r="G1479" t="inlineStr">
        <is>
          <t>0</t>
        </is>
      </c>
      <c r="H1479" t="inlineStr">
        <is>
          <t>0</t>
        </is>
      </c>
      <c r="I1479" t="inlineStr">
        <is>
          <t>3¹², 9⁴, 12⁶, 36²</t>
        </is>
      </c>
      <c r="J1479" t="n">
        <v>24</v>
      </c>
      <c r="K1479" t="inlineStr">
        <is>
          <t>1⁶, 2⁶</t>
        </is>
      </c>
      <c r="L1479" t="inlineStr">
        <is>
          <t>12S¹, 18P², 36I³, 36Q⁴</t>
        </is>
      </c>
      <c r="M1479" t="inlineStr">
        <is>
          <t>36K¹⁷, 72X¹⁷, 36E²¹, 72AB²¹</t>
        </is>
      </c>
      <c r="N1479" t="inlineStr">
        <is>
          <t>3B⁰, 12K¹, 18I¹, 6G⁰, 12S¹, 2B⁰, 9E⁰, 4B⁰, 1A⁰, 3D⁰, 12G⁰, 12E⁰, 36Q⁴, 18P², 3C⁰, 12B¹, 12D⁰, 36I³, 6K⁰, 3A⁰, 9H⁰, 6F⁰, 6D⁰</t>
        </is>
      </c>
      <c r="O1479" t="inlineStr">
        <is>
          <t>72AB²¹, 36K¹⁷, 72X¹⁷, 36E²¹</t>
        </is>
      </c>
    </row>
    <row r="1480">
      <c r="A1480">
        <f>HYPERLINK("https://mathstats.uncg.edu/sites/pauli/congruence/csg7.html#group36O7", "36O⁷")</f>
        <v/>
      </c>
      <c r="B1480" t="n">
        <v>7</v>
      </c>
      <c r="C1480" t="inlineStr"/>
      <c r="D1480" t="inlineStr">
        <is>
          <t>216</t>
        </is>
      </c>
      <c r="E1480" t="inlineStr">
        <is>
          <t>1</t>
        </is>
      </c>
      <c r="F1480" t="inlineStr">
        <is>
          <t>36</t>
        </is>
      </c>
      <c r="G1480" t="inlineStr">
        <is>
          <t>0</t>
        </is>
      </c>
      <c r="H1480" t="inlineStr">
        <is>
          <t>0</t>
        </is>
      </c>
      <c r="I1480" t="inlineStr">
        <is>
          <t>1⁶, 3⁴, 4³, 9⁶, 12², 36³</t>
        </is>
      </c>
      <c r="J1480" t="n">
        <v>24</v>
      </c>
      <c r="K1480" t="inlineStr">
        <is>
          <t>1⁶, 2⁶, 6³</t>
        </is>
      </c>
      <c r="L1480" t="inlineStr">
        <is>
          <t>36C¹, 18Q²</t>
        </is>
      </c>
      <c r="M1480" t="inlineStr">
        <is>
          <t>36L¹⁷, 72Y¹⁷, 36F²¹, 72AC²¹</t>
        </is>
      </c>
      <c r="N1480" t="inlineStr">
        <is>
          <t>3B⁰, 18E⁰, 18Q², 6F⁰, 9B⁰, 9I⁰, 2B⁰, 36C¹, 4B⁰, 1A⁰, 12E⁰</t>
        </is>
      </c>
      <c r="O1480" t="inlineStr">
        <is>
          <t>72Y¹⁷, 36F²¹, 72AC²¹, 36L¹⁷</t>
        </is>
      </c>
    </row>
    <row r="1481">
      <c r="A1481">
        <f>HYPERLINK("https://mathstats.uncg.edu/sites/pauli/congruence/csg7.html#group38A7", "38A⁷")</f>
        <v/>
      </c>
      <c r="B1481" t="n">
        <v>7</v>
      </c>
      <c r="C1481" t="inlineStr"/>
      <c r="D1481" t="inlineStr">
        <is>
          <t>114</t>
        </is>
      </c>
      <c r="E1481" t="inlineStr">
        <is>
          <t>2</t>
        </is>
      </c>
      <c r="F1481" t="inlineStr">
        <is>
          <t>57</t>
        </is>
      </c>
      <c r="G1481" t="inlineStr">
        <is>
          <t>0</t>
        </is>
      </c>
      <c r="H1481" t="inlineStr">
        <is>
          <t>6</t>
        </is>
      </c>
      <c r="I1481" t="inlineStr">
        <is>
          <t>38³</t>
        </is>
      </c>
      <c r="J1481" t="n">
        <v>3</v>
      </c>
      <c r="K1481" t="inlineStr">
        <is>
          <t>6¹, 18⁶</t>
        </is>
      </c>
      <c r="L1481" t="inlineStr">
        <is>
          <t>2A⁰, 19A²</t>
        </is>
      </c>
      <c r="M1481" t="inlineStr"/>
      <c r="N1481" t="inlineStr">
        <is>
          <t>19A², 2A⁰, 1A⁰</t>
        </is>
      </c>
      <c r="O1481" t="inlineStr"/>
    </row>
    <row r="1482">
      <c r="A1482">
        <f>HYPERLINK("https://mathstats.uncg.edu/sites/pauli/congruence/csg7.html#group40A7", "40A⁷")</f>
        <v/>
      </c>
      <c r="B1482" t="n">
        <v>7</v>
      </c>
      <c r="C1482" t="inlineStr"/>
      <c r="D1482" t="inlineStr">
        <is>
          <t>96</t>
        </is>
      </c>
      <c r="E1482" t="inlineStr">
        <is>
          <t>1</t>
        </is>
      </c>
      <c r="F1482" t="inlineStr">
        <is>
          <t>24</t>
        </is>
      </c>
      <c r="G1482" t="inlineStr">
        <is>
          <t>0</t>
        </is>
      </c>
      <c r="H1482" t="inlineStr">
        <is>
          <t>0</t>
        </is>
      </c>
      <c r="I1482" t="inlineStr">
        <is>
          <t>8², 40²</t>
        </is>
      </c>
      <c r="J1482" t="n">
        <v>4</v>
      </c>
      <c r="K1482" t="inlineStr">
        <is>
          <t>2⁴, 8²</t>
        </is>
      </c>
      <c r="L1482" t="inlineStr">
        <is>
          <t>20C³, 40A³</t>
        </is>
      </c>
      <c r="M1482" t="inlineStr">
        <is>
          <t>40C¹³, 80C¹⁵, 40A¹⁹, 120A²³, 120C²³</t>
        </is>
      </c>
      <c r="N1482" t="inlineStr">
        <is>
          <t>2A⁰, 40A³, 4A⁰, 4D⁰, 20C³, 5B⁰, 10A¹, 1A⁰, 20B¹</t>
        </is>
      </c>
      <c r="O1482" t="inlineStr">
        <is>
          <t>80C¹⁵, 40C¹³, 40A¹⁹, 120C²³, 120A²³</t>
        </is>
      </c>
    </row>
    <row r="1483">
      <c r="A1483">
        <f>HYPERLINK("https://mathstats.uncg.edu/sites/pauli/congruence/csg7.html#group40B7", "40B⁷")</f>
        <v/>
      </c>
      <c r="B1483" t="n">
        <v>7</v>
      </c>
      <c r="C1483" t="inlineStr"/>
      <c r="D1483" t="inlineStr">
        <is>
          <t>96</t>
        </is>
      </c>
      <c r="E1483" t="inlineStr">
        <is>
          <t>1</t>
        </is>
      </c>
      <c r="F1483" t="inlineStr">
        <is>
          <t>24</t>
        </is>
      </c>
      <c r="G1483" t="inlineStr">
        <is>
          <t>0</t>
        </is>
      </c>
      <c r="H1483" t="inlineStr">
        <is>
          <t>0</t>
        </is>
      </c>
      <c r="I1483" t="inlineStr">
        <is>
          <t>8², 40²</t>
        </is>
      </c>
      <c r="J1483" t="n">
        <v>4</v>
      </c>
      <c r="K1483" t="inlineStr">
        <is>
          <t>2⁴, 8²</t>
        </is>
      </c>
      <c r="L1483" t="inlineStr">
        <is>
          <t>8E⁰, 20C³, 40B³</t>
        </is>
      </c>
      <c r="M1483" t="inlineStr">
        <is>
          <t>40C¹³, 80A¹⁵, 80B¹⁵, 40B¹⁹, 120B²³, 120D²³</t>
        </is>
      </c>
      <c r="N1483" t="inlineStr">
        <is>
          <t>2A⁰, 4A⁰, 4D⁰, 40B³, 20C³, 8A⁰, 5B⁰, 8E⁰, 10A¹, 1A⁰, 20B¹</t>
        </is>
      </c>
      <c r="O1483" t="inlineStr">
        <is>
          <t>120D²³, 80B¹⁵, 40C¹³, 80A¹⁵, 40B¹⁹, 120B²³</t>
        </is>
      </c>
    </row>
    <row r="1484">
      <c r="A1484">
        <f>HYPERLINK("https://mathstats.uncg.edu/sites/pauli/congruence/csg7.html#group40C7", "40C⁷")</f>
        <v/>
      </c>
      <c r="B1484" t="n">
        <v>7</v>
      </c>
      <c r="C1484" t="inlineStr"/>
      <c r="D1484" t="inlineStr">
        <is>
          <t>96</t>
        </is>
      </c>
      <c r="E1484" t="inlineStr">
        <is>
          <t>2</t>
        </is>
      </c>
      <c r="F1484" t="inlineStr">
        <is>
          <t>24</t>
        </is>
      </c>
      <c r="G1484" t="inlineStr">
        <is>
          <t>0</t>
        </is>
      </c>
      <c r="H1484" t="inlineStr">
        <is>
          <t>0</t>
        </is>
      </c>
      <c r="I1484" t="inlineStr">
        <is>
          <t>8², 40²</t>
        </is>
      </c>
      <c r="J1484" t="n">
        <v>4</v>
      </c>
      <c r="K1484" t="inlineStr">
        <is>
          <t>4⁴, 16²</t>
        </is>
      </c>
      <c r="L1484" t="inlineStr">
        <is>
          <t>20B³, 40A³, 40B³</t>
        </is>
      </c>
      <c r="M1484" t="inlineStr">
        <is>
          <t>40C¹³, 80D¹⁵, 40H¹⁹, 120I²³</t>
        </is>
      </c>
      <c r="N1484" t="inlineStr">
        <is>
          <t>40A³, 4A⁰, 40B³, 5B⁰, 8A⁰, 5D⁰, 1A⁰, 20B³, 20B¹</t>
        </is>
      </c>
      <c r="O1484" t="inlineStr">
        <is>
          <t>80D¹⁵, 120I²³, 40H¹⁹, 40C¹³</t>
        </is>
      </c>
    </row>
    <row r="1485">
      <c r="A1485">
        <f>HYPERLINK("https://mathstats.uncg.edu/sites/pauli/congruence/csg7.html#group40D7", "40D⁷")</f>
        <v/>
      </c>
      <c r="B1485" t="n">
        <v>7</v>
      </c>
      <c r="C1485" t="inlineStr"/>
      <c r="D1485" t="inlineStr">
        <is>
          <t>120</t>
        </is>
      </c>
      <c r="E1485" t="inlineStr">
        <is>
          <t>1</t>
        </is>
      </c>
      <c r="F1485" t="inlineStr">
        <is>
          <t>30</t>
        </is>
      </c>
      <c r="G1485" t="inlineStr">
        <is>
          <t>8</t>
        </is>
      </c>
      <c r="H1485" t="inlineStr">
        <is>
          <t>0</t>
        </is>
      </c>
      <c r="I1485" t="inlineStr">
        <is>
          <t>20², 40²</t>
        </is>
      </c>
      <c r="J1485" t="n">
        <v>4</v>
      </c>
      <c r="K1485" t="inlineStr">
        <is>
          <t>2³, 4⁶</t>
        </is>
      </c>
      <c r="L1485" t="inlineStr">
        <is>
          <t>20F³</t>
        </is>
      </c>
      <c r="M1485" t="inlineStr">
        <is>
          <t>40F¹³, 40H¹⁵, 40F¹⁵, 40C¹⁷, 40F¹⁷, 80Q¹⁷, 80R¹⁷, 80T¹⁷, 40C²³, 120M²³</t>
        </is>
      </c>
      <c r="N1485" t="inlineStr">
        <is>
          <t>1A⁰, 2B⁰, 5C⁰, 20F³, 4C⁰, 10F¹</t>
        </is>
      </c>
      <c r="O1485" t="inlineStr">
        <is>
          <t>80T¹⁷, 40C¹⁷, 120M²³, 40F¹⁵, 80Q¹⁷, 40F¹⁷, 40C²³, 40F¹³, 40H¹⁵, 80R¹⁷</t>
        </is>
      </c>
    </row>
    <row r="1486">
      <c r="A1486">
        <f>HYPERLINK("https://mathstats.uncg.edu/sites/pauli/congruence/csg7.html#group40E7", "40E⁷")</f>
        <v/>
      </c>
      <c r="B1486" t="n">
        <v>7</v>
      </c>
      <c r="C1486" t="inlineStr"/>
      <c r="D1486" t="inlineStr">
        <is>
          <t>120</t>
        </is>
      </c>
      <c r="E1486" t="inlineStr">
        <is>
          <t>1</t>
        </is>
      </c>
      <c r="F1486" t="inlineStr">
        <is>
          <t>30</t>
        </is>
      </c>
      <c r="G1486" t="inlineStr">
        <is>
          <t>8</t>
        </is>
      </c>
      <c r="H1486" t="inlineStr">
        <is>
          <t>0</t>
        </is>
      </c>
      <c r="I1486" t="inlineStr">
        <is>
          <t>20², 40²</t>
        </is>
      </c>
      <c r="J1486" t="n">
        <v>4</v>
      </c>
      <c r="K1486" t="inlineStr">
        <is>
          <t>2³, 4⁶</t>
        </is>
      </c>
      <c r="L1486" t="inlineStr">
        <is>
          <t>8B⁰, 20F³</t>
        </is>
      </c>
      <c r="M1486" t="inlineStr">
        <is>
          <t>40F¹³, 40G¹⁵, 40I¹⁵, 40R¹⁵, 40S¹⁵, 80E¹⁵, 80F¹⁵, 40D¹⁷, 40E¹⁷, 80H¹⁷, 80I¹⁷, 80O¹⁷, 80P¹⁷, 80D¹⁹, 80E¹⁹, 40D²³, 120N²³</t>
        </is>
      </c>
      <c r="N1486" t="inlineStr">
        <is>
          <t>4C⁰, 5C⁰, 8B⁰, 2B⁰, 1A⁰, 20F³, 10F¹</t>
        </is>
      </c>
      <c r="O1486" t="inlineStr">
        <is>
          <t>120N²³, 40E¹⁷, 80F¹⁵, 80O¹⁷, 80E¹⁵, 80H¹⁷, 40G¹⁵, 40R¹⁵, 80I¹⁷, 40I¹⁵, 40S¹⁵, 80P¹⁷, 40F¹³, 80D¹⁹, 40D²³, 80E¹⁹, 40D¹⁷</t>
        </is>
      </c>
    </row>
    <row r="1487">
      <c r="A1487">
        <f>HYPERLINK("https://mathstats.uncg.edu/sites/pauli/congruence/csg7.html#group40F7", "40F⁷")</f>
        <v/>
      </c>
      <c r="B1487" t="n">
        <v>7</v>
      </c>
      <c r="C1487" t="inlineStr"/>
      <c r="D1487" t="inlineStr">
        <is>
          <t>120</t>
        </is>
      </c>
      <c r="E1487" t="inlineStr">
        <is>
          <t>1</t>
        </is>
      </c>
      <c r="F1487" t="inlineStr">
        <is>
          <t>60</t>
        </is>
      </c>
      <c r="G1487" t="inlineStr">
        <is>
          <t>0</t>
        </is>
      </c>
      <c r="H1487" t="inlineStr">
        <is>
          <t>0</t>
        </is>
      </c>
      <c r="I1487" t="inlineStr">
        <is>
          <t>5⁴, 10², 40²</t>
        </is>
      </c>
      <c r="J1487" t="n">
        <v>8</v>
      </c>
      <c r="K1487" t="inlineStr">
        <is>
          <t>2⁴, 4⁹, 8²</t>
        </is>
      </c>
      <c r="L1487" t="inlineStr">
        <is>
          <t>20E³</t>
        </is>
      </c>
      <c r="M1487" t="inlineStr">
        <is>
          <t>40G¹³, 40B¹⁵, 40E¹⁵, 80M¹⁵, 80S¹⁷, 40L¹⁹</t>
        </is>
      </c>
      <c r="N1487" t="inlineStr">
        <is>
          <t>2B⁰, 4B⁰, 1A⁰, 20E³, 5C⁰, 10F¹</t>
        </is>
      </c>
      <c r="O1487" t="inlineStr">
        <is>
          <t>80M¹⁵, 80S¹⁷, 40B¹⁵, 40L¹⁹, 40E¹⁵, 40G¹³</t>
        </is>
      </c>
    </row>
    <row r="1488">
      <c r="A1488">
        <f>HYPERLINK("https://mathstats.uncg.edu/sites/pauli/congruence/csg7.html#group40G7", "40G⁷")</f>
        <v/>
      </c>
      <c r="B1488" t="n">
        <v>7</v>
      </c>
      <c r="C1488" t="inlineStr"/>
      <c r="D1488" t="inlineStr">
        <is>
          <t>120</t>
        </is>
      </c>
      <c r="E1488" t="inlineStr">
        <is>
          <t>1</t>
        </is>
      </c>
      <c r="F1488" t="inlineStr">
        <is>
          <t>60</t>
        </is>
      </c>
      <c r="G1488" t="inlineStr">
        <is>
          <t>0</t>
        </is>
      </c>
      <c r="H1488" t="inlineStr">
        <is>
          <t>0</t>
        </is>
      </c>
      <c r="I1488" t="inlineStr">
        <is>
          <t>5⁴, 10², 40²</t>
        </is>
      </c>
      <c r="J1488" t="n">
        <v>8</v>
      </c>
      <c r="K1488" t="inlineStr">
        <is>
          <t>2⁴, 4⁹, 8²</t>
        </is>
      </c>
      <c r="L1488" t="inlineStr">
        <is>
          <t>8C⁰, 20E³</t>
        </is>
      </c>
      <c r="M1488" t="inlineStr">
        <is>
          <t>40G¹³, 40C¹⁵, 40E¹⁵, 40L¹⁵, 40M¹⁵, 80G¹⁵, 80H¹⁵, 80I¹⁵, 80J¹⁵, 80D¹⁷, 80E¹⁷, 40M¹⁹</t>
        </is>
      </c>
      <c r="N1488" t="inlineStr">
        <is>
          <t>20E³, 5C⁰, 8C⁰, 2B⁰, 4B⁰, 1A⁰, 10F¹</t>
        </is>
      </c>
      <c r="O1488" t="inlineStr">
        <is>
          <t>40M¹⁹, 80D¹⁷, 40M¹⁵, 80G¹⁵, 80H¹⁵, 80I¹⁵, 40E¹⁵, 40G¹³, 80J¹⁵, 40L¹⁵, 80E¹⁷, 40C¹⁵</t>
        </is>
      </c>
    </row>
    <row r="1489">
      <c r="A1489">
        <f>HYPERLINK("https://mathstats.uncg.edu/sites/pauli/congruence/csg7.html#group40H7", "40H⁷")</f>
        <v/>
      </c>
      <c r="B1489" t="n">
        <v>7</v>
      </c>
      <c r="C1489" t="inlineStr"/>
      <c r="D1489" t="inlineStr">
        <is>
          <t>120</t>
        </is>
      </c>
      <c r="E1489" t="inlineStr">
        <is>
          <t>1</t>
        </is>
      </c>
      <c r="F1489" t="inlineStr">
        <is>
          <t>60</t>
        </is>
      </c>
      <c r="G1489" t="inlineStr">
        <is>
          <t>4</t>
        </is>
      </c>
      <c r="H1489" t="inlineStr">
        <is>
          <t>0</t>
        </is>
      </c>
      <c r="I1489" t="inlineStr">
        <is>
          <t>10⁴, 40²</t>
        </is>
      </c>
      <c r="J1489" t="n">
        <v>6</v>
      </c>
      <c r="K1489" t="inlineStr">
        <is>
          <t>2², 4⁶, 8⁴</t>
        </is>
      </c>
      <c r="L1489" t="inlineStr">
        <is>
          <t>20F³</t>
        </is>
      </c>
      <c r="M1489" t="inlineStr">
        <is>
          <t>40H¹³, 40B¹⁵, 40D¹⁵, 40H¹⁵, 40G¹⁵, 40L¹⁷, 40J¹⁷, 40H²¹</t>
        </is>
      </c>
      <c r="N1489" t="inlineStr">
        <is>
          <t>1A⁰, 2B⁰, 5C⁰, 20F³, 4C⁰, 10F¹</t>
        </is>
      </c>
      <c r="O1489" t="inlineStr">
        <is>
          <t>40L¹⁷, 40D¹⁵, 40J¹⁷, 40H¹³, 40H²¹, 40B¹⁵, 40H¹⁵, 40G¹⁵</t>
        </is>
      </c>
    </row>
    <row r="1490">
      <c r="A1490">
        <f>HYPERLINK("https://mathstats.uncg.edu/sites/pauli/congruence/csg7.html#group40I7", "40I⁷")</f>
        <v/>
      </c>
      <c r="B1490" t="n">
        <v>7</v>
      </c>
      <c r="C1490" t="inlineStr"/>
      <c r="D1490" t="inlineStr">
        <is>
          <t>120</t>
        </is>
      </c>
      <c r="E1490" t="inlineStr">
        <is>
          <t>1</t>
        </is>
      </c>
      <c r="F1490" t="inlineStr">
        <is>
          <t>60</t>
        </is>
      </c>
      <c r="G1490" t="inlineStr">
        <is>
          <t>4</t>
        </is>
      </c>
      <c r="H1490" t="inlineStr">
        <is>
          <t>0</t>
        </is>
      </c>
      <c r="I1490" t="inlineStr">
        <is>
          <t>10⁴, 40²</t>
        </is>
      </c>
      <c r="J1490" t="n">
        <v>6</v>
      </c>
      <c r="K1490" t="inlineStr">
        <is>
          <t>2², 4⁶, 8⁴</t>
        </is>
      </c>
      <c r="L1490" t="inlineStr">
        <is>
          <t>8D⁰, 20F³</t>
        </is>
      </c>
      <c r="M1490" t="inlineStr">
        <is>
          <t>40H¹³, 40C¹⁵, 40D¹⁵, 40F¹⁵, 40I¹⁵, 80K¹⁵, 80L¹⁵, 40K¹⁷, 40M¹⁷, 80M¹⁷, 80N¹⁷, 40I²¹</t>
        </is>
      </c>
      <c r="N1490" t="inlineStr">
        <is>
          <t>8D⁰, 4C⁰, 5C⁰, 2B⁰, 1A⁰, 20F³, 10F¹</t>
        </is>
      </c>
      <c r="O1490" t="inlineStr">
        <is>
          <t>80L¹⁵, 40I¹⁵, 40D¹⁵, 80M¹⁷, 40F¹⁵, 80K¹⁵, 80N¹⁷, 40K¹⁷, 40H¹³, 40M¹⁷, 40I²¹, 40C¹⁵</t>
        </is>
      </c>
    </row>
    <row r="1491">
      <c r="A1491">
        <f>HYPERLINK("https://mathstats.uncg.edu/sites/pauli/congruence/csg7.html#group40J7", "40J⁷")</f>
        <v/>
      </c>
      <c r="B1491" t="n">
        <v>7</v>
      </c>
      <c r="C1491" t="inlineStr"/>
      <c r="D1491" t="inlineStr">
        <is>
          <t>120</t>
        </is>
      </c>
      <c r="E1491" t="inlineStr">
        <is>
          <t>2</t>
        </is>
      </c>
      <c r="F1491" t="inlineStr">
        <is>
          <t>30</t>
        </is>
      </c>
      <c r="G1491" t="inlineStr">
        <is>
          <t>4</t>
        </is>
      </c>
      <c r="H1491" t="inlineStr">
        <is>
          <t>0</t>
        </is>
      </c>
      <c r="I1491" t="inlineStr">
        <is>
          <t>10⁴, 40²</t>
        </is>
      </c>
      <c r="J1491" t="n">
        <v>6</v>
      </c>
      <c r="K1491" t="inlineStr">
        <is>
          <t>4³, 8⁶</t>
        </is>
      </c>
      <c r="L1491" t="inlineStr">
        <is>
          <t>20F²</t>
        </is>
      </c>
      <c r="M1491" t="inlineStr">
        <is>
          <t>40I¹³, 40A¹⁵, 40T¹⁵, 40G²¹</t>
        </is>
      </c>
      <c r="N1491" t="inlineStr">
        <is>
          <t>1A⁰, 2B⁰, 20F², 5C⁰, 10F¹</t>
        </is>
      </c>
      <c r="O1491" t="inlineStr">
        <is>
          <t>40G²¹, 40I¹³, 40A¹⁵, 40T¹⁵</t>
        </is>
      </c>
    </row>
    <row r="1492">
      <c r="A1492">
        <f>HYPERLINK("https://mathstats.uncg.edu/sites/pauli/congruence/csg7.html#group40K7", "40K⁷")</f>
        <v/>
      </c>
      <c r="B1492" t="n">
        <v>7</v>
      </c>
      <c r="C1492" t="inlineStr"/>
      <c r="D1492" t="inlineStr">
        <is>
          <t>144</t>
        </is>
      </c>
      <c r="E1492" t="inlineStr">
        <is>
          <t>1</t>
        </is>
      </c>
      <c r="F1492" t="inlineStr">
        <is>
          <t>18</t>
        </is>
      </c>
      <c r="G1492" t="inlineStr">
        <is>
          <t>0</t>
        </is>
      </c>
      <c r="H1492" t="inlineStr">
        <is>
          <t>0</t>
        </is>
      </c>
      <c r="I1492" t="inlineStr">
        <is>
          <t>2⁴, 8², 10⁴, 40²</t>
        </is>
      </c>
      <c r="J1492" t="n">
        <v>12</v>
      </c>
      <c r="K1492" t="inlineStr">
        <is>
          <t>1⁶, 4³</t>
        </is>
      </c>
      <c r="L1492" t="inlineStr">
        <is>
          <t>20H¹, 40I³</t>
        </is>
      </c>
      <c r="M1492" t="inlineStr">
        <is>
          <t>40J¹³, 40L¹³</t>
        </is>
      </c>
      <c r="N1492" t="inlineStr">
        <is>
          <t>20A⁰, 40I³, 5B⁰, 10C⁰, 5D⁰, 2B⁰, 20D¹, 20H¹, 4B⁰, 1A⁰, 10F⁰</t>
        </is>
      </c>
      <c r="O1492" t="inlineStr">
        <is>
          <t>40J¹³, 40L¹³</t>
        </is>
      </c>
    </row>
    <row r="1493">
      <c r="A1493">
        <f>HYPERLINK("https://mathstats.uncg.edu/sites/pauli/congruence/csg7.html#group40L7", "40L⁷")</f>
        <v/>
      </c>
      <c r="B1493" t="n">
        <v>7</v>
      </c>
      <c r="C1493" t="inlineStr"/>
      <c r="D1493" t="inlineStr">
        <is>
          <t>144</t>
        </is>
      </c>
      <c r="E1493" t="inlineStr">
        <is>
          <t>1</t>
        </is>
      </c>
      <c r="F1493" t="inlineStr">
        <is>
          <t>18</t>
        </is>
      </c>
      <c r="G1493" t="inlineStr">
        <is>
          <t>0</t>
        </is>
      </c>
      <c r="H1493" t="inlineStr">
        <is>
          <t>0</t>
        </is>
      </c>
      <c r="I1493" t="inlineStr">
        <is>
          <t>2⁴, 8², 10⁴, 40²</t>
        </is>
      </c>
      <c r="J1493" t="n">
        <v>12</v>
      </c>
      <c r="K1493" t="inlineStr">
        <is>
          <t>1⁶, 4³</t>
        </is>
      </c>
      <c r="L1493" t="inlineStr">
        <is>
          <t>20J³, 40E³, 40G³</t>
        </is>
      </c>
      <c r="M1493" t="inlineStr">
        <is>
          <t>40K¹³, 40AB¹⁵, 80P¹⁵, 40U¹⁷, 40V¹⁷, 80BD¹⁷, 80N¹⁹</t>
        </is>
      </c>
      <c r="N1493" t="inlineStr">
        <is>
          <t>20E¹, 2A⁰, 4C⁰, 5B⁰, 10A¹, 20D¹, 4E⁰, 2B⁰, 4B⁰, 1A⁰, 10C⁰, 40E³, 20J³, 2C⁰, 10G¹, 40G³</t>
        </is>
      </c>
      <c r="O1493" t="inlineStr">
        <is>
          <t>80P¹⁵, 40AB¹⁵, 40U¹⁷, 80N¹⁹, 40K¹³, 80BD¹⁷, 40V¹⁷</t>
        </is>
      </c>
    </row>
    <row r="1494">
      <c r="A1494">
        <f>HYPERLINK("https://mathstats.uncg.edu/sites/pauli/congruence/csg7.html#group40M7", "40M⁷")</f>
        <v/>
      </c>
      <c r="B1494" t="n">
        <v>7</v>
      </c>
      <c r="C1494" t="inlineStr"/>
      <c r="D1494" t="inlineStr">
        <is>
          <t>144</t>
        </is>
      </c>
      <c r="E1494" t="inlineStr">
        <is>
          <t>1</t>
        </is>
      </c>
      <c r="F1494" t="inlineStr">
        <is>
          <t>18</t>
        </is>
      </c>
      <c r="G1494" t="inlineStr">
        <is>
          <t>0</t>
        </is>
      </c>
      <c r="H1494" t="inlineStr">
        <is>
          <t>0</t>
        </is>
      </c>
      <c r="I1494" t="inlineStr">
        <is>
          <t>2⁴, 8², 10⁴, 40²</t>
        </is>
      </c>
      <c r="J1494" t="n">
        <v>12</v>
      </c>
      <c r="K1494" t="inlineStr">
        <is>
          <t>1⁶, 4³</t>
        </is>
      </c>
      <c r="L1494" t="inlineStr">
        <is>
          <t>8G⁰, 20J³, 40F³, 40H³</t>
        </is>
      </c>
      <c r="M1494" t="inlineStr">
        <is>
          <t>40K¹³, 40W¹⁵, 40X¹⁵, 80N¹⁵, 80O¹⁵, 40W¹⁷, 40X¹⁷, 80W¹⁷, 80Z¹⁷, 80L¹⁹, 80M¹⁹</t>
        </is>
      </c>
      <c r="N1494" t="inlineStr">
        <is>
          <t>20E¹, 2A⁰, 40H³, 8D⁰, 4C⁰, 5B⁰, 10A¹, 20D¹, 8C⁰, 2B⁰, 4E⁰, 4B⁰, 1A⁰, 40F³, 8G⁰, 10C⁰, 20J³, 2C⁰, 10G¹</t>
        </is>
      </c>
      <c r="O1494" t="inlineStr">
        <is>
          <t>80L¹⁹, 40X¹⁵, 80W¹⁷, 40K¹³, 40X¹⁷, 80O¹⁵, 40W¹⁵, 80M¹⁹, 80Z¹⁷, 80N¹⁵, 40W¹⁷</t>
        </is>
      </c>
    </row>
    <row r="1495">
      <c r="A1495">
        <f>HYPERLINK("https://mathstats.uncg.edu/sites/pauli/congruence/csg7.html#group40N7", "40N⁷")</f>
        <v/>
      </c>
      <c r="B1495" t="n">
        <v>7</v>
      </c>
      <c r="C1495" t="inlineStr"/>
      <c r="D1495" t="inlineStr">
        <is>
          <t>144</t>
        </is>
      </c>
      <c r="E1495" t="inlineStr">
        <is>
          <t>1</t>
        </is>
      </c>
      <c r="F1495" t="inlineStr">
        <is>
          <t>36</t>
        </is>
      </c>
      <c r="G1495" t="inlineStr">
        <is>
          <t>0</t>
        </is>
      </c>
      <c r="H1495" t="inlineStr">
        <is>
          <t>0</t>
        </is>
      </c>
      <c r="I1495" t="inlineStr">
        <is>
          <t>2⁴, 8², 10⁴, 40²</t>
        </is>
      </c>
      <c r="J1495" t="n">
        <v>12</v>
      </c>
      <c r="K1495" t="inlineStr">
        <is>
          <t>1⁴, 2⁴, 4², 8²</t>
        </is>
      </c>
      <c r="L1495" t="inlineStr">
        <is>
          <t>20G³, 40G³, 40H³</t>
        </is>
      </c>
      <c r="M1495" t="inlineStr">
        <is>
          <t>40K¹³, 80U¹⁵, 40AB¹⁷, 40AA¹⁷, 80O¹⁹</t>
        </is>
      </c>
      <c r="N1495" t="inlineStr">
        <is>
          <t>20E¹, 20C², 40H³, 8D⁰, 20G³, 4C⁰, 5B⁰, 10C⁰, 5D⁰, 2B⁰, 1A⁰, 10F⁰, 40G³</t>
        </is>
      </c>
      <c r="O1495" t="inlineStr">
        <is>
          <t>40AB¹⁷, 80U¹⁵, 40AA¹⁷, 80O¹⁹, 40K¹³</t>
        </is>
      </c>
    </row>
    <row r="1496">
      <c r="A1496">
        <f>HYPERLINK("https://mathstats.uncg.edu/sites/pauli/congruence/csg7.html#group40O7", "40O⁷")</f>
        <v/>
      </c>
      <c r="B1496" t="n">
        <v>7</v>
      </c>
      <c r="C1496" t="inlineStr"/>
      <c r="D1496" t="inlineStr">
        <is>
          <t>144</t>
        </is>
      </c>
      <c r="E1496" t="inlineStr">
        <is>
          <t>1</t>
        </is>
      </c>
      <c r="F1496" t="inlineStr">
        <is>
          <t>36</t>
        </is>
      </c>
      <c r="G1496" t="inlineStr">
        <is>
          <t>0</t>
        </is>
      </c>
      <c r="H1496" t="inlineStr">
        <is>
          <t>0</t>
        </is>
      </c>
      <c r="I1496" t="inlineStr">
        <is>
          <t>2⁴, 8², 10⁴, 40²</t>
        </is>
      </c>
      <c r="J1496" t="n">
        <v>12</v>
      </c>
      <c r="K1496" t="inlineStr">
        <is>
          <t>1⁸, 2², 4⁴, 8¹</t>
        </is>
      </c>
      <c r="L1496" t="inlineStr">
        <is>
          <t>20H³, 40E³, 40F³</t>
        </is>
      </c>
      <c r="M1496" t="inlineStr">
        <is>
          <t>40K¹³, 40Z¹⁵, 40AA¹⁵, 80V¹⁵, 40AS¹⁷, 80Y¹⁷, 80X¹⁷, 80BE¹⁷, 80T¹⁹</t>
        </is>
      </c>
      <c r="N1496" t="inlineStr">
        <is>
          <t>20C², 10G⁰, 40F³, 5B⁰, 10C⁰, 40E³, 20D¹, 8C⁰, 2B⁰, 4B⁰, 1A⁰, 20H³, 10B⁰</t>
        </is>
      </c>
      <c r="O1496" t="inlineStr">
        <is>
          <t>80BE¹⁷, 40Z¹⁵, 80T¹⁹, 40AA¹⁵, 40AS¹⁷, 40K¹³, 80V¹⁵, 80Y¹⁷, 80X¹⁷</t>
        </is>
      </c>
    </row>
    <row r="1497">
      <c r="A1497">
        <f>HYPERLINK("https://mathstats.uncg.edu/sites/pauli/congruence/csg7.html#group40P7", "40P⁷")</f>
        <v/>
      </c>
      <c r="B1497" t="n">
        <v>7</v>
      </c>
      <c r="C1497" t="inlineStr"/>
      <c r="D1497" t="inlineStr">
        <is>
          <t>144</t>
        </is>
      </c>
      <c r="E1497" t="inlineStr">
        <is>
          <t>1</t>
        </is>
      </c>
      <c r="F1497" t="inlineStr">
        <is>
          <t>36</t>
        </is>
      </c>
      <c r="G1497" t="inlineStr">
        <is>
          <t>8</t>
        </is>
      </c>
      <c r="H1497" t="inlineStr">
        <is>
          <t>0</t>
        </is>
      </c>
      <c r="I1497" t="inlineStr">
        <is>
          <t>4², 8², 20², 40²</t>
        </is>
      </c>
      <c r="J1497" t="n">
        <v>8</v>
      </c>
      <c r="K1497" t="inlineStr">
        <is>
          <t>1⁴, 2⁴, 4², 8²</t>
        </is>
      </c>
      <c r="L1497" t="inlineStr">
        <is>
          <t>20K³, 40C³, 40H³</t>
        </is>
      </c>
      <c r="M1497" t="inlineStr">
        <is>
          <t>40M¹³, 40W¹⁷, 40AB¹⁷, 40AT¹⁷, 80AP¹⁷, 80AO¹⁷, 80W¹⁹, 80X¹⁹</t>
        </is>
      </c>
      <c r="N1497" t="inlineStr">
        <is>
          <t>40C³, 20E¹, 40H³, 8D⁰, 4C⁰, 5B⁰, 10C⁰, 2B⁰, 20K³, 1A⁰</t>
        </is>
      </c>
      <c r="O1497" t="inlineStr">
        <is>
          <t>40M¹³, 40AB¹⁷, 80W¹⁹, 80X¹⁹, 80AO¹⁷, 80AP¹⁷, 40W¹⁷, 40AT¹⁷</t>
        </is>
      </c>
    </row>
    <row r="1498">
      <c r="A1498">
        <f>HYPERLINK("https://mathstats.uncg.edu/sites/pauli/congruence/csg7.html#group40Q7", "40Q⁷")</f>
        <v/>
      </c>
      <c r="B1498" t="n">
        <v>7</v>
      </c>
      <c r="C1498" t="inlineStr"/>
      <c r="D1498" t="inlineStr">
        <is>
          <t>144</t>
        </is>
      </c>
      <c r="E1498" t="inlineStr">
        <is>
          <t>1</t>
        </is>
      </c>
      <c r="F1498" t="inlineStr">
        <is>
          <t>36</t>
        </is>
      </c>
      <c r="G1498" t="inlineStr">
        <is>
          <t>8</t>
        </is>
      </c>
      <c r="H1498" t="inlineStr">
        <is>
          <t>0</t>
        </is>
      </c>
      <c r="I1498" t="inlineStr">
        <is>
          <t>4², 8², 20², 40²</t>
        </is>
      </c>
      <c r="J1498" t="n">
        <v>8</v>
      </c>
      <c r="K1498" t="inlineStr">
        <is>
          <t>1⁴, 2⁴, 4², 8²</t>
        </is>
      </c>
      <c r="L1498" t="inlineStr">
        <is>
          <t>20K³, 40D³, 40G³</t>
        </is>
      </c>
      <c r="M1498" t="inlineStr">
        <is>
          <t>40M¹³, 40AI¹⁵, 40V¹⁷, 40AA¹⁷, 80AC¹⁷, 80AB¹⁷, 80AA¹⁹, 80L²¹, 80K²¹</t>
        </is>
      </c>
      <c r="N1498" t="inlineStr">
        <is>
          <t>20E¹, 4C⁰, 5B⁰, 10C⁰, 8B⁰, 1A⁰, 2B⁰, 20K³, 40D³, 40G³</t>
        </is>
      </c>
      <c r="O1498" t="inlineStr">
        <is>
          <t>40M¹³, 40AI¹⁵, 80AB¹⁷, 40AA¹⁷, 80AC¹⁷, 40V¹⁷, 80AA¹⁹, 80K²¹, 80L²¹</t>
        </is>
      </c>
    </row>
    <row r="1499">
      <c r="A1499">
        <f>HYPERLINK("https://mathstats.uncg.edu/sites/pauli/congruence/csg7.html#group40R7", "40R⁷")</f>
        <v/>
      </c>
      <c r="B1499" t="n">
        <v>7</v>
      </c>
      <c r="C1499" t="inlineStr"/>
      <c r="D1499" t="inlineStr">
        <is>
          <t>144</t>
        </is>
      </c>
      <c r="E1499" t="inlineStr">
        <is>
          <t>1</t>
        </is>
      </c>
      <c r="F1499" t="inlineStr">
        <is>
          <t>36</t>
        </is>
      </c>
      <c r="G1499" t="inlineStr">
        <is>
          <t>8</t>
        </is>
      </c>
      <c r="H1499" t="inlineStr">
        <is>
          <t>0</t>
        </is>
      </c>
      <c r="I1499" t="inlineStr">
        <is>
          <t>4², 8², 20², 40²</t>
        </is>
      </c>
      <c r="J1499" t="n">
        <v>8</v>
      </c>
      <c r="K1499" t="inlineStr">
        <is>
          <t>1⁴, 2⁴, 4², 8²</t>
        </is>
      </c>
      <c r="L1499" t="inlineStr">
        <is>
          <t>20L³, 40C³, 40G³</t>
        </is>
      </c>
      <c r="M1499" t="inlineStr">
        <is>
          <t>40M¹³, 40U¹⁷, 40AB¹⁷, 40AK¹⁷, 40AJ¹⁷, 80BF¹⁷, 80Y¹⁹, 80Z¹⁹</t>
        </is>
      </c>
      <c r="N1499" t="inlineStr">
        <is>
          <t>40C³, 20E¹, 4A⁰, 4C⁰, 5B⁰, 10C⁰, 1A⁰, 2B⁰, 4F⁰, 20L³, 20B¹, 40G³</t>
        </is>
      </c>
      <c r="O1499" t="inlineStr">
        <is>
          <t>40M¹³, 40AB¹⁷, 40AK¹⁷, 80BF¹⁷, 40U¹⁷, 80Z¹⁹, 80Y¹⁹, 40AJ¹⁷</t>
        </is>
      </c>
    </row>
    <row r="1500">
      <c r="A1500">
        <f>HYPERLINK("https://mathstats.uncg.edu/sites/pauli/congruence/csg7.html#group40S7", "40S⁷")</f>
        <v/>
      </c>
      <c r="B1500" t="n">
        <v>7</v>
      </c>
      <c r="C1500" t="inlineStr"/>
      <c r="D1500" t="inlineStr">
        <is>
          <t>144</t>
        </is>
      </c>
      <c r="E1500" t="inlineStr">
        <is>
          <t>1</t>
        </is>
      </c>
      <c r="F1500" t="inlineStr">
        <is>
          <t>36</t>
        </is>
      </c>
      <c r="G1500" t="inlineStr">
        <is>
          <t>8</t>
        </is>
      </c>
      <c r="H1500" t="inlineStr">
        <is>
          <t>0</t>
        </is>
      </c>
      <c r="I1500" t="inlineStr">
        <is>
          <t>4², 8², 20², 40²</t>
        </is>
      </c>
      <c r="J1500" t="n">
        <v>8</v>
      </c>
      <c r="K1500" t="inlineStr">
        <is>
          <t>1⁴, 2⁴, 4², 8²</t>
        </is>
      </c>
      <c r="L1500" t="inlineStr">
        <is>
          <t>8H⁰, 20L³, 40D³, 40H³</t>
        </is>
      </c>
      <c r="M1500" t="inlineStr">
        <is>
          <t>40M¹³, 40AE¹⁵, 40AF¹⁵, 40X¹⁷, 40AA¹⁷, 40AL¹⁷, 40AM¹⁷, 40AO¹⁷, 40AP¹⁷, 80AD¹⁷, 80AE¹⁷, 80AK¹⁷, 80AL¹⁷, 80AQ¹⁷, 80AR¹⁷, 80U¹⁹, 80V¹⁹, 80M²¹, 80O²¹</t>
        </is>
      </c>
      <c r="N1500" t="inlineStr">
        <is>
          <t>20E¹, 40H³, 8D⁰, 4C⁰, 8B⁰, 5B⁰, 2B⁰, 1A⁰, 20B¹, 8H⁰, 4A⁰, 10C⁰, 4F⁰, 40D³, 20L³</t>
        </is>
      </c>
      <c r="O1500" t="inlineStr">
        <is>
          <t>40M¹³, 40AO¹⁷, 40AP¹⁷, 80AE¹⁷, 40AE¹⁵, 80M²¹, 80U¹⁹, 40AA¹⁷, 80O²¹, 80AD¹⁷, 40X¹⁷, 40AL¹⁷, 80AL¹⁷, 40AM¹⁷, 80AQ¹⁷, 80V¹⁹, 40AF¹⁵, 80AK¹⁷, 80AR¹⁷</t>
        </is>
      </c>
    </row>
    <row r="1501">
      <c r="A1501">
        <f>HYPERLINK("https://mathstats.uncg.edu/sites/pauli/congruence/csg7.html#group40T7", "40T⁷")</f>
        <v/>
      </c>
      <c r="B1501" t="n">
        <v>7</v>
      </c>
      <c r="C1501" t="inlineStr"/>
      <c r="D1501" t="inlineStr">
        <is>
          <t>144</t>
        </is>
      </c>
      <c r="E1501" t="inlineStr">
        <is>
          <t>1</t>
        </is>
      </c>
      <c r="F1501" t="inlineStr">
        <is>
          <t>36</t>
        </is>
      </c>
      <c r="G1501" t="inlineStr">
        <is>
          <t>8</t>
        </is>
      </c>
      <c r="H1501" t="inlineStr">
        <is>
          <t>0</t>
        </is>
      </c>
      <c r="I1501" t="inlineStr">
        <is>
          <t>4², 8², 20², 40²</t>
        </is>
      </c>
      <c r="J1501" t="n">
        <v>8</v>
      </c>
      <c r="K1501" t="inlineStr">
        <is>
          <t>1⁸, 2², 4⁴, 8¹</t>
        </is>
      </c>
      <c r="L1501" t="inlineStr">
        <is>
          <t>20I¹</t>
        </is>
      </c>
      <c r="M1501" t="inlineStr">
        <is>
          <t>40N¹³, 40AG¹⁵, 40AH¹⁵, 40T¹⁷, 40AC¹⁷</t>
        </is>
      </c>
      <c r="N1501" t="inlineStr">
        <is>
          <t>20E¹, 20A⁰, 10G⁰, 20I¹, 4C⁰, 5B⁰, 10C⁰, 2B⁰, 1A⁰, 10B⁰</t>
        </is>
      </c>
      <c r="O1501" t="inlineStr">
        <is>
          <t>40AC¹⁷, 40T¹⁷, 40AH¹⁵, 40AG¹⁵, 40N¹³</t>
        </is>
      </c>
    </row>
    <row r="1502">
      <c r="A1502">
        <f>HYPERLINK("https://mathstats.uncg.edu/sites/pauli/congruence/csg7.html#group40U7", "40U⁷")</f>
        <v/>
      </c>
      <c r="B1502" t="n">
        <v>7</v>
      </c>
      <c r="C1502" t="inlineStr"/>
      <c r="D1502" t="inlineStr">
        <is>
          <t>144</t>
        </is>
      </c>
      <c r="E1502" t="inlineStr">
        <is>
          <t>1</t>
        </is>
      </c>
      <c r="F1502" t="inlineStr">
        <is>
          <t>72</t>
        </is>
      </c>
      <c r="G1502" t="inlineStr">
        <is>
          <t>0</t>
        </is>
      </c>
      <c r="H1502" t="inlineStr">
        <is>
          <t>0</t>
        </is>
      </c>
      <c r="I1502" t="inlineStr">
        <is>
          <t>1², 2¹, 4¹, 5², 8², 10¹, 20¹, 40²</t>
        </is>
      </c>
      <c r="J1502" t="n">
        <v>12</v>
      </c>
      <c r="K1502" t="inlineStr">
        <is>
          <t>1⁸, 2⁴, 4⁶, 8², 16¹</t>
        </is>
      </c>
      <c r="L1502" t="inlineStr">
        <is>
          <t>40F³</t>
        </is>
      </c>
      <c r="M1502" t="inlineStr">
        <is>
          <t>40P¹³, 40W¹⁵, 40AA¹⁵, 80R¹⁵, 80Q¹⁵, 80AH¹⁷, 80AG¹⁷</t>
        </is>
      </c>
      <c r="N1502" t="inlineStr">
        <is>
          <t>40F³, 5B⁰, 10C⁰, 20D¹, 8C⁰, 2B⁰, 4B⁰, 1A⁰</t>
        </is>
      </c>
      <c r="O1502" t="inlineStr">
        <is>
          <t>40P¹³, 80Q¹⁵, 80R¹⁵, 40W¹⁵, 80AG¹⁷, 40AA¹⁵, 80AH¹⁷</t>
        </is>
      </c>
    </row>
    <row r="1503">
      <c r="A1503">
        <f>HYPERLINK("https://mathstats.uncg.edu/sites/pauli/congruence/csg7.html#group40V7", "40V⁷")</f>
        <v/>
      </c>
      <c r="B1503" t="n">
        <v>7</v>
      </c>
      <c r="C1503" t="inlineStr"/>
      <c r="D1503" t="inlineStr">
        <is>
          <t>144</t>
        </is>
      </c>
      <c r="E1503" t="inlineStr">
        <is>
          <t>1</t>
        </is>
      </c>
      <c r="F1503" t="inlineStr">
        <is>
          <t>72</t>
        </is>
      </c>
      <c r="G1503" t="inlineStr">
        <is>
          <t>0</t>
        </is>
      </c>
      <c r="H1503" t="inlineStr">
        <is>
          <t>0</t>
        </is>
      </c>
      <c r="I1503" t="inlineStr">
        <is>
          <t>1², 2¹, 4¹, 5², 8², 10¹, 20¹, 40²</t>
        </is>
      </c>
      <c r="J1503" t="n">
        <v>12</v>
      </c>
      <c r="K1503" t="inlineStr">
        <is>
          <t>1⁸, 2⁴, 4⁶, 8², 16¹</t>
        </is>
      </c>
      <c r="L1503" t="inlineStr">
        <is>
          <t>8I⁰, 40F³</t>
        </is>
      </c>
      <c r="M1503" t="inlineStr">
        <is>
          <t>40P¹³, 40X¹⁵, 40AA¹⁵, 80S¹⁵, 80T¹⁵, 80AI¹⁷, 80AJ¹⁷</t>
        </is>
      </c>
      <c r="N1503" t="inlineStr">
        <is>
          <t>40F³, 5B⁰, 10C⁰, 20D¹, 8C⁰, 8I⁰, 2B⁰, 4B⁰, 1A⁰</t>
        </is>
      </c>
      <c r="O1503" t="inlineStr">
        <is>
          <t>40AA¹⁵, 40P¹³, 80AJ¹⁷, 80S¹⁵, 80AI¹⁷, 40X¹⁵, 80T¹⁵</t>
        </is>
      </c>
    </row>
    <row r="1504">
      <c r="A1504">
        <f>HYPERLINK("https://mathstats.uncg.edu/sites/pauli/congruence/csg7.html#group40W7", "40W⁷")</f>
        <v/>
      </c>
      <c r="B1504" t="n">
        <v>7</v>
      </c>
      <c r="C1504" t="inlineStr"/>
      <c r="D1504" t="inlineStr">
        <is>
          <t>144</t>
        </is>
      </c>
      <c r="E1504" t="inlineStr">
        <is>
          <t>1</t>
        </is>
      </c>
      <c r="F1504" t="inlineStr">
        <is>
          <t>72</t>
        </is>
      </c>
      <c r="G1504" t="inlineStr">
        <is>
          <t>0</t>
        </is>
      </c>
      <c r="H1504" t="inlineStr">
        <is>
          <t>0</t>
        </is>
      </c>
      <c r="I1504" t="inlineStr">
        <is>
          <t>2², 4³, 8¹, 10², 20³, 40¹</t>
        </is>
      </c>
      <c r="J1504" t="n">
        <v>12</v>
      </c>
      <c r="K1504" t="inlineStr">
        <is>
          <t>1¹⁶, 2⁴, 4⁸, 8²</t>
        </is>
      </c>
      <c r="L1504" t="inlineStr">
        <is>
          <t>20J³</t>
        </is>
      </c>
      <c r="M1504" t="inlineStr">
        <is>
          <t>40R¹³, 40U¹⁵, 40W¹⁵, 40AB¹⁵, 40AD¹⁵, 40AD¹⁷, 40AH¹⁷</t>
        </is>
      </c>
      <c r="N1504" t="inlineStr">
        <is>
          <t>20E¹, 2A⁰, 4C⁰, 5B⁰, 10C⁰, 10A¹, 1A⁰, 20D¹, 4E⁰, 2B⁰, 4B⁰, 20J³, 2C⁰, 10G¹</t>
        </is>
      </c>
      <c r="O1504" t="inlineStr">
        <is>
          <t>40U¹⁵, 40AD¹⁷, 40AH¹⁷, 40AB¹⁵, 40W¹⁵, 40R¹³, 40AD¹⁵</t>
        </is>
      </c>
    </row>
    <row r="1505">
      <c r="A1505">
        <f>HYPERLINK("https://mathstats.uncg.edu/sites/pauli/congruence/csg7.html#group40X7", "40X⁷")</f>
        <v/>
      </c>
      <c r="B1505" t="n">
        <v>7</v>
      </c>
      <c r="C1505" t="inlineStr"/>
      <c r="D1505" t="inlineStr">
        <is>
          <t>144</t>
        </is>
      </c>
      <c r="E1505" t="inlineStr">
        <is>
          <t>1</t>
        </is>
      </c>
      <c r="F1505" t="inlineStr">
        <is>
          <t>72</t>
        </is>
      </c>
      <c r="G1505" t="inlineStr">
        <is>
          <t>0</t>
        </is>
      </c>
      <c r="H1505" t="inlineStr">
        <is>
          <t>0</t>
        </is>
      </c>
      <c r="I1505" t="inlineStr">
        <is>
          <t>2², 4³, 8¹, 10², 20³, 40¹</t>
        </is>
      </c>
      <c r="J1505" t="n">
        <v>12</v>
      </c>
      <c r="K1505" t="inlineStr">
        <is>
          <t>1¹⁶, 2⁴, 4⁸, 8²</t>
        </is>
      </c>
      <c r="L1505" t="inlineStr">
        <is>
          <t>8J⁰, 20J³</t>
        </is>
      </c>
      <c r="M1505" t="inlineStr">
        <is>
          <t>40R¹³, 40V¹⁵, 40X¹⁵, 40AB¹⁵, 40AD¹⁵, 40AE¹⁷, 40AH¹⁷</t>
        </is>
      </c>
      <c r="N1505" t="inlineStr">
        <is>
          <t>2A⁰, 20E¹, 4C⁰, 5B⁰, 10A¹, 2B⁰, 4E⁰, 20D¹, 4B⁰, 1A⁰, 10G¹, 10C⁰, 20J³, 2C⁰, 8J⁰</t>
        </is>
      </c>
      <c r="O1505" t="inlineStr">
        <is>
          <t>40AB¹⁵, 40AH¹⁷, 40V¹⁵, 40AE¹⁷, 40R¹³, 40AD¹⁵, 40X¹⁵</t>
        </is>
      </c>
    </row>
    <row r="1506">
      <c r="A1506">
        <f>HYPERLINK("https://mathstats.uncg.edu/sites/pauli/congruence/csg7.html#group40Y7", "40Y⁷")</f>
        <v/>
      </c>
      <c r="B1506" t="n">
        <v>7</v>
      </c>
      <c r="C1506" t="inlineStr"/>
      <c r="D1506" t="inlineStr">
        <is>
          <t>144</t>
        </is>
      </c>
      <c r="E1506" t="inlineStr">
        <is>
          <t>1</t>
        </is>
      </c>
      <c r="F1506" t="inlineStr">
        <is>
          <t>72</t>
        </is>
      </c>
      <c r="G1506" t="inlineStr">
        <is>
          <t>4</t>
        </is>
      </c>
      <c r="H1506" t="inlineStr">
        <is>
          <t>0</t>
        </is>
      </c>
      <c r="I1506" t="inlineStr">
        <is>
          <t>4⁴, 8¹, 20⁴, 40¹</t>
        </is>
      </c>
      <c r="J1506" t="n">
        <v>10</v>
      </c>
      <c r="K1506" t="inlineStr">
        <is>
          <t>2⁴, 4⁴, 8², 16²</t>
        </is>
      </c>
      <c r="L1506" t="inlineStr">
        <is>
          <t>20L³</t>
        </is>
      </c>
      <c r="M1506" t="inlineStr">
        <is>
          <t>40T¹³, 40U¹⁵, 40AC¹⁵, 40AJ¹⁷, 40AL¹⁷, 40E¹⁹, 40D¹⁹</t>
        </is>
      </c>
      <c r="N1506" t="inlineStr">
        <is>
          <t>20E¹, 4A⁰, 4C⁰, 5B⁰, 10C⁰, 1A⁰, 2B⁰, 4F⁰, 20L³, 20B¹</t>
        </is>
      </c>
      <c r="O1506" t="inlineStr">
        <is>
          <t>40E¹⁹, 40U¹⁵, 40AL¹⁷, 40D¹⁹, 40T¹³, 40AC¹⁵, 40AJ¹⁷</t>
        </is>
      </c>
    </row>
    <row r="1507">
      <c r="A1507">
        <f>HYPERLINK("https://mathstats.uncg.edu/sites/pauli/congruence/csg7.html#group40Z7", "40Z⁷")</f>
        <v/>
      </c>
      <c r="B1507" t="n">
        <v>7</v>
      </c>
      <c r="C1507" t="inlineStr"/>
      <c r="D1507" t="inlineStr">
        <is>
          <t>144</t>
        </is>
      </c>
      <c r="E1507" t="inlineStr">
        <is>
          <t>1</t>
        </is>
      </c>
      <c r="F1507" t="inlineStr">
        <is>
          <t>72</t>
        </is>
      </c>
      <c r="G1507" t="inlineStr">
        <is>
          <t>4</t>
        </is>
      </c>
      <c r="H1507" t="inlineStr">
        <is>
          <t>0</t>
        </is>
      </c>
      <c r="I1507" t="inlineStr">
        <is>
          <t>4⁴, 8¹, 20⁴, 40¹</t>
        </is>
      </c>
      <c r="J1507" t="n">
        <v>10</v>
      </c>
      <c r="K1507" t="inlineStr">
        <is>
          <t>2⁴, 4⁴, 8², 16²</t>
        </is>
      </c>
      <c r="L1507" t="inlineStr">
        <is>
          <t>8K⁰, 20L³</t>
        </is>
      </c>
      <c r="M1507" t="inlineStr">
        <is>
          <t>40T¹³, 40V¹⁵, 40AC¹⁵, 40AK¹⁷, 40AM¹⁷, 80AY¹⁷, 80AZ¹⁷, 80BA¹⁷, 80BB¹⁷, 40F¹⁹, 40G¹⁹</t>
        </is>
      </c>
      <c r="N1507" t="inlineStr">
        <is>
          <t>20E¹, 4C⁰, 5B⁰, 2B⁰, 1A⁰, 8K⁰, 20B¹, 4A⁰, 10C⁰, 4F⁰, 20L³</t>
        </is>
      </c>
      <c r="O1507" t="inlineStr">
        <is>
          <t>40F¹⁹, 40AK¹⁷, 80BA¹⁷, 40AC¹⁵, 40G¹⁹, 40V¹⁵, 80AZ¹⁷, 80BB¹⁷, 40AM¹⁷, 40T¹³, 80AY¹⁷</t>
        </is>
      </c>
    </row>
    <row r="1508">
      <c r="A1508">
        <f>HYPERLINK("https://mathstats.uncg.edu/sites/pauli/congruence/csg7.html#group40AA7", "40AA⁷")</f>
        <v/>
      </c>
      <c r="B1508" t="n">
        <v>7</v>
      </c>
      <c r="C1508" t="inlineStr"/>
      <c r="D1508" t="inlineStr">
        <is>
          <t>144</t>
        </is>
      </c>
      <c r="E1508" t="inlineStr">
        <is>
          <t>1</t>
        </is>
      </c>
      <c r="F1508" t="inlineStr">
        <is>
          <t>72</t>
        </is>
      </c>
      <c r="G1508" t="inlineStr">
        <is>
          <t>8</t>
        </is>
      </c>
      <c r="H1508" t="inlineStr">
        <is>
          <t>0</t>
        </is>
      </c>
      <c r="I1508" t="inlineStr">
        <is>
          <t>4², 8², 20², 40²</t>
        </is>
      </c>
      <c r="J1508" t="n">
        <v>8</v>
      </c>
      <c r="K1508" t="inlineStr">
        <is>
          <t>1⁸, 2⁴, 4⁶, 8², 16¹</t>
        </is>
      </c>
      <c r="L1508" t="inlineStr">
        <is>
          <t>40D³</t>
        </is>
      </c>
      <c r="M1508" t="inlineStr">
        <is>
          <t>40V¹³, 40AE¹⁵, 40AI¹⁵, 40AD¹⁷, 40AG¹⁷, 80AV¹⁷, 80AU¹⁷, 80AC¹⁹, 80AB¹⁹, 80W²¹, 80V²¹</t>
        </is>
      </c>
      <c r="N1508" t="inlineStr">
        <is>
          <t>20E¹, 4C⁰, 8B⁰, 5B⁰, 10C⁰, 1A⁰, 2B⁰, 40D³</t>
        </is>
      </c>
      <c r="O1508" t="inlineStr">
        <is>
          <t>40V¹³, 40AD¹⁷, 80AV¹⁷, 80AC¹⁹, 40AI¹⁵, 40AE¹⁵, 80AB¹⁹, 40AG¹⁷, 80V²¹, 80AU¹⁷, 80W²¹</t>
        </is>
      </c>
    </row>
    <row r="1509">
      <c r="A1509">
        <f>HYPERLINK("https://mathstats.uncg.edu/sites/pauli/congruence/csg7.html#group40AB7", "40AB⁷")</f>
        <v/>
      </c>
      <c r="B1509" t="n">
        <v>7</v>
      </c>
      <c r="C1509" t="inlineStr"/>
      <c r="D1509" t="inlineStr">
        <is>
          <t>144</t>
        </is>
      </c>
      <c r="E1509" t="inlineStr">
        <is>
          <t>1</t>
        </is>
      </c>
      <c r="F1509" t="inlineStr">
        <is>
          <t>72</t>
        </is>
      </c>
      <c r="G1509" t="inlineStr">
        <is>
          <t>8</t>
        </is>
      </c>
      <c r="H1509" t="inlineStr">
        <is>
          <t>0</t>
        </is>
      </c>
      <c r="I1509" t="inlineStr">
        <is>
          <t>4², 8², 20², 40²</t>
        </is>
      </c>
      <c r="J1509" t="n">
        <v>8</v>
      </c>
      <c r="K1509" t="inlineStr">
        <is>
          <t>1⁸, 2⁴, 4⁶, 8², 16¹</t>
        </is>
      </c>
      <c r="L1509" t="inlineStr">
        <is>
          <t>8L⁰, 40D³</t>
        </is>
      </c>
      <c r="M1509" t="inlineStr">
        <is>
          <t>40V¹³, 40AF¹⁵, 40AI¹⁵, 40AE¹⁷, 40AG¹⁷, 80AW¹⁷, 80AX¹⁷, 80AD¹⁹, 80AE¹⁹, 80X²¹, 80AB²¹</t>
        </is>
      </c>
      <c r="N1509" t="inlineStr">
        <is>
          <t>20E¹, 4C⁰, 8B⁰, 5B⁰, 10C⁰, 8L⁰, 2B⁰, 1A⁰, 40D³</t>
        </is>
      </c>
      <c r="O1509" t="inlineStr">
        <is>
          <t>40V¹³, 80AW¹⁷, 40AI¹⁵, 80AX¹⁷, 80AD¹⁹, 80AE¹⁹, 40AG¹⁷, 40AE¹⁷, 80AB²¹, 40AF¹⁵, 80X²¹</t>
        </is>
      </c>
    </row>
    <row r="1510">
      <c r="A1510">
        <f>HYPERLINK("https://mathstats.uncg.edu/sites/pauli/congruence/csg7.html#group40AC7", "40AC⁷")</f>
        <v/>
      </c>
      <c r="B1510" t="n">
        <v>7</v>
      </c>
      <c r="C1510" t="inlineStr"/>
      <c r="D1510" t="inlineStr">
        <is>
          <t>144</t>
        </is>
      </c>
      <c r="E1510" t="inlineStr">
        <is>
          <t>2</t>
        </is>
      </c>
      <c r="F1510" t="inlineStr">
        <is>
          <t>18</t>
        </is>
      </c>
      <c r="G1510" t="inlineStr">
        <is>
          <t>0</t>
        </is>
      </c>
      <c r="H1510" t="inlineStr">
        <is>
          <t>0</t>
        </is>
      </c>
      <c r="I1510" t="inlineStr">
        <is>
          <t>2⁴, 8², 10⁴, 40²</t>
        </is>
      </c>
      <c r="J1510" t="n">
        <v>12</v>
      </c>
      <c r="K1510" t="inlineStr">
        <is>
          <t>2⁶, 8³</t>
        </is>
      </c>
      <c r="L1510" t="inlineStr">
        <is>
          <t>40A¹, 20I³, 40I³</t>
        </is>
      </c>
      <c r="M1510" t="inlineStr">
        <is>
          <t>40J¹³, 40AR¹⁷</t>
        </is>
      </c>
      <c r="N1510" t="inlineStr">
        <is>
          <t>2A⁰, 20A⁰, 40A¹, 40I³, 5B⁰, 10C⁰, 10A¹, 2B⁰, 20I³, 1A⁰, 2C⁰, 20C², 10G¹</t>
        </is>
      </c>
      <c r="O1510" t="inlineStr">
        <is>
          <t>40J¹³, 40AR¹⁷</t>
        </is>
      </c>
    </row>
    <row r="1511">
      <c r="A1511">
        <f>HYPERLINK("https://mathstats.uncg.edu/sites/pauli/congruence/csg7.html#group42A7", "42A⁷")</f>
        <v/>
      </c>
      <c r="B1511" t="n">
        <v>7</v>
      </c>
      <c r="C1511" t="inlineStr"/>
      <c r="D1511" t="inlineStr">
        <is>
          <t>84</t>
        </is>
      </c>
      <c r="E1511" t="inlineStr">
        <is>
          <t>2</t>
        </is>
      </c>
      <c r="F1511" t="inlineStr">
        <is>
          <t>7</t>
        </is>
      </c>
      <c r="G1511" t="inlineStr">
        <is>
          <t>0</t>
        </is>
      </c>
      <c r="H1511" t="inlineStr">
        <is>
          <t>0</t>
        </is>
      </c>
      <c r="I1511" t="inlineStr">
        <is>
          <t>42²</t>
        </is>
      </c>
      <c r="J1511" t="n">
        <v>2</v>
      </c>
      <c r="K1511" t="inlineStr">
        <is>
          <t>2¹, 6²</t>
        </is>
      </c>
      <c r="L1511" t="inlineStr">
        <is>
          <t>14D¹, 42A¹, 21C², 42A⁴</t>
        </is>
      </c>
      <c r="M1511" t="inlineStr">
        <is>
          <t>42E¹³, 42F¹⁹, 42G¹⁹, 42J¹⁹, 126C²¹</t>
        </is>
      </c>
      <c r="N1511" t="inlineStr">
        <is>
          <t>2A⁰, 14A⁰, 42A¹, 7C⁰, 14A¹, 21C², 21A⁰, 1A⁰, 6A¹, 42A⁴, 3A⁰, 14D¹, 7A⁰</t>
        </is>
      </c>
      <c r="O1511" t="inlineStr">
        <is>
          <t>42F¹⁹, 126C²¹, 42G¹⁹, 42E¹³, 42J¹⁹</t>
        </is>
      </c>
    </row>
    <row r="1512">
      <c r="A1512">
        <f>HYPERLINK("https://mathstats.uncg.edu/sites/pauli/congruence/csg7.html#group42B7", "42B⁷")</f>
        <v/>
      </c>
      <c r="B1512" t="n">
        <v>7</v>
      </c>
      <c r="C1512" t="inlineStr"/>
      <c r="D1512" t="inlineStr">
        <is>
          <t>84</t>
        </is>
      </c>
      <c r="E1512" t="inlineStr">
        <is>
          <t>2</t>
        </is>
      </c>
      <c r="F1512" t="inlineStr">
        <is>
          <t>21</t>
        </is>
      </c>
      <c r="G1512" t="inlineStr">
        <is>
          <t>0</t>
        </is>
      </c>
      <c r="H1512" t="inlineStr">
        <is>
          <t>0</t>
        </is>
      </c>
      <c r="I1512" t="inlineStr">
        <is>
          <t>42²</t>
        </is>
      </c>
      <c r="J1512" t="n">
        <v>2</v>
      </c>
      <c r="K1512" t="inlineStr">
        <is>
          <t>2¹, 4¹, 6², 12²</t>
        </is>
      </c>
      <c r="L1512" t="inlineStr">
        <is>
          <t>21D¹, 42A², 42A⁴</t>
        </is>
      </c>
      <c r="M1512" t="inlineStr">
        <is>
          <t>42D¹³, 42E¹³, 42K¹⁹, 42M¹⁹, 126D²¹, 126F²¹, 126E²¹, 126I²¹</t>
        </is>
      </c>
      <c r="N1512" t="inlineStr">
        <is>
          <t>2A⁰, 42A², 21D¹, 14A¹, 21A⁰, 6A¹, 42A⁴, 3A⁰, 1A⁰, 7A⁰</t>
        </is>
      </c>
      <c r="O1512" t="inlineStr">
        <is>
          <t>42D¹³, 126D²¹, 126F²¹, 42M¹⁹, 126I²¹, 42E¹³, 42K¹⁹, 126E²¹</t>
        </is>
      </c>
    </row>
    <row r="1513">
      <c r="A1513">
        <f>HYPERLINK("https://mathstats.uncg.edu/sites/pauli/congruence/csg7.html#group42C7", "42C⁷")</f>
        <v/>
      </c>
      <c r="B1513" t="n">
        <v>7</v>
      </c>
      <c r="C1513" t="inlineStr"/>
      <c r="D1513" t="inlineStr">
        <is>
          <t>84</t>
        </is>
      </c>
      <c r="E1513" t="inlineStr">
        <is>
          <t>2</t>
        </is>
      </c>
      <c r="F1513" t="inlineStr">
        <is>
          <t>21</t>
        </is>
      </c>
      <c r="G1513" t="inlineStr">
        <is>
          <t>0</t>
        </is>
      </c>
      <c r="H1513" t="inlineStr">
        <is>
          <t>0</t>
        </is>
      </c>
      <c r="I1513" t="inlineStr">
        <is>
          <t>42²</t>
        </is>
      </c>
      <c r="J1513" t="n">
        <v>2</v>
      </c>
      <c r="K1513" t="inlineStr">
        <is>
          <t>2¹, 4¹, 6², 12²</t>
        </is>
      </c>
      <c r="L1513" t="inlineStr">
        <is>
          <t>6B¹, 42B¹, 21D², 42A⁴</t>
        </is>
      </c>
      <c r="M1513" t="inlineStr">
        <is>
          <t>42C¹³, 42D¹³, 42E¹³, 42E¹⁹, 42L¹⁹, 126E²⁰, 126A²¹, 126B²¹, 126G²¹, 126H²¹</t>
        </is>
      </c>
      <c r="N1513" t="inlineStr">
        <is>
          <t>2A⁰, 21D², 6B⁰, 6B¹, 14A¹, 21A⁰, 3C⁰, 6A¹, 42A⁴, 42B¹, 3A⁰, 1A⁰, 7A⁰</t>
        </is>
      </c>
      <c r="O1513" t="inlineStr">
        <is>
          <t>42D¹³, 42C¹³, 126A²¹, 126E²⁰, 126G²¹, 42E¹⁹, 126B²¹, 42L¹⁹, 42E¹³, 126H²¹</t>
        </is>
      </c>
    </row>
    <row r="1514">
      <c r="A1514">
        <f>HYPERLINK("https://mathstats.uncg.edu/sites/pauli/congruence/csg7.html#group42D7", "42D⁷")</f>
        <v/>
      </c>
      <c r="B1514" t="n">
        <v>7</v>
      </c>
      <c r="C1514" t="inlineStr"/>
      <c r="D1514" t="inlineStr">
        <is>
          <t>96</t>
        </is>
      </c>
      <c r="E1514" t="inlineStr">
        <is>
          <t>1</t>
        </is>
      </c>
      <c r="F1514" t="inlineStr">
        <is>
          <t>24</t>
        </is>
      </c>
      <c r="G1514" t="inlineStr">
        <is>
          <t>0</t>
        </is>
      </c>
      <c r="H1514" t="inlineStr">
        <is>
          <t>0</t>
        </is>
      </c>
      <c r="I1514" t="inlineStr">
        <is>
          <t>6², 42²</t>
        </is>
      </c>
      <c r="J1514" t="n">
        <v>4</v>
      </c>
      <c r="K1514" t="inlineStr">
        <is>
          <t>1², 2², 6¹, 12¹</t>
        </is>
      </c>
      <c r="L1514" t="inlineStr">
        <is>
          <t>6E⁰, 21A³, 42C⁴</t>
        </is>
      </c>
      <c r="M1514" t="inlineStr">
        <is>
          <t>42G¹³, 84D¹⁵, 42N¹⁹, 42R¹⁹, 126L²¹, 126N²¹, 126A²³, 126C²³, 126G²³, 126I²³</t>
        </is>
      </c>
      <c r="N1514" t="inlineStr">
        <is>
          <t>6B⁰, 21A², 6E⁰, 7B⁰, 3C⁰, 42C⁴, 3A⁰, 1A⁰, 21A³</t>
        </is>
      </c>
      <c r="O1514" t="inlineStr">
        <is>
          <t>126L²¹, 84D¹⁵, 42N¹⁹, 126G²³, 126I²³, 126C²³, 42G¹³, 126N²¹, 42R¹⁹, 126A²³</t>
        </is>
      </c>
    </row>
    <row r="1515">
      <c r="A1515">
        <f>HYPERLINK("https://mathstats.uncg.edu/sites/pauli/congruence/csg7.html#group42E7", "42E⁷")</f>
        <v/>
      </c>
      <c r="B1515" t="n">
        <v>7</v>
      </c>
      <c r="C1515" t="inlineStr"/>
      <c r="D1515" t="inlineStr">
        <is>
          <t>96</t>
        </is>
      </c>
      <c r="E1515" t="inlineStr">
        <is>
          <t>1</t>
        </is>
      </c>
      <c r="F1515" t="inlineStr">
        <is>
          <t>24</t>
        </is>
      </c>
      <c r="G1515" t="inlineStr">
        <is>
          <t>0</t>
        </is>
      </c>
      <c r="H1515" t="inlineStr">
        <is>
          <t>0</t>
        </is>
      </c>
      <c r="I1515" t="inlineStr">
        <is>
          <t>6², 42²</t>
        </is>
      </c>
      <c r="J1515" t="n">
        <v>4</v>
      </c>
      <c r="K1515" t="inlineStr">
        <is>
          <t>1², 2², 6¹, 12¹</t>
        </is>
      </c>
      <c r="L1515" t="inlineStr">
        <is>
          <t>6B¹, 21A³, 42B⁴, 42C⁴</t>
        </is>
      </c>
      <c r="M1515" t="inlineStr">
        <is>
          <t>42G¹³, 84A¹⁵, 84B¹⁵, 42O¹⁹, 42P¹⁹, 42Q¹⁹, 126M²¹, 126B²³, 126D²³, 126E²³, 126F²³, 126H²³</t>
        </is>
      </c>
      <c r="N1515" t="inlineStr">
        <is>
          <t>2A⁰, 6B⁰, 21A², 42B⁴, 6B¹, 7B⁰, 14B⁰, 3C⁰, 6A¹, 42C⁴, 3A⁰, 1A⁰, 21A³</t>
        </is>
      </c>
      <c r="O1515" t="inlineStr">
        <is>
          <t>126D²³, 42Q¹⁹, 126F²³, 126B²³, 126H²³, 42O¹⁹, 42G¹³, 84B¹⁵, 84A¹⁵, 126E²³, 42P¹⁹, 126M²¹</t>
        </is>
      </c>
    </row>
    <row r="1516">
      <c r="A1516">
        <f>HYPERLINK("https://mathstats.uncg.edu/sites/pauli/congruence/csg7.html#group42F7", "42F⁷")</f>
        <v/>
      </c>
      <c r="B1516" t="n">
        <v>7</v>
      </c>
      <c r="C1516" t="inlineStr"/>
      <c r="D1516" t="inlineStr">
        <is>
          <t>112</t>
        </is>
      </c>
      <c r="E1516" t="inlineStr">
        <is>
          <t>2</t>
        </is>
      </c>
      <c r="F1516" t="inlineStr">
        <is>
          <t>28</t>
        </is>
      </c>
      <c r="G1516" t="inlineStr">
        <is>
          <t>0</t>
        </is>
      </c>
      <c r="H1516" t="inlineStr">
        <is>
          <t>4</t>
        </is>
      </c>
      <c r="I1516" t="inlineStr">
        <is>
          <t>14², 42²</t>
        </is>
      </c>
      <c r="J1516" t="n">
        <v>4</v>
      </c>
      <c r="K1516" t="inlineStr">
        <is>
          <t>2², 4¹, 6⁴, 12²</t>
        </is>
      </c>
      <c r="L1516" t="inlineStr">
        <is>
          <t>14D¹, 21B³, 42D⁴, 42E⁴</t>
        </is>
      </c>
      <c r="M1516" t="inlineStr">
        <is>
          <t>84G¹⁵, 42D²¹, 42E²³, 42F²³, 42G²³, 42H²³, 126J²³, 126K²³, 126L²³, 42B²⁴, 126A²⁴</t>
        </is>
      </c>
      <c r="N1516" t="inlineStr">
        <is>
          <t>21B³, 3B⁰, 2A⁰, 14A⁰, 21B², 42E⁴, 42D⁴, 7C⁰, 6C⁰, 14A¹, 1A⁰, 14D¹, 7A⁰</t>
        </is>
      </c>
      <c r="O1516" t="inlineStr">
        <is>
          <t>42E²³, 42H²³, 126J²³, 126A²⁴, 126K²³, 42B²⁴, 42F²³, 84G¹⁵, 42D²¹, 126L²³, 42G²³</t>
        </is>
      </c>
    </row>
    <row r="1517">
      <c r="A1517">
        <f>HYPERLINK("https://mathstats.uncg.edu/sites/pauli/congruence/csg7.html#group42G7", "42G⁷")</f>
        <v/>
      </c>
      <c r="B1517" t="n">
        <v>7</v>
      </c>
      <c r="C1517" t="inlineStr"/>
      <c r="D1517" t="inlineStr">
        <is>
          <t>126</t>
        </is>
      </c>
      <c r="E1517" t="inlineStr">
        <is>
          <t>1</t>
        </is>
      </c>
      <c r="F1517" t="inlineStr">
        <is>
          <t>63</t>
        </is>
      </c>
      <c r="G1517" t="inlineStr">
        <is>
          <t>12</t>
        </is>
      </c>
      <c r="H1517" t="inlineStr">
        <is>
          <t>0</t>
        </is>
      </c>
      <c r="I1517" t="inlineStr">
        <is>
          <t>42³</t>
        </is>
      </c>
      <c r="J1517" t="n">
        <v>3</v>
      </c>
      <c r="K1517" t="inlineStr">
        <is>
          <t>3¹, 6⁴, 12³</t>
        </is>
      </c>
      <c r="L1517" t="inlineStr">
        <is>
          <t>21E¹</t>
        </is>
      </c>
      <c r="M1517" t="inlineStr">
        <is>
          <t>42D¹⁴, 42C¹⁵, 42F¹⁵, 42F¹⁶, 42G¹⁶, 42B¹⁷, 42D¹⁷, 42A¹⁸, 42D¹⁹, 126B²⁴</t>
        </is>
      </c>
      <c r="N1517" t="inlineStr">
        <is>
          <t>21A⁰, 1A⁰, 3A⁰, 21E¹, 7D⁰, 7A⁰</t>
        </is>
      </c>
      <c r="O1517" t="inlineStr">
        <is>
          <t>42G¹⁶, 42D¹⁹, 42D¹⁷, 42B¹⁷, 42C¹⁵, 42F¹⁶, 42F¹⁵, 42A¹⁸, 126B²⁴, 42D¹⁴</t>
        </is>
      </c>
    </row>
    <row r="1518">
      <c r="A1518">
        <f>HYPERLINK("https://mathstats.uncg.edu/sites/pauli/congruence/csg7.html#group42H7", "42H⁷")</f>
        <v/>
      </c>
      <c r="B1518" t="n">
        <v>7</v>
      </c>
      <c r="C1518" t="inlineStr"/>
      <c r="D1518" t="inlineStr">
        <is>
          <t>126</t>
        </is>
      </c>
      <c r="E1518" t="inlineStr">
        <is>
          <t>2</t>
        </is>
      </c>
      <c r="F1518" t="inlineStr">
        <is>
          <t>21</t>
        </is>
      </c>
      <c r="G1518" t="inlineStr">
        <is>
          <t>12</t>
        </is>
      </c>
      <c r="H1518" t="inlineStr">
        <is>
          <t>0</t>
        </is>
      </c>
      <c r="I1518" t="inlineStr">
        <is>
          <t>42³</t>
        </is>
      </c>
      <c r="J1518" t="n">
        <v>3</v>
      </c>
      <c r="K1518" t="inlineStr">
        <is>
          <t>6⁷</t>
        </is>
      </c>
      <c r="L1518" t="inlineStr">
        <is>
          <t>21E¹, 42A¹, 14B²</t>
        </is>
      </c>
      <c r="M1518" t="inlineStr">
        <is>
          <t>42J¹³, 42E¹⁵, 42G¹⁵, 42D¹⁷, 42E¹⁷, 42A¹⁹, 42F¹⁹</t>
        </is>
      </c>
      <c r="N1518" t="inlineStr">
        <is>
          <t>14A⁰, 14B², 42A¹, 7D⁰, 21E¹, 21A⁰, 3A⁰, 1A⁰, 7A⁰</t>
        </is>
      </c>
      <c r="O1518" t="inlineStr">
        <is>
          <t>42A¹⁹, 42F¹⁹, 42E¹⁵, 42D¹⁷, 42G¹⁵, 42J¹³, 42E¹⁷</t>
        </is>
      </c>
    </row>
    <row r="1519">
      <c r="A1519">
        <f>HYPERLINK("https://mathstats.uncg.edu/sites/pauli/congruence/csg7.html#group42I7", "42I⁷")</f>
        <v/>
      </c>
      <c r="B1519" t="n">
        <v>7</v>
      </c>
      <c r="C1519" t="inlineStr"/>
      <c r="D1519" t="inlineStr">
        <is>
          <t>126</t>
        </is>
      </c>
      <c r="E1519" t="inlineStr">
        <is>
          <t>2</t>
        </is>
      </c>
      <c r="F1519" t="inlineStr">
        <is>
          <t>21</t>
        </is>
      </c>
      <c r="G1519" t="inlineStr">
        <is>
          <t>12</t>
        </is>
      </c>
      <c r="H1519" t="inlineStr">
        <is>
          <t>0</t>
        </is>
      </c>
      <c r="I1519" t="inlineStr">
        <is>
          <t>42³</t>
        </is>
      </c>
      <c r="J1519" t="n">
        <v>3</v>
      </c>
      <c r="K1519" t="inlineStr">
        <is>
          <t>2³, 6⁶</t>
        </is>
      </c>
      <c r="L1519" t="inlineStr">
        <is>
          <t>42A¹, 14C², 42C³</t>
        </is>
      </c>
      <c r="M1519" t="inlineStr">
        <is>
          <t>84C¹⁴, 42H¹⁵, 84G¹⁶, 42F¹⁷, 84C¹⁸, 42G¹⁹, 84A²⁰</t>
        </is>
      </c>
      <c r="N1519" t="inlineStr">
        <is>
          <t>14A⁰, 42A¹, 14B¹, 14C², 21A⁰, 2B⁰, 3A⁰, 1A⁰, 42C³, 6D⁰, 7A⁰</t>
        </is>
      </c>
      <c r="O1519" t="inlineStr">
        <is>
          <t>84C¹⁴, 84C¹⁸, 84A²⁰, 42G¹⁹, 42H¹⁵, 42F¹⁷, 84G¹⁶</t>
        </is>
      </c>
    </row>
    <row r="1520">
      <c r="A1520">
        <f>HYPERLINK("https://mathstats.uncg.edu/sites/pauli/congruence/csg7.html#group42J7", "42J⁷")</f>
        <v/>
      </c>
      <c r="B1520" t="n">
        <v>7</v>
      </c>
      <c r="C1520" t="inlineStr"/>
      <c r="D1520" t="inlineStr">
        <is>
          <t>126</t>
        </is>
      </c>
      <c r="E1520" t="inlineStr">
        <is>
          <t>2</t>
        </is>
      </c>
      <c r="F1520" t="inlineStr">
        <is>
          <t>42</t>
        </is>
      </c>
      <c r="G1520" t="inlineStr">
        <is>
          <t>12</t>
        </is>
      </c>
      <c r="H1520" t="inlineStr">
        <is>
          <t>0</t>
        </is>
      </c>
      <c r="I1520" t="inlineStr">
        <is>
          <t>42³</t>
        </is>
      </c>
      <c r="J1520" t="n">
        <v>3</v>
      </c>
      <c r="K1520" t="inlineStr">
        <is>
          <t>6¹⁴</t>
        </is>
      </c>
      <c r="L1520" t="inlineStr">
        <is>
          <t>14F¹, 42A¹</t>
        </is>
      </c>
      <c r="M1520" t="inlineStr">
        <is>
          <t>42I¹⁵, 42H¹⁷, 42J¹⁹</t>
        </is>
      </c>
      <c r="N1520" t="inlineStr">
        <is>
          <t>14A⁰, 14F¹, 42A¹, 21A⁰, 3A⁰, 1A⁰, 7A⁰</t>
        </is>
      </c>
      <c r="O1520" t="inlineStr">
        <is>
          <t>42I¹⁵, 42J¹⁹, 42H¹⁷</t>
        </is>
      </c>
    </row>
    <row r="1521">
      <c r="A1521">
        <f>HYPERLINK("https://mathstats.uncg.edu/sites/pauli/congruence/csg7.html#group42K7", "42K⁷")</f>
        <v/>
      </c>
      <c r="B1521" t="n">
        <v>7</v>
      </c>
      <c r="C1521" t="inlineStr"/>
      <c r="D1521" t="inlineStr">
        <is>
          <t>126</t>
        </is>
      </c>
      <c r="E1521" t="inlineStr">
        <is>
          <t>2</t>
        </is>
      </c>
      <c r="F1521" t="inlineStr">
        <is>
          <t>63</t>
        </is>
      </c>
      <c r="G1521" t="inlineStr">
        <is>
          <t>10</t>
        </is>
      </c>
      <c r="H1521" t="inlineStr">
        <is>
          <t>0</t>
        </is>
      </c>
      <c r="I1521" t="inlineStr">
        <is>
          <t>21², 42²</t>
        </is>
      </c>
      <c r="J1521" t="n">
        <v>4</v>
      </c>
      <c r="K1521" t="inlineStr">
        <is>
          <t>2³, 4³, 6⁶, 12⁶</t>
        </is>
      </c>
      <c r="L1521" t="inlineStr">
        <is>
          <t>21D¹, 42C³</t>
        </is>
      </c>
      <c r="M1521" t="inlineStr">
        <is>
          <t>42H¹⁵, 84H¹⁵, 84I¹⁵, 42C¹⁶, 42H¹⁶, 42I¹⁶, 84D¹⁶, 84E¹⁶, 42C¹⁷, 84G¹⁸, 84H¹⁸, 42K¹⁹, 84C¹⁹, 84E¹⁹, 42L²³</t>
        </is>
      </c>
      <c r="N1521" t="inlineStr">
        <is>
          <t>14B¹, 21D¹, 21A⁰, 2B⁰, 3A⁰, 1A⁰, 42C³, 6D⁰, 7A⁰</t>
        </is>
      </c>
      <c r="O1521" t="inlineStr">
        <is>
          <t>42H¹⁶, 84H¹⁸, 84G¹⁸, 84E¹⁶, 84C¹⁹, 42I¹⁶, 42C¹⁶, 84E¹⁹, 42L²³, 84H¹⁵, 42K¹⁹, 42H¹⁵, 84D¹⁶, 84I¹⁵, 42C¹⁷</t>
        </is>
      </c>
    </row>
    <row r="1522">
      <c r="A1522">
        <f>HYPERLINK("https://mathstats.uncg.edu/sites/pauli/congruence/csg7.html#group42L7", "42L⁷")</f>
        <v/>
      </c>
      <c r="B1522" t="n">
        <v>7</v>
      </c>
      <c r="C1522" t="inlineStr"/>
      <c r="D1522" t="inlineStr">
        <is>
          <t>126</t>
        </is>
      </c>
      <c r="E1522" t="inlineStr">
        <is>
          <t>2</t>
        </is>
      </c>
      <c r="F1522" t="inlineStr">
        <is>
          <t>63</t>
        </is>
      </c>
      <c r="G1522" t="inlineStr">
        <is>
          <t>12</t>
        </is>
      </c>
      <c r="H1522" t="inlineStr">
        <is>
          <t>0</t>
        </is>
      </c>
      <c r="I1522" t="inlineStr">
        <is>
          <t>42³</t>
        </is>
      </c>
      <c r="J1522" t="n">
        <v>3</v>
      </c>
      <c r="K1522" t="inlineStr">
        <is>
          <t>2³, 4³, 6⁶, 12⁶</t>
        </is>
      </c>
      <c r="L1522" t="inlineStr">
        <is>
          <t>6H⁰, 42B¹, 42C³</t>
        </is>
      </c>
      <c r="M1522" t="inlineStr">
        <is>
          <t>84D¹⁴, 42H¹⁵, 42E¹⁶, 42H¹⁶, 42I¹⁶, 84H¹⁶, 42G¹⁷, 84I¹⁷, 84J¹⁷, 84M¹⁷, 84N¹⁷, 84D¹⁸, 42L¹⁹, 84G²⁰, 42K²³</t>
        </is>
      </c>
      <c r="N1522" t="inlineStr">
        <is>
          <t>6B⁰, 14B¹, 6H⁰, 21A⁰, 2B⁰, 42B¹, 3A⁰, 1A⁰, 42C³, 6D⁰, 7A⁰</t>
        </is>
      </c>
      <c r="O1522" t="inlineStr">
        <is>
          <t>42H¹⁶, 42G¹⁷, 84D¹⁴, 84J¹⁷, 42K²³, 42E¹⁶, 84D¹⁸, 42I¹⁶, 84M¹⁷, 84H¹⁶, 84N¹⁷, 42L¹⁹, 42H¹⁵, 84G²⁰, 84I¹⁷</t>
        </is>
      </c>
    </row>
    <row r="1523">
      <c r="A1523">
        <f>HYPERLINK("https://mathstats.uncg.edu/sites/pauli/congruence/csg7.html#group42M7", "42M⁷")</f>
        <v/>
      </c>
      <c r="B1523" t="n">
        <v>7</v>
      </c>
      <c r="C1523" t="inlineStr"/>
      <c r="D1523" t="inlineStr">
        <is>
          <t>144</t>
        </is>
      </c>
      <c r="E1523" t="inlineStr">
        <is>
          <t>2</t>
        </is>
      </c>
      <c r="F1523" t="inlineStr">
        <is>
          <t>16</t>
        </is>
      </c>
      <c r="G1523" t="inlineStr">
        <is>
          <t>0</t>
        </is>
      </c>
      <c r="H1523" t="inlineStr">
        <is>
          <t>9</t>
        </is>
      </c>
      <c r="I1523" t="inlineStr">
        <is>
          <t>6³, 42³</t>
        </is>
      </c>
      <c r="J1523" t="n">
        <v>6</v>
      </c>
      <c r="K1523" t="inlineStr">
        <is>
          <t>2⁴, 12²</t>
        </is>
      </c>
      <c r="L1523" t="inlineStr">
        <is>
          <t>14C⁰, 42B², 42C², 42B³</t>
        </is>
      </c>
      <c r="M1523" t="inlineStr">
        <is>
          <t>84K¹⁶</t>
        </is>
      </c>
      <c r="N1523" t="inlineStr">
        <is>
          <t>42B², 2A⁰, 6A⁰, 7B⁰, 14B⁰, 42C², 14C⁰, 1A⁰, 42B³, 21A¹</t>
        </is>
      </c>
      <c r="O1523" t="inlineStr">
        <is>
          <t>84K¹⁶</t>
        </is>
      </c>
    </row>
    <row r="1524">
      <c r="A1524">
        <f>HYPERLINK("https://mathstats.uncg.edu/sites/pauli/congruence/csg7.html#group42N7", "42N⁷")</f>
        <v/>
      </c>
      <c r="B1524" t="n">
        <v>7</v>
      </c>
      <c r="C1524" t="inlineStr"/>
      <c r="D1524" t="inlineStr">
        <is>
          <t>168</t>
        </is>
      </c>
      <c r="E1524" t="inlineStr">
        <is>
          <t>1</t>
        </is>
      </c>
      <c r="F1524" t="inlineStr">
        <is>
          <t>28</t>
        </is>
      </c>
      <c r="G1524" t="inlineStr">
        <is>
          <t>24</t>
        </is>
      </c>
      <c r="H1524" t="inlineStr">
        <is>
          <t>0</t>
        </is>
      </c>
      <c r="I1524" t="inlineStr">
        <is>
          <t>42⁴</t>
        </is>
      </c>
      <c r="J1524" t="n">
        <v>4</v>
      </c>
      <c r="K1524" t="inlineStr">
        <is>
          <t>1¹, 3¹, 6⁴</t>
        </is>
      </c>
      <c r="L1524" t="inlineStr">
        <is>
          <t>14G¹, 42A¹, 21C³</t>
        </is>
      </c>
      <c r="M1524" t="inlineStr">
        <is>
          <t>42K¹⁷, 42B²¹, 84I²¹, 84J²¹, 84K²¹, 84L²¹</t>
        </is>
      </c>
      <c r="N1524" t="inlineStr">
        <is>
          <t>14A⁰, 42A¹, 7F⁰, 21A⁰, 14G¹, 3A⁰, 1A⁰, 21C³, 7A⁰</t>
        </is>
      </c>
      <c r="O1524" t="inlineStr">
        <is>
          <t>84J²¹, 84L²¹, 42K¹⁷, 84I²¹, 42B²¹, 84K²¹</t>
        </is>
      </c>
    </row>
    <row r="1525">
      <c r="A1525">
        <f>HYPERLINK("https://mathstats.uncg.edu/sites/pauli/congruence/csg7.html#group44A7", "44A⁷")</f>
        <v/>
      </c>
      <c r="B1525" t="n">
        <v>7</v>
      </c>
      <c r="C1525" t="inlineStr"/>
      <c r="D1525" t="inlineStr">
        <is>
          <t>96</t>
        </is>
      </c>
      <c r="E1525" t="inlineStr">
        <is>
          <t>1</t>
        </is>
      </c>
      <c r="F1525" t="inlineStr">
        <is>
          <t>48</t>
        </is>
      </c>
      <c r="G1525" t="inlineStr">
        <is>
          <t>0</t>
        </is>
      </c>
      <c r="H1525" t="inlineStr">
        <is>
          <t>0</t>
        </is>
      </c>
      <c r="I1525" t="inlineStr">
        <is>
          <t>4², 44²</t>
        </is>
      </c>
      <c r="J1525" t="n">
        <v>4</v>
      </c>
      <c r="K1525" t="inlineStr">
        <is>
          <t>2⁴, 20²</t>
        </is>
      </c>
      <c r="L1525" t="inlineStr">
        <is>
          <t>4D⁰, 22A², 44B⁴</t>
        </is>
      </c>
      <c r="M1525" t="inlineStr">
        <is>
          <t>44A¹³, 88A¹⁵, 88B¹⁵, 44A¹⁹, 132C²³, 132E²³</t>
        </is>
      </c>
      <c r="N1525" t="inlineStr">
        <is>
          <t>2A⁰, 11A¹, 22A², 44B⁴, 4D⁰, 4A⁰, 1A⁰</t>
        </is>
      </c>
      <c r="O1525" t="inlineStr">
        <is>
          <t>44A¹³, 132C²³, 132E²³, 44A¹⁹, 88B¹⁵, 88A¹⁵</t>
        </is>
      </c>
    </row>
    <row r="1526">
      <c r="A1526">
        <f>HYPERLINK("https://mathstats.uncg.edu/sites/pauli/congruence/csg7.html#group45A7", "45A⁷")</f>
        <v/>
      </c>
      <c r="B1526" t="n">
        <v>7</v>
      </c>
      <c r="C1526" t="inlineStr"/>
      <c r="D1526" t="inlineStr">
        <is>
          <t>90</t>
        </is>
      </c>
      <c r="E1526" t="inlineStr">
        <is>
          <t>2</t>
        </is>
      </c>
      <c r="F1526" t="inlineStr">
        <is>
          <t>45</t>
        </is>
      </c>
      <c r="G1526" t="inlineStr">
        <is>
          <t>2</t>
        </is>
      </c>
      <c r="H1526" t="inlineStr">
        <is>
          <t>0</t>
        </is>
      </c>
      <c r="I1526" t="inlineStr">
        <is>
          <t>45²</t>
        </is>
      </c>
      <c r="J1526" t="n">
        <v>2</v>
      </c>
      <c r="K1526" t="inlineStr">
        <is>
          <t>2³, 6², 8³, 24²</t>
        </is>
      </c>
      <c r="L1526" t="inlineStr">
        <is>
          <t>9B¹, 15A², 45A³</t>
        </is>
      </c>
      <c r="M1526" t="inlineStr">
        <is>
          <t>45A¹⁴, 90D¹⁴, 90F¹⁵, 45B¹⁹, 45C¹⁹, 45E¹⁹, 45A²⁰, 90B²¹</t>
        </is>
      </c>
      <c r="N1526" t="inlineStr">
        <is>
          <t>5A⁰, 15A², 9A⁰, 3C⁰, 3A⁰, 1A⁰, 9B¹, 15A¹, 45A³</t>
        </is>
      </c>
      <c r="O1526" t="inlineStr">
        <is>
          <t>45E¹⁹, 45A²⁰, 45C¹⁹, 90F¹⁵, 90B²¹, 45A¹⁴, 45B¹⁹, 90D¹⁴</t>
        </is>
      </c>
    </row>
    <row r="1527">
      <c r="A1527">
        <f>HYPERLINK("https://mathstats.uncg.edu/sites/pauli/congruence/csg7.html#group45B7", "45B⁷")</f>
        <v/>
      </c>
      <c r="B1527" t="n">
        <v>7</v>
      </c>
      <c r="C1527" t="inlineStr"/>
      <c r="D1527" t="inlineStr">
        <is>
          <t>108</t>
        </is>
      </c>
      <c r="E1527" t="inlineStr">
        <is>
          <t>2</t>
        </is>
      </c>
      <c r="F1527" t="inlineStr">
        <is>
          <t>54</t>
        </is>
      </c>
      <c r="G1527" t="inlineStr">
        <is>
          <t>4</t>
        </is>
      </c>
      <c r="H1527" t="inlineStr">
        <is>
          <t>0</t>
        </is>
      </c>
      <c r="I1527" t="inlineStr">
        <is>
          <t>9², 45²</t>
        </is>
      </c>
      <c r="J1527" t="n">
        <v>4</v>
      </c>
      <c r="K1527" t="inlineStr">
        <is>
          <t>2⁶, 6⁴, 8³, 24²</t>
        </is>
      </c>
      <c r="L1527" t="inlineStr">
        <is>
          <t>9B¹, 15E¹, 45A²</t>
        </is>
      </c>
      <c r="M1527" t="inlineStr">
        <is>
          <t>45N¹³, 45A¹⁵, 45C¹⁵, 90K¹⁵, 90N¹⁵, 90I¹⁷, 90K¹⁷, 45G¹⁹, 45A²¹, 90B²³</t>
        </is>
      </c>
      <c r="N1527" t="inlineStr">
        <is>
          <t>45A², 15B⁰, 9A⁰, 5B⁰, 3C⁰, 3A⁰, 1A⁰, 9B¹, 15E¹</t>
        </is>
      </c>
      <c r="O1527" t="inlineStr">
        <is>
          <t>90I¹⁷, 90N¹⁵, 45N¹³, 90K¹⁵, 90K¹⁷, 45A¹⁵, 90B²³, 45A²¹, 45G¹⁹, 45C¹⁵</t>
        </is>
      </c>
    </row>
    <row r="1528">
      <c r="A1528">
        <f>HYPERLINK("https://mathstats.uncg.edu/sites/pauli/congruence/csg7.html#group45C7", "45C⁷")</f>
        <v/>
      </c>
      <c r="B1528" t="n">
        <v>7</v>
      </c>
      <c r="C1528" t="inlineStr"/>
      <c r="D1528" t="inlineStr">
        <is>
          <t>120</t>
        </is>
      </c>
      <c r="E1528" t="inlineStr">
        <is>
          <t>1</t>
        </is>
      </c>
      <c r="F1528" t="inlineStr">
        <is>
          <t>40</t>
        </is>
      </c>
      <c r="G1528" t="inlineStr">
        <is>
          <t>0</t>
        </is>
      </c>
      <c r="H1528" t="inlineStr">
        <is>
          <t>0</t>
        </is>
      </c>
      <c r="I1528" t="inlineStr">
        <is>
          <t>5⁶, 45²</t>
        </is>
      </c>
      <c r="J1528" t="n">
        <v>8</v>
      </c>
      <c r="K1528" t="inlineStr">
        <is>
          <t>2², 4⁵, 8²</t>
        </is>
      </c>
      <c r="L1528" t="inlineStr">
        <is>
          <t>9B⁰, 15C²</t>
        </is>
      </c>
      <c r="M1528" t="inlineStr">
        <is>
          <t>45O¹³, 90L¹⁷, 90M¹⁷, 45H¹⁹, 45B²³, 90E²³, 135A²³</t>
        </is>
      </c>
      <c r="N1528" t="inlineStr">
        <is>
          <t>3B⁰, 9B⁰, 15C², 1A⁰, 5C⁰</t>
        </is>
      </c>
      <c r="O1528" t="inlineStr">
        <is>
          <t>135A²³, 90L¹⁷, 90E²³, 90M¹⁷, 45O¹³, 45B²³, 45H¹⁹</t>
        </is>
      </c>
    </row>
    <row r="1529">
      <c r="A1529">
        <f>HYPERLINK("https://mathstats.uncg.edu/sites/pauli/congruence/csg7.html#group45D7", "45D⁷")</f>
        <v/>
      </c>
      <c r="B1529" t="n">
        <v>7</v>
      </c>
      <c r="C1529" t="inlineStr"/>
      <c r="D1529" t="inlineStr">
        <is>
          <t>135</t>
        </is>
      </c>
      <c r="E1529" t="inlineStr">
        <is>
          <t>1</t>
        </is>
      </c>
      <c r="F1529" t="inlineStr">
        <is>
          <t>45</t>
        </is>
      </c>
      <c r="G1529" t="inlineStr">
        <is>
          <t>15</t>
        </is>
      </c>
      <c r="H1529" t="inlineStr">
        <is>
          <t>0</t>
        </is>
      </c>
      <c r="I1529" t="inlineStr">
        <is>
          <t>45³</t>
        </is>
      </c>
      <c r="J1529" t="n">
        <v>3</v>
      </c>
      <c r="K1529" t="inlineStr">
        <is>
          <t>1¹, 2¹, 4¹, 6¹, 8¹, 24¹</t>
        </is>
      </c>
      <c r="L1529" t="inlineStr">
        <is>
          <t>15F¹, 45A³</t>
        </is>
      </c>
      <c r="M1529" t="inlineStr">
        <is>
          <t>45B¹⁶, 45D¹⁶, 90B¹⁶, 45C¹⁷, 90P¹⁷, 45A¹⁸, 90C¹⁸, 45B¹⁹, 90D¹⁹, 90I¹⁹, 90A²²</t>
        </is>
      </c>
      <c r="N1529" t="inlineStr">
        <is>
          <t>5A⁰, 9A⁰, 15F¹, 5E⁰, 15A⁰, 3A⁰, 1A⁰, 15A¹, 45A³</t>
        </is>
      </c>
      <c r="O1529" t="inlineStr">
        <is>
          <t>45A¹⁸, 45B¹⁶, 90D¹⁹, 90I¹⁹, 90A²², 90B¹⁶, 45B¹⁹, 45D¹⁶, 45C¹⁷, 90C¹⁸, 90P¹⁷</t>
        </is>
      </c>
    </row>
    <row r="1530">
      <c r="A1530">
        <f>HYPERLINK("https://mathstats.uncg.edu/sites/pauli/congruence/csg7.html#group48A7", "48A⁷")</f>
        <v/>
      </c>
      <c r="B1530" t="n">
        <v>7</v>
      </c>
      <c r="C1530" t="inlineStr"/>
      <c r="D1530" t="inlineStr">
        <is>
          <t>96</t>
        </is>
      </c>
      <c r="E1530" t="inlineStr">
        <is>
          <t>1</t>
        </is>
      </c>
      <c r="F1530" t="inlineStr">
        <is>
          <t>12</t>
        </is>
      </c>
      <c r="G1530" t="inlineStr">
        <is>
          <t>0</t>
        </is>
      </c>
      <c r="H1530" t="inlineStr">
        <is>
          <t>0</t>
        </is>
      </c>
      <c r="I1530" t="inlineStr">
        <is>
          <t>8¹, 16¹, 24¹, 48¹</t>
        </is>
      </c>
      <c r="J1530" t="n">
        <v>4</v>
      </c>
      <c r="K1530" t="inlineStr">
        <is>
          <t>1⁶, 2³</t>
        </is>
      </c>
      <c r="L1530" t="inlineStr">
        <is>
          <t>24C³</t>
        </is>
      </c>
      <c r="M1530" t="inlineStr">
        <is>
          <t>48C¹³, 48E¹³, 48M¹³, 48A²¹, 144A²¹, 144B²³, 144A²³</t>
        </is>
      </c>
      <c r="N1530" t="inlineStr">
        <is>
          <t>24C³, 3B⁰, 8A¹, 12F¹, 4C⁰, 1A⁰, 2B⁰, 6F⁰</t>
        </is>
      </c>
      <c r="O1530" t="inlineStr">
        <is>
          <t>48M¹³, 144A²¹, 144B²³, 48C¹³, 144A²³, 48E¹³, 48A²¹</t>
        </is>
      </c>
    </row>
    <row r="1531">
      <c r="A1531">
        <f>HYPERLINK("https://mathstats.uncg.edu/sites/pauli/congruence/csg7.html#group48B7", "48B⁷")</f>
        <v/>
      </c>
      <c r="B1531" t="n">
        <v>7</v>
      </c>
      <c r="C1531" t="inlineStr"/>
      <c r="D1531" t="inlineStr">
        <is>
          <t>96</t>
        </is>
      </c>
      <c r="E1531" t="inlineStr">
        <is>
          <t>1</t>
        </is>
      </c>
      <c r="F1531" t="inlineStr">
        <is>
          <t>12</t>
        </is>
      </c>
      <c r="G1531" t="inlineStr">
        <is>
          <t>0</t>
        </is>
      </c>
      <c r="H1531" t="inlineStr">
        <is>
          <t>0</t>
        </is>
      </c>
      <c r="I1531" t="inlineStr">
        <is>
          <t>8¹, 16¹, 24¹, 48¹</t>
        </is>
      </c>
      <c r="J1531" t="n">
        <v>4</v>
      </c>
      <c r="K1531" t="inlineStr">
        <is>
          <t>1⁶, 2³</t>
        </is>
      </c>
      <c r="L1531" t="inlineStr">
        <is>
          <t>24C³</t>
        </is>
      </c>
      <c r="M1531" t="inlineStr">
        <is>
          <t>48C¹³, 48F¹³, 48N¹³, 48B²¹, 144B²¹, 144D²³, 144C²³</t>
        </is>
      </c>
      <c r="N1531" t="inlineStr">
        <is>
          <t>24C³, 3B⁰, 8A¹, 12F¹, 4C⁰, 1A⁰, 2B⁰, 6F⁰</t>
        </is>
      </c>
      <c r="O1531" t="inlineStr">
        <is>
          <t>48B²¹, 48N¹³, 48C¹³, 144B²¹, 144C²³, 144D²³, 48F¹³</t>
        </is>
      </c>
    </row>
    <row r="1532">
      <c r="A1532">
        <f>HYPERLINK("https://mathstats.uncg.edu/sites/pauli/congruence/csg7.html#group48C7", "48C⁷")</f>
        <v/>
      </c>
      <c r="B1532" t="n">
        <v>7</v>
      </c>
      <c r="C1532" t="inlineStr"/>
      <c r="D1532" t="inlineStr">
        <is>
          <t>96</t>
        </is>
      </c>
      <c r="E1532" t="inlineStr">
        <is>
          <t>1</t>
        </is>
      </c>
      <c r="F1532" t="inlineStr">
        <is>
          <t>12</t>
        </is>
      </c>
      <c r="G1532" t="inlineStr">
        <is>
          <t>0</t>
        </is>
      </c>
      <c r="H1532" t="inlineStr">
        <is>
          <t>0</t>
        </is>
      </c>
      <c r="I1532" t="inlineStr">
        <is>
          <t>8¹, 16¹, 24¹, 48¹</t>
        </is>
      </c>
      <c r="J1532" t="n">
        <v>4</v>
      </c>
      <c r="K1532" t="inlineStr">
        <is>
          <t>1⁶, 2³</t>
        </is>
      </c>
      <c r="L1532" t="inlineStr">
        <is>
          <t>16B⁰, 24B³</t>
        </is>
      </c>
      <c r="M1532" t="inlineStr">
        <is>
          <t>48D¹³, 48G¹³, 48O¹³, 96C¹⁵, 96D¹⁵, 48C²¹, 144C²¹, 144F²³, 144E²³</t>
        </is>
      </c>
      <c r="N1532" t="inlineStr">
        <is>
          <t>16B⁰, 3B⁰, 24B³, 12F¹, 4C⁰, 8B⁰, 6F⁰, 2B⁰, 1A⁰</t>
        </is>
      </c>
      <c r="O1532" t="inlineStr">
        <is>
          <t>144C²¹, 96C¹⁵, 48C²¹, 144E²³, 96D¹⁵, 48D¹³, 48G¹³, 48O¹³, 144F²³</t>
        </is>
      </c>
    </row>
    <row r="1533">
      <c r="A1533">
        <f>HYPERLINK("https://mathstats.uncg.edu/sites/pauli/congruence/csg7.html#group48D7", "48D⁷")</f>
        <v/>
      </c>
      <c r="B1533" t="n">
        <v>7</v>
      </c>
      <c r="C1533" t="inlineStr"/>
      <c r="D1533" t="inlineStr">
        <is>
          <t>96</t>
        </is>
      </c>
      <c r="E1533" t="inlineStr">
        <is>
          <t>1</t>
        </is>
      </c>
      <c r="F1533" t="inlineStr">
        <is>
          <t>12</t>
        </is>
      </c>
      <c r="G1533" t="inlineStr">
        <is>
          <t>0</t>
        </is>
      </c>
      <c r="H1533" t="inlineStr">
        <is>
          <t>0</t>
        </is>
      </c>
      <c r="I1533" t="inlineStr">
        <is>
          <t>8¹, 16¹, 24¹, 48¹</t>
        </is>
      </c>
      <c r="J1533" t="n">
        <v>4</v>
      </c>
      <c r="K1533" t="inlineStr">
        <is>
          <t>1⁶, 2³</t>
        </is>
      </c>
      <c r="L1533" t="inlineStr">
        <is>
          <t>16A², 24B³</t>
        </is>
      </c>
      <c r="M1533" t="inlineStr">
        <is>
          <t>48D¹³, 48H¹³, 48P¹³, 96A¹⁵, 96B¹⁵, 48D²¹, 144D²¹, 144H²³, 144G²³</t>
        </is>
      </c>
      <c r="N1533" t="inlineStr">
        <is>
          <t>3B⁰, 24B³, 12F¹, 4C⁰, 8B⁰, 1A⁰, 2B⁰, 6F⁰, 16A²</t>
        </is>
      </c>
      <c r="O1533" t="inlineStr">
        <is>
          <t>144H²³, 48P¹³, 48D¹³, 96B¹⁵, 48D²¹, 144G²³, 96A¹⁵, 48H¹³, 144D²¹</t>
        </is>
      </c>
    </row>
    <row r="1534">
      <c r="A1534">
        <f>HYPERLINK("https://mathstats.uncg.edu/sites/pauli/congruence/csg7.html#group48E7", "48E⁷")</f>
        <v/>
      </c>
      <c r="B1534" t="n">
        <v>7</v>
      </c>
      <c r="C1534" t="inlineStr"/>
      <c r="D1534" t="inlineStr">
        <is>
          <t>96</t>
        </is>
      </c>
      <c r="E1534" t="inlineStr">
        <is>
          <t>1</t>
        </is>
      </c>
      <c r="F1534" t="inlineStr">
        <is>
          <t>24</t>
        </is>
      </c>
      <c r="G1534" t="inlineStr">
        <is>
          <t>0</t>
        </is>
      </c>
      <c r="H1534" t="inlineStr">
        <is>
          <t>0</t>
        </is>
      </c>
      <c r="I1534" t="inlineStr">
        <is>
          <t>8¹, 16¹, 24¹, 48¹</t>
        </is>
      </c>
      <c r="J1534" t="n">
        <v>4</v>
      </c>
      <c r="K1534" t="inlineStr">
        <is>
          <t>1⁴, 2⁶, 4²</t>
        </is>
      </c>
      <c r="L1534" t="inlineStr">
        <is>
          <t>24C³</t>
        </is>
      </c>
      <c r="M1534" t="inlineStr">
        <is>
          <t>48A¹³, 48E¹³, 48F¹³, 48S¹³, 48G²¹, 144I²¹, 144J²³, 144I²³</t>
        </is>
      </c>
      <c r="N1534" t="inlineStr">
        <is>
          <t>24C³, 3B⁰, 8A¹, 12F¹, 4C⁰, 1A⁰, 2B⁰, 6F⁰</t>
        </is>
      </c>
      <c r="O1534" t="inlineStr">
        <is>
          <t>144I²³, 48G²¹, 48A¹³, 144I²¹, 48S¹³, 48E¹³, 144J²³, 48F¹³</t>
        </is>
      </c>
    </row>
    <row r="1535">
      <c r="A1535">
        <f>HYPERLINK("https://mathstats.uncg.edu/sites/pauli/congruence/csg7.html#group48F7", "48F⁷")</f>
        <v/>
      </c>
      <c r="B1535" t="n">
        <v>7</v>
      </c>
      <c r="C1535" t="inlineStr"/>
      <c r="D1535" t="inlineStr">
        <is>
          <t>96</t>
        </is>
      </c>
      <c r="E1535" t="inlineStr">
        <is>
          <t>1</t>
        </is>
      </c>
      <c r="F1535" t="inlineStr">
        <is>
          <t>24</t>
        </is>
      </c>
      <c r="G1535" t="inlineStr">
        <is>
          <t>0</t>
        </is>
      </c>
      <c r="H1535" t="inlineStr">
        <is>
          <t>0</t>
        </is>
      </c>
      <c r="I1535" t="inlineStr">
        <is>
          <t>8¹, 16¹, 24¹, 48¹</t>
        </is>
      </c>
      <c r="J1535" t="n">
        <v>4</v>
      </c>
      <c r="K1535" t="inlineStr">
        <is>
          <t>1⁴, 2⁶, 4²</t>
        </is>
      </c>
      <c r="L1535" t="inlineStr">
        <is>
          <t>16B¹, 24B³</t>
        </is>
      </c>
      <c r="M1535" t="inlineStr">
        <is>
          <t>48B¹³, 48G¹³, 48H¹³, 48T¹³, 48H²¹, 144J²¹, 144L²³, 144K²³</t>
        </is>
      </c>
      <c r="N1535" t="inlineStr">
        <is>
          <t>3B⁰, 24B³, 12F¹, 4C⁰, 8B⁰, 16B¹, 1A⁰, 2B⁰, 6F⁰</t>
        </is>
      </c>
      <c r="O1535" t="inlineStr">
        <is>
          <t>144J²¹, 48B¹³, 144L²³, 144K²³, 48H²¹, 48T¹³, 48G¹³, 48H¹³</t>
        </is>
      </c>
    </row>
    <row r="1536">
      <c r="A1536">
        <f>HYPERLINK("https://mathstats.uncg.edu/sites/pauli/congruence/csg7.html#group48G7", "48G⁷")</f>
        <v/>
      </c>
      <c r="B1536" t="n">
        <v>7</v>
      </c>
      <c r="C1536" t="inlineStr"/>
      <c r="D1536" t="inlineStr">
        <is>
          <t>96</t>
        </is>
      </c>
      <c r="E1536" t="inlineStr">
        <is>
          <t>1</t>
        </is>
      </c>
      <c r="F1536" t="inlineStr">
        <is>
          <t>48</t>
        </is>
      </c>
      <c r="G1536" t="inlineStr">
        <is>
          <t>0</t>
        </is>
      </c>
      <c r="H1536" t="inlineStr">
        <is>
          <t>0</t>
        </is>
      </c>
      <c r="I1536" t="inlineStr">
        <is>
          <t>8¹, 16¹, 24¹, 48¹</t>
        </is>
      </c>
      <c r="J1536" t="n">
        <v>4</v>
      </c>
      <c r="K1536" t="inlineStr">
        <is>
          <t>1⁸, 2⁸, 4⁴, 8¹</t>
        </is>
      </c>
      <c r="L1536" t="inlineStr">
        <is>
          <t>16D¹, 24B³</t>
        </is>
      </c>
      <c r="M1536" t="inlineStr">
        <is>
          <t>48J¹³, 48K¹³, 48O¹³, 48P¹³, 48T¹³, 96G¹⁵, 96J¹⁵, 96I¹⁵, 96H¹⁵, 48W²¹, 144K²¹, 144N²³, 144M²³</t>
        </is>
      </c>
      <c r="N1536" t="inlineStr">
        <is>
          <t>3B⁰, 16D¹, 24B³, 12F¹, 4C⁰, 8B⁰, 1A⁰, 2B⁰, 6F⁰</t>
        </is>
      </c>
      <c r="O1536" t="inlineStr">
        <is>
          <t>144N²³, 48W²¹, 96J¹⁵, 48P¹³, 96I¹⁵, 48J¹³, 96H¹⁵, 48K¹³, 144K²¹, 48T¹³, 96G¹⁵, 48O¹³, 144M²³</t>
        </is>
      </c>
    </row>
    <row r="1537">
      <c r="A1537">
        <f>HYPERLINK("https://mathstats.uncg.edu/sites/pauli/congruence/csg7.html#group48H7", "48H⁷")</f>
        <v/>
      </c>
      <c r="B1537" t="n">
        <v>7</v>
      </c>
      <c r="C1537" t="inlineStr"/>
      <c r="D1537" t="inlineStr">
        <is>
          <t>96</t>
        </is>
      </c>
      <c r="E1537" t="inlineStr">
        <is>
          <t>1</t>
        </is>
      </c>
      <c r="F1537" t="inlineStr">
        <is>
          <t>48</t>
        </is>
      </c>
      <c r="G1537" t="inlineStr">
        <is>
          <t>0</t>
        </is>
      </c>
      <c r="H1537" t="inlineStr">
        <is>
          <t>0</t>
        </is>
      </c>
      <c r="I1537" t="inlineStr">
        <is>
          <t>8¹, 16¹, 24¹, 48¹</t>
        </is>
      </c>
      <c r="J1537" t="n">
        <v>4</v>
      </c>
      <c r="K1537" t="inlineStr">
        <is>
          <t>1⁸, 2⁸, 4⁴, 8¹</t>
        </is>
      </c>
      <c r="L1537" t="inlineStr">
        <is>
          <t>16B², 24C³</t>
        </is>
      </c>
      <c r="M1537" t="inlineStr">
        <is>
          <t>48J¹³, 48L¹³, 48M¹³, 48N¹³, 48S¹³, 96E¹⁵, 96F¹⁵, 96L¹⁵, 96K¹⁵, 48X²¹, 144L²¹, 144P²³, 144O²³</t>
        </is>
      </c>
      <c r="N1537" t="inlineStr">
        <is>
          <t>24C³, 3B⁰, 16B², 8A¹, 12F¹, 4C⁰, 1A⁰, 2B⁰, 6F⁰</t>
        </is>
      </c>
      <c r="O1537" t="inlineStr">
        <is>
          <t>48M¹³, 48N¹³, 144L²¹, 96F¹⁵, 96L¹⁵, 48J¹³, 48X²¹, 96K¹⁵, 144P²³, 48S¹³, 48L¹³, 96E¹⁵, 144O²³</t>
        </is>
      </c>
    </row>
    <row r="1538">
      <c r="A1538">
        <f>HYPERLINK("https://mathstats.uncg.edu/sites/pauli/congruence/csg7.html#group48I7", "48I⁷")</f>
        <v/>
      </c>
      <c r="B1538" t="n">
        <v>7</v>
      </c>
      <c r="C1538" t="inlineStr"/>
      <c r="D1538" t="inlineStr">
        <is>
          <t>96</t>
        </is>
      </c>
      <c r="E1538" t="inlineStr">
        <is>
          <t>2</t>
        </is>
      </c>
      <c r="F1538" t="inlineStr">
        <is>
          <t>24</t>
        </is>
      </c>
      <c r="G1538" t="inlineStr">
        <is>
          <t>4</t>
        </is>
      </c>
      <c r="H1538" t="inlineStr">
        <is>
          <t>0</t>
        </is>
      </c>
      <c r="I1538" t="inlineStr">
        <is>
          <t>48²</t>
        </is>
      </c>
      <c r="J1538" t="n">
        <v>2</v>
      </c>
      <c r="K1538" t="inlineStr">
        <is>
          <t>8², 16²</t>
        </is>
      </c>
      <c r="L1538" t="inlineStr">
        <is>
          <t>24E³, 48B³</t>
        </is>
      </c>
      <c r="M1538" t="inlineStr">
        <is>
          <t>48R¹³, 48A¹⁵, 48D¹⁵, 48BW²¹, 144M²¹, 144K²², 144R²³, 144Q²³</t>
        </is>
      </c>
      <c r="N1538" t="inlineStr">
        <is>
          <t>12G¹, 24E³, 12A⁰, 24A¹, 4A⁰, 8A⁰, 3C⁰, 24B¹, 3A⁰, 1A⁰, 48B³</t>
        </is>
      </c>
      <c r="O1538" t="inlineStr">
        <is>
          <t>144M²¹, 48R¹³, 48A¹⁵, 144Q²³, 48D¹⁵, 144K²², 48BW²¹, 144R²³</t>
        </is>
      </c>
    </row>
    <row r="1539">
      <c r="A1539">
        <f>HYPERLINK("https://mathstats.uncg.edu/sites/pauli/congruence/csg7.html#group48J7", "48J⁷")</f>
        <v/>
      </c>
      <c r="B1539" t="n">
        <v>7</v>
      </c>
      <c r="C1539" t="inlineStr"/>
      <c r="D1539" t="inlineStr">
        <is>
          <t>96</t>
        </is>
      </c>
      <c r="E1539" t="inlineStr">
        <is>
          <t>2</t>
        </is>
      </c>
      <c r="F1539" t="inlineStr">
        <is>
          <t>24</t>
        </is>
      </c>
      <c r="G1539" t="inlineStr">
        <is>
          <t>4</t>
        </is>
      </c>
      <c r="H1539" t="inlineStr">
        <is>
          <t>0</t>
        </is>
      </c>
      <c r="I1539" t="inlineStr">
        <is>
          <t>48²</t>
        </is>
      </c>
      <c r="J1539" t="n">
        <v>2</v>
      </c>
      <c r="K1539" t="inlineStr">
        <is>
          <t>8², 16²</t>
        </is>
      </c>
      <c r="L1539" t="inlineStr">
        <is>
          <t>24E³, 48A³, 48B³</t>
        </is>
      </c>
      <c r="M1539" t="inlineStr">
        <is>
          <t>48R¹³, 48B¹⁵, 48D¹⁵, 48BY²¹, 144N²¹, 144L²², 144T²³, 144S²³</t>
        </is>
      </c>
      <c r="N1539" t="inlineStr">
        <is>
          <t>12G¹, 24E³, 12A⁰, 48A³, 24A¹, 16A⁰, 4A⁰, 8A⁰, 3C⁰, 24B¹, 3A⁰, 1A⁰, 48B³</t>
        </is>
      </c>
      <c r="O1539" t="inlineStr">
        <is>
          <t>48R¹³, 144N²¹, 48D¹⁵, 48B¹⁵, 144L²², 48BY²¹, 144S²³, 144T²³</t>
        </is>
      </c>
    </row>
    <row r="1540">
      <c r="A1540">
        <f>HYPERLINK("https://mathstats.uncg.edu/sites/pauli/congruence/csg7.html#group48K7", "48K⁷")</f>
        <v/>
      </c>
      <c r="B1540" t="n">
        <v>7</v>
      </c>
      <c r="C1540" t="inlineStr"/>
      <c r="D1540" t="inlineStr">
        <is>
          <t>128</t>
        </is>
      </c>
      <c r="E1540" t="inlineStr">
        <is>
          <t>1</t>
        </is>
      </c>
      <c r="F1540" t="inlineStr">
        <is>
          <t>16</t>
        </is>
      </c>
      <c r="G1540" t="inlineStr">
        <is>
          <t>0</t>
        </is>
      </c>
      <c r="H1540" t="inlineStr">
        <is>
          <t>8</t>
        </is>
      </c>
      <c r="I1540" t="inlineStr">
        <is>
          <t>16², 48²</t>
        </is>
      </c>
      <c r="J1540" t="n">
        <v>4</v>
      </c>
      <c r="K1540" t="inlineStr">
        <is>
          <t>2⁴, 4²</t>
        </is>
      </c>
      <c r="L1540" t="inlineStr">
        <is>
          <t>24G³</t>
        </is>
      </c>
      <c r="M1540" t="inlineStr">
        <is>
          <t>48U¹³, 144U²³</t>
        </is>
      </c>
      <c r="N1540" t="inlineStr">
        <is>
          <t>2A⁰, 3B⁰, 12I¹, 24A², 4A⁰, 4D⁰, 12A¹, 6C⁰, 8A⁰, 8E⁰, 24G³, 1A⁰</t>
        </is>
      </c>
      <c r="O1540" t="inlineStr">
        <is>
          <t>48U¹³, 144U²³</t>
        </is>
      </c>
    </row>
    <row r="1541">
      <c r="A1541">
        <f>HYPERLINK("https://mathstats.uncg.edu/sites/pauli/congruence/csg7.html#group48L7", "48L⁷")</f>
        <v/>
      </c>
      <c r="B1541" t="n">
        <v>7</v>
      </c>
      <c r="C1541" t="inlineStr"/>
      <c r="D1541" t="inlineStr">
        <is>
          <t>128</t>
        </is>
      </c>
      <c r="E1541" t="inlineStr">
        <is>
          <t>1</t>
        </is>
      </c>
      <c r="F1541" t="inlineStr">
        <is>
          <t>16</t>
        </is>
      </c>
      <c r="G1541" t="inlineStr">
        <is>
          <t>0</t>
        </is>
      </c>
      <c r="H1541" t="inlineStr">
        <is>
          <t>8</t>
        </is>
      </c>
      <c r="I1541" t="inlineStr">
        <is>
          <t>16², 48²</t>
        </is>
      </c>
      <c r="J1541" t="n">
        <v>4</v>
      </c>
      <c r="K1541" t="inlineStr">
        <is>
          <t>2⁴, 4²</t>
        </is>
      </c>
      <c r="L1541" t="inlineStr">
        <is>
          <t>16F⁰, 24G³, 48A⁴</t>
        </is>
      </c>
      <c r="M1541" t="inlineStr">
        <is>
          <t>48U¹³, 144V²³</t>
        </is>
      </c>
      <c r="N1541" t="inlineStr">
        <is>
          <t>2A⁰, 3B⁰, 16A⁰, 12I¹, 24A², 6C⁰, 8A⁰, 8E⁰, 24G³, 1A⁰, 4A⁰, 4D⁰, 16F⁰, 12A¹, 48A⁴</t>
        </is>
      </c>
      <c r="O1541" t="inlineStr">
        <is>
          <t>144V²³, 48U¹³</t>
        </is>
      </c>
    </row>
    <row r="1542">
      <c r="A1542">
        <f>HYPERLINK("https://mathstats.uncg.edu/sites/pauli/congruence/csg7.html#group48M7", "48M⁷")</f>
        <v/>
      </c>
      <c r="B1542" t="n">
        <v>7</v>
      </c>
      <c r="C1542" t="inlineStr"/>
      <c r="D1542" t="inlineStr">
        <is>
          <t>144</t>
        </is>
      </c>
      <c r="E1542" t="inlineStr">
        <is>
          <t>1</t>
        </is>
      </c>
      <c r="F1542" t="inlineStr">
        <is>
          <t>9</t>
        </is>
      </c>
      <c r="G1542" t="inlineStr">
        <is>
          <t>16</t>
        </is>
      </c>
      <c r="H1542" t="inlineStr">
        <is>
          <t>0</t>
        </is>
      </c>
      <c r="I1542" t="inlineStr">
        <is>
          <t>24², 48²</t>
        </is>
      </c>
      <c r="J1542" t="n">
        <v>4</v>
      </c>
      <c r="K1542" t="inlineStr">
        <is>
          <t>1³, 2³</t>
        </is>
      </c>
      <c r="L1542" t="inlineStr">
        <is>
          <t>48A², 24I³</t>
        </is>
      </c>
      <c r="M1542" t="inlineStr">
        <is>
          <t>48X¹³, 48O¹⁷, 48P¹⁷, 48AY¹⁷, 48AX¹⁷, 96AI¹⁹, 96AJ¹⁹, 48D²¹, 48O²¹, 144W²³</t>
        </is>
      </c>
      <c r="N1542" t="inlineStr">
        <is>
          <t>12C⁰, 12C¹, 24A⁰, 12L¹, 4C⁰, 24I³, 8B⁰, 48A², 6G⁰, 3C⁰, 2B⁰, 24C², 3A⁰, 1A⁰, 6D⁰</t>
        </is>
      </c>
      <c r="O1542" t="inlineStr">
        <is>
          <t>96AJ¹⁹, 48O²¹, 96AI¹⁹, 48O¹⁷, 144W²³, 48D²¹, 48X¹³, 48P¹⁷, 48AY¹⁷, 48AX¹⁷</t>
        </is>
      </c>
    </row>
    <row r="1543">
      <c r="A1543">
        <f>HYPERLINK("https://mathstats.uncg.edu/sites/pauli/congruence/csg7.html#group48N7", "48N⁷")</f>
        <v/>
      </c>
      <c r="B1543" t="n">
        <v>7</v>
      </c>
      <c r="C1543" t="inlineStr"/>
      <c r="D1543" t="inlineStr">
        <is>
          <t>144</t>
        </is>
      </c>
      <c r="E1543" t="inlineStr">
        <is>
          <t>1</t>
        </is>
      </c>
      <c r="F1543" t="inlineStr">
        <is>
          <t>9</t>
        </is>
      </c>
      <c r="G1543" t="inlineStr">
        <is>
          <t>16</t>
        </is>
      </c>
      <c r="H1543" t="inlineStr">
        <is>
          <t>0</t>
        </is>
      </c>
      <c r="I1543" t="inlineStr">
        <is>
          <t>24², 48²</t>
        </is>
      </c>
      <c r="J1543" t="n">
        <v>4</v>
      </c>
      <c r="K1543" t="inlineStr">
        <is>
          <t>1³, 2³</t>
        </is>
      </c>
      <c r="L1543" t="inlineStr">
        <is>
          <t>48A⁰, 24I³, 48C⁴</t>
        </is>
      </c>
      <c r="M1543" t="inlineStr">
        <is>
          <t>48X¹³, 48N¹⁷, 48Q¹⁷, 48AW¹⁷, 48AZ¹⁷, 96P¹⁷, 96Q¹⁷, 48C²¹, 48S²¹, 96Y²¹, 96AA²¹, 144X²³</t>
        </is>
      </c>
      <c r="N1543" t="inlineStr">
        <is>
          <t>12C⁰, 4C⁰, 24I³, 8B⁰, 6G⁰, 48A⁰, 2B⁰, 24C², 1A⁰, 12L¹, 48C⁴, 16B⁰, 12C¹, 24A⁰, 3C⁰, 3A⁰, 6D⁰</t>
        </is>
      </c>
      <c r="O1543" t="inlineStr">
        <is>
          <t>96Y²¹, 48AW¹⁷, 48C²¹, 96P¹⁷, 144X²³, 48N¹⁷, 48X¹³, 48AZ¹⁷, 48S²¹, 48Q¹⁷, 96Q¹⁷, 96AA²¹</t>
        </is>
      </c>
    </row>
    <row r="1544">
      <c r="A1544">
        <f>HYPERLINK("https://mathstats.uncg.edu/sites/pauli/congruence/csg7.html#group48O7", "48O⁷")</f>
        <v/>
      </c>
      <c r="B1544" t="n">
        <v>7</v>
      </c>
      <c r="C1544" t="inlineStr"/>
      <c r="D1544" t="inlineStr">
        <is>
          <t>144</t>
        </is>
      </c>
      <c r="E1544" t="inlineStr">
        <is>
          <t>1</t>
        </is>
      </c>
      <c r="F1544" t="inlineStr">
        <is>
          <t>12</t>
        </is>
      </c>
      <c r="G1544" t="inlineStr">
        <is>
          <t>12</t>
        </is>
      </c>
      <c r="H1544" t="inlineStr">
        <is>
          <t>0</t>
        </is>
      </c>
      <c r="I1544" t="inlineStr">
        <is>
          <t>12⁴, 48²</t>
        </is>
      </c>
      <c r="J1544" t="n">
        <v>6</v>
      </c>
      <c r="K1544" t="inlineStr">
        <is>
          <t>2², 4²</t>
        </is>
      </c>
      <c r="L1544" t="inlineStr">
        <is>
          <t>16H¹, 24L²</t>
        </is>
      </c>
      <c r="M1544" t="inlineStr">
        <is>
          <t>48H¹⁵, 48T¹⁵, 48A¹⁶, 48G¹⁶, 48AF¹⁷, 48AN¹⁷, 48F¹⁸, 48P¹⁸, 48A¹⁹, 48AC¹⁹, 48T²¹</t>
        </is>
      </c>
      <c r="N1544" t="inlineStr">
        <is>
          <t>12C⁰, 8D⁰, 4C⁰, 8B⁰, 2B⁰, 24L², 1A⁰, 8H⁰, 12A⁰, 24A⁰, 4A⁰, 24C¹, 12J¹, 4F⁰, 3A⁰, 16H¹, 6D⁰</t>
        </is>
      </c>
      <c r="O1544" t="inlineStr">
        <is>
          <t>48AC¹⁹, 48T¹⁵, 48AF¹⁷, 48F¹⁸, 48H¹⁵, 48A¹⁶, 48T²¹, 48G¹⁶, 48AN¹⁷, 48A¹⁹, 48P¹⁸</t>
        </is>
      </c>
    </row>
    <row r="1545">
      <c r="A1545">
        <f>HYPERLINK("https://mathstats.uncg.edu/sites/pauli/congruence/csg7.html#group48P7", "48P⁷")</f>
        <v/>
      </c>
      <c r="B1545" t="n">
        <v>7</v>
      </c>
      <c r="C1545" t="inlineStr"/>
      <c r="D1545" t="inlineStr">
        <is>
          <t>144</t>
        </is>
      </c>
      <c r="E1545" t="inlineStr">
        <is>
          <t>1</t>
        </is>
      </c>
      <c r="F1545" t="inlineStr">
        <is>
          <t>12</t>
        </is>
      </c>
      <c r="G1545" t="inlineStr">
        <is>
          <t>12</t>
        </is>
      </c>
      <c r="H1545" t="inlineStr">
        <is>
          <t>0</t>
        </is>
      </c>
      <c r="I1545" t="inlineStr">
        <is>
          <t>12⁴, 48²</t>
        </is>
      </c>
      <c r="J1545" t="n">
        <v>6</v>
      </c>
      <c r="K1545" t="inlineStr">
        <is>
          <t>1², 2¹, 4²</t>
        </is>
      </c>
      <c r="L1545" t="inlineStr">
        <is>
          <t>16I¹, 24L², 48D³, 48E⁴</t>
        </is>
      </c>
      <c r="M1545" t="inlineStr">
        <is>
          <t>48I¹⁵, 48V¹⁵, 48A¹⁶, 48H¹⁶, 48AL¹⁷, 48AP¹⁷, 96E¹⁷, 96F¹⁷, 96X¹⁷, 96Y¹⁷, 48E¹⁸, 48N¹⁸, 48B¹⁹, 48AE¹⁹, 96L¹⁹, 96M¹⁹, 96AC¹⁹, 96AD¹⁹, 48U²¹</t>
        </is>
      </c>
      <c r="N1545" t="inlineStr">
        <is>
          <t>12C⁰, 16I¹, 8D⁰, 4C⁰, 8B⁰, 2B⁰, 24L², 1A⁰, 8H⁰, 16E⁰, 12A⁰, 48E⁴, 24A⁰, 4A⁰, 16C¹, 24C¹, 12J¹, 48D³, 4F⁰, 3A⁰, 6D⁰</t>
        </is>
      </c>
      <c r="O1545" t="inlineStr">
        <is>
          <t>48E¹⁸, 96L¹⁹, 96AC¹⁹, 48A¹⁶, 96F¹⁷, 48AL¹⁷, 96M¹⁹, 48V¹⁵, 48I¹⁵, 96X¹⁷, 48U²¹, 96E¹⁷, 96AD¹⁹, 48B¹⁹, 48AP¹⁷, 96Y¹⁷, 48H¹⁶, 48N¹⁸, 48AE¹⁹</t>
        </is>
      </c>
    </row>
    <row r="1546">
      <c r="A1546">
        <f>HYPERLINK("https://mathstats.uncg.edu/sites/pauli/congruence/csg7.html#group48Q7", "48Q⁷")</f>
        <v/>
      </c>
      <c r="B1546" t="n">
        <v>7</v>
      </c>
      <c r="C1546" t="inlineStr"/>
      <c r="D1546" t="inlineStr">
        <is>
          <t>144</t>
        </is>
      </c>
      <c r="E1546" t="inlineStr">
        <is>
          <t>1</t>
        </is>
      </c>
      <c r="F1546" t="inlineStr">
        <is>
          <t>18</t>
        </is>
      </c>
      <c r="G1546" t="inlineStr">
        <is>
          <t>0</t>
        </is>
      </c>
      <c r="H1546" t="inlineStr">
        <is>
          <t>0</t>
        </is>
      </c>
      <c r="I1546" t="inlineStr">
        <is>
          <t>3⁸, 12², 48²</t>
        </is>
      </c>
      <c r="J1546" t="n">
        <v>12</v>
      </c>
      <c r="K1546" t="inlineStr">
        <is>
          <t>1⁴, 2⁵, 4¹</t>
        </is>
      </c>
      <c r="L1546" t="inlineStr">
        <is>
          <t>24L³, 48F⁴</t>
        </is>
      </c>
      <c r="M1546" t="inlineStr">
        <is>
          <t>48W¹³, 48P¹⁵, 48N¹⁵, 96P¹⁵, 48E¹⁷, 48F¹⁷, 96S¹⁷, 96N¹⁹</t>
        </is>
      </c>
      <c r="N1546" t="inlineStr">
        <is>
          <t>12K¹, 48F⁴, 6G⁰, 8C⁰, 2B⁰, 4B⁰, 1A⁰, 24B², 24D², 3C⁰, 12B¹, 12D⁰, 3A⁰, 24L³, 6D⁰</t>
        </is>
      </c>
      <c r="O1546" t="inlineStr">
        <is>
          <t>96P¹⁵, 48N¹⁵, 96S¹⁷, 48F¹⁷, 48P¹⁵, 96N¹⁹, 48W¹³, 48E¹⁷</t>
        </is>
      </c>
    </row>
    <row r="1547">
      <c r="A1547">
        <f>HYPERLINK("https://mathstats.uncg.edu/sites/pauli/congruence/csg7.html#group48R7", "48R⁷")</f>
        <v/>
      </c>
      <c r="B1547" t="n">
        <v>7</v>
      </c>
      <c r="C1547" t="inlineStr"/>
      <c r="D1547" t="inlineStr">
        <is>
          <t>144</t>
        </is>
      </c>
      <c r="E1547" t="inlineStr">
        <is>
          <t>1</t>
        </is>
      </c>
      <c r="F1547" t="inlineStr">
        <is>
          <t>18</t>
        </is>
      </c>
      <c r="G1547" t="inlineStr">
        <is>
          <t>0</t>
        </is>
      </c>
      <c r="H1547" t="inlineStr">
        <is>
          <t>0</t>
        </is>
      </c>
      <c r="I1547" t="inlineStr">
        <is>
          <t>3⁸, 12², 48²</t>
        </is>
      </c>
      <c r="J1547" t="n">
        <v>12</v>
      </c>
      <c r="K1547" t="inlineStr">
        <is>
          <t>1⁴, 2⁵, 4¹</t>
        </is>
      </c>
      <c r="L1547" t="inlineStr">
        <is>
          <t>24L³, 48B⁴, 48F⁴</t>
        </is>
      </c>
      <c r="M1547" t="inlineStr">
        <is>
          <t>48W¹³, 48O¹⁵, 48Q¹⁵, 96M¹⁵, 96N¹⁵, 48G¹⁷, 48K¹⁷, 96I¹⁷, 96J¹⁷, 96D¹⁹, 96F¹⁹</t>
        </is>
      </c>
      <c r="N1547" t="inlineStr">
        <is>
          <t>12K¹, 48F⁴, 6G⁰, 8C⁰, 2B⁰, 4B⁰, 1A⁰, 48B⁴, 24B², 16C⁰, 24D², 3C⁰, 12B¹, 12D⁰, 3A⁰, 24L³, 6D⁰</t>
        </is>
      </c>
      <c r="O1547" t="inlineStr">
        <is>
          <t>96I¹⁷, 48Q¹⁵, 48K¹⁷, 96N¹⁵, 96D¹⁹, 96F¹⁹, 48O¹⁵, 48G¹⁷, 96J¹⁷, 96M¹⁵, 48W¹³</t>
        </is>
      </c>
    </row>
    <row r="1548">
      <c r="A1548">
        <f>HYPERLINK("https://mathstats.uncg.edu/sites/pauli/congruence/csg7.html#group48S7", "48S⁷")</f>
        <v/>
      </c>
      <c r="B1548" t="n">
        <v>7</v>
      </c>
      <c r="C1548" t="inlineStr"/>
      <c r="D1548" t="inlineStr">
        <is>
          <t>144</t>
        </is>
      </c>
      <c r="E1548" t="inlineStr">
        <is>
          <t>1</t>
        </is>
      </c>
      <c r="F1548" t="inlineStr">
        <is>
          <t>18</t>
        </is>
      </c>
      <c r="G1548" t="inlineStr">
        <is>
          <t>16</t>
        </is>
      </c>
      <c r="H1548" t="inlineStr">
        <is>
          <t>0</t>
        </is>
      </c>
      <c r="I1548" t="inlineStr">
        <is>
          <t>24², 48²</t>
        </is>
      </c>
      <c r="J1548" t="n">
        <v>4</v>
      </c>
      <c r="K1548" t="inlineStr">
        <is>
          <t>2⁵, 4²</t>
        </is>
      </c>
      <c r="L1548" t="inlineStr">
        <is>
          <t>24H¹, 48F³</t>
        </is>
      </c>
      <c r="M1548" t="inlineStr">
        <is>
          <t>48AA¹³, 48M¹⁷, 48BG¹⁷, 48BH¹⁷, 48BE¹⁷, 48BF¹⁷, 48BR¹⁷, 48K²¹, 48AA²¹</t>
        </is>
      </c>
      <c r="N1548" t="inlineStr">
        <is>
          <t>6B⁰, 12C⁰, 24A⁰, 6H⁰, 4C⁰, 24D¹, 8B⁰, 2B⁰, 12D⁰, 12H⁰, 48F³, 3A⁰, 24H¹, 1A⁰, 6D⁰</t>
        </is>
      </c>
      <c r="O1548" t="inlineStr">
        <is>
          <t>48BF¹⁷, 48AA²¹, 48AA¹³, 48BR¹⁷, 48M¹⁷, 48BE¹⁷, 48K²¹, 48BG¹⁷, 48BH¹⁷</t>
        </is>
      </c>
    </row>
    <row r="1549">
      <c r="A1549">
        <f>HYPERLINK("https://mathstats.uncg.edu/sites/pauli/congruence/csg7.html#group48T7", "48T⁷")</f>
        <v/>
      </c>
      <c r="B1549" t="n">
        <v>7</v>
      </c>
      <c r="C1549" t="inlineStr"/>
      <c r="D1549" t="inlineStr">
        <is>
          <t>144</t>
        </is>
      </c>
      <c r="E1549" t="inlineStr">
        <is>
          <t>1</t>
        </is>
      </c>
      <c r="F1549" t="inlineStr">
        <is>
          <t>18</t>
        </is>
      </c>
      <c r="G1549" t="inlineStr">
        <is>
          <t>16</t>
        </is>
      </c>
      <c r="H1549" t="inlineStr">
        <is>
          <t>0</t>
        </is>
      </c>
      <c r="I1549" t="inlineStr">
        <is>
          <t>24², 48²</t>
        </is>
      </c>
      <c r="J1549" t="n">
        <v>4</v>
      </c>
      <c r="K1549" t="inlineStr">
        <is>
          <t>1², 2⁴, 4²</t>
        </is>
      </c>
      <c r="L1549" t="inlineStr">
        <is>
          <t>24H¹, 48C³, 48F³</t>
        </is>
      </c>
      <c r="M1549" t="inlineStr">
        <is>
          <t>48AB¹³, 48M¹⁷, 48BQ¹⁷, 48BY¹⁷, 48CA¹⁷, 48P²¹, 48AE²¹</t>
        </is>
      </c>
      <c r="N1549" t="inlineStr">
        <is>
          <t>6B⁰, 12C⁰, 6H⁰, 4C⁰, 24D¹, 8B⁰, 16B¹, 2B⁰, 12H⁰, 1A⁰, 48C³, 24A⁰, 12D⁰, 48F³, 3A⁰, 24H¹, 6D⁰</t>
        </is>
      </c>
      <c r="O1549" t="inlineStr">
        <is>
          <t>48AB¹³, 48BQ¹⁷, 48CA¹⁷, 48AE²¹, 48P²¹, 48BY¹⁷, 48M¹⁷</t>
        </is>
      </c>
    </row>
    <row r="1550">
      <c r="A1550">
        <f>HYPERLINK("https://mathstats.uncg.edu/sites/pauli/congruence/csg7.html#group48U7", "48U⁷")</f>
        <v/>
      </c>
      <c r="B1550" t="n">
        <v>7</v>
      </c>
      <c r="C1550" t="inlineStr"/>
      <c r="D1550" t="inlineStr">
        <is>
          <t>144</t>
        </is>
      </c>
      <c r="E1550" t="inlineStr">
        <is>
          <t>1</t>
        </is>
      </c>
      <c r="F1550" t="inlineStr">
        <is>
          <t>18</t>
        </is>
      </c>
      <c r="G1550" t="inlineStr">
        <is>
          <t>16</t>
        </is>
      </c>
      <c r="H1550" t="inlineStr">
        <is>
          <t>0</t>
        </is>
      </c>
      <c r="I1550" t="inlineStr">
        <is>
          <t>24², 48²</t>
        </is>
      </c>
      <c r="J1550" t="n">
        <v>4</v>
      </c>
      <c r="K1550" t="inlineStr">
        <is>
          <t>1², 2⁴, 4²</t>
        </is>
      </c>
      <c r="L1550" t="inlineStr">
        <is>
          <t>24L², 48A², 48F³</t>
        </is>
      </c>
      <c r="M1550" t="inlineStr">
        <is>
          <t>48AB¹³, 48P¹⁷, 48AM¹⁷, 48AN¹⁷, 48AO¹⁷, 48AP¹⁷, 48AT¹⁷, 48AU¹⁷, 48BR¹⁷, 48BW¹⁷, 48BX¹⁷, 48BZ¹⁷, 48Q²¹, 48AF²¹</t>
        </is>
      </c>
      <c r="N1550" t="inlineStr">
        <is>
          <t>12C⁰, 8D⁰, 4C⁰, 8B⁰, 2B⁰, 24L², 1A⁰, 8H⁰, 12A⁰, 24A⁰, 4A⁰, 24C¹, 48A², 12J¹, 4F⁰, 48F³, 3A⁰, 6D⁰</t>
        </is>
      </c>
      <c r="O1550" t="inlineStr">
        <is>
          <t>48AT¹⁷, 48AF²¹, 48AU¹⁷, 48AM¹⁷, 48BR¹⁷, 48BW¹⁷, 48AP¹⁷, 48BZ¹⁷, 48AB¹³, 48P¹⁷, 48AO¹⁷, 48BX¹⁷, 48Q²¹, 48AN¹⁷</t>
        </is>
      </c>
    </row>
    <row r="1551">
      <c r="A1551">
        <f>HYPERLINK("https://mathstats.uncg.edu/sites/pauli/congruence/csg7.html#group48V7", "48V⁷")</f>
        <v/>
      </c>
      <c r="B1551" t="n">
        <v>7</v>
      </c>
      <c r="C1551" t="inlineStr"/>
      <c r="D1551" t="inlineStr">
        <is>
          <t>144</t>
        </is>
      </c>
      <c r="E1551" t="inlineStr">
        <is>
          <t>1</t>
        </is>
      </c>
      <c r="F1551" t="inlineStr">
        <is>
          <t>18</t>
        </is>
      </c>
      <c r="G1551" t="inlineStr">
        <is>
          <t>16</t>
        </is>
      </c>
      <c r="H1551" t="inlineStr">
        <is>
          <t>0</t>
        </is>
      </c>
      <c r="I1551" t="inlineStr">
        <is>
          <t>24², 48²</t>
        </is>
      </c>
      <c r="J1551" t="n">
        <v>4</v>
      </c>
      <c r="K1551" t="inlineStr">
        <is>
          <t>1², 2⁴, 4²</t>
        </is>
      </c>
      <c r="L1551" t="inlineStr">
        <is>
          <t>24P², 48A², 48C³</t>
        </is>
      </c>
      <c r="M1551" t="inlineStr">
        <is>
          <t>48AB¹³, 48O¹⁷, 48BA¹⁷, 48BB¹⁷, 48BQ¹⁷, 48CB¹⁷, 48R²¹, 48AF²¹</t>
        </is>
      </c>
      <c r="N1551" t="inlineStr">
        <is>
          <t>48C³, 24E¹, 12C⁰, 24A⁰, 4C⁰, 8B⁰, 24P², 48A², 16B¹, 2B⁰, 12M¹, 3A⁰, 1A⁰, 6D⁰</t>
        </is>
      </c>
      <c r="O1551" t="inlineStr">
        <is>
          <t>48BB¹⁷, 48BQ¹⁷, 48BA¹⁷, 48AF²¹, 48O¹⁷, 48AB¹³, 48R²¹, 48CB¹⁷</t>
        </is>
      </c>
    </row>
    <row r="1552">
      <c r="A1552">
        <f>HYPERLINK("https://mathstats.uncg.edu/sites/pauli/congruence/csg7.html#group48W7", "48W⁷")</f>
        <v/>
      </c>
      <c r="B1552" t="n">
        <v>7</v>
      </c>
      <c r="C1552" t="inlineStr"/>
      <c r="D1552" t="inlineStr">
        <is>
          <t>144</t>
        </is>
      </c>
      <c r="E1552" t="inlineStr">
        <is>
          <t>1</t>
        </is>
      </c>
      <c r="F1552" t="inlineStr">
        <is>
          <t>36</t>
        </is>
      </c>
      <c r="G1552" t="inlineStr">
        <is>
          <t>0</t>
        </is>
      </c>
      <c r="H1552" t="inlineStr">
        <is>
          <t>0</t>
        </is>
      </c>
      <c r="I1552" t="inlineStr">
        <is>
          <t>3⁸, 12², 48²</t>
        </is>
      </c>
      <c r="J1552" t="n">
        <v>12</v>
      </c>
      <c r="K1552" t="inlineStr">
        <is>
          <t>2⁴, 4⁷</t>
        </is>
      </c>
      <c r="L1552" t="inlineStr">
        <is>
          <t>24K³</t>
        </is>
      </c>
      <c r="M1552" t="inlineStr">
        <is>
          <t>48V¹³, 48U¹⁷, 48V¹⁷</t>
        </is>
      </c>
      <c r="N1552" t="inlineStr">
        <is>
          <t>12K¹, 3A⁰, 24D², 6G⁰, 3C⁰, 12B¹, 24K³, 2B⁰, 12D⁰, 4B⁰, 1A⁰, 6D⁰</t>
        </is>
      </c>
      <c r="O1552" t="inlineStr">
        <is>
          <t>48V¹³, 48V¹⁷, 48U¹⁷</t>
        </is>
      </c>
    </row>
    <row r="1553">
      <c r="A1553">
        <f>HYPERLINK("https://mathstats.uncg.edu/sites/pauli/congruence/csg7.html#group48X7", "48X⁷")</f>
        <v/>
      </c>
      <c r="B1553" t="n">
        <v>7</v>
      </c>
      <c r="C1553" t="inlineStr"/>
      <c r="D1553" t="inlineStr">
        <is>
          <t>144</t>
        </is>
      </c>
      <c r="E1553" t="inlineStr">
        <is>
          <t>1</t>
        </is>
      </c>
      <c r="F1553" t="inlineStr">
        <is>
          <t>36</t>
        </is>
      </c>
      <c r="G1553" t="inlineStr">
        <is>
          <t>0</t>
        </is>
      </c>
      <c r="H1553" t="inlineStr">
        <is>
          <t>0</t>
        </is>
      </c>
      <c r="I1553" t="inlineStr">
        <is>
          <t>3⁴, 6⁶, 48²</t>
        </is>
      </c>
      <c r="J1553" t="n">
        <v>12</v>
      </c>
      <c r="K1553" t="inlineStr">
        <is>
          <t>1⁴, 2⁶, 4³, 8¹</t>
        </is>
      </c>
      <c r="L1553" t="inlineStr">
        <is>
          <t>24L³, 48G⁴</t>
        </is>
      </c>
      <c r="M1553" t="inlineStr">
        <is>
          <t>48Z¹³, 48E¹⁵, 48P¹⁵, 48O¹⁵, 48R¹⁵, 48AA¹⁷, 48Y¹⁷</t>
        </is>
      </c>
      <c r="N1553" t="inlineStr">
        <is>
          <t>24B², 12K¹, 3A⁰, 24D², 6G⁰, 3C⁰, 12B¹, 2B⁰, 8C⁰, 12D⁰, 4B⁰, 24L³, 1A⁰, 48G⁴, 6D⁰</t>
        </is>
      </c>
      <c r="O1553" t="inlineStr">
        <is>
          <t>48Z¹³, 48O¹⁵, 48Y¹⁷, 48P¹⁵, 48AA¹⁷, 48E¹⁵, 48R¹⁵</t>
        </is>
      </c>
    </row>
    <row r="1554">
      <c r="A1554">
        <f>HYPERLINK("https://mathstats.uncg.edu/sites/pauli/congruence/csg7.html#group48Y7", "48Y⁷")</f>
        <v/>
      </c>
      <c r="B1554" t="n">
        <v>7</v>
      </c>
      <c r="C1554" t="inlineStr"/>
      <c r="D1554" t="inlineStr">
        <is>
          <t>144</t>
        </is>
      </c>
      <c r="E1554" t="inlineStr">
        <is>
          <t>1</t>
        </is>
      </c>
      <c r="F1554" t="inlineStr">
        <is>
          <t>36</t>
        </is>
      </c>
      <c r="G1554" t="inlineStr">
        <is>
          <t>0</t>
        </is>
      </c>
      <c r="H1554" t="inlineStr">
        <is>
          <t>0</t>
        </is>
      </c>
      <c r="I1554" t="inlineStr">
        <is>
          <t>3⁴, 6⁶, 48²</t>
        </is>
      </c>
      <c r="J1554" t="n">
        <v>12</v>
      </c>
      <c r="K1554" t="inlineStr">
        <is>
          <t>1⁴, 2⁶, 4³, 8¹</t>
        </is>
      </c>
      <c r="L1554" t="inlineStr">
        <is>
          <t>24L³, 48D⁴, 48G⁴</t>
        </is>
      </c>
      <c r="M1554" t="inlineStr">
        <is>
          <t>48Z¹³, 48F¹⁵, 48N¹⁵, 48Q¹⁵, 48R¹⁵, 48Z¹⁷, 48AB¹⁷</t>
        </is>
      </c>
      <c r="N1554" t="inlineStr">
        <is>
          <t>12K¹, 6G⁰, 2B⁰, 8C⁰, 4B⁰, 1A⁰, 48G⁴, 24B², 16D⁰, 24D², 3C⁰, 12B¹, 12D⁰, 3A⁰, 24L³, 6D⁰, 48D⁴</t>
        </is>
      </c>
      <c r="O1554" t="inlineStr">
        <is>
          <t>48Z¹³, 48R¹⁵, 48AB¹⁷, 48F¹⁵, 48Q¹⁵, 48N¹⁵, 48Z¹⁷</t>
        </is>
      </c>
    </row>
    <row r="1555">
      <c r="A1555">
        <f>HYPERLINK("https://mathstats.uncg.edu/sites/pauli/congruence/csg7.html#group48Z7", "48Z⁷")</f>
        <v/>
      </c>
      <c r="B1555" t="n">
        <v>7</v>
      </c>
      <c r="C1555" t="inlineStr"/>
      <c r="D1555" t="inlineStr">
        <is>
          <t>144</t>
        </is>
      </c>
      <c r="E1555" t="inlineStr">
        <is>
          <t>1</t>
        </is>
      </c>
      <c r="F1555" t="inlineStr">
        <is>
          <t>36</t>
        </is>
      </c>
      <c r="G1555" t="inlineStr">
        <is>
          <t>4</t>
        </is>
      </c>
      <c r="H1555" t="inlineStr">
        <is>
          <t>0</t>
        </is>
      </c>
      <c r="I1555" t="inlineStr">
        <is>
          <t>6⁸, 48²</t>
        </is>
      </c>
      <c r="J1555" t="n">
        <v>10</v>
      </c>
      <c r="K1555" t="inlineStr">
        <is>
          <t>1², 2³, 4³, 8²</t>
        </is>
      </c>
      <c r="L1555" t="inlineStr">
        <is>
          <t>24O³, 48G³</t>
        </is>
      </c>
      <c r="M1555" t="inlineStr">
        <is>
          <t>48AD¹³, 48E¹⁵, 48G¹⁵, 48AI¹⁷, 48AK¹⁷, 48V¹⁹, 48W¹⁹</t>
        </is>
      </c>
      <c r="N1555" t="inlineStr">
        <is>
          <t>24E¹, 12C⁰, 48G³, 12C¹, 8D⁰, 12L¹, 4C⁰, 24C¹, 6G⁰, 3C⁰, 2B⁰, 3A⁰, 1A⁰, 24O³, 6D⁰</t>
        </is>
      </c>
      <c r="O1555" t="inlineStr">
        <is>
          <t>48AI¹⁷, 48G¹⁵, 48AK¹⁷, 48AD¹³, 48V¹⁹, 48E¹⁵, 48W¹⁹</t>
        </is>
      </c>
    </row>
    <row r="1556">
      <c r="A1556">
        <f>HYPERLINK("https://mathstats.uncg.edu/sites/pauli/congruence/csg7.html#group48AA7", "48AA⁷")</f>
        <v/>
      </c>
      <c r="B1556" t="n">
        <v>7</v>
      </c>
      <c r="C1556" t="inlineStr"/>
      <c r="D1556" t="inlineStr">
        <is>
          <t>144</t>
        </is>
      </c>
      <c r="E1556" t="inlineStr">
        <is>
          <t>1</t>
        </is>
      </c>
      <c r="F1556" t="inlineStr">
        <is>
          <t>36</t>
        </is>
      </c>
      <c r="G1556" t="inlineStr">
        <is>
          <t>4</t>
        </is>
      </c>
      <c r="H1556" t="inlineStr">
        <is>
          <t>0</t>
        </is>
      </c>
      <c r="I1556" t="inlineStr">
        <is>
          <t>6⁸, 48²</t>
        </is>
      </c>
      <c r="J1556" t="n">
        <v>10</v>
      </c>
      <c r="K1556" t="inlineStr">
        <is>
          <t>1², 2³, 4³, 8²</t>
        </is>
      </c>
      <c r="L1556" t="inlineStr">
        <is>
          <t>24O³, 48D³, 48G³</t>
        </is>
      </c>
      <c r="M1556" t="inlineStr">
        <is>
          <t>48AD¹³, 48F¹⁵, 48G¹⁵, 48AJ¹⁷, 48AL¹⁷, 96T¹⁷, 96U¹⁷, 96V¹⁷, 96W¹⁷, 48X¹⁹, 48Z¹⁹</t>
        </is>
      </c>
      <c r="N1556" t="inlineStr">
        <is>
          <t>24E¹, 12C⁰, 48G³, 8D⁰, 4C⁰, 6G⁰, 2B⁰, 1A⁰, 24O³, 12L¹, 16E⁰, 12C¹, 24C¹, 3C⁰, 48D³, 3A⁰, 6D⁰</t>
        </is>
      </c>
      <c r="O1556" t="inlineStr">
        <is>
          <t>96U¹⁷, 48G¹⁵, 48F¹⁵, 48Z¹⁹, 48X¹⁹, 96V¹⁷, 96W¹⁷, 48AL¹⁷, 48AD¹³, 48AJ¹⁷, 96T¹⁷</t>
        </is>
      </c>
    </row>
    <row r="1557">
      <c r="A1557">
        <f>HYPERLINK("https://mathstats.uncg.edu/sites/pauli/congruence/csg7.html#group48AB7", "48AB⁷")</f>
        <v/>
      </c>
      <c r="B1557" t="n">
        <v>7</v>
      </c>
      <c r="C1557" t="inlineStr"/>
      <c r="D1557" t="inlineStr">
        <is>
          <t>144</t>
        </is>
      </c>
      <c r="E1557" t="inlineStr">
        <is>
          <t>1</t>
        </is>
      </c>
      <c r="F1557" t="inlineStr">
        <is>
          <t>36</t>
        </is>
      </c>
      <c r="G1557" t="inlineStr">
        <is>
          <t>12</t>
        </is>
      </c>
      <c r="H1557" t="inlineStr">
        <is>
          <t>0</t>
        </is>
      </c>
      <c r="I1557" t="inlineStr">
        <is>
          <t>12⁴, 48²</t>
        </is>
      </c>
      <c r="J1557" t="n">
        <v>6</v>
      </c>
      <c r="K1557" t="inlineStr">
        <is>
          <t>2², 4⁴, 8²</t>
        </is>
      </c>
      <c r="L1557" t="inlineStr">
        <is>
          <t>24L²</t>
        </is>
      </c>
      <c r="M1557" t="inlineStr">
        <is>
          <t>48S¹⁵, 48T¹⁵, 48W¹⁵, 48F¹⁶, 48H¹⁶, 48I¹⁶, 48AE¹⁷, 48AF¹⁷, 48AM¹⁷, 48BW¹⁷, 48M¹⁸, 48Q¹⁸, 48T¹⁸, 48D¹⁹, 48AB¹⁹, 48AY¹⁹, 48AR²¹</t>
        </is>
      </c>
      <c r="N1557" t="inlineStr">
        <is>
          <t>12C⁰, 8D⁰, 4C⁰, 8B⁰, 2B⁰, 24L², 1A⁰, 8H⁰, 12A⁰, 24A⁰, 4A⁰, 24C¹, 12J¹, 4F⁰, 3A⁰, 6D⁰</t>
        </is>
      </c>
      <c r="O1557" t="inlineStr">
        <is>
          <t>48BW¹⁷, 48AM¹⁷, 48S¹⁵, 48M¹⁸, 48T¹⁸, 48F¹⁶, 48T¹⁵, 48I¹⁶, 48AF¹⁷, 48AE¹⁷, 48AY¹⁹, 48H¹⁶, 48D¹⁹, 48Q¹⁸, 48AB¹⁹, 48AR²¹, 48W¹⁵</t>
        </is>
      </c>
    </row>
    <row r="1558">
      <c r="A1558">
        <f>HYPERLINK("https://mathstats.uncg.edu/sites/pauli/congruence/csg7.html#group48AC7", "48AC⁷")</f>
        <v/>
      </c>
      <c r="B1558" t="n">
        <v>7</v>
      </c>
      <c r="C1558" t="inlineStr"/>
      <c r="D1558" t="inlineStr">
        <is>
          <t>144</t>
        </is>
      </c>
      <c r="E1558" t="inlineStr">
        <is>
          <t>1</t>
        </is>
      </c>
      <c r="F1558" t="inlineStr">
        <is>
          <t>36</t>
        </is>
      </c>
      <c r="G1558" t="inlineStr">
        <is>
          <t>12</t>
        </is>
      </c>
      <c r="H1558" t="inlineStr">
        <is>
          <t>0</t>
        </is>
      </c>
      <c r="I1558" t="inlineStr">
        <is>
          <t>12⁴, 48²</t>
        </is>
      </c>
      <c r="J1558" t="n">
        <v>6</v>
      </c>
      <c r="K1558" t="inlineStr">
        <is>
          <t>1², 2³, 4³, 8²</t>
        </is>
      </c>
      <c r="L1558" t="inlineStr">
        <is>
          <t>24L², 48G³, 48H⁴</t>
        </is>
      </c>
      <c r="M1558" t="inlineStr">
        <is>
          <t>48U¹⁵, 48V¹⁵, 48X¹⁵, 48F¹⁶, 48G¹⁶, 48I¹⁶, 48AK¹⁷, 48AL¹⁷, 48AO¹⁷, 48BX¹⁷, 48L¹⁸, 48O¹⁸, 48S¹⁸, 48G¹⁹, 48AD¹⁹, 48AZ¹⁹, 48AS²¹</t>
        </is>
      </c>
      <c r="N1558" t="inlineStr">
        <is>
          <t>12C⁰, 48G³, 48H⁴, 8D⁰, 4C⁰, 8B⁰, 2B⁰, 24L², 1A⁰, 8H⁰, 12A⁰, 24A⁰, 4A⁰, 24C¹, 12J¹, 4F⁰, 3A⁰, 6D⁰</t>
        </is>
      </c>
      <c r="O1558" t="inlineStr">
        <is>
          <t>48O¹⁸, 48AD¹⁹, 48G¹⁹, 48U¹⁵, 48AS²¹, 48AL¹⁷, 48AO¹⁷, 48AK¹⁷, 48AZ¹⁹, 48L¹⁸, 48S¹⁸, 48V¹⁵, 48F¹⁶, 48I¹⁶, 48BX¹⁷, 48X¹⁵, 48G¹⁶</t>
        </is>
      </c>
    </row>
    <row r="1559">
      <c r="A1559">
        <f>HYPERLINK("https://mathstats.uncg.edu/sites/pauli/congruence/csg7.html#group48AD7", "48AD⁷")</f>
        <v/>
      </c>
      <c r="B1559" t="n">
        <v>7</v>
      </c>
      <c r="C1559" t="inlineStr"/>
      <c r="D1559" t="inlineStr">
        <is>
          <t>144</t>
        </is>
      </c>
      <c r="E1559" t="inlineStr">
        <is>
          <t>1</t>
        </is>
      </c>
      <c r="F1559" t="inlineStr">
        <is>
          <t>36</t>
        </is>
      </c>
      <c r="G1559" t="inlineStr">
        <is>
          <t>16</t>
        </is>
      </c>
      <c r="H1559" t="inlineStr">
        <is>
          <t>0</t>
        </is>
      </c>
      <c r="I1559" t="inlineStr">
        <is>
          <t>24², 48²</t>
        </is>
      </c>
      <c r="J1559" t="n">
        <v>4</v>
      </c>
      <c r="K1559" t="inlineStr">
        <is>
          <t>2⁸, 4³, 8¹</t>
        </is>
      </c>
      <c r="L1559" t="inlineStr">
        <is>
          <t>24H¹, 48H³</t>
        </is>
      </c>
      <c r="M1559" t="inlineStr">
        <is>
          <t>48AE¹³, 48AQ¹⁷, 48AV¹⁷, 48BC¹⁷, 48BD¹⁷, 48BG¹⁷, 48BH¹⁷, 48BY¹⁷, 48CD¹⁷, 96AS¹⁹, 96AT¹⁹, 96AU¹⁹, 96AV¹⁹, 48AO²¹, 48AW²¹</t>
        </is>
      </c>
      <c r="N1559" t="inlineStr">
        <is>
          <t>6B⁰, 12C⁰, 24A⁰, 4C⁰, 24D¹, 8B⁰, 2B⁰, 12D⁰, 12H⁰, 6H⁰, 3A⁰, 24H¹, 1A⁰, 48H³, 6D⁰</t>
        </is>
      </c>
      <c r="O1559" t="inlineStr">
        <is>
          <t>48AO²¹, 48AE¹³, 48AW²¹, 96AU¹⁹, 48BD¹⁷, 96AS¹⁹, 48BC¹⁷, 48BY¹⁷, 48CD¹⁷, 48AQ¹⁷, 96AT¹⁹, 48BG¹⁷, 48AV¹⁷, 48BH¹⁷, 96AV¹⁹</t>
        </is>
      </c>
    </row>
    <row r="1560">
      <c r="A1560">
        <f>HYPERLINK("https://mathstats.uncg.edu/sites/pauli/congruence/csg7.html#group48AE7", "48AE⁷")</f>
        <v/>
      </c>
      <c r="B1560" t="n">
        <v>7</v>
      </c>
      <c r="C1560" t="inlineStr"/>
      <c r="D1560" t="inlineStr">
        <is>
          <t>144</t>
        </is>
      </c>
      <c r="E1560" t="inlineStr">
        <is>
          <t>1</t>
        </is>
      </c>
      <c r="F1560" t="inlineStr">
        <is>
          <t>36</t>
        </is>
      </c>
      <c r="G1560" t="inlineStr">
        <is>
          <t>16</t>
        </is>
      </c>
      <c r="H1560" t="inlineStr">
        <is>
          <t>0</t>
        </is>
      </c>
      <c r="I1560" t="inlineStr">
        <is>
          <t>24², 48²</t>
        </is>
      </c>
      <c r="J1560" t="n">
        <v>4</v>
      </c>
      <c r="K1560" t="inlineStr">
        <is>
          <t>1⁴, 2⁶, 4³, 8¹</t>
        </is>
      </c>
      <c r="L1560" t="inlineStr">
        <is>
          <t>24H¹, 48E³, 48H³</t>
        </is>
      </c>
      <c r="M1560" t="inlineStr">
        <is>
          <t>48AF¹³, 48AS¹⁷, 48AV¹⁷, 48BC¹⁷, 48BD¹⁷, 48BE¹⁷, 48BF¹⁷, 48CA¹⁷, 48CC¹⁷, 96AE¹⁹, 96AF¹⁹, 96AH¹⁹, 96AG¹⁹, 96AK¹⁹, 96AN¹⁹, 96AM¹⁹, 96AL¹⁹, 48AP²¹, 48BF²¹</t>
        </is>
      </c>
      <c r="N1560" t="inlineStr">
        <is>
          <t>6B⁰, 12C⁰, 4C⁰, 24D¹, 8B⁰, 2B⁰, 12H⁰, 1A⁰, 48H³, 16D¹, 48E³, 24A⁰, 12D⁰, 6H⁰, 3A⁰, 24H¹, 6D⁰</t>
        </is>
      </c>
      <c r="O1560" t="inlineStr">
        <is>
          <t>48BF¹⁷, 96AH¹⁹, 48BD¹⁷, 96AE¹⁹, 96AM¹⁹, 96AN¹⁹, 48CA¹⁷, 96AG¹⁹, 48BC¹⁷, 96AL¹⁹, 48BE¹⁷, 48BF²¹, 48AF¹³, 96AK¹⁹, 96AF¹⁹, 48AS¹⁷, 48AP²¹, 48AV¹⁷, 48CC¹⁷</t>
        </is>
      </c>
    </row>
    <row r="1561">
      <c r="A1561">
        <f>HYPERLINK("https://mathstats.uncg.edu/sites/pauli/congruence/csg7.html#group48AF7", "48AF⁷")</f>
        <v/>
      </c>
      <c r="B1561" t="n">
        <v>7</v>
      </c>
      <c r="C1561" t="inlineStr"/>
      <c r="D1561" t="inlineStr">
        <is>
          <t>144</t>
        </is>
      </c>
      <c r="E1561" t="inlineStr">
        <is>
          <t>1</t>
        </is>
      </c>
      <c r="F1561" t="inlineStr">
        <is>
          <t>36</t>
        </is>
      </c>
      <c r="G1561" t="inlineStr">
        <is>
          <t>16</t>
        </is>
      </c>
      <c r="H1561" t="inlineStr">
        <is>
          <t>0</t>
        </is>
      </c>
      <c r="I1561" t="inlineStr">
        <is>
          <t>24², 48²</t>
        </is>
      </c>
      <c r="J1561" t="n">
        <v>4</v>
      </c>
      <c r="K1561" t="inlineStr">
        <is>
          <t>1⁴, 2⁶, 4³, 8¹</t>
        </is>
      </c>
      <c r="L1561" t="inlineStr">
        <is>
          <t>24M², 48A², 48H³</t>
        </is>
      </c>
      <c r="M1561" t="inlineStr">
        <is>
          <t>48AF¹³, 48AT¹⁷, 48AY¹⁷, 48CB¹⁷, 48CD¹⁷, 48CG¹⁷, 48CH¹⁷, 48AL²¹, 48BG²¹</t>
        </is>
      </c>
      <c r="N1561" t="inlineStr">
        <is>
          <t>12C⁰, 24A⁰, 24M², 4C⁰, 8B⁰, 48A², 8L⁰, 2B⁰, 3A⁰, 1A⁰, 48H³, 6D⁰</t>
        </is>
      </c>
      <c r="O1561" t="inlineStr">
        <is>
          <t>48AT¹⁷, 48BG²¹, 48CG¹⁷, 48CD¹⁷, 48AF¹³, 48AY¹⁷, 48CB¹⁷, 48CH¹⁷, 48AL²¹</t>
        </is>
      </c>
    </row>
    <row r="1562">
      <c r="A1562">
        <f>HYPERLINK("https://mathstats.uncg.edu/sites/pauli/congruence/csg7.html#group48AG7", "48AG⁷")</f>
        <v/>
      </c>
      <c r="B1562" t="n">
        <v>7</v>
      </c>
      <c r="C1562" t="inlineStr"/>
      <c r="D1562" t="inlineStr">
        <is>
          <t>144</t>
        </is>
      </c>
      <c r="E1562" t="inlineStr">
        <is>
          <t>1</t>
        </is>
      </c>
      <c r="F1562" t="inlineStr">
        <is>
          <t>36</t>
        </is>
      </c>
      <c r="G1562" t="inlineStr">
        <is>
          <t>16</t>
        </is>
      </c>
      <c r="H1562" t="inlineStr">
        <is>
          <t>0</t>
        </is>
      </c>
      <c r="I1562" t="inlineStr">
        <is>
          <t>24², 48²</t>
        </is>
      </c>
      <c r="J1562" t="n">
        <v>4</v>
      </c>
      <c r="K1562" t="inlineStr">
        <is>
          <t>1⁴, 2⁶, 4³, 8¹</t>
        </is>
      </c>
      <c r="L1562" t="inlineStr">
        <is>
          <t>24Q², 48A², 48E³</t>
        </is>
      </c>
      <c r="M1562" t="inlineStr">
        <is>
          <t>48AF¹³, 48AU¹⁷, 48AX¹⁷, 48CB¹⁷, 48CC¹⁷, 48CE¹⁷, 48CF¹⁷, 96AO¹⁹, 96AR¹⁹, 96AQ¹⁹, 96AP¹⁹, 96BA¹⁹, 96BB¹⁹, 48AM²¹, 48BG²¹</t>
        </is>
      </c>
      <c r="N1562" t="inlineStr">
        <is>
          <t>16D¹, 12C⁰, 48E³, 24A⁰, 4C⁰, 8B⁰, 24Q², 48A², 2B⁰, 3A⁰, 1A⁰, 6D⁰</t>
        </is>
      </c>
      <c r="O1562" t="inlineStr">
        <is>
          <t>48CE¹⁷, 96BB¹⁹, 96AQ¹⁹, 96BA¹⁹, 48AU¹⁷, 48BG²¹, 48CF¹⁷, 48AF¹³, 48AM²¹, 96AP¹⁹, 96AR¹⁹, 48CB¹⁷, 48CC¹⁷, 96AO¹⁹, 48AX¹⁷</t>
        </is>
      </c>
    </row>
    <row r="1563">
      <c r="A1563">
        <f>HYPERLINK("https://mathstats.uncg.edu/sites/pauli/congruence/csg7.html#group48AH7", "48AH⁷")</f>
        <v/>
      </c>
      <c r="B1563" t="n">
        <v>7</v>
      </c>
      <c r="C1563" t="inlineStr"/>
      <c r="D1563" t="inlineStr">
        <is>
          <t>144</t>
        </is>
      </c>
      <c r="E1563" t="inlineStr">
        <is>
          <t>2</t>
        </is>
      </c>
      <c r="F1563" t="inlineStr">
        <is>
          <t>9</t>
        </is>
      </c>
      <c r="G1563" t="inlineStr">
        <is>
          <t>16</t>
        </is>
      </c>
      <c r="H1563" t="inlineStr">
        <is>
          <t>0</t>
        </is>
      </c>
      <c r="I1563" t="inlineStr">
        <is>
          <t>24², 48²</t>
        </is>
      </c>
      <c r="J1563" t="n">
        <v>4</v>
      </c>
      <c r="K1563" t="inlineStr">
        <is>
          <t>2⁹</t>
        </is>
      </c>
      <c r="L1563" t="inlineStr">
        <is>
          <t>24H¹, 48A², 48C⁴</t>
        </is>
      </c>
      <c r="M1563" t="inlineStr">
        <is>
          <t>48X¹³, 48BR¹⁷, 48BQ¹⁷, 48CD¹⁷, 48CC¹⁷, 48M²¹, 48O²¹, 144Y²³</t>
        </is>
      </c>
      <c r="N1563" t="inlineStr">
        <is>
          <t>6B⁰, 12C⁰, 4C⁰, 24D¹, 8B⁰, 2B⁰, 12H⁰, 1A⁰, 48C⁴, 24A⁰, 48A², 12D⁰, 6H⁰, 3A⁰, 24H¹, 6D⁰</t>
        </is>
      </c>
      <c r="O1563" t="inlineStr">
        <is>
          <t>48M²¹, 48BQ¹⁷, 48BR¹⁷, 48O²¹, 48CD¹⁷, 48X¹³, 144Y²³, 48CC¹⁷</t>
        </is>
      </c>
    </row>
    <row r="1564">
      <c r="A1564">
        <f>HYPERLINK("https://mathstats.uncg.edu/sites/pauli/congruence/csg7.html#group48AI7", "48AI⁷")</f>
        <v/>
      </c>
      <c r="B1564" t="n">
        <v>7</v>
      </c>
      <c r="C1564" t="inlineStr"/>
      <c r="D1564" t="inlineStr">
        <is>
          <t>144</t>
        </is>
      </c>
      <c r="E1564" t="inlineStr">
        <is>
          <t>2</t>
        </is>
      </c>
      <c r="F1564" t="inlineStr">
        <is>
          <t>18</t>
        </is>
      </c>
      <c r="G1564" t="inlineStr">
        <is>
          <t>16</t>
        </is>
      </c>
      <c r="H1564" t="inlineStr">
        <is>
          <t>0</t>
        </is>
      </c>
      <c r="I1564" t="inlineStr">
        <is>
          <t>24², 48²</t>
        </is>
      </c>
      <c r="J1564" t="n">
        <v>4</v>
      </c>
      <c r="K1564" t="inlineStr">
        <is>
          <t>2⁶, 4⁶</t>
        </is>
      </c>
      <c r="L1564" t="inlineStr">
        <is>
          <t>24P², 48A², 48F³</t>
        </is>
      </c>
      <c r="M1564" t="inlineStr">
        <is>
          <t>48AA¹³, 48O¹⁷, 48P¹⁷, 48BR¹⁷, 48BQ¹⁷, 48CE¹⁷, 48CF¹⁷, 48CG¹⁷, 48CH¹⁷, 48AB²¹, 48BQ²¹</t>
        </is>
      </c>
      <c r="N1564" t="inlineStr">
        <is>
          <t>24E¹, 12C⁰, 24A⁰, 4C⁰, 8B⁰, 24P², 48A², 12M¹, 2B⁰, 48F³, 3A⁰, 1A⁰, 6D⁰</t>
        </is>
      </c>
      <c r="O1564" t="inlineStr">
        <is>
          <t>48BQ¹⁷, 48AA¹³, 48CG¹⁷, 48BR¹⁷, 48CF¹⁷, 48O¹⁷, 48P¹⁷, 48BQ²¹, 48AB²¹, 48CH¹⁷, 48CE¹⁷</t>
        </is>
      </c>
    </row>
    <row r="1565">
      <c r="A1565">
        <f>HYPERLINK("https://mathstats.uncg.edu/sites/pauli/congruence/csg7.html#group48AJ7", "48AJ⁷")</f>
        <v/>
      </c>
      <c r="B1565" t="n">
        <v>7</v>
      </c>
      <c r="C1565" t="inlineStr"/>
      <c r="D1565" t="inlineStr">
        <is>
          <t>144</t>
        </is>
      </c>
      <c r="E1565" t="inlineStr">
        <is>
          <t>2</t>
        </is>
      </c>
      <c r="F1565" t="inlineStr">
        <is>
          <t>36</t>
        </is>
      </c>
      <c r="G1565" t="inlineStr">
        <is>
          <t>16</t>
        </is>
      </c>
      <c r="H1565" t="inlineStr">
        <is>
          <t>0</t>
        </is>
      </c>
      <c r="I1565" t="inlineStr">
        <is>
          <t>24², 48²</t>
        </is>
      </c>
      <c r="J1565" t="n">
        <v>4</v>
      </c>
      <c r="K1565" t="inlineStr">
        <is>
          <t>2¹², 4⁶, 8³</t>
        </is>
      </c>
      <c r="L1565" t="inlineStr">
        <is>
          <t>24Q², 48A², 48H³</t>
        </is>
      </c>
      <c r="M1565" t="inlineStr">
        <is>
          <t>48AE¹³, 48AY¹⁷, 48AX¹⁷, 48BA¹⁷, 48BB¹⁷, 48BZ¹⁷, 48CD¹⁷, 48CC¹⁷, 48CE¹⁷, 48CF¹⁷, 48CG¹⁷, 48CH¹⁷, 48BB²¹, 48BR²¹</t>
        </is>
      </c>
      <c r="N1565" t="inlineStr">
        <is>
          <t>12C⁰, 24A⁰, 4C⁰, 8B⁰, 24Q², 48A², 2B⁰, 3A⁰, 1A⁰, 48H³, 6D⁰</t>
        </is>
      </c>
      <c r="O1565" t="inlineStr">
        <is>
          <t>48BB¹⁷, 48AE¹³, 48BA¹⁷, 48BZ¹⁷, 48CG¹⁷, 48CD¹⁷, 48CF¹⁷, 48BB²¹, 48BR²¹, 48AY¹⁷, 48CE¹⁷, 48CC¹⁷, 48CH¹⁷, 48AX¹⁷</t>
        </is>
      </c>
    </row>
    <row r="1566">
      <c r="A1566">
        <f>HYPERLINK("https://mathstats.uncg.edu/sites/pauli/congruence/csg7.html#group48AK7", "48AK⁷")</f>
        <v/>
      </c>
      <c r="B1566" t="n">
        <v>7</v>
      </c>
      <c r="C1566" t="inlineStr"/>
      <c r="D1566" t="inlineStr">
        <is>
          <t>192</t>
        </is>
      </c>
      <c r="E1566" t="inlineStr">
        <is>
          <t>1</t>
        </is>
      </c>
      <c r="F1566" t="inlineStr">
        <is>
          <t>12</t>
        </is>
      </c>
      <c r="G1566" t="inlineStr">
        <is>
          <t>0</t>
        </is>
      </c>
      <c r="H1566" t="inlineStr">
        <is>
          <t>0</t>
        </is>
      </c>
      <c r="I1566" t="inlineStr">
        <is>
          <t>2⁸, 6⁸, 16², 48²</t>
        </is>
      </c>
      <c r="J1566" t="n">
        <v>20</v>
      </c>
      <c r="K1566" t="inlineStr">
        <is>
          <t>1⁶, 2³</t>
        </is>
      </c>
      <c r="L1566" t="inlineStr">
        <is>
          <t>24V³, 48K³</t>
        </is>
      </c>
      <c r="M1566" t="inlineStr">
        <is>
          <t>48AG¹³, 48CL¹⁷, 48CJ¹⁷, 48CA²¹, 48CB²¹</t>
        </is>
      </c>
      <c r="N1566" t="inlineStr">
        <is>
          <t>3B⁰, 2A⁰, 24V³, 8D⁰, 12F¹, 48K³, 24G¹, 6I⁰, 4C⁰, 6C⁰, 8C⁰, 2B⁰, 4E⁰, 12P¹, 4B⁰, 1A⁰, 24I², 8G⁰, 6F⁰, 2C⁰, 12E⁰</t>
        </is>
      </c>
      <c r="O1566" t="inlineStr">
        <is>
          <t>48CJ¹⁷, 48CL¹⁷, 48CB²¹, 48AG¹³, 48CA²¹</t>
        </is>
      </c>
    </row>
    <row r="1567">
      <c r="A1567">
        <f>HYPERLINK("https://mathstats.uncg.edu/sites/pauli/congruence/csg7.html#group48AL7", "48AL⁷")</f>
        <v/>
      </c>
      <c r="B1567" t="n">
        <v>7</v>
      </c>
      <c r="C1567" t="inlineStr"/>
      <c r="D1567" t="inlineStr">
        <is>
          <t>192</t>
        </is>
      </c>
      <c r="E1567" t="inlineStr">
        <is>
          <t>1</t>
        </is>
      </c>
      <c r="F1567" t="inlineStr">
        <is>
          <t>12</t>
        </is>
      </c>
      <c r="G1567" t="inlineStr">
        <is>
          <t>0</t>
        </is>
      </c>
      <c r="H1567" t="inlineStr">
        <is>
          <t>0</t>
        </is>
      </c>
      <c r="I1567" t="inlineStr">
        <is>
          <t>2⁸, 6⁸, 16², 48²</t>
        </is>
      </c>
      <c r="J1567" t="n">
        <v>20</v>
      </c>
      <c r="K1567" t="inlineStr">
        <is>
          <t>1⁶, 2³</t>
        </is>
      </c>
      <c r="L1567" t="inlineStr">
        <is>
          <t>16G⁰, 24V³, 48L³, 48J⁴</t>
        </is>
      </c>
      <c r="M1567" t="inlineStr">
        <is>
          <t>48AG¹³, 48CK¹⁷, 48CM¹⁷, 96BC¹⁹, 96BD¹⁹, 48CC²¹, 48CF²¹</t>
        </is>
      </c>
      <c r="N1567" t="inlineStr">
        <is>
          <t>16G⁰, 2A⁰, 3B⁰, 24V³, 8D⁰, 12F¹, 6I⁰, 24G¹, 4C⁰, 6C⁰, 8C⁰, 4E⁰, 2B⁰, 12P¹, 4B⁰, 1A⁰, 16E⁰, 24I², 8G⁰, 48J⁴, 16D⁰, 6F⁰, 2C⁰, 12E⁰, 48L³</t>
        </is>
      </c>
      <c r="O1567" t="inlineStr">
        <is>
          <t>48CF²¹, 96BD¹⁹, 48CM¹⁷, 96BC¹⁹, 48AG¹³, 48CK¹⁷, 48CC²¹</t>
        </is>
      </c>
    </row>
    <row r="1568">
      <c r="A1568">
        <f>HYPERLINK("https://mathstats.uncg.edu/sites/pauli/congruence/csg7.html#group48AM7", "48AM⁷")</f>
        <v/>
      </c>
      <c r="B1568" t="n">
        <v>7</v>
      </c>
      <c r="C1568" t="inlineStr"/>
      <c r="D1568" t="inlineStr">
        <is>
          <t>192</t>
        </is>
      </c>
      <c r="E1568" t="inlineStr">
        <is>
          <t>1</t>
        </is>
      </c>
      <c r="F1568" t="inlineStr">
        <is>
          <t>48</t>
        </is>
      </c>
      <c r="G1568" t="inlineStr">
        <is>
          <t>0</t>
        </is>
      </c>
      <c r="H1568" t="inlineStr">
        <is>
          <t>0</t>
        </is>
      </c>
      <c r="I1568" t="inlineStr">
        <is>
          <t>1⁴, 2², 3⁴, 4², 6², 12², 16², 48²</t>
        </is>
      </c>
      <c r="J1568" t="n">
        <v>20</v>
      </c>
      <c r="K1568" t="inlineStr">
        <is>
          <t>1⁸, 2⁸, 4⁴, 8¹</t>
        </is>
      </c>
      <c r="L1568" t="inlineStr">
        <is>
          <t>24X³, 48I³, 48L³</t>
        </is>
      </c>
      <c r="M1568" t="inlineStr">
        <is>
          <t>48AH¹³, 48CK¹⁷, 48CQ¹⁷</t>
        </is>
      </c>
      <c r="N1568" t="inlineStr">
        <is>
          <t>3B⁰, 24X³, 24G¹, 16D⁰, 6F⁰, 8C⁰, 48I³, 2B⁰, 4B⁰, 1A⁰, 12E⁰, 48L³</t>
        </is>
      </c>
      <c r="O1568" t="inlineStr">
        <is>
          <t>48CK¹⁷, 48CQ¹⁷, 48AH¹³</t>
        </is>
      </c>
    </row>
    <row r="1569">
      <c r="A1569">
        <f>HYPERLINK("https://mathstats.uncg.edu/sites/pauli/congruence/csg7.html#group48AN7", "48AN⁷")</f>
        <v/>
      </c>
      <c r="B1569" t="n">
        <v>7</v>
      </c>
      <c r="C1569" t="inlineStr"/>
      <c r="D1569" t="inlineStr">
        <is>
          <t>192</t>
        </is>
      </c>
      <c r="E1569" t="inlineStr">
        <is>
          <t>1</t>
        </is>
      </c>
      <c r="F1569" t="inlineStr">
        <is>
          <t>48</t>
        </is>
      </c>
      <c r="G1569" t="inlineStr">
        <is>
          <t>0</t>
        </is>
      </c>
      <c r="H1569" t="inlineStr">
        <is>
          <t>0</t>
        </is>
      </c>
      <c r="I1569" t="inlineStr">
        <is>
          <t>1⁴, 2², 3⁴, 4², 6², 12², 16², 48²</t>
        </is>
      </c>
      <c r="J1569" t="n">
        <v>20</v>
      </c>
      <c r="K1569" t="inlineStr">
        <is>
          <t>1⁸, 2⁸, 4⁴, 8¹</t>
        </is>
      </c>
      <c r="L1569" t="inlineStr">
        <is>
          <t>24X³, 48J³, 48K³</t>
        </is>
      </c>
      <c r="M1569" t="inlineStr">
        <is>
          <t>48AH¹³, 48CJ¹⁷, 48CP¹⁷, 96AJ¹⁷, 96AI¹⁷, 96BH²¹, 96BG²¹</t>
        </is>
      </c>
      <c r="N1569" t="inlineStr">
        <is>
          <t>3B⁰, 24X³, 48J³, 48K³, 16C⁰, 24G¹, 1A⁰, 8C⁰, 2B⁰, 4B⁰, 6F⁰, 12E⁰</t>
        </is>
      </c>
      <c r="O1569" t="inlineStr">
        <is>
          <t>48CJ¹⁷, 48CP¹⁷, 96AJ¹⁷, 96AI¹⁷, 96BG²¹, 96BH²¹, 48AH¹³</t>
        </is>
      </c>
    </row>
    <row r="1570">
      <c r="A1570">
        <f>HYPERLINK("https://mathstats.uncg.edu/sites/pauli/congruence/csg7.html#group48AO7", "48AO⁷")</f>
        <v/>
      </c>
      <c r="B1570" t="n">
        <v>7</v>
      </c>
      <c r="C1570" t="inlineStr"/>
      <c r="D1570" t="inlineStr">
        <is>
          <t>192</t>
        </is>
      </c>
      <c r="E1570" t="inlineStr">
        <is>
          <t>1</t>
        </is>
      </c>
      <c r="F1570" t="inlineStr">
        <is>
          <t>48</t>
        </is>
      </c>
      <c r="G1570" t="inlineStr">
        <is>
          <t>0</t>
        </is>
      </c>
      <c r="H1570" t="inlineStr">
        <is>
          <t>0</t>
        </is>
      </c>
      <c r="I1570" t="inlineStr">
        <is>
          <t>1⁴, 2², 3⁴, 4², 6², 12², 16², 48²</t>
        </is>
      </c>
      <c r="J1570" t="n">
        <v>20</v>
      </c>
      <c r="K1570" t="inlineStr">
        <is>
          <t>1⁸, 2⁸, 4⁴, 8¹</t>
        </is>
      </c>
      <c r="L1570" t="inlineStr">
        <is>
          <t>24Y³, 48I³, 48K³</t>
        </is>
      </c>
      <c r="M1570" t="inlineStr">
        <is>
          <t>48AH¹³, 48CL¹⁷, 48CQ¹⁷</t>
        </is>
      </c>
      <c r="N1570" t="inlineStr">
        <is>
          <t>3B⁰, 48K³, 24G¹, 6F⁰, 8C⁰, 48I³, 24Y³, 2B⁰, 4B⁰, 8I⁰, 1A⁰, 12E⁰</t>
        </is>
      </c>
      <c r="O1570" t="inlineStr">
        <is>
          <t>48CL¹⁷, 48CQ¹⁷, 48AH¹³</t>
        </is>
      </c>
    </row>
    <row r="1571">
      <c r="A1571">
        <f>HYPERLINK("https://mathstats.uncg.edu/sites/pauli/congruence/csg7.html#group48AP7", "48AP⁷")</f>
        <v/>
      </c>
      <c r="B1571" t="n">
        <v>7</v>
      </c>
      <c r="C1571" t="inlineStr"/>
      <c r="D1571" t="inlineStr">
        <is>
          <t>192</t>
        </is>
      </c>
      <c r="E1571" t="inlineStr">
        <is>
          <t>1</t>
        </is>
      </c>
      <c r="F1571" t="inlineStr">
        <is>
          <t>48</t>
        </is>
      </c>
      <c r="G1571" t="inlineStr">
        <is>
          <t>0</t>
        </is>
      </c>
      <c r="H1571" t="inlineStr">
        <is>
          <t>0</t>
        </is>
      </c>
      <c r="I1571" t="inlineStr">
        <is>
          <t>1⁴, 2², 3⁴, 4², 6², 12², 16², 48²</t>
        </is>
      </c>
      <c r="J1571" t="n">
        <v>20</v>
      </c>
      <c r="K1571" t="inlineStr">
        <is>
          <t>1⁸, 2⁸, 4⁴, 8¹</t>
        </is>
      </c>
      <c r="L1571" t="inlineStr">
        <is>
          <t>16H⁰, 24Y³, 48J³, 48L³</t>
        </is>
      </c>
      <c r="M1571" t="inlineStr">
        <is>
          <t>48AH¹³, 48CM¹⁷, 48CP¹⁷, 96AK¹⁷, 96AL¹⁷, 48BQ¹⁹, 48BR¹⁹, 96BE¹⁹, 96BF¹⁹, 96BI²¹, 96BK²¹</t>
        </is>
      </c>
      <c r="N1571" t="inlineStr">
        <is>
          <t>3B⁰, 16H⁰, 48J³, 16C⁰, 24G¹, 16D⁰, 1A⁰, 8C⁰, 2B⁰, 24Y³, 8I⁰, 4B⁰, 6F⁰, 12E⁰, 48L³</t>
        </is>
      </c>
      <c r="O1571" t="inlineStr">
        <is>
          <t>48BQ¹⁹, 48CM¹⁷, 96BE¹⁹, 96BK²¹, 96BI²¹, 48AH¹³, 48BR¹⁹, 96AK¹⁷, 96AL¹⁷, 96BF¹⁹, 48CP¹⁷</t>
        </is>
      </c>
    </row>
    <row r="1572">
      <c r="A1572">
        <f>HYPERLINK("https://mathstats.uncg.edu/sites/pauli/congruence/csg7.html#group48AQ7", "48AQ⁷")</f>
        <v/>
      </c>
      <c r="B1572" t="n">
        <v>7</v>
      </c>
      <c r="C1572" t="inlineStr"/>
      <c r="D1572" t="inlineStr">
        <is>
          <t>192</t>
        </is>
      </c>
      <c r="E1572" t="inlineStr">
        <is>
          <t>1</t>
        </is>
      </c>
      <c r="F1572" t="inlineStr">
        <is>
          <t>48</t>
        </is>
      </c>
      <c r="G1572" t="inlineStr">
        <is>
          <t>0</t>
        </is>
      </c>
      <c r="H1572" t="inlineStr">
        <is>
          <t>0</t>
        </is>
      </c>
      <c r="I1572" t="inlineStr">
        <is>
          <t>2⁸, 6⁸, 16², 48²</t>
        </is>
      </c>
      <c r="J1572" t="n">
        <v>20</v>
      </c>
      <c r="K1572" t="inlineStr">
        <is>
          <t>1⁸, 2⁸, 4⁴, 8¹</t>
        </is>
      </c>
      <c r="L1572" t="inlineStr">
        <is>
          <t>24W³, 48K³, 48L³</t>
        </is>
      </c>
      <c r="M1572" t="inlineStr">
        <is>
          <t>48AG¹³, 48CQ¹⁷, 48CP¹⁷</t>
        </is>
      </c>
      <c r="N1572" t="inlineStr">
        <is>
          <t>24F², 3B⁰, 48K³, 24G¹, 16D⁰, 6F⁰, 12J⁰, 24W³, 2B⁰, 8C⁰, 4B⁰, 1A⁰, 12E⁰, 48L³</t>
        </is>
      </c>
      <c r="O1572" t="inlineStr">
        <is>
          <t>48AG¹³, 48CQ¹⁷, 48CP¹⁷</t>
        </is>
      </c>
    </row>
    <row r="1573">
      <c r="A1573">
        <f>HYPERLINK("https://mathstats.uncg.edu/sites/pauli/congruence/csg7.html#group50A7", "50A⁷")</f>
        <v/>
      </c>
      <c r="B1573" t="n">
        <v>7</v>
      </c>
      <c r="C1573" t="inlineStr"/>
      <c r="D1573" t="inlineStr">
        <is>
          <t>150</t>
        </is>
      </c>
      <c r="E1573" t="inlineStr">
        <is>
          <t>1</t>
        </is>
      </c>
      <c r="F1573" t="inlineStr">
        <is>
          <t>75</t>
        </is>
      </c>
      <c r="G1573" t="inlineStr">
        <is>
          <t>12</t>
        </is>
      </c>
      <c r="H1573" t="inlineStr">
        <is>
          <t>0</t>
        </is>
      </c>
      <c r="I1573" t="inlineStr">
        <is>
          <t>10⁵, 50²</t>
        </is>
      </c>
      <c r="J1573" t="n">
        <v>7</v>
      </c>
      <c r="K1573" t="inlineStr">
        <is>
          <t>2², 4⁴, 10¹, 20⁶</t>
        </is>
      </c>
      <c r="L1573" t="inlineStr">
        <is>
          <t>10E¹, 25F²</t>
        </is>
      </c>
      <c r="M1573" t="inlineStr">
        <is>
          <t>50A¹⁴, 50A¹⁸, 50D¹⁹</t>
        </is>
      </c>
      <c r="N1573" t="inlineStr">
        <is>
          <t>25F², 5E⁰, 5A⁰, 10E¹, 1A⁰</t>
        </is>
      </c>
      <c r="O1573" t="inlineStr">
        <is>
          <t>50A¹⁸, 50A¹⁴, 50D¹⁹</t>
        </is>
      </c>
    </row>
    <row r="1574">
      <c r="A1574">
        <f>HYPERLINK("https://mathstats.uncg.edu/sites/pauli/congruence/csg7.html#group50B7", "50B⁷")</f>
        <v/>
      </c>
      <c r="B1574" t="n">
        <v>7</v>
      </c>
      <c r="C1574" t="inlineStr"/>
      <c r="D1574" t="inlineStr">
        <is>
          <t>150</t>
        </is>
      </c>
      <c r="E1574" t="inlineStr">
        <is>
          <t>1</t>
        </is>
      </c>
      <c r="F1574" t="inlineStr">
        <is>
          <t>75</t>
        </is>
      </c>
      <c r="G1574" t="inlineStr">
        <is>
          <t>12</t>
        </is>
      </c>
      <c r="H1574" t="inlineStr">
        <is>
          <t>0</t>
        </is>
      </c>
      <c r="I1574" t="inlineStr">
        <is>
          <t>10⁵, 50²</t>
        </is>
      </c>
      <c r="J1574" t="n">
        <v>7</v>
      </c>
      <c r="K1574" t="inlineStr">
        <is>
          <t>2², 4⁴, 10¹, 20⁶</t>
        </is>
      </c>
      <c r="L1574" t="inlineStr">
        <is>
          <t>10E¹, 25F²</t>
        </is>
      </c>
      <c r="M1574" t="inlineStr">
        <is>
          <t>50A¹⁴, 50B¹⁸, 50C¹⁹</t>
        </is>
      </c>
      <c r="N1574" t="inlineStr">
        <is>
          <t>25F², 5E⁰, 5A⁰, 10E¹, 1A⁰</t>
        </is>
      </c>
      <c r="O1574" t="inlineStr">
        <is>
          <t>50A¹⁴, 50B¹⁸, 50C¹⁹</t>
        </is>
      </c>
    </row>
    <row r="1575">
      <c r="A1575">
        <f>HYPERLINK("https://mathstats.uncg.edu/sites/pauli/congruence/csg7.html#group50C7", "50C⁷")</f>
        <v/>
      </c>
      <c r="B1575" t="n">
        <v>7</v>
      </c>
      <c r="C1575" t="inlineStr"/>
      <c r="D1575" t="inlineStr">
        <is>
          <t>180</t>
        </is>
      </c>
      <c r="E1575" t="inlineStr">
        <is>
          <t>1</t>
        </is>
      </c>
      <c r="F1575" t="inlineStr">
        <is>
          <t>30</t>
        </is>
      </c>
      <c r="G1575" t="inlineStr">
        <is>
          <t>0</t>
        </is>
      </c>
      <c r="H1575" t="inlineStr">
        <is>
          <t>0</t>
        </is>
      </c>
      <c r="I1575" t="inlineStr">
        <is>
          <t>2¹⁵, 50³</t>
        </is>
      </c>
      <c r="J1575" t="n">
        <v>18</v>
      </c>
      <c r="K1575" t="inlineStr">
        <is>
          <t>1², 4², 20¹</t>
        </is>
      </c>
      <c r="L1575" t="inlineStr">
        <is>
          <t>10G¹, 50B², 50A³</t>
        </is>
      </c>
      <c r="M1575" t="inlineStr">
        <is>
          <t>50E¹³, 100P¹⁹, 100Q¹⁹</t>
        </is>
      </c>
      <c r="N1575" t="inlineStr">
        <is>
          <t>2A⁰, 50A³, 25A⁰, 5B⁰, 10A¹, 10C⁰, 2B⁰, 50B², 1A⁰, 2C⁰, 10G¹</t>
        </is>
      </c>
      <c r="O1575" t="inlineStr">
        <is>
          <t>100P¹⁹, 50E¹³, 100Q¹⁹</t>
        </is>
      </c>
    </row>
    <row r="1576">
      <c r="A1576">
        <f>HYPERLINK("https://mathstats.uncg.edu/sites/pauli/congruence/csg7.html#group51A7", "51A⁷")</f>
        <v/>
      </c>
      <c r="B1576" t="n">
        <v>7</v>
      </c>
      <c r="C1576" t="inlineStr"/>
      <c r="D1576" t="inlineStr">
        <is>
          <t>108</t>
        </is>
      </c>
      <c r="E1576" t="inlineStr">
        <is>
          <t>1</t>
        </is>
      </c>
      <c r="F1576" t="inlineStr">
        <is>
          <t>54</t>
        </is>
      </c>
      <c r="G1576" t="inlineStr">
        <is>
          <t>4</t>
        </is>
      </c>
      <c r="H1576" t="inlineStr">
        <is>
          <t>0</t>
        </is>
      </c>
      <c r="I1576" t="inlineStr">
        <is>
          <t>3², 51²</t>
        </is>
      </c>
      <c r="J1576" t="n">
        <v>4</v>
      </c>
      <c r="K1576" t="inlineStr">
        <is>
          <t>1², 2², 16¹, 32¹</t>
        </is>
      </c>
      <c r="L1576" t="inlineStr">
        <is>
          <t>51A³</t>
        </is>
      </c>
      <c r="M1576" t="inlineStr">
        <is>
          <t>51B¹³, 51B¹⁵, 102D¹⁵, 102E¹⁷, 102D¹⁷, 102A²³, 153B²³</t>
        </is>
      </c>
      <c r="N1576" t="inlineStr">
        <is>
          <t>3A⁰, 17A¹, 51A³, 1A⁰</t>
        </is>
      </c>
      <c r="O1576" t="inlineStr">
        <is>
          <t>102D¹⁵, 153B²³, 102D¹⁷, 102A²³, 102E¹⁷, 51B¹⁵, 51B¹³</t>
        </is>
      </c>
    </row>
    <row r="1577">
      <c r="A1577">
        <f>HYPERLINK("https://mathstats.uncg.edu/sites/pauli/congruence/csg7.html#group51B7", "51B⁷")</f>
        <v/>
      </c>
      <c r="B1577" t="n">
        <v>7</v>
      </c>
      <c r="C1577" t="inlineStr"/>
      <c r="D1577" t="inlineStr">
        <is>
          <t>108</t>
        </is>
      </c>
      <c r="E1577" t="inlineStr">
        <is>
          <t>1</t>
        </is>
      </c>
      <c r="F1577" t="inlineStr">
        <is>
          <t>54</t>
        </is>
      </c>
      <c r="G1577" t="inlineStr">
        <is>
          <t>4</t>
        </is>
      </c>
      <c r="H1577" t="inlineStr">
        <is>
          <t>0</t>
        </is>
      </c>
      <c r="I1577" t="inlineStr">
        <is>
          <t>3², 51²</t>
        </is>
      </c>
      <c r="J1577" t="n">
        <v>4</v>
      </c>
      <c r="K1577" t="inlineStr">
        <is>
          <t>1², 2², 16¹, 32¹</t>
        </is>
      </c>
      <c r="L1577" t="inlineStr">
        <is>
          <t>3C⁰, 51A³</t>
        </is>
      </c>
      <c r="M1577" t="inlineStr">
        <is>
          <t>51B¹³, 51A¹⁵, 51B¹⁵, 102A¹⁵, 102B¹⁵, 102F¹⁷, 102G¹⁷, 102B²³, 153A²³, 153C²³</t>
        </is>
      </c>
      <c r="N1577" t="inlineStr">
        <is>
          <t>3C⁰, 17A¹, 51A³, 3A⁰, 1A⁰</t>
        </is>
      </c>
      <c r="O1577" t="inlineStr">
        <is>
          <t>153A²³, 153C²³, 51A¹⁵, 102A¹⁵, 102F¹⁷, 51B¹⁵, 102B²³, 102G¹⁷, 102B¹⁵, 51B¹³</t>
        </is>
      </c>
    </row>
    <row r="1578">
      <c r="A1578">
        <f>HYPERLINK("https://mathstats.uncg.edu/sites/pauli/congruence/csg7.html#group52A7", "52A⁷")</f>
        <v/>
      </c>
      <c r="B1578" t="n">
        <v>7</v>
      </c>
      <c r="C1578" t="inlineStr"/>
      <c r="D1578" t="inlineStr">
        <is>
          <t>112</t>
        </is>
      </c>
      <c r="E1578" t="inlineStr">
        <is>
          <t>1</t>
        </is>
      </c>
      <c r="F1578" t="inlineStr">
        <is>
          <t>56</t>
        </is>
      </c>
      <c r="G1578" t="inlineStr">
        <is>
          <t>0</t>
        </is>
      </c>
      <c r="H1578" t="inlineStr">
        <is>
          <t>4</t>
        </is>
      </c>
      <c r="I1578" t="inlineStr">
        <is>
          <t>4², 52²</t>
        </is>
      </c>
      <c r="J1578" t="n">
        <v>4</v>
      </c>
      <c r="K1578" t="inlineStr">
        <is>
          <t>2⁴, 24²</t>
        </is>
      </c>
      <c r="L1578" t="inlineStr">
        <is>
          <t>13B⁰, 52A³</t>
        </is>
      </c>
      <c r="M1578" t="inlineStr">
        <is>
          <t>52A¹³, 104D¹⁵, 52E²³, 52G²³</t>
        </is>
      </c>
      <c r="N1578" t="inlineStr">
        <is>
          <t>13A⁰, 13B⁰, 52A³, 1A⁰, 4A⁰</t>
        </is>
      </c>
      <c r="O1578" t="inlineStr">
        <is>
          <t>52G²³, 52E²³, 52A¹³, 104D¹⁵</t>
        </is>
      </c>
    </row>
    <row r="1579">
      <c r="A1579">
        <f>HYPERLINK("https://mathstats.uncg.edu/sites/pauli/congruence/csg7.html#group52B7", "52B⁷")</f>
        <v/>
      </c>
      <c r="B1579" t="n">
        <v>7</v>
      </c>
      <c r="C1579" t="inlineStr"/>
      <c r="D1579" t="inlineStr">
        <is>
          <t>112</t>
        </is>
      </c>
      <c r="E1579" t="inlineStr">
        <is>
          <t>1</t>
        </is>
      </c>
      <c r="F1579" t="inlineStr">
        <is>
          <t>56</t>
        </is>
      </c>
      <c r="G1579" t="inlineStr">
        <is>
          <t>0</t>
        </is>
      </c>
      <c r="H1579" t="inlineStr">
        <is>
          <t>4</t>
        </is>
      </c>
      <c r="I1579" t="inlineStr">
        <is>
          <t>4², 52²</t>
        </is>
      </c>
      <c r="J1579" t="n">
        <v>4</v>
      </c>
      <c r="K1579" t="inlineStr">
        <is>
          <t>2⁴, 24²</t>
        </is>
      </c>
      <c r="L1579" t="inlineStr">
        <is>
          <t>4D⁰, 26A¹, 52A³</t>
        </is>
      </c>
      <c r="M1579" t="inlineStr">
        <is>
          <t>52A¹³, 104A¹⁵, 104B¹⁵, 52E²¹, 52C²³, 52F²³</t>
        </is>
      </c>
      <c r="N1579" t="inlineStr">
        <is>
          <t>2A⁰, 26A¹, 52A³, 4A⁰, 4D⁰, 13A⁰, 1A⁰</t>
        </is>
      </c>
      <c r="O1579" t="inlineStr">
        <is>
          <t>52A¹³, 52F²³, 52C²³, 104A¹⁵, 104B¹⁵, 52E²¹</t>
        </is>
      </c>
    </row>
    <row r="1580">
      <c r="A1580">
        <f>HYPERLINK("https://mathstats.uncg.edu/sites/pauli/congruence/csg7.html#group54A7", "54A⁷")</f>
        <v/>
      </c>
      <c r="B1580" t="n">
        <v>7</v>
      </c>
      <c r="C1580" t="inlineStr"/>
      <c r="D1580" t="inlineStr">
        <is>
          <t>162</t>
        </is>
      </c>
      <c r="E1580" t="inlineStr">
        <is>
          <t>2</t>
        </is>
      </c>
      <c r="F1580" t="inlineStr">
        <is>
          <t>81</t>
        </is>
      </c>
      <c r="G1580" t="inlineStr">
        <is>
          <t>24</t>
        </is>
      </c>
      <c r="H1580" t="inlineStr">
        <is>
          <t>0</t>
        </is>
      </c>
      <c r="I1580" t="inlineStr">
        <is>
          <t>54³</t>
        </is>
      </c>
      <c r="J1580" t="n">
        <v>3</v>
      </c>
      <c r="K1580" t="inlineStr">
        <is>
          <t>6⁹, 18⁶</t>
        </is>
      </c>
      <c r="L1580" t="inlineStr">
        <is>
          <t>18H¹, 27B³</t>
        </is>
      </c>
      <c r="M1580" t="inlineStr">
        <is>
          <t>54V¹⁶, 54J²²</t>
        </is>
      </c>
      <c r="N1580" t="inlineStr">
        <is>
          <t>6B⁰, 18H¹, 9G⁰, 9A⁰, 27B³, 3A⁰, 1A⁰, 18A⁰</t>
        </is>
      </c>
      <c r="O1580" t="inlineStr">
        <is>
          <t>54V¹⁶, 54J²²</t>
        </is>
      </c>
    </row>
    <row r="1581">
      <c r="A1581">
        <f>HYPERLINK("https://mathstats.uncg.edu/sites/pauli/congruence/csg7.html#group54B7", "54B⁷")</f>
        <v/>
      </c>
      <c r="B1581" t="n">
        <v>7</v>
      </c>
      <c r="C1581" t="inlineStr"/>
      <c r="D1581" t="inlineStr">
        <is>
          <t>216</t>
        </is>
      </c>
      <c r="E1581" t="inlineStr">
        <is>
          <t>1</t>
        </is>
      </c>
      <c r="F1581" t="inlineStr">
        <is>
          <t>12</t>
        </is>
      </c>
      <c r="G1581" t="inlineStr">
        <is>
          <t>0</t>
        </is>
      </c>
      <c r="H1581" t="inlineStr">
        <is>
          <t>0</t>
        </is>
      </c>
      <c r="I1581" t="inlineStr">
        <is>
          <t>2¹⁸, 6³, 54³</t>
        </is>
      </c>
      <c r="J1581" t="n">
        <v>24</v>
      </c>
      <c r="K1581" t="inlineStr">
        <is>
          <t>1², 2², 6¹</t>
        </is>
      </c>
      <c r="L1581" t="inlineStr">
        <is>
          <t>18J¹, 54B², 54A³, 54B³</t>
        </is>
      </c>
      <c r="M1581" t="inlineStr">
        <is>
          <t>108F¹⁷, 108E²¹</t>
        </is>
      </c>
      <c r="N1581" t="inlineStr">
        <is>
          <t>3B⁰, 2A⁰, 54B², 6I⁰, 6C⁰, 9B⁰, 2B⁰, 18J¹, 1A⁰, 18C⁰, 18E⁰, 54B³, 18C¹, 27A⁰, 54A³, 6F⁰, 2C⁰</t>
        </is>
      </c>
      <c r="O1581" t="inlineStr">
        <is>
          <t>108F¹⁷, 108E²¹</t>
        </is>
      </c>
    </row>
    <row r="1582">
      <c r="A1582">
        <f>HYPERLINK("https://mathstats.uncg.edu/sites/pauli/congruence/csg7.html#group55A7", "55A⁷")</f>
        <v/>
      </c>
      <c r="B1582" t="n">
        <v>7</v>
      </c>
      <c r="C1582" t="inlineStr"/>
      <c r="D1582" t="inlineStr">
        <is>
          <t>110</t>
        </is>
      </c>
      <c r="E1582" t="inlineStr">
        <is>
          <t>2</t>
        </is>
      </c>
      <c r="F1582" t="inlineStr">
        <is>
          <t>110</t>
        </is>
      </c>
      <c r="G1582" t="inlineStr">
        <is>
          <t>6</t>
        </is>
      </c>
      <c r="H1582" t="inlineStr">
        <is>
          <t>2</t>
        </is>
      </c>
      <c r="I1582" t="inlineStr">
        <is>
          <t>55²</t>
        </is>
      </c>
      <c r="J1582" t="n">
        <v>2</v>
      </c>
      <c r="K1582" t="inlineStr">
        <is>
          <t>4¹, 8², 20², 40⁴</t>
        </is>
      </c>
      <c r="L1582" t="inlineStr">
        <is>
          <t>5C⁰, 11A⁰</t>
        </is>
      </c>
      <c r="M1582" t="inlineStr">
        <is>
          <t>110C¹⁴, 55A¹⁶, 110A¹⁷, 165A²³, 55B²⁴</t>
        </is>
      </c>
      <c r="N1582" t="inlineStr">
        <is>
          <t>11A⁰, 5C⁰, 1A⁰</t>
        </is>
      </c>
      <c r="O1582" t="inlineStr">
        <is>
          <t>165A²³, 55B²⁴, 55A¹⁶, 110A¹⁷, 110C¹⁴</t>
        </is>
      </c>
    </row>
    <row r="1583">
      <c r="A1583">
        <f>HYPERLINK("https://mathstats.uncg.edu/sites/pauli/congruence/csg7.html#group56A7", "56A⁷")</f>
        <v/>
      </c>
      <c r="B1583" t="n">
        <v>7</v>
      </c>
      <c r="C1583" t="inlineStr"/>
      <c r="D1583" t="inlineStr">
        <is>
          <t>84</t>
        </is>
      </c>
      <c r="E1583" t="inlineStr">
        <is>
          <t>2</t>
        </is>
      </c>
      <c r="F1583" t="inlineStr">
        <is>
          <t>21</t>
        </is>
      </c>
      <c r="G1583" t="inlineStr">
        <is>
          <t>0</t>
        </is>
      </c>
      <c r="H1583" t="inlineStr">
        <is>
          <t>0</t>
        </is>
      </c>
      <c r="I1583" t="inlineStr">
        <is>
          <t>28¹, 56¹</t>
        </is>
      </c>
      <c r="J1583" t="n">
        <v>2</v>
      </c>
      <c r="K1583" t="inlineStr">
        <is>
          <t>2³, 6⁶</t>
        </is>
      </c>
      <c r="L1583" t="inlineStr">
        <is>
          <t>8A¹, 28C²</t>
        </is>
      </c>
      <c r="M1583" t="inlineStr">
        <is>
          <t>56A¹³, 56B¹³, 56D¹³, 56E¹³, 56F¹³, 112B¹⁴, 112C¹⁴, 56A¹⁹, 168A²¹</t>
        </is>
      </c>
      <c r="N1583" t="inlineStr">
        <is>
          <t>28C², 4C⁰, 2B⁰, 8A¹, 14B¹, 1A⁰, 7A⁰</t>
        </is>
      </c>
      <c r="O1583" t="inlineStr">
        <is>
          <t>56D¹³, 56E¹³, 56B¹³, 112B¹⁴, 56A¹³, 56F¹³, 168A²¹, 112C¹⁴, 56A¹⁹</t>
        </is>
      </c>
    </row>
    <row r="1584">
      <c r="A1584">
        <f>HYPERLINK("https://mathstats.uncg.edu/sites/pauli/congruence/csg7.html#group56B7", "56B⁷")</f>
        <v/>
      </c>
      <c r="B1584" t="n">
        <v>7</v>
      </c>
      <c r="C1584" t="inlineStr"/>
      <c r="D1584" t="inlineStr">
        <is>
          <t>96</t>
        </is>
      </c>
      <c r="E1584" t="inlineStr">
        <is>
          <t>1</t>
        </is>
      </c>
      <c r="F1584" t="inlineStr">
        <is>
          <t>24</t>
        </is>
      </c>
      <c r="G1584" t="inlineStr">
        <is>
          <t>0</t>
        </is>
      </c>
      <c r="H1584" t="inlineStr">
        <is>
          <t>0</t>
        </is>
      </c>
      <c r="I1584" t="inlineStr">
        <is>
          <t>4¹, 8¹, 28¹, 56¹</t>
        </is>
      </c>
      <c r="J1584" t="n">
        <v>4</v>
      </c>
      <c r="K1584" t="inlineStr">
        <is>
          <t>1⁶, 6³</t>
        </is>
      </c>
      <c r="L1584" t="inlineStr">
        <is>
          <t>8B⁰, 28C³</t>
        </is>
      </c>
      <c r="M1584" t="inlineStr">
        <is>
          <t>56H¹³, 56I¹³, 56L¹³, 112C¹⁵, 112D¹⁵, 112F¹⁵, 112G¹⁵, 56B¹⁹, 168A²³, 168E²³</t>
        </is>
      </c>
      <c r="N1584" t="inlineStr">
        <is>
          <t>7B⁰, 4C⁰, 14C¹, 8B⁰, 2B⁰, 28C³, 1A⁰</t>
        </is>
      </c>
      <c r="O1584" t="inlineStr">
        <is>
          <t>112G¹⁵, 112D¹⁵, 56L¹³, 168A²³, 112F¹⁵, 56H¹³, 56I¹³, 168E²³, 56B¹⁹, 112C¹⁵</t>
        </is>
      </c>
    </row>
    <row r="1585">
      <c r="A1585">
        <f>HYPERLINK("https://mathstats.uncg.edu/sites/pauli/congruence/csg7.html#group56C7", "56C⁷")</f>
        <v/>
      </c>
      <c r="B1585" t="n">
        <v>7</v>
      </c>
      <c r="C1585" t="inlineStr"/>
      <c r="D1585" t="inlineStr">
        <is>
          <t>96</t>
        </is>
      </c>
      <c r="E1585" t="inlineStr">
        <is>
          <t>1</t>
        </is>
      </c>
      <c r="F1585" t="inlineStr">
        <is>
          <t>24</t>
        </is>
      </c>
      <c r="G1585" t="inlineStr">
        <is>
          <t>0</t>
        </is>
      </c>
      <c r="H1585" t="inlineStr">
        <is>
          <t>0</t>
        </is>
      </c>
      <c r="I1585" t="inlineStr">
        <is>
          <t>4¹, 8¹, 28¹, 56¹</t>
        </is>
      </c>
      <c r="J1585" t="n">
        <v>4</v>
      </c>
      <c r="K1585" t="inlineStr">
        <is>
          <t>1⁶, 6³</t>
        </is>
      </c>
      <c r="L1585" t="inlineStr">
        <is>
          <t>8A¹, 28C³</t>
        </is>
      </c>
      <c r="M1585" t="inlineStr">
        <is>
          <t>56H¹³, 56J¹³, 56K¹³, 112A¹⁵, 112B¹⁵, 112E¹⁵, 112H¹⁵, 56C¹⁹, 168B²³, 168F²³</t>
        </is>
      </c>
      <c r="N1585" t="inlineStr">
        <is>
          <t>2B⁰, 8A¹, 28C³, 1A⁰, 7B⁰, 4C⁰, 14C¹</t>
        </is>
      </c>
      <c r="O1585" t="inlineStr">
        <is>
          <t>56C¹⁹, 168F²³, 112H¹⁵, 168B²³, 112E¹⁵, 56H¹³, 112B¹⁵, 56K¹³, 56J¹³, 112A¹⁵</t>
        </is>
      </c>
    </row>
    <row r="1586">
      <c r="A1586">
        <f>HYPERLINK("https://mathstats.uncg.edu/sites/pauli/congruence/csg7.html#group56D7", "56D⁷")</f>
        <v/>
      </c>
      <c r="B1586" t="n">
        <v>7</v>
      </c>
      <c r="C1586" t="inlineStr"/>
      <c r="D1586" t="inlineStr">
        <is>
          <t>112</t>
        </is>
      </c>
      <c r="E1586" t="inlineStr">
        <is>
          <t>2</t>
        </is>
      </c>
      <c r="F1586" t="inlineStr">
        <is>
          <t>28</t>
        </is>
      </c>
      <c r="G1586" t="inlineStr">
        <is>
          <t>4</t>
        </is>
      </c>
      <c r="H1586" t="inlineStr">
        <is>
          <t>4</t>
        </is>
      </c>
      <c r="I1586" t="inlineStr">
        <is>
          <t>56²</t>
        </is>
      </c>
      <c r="J1586" t="n">
        <v>2</v>
      </c>
      <c r="K1586" t="inlineStr">
        <is>
          <t>8², 24⁴</t>
        </is>
      </c>
      <c r="L1586" t="inlineStr">
        <is>
          <t>28D³, 56A³, 56D³</t>
        </is>
      </c>
      <c r="M1586" t="inlineStr">
        <is>
          <t>56A¹⁵, 112I¹⁵, 56B²³, 168G²³</t>
        </is>
      </c>
      <c r="N1586" t="inlineStr">
        <is>
          <t>28D³, 56D³, 4A⁰, 7C⁰, 8A⁰, 28A¹, 1A⁰, 7A⁰, 56A³</t>
        </is>
      </c>
      <c r="O1586" t="inlineStr">
        <is>
          <t>168G²³, 112I¹⁵, 56B²³, 56A¹⁵</t>
        </is>
      </c>
    </row>
    <row r="1587">
      <c r="A1587">
        <f>HYPERLINK("https://mathstats.uncg.edu/sites/pauli/congruence/csg7.html#group56E7", "56E⁷")</f>
        <v/>
      </c>
      <c r="B1587" t="n">
        <v>7</v>
      </c>
      <c r="C1587" t="inlineStr"/>
      <c r="D1587" t="inlineStr">
        <is>
          <t>112</t>
        </is>
      </c>
      <c r="E1587" t="inlineStr">
        <is>
          <t>2</t>
        </is>
      </c>
      <c r="F1587" t="inlineStr">
        <is>
          <t>28</t>
        </is>
      </c>
      <c r="G1587" t="inlineStr">
        <is>
          <t>4</t>
        </is>
      </c>
      <c r="H1587" t="inlineStr">
        <is>
          <t>4</t>
        </is>
      </c>
      <c r="I1587" t="inlineStr">
        <is>
          <t>56²</t>
        </is>
      </c>
      <c r="J1587" t="n">
        <v>2</v>
      </c>
      <c r="K1587" t="inlineStr">
        <is>
          <t>8², 24⁴</t>
        </is>
      </c>
      <c r="L1587" t="inlineStr">
        <is>
          <t>28D³, 56B³, 56C³</t>
        </is>
      </c>
      <c r="M1587" t="inlineStr">
        <is>
          <t>56A¹⁵, 112J¹⁵, 56C²³, 168H²³</t>
        </is>
      </c>
      <c r="N1587" t="inlineStr">
        <is>
          <t>28D³, 56B³, 4A⁰, 7C⁰, 8A⁰, 56C³, 28A¹, 1A⁰, 7A⁰</t>
        </is>
      </c>
      <c r="O1587" t="inlineStr">
        <is>
          <t>112J¹⁵, 168H²³, 56C²³, 56A¹⁵</t>
        </is>
      </c>
    </row>
    <row r="1588">
      <c r="A1588">
        <f>HYPERLINK("https://mathstats.uncg.edu/sites/pauli/congruence/csg7.html#group56F7", "56F⁷")</f>
        <v/>
      </c>
      <c r="B1588" t="n">
        <v>7</v>
      </c>
      <c r="C1588" t="inlineStr"/>
      <c r="D1588" t="inlineStr">
        <is>
          <t>128</t>
        </is>
      </c>
      <c r="E1588" t="inlineStr">
        <is>
          <t>1</t>
        </is>
      </c>
      <c r="F1588" t="inlineStr">
        <is>
          <t>32</t>
        </is>
      </c>
      <c r="G1588" t="inlineStr">
        <is>
          <t>0</t>
        </is>
      </c>
      <c r="H1588" t="inlineStr">
        <is>
          <t>8</t>
        </is>
      </c>
      <c r="I1588" t="inlineStr">
        <is>
          <t>8², 56²</t>
        </is>
      </c>
      <c r="J1588" t="n">
        <v>4</v>
      </c>
      <c r="K1588" t="inlineStr">
        <is>
          <t>2⁴, 12²</t>
        </is>
      </c>
      <c r="L1588" t="inlineStr">
        <is>
          <t>28E³</t>
        </is>
      </c>
      <c r="M1588" t="inlineStr">
        <is>
          <t>56N¹³, 56S²³</t>
        </is>
      </c>
      <c r="N1588" t="inlineStr">
        <is>
          <t>2A⁰, 4A⁰, 4D⁰, 7B⁰, 14B⁰, 28E³, 1A⁰, 28A²</t>
        </is>
      </c>
      <c r="O1588" t="inlineStr">
        <is>
          <t>56S²³, 56N¹³</t>
        </is>
      </c>
    </row>
    <row r="1589">
      <c r="A1589">
        <f>HYPERLINK("https://mathstats.uncg.edu/sites/pauli/congruence/csg7.html#group56G7", "56G⁷")</f>
        <v/>
      </c>
      <c r="B1589" t="n">
        <v>7</v>
      </c>
      <c r="C1589" t="inlineStr"/>
      <c r="D1589" t="inlineStr">
        <is>
          <t>128</t>
        </is>
      </c>
      <c r="E1589" t="inlineStr">
        <is>
          <t>1</t>
        </is>
      </c>
      <c r="F1589" t="inlineStr">
        <is>
          <t>32</t>
        </is>
      </c>
      <c r="G1589" t="inlineStr">
        <is>
          <t>0</t>
        </is>
      </c>
      <c r="H1589" t="inlineStr">
        <is>
          <t>8</t>
        </is>
      </c>
      <c r="I1589" t="inlineStr">
        <is>
          <t>8², 56²</t>
        </is>
      </c>
      <c r="J1589" t="n">
        <v>4</v>
      </c>
      <c r="K1589" t="inlineStr">
        <is>
          <t>2⁴, 12²</t>
        </is>
      </c>
      <c r="L1589" t="inlineStr">
        <is>
          <t>8E⁰, 28E³, 56A⁴</t>
        </is>
      </c>
      <c r="M1589" t="inlineStr">
        <is>
          <t>56N¹³, 112K¹⁵, 112L¹⁵, 56T²³</t>
        </is>
      </c>
      <c r="N1589" t="inlineStr">
        <is>
          <t>56A⁴, 2A⁰, 7B⁰, 4A⁰, 4D⁰, 14B⁰, 8A⁰, 8E⁰, 28E³, 1A⁰, 28A²</t>
        </is>
      </c>
      <c r="O1589" t="inlineStr">
        <is>
          <t>56N¹³, 112L¹⁵, 112K¹⁵, 56T²³</t>
        </is>
      </c>
    </row>
    <row r="1590">
      <c r="A1590">
        <f>HYPERLINK("https://mathstats.uncg.edu/sites/pauli/congruence/csg7.html#group60A7", "60A⁷")</f>
        <v/>
      </c>
      <c r="B1590" t="n">
        <v>7</v>
      </c>
      <c r="C1590" t="inlineStr"/>
      <c r="D1590" t="inlineStr">
        <is>
          <t>90</t>
        </is>
      </c>
      <c r="E1590" t="inlineStr">
        <is>
          <t>1</t>
        </is>
      </c>
      <c r="F1590" t="inlineStr">
        <is>
          <t>15</t>
        </is>
      </c>
      <c r="G1590" t="inlineStr">
        <is>
          <t>0</t>
        </is>
      </c>
      <c r="H1590" t="inlineStr">
        <is>
          <t>0</t>
        </is>
      </c>
      <c r="I1590" t="inlineStr">
        <is>
          <t>15², 60¹</t>
        </is>
      </c>
      <c r="J1590" t="n">
        <v>3</v>
      </c>
      <c r="K1590" t="inlineStr">
        <is>
          <t>1³, 4³</t>
        </is>
      </c>
      <c r="L1590" t="inlineStr">
        <is>
          <t>12B¹, 20A², 30D³</t>
        </is>
      </c>
      <c r="M1590" t="inlineStr">
        <is>
          <t>60C¹³, 60A¹⁴, 60D¹⁴, 120A¹⁴, 120C¹⁴, 60H¹⁹, 180A²²</t>
        </is>
      </c>
      <c r="N1590" t="inlineStr">
        <is>
          <t>20A², 30D³, 5A⁰, 3A⁰, 15A¹, 10B¹, 12B¹, 2B⁰, 4B⁰, 1A⁰, 6D⁰</t>
        </is>
      </c>
      <c r="O1590" t="inlineStr">
        <is>
          <t>60A¹⁴, 180A²², 60D¹⁴, 120C¹⁴, 60H¹⁹, 120A¹⁴, 60C¹³</t>
        </is>
      </c>
    </row>
    <row r="1591">
      <c r="A1591">
        <f>HYPERLINK("https://mathstats.uncg.edu/sites/pauli/congruence/csg7.html#group60B7", "60B⁷")</f>
        <v/>
      </c>
      <c r="B1591" t="n">
        <v>7</v>
      </c>
      <c r="C1591" t="inlineStr"/>
      <c r="D1591" t="inlineStr">
        <is>
          <t>90</t>
        </is>
      </c>
      <c r="E1591" t="inlineStr">
        <is>
          <t>1</t>
        </is>
      </c>
      <c r="F1591" t="inlineStr">
        <is>
          <t>45</t>
        </is>
      </c>
      <c r="G1591" t="inlineStr">
        <is>
          <t>2</t>
        </is>
      </c>
      <c r="H1591" t="inlineStr">
        <is>
          <t>0</t>
        </is>
      </c>
      <c r="I1591" t="inlineStr">
        <is>
          <t>30¹, 60¹</t>
        </is>
      </c>
      <c r="J1591" t="n">
        <v>2</v>
      </c>
      <c r="K1591" t="inlineStr">
        <is>
          <t>1³, 2³, 4³, 8³</t>
        </is>
      </c>
      <c r="L1591" t="inlineStr">
        <is>
          <t>12C¹, 30D³</t>
        </is>
      </c>
      <c r="M1591" t="inlineStr">
        <is>
          <t>60D¹³, 60H¹³, 60C¹⁴, 60D¹⁴, 60E¹⁴, 60I¹⁹, 180B²¹, 180B²²</t>
        </is>
      </c>
      <c r="N1591" t="inlineStr">
        <is>
          <t>30D³, 5A⁰, 12C¹, 10B¹, 6D⁰, 2B⁰, 3A⁰, 1A⁰, 15A¹</t>
        </is>
      </c>
      <c r="O1591" t="inlineStr">
        <is>
          <t>60H¹³, 60C¹⁴, 180B²², 60E¹⁴, 60D¹³, 60I¹⁹, 180B²¹, 60D¹⁴</t>
        </is>
      </c>
    </row>
    <row r="1592">
      <c r="A1592">
        <f>HYPERLINK("https://mathstats.uncg.edu/sites/pauli/congruence/csg7.html#group60C7", "60C⁷")</f>
        <v/>
      </c>
      <c r="B1592" t="n">
        <v>7</v>
      </c>
      <c r="C1592" t="inlineStr"/>
      <c r="D1592" t="inlineStr">
        <is>
          <t>90</t>
        </is>
      </c>
      <c r="E1592" t="inlineStr">
        <is>
          <t>2</t>
        </is>
      </c>
      <c r="F1592" t="inlineStr">
        <is>
          <t>15</t>
        </is>
      </c>
      <c r="G1592" t="inlineStr">
        <is>
          <t>0</t>
        </is>
      </c>
      <c r="H1592" t="inlineStr">
        <is>
          <t>0</t>
        </is>
      </c>
      <c r="I1592" t="inlineStr">
        <is>
          <t>15², 60¹</t>
        </is>
      </c>
      <c r="J1592" t="n">
        <v>3</v>
      </c>
      <c r="K1592" t="inlineStr">
        <is>
          <t>2³, 8³</t>
        </is>
      </c>
      <c r="L1592" t="inlineStr">
        <is>
          <t>20A², 30E³</t>
        </is>
      </c>
      <c r="M1592" t="inlineStr">
        <is>
          <t>60F¹⁴, 120D¹⁴, 60H¹⁹</t>
        </is>
      </c>
      <c r="N1592" t="inlineStr">
        <is>
          <t>20A², 5A⁰, 30E³, 10B¹, 2B⁰, 4B⁰, 1A⁰, 15A⁰</t>
        </is>
      </c>
      <c r="O1592" t="inlineStr">
        <is>
          <t>60H¹⁹, 60F¹⁴, 120D¹⁴</t>
        </is>
      </c>
    </row>
    <row r="1593">
      <c r="A1593">
        <f>HYPERLINK("https://mathstats.uncg.edu/sites/pauli/congruence/csg7.html#group60D7", "60D⁷")</f>
        <v/>
      </c>
      <c r="B1593" t="n">
        <v>7</v>
      </c>
      <c r="C1593" t="inlineStr"/>
      <c r="D1593" t="inlineStr">
        <is>
          <t>96</t>
        </is>
      </c>
      <c r="E1593" t="inlineStr">
        <is>
          <t>1</t>
        </is>
      </c>
      <c r="F1593" t="inlineStr">
        <is>
          <t>24</t>
        </is>
      </c>
      <c r="G1593" t="inlineStr">
        <is>
          <t>0</t>
        </is>
      </c>
      <c r="H1593" t="inlineStr">
        <is>
          <t>0</t>
        </is>
      </c>
      <c r="I1593" t="inlineStr">
        <is>
          <t>4¹, 12¹, 20¹, 60¹</t>
        </is>
      </c>
      <c r="J1593" t="n">
        <v>4</v>
      </c>
      <c r="K1593" t="inlineStr">
        <is>
          <t>1⁴, 2², 4², 8¹</t>
        </is>
      </c>
      <c r="L1593" t="inlineStr">
        <is>
          <t>30G³</t>
        </is>
      </c>
      <c r="M1593" t="inlineStr">
        <is>
          <t>60J¹³, 60K¹⁹, 60A²¹, 60I²¹, 180C²¹, 180E²¹, 180A²³, 180B²³, 180E²³, 180F²³</t>
        </is>
      </c>
      <c r="N1593" t="inlineStr">
        <is>
          <t>15C¹, 3B⁰, 2A⁰, 6C⁰, 5B⁰, 10A¹, 30G³, 1A⁰</t>
        </is>
      </c>
      <c r="O1593" t="inlineStr">
        <is>
          <t>180E²³, 180F²³, 60I²¹, 180B²³, 60J¹³, 60A²¹, 180A²³, 180C²¹, 180E²¹, 60K¹⁹</t>
        </is>
      </c>
    </row>
    <row r="1594">
      <c r="A1594">
        <f>HYPERLINK("https://mathstats.uncg.edu/sites/pauli/congruence/csg7.html#group60E7", "60E⁷")</f>
        <v/>
      </c>
      <c r="B1594" t="n">
        <v>7</v>
      </c>
      <c r="C1594" t="inlineStr"/>
      <c r="D1594" t="inlineStr">
        <is>
          <t>96</t>
        </is>
      </c>
      <c r="E1594" t="inlineStr">
        <is>
          <t>1</t>
        </is>
      </c>
      <c r="F1594" t="inlineStr">
        <is>
          <t>24</t>
        </is>
      </c>
      <c r="G1594" t="inlineStr">
        <is>
          <t>0</t>
        </is>
      </c>
      <c r="H1594" t="inlineStr">
        <is>
          <t>0</t>
        </is>
      </c>
      <c r="I1594" t="inlineStr">
        <is>
          <t>4¹, 12¹, 20¹, 60¹</t>
        </is>
      </c>
      <c r="J1594" t="n">
        <v>4</v>
      </c>
      <c r="K1594" t="inlineStr">
        <is>
          <t>1⁴, 2², 4², 8¹</t>
        </is>
      </c>
      <c r="L1594" t="inlineStr">
        <is>
          <t>12B⁰, 30G³</t>
        </is>
      </c>
      <c r="M1594" t="inlineStr">
        <is>
          <t>60J¹³, 60L¹⁹, 60B²¹, 60J²¹, 180D²¹, 180F²¹, 180C²³, 180D²³, 180G²³, 180H²³</t>
        </is>
      </c>
      <c r="N1594" t="inlineStr">
        <is>
          <t>15C¹, 3B⁰, 2A⁰, 6C⁰, 5B⁰, 10A¹, 30G³, 1A⁰, 12B⁰</t>
        </is>
      </c>
      <c r="O1594" t="inlineStr">
        <is>
          <t>180G²³, 180C²³, 60B²¹, 180F²¹, 60L¹⁹, 180D²³, 60J¹³, 180H²³, 60J²¹, 180D²¹</t>
        </is>
      </c>
    </row>
    <row r="1595">
      <c r="A1595">
        <f>HYPERLINK("https://mathstats.uncg.edu/sites/pauli/congruence/csg7.html#group60F7", "60F⁷")</f>
        <v/>
      </c>
      <c r="B1595" t="n">
        <v>7</v>
      </c>
      <c r="C1595" t="inlineStr"/>
      <c r="D1595" t="inlineStr">
        <is>
          <t>96</t>
        </is>
      </c>
      <c r="E1595" t="inlineStr">
        <is>
          <t>1</t>
        </is>
      </c>
      <c r="F1595" t="inlineStr">
        <is>
          <t>96</t>
        </is>
      </c>
      <c r="G1595" t="inlineStr">
        <is>
          <t>0</t>
        </is>
      </c>
      <c r="H1595" t="inlineStr">
        <is>
          <t>0</t>
        </is>
      </c>
      <c r="I1595" t="inlineStr">
        <is>
          <t>4¹, 12¹, 20¹, 60¹</t>
        </is>
      </c>
      <c r="J1595" t="n">
        <v>4</v>
      </c>
      <c r="K1595" t="inlineStr">
        <is>
          <t>2⁸, 4⁴, 8⁴, 16²</t>
        </is>
      </c>
      <c r="L1595" t="inlineStr">
        <is>
          <t>12A¹, 15C¹, 20B¹</t>
        </is>
      </c>
      <c r="M1595" t="inlineStr">
        <is>
          <t>60K¹³, 60L¹³, 60M¹³, 120C¹⁵, 120D¹⁵, 60N¹⁹, 60E²¹, 180G²¹, 180I²³, 180J²³</t>
        </is>
      </c>
      <c r="N1595" t="inlineStr">
        <is>
          <t>15C¹, 3B⁰, 4A⁰, 12A¹, 5B⁰, 1A⁰, 20B¹</t>
        </is>
      </c>
      <c r="O1595" t="inlineStr">
        <is>
          <t>120C¹⁵, 60K¹³, 60N¹⁹, 60E²¹, 180I²³, 120D¹⁵, 60L¹³, 60M¹³, 180G²¹, 180J²³</t>
        </is>
      </c>
    </row>
    <row r="1596">
      <c r="A1596">
        <f>HYPERLINK("https://mathstats.uncg.edu/sites/pauli/congruence/csg7.html#group60G7", "60G⁷")</f>
        <v/>
      </c>
      <c r="B1596" t="n">
        <v>7</v>
      </c>
      <c r="C1596" t="inlineStr"/>
      <c r="D1596" t="inlineStr">
        <is>
          <t>96</t>
        </is>
      </c>
      <c r="E1596" t="inlineStr">
        <is>
          <t>2</t>
        </is>
      </c>
      <c r="F1596" t="inlineStr">
        <is>
          <t>24</t>
        </is>
      </c>
      <c r="G1596" t="inlineStr">
        <is>
          <t>0</t>
        </is>
      </c>
      <c r="H1596" t="inlineStr">
        <is>
          <t>0</t>
        </is>
      </c>
      <c r="I1596" t="inlineStr">
        <is>
          <t>4¹, 12¹, 20¹, 60¹</t>
        </is>
      </c>
      <c r="J1596" t="n">
        <v>4</v>
      </c>
      <c r="K1596" t="inlineStr">
        <is>
          <t>2⁴, 4², 8², 16¹</t>
        </is>
      </c>
      <c r="L1596" t="inlineStr">
        <is>
          <t>20C¹, 30F³</t>
        </is>
      </c>
      <c r="M1596" t="inlineStr">
        <is>
          <t>60I¹³, 60O¹⁹, 60Q²¹, 180H²¹, 180K²³, 180L²³</t>
        </is>
      </c>
      <c r="N1596" t="inlineStr">
        <is>
          <t>15C¹, 20C¹, 3B⁰, 30F³, 5B⁰, 1A⁰, 10B⁰</t>
        </is>
      </c>
      <c r="O1596" t="inlineStr">
        <is>
          <t>60O¹⁹, 180H²¹, 180K²³, 60Q²¹, 60I¹³, 180L²³</t>
        </is>
      </c>
    </row>
    <row r="1597">
      <c r="A1597">
        <f>HYPERLINK("https://mathstats.uncg.edu/sites/pauli/congruence/csg7.html#group60H7", "60H⁷")</f>
        <v/>
      </c>
      <c r="B1597" t="n">
        <v>7</v>
      </c>
      <c r="C1597" t="inlineStr"/>
      <c r="D1597" t="inlineStr">
        <is>
          <t>108</t>
        </is>
      </c>
      <c r="E1597" t="inlineStr">
        <is>
          <t>1</t>
        </is>
      </c>
      <c r="F1597" t="inlineStr">
        <is>
          <t>18</t>
        </is>
      </c>
      <c r="G1597" t="inlineStr">
        <is>
          <t>0</t>
        </is>
      </c>
      <c r="H1597" t="inlineStr">
        <is>
          <t>0</t>
        </is>
      </c>
      <c r="I1597" t="inlineStr">
        <is>
          <t>3², 12¹, 15², 60¹</t>
        </is>
      </c>
      <c r="J1597" t="n">
        <v>6</v>
      </c>
      <c r="K1597" t="inlineStr">
        <is>
          <t>1⁶, 4³</t>
        </is>
      </c>
      <c r="L1597" t="inlineStr">
        <is>
          <t>12B¹, 20D¹, 30E²</t>
        </is>
      </c>
      <c r="M1597" t="inlineStr">
        <is>
          <t>60N¹³, 60R¹³, 60T¹³, 60B¹⁵, 60D¹⁵, 60K¹⁵, 60M¹⁵, 120E¹⁵, 120F¹⁵, 120I¹⁵, 120J¹⁵</t>
        </is>
      </c>
      <c r="N1597" t="inlineStr">
        <is>
          <t>15B⁰, 3A⁰, 30E², 5B⁰, 10C⁰, 20D¹, 12B¹, 2B⁰, 4B⁰, 1A⁰, 6D⁰</t>
        </is>
      </c>
      <c r="O1597" t="inlineStr">
        <is>
          <t>120I¹⁵, 60B¹⁵, 120E¹⁵, 60D¹⁵, 60M¹⁵, 60K¹⁵, 60N¹³, 120J¹⁵, 60T¹³, 120F¹⁵, 60R¹³</t>
        </is>
      </c>
    </row>
    <row r="1598">
      <c r="A1598">
        <f>HYPERLINK("https://mathstats.uncg.edu/sites/pauli/congruence/csg7.html#group60I7", "60I⁷")</f>
        <v/>
      </c>
      <c r="B1598" t="n">
        <v>7</v>
      </c>
      <c r="C1598" t="inlineStr"/>
      <c r="D1598" t="inlineStr">
        <is>
          <t>108</t>
        </is>
      </c>
      <c r="E1598" t="inlineStr">
        <is>
          <t>1</t>
        </is>
      </c>
      <c r="F1598" t="inlineStr">
        <is>
          <t>54</t>
        </is>
      </c>
      <c r="G1598" t="inlineStr">
        <is>
          <t>4</t>
        </is>
      </c>
      <c r="H1598" t="inlineStr">
        <is>
          <t>0</t>
        </is>
      </c>
      <c r="I1598" t="inlineStr">
        <is>
          <t>6¹, 12¹, 30¹, 60¹</t>
        </is>
      </c>
      <c r="J1598" t="n">
        <v>4</v>
      </c>
      <c r="K1598" t="inlineStr">
        <is>
          <t>1⁶, 2⁶, 4³, 8³</t>
        </is>
      </c>
      <c r="L1598" t="inlineStr">
        <is>
          <t>12C¹, 30E²</t>
        </is>
      </c>
      <c r="M1598" t="inlineStr">
        <is>
          <t>60V¹³, 60W¹³, 60Y¹³, 60AC¹³, 60AF¹³, 60E¹⁵, 60F¹⁵, 60J¹⁵, 60M¹⁵, 60N¹⁵, 60O¹⁵, 180N²³</t>
        </is>
      </c>
      <c r="N1598" t="inlineStr">
        <is>
          <t>15B⁰, 30E², 12C¹, 5B⁰, 10C⁰, 2B⁰, 3A⁰, 1A⁰, 6D⁰</t>
        </is>
      </c>
      <c r="O1598" t="inlineStr">
        <is>
          <t>60J¹⁵, 60AC¹³, 60Y¹³, 60M¹⁵, 60F¹⁵, 60E¹⁵, 60N¹⁵, 60AF¹³, 60V¹³, 60O¹⁵, 60W¹³, 180N²³</t>
        </is>
      </c>
    </row>
    <row r="1599">
      <c r="A1599">
        <f>HYPERLINK("https://mathstats.uncg.edu/sites/pauli/congruence/csg7.html#group60J7", "60J⁷")</f>
        <v/>
      </c>
      <c r="B1599" t="n">
        <v>7</v>
      </c>
      <c r="C1599" t="inlineStr"/>
      <c r="D1599" t="inlineStr">
        <is>
          <t>120</t>
        </is>
      </c>
      <c r="E1599" t="inlineStr">
        <is>
          <t>1</t>
        </is>
      </c>
      <c r="F1599" t="inlineStr">
        <is>
          <t>40</t>
        </is>
      </c>
      <c r="G1599" t="inlineStr">
        <is>
          <t>12</t>
        </is>
      </c>
      <c r="H1599" t="inlineStr">
        <is>
          <t>0</t>
        </is>
      </c>
      <c r="I1599" t="inlineStr">
        <is>
          <t>60²</t>
        </is>
      </c>
      <c r="J1599" t="n">
        <v>2</v>
      </c>
      <c r="K1599" t="inlineStr">
        <is>
          <t>4², 8⁴</t>
        </is>
      </c>
      <c r="L1599" t="inlineStr">
        <is>
          <t>12A⁰, 15D¹, 20E²</t>
        </is>
      </c>
      <c r="M1599" t="inlineStr">
        <is>
          <t>60AH¹³, 60W¹⁵, 60X¹⁵, 60H¹⁷, 60I¹⁷, 120E¹⁷, 120F¹⁷, 120G¹⁷, 120H¹⁷, 60E¹⁹, 60F¹⁹</t>
        </is>
      </c>
      <c r="N1599" t="inlineStr">
        <is>
          <t>15D¹, 12A⁰, 4A⁰, 5C⁰, 3A⁰, 1A⁰, 20E²</t>
        </is>
      </c>
      <c r="O1599" t="inlineStr">
        <is>
          <t>60E¹⁹, 60F¹⁹, 60X¹⁵, 120E¹⁷, 60W¹⁵, 60AH¹³, 120H¹⁷, 60H¹⁷, 120F¹⁷, 120G¹⁷, 60I¹⁷</t>
        </is>
      </c>
    </row>
    <row r="1600">
      <c r="A1600">
        <f>HYPERLINK("https://mathstats.uncg.edu/sites/pauli/congruence/csg7.html#group60K7", "60K⁷")</f>
        <v/>
      </c>
      <c r="B1600" t="n">
        <v>7</v>
      </c>
      <c r="C1600" t="inlineStr"/>
      <c r="D1600" t="inlineStr">
        <is>
          <t>120</t>
        </is>
      </c>
      <c r="E1600" t="inlineStr">
        <is>
          <t>2</t>
        </is>
      </c>
      <c r="F1600" t="inlineStr">
        <is>
          <t>10</t>
        </is>
      </c>
      <c r="G1600" t="inlineStr">
        <is>
          <t>12</t>
        </is>
      </c>
      <c r="H1600" t="inlineStr">
        <is>
          <t>0</t>
        </is>
      </c>
      <c r="I1600" t="inlineStr">
        <is>
          <t>60²</t>
        </is>
      </c>
      <c r="J1600" t="n">
        <v>2</v>
      </c>
      <c r="K1600" t="inlineStr">
        <is>
          <t>4¹, 8²</t>
        </is>
      </c>
      <c r="L1600" t="inlineStr">
        <is>
          <t>20F¹, 30F²</t>
        </is>
      </c>
      <c r="M1600" t="inlineStr">
        <is>
          <t>60Z¹⁵, 60K¹⁷, 60B¹⁹</t>
        </is>
      </c>
      <c r="N1600" t="inlineStr">
        <is>
          <t>15D¹, 1A⁰, 3A⁰, 30F², 10D⁰, 5C⁰, 20F¹</t>
        </is>
      </c>
      <c r="O1600" t="inlineStr">
        <is>
          <t>60K¹⁷, 60B¹⁹, 60Z¹⁵</t>
        </is>
      </c>
    </row>
    <row r="1601">
      <c r="A1601">
        <f>HYPERLINK("https://mathstats.uncg.edu/sites/pauli/congruence/csg7.html#group60L7", "60L⁷")</f>
        <v/>
      </c>
      <c r="B1601" t="n">
        <v>7</v>
      </c>
      <c r="C1601" t="inlineStr"/>
      <c r="D1601" t="inlineStr">
        <is>
          <t>120</t>
        </is>
      </c>
      <c r="E1601" t="inlineStr">
        <is>
          <t>2</t>
        </is>
      </c>
      <c r="F1601" t="inlineStr">
        <is>
          <t>30</t>
        </is>
      </c>
      <c r="G1601" t="inlineStr">
        <is>
          <t>12</t>
        </is>
      </c>
      <c r="H1601" t="inlineStr">
        <is>
          <t>0</t>
        </is>
      </c>
      <c r="I1601" t="inlineStr">
        <is>
          <t>60²</t>
        </is>
      </c>
      <c r="J1601" t="n">
        <v>2</v>
      </c>
      <c r="K1601" t="inlineStr">
        <is>
          <t>4¹, 8³, 16²</t>
        </is>
      </c>
      <c r="L1601" t="inlineStr">
        <is>
          <t>30F²</t>
        </is>
      </c>
      <c r="M1601" t="inlineStr">
        <is>
          <t>60R¹⁵, 60S¹⁵, 60Z¹⁵, 60J¹⁷, 60K¹⁷, 60D¹⁹</t>
        </is>
      </c>
      <c r="N1601" t="inlineStr">
        <is>
          <t>15D¹, 1A⁰, 3A⁰, 30F², 10D⁰, 5C⁰</t>
        </is>
      </c>
      <c r="O1601" t="inlineStr">
        <is>
          <t>60S¹⁵, 60K¹⁷, 60R¹⁵, 60J¹⁷, 60Z¹⁵, 60D¹⁹</t>
        </is>
      </c>
    </row>
    <row r="1602">
      <c r="A1602">
        <f>HYPERLINK("https://mathstats.uncg.edu/sites/pauli/congruence/csg7.html#group60M7", "60M⁷")</f>
        <v/>
      </c>
      <c r="B1602" t="n">
        <v>7</v>
      </c>
      <c r="C1602" t="inlineStr"/>
      <c r="D1602" t="inlineStr">
        <is>
          <t>144</t>
        </is>
      </c>
      <c r="E1602" t="inlineStr">
        <is>
          <t>1</t>
        </is>
      </c>
      <c r="F1602" t="inlineStr">
        <is>
          <t>18</t>
        </is>
      </c>
      <c r="G1602" t="inlineStr">
        <is>
          <t>16</t>
        </is>
      </c>
      <c r="H1602" t="inlineStr">
        <is>
          <t>0</t>
        </is>
      </c>
      <c r="I1602" t="inlineStr">
        <is>
          <t>12², 60²</t>
        </is>
      </c>
      <c r="J1602" t="n">
        <v>4</v>
      </c>
      <c r="K1602" t="inlineStr">
        <is>
          <t>2², 4², 8¹, 16¹</t>
        </is>
      </c>
      <c r="L1602" t="inlineStr">
        <is>
          <t>30D¹, 60D³</t>
        </is>
      </c>
      <c r="M1602" t="inlineStr">
        <is>
          <t>60X¹⁷, 60C²¹</t>
        </is>
      </c>
      <c r="N1602" t="inlineStr">
        <is>
          <t>30A⁰, 15B⁰, 6B⁰, 30C¹, 5B⁰, 60D³, 10B⁰, 3A⁰, 1A⁰, 15C⁰, 30D¹</t>
        </is>
      </c>
      <c r="O1602" t="inlineStr">
        <is>
          <t>60X¹⁷, 60C²¹</t>
        </is>
      </c>
    </row>
    <row r="1603">
      <c r="A1603">
        <f>HYPERLINK("https://mathstats.uncg.edu/sites/pauli/congruence/csg7.html#group60N7", "60N⁷")</f>
        <v/>
      </c>
      <c r="B1603" t="n">
        <v>7</v>
      </c>
      <c r="C1603" t="inlineStr"/>
      <c r="D1603" t="inlineStr">
        <is>
          <t>144</t>
        </is>
      </c>
      <c r="E1603" t="inlineStr">
        <is>
          <t>1</t>
        </is>
      </c>
      <c r="F1603" t="inlineStr">
        <is>
          <t>18</t>
        </is>
      </c>
      <c r="G1603" t="inlineStr">
        <is>
          <t>16</t>
        </is>
      </c>
      <c r="H1603" t="inlineStr">
        <is>
          <t>0</t>
        </is>
      </c>
      <c r="I1603" t="inlineStr">
        <is>
          <t>12², 60²</t>
        </is>
      </c>
      <c r="J1603" t="n">
        <v>4</v>
      </c>
      <c r="K1603" t="inlineStr">
        <is>
          <t>2², 4², 8¹, 16¹</t>
        </is>
      </c>
      <c r="L1603" t="inlineStr">
        <is>
          <t>30D¹, 60D³</t>
        </is>
      </c>
      <c r="M1603" t="inlineStr">
        <is>
          <t>60X¹⁷, 60C²¹</t>
        </is>
      </c>
      <c r="N1603" t="inlineStr">
        <is>
          <t>30A⁰, 15B⁰, 6B⁰, 30C¹, 5B⁰, 60D³, 10B⁰, 3A⁰, 1A⁰, 15C⁰, 30D¹</t>
        </is>
      </c>
      <c r="O1603" t="inlineStr">
        <is>
          <t>60X¹⁷, 60C²¹</t>
        </is>
      </c>
    </row>
    <row r="1604">
      <c r="A1604">
        <f>HYPERLINK("https://mathstats.uncg.edu/sites/pauli/congruence/csg7.html#group60O7", "60O⁷")</f>
        <v/>
      </c>
      <c r="B1604" t="n">
        <v>7</v>
      </c>
      <c r="C1604" t="inlineStr"/>
      <c r="D1604" t="inlineStr">
        <is>
          <t>144</t>
        </is>
      </c>
      <c r="E1604" t="inlineStr">
        <is>
          <t>1</t>
        </is>
      </c>
      <c r="F1604" t="inlineStr">
        <is>
          <t>72</t>
        </is>
      </c>
      <c r="G1604" t="inlineStr">
        <is>
          <t>0</t>
        </is>
      </c>
      <c r="H1604" t="inlineStr">
        <is>
          <t>0</t>
        </is>
      </c>
      <c r="I1604" t="inlineStr">
        <is>
          <t>1², 3², 4¹, 5², 12¹, 15², 20¹, 60¹</t>
        </is>
      </c>
      <c r="J1604" t="n">
        <v>12</v>
      </c>
      <c r="K1604" t="inlineStr">
        <is>
          <t>1¹², 2⁶, 4⁶, 8³</t>
        </is>
      </c>
      <c r="L1604" t="inlineStr">
        <is>
          <t>20A⁰, 30K³</t>
        </is>
      </c>
      <c r="M1604" t="inlineStr">
        <is>
          <t>60AJ¹³, 120M¹⁵, 60P¹⁷, 60S¹⁷, 120M¹⁹</t>
        </is>
      </c>
      <c r="N1604" t="inlineStr">
        <is>
          <t>15C¹, 20A⁰, 3B⁰, 5B⁰, 10C⁰, 6F⁰, 2B⁰, 30K³, 1A⁰</t>
        </is>
      </c>
      <c r="O1604" t="inlineStr">
        <is>
          <t>60P¹⁷, 120M¹⁹, 120M¹⁵, 60S¹⁷, 60AJ¹³</t>
        </is>
      </c>
    </row>
    <row r="1605">
      <c r="A1605">
        <f>HYPERLINK("https://mathstats.uncg.edu/sites/pauli/congruence/csg7.html#group60P7", "60P⁷")</f>
        <v/>
      </c>
      <c r="B1605" t="n">
        <v>7</v>
      </c>
      <c r="C1605" t="inlineStr">
        <is>
          <t>Γ₀(60)</t>
        </is>
      </c>
      <c r="D1605" t="inlineStr">
        <is>
          <t>144</t>
        </is>
      </c>
      <c r="E1605" t="inlineStr">
        <is>
          <t>1</t>
        </is>
      </c>
      <c r="F1605" t="inlineStr">
        <is>
          <t>72</t>
        </is>
      </c>
      <c r="G1605" t="inlineStr">
        <is>
          <t>0</t>
        </is>
      </c>
      <c r="H1605" t="inlineStr">
        <is>
          <t>0</t>
        </is>
      </c>
      <c r="I1605" t="inlineStr">
        <is>
          <t>1², 3², 4¹, 5², 12¹, 15², 20¹, 60¹</t>
        </is>
      </c>
      <c r="J1605" t="n">
        <v>12</v>
      </c>
      <c r="K1605" t="inlineStr">
        <is>
          <t>1¹², 2⁶, 4⁶, 8³</t>
        </is>
      </c>
      <c r="L1605" t="inlineStr">
        <is>
          <t>12E⁰, 20D¹, 30K³</t>
        </is>
      </c>
      <c r="M1605" t="inlineStr">
        <is>
          <t>60AJ¹³, 60AC¹⁵, 60AD¹⁵, 120K¹⁵, 120L¹⁵, 60R¹⁷, 60T¹⁷, 120N¹⁷, 120O¹⁷, 120E¹⁹, 120F¹⁹</t>
        </is>
      </c>
      <c r="N1605" t="inlineStr">
        <is>
          <t>15C¹, 3B⁰, 5B⁰, 10C⁰, 1A⁰, 20D¹, 30K³, 2B⁰, 4B⁰, 6F⁰, 12E⁰</t>
        </is>
      </c>
      <c r="O1605" t="inlineStr">
        <is>
          <t>60T¹⁷, 60AD¹⁵, 120O¹⁷, 120L¹⁵, 120E¹⁹, 120K¹⁵, 60R¹⁷, 60AC¹⁵, 120N¹⁷, 60AJ¹³, 120F¹⁹</t>
        </is>
      </c>
    </row>
    <row r="1606">
      <c r="A1606">
        <f>HYPERLINK("https://mathstats.uncg.edu/sites/pauli/congruence/csg7.html#group60Q7", "60Q⁷")</f>
        <v/>
      </c>
      <c r="B1606" t="n">
        <v>7</v>
      </c>
      <c r="C1606" t="inlineStr"/>
      <c r="D1606" t="inlineStr">
        <is>
          <t>144</t>
        </is>
      </c>
      <c r="E1606" t="inlineStr">
        <is>
          <t>1</t>
        </is>
      </c>
      <c r="F1606" t="inlineStr">
        <is>
          <t>72</t>
        </is>
      </c>
      <c r="G1606" t="inlineStr">
        <is>
          <t>16</t>
        </is>
      </c>
      <c r="H1606" t="inlineStr">
        <is>
          <t>0</t>
        </is>
      </c>
      <c r="I1606" t="inlineStr">
        <is>
          <t>12², 60²</t>
        </is>
      </c>
      <c r="J1606" t="n">
        <v>4</v>
      </c>
      <c r="K1606" t="inlineStr">
        <is>
          <t>2⁴, 4⁴, 8², 16²</t>
        </is>
      </c>
      <c r="L1606" t="inlineStr">
        <is>
          <t>15C⁰, 60B³</t>
        </is>
      </c>
      <c r="M1606" t="inlineStr">
        <is>
          <t>60AK¹³, 60U¹⁷, 60Y¹⁷, 120O¹⁹, 120N¹⁹, 120R¹⁹, 120S¹⁹, 60L²¹, 60M²¹</t>
        </is>
      </c>
      <c r="N1606" t="inlineStr">
        <is>
          <t>15B⁰, 12A⁰, 4A⁰, 5B⁰, 60B³, 3A⁰, 1A⁰, 20B¹, 15C⁰</t>
        </is>
      </c>
      <c r="O1606" t="inlineStr">
        <is>
          <t>120N¹⁹, 120S¹⁹, 60U¹⁷, 60AK¹³, 60Y¹⁷, 60L²¹, 120R¹⁹, 60M²¹, 120O¹⁹</t>
        </is>
      </c>
    </row>
    <row r="1607">
      <c r="A1607">
        <f>HYPERLINK("https://mathstats.uncg.edu/sites/pauli/congruence/csg7.html#group60R7", "60R⁷")</f>
        <v/>
      </c>
      <c r="B1607" t="n">
        <v>7</v>
      </c>
      <c r="C1607" t="inlineStr"/>
      <c r="D1607" t="inlineStr">
        <is>
          <t>144</t>
        </is>
      </c>
      <c r="E1607" t="inlineStr">
        <is>
          <t>1</t>
        </is>
      </c>
      <c r="F1607" t="inlineStr">
        <is>
          <t>72</t>
        </is>
      </c>
      <c r="G1607" t="inlineStr">
        <is>
          <t>16</t>
        </is>
      </c>
      <c r="H1607" t="inlineStr">
        <is>
          <t>0</t>
        </is>
      </c>
      <c r="I1607" t="inlineStr">
        <is>
          <t>12², 60²</t>
        </is>
      </c>
      <c r="J1607" t="n">
        <v>4</v>
      </c>
      <c r="K1607" t="inlineStr">
        <is>
          <t>2⁴, 4⁴, 8², 16²</t>
        </is>
      </c>
      <c r="L1607" t="inlineStr">
        <is>
          <t>12F⁰, 30C¹, 60B³</t>
        </is>
      </c>
      <c r="M1607" t="inlineStr">
        <is>
          <t>60AK¹³, 60V¹⁷, 60Y¹⁷, 120G¹⁹, 120H¹⁹, 120I¹⁹, 120J¹⁹, 120P¹⁹, 120Q¹⁹, 60N²¹, 60O²¹</t>
        </is>
      </c>
      <c r="N1607" t="inlineStr">
        <is>
          <t>15B⁰, 12A⁰, 6B⁰, 4A⁰, 12F⁰, 5B⁰, 60B³, 3A⁰, 1A⁰, 20B¹, 30C¹</t>
        </is>
      </c>
      <c r="O1607" t="inlineStr">
        <is>
          <t>120I¹⁹, 120H¹⁹, 60N²¹, 60AK¹³, 120Q¹⁹, 60Y¹⁷, 120J¹⁹, 60V¹⁷, 120P¹⁹, 120G¹⁹, 60O²¹</t>
        </is>
      </c>
    </row>
    <row r="1608">
      <c r="A1608">
        <f>HYPERLINK("https://mathstats.uncg.edu/sites/pauli/congruence/csg7.html#group60S7", "60S⁷")</f>
        <v/>
      </c>
      <c r="B1608" t="n">
        <v>7</v>
      </c>
      <c r="C1608" t="inlineStr"/>
      <c r="D1608" t="inlineStr">
        <is>
          <t>144</t>
        </is>
      </c>
      <c r="E1608" t="inlineStr">
        <is>
          <t>2</t>
        </is>
      </c>
      <c r="F1608" t="inlineStr">
        <is>
          <t>18</t>
        </is>
      </c>
      <c r="G1608" t="inlineStr">
        <is>
          <t>16</t>
        </is>
      </c>
      <c r="H1608" t="inlineStr">
        <is>
          <t>0</t>
        </is>
      </c>
      <c r="I1608" t="inlineStr">
        <is>
          <t>12², 60²</t>
        </is>
      </c>
      <c r="J1608" t="n">
        <v>4</v>
      </c>
      <c r="K1608" t="inlineStr">
        <is>
          <t>2², 4², 8¹, 16¹</t>
        </is>
      </c>
      <c r="L1608" t="inlineStr">
        <is>
          <t>30D¹, 60C³, 60D³</t>
        </is>
      </c>
      <c r="M1608" t="inlineStr">
        <is>
          <t>60X¹⁷, 60D²¹</t>
        </is>
      </c>
      <c r="N1608" t="inlineStr">
        <is>
          <t>30A⁰, 20C¹, 15B⁰, 60C³, 6B⁰, 30C¹, 5B⁰, 60D³, 10B⁰, 3A⁰, 1A⁰, 15C⁰, 30D¹</t>
        </is>
      </c>
      <c r="O1608" t="inlineStr">
        <is>
          <t>60X¹⁷, 60D²¹</t>
        </is>
      </c>
    </row>
    <row r="1609">
      <c r="A1609">
        <f>HYPERLINK("https://mathstats.uncg.edu/sites/pauli/congruence/csg7.html#group62A7", "62A⁷")</f>
        <v/>
      </c>
      <c r="B1609" t="n">
        <v>7</v>
      </c>
      <c r="C1609" t="inlineStr">
        <is>
          <t>Γ₀(62)</t>
        </is>
      </c>
      <c r="D1609" t="inlineStr">
        <is>
          <t>96</t>
        </is>
      </c>
      <c r="E1609" t="inlineStr">
        <is>
          <t>1</t>
        </is>
      </c>
      <c r="F1609" t="inlineStr">
        <is>
          <t>96</t>
        </is>
      </c>
      <c r="G1609" t="inlineStr">
        <is>
          <t>0</t>
        </is>
      </c>
      <c r="H1609" t="inlineStr">
        <is>
          <t>0</t>
        </is>
      </c>
      <c r="I1609" t="inlineStr">
        <is>
          <t>1¹, 2¹, 31¹, 62¹</t>
        </is>
      </c>
      <c r="J1609" t="n">
        <v>4</v>
      </c>
      <c r="K1609" t="inlineStr">
        <is>
          <t>1⁶, 30³</t>
        </is>
      </c>
      <c r="L1609" t="inlineStr">
        <is>
          <t>2B⁰, 31A²</t>
        </is>
      </c>
      <c r="M1609" t="inlineStr">
        <is>
          <t>62B¹⁴, 124A¹⁴, 124A¹⁵, 62A¹⁹, 186A²³, 186B²³</t>
        </is>
      </c>
      <c r="N1609" t="inlineStr">
        <is>
          <t>31A², 1A⁰, 2B⁰</t>
        </is>
      </c>
      <c r="O1609" t="inlineStr">
        <is>
          <t>186B²³, 124A¹⁵, 186A²³, 62A¹⁹, 124A¹⁴, 62B¹⁴</t>
        </is>
      </c>
    </row>
    <row r="1610">
      <c r="A1610">
        <f>HYPERLINK("https://mathstats.uncg.edu/sites/pauli/congruence/csg7.html#group63A7", "63A⁷")</f>
        <v/>
      </c>
      <c r="B1610" t="n">
        <v>7</v>
      </c>
      <c r="C1610" t="inlineStr"/>
      <c r="D1610" t="inlineStr">
        <is>
          <t>84</t>
        </is>
      </c>
      <c r="E1610" t="inlineStr">
        <is>
          <t>2</t>
        </is>
      </c>
      <c r="F1610" t="inlineStr">
        <is>
          <t>28</t>
        </is>
      </c>
      <c r="G1610" t="inlineStr">
        <is>
          <t>0</t>
        </is>
      </c>
      <c r="H1610" t="inlineStr">
        <is>
          <t>0</t>
        </is>
      </c>
      <c r="I1610" t="inlineStr">
        <is>
          <t>21¹, 63¹</t>
        </is>
      </c>
      <c r="J1610" t="n">
        <v>2</v>
      </c>
      <c r="K1610" t="inlineStr">
        <is>
          <t>2², 4¹, 6⁴, 12²</t>
        </is>
      </c>
      <c r="L1610" t="inlineStr">
        <is>
          <t>9A¹, 21B²</t>
        </is>
      </c>
      <c r="M1610" t="inlineStr">
        <is>
          <t>63A¹³, 126A¹⁴, 126B¹⁴, 63B¹⁹, 63C¹⁹, 63F¹⁹, 126D²⁰</t>
        </is>
      </c>
      <c r="N1610" t="inlineStr">
        <is>
          <t>3B⁰, 21B², 7A⁰, 1A⁰, 9A¹</t>
        </is>
      </c>
      <c r="O1610" t="inlineStr">
        <is>
          <t>126B¹⁴, 63A¹³, 63C¹⁹, 63F¹⁹, 63B¹⁹, 126A¹⁴, 126D²⁰</t>
        </is>
      </c>
    </row>
    <row r="1611">
      <c r="A1611">
        <f>HYPERLINK("https://mathstats.uncg.edu/sites/pauli/congruence/csg7.html#group63B7", "63B⁷")</f>
        <v/>
      </c>
      <c r="B1611" t="n">
        <v>7</v>
      </c>
      <c r="C1611" t="inlineStr"/>
      <c r="D1611" t="inlineStr">
        <is>
          <t>96</t>
        </is>
      </c>
      <c r="E1611" t="inlineStr">
        <is>
          <t>1</t>
        </is>
      </c>
      <c r="F1611" t="inlineStr">
        <is>
          <t>32</t>
        </is>
      </c>
      <c r="G1611" t="inlineStr">
        <is>
          <t>0</t>
        </is>
      </c>
      <c r="H1611" t="inlineStr">
        <is>
          <t>0</t>
        </is>
      </c>
      <c r="I1611" t="inlineStr">
        <is>
          <t>3¹, 9¹, 21¹, 63¹</t>
        </is>
      </c>
      <c r="J1611" t="n">
        <v>4</v>
      </c>
      <c r="K1611" t="inlineStr">
        <is>
          <t>1⁴, 2², 6², 12¹</t>
        </is>
      </c>
      <c r="L1611" t="inlineStr">
        <is>
          <t>9A¹, 21B¹</t>
        </is>
      </c>
      <c r="M1611" t="inlineStr">
        <is>
          <t>63C¹³, 126A¹⁵, 126B¹⁵, 63H¹⁹, 63I¹⁹, 63J¹⁹, 63K¹⁹, 63L¹⁹, 63M¹⁹, 126K²¹</t>
        </is>
      </c>
      <c r="N1611" t="inlineStr">
        <is>
          <t>3B⁰, 21B¹, 1A⁰, 7B⁰, 9A¹</t>
        </is>
      </c>
      <c r="O1611" t="inlineStr">
        <is>
          <t>63J¹⁹, 63I¹⁹, 126A¹⁵, 63L¹⁹, 63K¹⁹, 126B¹⁵, 63M¹⁹, 63C¹³, 126K²¹, 63H¹⁹</t>
        </is>
      </c>
    </row>
    <row r="1612">
      <c r="A1612">
        <f>HYPERLINK("https://mathstats.uncg.edu/sites/pauli/congruence/csg7.html#group63C7", "63C⁷")</f>
        <v/>
      </c>
      <c r="B1612" t="n">
        <v>7</v>
      </c>
      <c r="C1612" t="inlineStr"/>
      <c r="D1612" t="inlineStr">
        <is>
          <t>96</t>
        </is>
      </c>
      <c r="E1612" t="inlineStr">
        <is>
          <t>2</t>
        </is>
      </c>
      <c r="F1612" t="inlineStr">
        <is>
          <t>32</t>
        </is>
      </c>
      <c r="G1612" t="inlineStr">
        <is>
          <t>0</t>
        </is>
      </c>
      <c r="H1612" t="inlineStr">
        <is>
          <t>0</t>
        </is>
      </c>
      <c r="I1612" t="inlineStr">
        <is>
          <t>3¹, 9¹, 21¹, 63¹</t>
        </is>
      </c>
      <c r="J1612" t="n">
        <v>4</v>
      </c>
      <c r="K1612" t="inlineStr">
        <is>
          <t>2⁸, 12⁴</t>
        </is>
      </c>
      <c r="L1612" t="inlineStr">
        <is>
          <t>21B¹</t>
        </is>
      </c>
      <c r="M1612" t="inlineStr">
        <is>
          <t>63D¹³, 126E¹⁵, 126D¹⁵, 63G¹⁹, 63M¹⁹, 63N¹⁹, 63O¹⁹, 126P²¹</t>
        </is>
      </c>
      <c r="N1612" t="inlineStr">
        <is>
          <t>3B⁰, 1A⁰, 7B⁰, 21B¹</t>
        </is>
      </c>
      <c r="O1612" t="inlineStr">
        <is>
          <t>126D¹⁵, 63O¹⁹, 63D¹³, 63M¹⁹, 63N¹⁹, 63G¹⁹, 126P²¹, 126E¹⁵</t>
        </is>
      </c>
    </row>
    <row r="1613">
      <c r="A1613">
        <f>HYPERLINK("https://mathstats.uncg.edu/sites/pauli/congruence/csg7.html#group63D7", "63D⁷")</f>
        <v/>
      </c>
      <c r="B1613" t="n">
        <v>7</v>
      </c>
      <c r="C1613" t="inlineStr"/>
      <c r="D1613" t="inlineStr">
        <is>
          <t>126</t>
        </is>
      </c>
      <c r="E1613" t="inlineStr">
        <is>
          <t>2</t>
        </is>
      </c>
      <c r="F1613" t="inlineStr">
        <is>
          <t>63</t>
        </is>
      </c>
      <c r="G1613" t="inlineStr">
        <is>
          <t>14</t>
        </is>
      </c>
      <c r="H1613" t="inlineStr">
        <is>
          <t>0</t>
        </is>
      </c>
      <c r="I1613" t="inlineStr">
        <is>
          <t>63²</t>
        </is>
      </c>
      <c r="J1613" t="n">
        <v>2</v>
      </c>
      <c r="K1613" t="inlineStr">
        <is>
          <t>2¹, 4¹, 6², 12³, 36²</t>
        </is>
      </c>
      <c r="L1613" t="inlineStr">
        <is>
          <t>21D¹, 63A²</t>
        </is>
      </c>
      <c r="M1613" t="inlineStr">
        <is>
          <t>126A¹⁶, 126B¹⁶, 63A¹⁷, 126B¹⁷, 63C¹⁸, 63B¹⁸, 126D²¹, 63B²³, 63E²⁴, 63D²⁴</t>
        </is>
      </c>
      <c r="N1613" t="inlineStr">
        <is>
          <t>21D¹, 9A⁰, 63A², 21A⁰, 3A⁰, 1A⁰, 7A⁰</t>
        </is>
      </c>
      <c r="O1613" t="inlineStr">
        <is>
          <t>63B¹⁸, 126D²¹, 126A¹⁶, 126B¹⁷, 126B¹⁶, 63A¹⁷, 63C¹⁸, 63D²⁴, 63E²⁴, 63B²³</t>
        </is>
      </c>
    </row>
    <row r="1614">
      <c r="A1614">
        <f>HYPERLINK("https://mathstats.uncg.edu/sites/pauli/congruence/csg7.html#group63E7", "63E⁷")</f>
        <v/>
      </c>
      <c r="B1614" t="n">
        <v>7</v>
      </c>
      <c r="C1614" t="inlineStr"/>
      <c r="D1614" t="inlineStr">
        <is>
          <t>126</t>
        </is>
      </c>
      <c r="E1614" t="inlineStr">
        <is>
          <t>2</t>
        </is>
      </c>
      <c r="F1614" t="inlineStr">
        <is>
          <t>126</t>
        </is>
      </c>
      <c r="G1614" t="inlineStr">
        <is>
          <t>14</t>
        </is>
      </c>
      <c r="H1614" t="inlineStr">
        <is>
          <t>0</t>
        </is>
      </c>
      <c r="I1614" t="inlineStr">
        <is>
          <t>63²</t>
        </is>
      </c>
      <c r="J1614" t="n">
        <v>2</v>
      </c>
      <c r="K1614" t="inlineStr">
        <is>
          <t>12⁹, 36⁴</t>
        </is>
      </c>
      <c r="L1614" t="inlineStr">
        <is>
          <t>21D¹</t>
        </is>
      </c>
      <c r="M1614" t="inlineStr">
        <is>
          <t>126C¹⁶, 126D¹⁶, 63B¹⁷, 126F¹⁷, 63F¹⁸, 63G¹⁸, 126I²¹, 63B²³, 63I²⁴, 63H²⁴</t>
        </is>
      </c>
      <c r="N1614" t="inlineStr">
        <is>
          <t>21A⁰, 3A⁰, 1A⁰, 21D¹, 7A⁰</t>
        </is>
      </c>
      <c r="O1614" t="inlineStr">
        <is>
          <t>63I²⁴, 63F¹⁸, 126D¹⁶, 126C¹⁶, 126I²¹, 63H²⁴, 126F¹⁷, 63B²³, 63B¹⁷, 63G¹⁸</t>
        </is>
      </c>
    </row>
    <row r="1615">
      <c r="A1615">
        <f>HYPERLINK("https://mathstats.uncg.edu/sites/pauli/congruence/csg7.html#group63F7", "63F⁷")</f>
        <v/>
      </c>
      <c r="B1615" t="n">
        <v>7</v>
      </c>
      <c r="C1615" t="inlineStr"/>
      <c r="D1615" t="inlineStr">
        <is>
          <t>192</t>
        </is>
      </c>
      <c r="E1615" t="inlineStr">
        <is>
          <t>2</t>
        </is>
      </c>
      <c r="F1615" t="inlineStr">
        <is>
          <t>32</t>
        </is>
      </c>
      <c r="G1615" t="inlineStr">
        <is>
          <t>0</t>
        </is>
      </c>
      <c r="H1615" t="inlineStr">
        <is>
          <t>6</t>
        </is>
      </c>
      <c r="I1615" t="inlineStr">
        <is>
          <t>1⁶, 7⁶, 9², 63²</t>
        </is>
      </c>
      <c r="J1615" t="n">
        <v>16</v>
      </c>
      <c r="K1615" t="inlineStr">
        <is>
          <t>2⁸, 12⁴</t>
        </is>
      </c>
      <c r="L1615" t="inlineStr">
        <is>
          <t>21F¹, 63A⁴</t>
        </is>
      </c>
      <c r="M1615" t="inlineStr">
        <is>
          <t>126U²¹</t>
        </is>
      </c>
      <c r="N1615" t="inlineStr">
        <is>
          <t>3B⁰, 21B¹, 1A⁰, 7B⁰, 63A⁴, 21F¹</t>
        </is>
      </c>
      <c r="O1615" t="inlineStr">
        <is>
          <t>126U²¹</t>
        </is>
      </c>
    </row>
    <row r="1616">
      <c r="A1616">
        <f>HYPERLINK("https://mathstats.uncg.edu/sites/pauli/congruence/csg7.html#group64A7", "64A⁷")</f>
        <v/>
      </c>
      <c r="B1616" t="n">
        <v>7</v>
      </c>
      <c r="C1616" t="inlineStr"/>
      <c r="D1616" t="inlineStr">
        <is>
          <t>96</t>
        </is>
      </c>
      <c r="E1616" t="inlineStr">
        <is>
          <t>1</t>
        </is>
      </c>
      <c r="F1616" t="inlineStr">
        <is>
          <t>12</t>
        </is>
      </c>
      <c r="G1616" t="inlineStr">
        <is>
          <t>0</t>
        </is>
      </c>
      <c r="H1616" t="inlineStr">
        <is>
          <t>0</t>
        </is>
      </c>
      <c r="I1616" t="inlineStr">
        <is>
          <t>8², 16¹, 64¹</t>
        </is>
      </c>
      <c r="J1616" t="n">
        <v>4</v>
      </c>
      <c r="K1616" t="inlineStr">
        <is>
          <t>1⁴, 2², 4¹</t>
        </is>
      </c>
      <c r="L1616" t="inlineStr">
        <is>
          <t>32C³</t>
        </is>
      </c>
      <c r="M1616" t="inlineStr">
        <is>
          <t>64C¹³, 64E¹³, 64G¹³, 128A¹⁵, 128B¹⁵, 192A²³</t>
        </is>
      </c>
      <c r="N1616" t="inlineStr">
        <is>
          <t>16A¹, 8C⁰, 2B⁰, 4B⁰, 1A⁰, 32C³</t>
        </is>
      </c>
      <c r="O1616" t="inlineStr">
        <is>
          <t>128B¹⁵, 64G¹³, 64E¹³, 128A¹⁵, 192A²³, 64C¹³</t>
        </is>
      </c>
    </row>
    <row r="1617">
      <c r="A1617">
        <f>HYPERLINK("https://mathstats.uncg.edu/sites/pauli/congruence/csg7.html#group64B7", "64B⁷")</f>
        <v/>
      </c>
      <c r="B1617" t="n">
        <v>7</v>
      </c>
      <c r="C1617" t="inlineStr"/>
      <c r="D1617" t="inlineStr">
        <is>
          <t>96</t>
        </is>
      </c>
      <c r="E1617" t="inlineStr">
        <is>
          <t>1</t>
        </is>
      </c>
      <c r="F1617" t="inlineStr">
        <is>
          <t>12</t>
        </is>
      </c>
      <c r="G1617" t="inlineStr">
        <is>
          <t>0</t>
        </is>
      </c>
      <c r="H1617" t="inlineStr">
        <is>
          <t>0</t>
        </is>
      </c>
      <c r="I1617" t="inlineStr">
        <is>
          <t>8², 16¹, 64¹</t>
        </is>
      </c>
      <c r="J1617" t="n">
        <v>4</v>
      </c>
      <c r="K1617" t="inlineStr">
        <is>
          <t>1⁴, 2², 4¹</t>
        </is>
      </c>
      <c r="L1617" t="inlineStr">
        <is>
          <t>32C³</t>
        </is>
      </c>
      <c r="M1617" t="inlineStr">
        <is>
          <t>64C¹³, 64F¹³, 64H¹³, 128C¹⁵, 128D¹⁵, 192B²³</t>
        </is>
      </c>
      <c r="N1617" t="inlineStr">
        <is>
          <t>16A¹, 8C⁰, 2B⁰, 4B⁰, 1A⁰, 32C³</t>
        </is>
      </c>
      <c r="O1617" t="inlineStr">
        <is>
          <t>192B²³, 64C¹³, 128C¹⁵, 128D¹⁵, 64H¹³, 64F¹³</t>
        </is>
      </c>
    </row>
    <row r="1618">
      <c r="A1618">
        <f>HYPERLINK("https://mathstats.uncg.edu/sites/pauli/congruence/csg7.html#group64C7", "64C⁷")</f>
        <v/>
      </c>
      <c r="B1618" t="n">
        <v>7</v>
      </c>
      <c r="C1618" t="inlineStr"/>
      <c r="D1618" t="inlineStr">
        <is>
          <t>96</t>
        </is>
      </c>
      <c r="E1618" t="inlineStr">
        <is>
          <t>1</t>
        </is>
      </c>
      <c r="F1618" t="inlineStr">
        <is>
          <t>12</t>
        </is>
      </c>
      <c r="G1618" t="inlineStr">
        <is>
          <t>0</t>
        </is>
      </c>
      <c r="H1618" t="inlineStr">
        <is>
          <t>0</t>
        </is>
      </c>
      <c r="I1618" t="inlineStr">
        <is>
          <t>8², 16¹, 64¹</t>
        </is>
      </c>
      <c r="J1618" t="n">
        <v>4</v>
      </c>
      <c r="K1618" t="inlineStr">
        <is>
          <t>1⁴, 2², 4¹</t>
        </is>
      </c>
      <c r="L1618" t="inlineStr">
        <is>
          <t>32C³</t>
        </is>
      </c>
      <c r="M1618" t="inlineStr">
        <is>
          <t>64D¹³, 64E¹³, 64H¹³, 128E¹⁵, 128F¹⁵, 192C²³</t>
        </is>
      </c>
      <c r="N1618" t="inlineStr">
        <is>
          <t>16A¹, 8C⁰, 2B⁰, 4B⁰, 1A⁰, 32C³</t>
        </is>
      </c>
      <c r="O1618" t="inlineStr">
        <is>
          <t>64D¹³, 128E¹⁵, 128F¹⁵, 64E¹³, 64H¹³, 192C²³</t>
        </is>
      </c>
    </row>
    <row r="1619">
      <c r="A1619">
        <f>HYPERLINK("https://mathstats.uncg.edu/sites/pauli/congruence/csg7.html#group64D7", "64D⁷")</f>
        <v/>
      </c>
      <c r="B1619" t="n">
        <v>7</v>
      </c>
      <c r="C1619" t="inlineStr"/>
      <c r="D1619" t="inlineStr">
        <is>
          <t>96</t>
        </is>
      </c>
      <c r="E1619" t="inlineStr">
        <is>
          <t>1</t>
        </is>
      </c>
      <c r="F1619" t="inlineStr">
        <is>
          <t>12</t>
        </is>
      </c>
      <c r="G1619" t="inlineStr">
        <is>
          <t>0</t>
        </is>
      </c>
      <c r="H1619" t="inlineStr">
        <is>
          <t>0</t>
        </is>
      </c>
      <c r="I1619" t="inlineStr">
        <is>
          <t>8², 16¹, 64¹</t>
        </is>
      </c>
      <c r="J1619" t="n">
        <v>4</v>
      </c>
      <c r="K1619" t="inlineStr">
        <is>
          <t>1⁴, 2², 4¹</t>
        </is>
      </c>
      <c r="L1619" t="inlineStr">
        <is>
          <t>32C³</t>
        </is>
      </c>
      <c r="M1619" t="inlineStr">
        <is>
          <t>64D¹³, 64F¹³, 64G¹³, 128G¹⁵, 128H¹⁵, 192D²³</t>
        </is>
      </c>
      <c r="N1619" t="inlineStr">
        <is>
          <t>16A¹, 8C⁰, 2B⁰, 4B⁰, 1A⁰, 32C³</t>
        </is>
      </c>
      <c r="O1619" t="inlineStr">
        <is>
          <t>64G¹³, 64D¹³, 192D²³, 128H¹⁵, 128G¹⁵, 64F¹³</t>
        </is>
      </c>
    </row>
    <row r="1620">
      <c r="A1620">
        <f>HYPERLINK("https://mathstats.uncg.edu/sites/pauli/congruence/csg7.html#group64E7", "64E⁷")</f>
        <v/>
      </c>
      <c r="B1620" t="n">
        <v>7</v>
      </c>
      <c r="C1620" t="inlineStr"/>
      <c r="D1620" t="inlineStr">
        <is>
          <t>96</t>
        </is>
      </c>
      <c r="E1620" t="inlineStr">
        <is>
          <t>1</t>
        </is>
      </c>
      <c r="F1620" t="inlineStr">
        <is>
          <t>24</t>
        </is>
      </c>
      <c r="G1620" t="inlineStr">
        <is>
          <t>0</t>
        </is>
      </c>
      <c r="H1620" t="inlineStr">
        <is>
          <t>0</t>
        </is>
      </c>
      <c r="I1620" t="inlineStr">
        <is>
          <t>8², 16¹, 64¹</t>
        </is>
      </c>
      <c r="J1620" t="n">
        <v>4</v>
      </c>
      <c r="K1620" t="inlineStr">
        <is>
          <t>2⁸, 8¹</t>
        </is>
      </c>
      <c r="L1620" t="inlineStr">
        <is>
          <t>32A³</t>
        </is>
      </c>
      <c r="M1620" t="inlineStr">
        <is>
          <t>64A¹³, 64I¹³, 192E²³</t>
        </is>
      </c>
      <c r="N1620" t="inlineStr">
        <is>
          <t>16A¹, 8C⁰, 2B⁰, 4B⁰, 1A⁰, 32A³</t>
        </is>
      </c>
      <c r="O1620" t="inlineStr">
        <is>
          <t>64I¹³, 64A¹³, 192E²³</t>
        </is>
      </c>
    </row>
    <row r="1621">
      <c r="A1621">
        <f>HYPERLINK("https://mathstats.uncg.edu/sites/pauli/congruence/csg7.html#group64F7", "64F⁷")</f>
        <v/>
      </c>
      <c r="B1621" t="n">
        <v>7</v>
      </c>
      <c r="C1621" t="inlineStr"/>
      <c r="D1621" t="inlineStr">
        <is>
          <t>96</t>
        </is>
      </c>
      <c r="E1621" t="inlineStr">
        <is>
          <t>1</t>
        </is>
      </c>
      <c r="F1621" t="inlineStr">
        <is>
          <t>24</t>
        </is>
      </c>
      <c r="G1621" t="inlineStr">
        <is>
          <t>0</t>
        </is>
      </c>
      <c r="H1621" t="inlineStr">
        <is>
          <t>0</t>
        </is>
      </c>
      <c r="I1621" t="inlineStr">
        <is>
          <t>8², 16¹, 64¹</t>
        </is>
      </c>
      <c r="J1621" t="n">
        <v>4</v>
      </c>
      <c r="K1621" t="inlineStr">
        <is>
          <t>2⁸, 8¹</t>
        </is>
      </c>
      <c r="L1621" t="inlineStr">
        <is>
          <t>32B³</t>
        </is>
      </c>
      <c r="M1621" t="inlineStr">
        <is>
          <t>64B¹³, 64J¹³, 192F²³</t>
        </is>
      </c>
      <c r="N1621" t="inlineStr">
        <is>
          <t>16A¹, 8C⁰, 2B⁰, 4B⁰, 1A⁰, 32B³</t>
        </is>
      </c>
      <c r="O1621" t="inlineStr">
        <is>
          <t>64J¹³, 192F²³, 64B¹³</t>
        </is>
      </c>
    </row>
    <row r="1622">
      <c r="A1622">
        <f>HYPERLINK("https://mathstats.uncg.edu/sites/pauli/congruence/csg7.html#group64G7", "64G⁷")</f>
        <v/>
      </c>
      <c r="B1622" t="n">
        <v>7</v>
      </c>
      <c r="C1622" t="inlineStr"/>
      <c r="D1622" t="inlineStr">
        <is>
          <t>96</t>
        </is>
      </c>
      <c r="E1622" t="inlineStr">
        <is>
          <t>2</t>
        </is>
      </c>
      <c r="F1622" t="inlineStr">
        <is>
          <t>48</t>
        </is>
      </c>
      <c r="G1622" t="inlineStr">
        <is>
          <t>4</t>
        </is>
      </c>
      <c r="H1622" t="inlineStr">
        <is>
          <t>0</t>
        </is>
      </c>
      <c r="I1622" t="inlineStr">
        <is>
          <t>32¹, 64¹</t>
        </is>
      </c>
      <c r="J1622" t="n">
        <v>2</v>
      </c>
      <c r="K1622" t="inlineStr">
        <is>
          <t>4¹⁶, 8⁸, 16⁴</t>
        </is>
      </c>
      <c r="L1622" t="inlineStr">
        <is>
          <t>32E³</t>
        </is>
      </c>
      <c r="M1622" t="inlineStr">
        <is>
          <t>64P¹³, 64A¹⁴, 64B¹⁴, 64E¹⁴, 64F¹⁴, 64A¹⁵, 64G¹⁵, 192E²¹</t>
        </is>
      </c>
      <c r="N1622" t="inlineStr">
        <is>
          <t>8B⁰, 32E³, 2B⁰, 16D¹, 1A⁰, 4C⁰</t>
        </is>
      </c>
      <c r="O1622" t="inlineStr">
        <is>
          <t>64A¹⁴, 64E¹⁴, 64F¹⁴, 64A¹⁵, 192E²¹, 64P¹³, 64B¹⁴, 64G¹⁵</t>
        </is>
      </c>
    </row>
    <row r="1623">
      <c r="A1623">
        <f>HYPERLINK("https://mathstats.uncg.edu/sites/pauli/congruence/csg7.html#group64H7", "64H⁷")</f>
        <v/>
      </c>
      <c r="B1623" t="n">
        <v>7</v>
      </c>
      <c r="C1623" t="inlineStr"/>
      <c r="D1623" t="inlineStr">
        <is>
          <t>96</t>
        </is>
      </c>
      <c r="E1623" t="inlineStr">
        <is>
          <t>2</t>
        </is>
      </c>
      <c r="F1623" t="inlineStr">
        <is>
          <t>48</t>
        </is>
      </c>
      <c r="G1623" t="inlineStr">
        <is>
          <t>4</t>
        </is>
      </c>
      <c r="H1623" t="inlineStr">
        <is>
          <t>0</t>
        </is>
      </c>
      <c r="I1623" t="inlineStr">
        <is>
          <t>32¹, 64¹</t>
        </is>
      </c>
      <c r="J1623" t="n">
        <v>2</v>
      </c>
      <c r="K1623" t="inlineStr">
        <is>
          <t>4¹⁶, 8⁸, 16⁴</t>
        </is>
      </c>
      <c r="L1623" t="inlineStr">
        <is>
          <t>32E³</t>
        </is>
      </c>
      <c r="M1623" t="inlineStr">
        <is>
          <t>64Q¹³, 64A¹⁴, 64B¹⁴, 64E¹⁴, 64F¹⁴, 64B¹⁵, 64H¹⁵, 192F²¹</t>
        </is>
      </c>
      <c r="N1623" t="inlineStr">
        <is>
          <t>8B⁰, 32E³, 2B⁰, 16D¹, 1A⁰, 4C⁰</t>
        </is>
      </c>
      <c r="O1623" t="inlineStr">
        <is>
          <t>64B¹⁵, 64A¹⁴, 64E¹⁴, 64F¹⁴, 192F²¹, 64H¹⁵, 64Q¹³, 64B¹⁴</t>
        </is>
      </c>
    </row>
    <row r="1624">
      <c r="A1624">
        <f>HYPERLINK("https://mathstats.uncg.edu/sites/pauli/congruence/csg7.html#group64I7", "64I⁷")</f>
        <v/>
      </c>
      <c r="B1624" t="n">
        <v>7</v>
      </c>
      <c r="C1624" t="inlineStr"/>
      <c r="D1624" t="inlineStr">
        <is>
          <t>96</t>
        </is>
      </c>
      <c r="E1624" t="inlineStr">
        <is>
          <t>2</t>
        </is>
      </c>
      <c r="F1624" t="inlineStr">
        <is>
          <t>48</t>
        </is>
      </c>
      <c r="G1624" t="inlineStr">
        <is>
          <t>4</t>
        </is>
      </c>
      <c r="H1624" t="inlineStr">
        <is>
          <t>0</t>
        </is>
      </c>
      <c r="I1624" t="inlineStr">
        <is>
          <t>32¹, 64¹</t>
        </is>
      </c>
      <c r="J1624" t="n">
        <v>2</v>
      </c>
      <c r="K1624" t="inlineStr">
        <is>
          <t>4¹⁶, 8⁸, 16⁴</t>
        </is>
      </c>
      <c r="L1624" t="inlineStr">
        <is>
          <t>32G³</t>
        </is>
      </c>
      <c r="M1624" t="inlineStr">
        <is>
          <t>64R¹³, 64C¹⁴, 64D¹⁴, 64G¹⁴, 64H¹⁴, 64C¹⁵, 64I¹⁵, 192G²¹</t>
        </is>
      </c>
      <c r="N1624" t="inlineStr">
        <is>
          <t>8B⁰, 2B⁰, 16D¹, 32G³, 1A⁰, 4C⁰</t>
        </is>
      </c>
      <c r="O1624" t="inlineStr">
        <is>
          <t>64I¹⁵, 64H¹⁴, 64C¹⁴, 64D¹⁴, 64G¹⁴, 64R¹³, 64C¹⁵, 192G²¹</t>
        </is>
      </c>
    </row>
    <row r="1625">
      <c r="A1625">
        <f>HYPERLINK("https://mathstats.uncg.edu/sites/pauli/congruence/csg7.html#group64J7", "64J⁷")</f>
        <v/>
      </c>
      <c r="B1625" t="n">
        <v>7</v>
      </c>
      <c r="C1625" t="inlineStr"/>
      <c r="D1625" t="inlineStr">
        <is>
          <t>96</t>
        </is>
      </c>
      <c r="E1625" t="inlineStr">
        <is>
          <t>2</t>
        </is>
      </c>
      <c r="F1625" t="inlineStr">
        <is>
          <t>48</t>
        </is>
      </c>
      <c r="G1625" t="inlineStr">
        <is>
          <t>4</t>
        </is>
      </c>
      <c r="H1625" t="inlineStr">
        <is>
          <t>0</t>
        </is>
      </c>
      <c r="I1625" t="inlineStr">
        <is>
          <t>32¹, 64¹</t>
        </is>
      </c>
      <c r="J1625" t="n">
        <v>2</v>
      </c>
      <c r="K1625" t="inlineStr">
        <is>
          <t>4¹⁶, 8⁸, 16⁴</t>
        </is>
      </c>
      <c r="L1625" t="inlineStr">
        <is>
          <t>32G³</t>
        </is>
      </c>
      <c r="M1625" t="inlineStr">
        <is>
          <t>64S¹³, 64C¹⁴, 64D¹⁴, 64G¹⁴, 64H¹⁴, 64D¹⁵, 64J¹⁵, 192H²¹</t>
        </is>
      </c>
      <c r="N1625" t="inlineStr">
        <is>
          <t>8B⁰, 2B⁰, 16D¹, 32G³, 1A⁰, 4C⁰</t>
        </is>
      </c>
      <c r="O1625" t="inlineStr">
        <is>
          <t>64H¹⁴, 64C¹⁴, 64D¹⁴, 64S¹³, 192H²¹, 64G¹⁴, 64J¹⁵, 64D¹⁵</t>
        </is>
      </c>
    </row>
    <row r="1626">
      <c r="A1626">
        <f>HYPERLINK("https://mathstats.uncg.edu/sites/pauli/congruence/csg7.html#group64K7", "64K⁷")</f>
        <v/>
      </c>
      <c r="B1626" t="n">
        <v>7</v>
      </c>
      <c r="C1626" t="inlineStr"/>
      <c r="D1626" t="inlineStr">
        <is>
          <t>192</t>
        </is>
      </c>
      <c r="E1626" t="inlineStr">
        <is>
          <t>1</t>
        </is>
      </c>
      <c r="F1626" t="inlineStr">
        <is>
          <t>12</t>
        </is>
      </c>
      <c r="G1626" t="inlineStr">
        <is>
          <t>0</t>
        </is>
      </c>
      <c r="H1626" t="inlineStr">
        <is>
          <t>0</t>
        </is>
      </c>
      <c r="I1626" t="inlineStr">
        <is>
          <t>2¹⁶, 16², 64²</t>
        </is>
      </c>
      <c r="J1626" t="n">
        <v>20</v>
      </c>
      <c r="K1626" t="inlineStr">
        <is>
          <t>1⁴, 2², 4¹</t>
        </is>
      </c>
      <c r="L1626" t="inlineStr">
        <is>
          <t>64A², 32K³</t>
        </is>
      </c>
      <c r="M1626" t="inlineStr">
        <is>
          <t>64V¹³, 128A¹⁹, 64D²¹, 64E²¹</t>
        </is>
      </c>
      <c r="N1626" t="inlineStr">
        <is>
          <t>2A⁰, 8D⁰, 16E¹, 4C⁰, 16A¹, 8C⁰, 2B⁰, 4E⁰, 32K³, 4B⁰, 1A⁰, 8G⁰, 16C⁰, 32A⁰, 32A², 64A², 2C⁰</t>
        </is>
      </c>
      <c r="O1626" t="inlineStr">
        <is>
          <t>128A¹⁹, 64E²¹, 64D²¹, 64V¹³</t>
        </is>
      </c>
    </row>
    <row r="1627">
      <c r="A1627">
        <f>HYPERLINK("https://mathstats.uncg.edu/sites/pauli/congruence/csg7.html#group66A7", "66A⁷")</f>
        <v/>
      </c>
      <c r="B1627" t="n">
        <v>7</v>
      </c>
      <c r="C1627" t="inlineStr"/>
      <c r="D1627" t="inlineStr">
        <is>
          <t>96</t>
        </is>
      </c>
      <c r="E1627" t="inlineStr">
        <is>
          <t>1</t>
        </is>
      </c>
      <c r="F1627" t="inlineStr">
        <is>
          <t>48</t>
        </is>
      </c>
      <c r="G1627" t="inlineStr">
        <is>
          <t>0</t>
        </is>
      </c>
      <c r="H1627" t="inlineStr">
        <is>
          <t>0</t>
        </is>
      </c>
      <c r="I1627" t="inlineStr">
        <is>
          <t>2¹, 6¹, 22¹, 66¹</t>
        </is>
      </c>
      <c r="J1627" t="n">
        <v>4</v>
      </c>
      <c r="K1627" t="inlineStr">
        <is>
          <t>1⁴, 2², 10², 20¹</t>
        </is>
      </c>
      <c r="L1627" t="inlineStr">
        <is>
          <t>33C³</t>
        </is>
      </c>
      <c r="M1627" t="inlineStr">
        <is>
          <t>66A¹³, 66C¹⁹, 66B²¹, 198B²¹, 198A²³, 198B²³</t>
        </is>
      </c>
      <c r="N1627" t="inlineStr">
        <is>
          <t>3B⁰, 1A⁰, 11A¹, 33C³</t>
        </is>
      </c>
      <c r="O1627" t="inlineStr">
        <is>
          <t>66C¹⁹, 198B²³, 66B²¹, 198A²³, 198B²¹, 66A¹³</t>
        </is>
      </c>
    </row>
    <row r="1628">
      <c r="A1628">
        <f>HYPERLINK("https://mathstats.uncg.edu/sites/pauli/congruence/csg7.html#group66B7", "66B⁷")</f>
        <v/>
      </c>
      <c r="B1628" t="n">
        <v>7</v>
      </c>
      <c r="C1628" t="inlineStr"/>
      <c r="D1628" t="inlineStr">
        <is>
          <t>96</t>
        </is>
      </c>
      <c r="E1628" t="inlineStr">
        <is>
          <t>1</t>
        </is>
      </c>
      <c r="F1628" t="inlineStr">
        <is>
          <t>48</t>
        </is>
      </c>
      <c r="G1628" t="inlineStr">
        <is>
          <t>0</t>
        </is>
      </c>
      <c r="H1628" t="inlineStr">
        <is>
          <t>0</t>
        </is>
      </c>
      <c r="I1628" t="inlineStr">
        <is>
          <t>2¹, 6¹, 22¹, 66¹</t>
        </is>
      </c>
      <c r="J1628" t="n">
        <v>4</v>
      </c>
      <c r="K1628" t="inlineStr">
        <is>
          <t>1⁴, 2², 10², 20¹</t>
        </is>
      </c>
      <c r="L1628" t="inlineStr">
        <is>
          <t>6C⁰, 22A², 33C³</t>
        </is>
      </c>
      <c r="M1628" t="inlineStr">
        <is>
          <t>66A¹³, 132A¹⁵, 132B¹⁵, 66B¹⁹, 66C²¹, 66D²¹, 198C²¹, 198D²¹, 198C²³, 198D²³, 198E²³, 198F²³</t>
        </is>
      </c>
      <c r="N1628" t="inlineStr">
        <is>
          <t>2A⁰, 3B⁰, 11A¹, 22A², 6C⁰, 1A⁰, 33C³</t>
        </is>
      </c>
      <c r="O1628" t="inlineStr">
        <is>
          <t>66D²¹, 132A¹⁵, 198C²³, 198F²³, 132B¹⁵, 198D²¹, 198E²³, 198C²¹, 198D²³, 66C²¹, 66B¹⁹, 66A¹³</t>
        </is>
      </c>
    </row>
    <row r="1629">
      <c r="A1629">
        <f>HYPERLINK("https://mathstats.uncg.edu/sites/pauli/congruence/csg7.html#group68A7", "68A⁷")</f>
        <v/>
      </c>
      <c r="B1629" t="n">
        <v>7</v>
      </c>
      <c r="C1629" t="inlineStr"/>
      <c r="D1629" t="inlineStr">
        <is>
          <t>108</t>
        </is>
      </c>
      <c r="E1629" t="inlineStr">
        <is>
          <t>1</t>
        </is>
      </c>
      <c r="F1629" t="inlineStr">
        <is>
          <t>54</t>
        </is>
      </c>
      <c r="G1629" t="inlineStr">
        <is>
          <t>0</t>
        </is>
      </c>
      <c r="H1629" t="inlineStr">
        <is>
          <t>0</t>
        </is>
      </c>
      <c r="I1629" t="inlineStr">
        <is>
          <t>1², 4¹, 17², 68¹</t>
        </is>
      </c>
      <c r="J1629" t="n">
        <v>6</v>
      </c>
      <c r="K1629" t="inlineStr">
        <is>
          <t>1⁶, 16³</t>
        </is>
      </c>
      <c r="L1629" t="inlineStr">
        <is>
          <t>34C³</t>
        </is>
      </c>
      <c r="M1629" t="inlineStr">
        <is>
          <t>68B¹³, 68A¹⁵, 68B¹⁵</t>
        </is>
      </c>
      <c r="N1629" t="inlineStr">
        <is>
          <t>34C³, 1A⁰, 17A¹, 2B⁰</t>
        </is>
      </c>
      <c r="O1629" t="inlineStr">
        <is>
          <t>68A¹⁵, 68B¹⁵, 68B¹³</t>
        </is>
      </c>
    </row>
    <row r="1630">
      <c r="A1630">
        <f>HYPERLINK("https://mathstats.uncg.edu/sites/pauli/congruence/csg7.html#group68B7", "68B⁷")</f>
        <v/>
      </c>
      <c r="B1630" t="n">
        <v>7</v>
      </c>
      <c r="C1630" t="inlineStr">
        <is>
          <t>Γ₀(68)</t>
        </is>
      </c>
      <c r="D1630" t="inlineStr">
        <is>
          <t>108</t>
        </is>
      </c>
      <c r="E1630" t="inlineStr">
        <is>
          <t>1</t>
        </is>
      </c>
      <c r="F1630" t="inlineStr">
        <is>
          <t>54</t>
        </is>
      </c>
      <c r="G1630" t="inlineStr">
        <is>
          <t>0</t>
        </is>
      </c>
      <c r="H1630" t="inlineStr">
        <is>
          <t>0</t>
        </is>
      </c>
      <c r="I1630" t="inlineStr">
        <is>
          <t>1², 4¹, 17², 68¹</t>
        </is>
      </c>
      <c r="J1630" t="n">
        <v>6</v>
      </c>
      <c r="K1630" t="inlineStr">
        <is>
          <t>1⁶, 16³</t>
        </is>
      </c>
      <c r="L1630" t="inlineStr">
        <is>
          <t>4B⁰, 34C³</t>
        </is>
      </c>
      <c r="M1630" t="inlineStr">
        <is>
          <t>68B¹³, 68C¹⁵, 68D¹⁵, 136C¹⁵, 136D¹⁵</t>
        </is>
      </c>
      <c r="N1630" t="inlineStr">
        <is>
          <t>17A¹, 2B⁰, 4B⁰, 34C³, 1A⁰</t>
        </is>
      </c>
      <c r="O1630" t="inlineStr">
        <is>
          <t>68D¹⁵, 68C¹⁵, 136D¹⁵, 68B¹³, 136C¹⁵</t>
        </is>
      </c>
    </row>
    <row r="1631">
      <c r="A1631">
        <f>HYPERLINK("https://mathstats.uncg.edu/sites/pauli/congruence/csg7.html#group68C7", "68C⁷")</f>
        <v/>
      </c>
      <c r="B1631" t="n">
        <v>7</v>
      </c>
      <c r="C1631" t="inlineStr"/>
      <c r="D1631" t="inlineStr">
        <is>
          <t>108</t>
        </is>
      </c>
      <c r="E1631" t="inlineStr">
        <is>
          <t>1</t>
        </is>
      </c>
      <c r="F1631" t="inlineStr">
        <is>
          <t>54</t>
        </is>
      </c>
      <c r="G1631" t="inlineStr">
        <is>
          <t>4</t>
        </is>
      </c>
      <c r="H1631" t="inlineStr">
        <is>
          <t>0</t>
        </is>
      </c>
      <c r="I1631" t="inlineStr">
        <is>
          <t>2¹, 4¹, 34¹, 68¹</t>
        </is>
      </c>
      <c r="J1631" t="n">
        <v>4</v>
      </c>
      <c r="K1631" t="inlineStr">
        <is>
          <t>1⁶, 16³</t>
        </is>
      </c>
      <c r="L1631" t="inlineStr">
        <is>
          <t>34C³</t>
        </is>
      </c>
      <c r="M1631" t="inlineStr">
        <is>
          <t>68D¹³, 68A¹⁵, 68C¹⁵, 136G¹⁵, 136C¹⁷, 204E²³</t>
        </is>
      </c>
      <c r="N1631" t="inlineStr">
        <is>
          <t>34C³, 1A⁰, 17A¹, 2B⁰</t>
        </is>
      </c>
      <c r="O1631" t="inlineStr">
        <is>
          <t>68A¹⁵, 136C¹⁷, 68D¹³, 204E²³, 68C¹⁵, 136G¹⁵</t>
        </is>
      </c>
    </row>
    <row r="1632">
      <c r="A1632">
        <f>HYPERLINK("https://mathstats.uncg.edu/sites/pauli/congruence/csg7.html#group68D7", "68D⁷")</f>
        <v/>
      </c>
      <c r="B1632" t="n">
        <v>7</v>
      </c>
      <c r="C1632" t="inlineStr"/>
      <c r="D1632" t="inlineStr">
        <is>
          <t>108</t>
        </is>
      </c>
      <c r="E1632" t="inlineStr">
        <is>
          <t>1</t>
        </is>
      </c>
      <c r="F1632" t="inlineStr">
        <is>
          <t>54</t>
        </is>
      </c>
      <c r="G1632" t="inlineStr">
        <is>
          <t>4</t>
        </is>
      </c>
      <c r="H1632" t="inlineStr">
        <is>
          <t>0</t>
        </is>
      </c>
      <c r="I1632" t="inlineStr">
        <is>
          <t>2¹, 4¹, 34¹, 68¹</t>
        </is>
      </c>
      <c r="J1632" t="n">
        <v>4</v>
      </c>
      <c r="K1632" t="inlineStr">
        <is>
          <t>1⁶, 16³</t>
        </is>
      </c>
      <c r="L1632" t="inlineStr">
        <is>
          <t>4C⁰, 34C³</t>
        </is>
      </c>
      <c r="M1632" t="inlineStr">
        <is>
          <t>68D¹³, 68B¹⁵, 68D¹⁵, 68E¹⁵, 68F¹⁵, 136A¹⁵, 136B¹⁵, 136E¹⁵, 136F¹⁵, 136A¹⁷, 136B¹⁷, 204F²³</t>
        </is>
      </c>
      <c r="N1632" t="inlineStr">
        <is>
          <t>17A¹, 2B⁰, 34C³, 1A⁰, 4C⁰</t>
        </is>
      </c>
      <c r="O1632" t="inlineStr">
        <is>
          <t>68D¹³, 68E¹⁵, 68D¹⁵, 136F¹⁵, 136A¹⁷, 136A¹⁵, 136E¹⁵, 136B¹⁵, 204F²³, 68B¹⁵, 136B¹⁷, 68F¹⁵</t>
        </is>
      </c>
    </row>
    <row r="1633">
      <c r="A1633">
        <f>HYPERLINK("https://mathstats.uncg.edu/sites/pauli/congruence/csg7.html#group69A7", "69A⁷")</f>
        <v/>
      </c>
      <c r="B1633" t="n">
        <v>7</v>
      </c>
      <c r="C1633" t="inlineStr">
        <is>
          <t>Γ₀(69)</t>
        </is>
      </c>
      <c r="D1633" t="inlineStr">
        <is>
          <t>96</t>
        </is>
      </c>
      <c r="E1633" t="inlineStr">
        <is>
          <t>1</t>
        </is>
      </c>
      <c r="F1633" t="inlineStr">
        <is>
          <t>96</t>
        </is>
      </c>
      <c r="G1633" t="inlineStr">
        <is>
          <t>0</t>
        </is>
      </c>
      <c r="H1633" t="inlineStr">
        <is>
          <t>0</t>
        </is>
      </c>
      <c r="I1633" t="inlineStr">
        <is>
          <t>1¹, 3¹, 23¹, 69¹</t>
        </is>
      </c>
      <c r="J1633" t="n">
        <v>4</v>
      </c>
      <c r="K1633" t="inlineStr">
        <is>
          <t>1⁴, 2², 22², 44¹</t>
        </is>
      </c>
      <c r="L1633" t="inlineStr">
        <is>
          <t>3B⁰, 23A²</t>
        </is>
      </c>
      <c r="M1633" t="inlineStr">
        <is>
          <t>69A¹³, 138A¹⁵, 138B¹⁵, 69A²¹, 138A²¹, 207A²¹, 207A²³, 207B²³</t>
        </is>
      </c>
      <c r="N1633" t="inlineStr">
        <is>
          <t>3B⁰, 1A⁰, 23A²</t>
        </is>
      </c>
      <c r="O1633" t="inlineStr">
        <is>
          <t>138A²¹, 207A²³, 207A²¹, 138A¹⁵, 138B¹⁵, 207B²³, 69A¹³, 69A²¹</t>
        </is>
      </c>
    </row>
    <row r="1634">
      <c r="A1634">
        <f>HYPERLINK("https://mathstats.uncg.edu/sites/pauli/congruence/csg7.html#group70A7", "70A⁷")</f>
        <v/>
      </c>
      <c r="B1634" t="n">
        <v>7</v>
      </c>
      <c r="C1634" t="inlineStr"/>
      <c r="D1634" t="inlineStr">
        <is>
          <t>84</t>
        </is>
      </c>
      <c r="E1634" t="inlineStr">
        <is>
          <t>2</t>
        </is>
      </c>
      <c r="F1634" t="inlineStr">
        <is>
          <t>42</t>
        </is>
      </c>
      <c r="G1634" t="inlineStr">
        <is>
          <t>0</t>
        </is>
      </c>
      <c r="H1634" t="inlineStr">
        <is>
          <t>0</t>
        </is>
      </c>
      <c r="I1634" t="inlineStr">
        <is>
          <t>14¹, 70¹</t>
        </is>
      </c>
      <c r="J1634" t="n">
        <v>2</v>
      </c>
      <c r="K1634" t="inlineStr">
        <is>
          <t>2², 6⁴, 8¹, 24²</t>
        </is>
      </c>
      <c r="L1634" t="inlineStr">
        <is>
          <t>10A¹, 14A¹, 35C²</t>
        </is>
      </c>
      <c r="M1634" t="inlineStr">
        <is>
          <t>70A¹³, 70C¹³, 70D¹³, 70A¹⁹, 70B¹⁹, 210A²¹, 210B²¹</t>
        </is>
      </c>
      <c r="N1634" t="inlineStr">
        <is>
          <t>35C², 2A⁰, 14A¹, 5B⁰, 10A¹, 1A⁰, 7A⁰</t>
        </is>
      </c>
      <c r="O1634" t="inlineStr">
        <is>
          <t>70C¹³, 210B²¹, 70D¹³, 210A²¹, 70B¹⁹, 70A¹³, 70A¹⁹</t>
        </is>
      </c>
    </row>
    <row r="1635">
      <c r="A1635">
        <f>HYPERLINK("https://mathstats.uncg.edu/sites/pauli/congruence/csg7.html#group70B7", "70B⁷")</f>
        <v/>
      </c>
      <c r="B1635" t="n">
        <v>7</v>
      </c>
      <c r="C1635" t="inlineStr"/>
      <c r="D1635" t="inlineStr">
        <is>
          <t>96</t>
        </is>
      </c>
      <c r="E1635" t="inlineStr">
        <is>
          <t>1</t>
        </is>
      </c>
      <c r="F1635" t="inlineStr">
        <is>
          <t>48</t>
        </is>
      </c>
      <c r="G1635" t="inlineStr">
        <is>
          <t>0</t>
        </is>
      </c>
      <c r="H1635" t="inlineStr">
        <is>
          <t>0</t>
        </is>
      </c>
      <c r="I1635" t="inlineStr">
        <is>
          <t>2¹, 10¹, 14¹, 70¹</t>
        </is>
      </c>
      <c r="J1635" t="n">
        <v>4</v>
      </c>
      <c r="K1635" t="inlineStr">
        <is>
          <t>1⁴, 4², 6², 24¹</t>
        </is>
      </c>
      <c r="L1635" t="inlineStr">
        <is>
          <t>10B⁰, 35A³</t>
        </is>
      </c>
      <c r="M1635" t="inlineStr">
        <is>
          <t>70F¹³, 140D¹⁵, 70E¹⁹, 70I¹⁹, 210A²³, 210F²³</t>
        </is>
      </c>
      <c r="N1635" t="inlineStr">
        <is>
          <t>5B⁰, 7B⁰, 1A⁰, 35A³, 10B⁰</t>
        </is>
      </c>
      <c r="O1635" t="inlineStr">
        <is>
          <t>140D¹⁵, 70F¹³, 70I¹⁹, 210A²³, 210F²³, 70E¹⁹</t>
        </is>
      </c>
    </row>
    <row r="1636">
      <c r="A1636">
        <f>HYPERLINK("https://mathstats.uncg.edu/sites/pauli/congruence/csg7.html#group70C7", "70C⁷")</f>
        <v/>
      </c>
      <c r="B1636" t="n">
        <v>7</v>
      </c>
      <c r="C1636" t="inlineStr"/>
      <c r="D1636" t="inlineStr">
        <is>
          <t>96</t>
        </is>
      </c>
      <c r="E1636" t="inlineStr">
        <is>
          <t>1</t>
        </is>
      </c>
      <c r="F1636" t="inlineStr">
        <is>
          <t>48</t>
        </is>
      </c>
      <c r="G1636" t="inlineStr">
        <is>
          <t>0</t>
        </is>
      </c>
      <c r="H1636" t="inlineStr">
        <is>
          <t>0</t>
        </is>
      </c>
      <c r="I1636" t="inlineStr">
        <is>
          <t>2¹, 10¹, 14¹, 70¹</t>
        </is>
      </c>
      <c r="J1636" t="n">
        <v>4</v>
      </c>
      <c r="K1636" t="inlineStr">
        <is>
          <t>1⁴, 4², 6², 24¹</t>
        </is>
      </c>
      <c r="L1636" t="inlineStr">
        <is>
          <t>14B⁰, 10A¹, 35A³</t>
        </is>
      </c>
      <c r="M1636" t="inlineStr">
        <is>
          <t>70F¹³, 140A¹⁵, 140B¹⁵, 70F¹⁹, 70G¹⁹, 70H¹⁹, 210B²³, 210C²³, 210G²³, 210H²³</t>
        </is>
      </c>
      <c r="N1636" t="inlineStr">
        <is>
          <t>2A⁰, 7B⁰, 14B⁰, 5B⁰, 10A¹, 1A⁰, 35A³</t>
        </is>
      </c>
      <c r="O1636" t="inlineStr">
        <is>
          <t>70F¹³, 210B²³, 70F¹⁹, 210C²³, 210G²³, 140B¹⁵, 210H²³, 140A¹⁵, 70H¹⁹, 70G¹⁹</t>
        </is>
      </c>
    </row>
    <row r="1637">
      <c r="A1637">
        <f>HYPERLINK("https://mathstats.uncg.edu/sites/pauli/congruence/csg7.html#group72A7", "72A⁷")</f>
        <v/>
      </c>
      <c r="B1637" t="n">
        <v>7</v>
      </c>
      <c r="C1637" t="inlineStr"/>
      <c r="D1637" t="inlineStr">
        <is>
          <t>96</t>
        </is>
      </c>
      <c r="E1637" t="inlineStr">
        <is>
          <t>2</t>
        </is>
      </c>
      <c r="F1637" t="inlineStr">
        <is>
          <t>16</t>
        </is>
      </c>
      <c r="G1637" t="inlineStr">
        <is>
          <t>0</t>
        </is>
      </c>
      <c r="H1637" t="inlineStr">
        <is>
          <t>0</t>
        </is>
      </c>
      <c r="I1637" t="inlineStr">
        <is>
          <t>8³, 72¹</t>
        </is>
      </c>
      <c r="J1637" t="n">
        <v>4</v>
      </c>
      <c r="K1637" t="inlineStr">
        <is>
          <t>4⁴, 8²</t>
        </is>
      </c>
      <c r="L1637" t="inlineStr">
        <is>
          <t>24A², 36B³</t>
        </is>
      </c>
      <c r="M1637" t="inlineStr">
        <is>
          <t>72B¹³, 144A¹⁵, 72O¹⁹, 72R²¹, 216A²¹, 72C²², 216A²², 216A²³</t>
        </is>
      </c>
      <c r="N1637" t="inlineStr">
        <is>
          <t>3B⁰, 24A², 4A⁰, 12A¹, 8A⁰, 9B⁰, 36B³, 1A⁰</t>
        </is>
      </c>
      <c r="O1637" t="inlineStr">
        <is>
          <t>216A²³, 72R²¹, 216A²², 216A²¹, 144A¹⁵, 72O¹⁹, 72B¹³, 72C²²</t>
        </is>
      </c>
    </row>
    <row r="1638">
      <c r="A1638">
        <f>HYPERLINK("https://mathstats.uncg.edu/sites/pauli/congruence/csg7.html#group72B7", "72B⁷")</f>
        <v/>
      </c>
      <c r="B1638" t="n">
        <v>7</v>
      </c>
      <c r="C1638" t="inlineStr"/>
      <c r="D1638" t="inlineStr">
        <is>
          <t>108</t>
        </is>
      </c>
      <c r="E1638" t="inlineStr">
        <is>
          <t>1</t>
        </is>
      </c>
      <c r="F1638" t="inlineStr">
        <is>
          <t>27</t>
        </is>
      </c>
      <c r="G1638" t="inlineStr">
        <is>
          <t>8</t>
        </is>
      </c>
      <c r="H1638" t="inlineStr">
        <is>
          <t>0</t>
        </is>
      </c>
      <c r="I1638" t="inlineStr">
        <is>
          <t>36¹, 72¹</t>
        </is>
      </c>
      <c r="J1638" t="n">
        <v>2</v>
      </c>
      <c r="K1638" t="inlineStr">
        <is>
          <t>1³, 2³, 6³</t>
        </is>
      </c>
      <c r="L1638" t="inlineStr">
        <is>
          <t>24D¹, 36B²</t>
        </is>
      </c>
      <c r="M1638" t="inlineStr">
        <is>
          <t>72I¹³, 72J¹⁵, 72K¹⁵, 72N¹⁵, 72P¹⁵, 72W¹⁵, 72B¹⁷, 72E¹⁷, 72X²¹</t>
        </is>
      </c>
      <c r="N1638" t="inlineStr">
        <is>
          <t>12C⁰, 9A⁰, 36B², 24D¹, 4C⁰, 2B⁰, 18E¹, 3A⁰, 1A⁰, 6D⁰</t>
        </is>
      </c>
      <c r="O1638" t="inlineStr">
        <is>
          <t>72E¹⁷, 72K¹⁵, 72J¹⁵, 72I¹³, 72P¹⁵, 72X²¹, 72N¹⁵, 72W¹⁵, 72B¹⁷</t>
        </is>
      </c>
    </row>
    <row r="1639">
      <c r="A1639">
        <f>HYPERLINK("https://mathstats.uncg.edu/sites/pauli/congruence/csg7.html#group72C7", "72C⁷")</f>
        <v/>
      </c>
      <c r="B1639" t="n">
        <v>7</v>
      </c>
      <c r="C1639" t="inlineStr"/>
      <c r="D1639" t="inlineStr">
        <is>
          <t>144</t>
        </is>
      </c>
      <c r="E1639" t="inlineStr">
        <is>
          <t>1</t>
        </is>
      </c>
      <c r="F1639" t="inlineStr">
        <is>
          <t>12</t>
        </is>
      </c>
      <c r="G1639" t="inlineStr">
        <is>
          <t>0</t>
        </is>
      </c>
      <c r="H1639" t="inlineStr">
        <is>
          <t>0</t>
        </is>
      </c>
      <c r="I1639" t="inlineStr">
        <is>
          <t>2⁶, 8³, 18², 72¹</t>
        </is>
      </c>
      <c r="J1639" t="n">
        <v>12</v>
      </c>
      <c r="K1639" t="inlineStr">
        <is>
          <t>1⁶, 2³</t>
        </is>
      </c>
      <c r="L1639" t="inlineStr">
        <is>
          <t>36C¹, 24F²</t>
        </is>
      </c>
      <c r="M1639" t="inlineStr">
        <is>
          <t>72Q¹³, 72S¹³</t>
        </is>
      </c>
      <c r="N1639" t="inlineStr">
        <is>
          <t>3B⁰, 18E⁰, 4B⁰, 9B⁰, 1A⁰, 2B⁰, 36C¹, 24F², 6F⁰, 12E⁰</t>
        </is>
      </c>
      <c r="O1639" t="inlineStr">
        <is>
          <t>72S¹³, 72Q¹³</t>
        </is>
      </c>
    </row>
    <row r="1640">
      <c r="A1640">
        <f>HYPERLINK("https://mathstats.uncg.edu/sites/pauli/congruence/csg7.html#group72D7", "72D⁷")</f>
        <v/>
      </c>
      <c r="B1640" t="n">
        <v>7</v>
      </c>
      <c r="C1640" t="inlineStr"/>
      <c r="D1640" t="inlineStr">
        <is>
          <t>144</t>
        </is>
      </c>
      <c r="E1640" t="inlineStr">
        <is>
          <t>1</t>
        </is>
      </c>
      <c r="F1640" t="inlineStr">
        <is>
          <t>24</t>
        </is>
      </c>
      <c r="G1640" t="inlineStr">
        <is>
          <t>0</t>
        </is>
      </c>
      <c r="H1640" t="inlineStr">
        <is>
          <t>0</t>
        </is>
      </c>
      <c r="I1640" t="inlineStr">
        <is>
          <t>2⁶, 8³, 18², 72¹</t>
        </is>
      </c>
      <c r="J1640" t="n">
        <v>12</v>
      </c>
      <c r="K1640" t="inlineStr">
        <is>
          <t>1⁴, 2⁶, 4²</t>
        </is>
      </c>
      <c r="L1640" t="inlineStr">
        <is>
          <t>24I², 36G³</t>
        </is>
      </c>
      <c r="M1640" t="inlineStr">
        <is>
          <t>72R¹³, 144E¹⁵, 72Q¹⁷, 72R¹⁷, 144I¹⁹</t>
        </is>
      </c>
      <c r="N1640" t="inlineStr">
        <is>
          <t>3B⁰, 18E⁰, 24I², 8D⁰, 12F¹, 4C⁰, 6F⁰, 9B⁰, 2B⁰, 1A⁰, 36G³</t>
        </is>
      </c>
      <c r="O1640" t="inlineStr">
        <is>
          <t>72R¹⁷, 72Q¹⁷, 144I¹⁹, 72R¹³, 144E¹⁵</t>
        </is>
      </c>
    </row>
    <row r="1641">
      <c r="A1641">
        <f>HYPERLINK("https://mathstats.uncg.edu/sites/pauli/congruence/csg7.html#group72E7", "72E⁷")</f>
        <v/>
      </c>
      <c r="B1641" t="n">
        <v>7</v>
      </c>
      <c r="C1641" t="inlineStr"/>
      <c r="D1641" t="inlineStr">
        <is>
          <t>144</t>
        </is>
      </c>
      <c r="E1641" t="inlineStr">
        <is>
          <t>1</t>
        </is>
      </c>
      <c r="F1641" t="inlineStr">
        <is>
          <t>144</t>
        </is>
      </c>
      <c r="G1641" t="inlineStr">
        <is>
          <t>20</t>
        </is>
      </c>
      <c r="H1641" t="inlineStr">
        <is>
          <t>0</t>
        </is>
      </c>
      <c r="I1641" t="inlineStr">
        <is>
          <t>72²</t>
        </is>
      </c>
      <c r="J1641" t="n">
        <v>2</v>
      </c>
      <c r="K1641" t="inlineStr">
        <is>
          <t>4⁴, 8⁴, 24⁴</t>
        </is>
      </c>
      <c r="L1641" t="inlineStr">
        <is>
          <t>24F¹, 36A¹</t>
        </is>
      </c>
      <c r="M1641" t="inlineStr">
        <is>
          <t>72Z¹⁵, 72V¹⁷, 72A¹⁸, 72B¹⁸, 72C¹⁸, 72D¹⁸, 72P¹⁹, 72W²¹, 72E²³</t>
        </is>
      </c>
      <c r="N1641" t="inlineStr">
        <is>
          <t>24F¹, 36A¹, 12A⁰, 8F⁰, 4A⁰, 9A⁰, 3A⁰, 1A⁰</t>
        </is>
      </c>
      <c r="O1641" t="inlineStr">
        <is>
          <t>72D¹⁸, 72V¹⁷, 72W²¹, 72A¹⁸, 72C¹⁸, 72P¹⁹, 72E²³, 72Z¹⁵, 72B¹⁸</t>
        </is>
      </c>
    </row>
    <row r="1642">
      <c r="A1642">
        <f>HYPERLINK("https://mathstats.uncg.edu/sites/pauli/congruence/csg7.html#group77A7", "77A⁷")</f>
        <v/>
      </c>
      <c r="B1642" t="n">
        <v>7</v>
      </c>
      <c r="C1642" t="inlineStr"/>
      <c r="D1642" t="inlineStr">
        <is>
          <t>84</t>
        </is>
      </c>
      <c r="E1642" t="inlineStr">
        <is>
          <t>2</t>
        </is>
      </c>
      <c r="F1642" t="inlineStr">
        <is>
          <t>84</t>
        </is>
      </c>
      <c r="G1642" t="inlineStr">
        <is>
          <t>0</t>
        </is>
      </c>
      <c r="H1642" t="inlineStr">
        <is>
          <t>0</t>
        </is>
      </c>
      <c r="I1642" t="inlineStr">
        <is>
          <t>7¹, 77¹</t>
        </is>
      </c>
      <c r="J1642" t="n">
        <v>2</v>
      </c>
      <c r="K1642" t="inlineStr">
        <is>
          <t>2², 6⁴, 20¹, 60²</t>
        </is>
      </c>
      <c r="L1642" t="inlineStr">
        <is>
          <t>7A⁰, 11A¹</t>
        </is>
      </c>
      <c r="M1642" t="inlineStr">
        <is>
          <t>77A¹³, 154A¹⁴, 154B¹⁴, 77A¹⁹, 154A²⁰, 231A²¹</t>
        </is>
      </c>
      <c r="N1642" t="inlineStr">
        <is>
          <t>1A⁰, 11A¹, 7A⁰</t>
        </is>
      </c>
      <c r="O1642" t="inlineStr">
        <is>
          <t>154A¹⁴, 231A²¹, 77A¹⁹, 154A²⁰, 77A¹³, 154B¹⁴</t>
        </is>
      </c>
    </row>
    <row r="1643">
      <c r="A1643">
        <f>HYPERLINK("https://mathstats.uncg.edu/sites/pauli/congruence/csg7.html#group77B7", "77B⁷")</f>
        <v/>
      </c>
      <c r="B1643" t="n">
        <v>7</v>
      </c>
      <c r="C1643" t="inlineStr">
        <is>
          <t>Γ₀(77)</t>
        </is>
      </c>
      <c r="D1643" t="inlineStr">
        <is>
          <t>96</t>
        </is>
      </c>
      <c r="E1643" t="inlineStr">
        <is>
          <t>1</t>
        </is>
      </c>
      <c r="F1643" t="inlineStr">
        <is>
          <t>96</t>
        </is>
      </c>
      <c r="G1643" t="inlineStr">
        <is>
          <t>0</t>
        </is>
      </c>
      <c r="H1643" t="inlineStr">
        <is>
          <t>0</t>
        </is>
      </c>
      <c r="I1643" t="inlineStr">
        <is>
          <t>1¹, 7¹, 11¹, 77¹</t>
        </is>
      </c>
      <c r="J1643" t="n">
        <v>4</v>
      </c>
      <c r="K1643" t="inlineStr">
        <is>
          <t>1⁴, 6², 10², 60¹</t>
        </is>
      </c>
      <c r="L1643" t="inlineStr">
        <is>
          <t>7B⁰, 11A¹</t>
        </is>
      </c>
      <c r="M1643" t="inlineStr">
        <is>
          <t>77B¹³, 154A¹⁵, 154B¹⁵, 77B¹⁹, 154B²¹, 231A²³, 231B²³</t>
        </is>
      </c>
      <c r="N1643" t="inlineStr">
        <is>
          <t>1A⁰, 7B⁰, 11A¹</t>
        </is>
      </c>
      <c r="O1643" t="inlineStr">
        <is>
          <t>231B²³, 77B¹³, 154B²¹, 154B¹⁵, 77B¹⁹, 231A²³, 154A¹⁵</t>
        </is>
      </c>
    </row>
    <row r="1644">
      <c r="A1644">
        <f>HYPERLINK("https://mathstats.uncg.edu/sites/pauli/congruence/csg7.html#group78A7", "78A⁷")</f>
        <v/>
      </c>
      <c r="B1644" t="n">
        <v>7</v>
      </c>
      <c r="C1644" t="inlineStr"/>
      <c r="D1644" t="inlineStr">
        <is>
          <t>84</t>
        </is>
      </c>
      <c r="E1644" t="inlineStr">
        <is>
          <t>1</t>
        </is>
      </c>
      <c r="F1644" t="inlineStr">
        <is>
          <t>14</t>
        </is>
      </c>
      <c r="G1644" t="inlineStr">
        <is>
          <t>0</t>
        </is>
      </c>
      <c r="H1644" t="inlineStr">
        <is>
          <t>0</t>
        </is>
      </c>
      <c r="I1644" t="inlineStr">
        <is>
          <t>6¹, 78¹</t>
        </is>
      </c>
      <c r="J1644" t="n">
        <v>2</v>
      </c>
      <c r="K1644" t="inlineStr">
        <is>
          <t>1², 12¹</t>
        </is>
      </c>
      <c r="L1644" t="inlineStr">
        <is>
          <t>6A¹, 26A¹, 39A²</t>
        </is>
      </c>
      <c r="M1644" t="inlineStr">
        <is>
          <t>78A¹³, 78C¹³, 78E¹³, 78A¹⁹, 78B¹⁹, 78D¹⁹, 234A²¹</t>
        </is>
      </c>
      <c r="N1644" t="inlineStr">
        <is>
          <t>39A², 2A⁰, 26A¹, 13A⁰, 6A¹, 3A⁰, 1A⁰</t>
        </is>
      </c>
      <c r="O1644" t="inlineStr">
        <is>
          <t>78B¹⁹, 78A¹³, 234A²¹, 78A¹⁹, 78E¹³, 78C¹³, 78D¹⁹</t>
        </is>
      </c>
    </row>
    <row r="1645">
      <c r="A1645">
        <f>HYPERLINK("https://mathstats.uncg.edu/sites/pauli/congruence/csg7.html#group78B7", "78B⁷")</f>
        <v/>
      </c>
      <c r="B1645" t="n">
        <v>7</v>
      </c>
      <c r="C1645" t="inlineStr"/>
      <c r="D1645" t="inlineStr">
        <is>
          <t>112</t>
        </is>
      </c>
      <c r="E1645" t="inlineStr">
        <is>
          <t>1</t>
        </is>
      </c>
      <c r="F1645" t="inlineStr">
        <is>
          <t>56</t>
        </is>
      </c>
      <c r="G1645" t="inlineStr">
        <is>
          <t>0</t>
        </is>
      </c>
      <c r="H1645" t="inlineStr">
        <is>
          <t>4</t>
        </is>
      </c>
      <c r="I1645" t="inlineStr">
        <is>
          <t>2¹, 6¹, 26¹, 78¹</t>
        </is>
      </c>
      <c r="J1645" t="n">
        <v>4</v>
      </c>
      <c r="K1645" t="inlineStr">
        <is>
          <t>1⁴, 2², 12², 24¹</t>
        </is>
      </c>
      <c r="L1645" t="inlineStr">
        <is>
          <t>26A⁰, 39A³</t>
        </is>
      </c>
      <c r="M1645" t="inlineStr">
        <is>
          <t>78G¹³, 156C¹⁵, 78A²³, 78F²³, 78G²³, 234A²³, 234D²³</t>
        </is>
      </c>
      <c r="N1645" t="inlineStr">
        <is>
          <t>13A⁰, 3B⁰, 39A³, 26A⁰, 1A⁰</t>
        </is>
      </c>
      <c r="O1645" t="inlineStr">
        <is>
          <t>156C¹⁵, 78G²³, 234A²³, 78A²³, 234D²³, 78F²³, 78G¹³</t>
        </is>
      </c>
    </row>
    <row r="1646">
      <c r="A1646">
        <f>HYPERLINK("https://mathstats.uncg.edu/sites/pauli/congruence/csg7.html#group78C7", "78C⁷")</f>
        <v/>
      </c>
      <c r="B1646" t="n">
        <v>7</v>
      </c>
      <c r="C1646" t="inlineStr"/>
      <c r="D1646" t="inlineStr">
        <is>
          <t>112</t>
        </is>
      </c>
      <c r="E1646" t="inlineStr">
        <is>
          <t>1</t>
        </is>
      </c>
      <c r="F1646" t="inlineStr">
        <is>
          <t>56</t>
        </is>
      </c>
      <c r="G1646" t="inlineStr">
        <is>
          <t>0</t>
        </is>
      </c>
      <c r="H1646" t="inlineStr">
        <is>
          <t>4</t>
        </is>
      </c>
      <c r="I1646" t="inlineStr">
        <is>
          <t>2¹, 6¹, 26¹, 78¹</t>
        </is>
      </c>
      <c r="J1646" t="n">
        <v>4</v>
      </c>
      <c r="K1646" t="inlineStr">
        <is>
          <t>1⁴, 2², 12², 24¹</t>
        </is>
      </c>
      <c r="L1646" t="inlineStr">
        <is>
          <t>6C⁰, 26A¹, 39A³</t>
        </is>
      </c>
      <c r="M1646" t="inlineStr">
        <is>
          <t>78G¹³, 156A¹⁵, 156B¹⁵, 78B²¹, 78B²³, 78C²³, 78E²³, 78H²³, 234B²³, 234C²³, 234E²³, 78A²⁴, 234A²⁴</t>
        </is>
      </c>
      <c r="N1646" t="inlineStr">
        <is>
          <t>2A⁰, 3B⁰, 26A¹, 39A³, 6C⁰, 13A⁰, 1A⁰</t>
        </is>
      </c>
      <c r="O1646" t="inlineStr">
        <is>
          <t>234B²³, 78A²⁴, 78B²¹, 156A¹⁵, 234E²³, 78B²³, 234C²³, 78E²³, 234A²⁴, 78C²³, 78H²³, 156B¹⁵, 78G¹³</t>
        </is>
      </c>
    </row>
    <row r="1647">
      <c r="A1647">
        <f>HYPERLINK("https://mathstats.uncg.edu/sites/pauli/congruence/csg7.html#group80A7", "80A⁷")</f>
        <v/>
      </c>
      <c r="B1647" t="n">
        <v>7</v>
      </c>
      <c r="C1647" t="inlineStr"/>
      <c r="D1647" t="inlineStr">
        <is>
          <t>96</t>
        </is>
      </c>
      <c r="E1647" t="inlineStr">
        <is>
          <t>2</t>
        </is>
      </c>
      <c r="F1647" t="inlineStr">
        <is>
          <t>48</t>
        </is>
      </c>
      <c r="G1647" t="inlineStr">
        <is>
          <t>4</t>
        </is>
      </c>
      <c r="H1647" t="inlineStr">
        <is>
          <t>0</t>
        </is>
      </c>
      <c r="I1647" t="inlineStr">
        <is>
          <t>16¹, 80¹</t>
        </is>
      </c>
      <c r="J1647" t="n">
        <v>2</v>
      </c>
      <c r="K1647" t="inlineStr">
        <is>
          <t>8⁴, 32²</t>
        </is>
      </c>
      <c r="L1647" t="inlineStr">
        <is>
          <t>40B³</t>
        </is>
      </c>
      <c r="M1647" t="inlineStr">
        <is>
          <t>80B¹³, 80A¹⁵, 80D¹⁵, 80AF²¹, 240A²¹</t>
        </is>
      </c>
      <c r="N1647" t="inlineStr">
        <is>
          <t>8A⁰, 5B⁰, 1A⁰, 4A⁰, 20B¹, 40B³</t>
        </is>
      </c>
      <c r="O1647" t="inlineStr">
        <is>
          <t>240A²¹, 80AF²¹, 80D¹⁵, 80A¹⁵, 80B¹³</t>
        </is>
      </c>
    </row>
    <row r="1648">
      <c r="A1648">
        <f>HYPERLINK("https://mathstats.uncg.edu/sites/pauli/congruence/csg7.html#group80B7", "80B⁷")</f>
        <v/>
      </c>
      <c r="B1648" t="n">
        <v>7</v>
      </c>
      <c r="C1648" t="inlineStr"/>
      <c r="D1648" t="inlineStr">
        <is>
          <t>96</t>
        </is>
      </c>
      <c r="E1648" t="inlineStr">
        <is>
          <t>2</t>
        </is>
      </c>
      <c r="F1648" t="inlineStr">
        <is>
          <t>48</t>
        </is>
      </c>
      <c r="G1648" t="inlineStr">
        <is>
          <t>4</t>
        </is>
      </c>
      <c r="H1648" t="inlineStr">
        <is>
          <t>0</t>
        </is>
      </c>
      <c r="I1648" t="inlineStr">
        <is>
          <t>16¹, 80¹</t>
        </is>
      </c>
      <c r="J1648" t="n">
        <v>2</v>
      </c>
      <c r="K1648" t="inlineStr">
        <is>
          <t>8⁴, 32²</t>
        </is>
      </c>
      <c r="L1648" t="inlineStr">
        <is>
          <t>16A⁰, 40B³</t>
        </is>
      </c>
      <c r="M1648" t="inlineStr">
        <is>
          <t>80B¹³, 80B¹⁵, 80D¹⁵, 80AG²¹, 240B²¹</t>
        </is>
      </c>
      <c r="N1648" t="inlineStr">
        <is>
          <t>8A⁰, 5B⁰, 16A⁰, 1A⁰, 4A⁰, 20B¹, 40B³</t>
        </is>
      </c>
      <c r="O1648" t="inlineStr">
        <is>
          <t>80D¹⁵, 240B²¹, 80B¹⁵, 80B¹³, 80AG²¹</t>
        </is>
      </c>
    </row>
    <row r="1649">
      <c r="A1649">
        <f>HYPERLINK("https://mathstats.uncg.edu/sites/pauli/congruence/csg7.html#group80C7", "80C⁷")</f>
        <v/>
      </c>
      <c r="B1649" t="n">
        <v>7</v>
      </c>
      <c r="C1649" t="inlineStr"/>
      <c r="D1649" t="inlineStr">
        <is>
          <t>144</t>
        </is>
      </c>
      <c r="E1649" t="inlineStr">
        <is>
          <t>1</t>
        </is>
      </c>
      <c r="F1649" t="inlineStr">
        <is>
          <t>18</t>
        </is>
      </c>
      <c r="G1649" t="inlineStr">
        <is>
          <t>16</t>
        </is>
      </c>
      <c r="H1649" t="inlineStr">
        <is>
          <t>0</t>
        </is>
      </c>
      <c r="I1649" t="inlineStr">
        <is>
          <t>8¹, 16¹, 40¹, 80¹</t>
        </is>
      </c>
      <c r="J1649" t="n">
        <v>4</v>
      </c>
      <c r="K1649" t="inlineStr">
        <is>
          <t>1⁶, 4³</t>
        </is>
      </c>
      <c r="L1649" t="inlineStr">
        <is>
          <t>40D³</t>
        </is>
      </c>
      <c r="M1649" t="inlineStr">
        <is>
          <t>80C¹³, 80AB¹⁷, 80AD¹⁷, 80AW¹⁷, 80AU¹⁷, 160M¹⁹, 160N¹⁹, 80F²¹, 80G²¹, 240A²³</t>
        </is>
      </c>
      <c r="N1649" t="inlineStr">
        <is>
          <t>20E¹, 4C⁰, 8B⁰, 5B⁰, 10C⁰, 1A⁰, 2B⁰, 40D³</t>
        </is>
      </c>
      <c r="O1649" t="inlineStr">
        <is>
          <t>80AW¹⁷, 80AB¹⁷, 80F²¹, 80G²¹, 80AD¹⁷, 160N¹⁹, 80AU¹⁷, 160M¹⁹, 240A²³, 80C¹³</t>
        </is>
      </c>
    </row>
    <row r="1650">
      <c r="A1650">
        <f>HYPERLINK("https://mathstats.uncg.edu/sites/pauli/congruence/csg7.html#group80D7", "80D⁷")</f>
        <v/>
      </c>
      <c r="B1650" t="n">
        <v>7</v>
      </c>
      <c r="C1650" t="inlineStr"/>
      <c r="D1650" t="inlineStr">
        <is>
          <t>144</t>
        </is>
      </c>
      <c r="E1650" t="inlineStr">
        <is>
          <t>1</t>
        </is>
      </c>
      <c r="F1650" t="inlineStr">
        <is>
          <t>18</t>
        </is>
      </c>
      <c r="G1650" t="inlineStr">
        <is>
          <t>16</t>
        </is>
      </c>
      <c r="H1650" t="inlineStr">
        <is>
          <t>0</t>
        </is>
      </c>
      <c r="I1650" t="inlineStr">
        <is>
          <t>8¹, 16¹, 40¹, 80¹</t>
        </is>
      </c>
      <c r="J1650" t="n">
        <v>4</v>
      </c>
      <c r="K1650" t="inlineStr">
        <is>
          <t>1⁶, 4³</t>
        </is>
      </c>
      <c r="L1650" t="inlineStr">
        <is>
          <t>16B⁰, 40D³</t>
        </is>
      </c>
      <c r="M1650" t="inlineStr">
        <is>
          <t>80C¹³, 80AC¹⁷, 80AE¹⁷, 80AV¹⁷, 80AX¹⁷, 160G¹⁷, 160H¹⁷, 80H²¹, 80I²¹, 160G²¹, 160H²¹, 240B²³</t>
        </is>
      </c>
      <c r="N1650" t="inlineStr">
        <is>
          <t>16B⁰, 20E¹, 40D³, 4C⁰, 8B⁰, 5B⁰, 10C⁰, 2B⁰, 1A⁰</t>
        </is>
      </c>
      <c r="O1650" t="inlineStr">
        <is>
          <t>80AV¹⁷, 80AE¹⁷, 80AX¹⁷, 160G¹⁷, 160G²¹, 160H¹⁷, 80AC¹⁷, 160H²¹, 80I²¹, 240B²³, 80H²¹, 80C¹³</t>
        </is>
      </c>
    </row>
    <row r="1651">
      <c r="A1651">
        <f>HYPERLINK("https://mathstats.uncg.edu/sites/pauli/congruence/csg7.html#group80E7", "80E⁷")</f>
        <v/>
      </c>
      <c r="B1651" t="n">
        <v>7</v>
      </c>
      <c r="C1651" t="inlineStr"/>
      <c r="D1651" t="inlineStr">
        <is>
          <t>144</t>
        </is>
      </c>
      <c r="E1651" t="inlineStr">
        <is>
          <t>1</t>
        </is>
      </c>
      <c r="F1651" t="inlineStr">
        <is>
          <t>36</t>
        </is>
      </c>
      <c r="G1651" t="inlineStr">
        <is>
          <t>0</t>
        </is>
      </c>
      <c r="H1651" t="inlineStr">
        <is>
          <t>0</t>
        </is>
      </c>
      <c r="I1651" t="inlineStr">
        <is>
          <t>1⁴, 4¹, 5⁴, 16¹, 20¹, 80¹</t>
        </is>
      </c>
      <c r="J1651" t="n">
        <v>12</v>
      </c>
      <c r="K1651" t="inlineStr">
        <is>
          <t>1⁸, 2², 4⁴, 8¹</t>
        </is>
      </c>
      <c r="L1651" t="inlineStr">
        <is>
          <t>40F³</t>
        </is>
      </c>
      <c r="M1651" t="inlineStr">
        <is>
          <t>80E¹³, 80S¹⁵, 80Q¹⁵, 160C¹⁵, 80W¹⁷, 80X¹⁷, 160M¹⁷, 160L¹⁹</t>
        </is>
      </c>
      <c r="N1651" t="inlineStr">
        <is>
          <t>40F³, 5B⁰, 10C⁰, 20D¹, 8C⁰, 2B⁰, 4B⁰, 1A⁰</t>
        </is>
      </c>
      <c r="O1651" t="inlineStr">
        <is>
          <t>160C¹⁵, 80S¹⁵, 80W¹⁷, 160L¹⁹, 80E¹³, 80Q¹⁵, 160M¹⁷, 80X¹⁷</t>
        </is>
      </c>
    </row>
    <row r="1652">
      <c r="A1652">
        <f>HYPERLINK("https://mathstats.uncg.edu/sites/pauli/congruence/csg7.html#group80F7", "80F⁷")</f>
        <v/>
      </c>
      <c r="B1652" t="n">
        <v>7</v>
      </c>
      <c r="C1652" t="inlineStr">
        <is>
          <t>Γ₀(80)</t>
        </is>
      </c>
      <c r="D1652" t="inlineStr">
        <is>
          <t>144</t>
        </is>
      </c>
      <c r="E1652" t="inlineStr">
        <is>
          <t>1</t>
        </is>
      </c>
      <c r="F1652" t="inlineStr">
        <is>
          <t>36</t>
        </is>
      </c>
      <c r="G1652" t="inlineStr">
        <is>
          <t>0</t>
        </is>
      </c>
      <c r="H1652" t="inlineStr">
        <is>
          <t>0</t>
        </is>
      </c>
      <c r="I1652" t="inlineStr">
        <is>
          <t>1⁴, 4¹, 5⁴, 16¹, 20¹, 80¹</t>
        </is>
      </c>
      <c r="J1652" t="n">
        <v>12</v>
      </c>
      <c r="K1652" t="inlineStr">
        <is>
          <t>1⁸, 2², 4⁴, 8¹</t>
        </is>
      </c>
      <c r="L1652" t="inlineStr">
        <is>
          <t>16C⁰, 40F³</t>
        </is>
      </c>
      <c r="M1652" t="inlineStr">
        <is>
          <t>80E¹³, 80R¹⁵, 80T¹⁵, 160A¹⁵, 160B¹⁵, 80Y¹⁷, 80Z¹⁷, 160E¹⁷, 160F¹⁷, 160J¹⁹, 160K¹⁹</t>
        </is>
      </c>
      <c r="N1652" t="inlineStr">
        <is>
          <t>40F³, 16C⁰, 5B⁰, 10C⁰, 20D¹, 8C⁰, 2B⁰, 4B⁰, 1A⁰</t>
        </is>
      </c>
      <c r="O1652" t="inlineStr">
        <is>
          <t>160A¹⁵, 160B¹⁵, 160E¹⁷, 160J¹⁹, 80T¹⁵, 160F¹⁷, 80E¹³, 80R¹⁵, 160K¹⁹, 80Z¹⁷, 80Y¹⁷</t>
        </is>
      </c>
    </row>
    <row r="1653">
      <c r="A1653">
        <f>HYPERLINK("https://mathstats.uncg.edu/sites/pauli/congruence/csg7.html#group80G7", "80G⁷")</f>
        <v/>
      </c>
      <c r="B1653" t="n">
        <v>7</v>
      </c>
      <c r="C1653" t="inlineStr"/>
      <c r="D1653" t="inlineStr">
        <is>
          <t>144</t>
        </is>
      </c>
      <c r="E1653" t="inlineStr">
        <is>
          <t>1</t>
        </is>
      </c>
      <c r="F1653" t="inlineStr">
        <is>
          <t>72</t>
        </is>
      </c>
      <c r="G1653" t="inlineStr">
        <is>
          <t>0</t>
        </is>
      </c>
      <c r="H1653" t="inlineStr">
        <is>
          <t>0</t>
        </is>
      </c>
      <c r="I1653" t="inlineStr">
        <is>
          <t>1², 2³, 5², 10³, 16¹, 80¹</t>
        </is>
      </c>
      <c r="J1653" t="n">
        <v>12</v>
      </c>
      <c r="K1653" t="inlineStr">
        <is>
          <t>1⁸, 2⁴, 4⁶, 8², 16¹</t>
        </is>
      </c>
      <c r="L1653" t="inlineStr">
        <is>
          <t>40F³</t>
        </is>
      </c>
      <c r="M1653" t="inlineStr">
        <is>
          <t>80G¹³, 80N¹⁵, 80S¹⁵, 80R¹⁵, 80V¹⁵, 80AI¹⁷, 80AG¹⁷</t>
        </is>
      </c>
      <c r="N1653" t="inlineStr">
        <is>
          <t>40F³, 5B⁰, 10C⁰, 20D¹, 8C⁰, 2B⁰, 4B⁰, 1A⁰</t>
        </is>
      </c>
      <c r="O1653" t="inlineStr">
        <is>
          <t>80G¹³, 80R¹⁵, 80S¹⁵, 80V¹⁵, 80AG¹⁷, 80AI¹⁷, 80N¹⁵</t>
        </is>
      </c>
    </row>
    <row r="1654">
      <c r="A1654">
        <f>HYPERLINK("https://mathstats.uncg.edu/sites/pauli/congruence/csg7.html#group80H7", "80H⁷")</f>
        <v/>
      </c>
      <c r="B1654" t="n">
        <v>7</v>
      </c>
      <c r="C1654" t="inlineStr"/>
      <c r="D1654" t="inlineStr">
        <is>
          <t>144</t>
        </is>
      </c>
      <c r="E1654" t="inlineStr">
        <is>
          <t>1</t>
        </is>
      </c>
      <c r="F1654" t="inlineStr">
        <is>
          <t>72</t>
        </is>
      </c>
      <c r="G1654" t="inlineStr">
        <is>
          <t>0</t>
        </is>
      </c>
      <c r="H1654" t="inlineStr">
        <is>
          <t>0</t>
        </is>
      </c>
      <c r="I1654" t="inlineStr">
        <is>
          <t>1², 2³, 5², 10³, 16¹, 80¹</t>
        </is>
      </c>
      <c r="J1654" t="n">
        <v>12</v>
      </c>
      <c r="K1654" t="inlineStr">
        <is>
          <t>1⁸, 2⁴, 4⁶, 8², 16¹</t>
        </is>
      </c>
      <c r="L1654" t="inlineStr">
        <is>
          <t>16D⁰, 40F³</t>
        </is>
      </c>
      <c r="M1654" t="inlineStr">
        <is>
          <t>80G¹³, 80O¹⁵, 80Q¹⁵, 80T¹⁵, 80V¹⁵, 80AH¹⁷, 80AJ¹⁷</t>
        </is>
      </c>
      <c r="N1654" t="inlineStr">
        <is>
          <t>40F³, 16D⁰, 5B⁰, 10C⁰, 20D¹, 8C⁰, 2B⁰, 4B⁰, 1A⁰</t>
        </is>
      </c>
      <c r="O1654" t="inlineStr">
        <is>
          <t>80G¹³, 80Q¹⁵, 80AJ¹⁷, 80V¹⁵, 80O¹⁵, 80T¹⁵, 80AH¹⁷</t>
        </is>
      </c>
    </row>
    <row r="1655">
      <c r="A1655">
        <f>HYPERLINK("https://mathstats.uncg.edu/sites/pauli/congruence/csg7.html#group80I7", "80I⁷")</f>
        <v/>
      </c>
      <c r="B1655" t="n">
        <v>7</v>
      </c>
      <c r="C1655" t="inlineStr"/>
      <c r="D1655" t="inlineStr">
        <is>
          <t>144</t>
        </is>
      </c>
      <c r="E1655" t="inlineStr">
        <is>
          <t>1</t>
        </is>
      </c>
      <c r="F1655" t="inlineStr">
        <is>
          <t>72</t>
        </is>
      </c>
      <c r="G1655" t="inlineStr">
        <is>
          <t>4</t>
        </is>
      </c>
      <c r="H1655" t="inlineStr">
        <is>
          <t>0</t>
        </is>
      </c>
      <c r="I1655" t="inlineStr">
        <is>
          <t>2⁴, 10⁴, 16¹, 80¹</t>
        </is>
      </c>
      <c r="J1655" t="n">
        <v>10</v>
      </c>
      <c r="K1655" t="inlineStr">
        <is>
          <t>1⁴, 2², 4⁶, 8¹, 16²</t>
        </is>
      </c>
      <c r="L1655" t="inlineStr">
        <is>
          <t>40H³</t>
        </is>
      </c>
      <c r="M1655" t="inlineStr">
        <is>
          <t>80I¹³, 80N¹⁵, 80U¹⁵, 80AO¹⁷, 80AQ¹⁷, 80Q¹⁹, 80P¹⁹</t>
        </is>
      </c>
      <c r="N1655" t="inlineStr">
        <is>
          <t>20E¹, 40H³, 8D⁰, 4C⁰, 5B⁰, 10C⁰, 2B⁰, 1A⁰</t>
        </is>
      </c>
      <c r="O1655" t="inlineStr">
        <is>
          <t>80I¹³, 80Q¹⁹, 80U¹⁵, 80AQ¹⁷, 80AO¹⁷, 80P¹⁹, 80N¹⁵</t>
        </is>
      </c>
    </row>
    <row r="1656">
      <c r="A1656">
        <f>HYPERLINK("https://mathstats.uncg.edu/sites/pauli/congruence/csg7.html#group80J7", "80J⁷")</f>
        <v/>
      </c>
      <c r="B1656" t="n">
        <v>7</v>
      </c>
      <c r="C1656" t="inlineStr"/>
      <c r="D1656" t="inlineStr">
        <is>
          <t>144</t>
        </is>
      </c>
      <c r="E1656" t="inlineStr">
        <is>
          <t>1</t>
        </is>
      </c>
      <c r="F1656" t="inlineStr">
        <is>
          <t>72</t>
        </is>
      </c>
      <c r="G1656" t="inlineStr">
        <is>
          <t>4</t>
        </is>
      </c>
      <c r="H1656" t="inlineStr">
        <is>
          <t>0</t>
        </is>
      </c>
      <c r="I1656" t="inlineStr">
        <is>
          <t>2⁴, 10⁴, 16¹, 80¹</t>
        </is>
      </c>
      <c r="J1656" t="n">
        <v>10</v>
      </c>
      <c r="K1656" t="inlineStr">
        <is>
          <t>1⁴, 2², 4⁶, 8¹, 16²</t>
        </is>
      </c>
      <c r="L1656" t="inlineStr">
        <is>
          <t>16E⁰, 40H³</t>
        </is>
      </c>
      <c r="M1656" t="inlineStr">
        <is>
          <t>80I¹³, 80O¹⁵, 80U¹⁵, 80AP¹⁷, 80AR¹⁷, 160I¹⁷, 160J¹⁷, 160K¹⁷, 160L¹⁷, 80R¹⁹, 80S¹⁹</t>
        </is>
      </c>
      <c r="N1656" t="inlineStr">
        <is>
          <t>20E¹, 16E⁰, 40H³, 8D⁰, 4C⁰, 5B⁰, 10C⁰, 2B⁰, 1A⁰</t>
        </is>
      </c>
      <c r="O1656" t="inlineStr">
        <is>
          <t>160I¹⁷, 80S¹⁹, 160K¹⁷, 160J¹⁷, 80I¹³, 80U¹⁵, 80O¹⁵, 80R¹⁹, 80AP¹⁷, 160L¹⁷, 80AR¹⁷</t>
        </is>
      </c>
    </row>
    <row r="1657">
      <c r="A1657">
        <f>HYPERLINK("https://mathstats.uncg.edu/sites/pauli/congruence/csg7.html#group80K7", "80K⁷")</f>
        <v/>
      </c>
      <c r="B1657" t="n">
        <v>7</v>
      </c>
      <c r="C1657" t="inlineStr"/>
      <c r="D1657" t="inlineStr">
        <is>
          <t>144</t>
        </is>
      </c>
      <c r="E1657" t="inlineStr">
        <is>
          <t>2</t>
        </is>
      </c>
      <c r="F1657" t="inlineStr">
        <is>
          <t>36</t>
        </is>
      </c>
      <c r="G1657" t="inlineStr">
        <is>
          <t>0</t>
        </is>
      </c>
      <c r="H1657" t="inlineStr">
        <is>
          <t>0</t>
        </is>
      </c>
      <c r="I1657" t="inlineStr">
        <is>
          <t>1⁴, 4¹, 5⁴, 16¹, 20¹, 80¹</t>
        </is>
      </c>
      <c r="J1657" t="n">
        <v>12</v>
      </c>
      <c r="K1657" t="inlineStr">
        <is>
          <t>2¹², 8⁶</t>
        </is>
      </c>
      <c r="L1657" t="inlineStr">
        <is>
          <t>40E³</t>
        </is>
      </c>
      <c r="M1657" t="inlineStr">
        <is>
          <t>80D¹³, 80BD¹⁷, 80BE¹⁷</t>
        </is>
      </c>
      <c r="N1657" t="inlineStr">
        <is>
          <t>5B⁰, 10C⁰, 40E³, 20D¹, 2B⁰, 4B⁰, 1A⁰</t>
        </is>
      </c>
      <c r="O1657" t="inlineStr">
        <is>
          <t>80D¹³, 80BD¹⁷, 80BE¹⁷</t>
        </is>
      </c>
    </row>
    <row r="1658">
      <c r="A1658">
        <f>HYPERLINK("https://mathstats.uncg.edu/sites/pauli/congruence/csg7.html#group81A7", "81A⁷")</f>
        <v/>
      </c>
      <c r="B1658" t="n">
        <v>7</v>
      </c>
      <c r="C1658" t="inlineStr"/>
      <c r="D1658" t="inlineStr">
        <is>
          <t>108</t>
        </is>
      </c>
      <c r="E1658" t="inlineStr">
        <is>
          <t>1</t>
        </is>
      </c>
      <c r="F1658" t="inlineStr">
        <is>
          <t>36</t>
        </is>
      </c>
      <c r="G1658" t="inlineStr">
        <is>
          <t>0</t>
        </is>
      </c>
      <c r="H1658" t="inlineStr">
        <is>
          <t>0</t>
        </is>
      </c>
      <c r="I1658" t="inlineStr">
        <is>
          <t>3³, 9², 81¹</t>
        </is>
      </c>
      <c r="J1658" t="n">
        <v>6</v>
      </c>
      <c r="K1658" t="inlineStr">
        <is>
          <t>1², 2², 6², 18¹</t>
        </is>
      </c>
      <c r="L1658" t="inlineStr">
        <is>
          <t>27A¹</t>
        </is>
      </c>
      <c r="M1658" t="inlineStr">
        <is>
          <t>162A¹⁶, 81A¹⁹, 81C¹⁹, 81E¹⁹, 162A²²</t>
        </is>
      </c>
      <c r="N1658" t="inlineStr">
        <is>
          <t>3B⁰, 1A⁰, 9B⁰, 27A¹</t>
        </is>
      </c>
      <c r="O1658" t="inlineStr">
        <is>
          <t>81C¹⁹, 162A¹⁶, 81E¹⁹, 81A¹⁹, 162A²²</t>
        </is>
      </c>
    </row>
    <row r="1659">
      <c r="A1659">
        <f>HYPERLINK("https://mathstats.uncg.edu/sites/pauli/congruence/csg7.html#group81B7", "81B⁷")</f>
        <v/>
      </c>
      <c r="B1659" t="n">
        <v>7</v>
      </c>
      <c r="C1659" t="inlineStr"/>
      <c r="D1659" t="inlineStr">
        <is>
          <t>108</t>
        </is>
      </c>
      <c r="E1659" t="inlineStr">
        <is>
          <t>1</t>
        </is>
      </c>
      <c r="F1659" t="inlineStr">
        <is>
          <t>36</t>
        </is>
      </c>
      <c r="G1659" t="inlineStr">
        <is>
          <t>0</t>
        </is>
      </c>
      <c r="H1659" t="inlineStr">
        <is>
          <t>0</t>
        </is>
      </c>
      <c r="I1659" t="inlineStr">
        <is>
          <t>3³, 9², 81¹</t>
        </is>
      </c>
      <c r="J1659" t="n">
        <v>6</v>
      </c>
      <c r="K1659" t="inlineStr">
        <is>
          <t>1², 2², 6², 18¹</t>
        </is>
      </c>
      <c r="L1659" t="inlineStr">
        <is>
          <t>27A¹</t>
        </is>
      </c>
      <c r="M1659" t="inlineStr">
        <is>
          <t>162B¹⁶, 81B¹⁹, 81C¹⁹, 81E¹⁹, 162B²²</t>
        </is>
      </c>
      <c r="N1659" t="inlineStr">
        <is>
          <t>3B⁰, 1A⁰, 9B⁰, 27A¹</t>
        </is>
      </c>
      <c r="O1659" t="inlineStr">
        <is>
          <t>81C¹⁹, 162B²², 81E¹⁹, 162B¹⁶, 81B¹⁹</t>
        </is>
      </c>
    </row>
    <row r="1660">
      <c r="A1660">
        <f>HYPERLINK("https://mathstats.uncg.edu/sites/pauli/congruence/csg7.html#group82A7", "82A⁷")</f>
        <v/>
      </c>
      <c r="B1660" t="n">
        <v>7</v>
      </c>
      <c r="C1660" t="inlineStr"/>
      <c r="D1660" t="inlineStr">
        <is>
          <t>84</t>
        </is>
      </c>
      <c r="E1660" t="inlineStr">
        <is>
          <t>1</t>
        </is>
      </c>
      <c r="F1660" t="inlineStr">
        <is>
          <t>42</t>
        </is>
      </c>
      <c r="G1660" t="inlineStr">
        <is>
          <t>0</t>
        </is>
      </c>
      <c r="H1660" t="inlineStr">
        <is>
          <t>0</t>
        </is>
      </c>
      <c r="I1660" t="inlineStr">
        <is>
          <t>2¹, 82¹</t>
        </is>
      </c>
      <c r="J1660" t="n">
        <v>2</v>
      </c>
      <c r="K1660" t="inlineStr">
        <is>
          <t>1², 40¹</t>
        </is>
      </c>
      <c r="L1660" t="inlineStr">
        <is>
          <t>41A³</t>
        </is>
      </c>
      <c r="M1660" t="inlineStr">
        <is>
          <t>82A¹³, 82B¹⁹, 246A²¹</t>
        </is>
      </c>
      <c r="N1660" t="inlineStr">
        <is>
          <t>1A⁰, 41A³</t>
        </is>
      </c>
      <c r="O1660" t="inlineStr">
        <is>
          <t>82B¹⁹, 246A²¹, 82A¹³</t>
        </is>
      </c>
    </row>
    <row r="1661">
      <c r="A1661">
        <f>HYPERLINK("https://mathstats.uncg.edu/sites/pauli/congruence/csg7.html#group82B7", "82B⁷")</f>
        <v/>
      </c>
      <c r="B1661" t="n">
        <v>7</v>
      </c>
      <c r="C1661" t="inlineStr"/>
      <c r="D1661" t="inlineStr">
        <is>
          <t>84</t>
        </is>
      </c>
      <c r="E1661" t="inlineStr">
        <is>
          <t>1</t>
        </is>
      </c>
      <c r="F1661" t="inlineStr">
        <is>
          <t>42</t>
        </is>
      </c>
      <c r="G1661" t="inlineStr">
        <is>
          <t>0</t>
        </is>
      </c>
      <c r="H1661" t="inlineStr">
        <is>
          <t>0</t>
        </is>
      </c>
      <c r="I1661" t="inlineStr">
        <is>
          <t>2¹, 82¹</t>
        </is>
      </c>
      <c r="J1661" t="n">
        <v>2</v>
      </c>
      <c r="K1661" t="inlineStr">
        <is>
          <t>1², 40¹</t>
        </is>
      </c>
      <c r="L1661" t="inlineStr">
        <is>
          <t>2A⁰, 41A³</t>
        </is>
      </c>
      <c r="M1661" t="inlineStr">
        <is>
          <t>82A¹³, 82A¹⁹, 246B²¹, 246C²¹</t>
        </is>
      </c>
      <c r="N1661" t="inlineStr">
        <is>
          <t>2A⁰, 1A⁰, 41A³</t>
        </is>
      </c>
      <c r="O1661" t="inlineStr">
        <is>
          <t>246B²¹, 82A¹⁹, 246C²¹, 82A¹³</t>
        </is>
      </c>
    </row>
    <row r="1662">
      <c r="A1662">
        <f>HYPERLINK("https://mathstats.uncg.edu/sites/pauli/congruence/csg7.html#group83A7", "83A⁷")</f>
        <v/>
      </c>
      <c r="B1662" t="n">
        <v>7</v>
      </c>
      <c r="C1662" t="inlineStr">
        <is>
          <t>Γ₀(83)</t>
        </is>
      </c>
      <c r="D1662" t="inlineStr">
        <is>
          <t>84</t>
        </is>
      </c>
      <c r="E1662" t="inlineStr">
        <is>
          <t>1</t>
        </is>
      </c>
      <c r="F1662" t="inlineStr">
        <is>
          <t>84</t>
        </is>
      </c>
      <c r="G1662" t="inlineStr">
        <is>
          <t>0</t>
        </is>
      </c>
      <c r="H1662" t="inlineStr">
        <is>
          <t>0</t>
        </is>
      </c>
      <c r="I1662" t="inlineStr">
        <is>
          <t>1¹, 83¹</t>
        </is>
      </c>
      <c r="J1662" t="n">
        <v>2</v>
      </c>
      <c r="K1662" t="inlineStr">
        <is>
          <t>1², 82¹</t>
        </is>
      </c>
      <c r="L1662" t="inlineStr">
        <is>
          <t>1A⁰</t>
        </is>
      </c>
      <c r="M1662" t="inlineStr">
        <is>
          <t>166A¹⁴, 166A²⁰, 249A²¹</t>
        </is>
      </c>
      <c r="N1662" t="inlineStr">
        <is>
          <t>1A⁰</t>
        </is>
      </c>
      <c r="O1662" t="inlineStr">
        <is>
          <t>249A²¹, 166A²⁰, 166A¹⁴</t>
        </is>
      </c>
    </row>
    <row r="1663">
      <c r="A1663">
        <f>HYPERLINK("https://mathstats.uncg.edu/sites/pauli/congruence/csg7.html#group84A7", "84A⁷")</f>
        <v/>
      </c>
      <c r="B1663" t="n">
        <v>7</v>
      </c>
      <c r="C1663" t="inlineStr"/>
      <c r="D1663" t="inlineStr">
        <is>
          <t>96</t>
        </is>
      </c>
      <c r="E1663" t="inlineStr">
        <is>
          <t>2</t>
        </is>
      </c>
      <c r="F1663" t="inlineStr">
        <is>
          <t>32</t>
        </is>
      </c>
      <c r="G1663" t="inlineStr">
        <is>
          <t>0</t>
        </is>
      </c>
      <c r="H1663" t="inlineStr">
        <is>
          <t>3</t>
        </is>
      </c>
      <c r="I1663" t="inlineStr">
        <is>
          <t>12¹, 84¹</t>
        </is>
      </c>
      <c r="J1663" t="n">
        <v>2</v>
      </c>
      <c r="K1663" t="inlineStr">
        <is>
          <t>4⁴, 24²</t>
        </is>
      </c>
      <c r="L1663" t="inlineStr">
        <is>
          <t>21A¹, 28A²</t>
        </is>
      </c>
      <c r="M1663" t="inlineStr">
        <is>
          <t>84I¹³, 168A¹⁴, 168B¹⁴, 84G²², 84L²²</t>
        </is>
      </c>
      <c r="N1663" t="inlineStr">
        <is>
          <t>4A⁰, 1A⁰, 7B⁰, 28A², 21A¹</t>
        </is>
      </c>
      <c r="O1663" t="inlineStr">
        <is>
          <t>168B¹⁴, 84I¹³, 168A¹⁴, 84L²², 84G²²</t>
        </is>
      </c>
    </row>
    <row r="1664">
      <c r="A1664">
        <f>HYPERLINK("https://mathstats.uncg.edu/sites/pauli/congruence/csg7.html#group84B7", "84B⁷")</f>
        <v/>
      </c>
      <c r="B1664" t="n">
        <v>7</v>
      </c>
      <c r="C1664" t="inlineStr"/>
      <c r="D1664" t="inlineStr">
        <is>
          <t>126</t>
        </is>
      </c>
      <c r="E1664" t="inlineStr">
        <is>
          <t>2</t>
        </is>
      </c>
      <c r="F1664" t="inlineStr">
        <is>
          <t>21</t>
        </is>
      </c>
      <c r="G1664" t="inlineStr">
        <is>
          <t>12</t>
        </is>
      </c>
      <c r="H1664" t="inlineStr">
        <is>
          <t>0</t>
        </is>
      </c>
      <c r="I1664" t="inlineStr">
        <is>
          <t>21², 84¹</t>
        </is>
      </c>
      <c r="J1664" t="n">
        <v>3</v>
      </c>
      <c r="K1664" t="inlineStr">
        <is>
          <t>2³, 6⁶</t>
        </is>
      </c>
      <c r="L1664" t="inlineStr">
        <is>
          <t>28B², 42C³</t>
        </is>
      </c>
      <c r="M1664" t="inlineStr">
        <is>
          <t>84C¹⁴, 84H¹⁵, 84H¹⁶, 84F¹⁷, 84E¹⁸, 84A¹⁹, 84B²⁰</t>
        </is>
      </c>
      <c r="N1664" t="inlineStr">
        <is>
          <t>14B¹, 6D⁰, 21A⁰, 2B⁰, 3A⁰, 1A⁰, 42C³, 28B², 7A⁰</t>
        </is>
      </c>
      <c r="O1664" t="inlineStr">
        <is>
          <t>84C¹⁴, 84A¹⁹, 84H¹⁶, 84H¹⁵, 84F¹⁷, 84E¹⁸, 84B²⁰</t>
        </is>
      </c>
    </row>
    <row r="1665">
      <c r="A1665">
        <f>HYPERLINK("https://mathstats.uncg.edu/sites/pauli/congruence/csg7.html#group84C7", "84C⁷")</f>
        <v/>
      </c>
      <c r="B1665" t="n">
        <v>7</v>
      </c>
      <c r="C1665" t="inlineStr"/>
      <c r="D1665" t="inlineStr">
        <is>
          <t>126</t>
        </is>
      </c>
      <c r="E1665" t="inlineStr">
        <is>
          <t>2</t>
        </is>
      </c>
      <c r="F1665" t="inlineStr">
        <is>
          <t>63</t>
        </is>
      </c>
      <c r="G1665" t="inlineStr">
        <is>
          <t>12</t>
        </is>
      </c>
      <c r="H1665" t="inlineStr">
        <is>
          <t>0</t>
        </is>
      </c>
      <c r="I1665" t="inlineStr">
        <is>
          <t>21², 84¹</t>
        </is>
      </c>
      <c r="J1665" t="n">
        <v>3</v>
      </c>
      <c r="K1665" t="inlineStr">
        <is>
          <t>2³, 4³, 6⁶, 12⁶</t>
        </is>
      </c>
      <c r="L1665" t="inlineStr">
        <is>
          <t>12D⁰, 42C³</t>
        </is>
      </c>
      <c r="M1665" t="inlineStr">
        <is>
          <t>84D¹⁴, 84H¹⁵, 84C¹⁶, 84D¹⁶, 84E¹⁶, 84G¹⁶, 84G¹⁷, 84K¹⁷, 84L¹⁷, 84M¹⁷, 84N¹⁷, 84F¹⁸, 84D¹⁹, 84H²⁰, 84F²³</t>
        </is>
      </c>
      <c r="N1665" t="inlineStr">
        <is>
          <t>14B¹, 21A⁰, 2B⁰, 12D⁰, 3A⁰, 1A⁰, 42C³, 6D⁰, 7A⁰</t>
        </is>
      </c>
      <c r="O1665" t="inlineStr">
        <is>
          <t>84L¹⁷, 84D¹⁴, 84F¹⁸, 84K¹⁷, 84H²⁰, 84E¹⁶, 84F²³, 84G¹⁶, 84M¹⁷, 84D¹⁹, 84G¹⁷, 84H¹⁵, 84N¹⁷, 84D¹⁶, 84C¹⁶</t>
        </is>
      </c>
    </row>
    <row r="1666">
      <c r="A1666">
        <f>HYPERLINK("https://mathstats.uncg.edu/sites/pauli/congruence/csg7.html#group84D7", "84D⁷")</f>
        <v/>
      </c>
      <c r="B1666" t="n">
        <v>7</v>
      </c>
      <c r="C1666" t="inlineStr"/>
      <c r="D1666" t="inlineStr">
        <is>
          <t>128</t>
        </is>
      </c>
      <c r="E1666" t="inlineStr">
        <is>
          <t>1</t>
        </is>
      </c>
      <c r="F1666" t="inlineStr">
        <is>
          <t>32</t>
        </is>
      </c>
      <c r="G1666" t="inlineStr">
        <is>
          <t>0</t>
        </is>
      </c>
      <c r="H1666" t="inlineStr">
        <is>
          <t>8</t>
        </is>
      </c>
      <c r="I1666" t="inlineStr">
        <is>
          <t>4¹, 12¹, 28¹, 84¹</t>
        </is>
      </c>
      <c r="J1666" t="n">
        <v>4</v>
      </c>
      <c r="K1666" t="inlineStr">
        <is>
          <t>1⁴, 2², 6², 12¹</t>
        </is>
      </c>
      <c r="L1666" t="inlineStr">
        <is>
          <t>12B⁰, 42E³</t>
        </is>
      </c>
      <c r="M1666" t="inlineStr">
        <is>
          <t>84K¹³, 84G²³, 252B²³</t>
        </is>
      </c>
      <c r="N1666" t="inlineStr">
        <is>
          <t>3B⁰, 2A⁰, 21B¹, 7B⁰, 42E³, 6C⁰, 14B⁰, 1A⁰, 12B⁰</t>
        </is>
      </c>
      <c r="O1666" t="inlineStr">
        <is>
          <t>84G²³, 84K¹³, 252B²³</t>
        </is>
      </c>
    </row>
    <row r="1667">
      <c r="A1667">
        <f>HYPERLINK("https://mathstats.uncg.edu/sites/pauli/congruence/csg7.html#group84E7", "84E⁷")</f>
        <v/>
      </c>
      <c r="B1667" t="n">
        <v>7</v>
      </c>
      <c r="C1667" t="inlineStr"/>
      <c r="D1667" t="inlineStr">
        <is>
          <t>128</t>
        </is>
      </c>
      <c r="E1667" t="inlineStr">
        <is>
          <t>1</t>
        </is>
      </c>
      <c r="F1667" t="inlineStr">
        <is>
          <t>32</t>
        </is>
      </c>
      <c r="G1667" t="inlineStr">
        <is>
          <t>0</t>
        </is>
      </c>
      <c r="H1667" t="inlineStr">
        <is>
          <t>8</t>
        </is>
      </c>
      <c r="I1667" t="inlineStr">
        <is>
          <t>4¹, 12¹, 28¹, 84¹</t>
        </is>
      </c>
      <c r="J1667" t="n">
        <v>4</v>
      </c>
      <c r="K1667" t="inlineStr">
        <is>
          <t>1⁴, 2², 6², 12¹</t>
        </is>
      </c>
      <c r="L1667" t="inlineStr">
        <is>
          <t>28A⁰, 42E³</t>
        </is>
      </c>
      <c r="M1667" t="inlineStr">
        <is>
          <t>84K¹³, 84H²³, 252A²³</t>
        </is>
      </c>
      <c r="N1667" t="inlineStr">
        <is>
          <t>3B⁰, 2A⁰, 28A⁰, 21B¹, 7B⁰, 42E³, 6C⁰, 14B⁰, 1A⁰</t>
        </is>
      </c>
      <c r="O1667" t="inlineStr">
        <is>
          <t>84K¹³, 252A²³, 84H²³</t>
        </is>
      </c>
    </row>
    <row r="1668">
      <c r="A1668">
        <f>HYPERLINK("https://mathstats.uncg.edu/sites/pauli/congruence/csg7.html#group85A7", "85A⁷")</f>
        <v/>
      </c>
      <c r="B1668" t="n">
        <v>7</v>
      </c>
      <c r="C1668" t="inlineStr"/>
      <c r="D1668" t="inlineStr">
        <is>
          <t>90</t>
        </is>
      </c>
      <c r="E1668" t="inlineStr">
        <is>
          <t>1</t>
        </is>
      </c>
      <c r="F1668" t="inlineStr">
        <is>
          <t>90</t>
        </is>
      </c>
      <c r="G1668" t="inlineStr">
        <is>
          <t>2</t>
        </is>
      </c>
      <c r="H1668" t="inlineStr">
        <is>
          <t>0</t>
        </is>
      </c>
      <c r="I1668" t="inlineStr">
        <is>
          <t>5¹, 85¹</t>
        </is>
      </c>
      <c r="J1668" t="n">
        <v>2</v>
      </c>
      <c r="K1668" t="inlineStr">
        <is>
          <t>1², 4², 16¹, 64¹</t>
        </is>
      </c>
      <c r="L1668" t="inlineStr">
        <is>
          <t>5A⁰, 17A¹</t>
        </is>
      </c>
      <c r="M1668" t="inlineStr">
        <is>
          <t>85A¹³, 170A¹⁵, 170B¹⁵, 85A¹⁹, 170A²¹, 255A²¹, 255B²¹</t>
        </is>
      </c>
      <c r="N1668" t="inlineStr">
        <is>
          <t>17A¹, 1A⁰, 5A⁰</t>
        </is>
      </c>
      <c r="O1668" t="inlineStr">
        <is>
          <t>170A¹⁵, 170A²¹, 85A¹⁹, 85A¹³, 255B²¹, 170B¹⁵, 255A²¹</t>
        </is>
      </c>
    </row>
    <row r="1669">
      <c r="A1669">
        <f>HYPERLINK("https://mathstats.uncg.edu/sites/pauli/congruence/csg7.html#group85B7", "85B⁷")</f>
        <v/>
      </c>
      <c r="B1669" t="n">
        <v>7</v>
      </c>
      <c r="C1669" t="inlineStr">
        <is>
          <t>Γ₀(85)</t>
        </is>
      </c>
      <c r="D1669" t="inlineStr">
        <is>
          <t>108</t>
        </is>
      </c>
      <c r="E1669" t="inlineStr">
        <is>
          <t>1</t>
        </is>
      </c>
      <c r="F1669" t="inlineStr">
        <is>
          <t>108</t>
        </is>
      </c>
      <c r="G1669" t="inlineStr">
        <is>
          <t>4</t>
        </is>
      </c>
      <c r="H1669" t="inlineStr">
        <is>
          <t>0</t>
        </is>
      </c>
      <c r="I1669" t="inlineStr">
        <is>
          <t>1¹, 5¹, 17¹, 85¹</t>
        </is>
      </c>
      <c r="J1669" t="n">
        <v>4</v>
      </c>
      <c r="K1669" t="inlineStr">
        <is>
          <t>1⁴, 4², 16², 64¹</t>
        </is>
      </c>
      <c r="L1669" t="inlineStr">
        <is>
          <t>5B⁰, 17A¹</t>
        </is>
      </c>
      <c r="M1669" t="inlineStr">
        <is>
          <t>85C¹³, 85A¹⁵, 85B¹⁵, 170C¹⁵, 170D¹⁵, 170A¹⁷, 170B¹⁷, 170A²³, 255A²³</t>
        </is>
      </c>
      <c r="N1669" t="inlineStr">
        <is>
          <t>5B⁰, 1A⁰, 17A¹</t>
        </is>
      </c>
      <c r="O1669" t="inlineStr">
        <is>
          <t>170D¹⁵, 85A¹⁵, 170A¹⁷, 170B¹⁷, 170A²³, 170C¹⁵, 255A²³, 85B¹⁵, 85C¹³</t>
        </is>
      </c>
    </row>
    <row r="1670">
      <c r="A1670">
        <f>HYPERLINK("https://mathstats.uncg.edu/sites/pauli/congruence/csg7.html#group89A7", "89A⁷")</f>
        <v/>
      </c>
      <c r="B1670" t="n">
        <v>7</v>
      </c>
      <c r="C1670" t="inlineStr">
        <is>
          <t>Γ₀(89)</t>
        </is>
      </c>
      <c r="D1670" t="inlineStr">
        <is>
          <t>90</t>
        </is>
      </c>
      <c r="E1670" t="inlineStr">
        <is>
          <t>1</t>
        </is>
      </c>
      <c r="F1670" t="inlineStr">
        <is>
          <t>90</t>
        </is>
      </c>
      <c r="G1670" t="inlineStr">
        <is>
          <t>2</t>
        </is>
      </c>
      <c r="H1670" t="inlineStr">
        <is>
          <t>0</t>
        </is>
      </c>
      <c r="I1670" t="inlineStr">
        <is>
          <t>1¹, 89¹</t>
        </is>
      </c>
      <c r="J1670" t="n">
        <v>2</v>
      </c>
      <c r="K1670" t="inlineStr">
        <is>
          <t>1², 88¹</t>
        </is>
      </c>
      <c r="L1670" t="inlineStr">
        <is>
          <t>1A⁰</t>
        </is>
      </c>
      <c r="M1670" t="inlineStr">
        <is>
          <t>89A¹³, 178A¹⁵, 178B¹⁵, 178A²¹, 267A²¹</t>
        </is>
      </c>
      <c r="N1670" t="inlineStr">
        <is>
          <t>1A⁰</t>
        </is>
      </c>
      <c r="O1670" t="inlineStr">
        <is>
          <t>89A¹³, 178A²¹, 178A¹⁵, 267A²¹, 178B¹⁵</t>
        </is>
      </c>
    </row>
    <row r="1671">
      <c r="A1671">
        <f>HYPERLINK("https://mathstats.uncg.edu/sites/pauli/congruence/csg7.html#group90A7", "90A⁷")</f>
        <v/>
      </c>
      <c r="B1671" t="n">
        <v>7</v>
      </c>
      <c r="C1671" t="inlineStr"/>
      <c r="D1671" t="inlineStr">
        <is>
          <t>90</t>
        </is>
      </c>
      <c r="E1671" t="inlineStr">
        <is>
          <t>1</t>
        </is>
      </c>
      <c r="F1671" t="inlineStr">
        <is>
          <t>45</t>
        </is>
      </c>
      <c r="G1671" t="inlineStr">
        <is>
          <t>4</t>
        </is>
      </c>
      <c r="H1671" t="inlineStr">
        <is>
          <t>0</t>
        </is>
      </c>
      <c r="I1671" t="inlineStr">
        <is>
          <t>90¹</t>
        </is>
      </c>
      <c r="J1671" t="n">
        <v>1</v>
      </c>
      <c r="K1671" t="inlineStr">
        <is>
          <t>1¹, 2¹, 4¹, 6¹, 8¹, 24¹</t>
        </is>
      </c>
      <c r="L1671" t="inlineStr">
        <is>
          <t>18A¹, 30A², 45A³</t>
        </is>
      </c>
      <c r="M1671" t="inlineStr">
        <is>
          <t>90D¹⁴, 90A¹⁵, 90D¹⁹, 90C²⁰, 90A²¹</t>
        </is>
      </c>
      <c r="N1671" t="inlineStr">
        <is>
          <t>5A⁰, 30A², 6B⁰, 9A⁰, 3A⁰, 1A⁰, 18A¹, 15A¹, 45A³</t>
        </is>
      </c>
      <c r="O1671" t="inlineStr">
        <is>
          <t>90A¹⁵, 90D¹⁹, 90A²¹, 90D¹⁴, 90C²⁰</t>
        </is>
      </c>
    </row>
    <row r="1672">
      <c r="A1672">
        <f>HYPERLINK("https://mathstats.uncg.edu/sites/pauli/congruence/csg7.html#group90B7", "90B⁷")</f>
        <v/>
      </c>
      <c r="B1672" t="n">
        <v>7</v>
      </c>
      <c r="C1672" t="inlineStr"/>
      <c r="D1672" t="inlineStr">
        <is>
          <t>90</t>
        </is>
      </c>
      <c r="E1672" t="inlineStr">
        <is>
          <t>1</t>
        </is>
      </c>
      <c r="F1672" t="inlineStr">
        <is>
          <t>90</t>
        </is>
      </c>
      <c r="G1672" t="inlineStr">
        <is>
          <t>4</t>
        </is>
      </c>
      <c r="H1672" t="inlineStr">
        <is>
          <t>0</t>
        </is>
      </c>
      <c r="I1672" t="inlineStr">
        <is>
          <t>90¹</t>
        </is>
      </c>
      <c r="J1672" t="n">
        <v>1</v>
      </c>
      <c r="K1672" t="inlineStr">
        <is>
          <t>2³, 6², 8³, 24²</t>
        </is>
      </c>
      <c r="L1672" t="inlineStr">
        <is>
          <t>18B¹, 30A²</t>
        </is>
      </c>
      <c r="M1672" t="inlineStr">
        <is>
          <t>90H¹⁴, 90C¹⁵, 90E¹⁹, 90E²⁰, 90A²¹</t>
        </is>
      </c>
      <c r="N1672" t="inlineStr">
        <is>
          <t>5A⁰, 30A², 6B⁰, 18B¹, 3A⁰, 1A⁰, 15A¹</t>
        </is>
      </c>
      <c r="O1672" t="inlineStr">
        <is>
          <t>90E²⁰, 90A²¹, 90C¹⁵, 90H¹⁴, 90E¹⁹</t>
        </is>
      </c>
    </row>
    <row r="1673">
      <c r="A1673">
        <f>HYPERLINK("https://mathstats.uncg.edu/sites/pauli/congruence/csg7.html#group90C7", "90C⁷")</f>
        <v/>
      </c>
      <c r="B1673" t="n">
        <v>7</v>
      </c>
      <c r="C1673" t="inlineStr"/>
      <c r="D1673" t="inlineStr">
        <is>
          <t>108</t>
        </is>
      </c>
      <c r="E1673" t="inlineStr">
        <is>
          <t>1</t>
        </is>
      </c>
      <c r="F1673" t="inlineStr">
        <is>
          <t>54</t>
        </is>
      </c>
      <c r="G1673" t="inlineStr">
        <is>
          <t>8</t>
        </is>
      </c>
      <c r="H1673" t="inlineStr">
        <is>
          <t>0</t>
        </is>
      </c>
      <c r="I1673" t="inlineStr">
        <is>
          <t>18¹, 90¹</t>
        </is>
      </c>
      <c r="J1673" t="n">
        <v>2</v>
      </c>
      <c r="K1673" t="inlineStr">
        <is>
          <t>1², 2², 4¹, 6², 8¹, 24¹</t>
        </is>
      </c>
      <c r="L1673" t="inlineStr">
        <is>
          <t>18A¹, 30C¹, 45A²</t>
        </is>
      </c>
      <c r="M1673" t="inlineStr">
        <is>
          <t>90E¹³, 90L¹⁵, 90N¹⁵, 90B¹⁷, 90F¹⁷, 90J²¹, 90A²³</t>
        </is>
      </c>
      <c r="N1673" t="inlineStr">
        <is>
          <t>45A², 15B⁰, 6B⁰, 9A⁰, 5B⁰, 3A⁰, 1A⁰, 18A¹, 30C¹</t>
        </is>
      </c>
      <c r="O1673" t="inlineStr">
        <is>
          <t>90E¹³, 90J²¹, 90N¹⁵, 90B¹⁷, 90A²³, 90F¹⁷, 90L¹⁵</t>
        </is>
      </c>
    </row>
    <row r="1674">
      <c r="A1674">
        <f>HYPERLINK("https://mathstats.uncg.edu/sites/pauli/congruence/csg7.html#group90D7", "90D⁷")</f>
        <v/>
      </c>
      <c r="B1674" t="n">
        <v>7</v>
      </c>
      <c r="C1674" t="inlineStr"/>
      <c r="D1674" t="inlineStr">
        <is>
          <t>108</t>
        </is>
      </c>
      <c r="E1674" t="inlineStr">
        <is>
          <t>1</t>
        </is>
      </c>
      <c r="F1674" t="inlineStr">
        <is>
          <t>108</t>
        </is>
      </c>
      <c r="G1674" t="inlineStr">
        <is>
          <t>8</t>
        </is>
      </c>
      <c r="H1674" t="inlineStr">
        <is>
          <t>0</t>
        </is>
      </c>
      <c r="I1674" t="inlineStr">
        <is>
          <t>18¹, 90¹</t>
        </is>
      </c>
      <c r="J1674" t="n">
        <v>2</v>
      </c>
      <c r="K1674" t="inlineStr">
        <is>
          <t>2⁶, 6⁴, 8³, 24²</t>
        </is>
      </c>
      <c r="L1674" t="inlineStr">
        <is>
          <t>18B¹, 30C¹</t>
        </is>
      </c>
      <c r="M1674" t="inlineStr">
        <is>
          <t>90H¹³, 90O¹⁵, 90P¹⁵, 90C¹⁷, 90G¹⁷, 90L²¹, 90A²³</t>
        </is>
      </c>
      <c r="N1674" t="inlineStr">
        <is>
          <t>15B⁰, 6B⁰, 5B⁰, 18B¹, 3A⁰, 1A⁰, 30C¹</t>
        </is>
      </c>
      <c r="O1674" t="inlineStr">
        <is>
          <t>90H¹³, 90G¹⁷, 90L²¹, 90A²³, 90O¹⁵, 90C¹⁷, 90P¹⁵</t>
        </is>
      </c>
    </row>
    <row r="1675">
      <c r="A1675">
        <f>HYPERLINK("https://mathstats.uncg.edu/sites/pauli/congruence/csg7.html#group90E7", "90E⁷")</f>
        <v/>
      </c>
      <c r="B1675" t="n">
        <v>7</v>
      </c>
      <c r="C1675" t="inlineStr"/>
      <c r="D1675" t="inlineStr">
        <is>
          <t>120</t>
        </is>
      </c>
      <c r="E1675" t="inlineStr">
        <is>
          <t>1</t>
        </is>
      </c>
      <c r="F1675" t="inlineStr">
        <is>
          <t>40</t>
        </is>
      </c>
      <c r="G1675" t="inlineStr">
        <is>
          <t>0</t>
        </is>
      </c>
      <c r="H1675" t="inlineStr">
        <is>
          <t>6</t>
        </is>
      </c>
      <c r="I1675" t="inlineStr">
        <is>
          <t>10³, 90¹</t>
        </is>
      </c>
      <c r="J1675" t="n">
        <v>4</v>
      </c>
      <c r="K1675" t="inlineStr">
        <is>
          <t>2⁴, 8⁴</t>
        </is>
      </c>
      <c r="L1675" t="inlineStr">
        <is>
          <t>18C⁰, 30D²</t>
        </is>
      </c>
      <c r="M1675" t="inlineStr">
        <is>
          <t>180A¹⁵, 90I²², 90L²²</t>
        </is>
      </c>
      <c r="N1675" t="inlineStr">
        <is>
          <t>18C⁰, 3B⁰, 2A⁰, 5A⁰, 10A⁰, 6C⁰, 30D², 15B¹, 1A⁰</t>
        </is>
      </c>
      <c r="O1675" t="inlineStr">
        <is>
          <t>90I²², 90L²², 180A¹⁵</t>
        </is>
      </c>
    </row>
    <row r="1676">
      <c r="A1676">
        <f>HYPERLINK("https://mathstats.uncg.edu/sites/pauli/congruence/csg7.html#group90F7", "90F⁷")</f>
        <v/>
      </c>
      <c r="B1676" t="n">
        <v>7</v>
      </c>
      <c r="C1676" t="inlineStr"/>
      <c r="D1676" t="inlineStr">
        <is>
          <t>120</t>
        </is>
      </c>
      <c r="E1676" t="inlineStr">
        <is>
          <t>2</t>
        </is>
      </c>
      <c r="F1676" t="inlineStr">
        <is>
          <t>20</t>
        </is>
      </c>
      <c r="G1676" t="inlineStr">
        <is>
          <t>0</t>
        </is>
      </c>
      <c r="H1676" t="inlineStr">
        <is>
          <t>6</t>
        </is>
      </c>
      <c r="I1676" t="inlineStr">
        <is>
          <t>10³, 90¹</t>
        </is>
      </c>
      <c r="J1676" t="n">
        <v>4</v>
      </c>
      <c r="K1676" t="inlineStr">
        <is>
          <t>2², 4¹, 8⁴</t>
        </is>
      </c>
      <c r="L1676" t="inlineStr">
        <is>
          <t>30D², 45C³</t>
        </is>
      </c>
      <c r="M1676" t="inlineStr">
        <is>
          <t>180B¹⁵, 90K²², 90L²²</t>
        </is>
      </c>
      <c r="N1676" t="inlineStr">
        <is>
          <t>3B⁰, 2A⁰, 45C³, 5A⁰, 10A⁰, 30D², 6C⁰, 15B¹, 1A⁰</t>
        </is>
      </c>
      <c r="O1676" t="inlineStr">
        <is>
          <t>90L²², 90K²², 180B¹⁵</t>
        </is>
      </c>
    </row>
    <row r="1677">
      <c r="A1677">
        <f>HYPERLINK("https://mathstats.uncg.edu/sites/pauli/congruence/csg7.html#group91A7", "91A⁷")</f>
        <v/>
      </c>
      <c r="B1677" t="n">
        <v>7</v>
      </c>
      <c r="C1677" t="inlineStr">
        <is>
          <t>Γ₀(91)</t>
        </is>
      </c>
      <c r="D1677" t="inlineStr">
        <is>
          <t>112</t>
        </is>
      </c>
      <c r="E1677" t="inlineStr">
        <is>
          <t>1</t>
        </is>
      </c>
      <c r="F1677" t="inlineStr">
        <is>
          <t>112</t>
        </is>
      </c>
      <c r="G1677" t="inlineStr">
        <is>
          <t>0</t>
        </is>
      </c>
      <c r="H1677" t="inlineStr">
        <is>
          <t>4</t>
        </is>
      </c>
      <c r="I1677" t="inlineStr">
        <is>
          <t>1¹, 7¹, 13¹, 91¹</t>
        </is>
      </c>
      <c r="J1677" t="n">
        <v>4</v>
      </c>
      <c r="K1677" t="inlineStr">
        <is>
          <t>1⁴, 6², 12², 72¹</t>
        </is>
      </c>
      <c r="L1677" t="inlineStr">
        <is>
          <t>7B⁰, 13A⁰</t>
        </is>
      </c>
      <c r="M1677" t="inlineStr">
        <is>
          <t>91B¹³, 182B¹⁵, 182C¹⁵, 91A²¹, 91B²¹, 91A²³, 91B²³</t>
        </is>
      </c>
      <c r="N1677" t="inlineStr">
        <is>
          <t>13A⁰, 1A⁰, 7B⁰</t>
        </is>
      </c>
      <c r="O1677" t="inlineStr">
        <is>
          <t>91B²³, 182B¹⁵, 91A²¹, 182C¹⁵, 91A²³, 91B²¹, 91B¹³</t>
        </is>
      </c>
    </row>
    <row r="1678">
      <c r="A1678">
        <f>HYPERLINK("https://mathstats.uncg.edu/sites/pauli/congruence/csg7.html#group93A7", "93A⁷")</f>
        <v/>
      </c>
      <c r="B1678" t="n">
        <v>7</v>
      </c>
      <c r="C1678" t="inlineStr"/>
      <c r="D1678" t="inlineStr">
        <is>
          <t>96</t>
        </is>
      </c>
      <c r="E1678" t="inlineStr">
        <is>
          <t>2</t>
        </is>
      </c>
      <c r="F1678" t="inlineStr">
        <is>
          <t>32</t>
        </is>
      </c>
      <c r="G1678" t="inlineStr">
        <is>
          <t>0</t>
        </is>
      </c>
      <c r="H1678" t="inlineStr">
        <is>
          <t>3</t>
        </is>
      </c>
      <c r="I1678" t="inlineStr">
        <is>
          <t>3¹, 93¹</t>
        </is>
      </c>
      <c r="J1678" t="n">
        <v>2</v>
      </c>
      <c r="K1678" t="inlineStr">
        <is>
          <t>2², 60¹</t>
        </is>
      </c>
      <c r="L1678" t="inlineStr">
        <is>
          <t>31A²</t>
        </is>
      </c>
      <c r="M1678" t="inlineStr">
        <is>
          <t>186B¹⁴, 93A²², 186B²³</t>
        </is>
      </c>
      <c r="N1678" t="inlineStr">
        <is>
          <t>31A², 1A⁰</t>
        </is>
      </c>
      <c r="O1678" t="inlineStr">
        <is>
          <t>186B¹⁴, 93A²², 186B²³</t>
        </is>
      </c>
    </row>
    <row r="1679">
      <c r="A1679">
        <f>HYPERLINK("https://mathstats.uncg.edu/sites/pauli/congruence/csg7.html#group95A7", "95A⁷")</f>
        <v/>
      </c>
      <c r="B1679" t="n">
        <v>7</v>
      </c>
      <c r="C1679" t="inlineStr"/>
      <c r="D1679" t="inlineStr">
        <is>
          <t>100</t>
        </is>
      </c>
      <c r="E1679" t="inlineStr">
        <is>
          <t>1</t>
        </is>
      </c>
      <c r="F1679" t="inlineStr">
        <is>
          <t>100</t>
        </is>
      </c>
      <c r="G1679" t="inlineStr">
        <is>
          <t>0</t>
        </is>
      </c>
      <c r="H1679" t="inlineStr">
        <is>
          <t>4</t>
        </is>
      </c>
      <c r="I1679" t="inlineStr">
        <is>
          <t>5¹, 95¹</t>
        </is>
      </c>
      <c r="J1679" t="n">
        <v>2</v>
      </c>
      <c r="K1679" t="inlineStr">
        <is>
          <t>1², 4², 18¹, 72¹</t>
        </is>
      </c>
      <c r="L1679" t="inlineStr">
        <is>
          <t>5A⁰, 19A¹</t>
        </is>
      </c>
      <c r="M1679" t="inlineStr">
        <is>
          <t>190A¹⁴, 95A¹⁹, 95A²³, 95B²³, 95C²³, 285A²³, 285B²³, 285C²³, 190A²⁴</t>
        </is>
      </c>
      <c r="N1679" t="inlineStr">
        <is>
          <t>19A¹, 1A⁰, 5A⁰</t>
        </is>
      </c>
      <c r="O1679" t="inlineStr">
        <is>
          <t>285B²³, 285C²³, 95A²³, 285A²³, 190A²⁴, 95C²³, 190A¹⁴, 95B²³, 95A¹⁹</t>
        </is>
      </c>
    </row>
    <row r="1680">
      <c r="A1680">
        <f>HYPERLINK("https://mathstats.uncg.edu/sites/pauli/congruence/csg7.html#group96A7", "96A⁷")</f>
        <v/>
      </c>
      <c r="B1680" t="n">
        <v>7</v>
      </c>
      <c r="C1680" t="inlineStr"/>
      <c r="D1680" t="inlineStr">
        <is>
          <t>144</t>
        </is>
      </c>
      <c r="E1680" t="inlineStr">
        <is>
          <t>1</t>
        </is>
      </c>
      <c r="F1680" t="inlineStr">
        <is>
          <t>36</t>
        </is>
      </c>
      <c r="G1680" t="inlineStr">
        <is>
          <t>20</t>
        </is>
      </c>
      <c r="H1680" t="inlineStr">
        <is>
          <t>0</t>
        </is>
      </c>
      <c r="I1680" t="inlineStr">
        <is>
          <t>48¹, 96¹</t>
        </is>
      </c>
      <c r="J1680" t="n">
        <v>2</v>
      </c>
      <c r="K1680" t="inlineStr">
        <is>
          <t>2⁶, 4⁶</t>
        </is>
      </c>
      <c r="L1680" t="inlineStr">
        <is>
          <t>48A⁰</t>
        </is>
      </c>
      <c r="M1680" t="inlineStr">
        <is>
          <t>96R¹⁵, 96V¹⁵, 96W¹⁵, 96Q¹⁷, 96R¹⁷, 96AD¹⁷, 96AE¹⁷, 96AF¹⁷, 96AG¹⁷, 96J¹⁹, 96T¹⁹, 96U¹⁹, 96W¹⁹, 96X¹⁹, 96Y¹⁹, 96Y²¹, 96Z²¹, 96AT²¹, 96P²³</t>
        </is>
      </c>
      <c r="N1680" t="inlineStr">
        <is>
          <t>16B⁰, 12C⁰, 24A⁰, 4C⁰, 8B⁰, 48A⁰, 2B⁰, 3A⁰, 1A⁰, 6D⁰</t>
        </is>
      </c>
      <c r="O1680" t="inlineStr">
        <is>
          <t>96R¹⁵, 96Y²¹, 96V¹⁵, 96R¹⁷, 96J¹⁹, 96Z²¹, 96Y¹⁹, 96AT²¹, 96Q¹⁷, 96X¹⁹, 96U¹⁹, 96AG¹⁷, 96P²³, 96T¹⁹, 96W¹⁹, 96AD¹⁷, 96AE¹⁷, 96W¹⁵, 96AF¹⁷</t>
        </is>
      </c>
    </row>
    <row r="1681">
      <c r="A1681">
        <f>HYPERLINK("https://mathstats.uncg.edu/sites/pauli/congruence/csg7.html#group96B7", "96B⁷")</f>
        <v/>
      </c>
      <c r="B1681" t="n">
        <v>7</v>
      </c>
      <c r="C1681" t="inlineStr"/>
      <c r="D1681" t="inlineStr">
        <is>
          <t>192</t>
        </is>
      </c>
      <c r="E1681" t="inlineStr">
        <is>
          <t>1</t>
        </is>
      </c>
      <c r="F1681" t="inlineStr">
        <is>
          <t>24</t>
        </is>
      </c>
      <c r="G1681" t="inlineStr">
        <is>
          <t>0</t>
        </is>
      </c>
      <c r="H1681" t="inlineStr">
        <is>
          <t>0</t>
        </is>
      </c>
      <c r="I1681" t="inlineStr">
        <is>
          <t>1⁸, 3⁸, 8¹, 24¹, 32¹, 96¹</t>
        </is>
      </c>
      <c r="J1681" t="n">
        <v>20</v>
      </c>
      <c r="K1681" t="inlineStr">
        <is>
          <t>1⁸, 2⁶, 4¹</t>
        </is>
      </c>
      <c r="L1681" t="inlineStr">
        <is>
          <t>48J³</t>
        </is>
      </c>
      <c r="M1681" t="inlineStr">
        <is>
          <t>96I¹³, 96AI¹⁷, 96AK¹⁷, 96BD²¹, 96BC²¹</t>
        </is>
      </c>
      <c r="N1681" t="inlineStr">
        <is>
          <t>3B⁰, 48J³, 16C⁰, 24G¹, 1A⁰, 8C⁰, 2B⁰, 4B⁰, 6F⁰, 12E⁰</t>
        </is>
      </c>
      <c r="O1681" t="inlineStr">
        <is>
          <t>96AK¹⁷, 96I¹³, 96AI¹⁷, 96BD²¹, 96BC²¹</t>
        </is>
      </c>
    </row>
    <row r="1682">
      <c r="A1682">
        <f>HYPERLINK("https://mathstats.uncg.edu/sites/pauli/congruence/csg7.html#group96C7", "96C⁷")</f>
        <v/>
      </c>
      <c r="B1682" t="n">
        <v>7</v>
      </c>
      <c r="C1682" t="inlineStr"/>
      <c r="D1682" t="inlineStr">
        <is>
          <t>192</t>
        </is>
      </c>
      <c r="E1682" t="inlineStr">
        <is>
          <t>1</t>
        </is>
      </c>
      <c r="F1682" t="inlineStr">
        <is>
          <t>24</t>
        </is>
      </c>
      <c r="G1682" t="inlineStr">
        <is>
          <t>0</t>
        </is>
      </c>
      <c r="H1682" t="inlineStr">
        <is>
          <t>0</t>
        </is>
      </c>
      <c r="I1682" t="inlineStr">
        <is>
          <t>1⁸, 3⁸, 8¹, 24¹, 32¹, 96¹</t>
        </is>
      </c>
      <c r="J1682" t="n">
        <v>20</v>
      </c>
      <c r="K1682" t="inlineStr">
        <is>
          <t>1⁸, 2⁶, 4¹</t>
        </is>
      </c>
      <c r="L1682" t="inlineStr">
        <is>
          <t>32A⁰, 48J³</t>
        </is>
      </c>
      <c r="M1682" t="inlineStr">
        <is>
          <t>96I¹³, 96AJ¹⁷, 96AL¹⁷, 192E¹⁹, 192F¹⁹, 96BE²¹, 96BF²¹</t>
        </is>
      </c>
      <c r="N1682" t="inlineStr">
        <is>
          <t>3B⁰, 48J³, 16C⁰, 24G¹, 32A⁰, 1A⁰, 8C⁰, 2B⁰, 4B⁰, 6F⁰, 12E⁰</t>
        </is>
      </c>
      <c r="O1682" t="inlineStr">
        <is>
          <t>96BE²¹, 192E¹⁹, 96AL¹⁷, 96I¹³, 96AJ¹⁷, 192F¹⁹, 96BF²¹</t>
        </is>
      </c>
    </row>
    <row r="1683">
      <c r="A1683">
        <f>HYPERLINK("https://mathstats.uncg.edu/sites/pauli/congruence/csg7.html#group97A7", "97A⁷")</f>
        <v/>
      </c>
      <c r="B1683" t="n">
        <v>7</v>
      </c>
      <c r="C1683" t="inlineStr">
        <is>
          <t>Γ₀(97)</t>
        </is>
      </c>
      <c r="D1683" t="inlineStr">
        <is>
          <t>98</t>
        </is>
      </c>
      <c r="E1683" t="inlineStr">
        <is>
          <t>1</t>
        </is>
      </c>
      <c r="F1683" t="inlineStr">
        <is>
          <t>98</t>
        </is>
      </c>
      <c r="G1683" t="inlineStr">
        <is>
          <t>2</t>
        </is>
      </c>
      <c r="H1683" t="inlineStr">
        <is>
          <t>2</t>
        </is>
      </c>
      <c r="I1683" t="inlineStr">
        <is>
          <t>1¹, 97¹</t>
        </is>
      </c>
      <c r="J1683" t="n">
        <v>2</v>
      </c>
      <c r="K1683" t="inlineStr">
        <is>
          <t>1², 96¹</t>
        </is>
      </c>
      <c r="L1683" t="inlineStr">
        <is>
          <t>1A⁰</t>
        </is>
      </c>
      <c r="M1683" t="inlineStr">
        <is>
          <t>97A¹³, 194A¹⁵, 194B¹⁵, 97A²¹, 291A²², 194A²³, 291A²³</t>
        </is>
      </c>
      <c r="N1683" t="inlineStr">
        <is>
          <t>1A⁰</t>
        </is>
      </c>
      <c r="O1683" t="inlineStr">
        <is>
          <t>97A¹³, 194A¹⁵, 194B¹⁵, 194A²³, 291A²², 97A²¹, 291A²³</t>
        </is>
      </c>
    </row>
    <row r="1684">
      <c r="A1684">
        <f>HYPERLINK("https://mathstats.uncg.edu/sites/pauli/congruence/csg7.html#group98A7", "98A⁷")</f>
        <v/>
      </c>
      <c r="B1684" t="n">
        <v>7</v>
      </c>
      <c r="C1684" t="inlineStr">
        <is>
          <t>Γ₀(98)</t>
        </is>
      </c>
      <c r="D1684" t="inlineStr">
        <is>
          <t>168</t>
        </is>
      </c>
      <c r="E1684" t="inlineStr">
        <is>
          <t>1</t>
        </is>
      </c>
      <c r="F1684" t="inlineStr">
        <is>
          <t>168</t>
        </is>
      </c>
      <c r="G1684" t="inlineStr">
        <is>
          <t>0</t>
        </is>
      </c>
      <c r="H1684" t="inlineStr">
        <is>
          <t>0</t>
        </is>
      </c>
      <c r="I1684" t="inlineStr">
        <is>
          <t>1⁷, 2⁷, 49¹, 98¹</t>
        </is>
      </c>
      <c r="J1684" t="n">
        <v>16</v>
      </c>
      <c r="K1684" t="inlineStr">
        <is>
          <t>1⁶, 6⁶, 42³</t>
        </is>
      </c>
      <c r="L1684" t="inlineStr">
        <is>
          <t>14C¹, 49A¹</t>
        </is>
      </c>
      <c r="M1684" t="inlineStr">
        <is>
          <t>98B¹⁷, 196A¹⁷, 98A¹⁹, 196A²¹</t>
        </is>
      </c>
      <c r="N1684" t="inlineStr">
        <is>
          <t>49A¹, 2B⁰, 1A⁰, 7B⁰, 14C¹</t>
        </is>
      </c>
      <c r="O1684" t="inlineStr">
        <is>
          <t>98B¹⁷, 196A²¹, 98A¹⁹, 196A¹⁷</t>
        </is>
      </c>
    </row>
    <row r="1685">
      <c r="A1685">
        <f>HYPERLINK("https://mathstats.uncg.edu/sites/pauli/congruence/csg7.html#group100A7", "100A⁷")</f>
        <v/>
      </c>
      <c r="B1685" t="n">
        <v>7</v>
      </c>
      <c r="C1685" t="inlineStr"/>
      <c r="D1685" t="inlineStr">
        <is>
          <t>120</t>
        </is>
      </c>
      <c r="E1685" t="inlineStr">
        <is>
          <t>1</t>
        </is>
      </c>
      <c r="F1685" t="inlineStr">
        <is>
          <t>120</t>
        </is>
      </c>
      <c r="G1685" t="inlineStr">
        <is>
          <t>4</t>
        </is>
      </c>
      <c r="H1685" t="inlineStr">
        <is>
          <t>0</t>
        </is>
      </c>
      <c r="I1685" t="inlineStr">
        <is>
          <t>4⁵, 100¹</t>
        </is>
      </c>
      <c r="J1685" t="n">
        <v>6</v>
      </c>
      <c r="K1685" t="inlineStr">
        <is>
          <t>2⁴, 8⁴, 40²</t>
        </is>
      </c>
      <c r="L1685" t="inlineStr">
        <is>
          <t>25A⁰, 20B¹</t>
        </is>
      </c>
      <c r="M1685" t="inlineStr">
        <is>
          <t>100I¹³, 100B¹⁵, 100C¹⁵, 200B¹⁷, 200A¹⁷, 100B²¹</t>
        </is>
      </c>
      <c r="N1685" t="inlineStr">
        <is>
          <t>25A⁰, 5B⁰, 1A⁰, 4A⁰, 20B¹</t>
        </is>
      </c>
      <c r="O1685" t="inlineStr">
        <is>
          <t>100B¹⁵, 100B²¹, 100I¹³, 100C¹⁵, 200A¹⁷, 200B¹⁷</t>
        </is>
      </c>
    </row>
    <row r="1686">
      <c r="A1686">
        <f>HYPERLINK("https://mathstats.uncg.edu/sites/pauli/congruence/csg7.html#group100B7", "100B⁷")</f>
        <v/>
      </c>
      <c r="B1686" t="n">
        <v>7</v>
      </c>
      <c r="C1686" t="inlineStr"/>
      <c r="D1686" t="inlineStr">
        <is>
          <t>120</t>
        </is>
      </c>
      <c r="E1686" t="inlineStr">
        <is>
          <t>2</t>
        </is>
      </c>
      <c r="F1686" t="inlineStr">
        <is>
          <t>30</t>
        </is>
      </c>
      <c r="G1686" t="inlineStr">
        <is>
          <t>4</t>
        </is>
      </c>
      <c r="H1686" t="inlineStr">
        <is>
          <t>0</t>
        </is>
      </c>
      <c r="I1686" t="inlineStr">
        <is>
          <t>4⁵, 100¹</t>
        </is>
      </c>
      <c r="J1686" t="n">
        <v>6</v>
      </c>
      <c r="K1686" t="inlineStr">
        <is>
          <t>2², 8², 40¹</t>
        </is>
      </c>
      <c r="L1686" t="inlineStr">
        <is>
          <t>20C¹, 50A²</t>
        </is>
      </c>
      <c r="M1686" t="inlineStr">
        <is>
          <t>100A¹⁵, 100C²¹</t>
        </is>
      </c>
      <c r="N1686" t="inlineStr">
        <is>
          <t>5B⁰, 25A⁰, 20C¹, 1A⁰, 50A², 10B⁰</t>
        </is>
      </c>
      <c r="O1686" t="inlineStr">
        <is>
          <t>100C²¹, 100A¹⁵</t>
        </is>
      </c>
    </row>
    <row r="1687">
      <c r="A1687">
        <f>HYPERLINK("https://mathstats.uncg.edu/sites/pauli/congruence/csg7.html#group100C7", "100C⁷")</f>
        <v/>
      </c>
      <c r="B1687" t="n">
        <v>7</v>
      </c>
      <c r="C1687" t="inlineStr">
        <is>
          <t>Γ₀(100)</t>
        </is>
      </c>
      <c r="D1687" t="inlineStr">
        <is>
          <t>180</t>
        </is>
      </c>
      <c r="E1687" t="inlineStr">
        <is>
          <t>1</t>
        </is>
      </c>
      <c r="F1687" t="inlineStr">
        <is>
          <t>90</t>
        </is>
      </c>
      <c r="G1687" t="inlineStr">
        <is>
          <t>0</t>
        </is>
      </c>
      <c r="H1687" t="inlineStr">
        <is>
          <t>0</t>
        </is>
      </c>
      <c r="I1687" t="inlineStr">
        <is>
          <t>1¹⁰, 4⁵, 25², 100¹</t>
        </is>
      </c>
      <c r="J1687" t="n">
        <v>18</v>
      </c>
      <c r="K1687" t="inlineStr">
        <is>
          <t>1⁶, 4⁶, 20³</t>
        </is>
      </c>
      <c r="L1687" t="inlineStr">
        <is>
          <t>20D¹, 50B²</t>
        </is>
      </c>
      <c r="M1687" t="inlineStr">
        <is>
          <t>100J¹³, 100O¹⁹, 100Q¹⁹, 200J¹⁹, 200I¹⁹</t>
        </is>
      </c>
      <c r="N1687" t="inlineStr">
        <is>
          <t>25A⁰, 10C⁰, 5B⁰, 20D¹, 2B⁰, 4B⁰, 50B², 1A⁰</t>
        </is>
      </c>
      <c r="O1687" t="inlineStr">
        <is>
          <t>100O¹⁹, 200I¹⁹, 200J¹⁹, 100Q¹⁹, 100J¹³</t>
        </is>
      </c>
    </row>
    <row r="1688">
      <c r="A1688">
        <f>HYPERLINK("https://mathstats.uncg.edu/sites/pauli/congruence/csg7.html#group102A7", "102A⁷")</f>
        <v/>
      </c>
      <c r="B1688" t="n">
        <v>7</v>
      </c>
      <c r="C1688" t="inlineStr"/>
      <c r="D1688" t="inlineStr">
        <is>
          <t>108</t>
        </is>
      </c>
      <c r="E1688" t="inlineStr">
        <is>
          <t>1</t>
        </is>
      </c>
      <c r="F1688" t="inlineStr">
        <is>
          <t>54</t>
        </is>
      </c>
      <c r="G1688" t="inlineStr">
        <is>
          <t>8</t>
        </is>
      </c>
      <c r="H1688" t="inlineStr">
        <is>
          <t>0</t>
        </is>
      </c>
      <c r="I1688" t="inlineStr">
        <is>
          <t>6¹, 102¹</t>
        </is>
      </c>
      <c r="J1688" t="n">
        <v>2</v>
      </c>
      <c r="K1688" t="inlineStr">
        <is>
          <t>1², 2², 16¹, 32¹</t>
        </is>
      </c>
      <c r="L1688" t="inlineStr">
        <is>
          <t>51A³</t>
        </is>
      </c>
      <c r="M1688" t="inlineStr">
        <is>
          <t>102B¹³, 102A¹⁵, 102D¹⁵, 102F¹⁷, 102D¹⁷, 102C²³, 306A²³</t>
        </is>
      </c>
      <c r="N1688" t="inlineStr">
        <is>
          <t>3A⁰, 17A¹, 51A³, 1A⁰</t>
        </is>
      </c>
      <c r="O1688" t="inlineStr">
        <is>
          <t>102D¹⁵, 306A²³, 102B¹³, 102C²³, 102D¹⁷, 102A¹⁵, 102F¹⁷</t>
        </is>
      </c>
    </row>
    <row r="1689">
      <c r="A1689">
        <f>HYPERLINK("https://mathstats.uncg.edu/sites/pauli/congruence/csg7.html#group102B7", "102B⁷")</f>
        <v/>
      </c>
      <c r="B1689" t="n">
        <v>7</v>
      </c>
      <c r="C1689" t="inlineStr"/>
      <c r="D1689" t="inlineStr">
        <is>
          <t>108</t>
        </is>
      </c>
      <c r="E1689" t="inlineStr">
        <is>
          <t>1</t>
        </is>
      </c>
      <c r="F1689" t="inlineStr">
        <is>
          <t>54</t>
        </is>
      </c>
      <c r="G1689" t="inlineStr">
        <is>
          <t>8</t>
        </is>
      </c>
      <c r="H1689" t="inlineStr">
        <is>
          <t>0</t>
        </is>
      </c>
      <c r="I1689" t="inlineStr">
        <is>
          <t>6¹, 102¹</t>
        </is>
      </c>
      <c r="J1689" t="n">
        <v>2</v>
      </c>
      <c r="K1689" t="inlineStr">
        <is>
          <t>1², 2², 16¹, 32¹</t>
        </is>
      </c>
      <c r="L1689" t="inlineStr">
        <is>
          <t>6B⁰, 51A³</t>
        </is>
      </c>
      <c r="M1689" t="inlineStr">
        <is>
          <t>102B¹³, 102B¹⁵, 102D¹⁵, 102E¹⁷, 102G¹⁷, 102D²³, 306B²³</t>
        </is>
      </c>
      <c r="N1689" t="inlineStr">
        <is>
          <t>1A⁰, 17A¹, 6B⁰, 3A⁰, 51A³</t>
        </is>
      </c>
      <c r="O1689" t="inlineStr">
        <is>
          <t>102D¹⁵, 102G¹⁷, 102B¹³, 102D²³, 306B²³, 102B¹⁵, 102E¹⁷</t>
        </is>
      </c>
    </row>
    <row r="1690">
      <c r="A1690">
        <f>HYPERLINK("https://mathstats.uncg.edu/sites/pauli/congruence/csg7.html#group104A7", "104A⁷")</f>
        <v/>
      </c>
      <c r="B1690" t="n">
        <v>7</v>
      </c>
      <c r="C1690" t="inlineStr"/>
      <c r="D1690" t="inlineStr">
        <is>
          <t>112</t>
        </is>
      </c>
      <c r="E1690" t="inlineStr">
        <is>
          <t>2</t>
        </is>
      </c>
      <c r="F1690" t="inlineStr">
        <is>
          <t>56</t>
        </is>
      </c>
      <c r="G1690" t="inlineStr">
        <is>
          <t>4</t>
        </is>
      </c>
      <c r="H1690" t="inlineStr">
        <is>
          <t>4</t>
        </is>
      </c>
      <c r="I1690" t="inlineStr">
        <is>
          <t>8¹, 104¹</t>
        </is>
      </c>
      <c r="J1690" t="n">
        <v>2</v>
      </c>
      <c r="K1690" t="inlineStr">
        <is>
          <t>4⁴, 48²</t>
        </is>
      </c>
      <c r="L1690" t="inlineStr">
        <is>
          <t>52A³</t>
        </is>
      </c>
      <c r="M1690" t="inlineStr">
        <is>
          <t>104E¹³, 104A¹⁵, 104D¹⁵, 104T²³, 312A²³, 312B²³</t>
        </is>
      </c>
      <c r="N1690" t="inlineStr">
        <is>
          <t>52A³, 13A⁰, 1A⁰, 4A⁰</t>
        </is>
      </c>
      <c r="O1690" t="inlineStr">
        <is>
          <t>104T²³, 104A¹⁵, 312A²³, 312B²³, 104E¹³, 104D¹⁵</t>
        </is>
      </c>
    </row>
    <row r="1691">
      <c r="A1691">
        <f>HYPERLINK("https://mathstats.uncg.edu/sites/pauli/congruence/csg7.html#group104B7", "104B⁷")</f>
        <v/>
      </c>
      <c r="B1691" t="n">
        <v>7</v>
      </c>
      <c r="C1691" t="inlineStr"/>
      <c r="D1691" t="inlineStr">
        <is>
          <t>112</t>
        </is>
      </c>
      <c r="E1691" t="inlineStr">
        <is>
          <t>2</t>
        </is>
      </c>
      <c r="F1691" t="inlineStr">
        <is>
          <t>56</t>
        </is>
      </c>
      <c r="G1691" t="inlineStr">
        <is>
          <t>4</t>
        </is>
      </c>
      <c r="H1691" t="inlineStr">
        <is>
          <t>4</t>
        </is>
      </c>
      <c r="I1691" t="inlineStr">
        <is>
          <t>8¹, 104¹</t>
        </is>
      </c>
      <c r="J1691" t="n">
        <v>2</v>
      </c>
      <c r="K1691" t="inlineStr">
        <is>
          <t>4⁴, 48²</t>
        </is>
      </c>
      <c r="L1691" t="inlineStr">
        <is>
          <t>8A⁰, 52A³</t>
        </is>
      </c>
      <c r="M1691" t="inlineStr">
        <is>
          <t>104E¹³, 104B¹⁵, 104D¹⁵, 208A¹⁵, 208B¹⁵, 104U²³, 312C²³, 312D²³</t>
        </is>
      </c>
      <c r="N1691" t="inlineStr">
        <is>
          <t>8A⁰, 13A⁰, 52A³, 1A⁰, 4A⁰</t>
        </is>
      </c>
      <c r="O1691" t="inlineStr">
        <is>
          <t>104B¹⁵, 104D¹⁵, 104U²³, 208B¹⁵, 208A¹⁵, 312C²³, 312D²³, 104E¹³</t>
        </is>
      </c>
    </row>
    <row r="1692">
      <c r="A1692">
        <f>HYPERLINK("https://mathstats.uncg.edu/sites/pauli/congruence/csg7.html#group105A7", "105A⁷")</f>
        <v/>
      </c>
      <c r="B1692" t="n">
        <v>7</v>
      </c>
      <c r="C1692" t="inlineStr"/>
      <c r="D1692" t="inlineStr">
        <is>
          <t>105</t>
        </is>
      </c>
      <c r="E1692" t="inlineStr">
        <is>
          <t>2</t>
        </is>
      </c>
      <c r="F1692" t="inlineStr">
        <is>
          <t>35</t>
        </is>
      </c>
      <c r="G1692" t="inlineStr">
        <is>
          <t>9</t>
        </is>
      </c>
      <c r="H1692" t="inlineStr">
        <is>
          <t>0</t>
        </is>
      </c>
      <c r="I1692" t="inlineStr">
        <is>
          <t>105¹</t>
        </is>
      </c>
      <c r="J1692" t="n">
        <v>1</v>
      </c>
      <c r="K1692" t="inlineStr">
        <is>
          <t>2¹, 6², 8¹, 24²</t>
        </is>
      </c>
      <c r="L1692" t="inlineStr">
        <is>
          <t>21A⁰, 15A¹, 35A²</t>
        </is>
      </c>
      <c r="M1692" t="inlineStr">
        <is>
          <t>105C¹⁵, 210A¹⁵, 210B¹⁵, 105A¹⁶, 105B¹⁶, 210D¹⁶, 210A¹⁸, 105C¹⁹, 105B²², 315A²³, 210A²⁴</t>
        </is>
      </c>
      <c r="N1692" t="inlineStr">
        <is>
          <t>5A⁰, 21A⁰, 3A⁰, 1A⁰, 35A², 15A¹, 7A⁰</t>
        </is>
      </c>
      <c r="O1692" t="inlineStr">
        <is>
          <t>210A²⁴, 315A²³, 105C¹⁹, 105A¹⁶, 210A¹⁸, 105B²², 210B¹⁵, 210A¹⁵, 105B¹⁶, 210D¹⁶, 105C¹⁵</t>
        </is>
      </c>
    </row>
    <row r="1693">
      <c r="A1693">
        <f>HYPERLINK("https://mathstats.uncg.edu/sites/pauli/congruence/csg7.html#group108A7", "108A⁷")</f>
        <v/>
      </c>
      <c r="B1693" t="n">
        <v>7</v>
      </c>
      <c r="C1693" t="inlineStr"/>
      <c r="D1693" t="inlineStr">
        <is>
          <t>216</t>
        </is>
      </c>
      <c r="E1693" t="inlineStr">
        <is>
          <t>1</t>
        </is>
      </c>
      <c r="F1693" t="inlineStr">
        <is>
          <t>36</t>
        </is>
      </c>
      <c r="G1693" t="inlineStr">
        <is>
          <t>0</t>
        </is>
      </c>
      <c r="H1693" t="inlineStr">
        <is>
          <t>0</t>
        </is>
      </c>
      <c r="I1693" t="inlineStr">
        <is>
          <t>1¹², 3², 4⁶, 12¹, 27², 108¹</t>
        </is>
      </c>
      <c r="J1693" t="n">
        <v>24</v>
      </c>
      <c r="K1693" t="inlineStr">
        <is>
          <t>1⁶, 2⁶, 6³</t>
        </is>
      </c>
      <c r="L1693" t="inlineStr">
        <is>
          <t>36C¹, 54B²</t>
        </is>
      </c>
      <c r="M1693" t="inlineStr">
        <is>
          <t>108G¹⁷, 216A¹⁷, 108E²¹, 216B²¹</t>
        </is>
      </c>
      <c r="N1693" t="inlineStr">
        <is>
          <t>3B⁰, 54B², 18E⁰, 27A⁰, 9B⁰, 1A⁰, 2B⁰, 36C¹, 4B⁰, 6F⁰, 12E⁰</t>
        </is>
      </c>
      <c r="O1693" t="inlineStr">
        <is>
          <t>108G¹⁷, 216A¹⁷, 216B²¹, 108E²¹</t>
        </is>
      </c>
    </row>
    <row r="1694">
      <c r="A1694">
        <f>HYPERLINK("https://mathstats.uncg.edu/sites/pauli/congruence/csg7.html#group110A7", "110A⁷")</f>
        <v/>
      </c>
      <c r="B1694" t="n">
        <v>7</v>
      </c>
      <c r="C1694" t="inlineStr"/>
      <c r="D1694" t="inlineStr">
        <is>
          <t>110</t>
        </is>
      </c>
      <c r="E1694" t="inlineStr">
        <is>
          <t>2</t>
        </is>
      </c>
      <c r="F1694" t="inlineStr">
        <is>
          <t>55</t>
        </is>
      </c>
      <c r="G1694" t="inlineStr">
        <is>
          <t>0</t>
        </is>
      </c>
      <c r="H1694" t="inlineStr">
        <is>
          <t>8</t>
        </is>
      </c>
      <c r="I1694" t="inlineStr">
        <is>
          <t>110¹</t>
        </is>
      </c>
      <c r="J1694" t="n">
        <v>1</v>
      </c>
      <c r="K1694" t="inlineStr">
        <is>
          <t>2¹, 8¹, 10², 40²</t>
        </is>
      </c>
      <c r="L1694" t="inlineStr">
        <is>
          <t>10A⁰, 22A¹, 55A³</t>
        </is>
      </c>
      <c r="M1694" t="inlineStr">
        <is>
          <t>110A²³, 330A²⁴, 330B²⁴, 330C²⁴</t>
        </is>
      </c>
      <c r="N1694" t="inlineStr">
        <is>
          <t>11A⁰, 2A⁰, 55A³, 5A⁰, 10A⁰, 22A¹, 1A⁰</t>
        </is>
      </c>
      <c r="O1694" t="inlineStr">
        <is>
          <t>330B²⁴, 330C²⁴, 110A²³, 330A²⁴</t>
        </is>
      </c>
    </row>
    <row r="1695">
      <c r="A1695">
        <f>HYPERLINK("https://mathstats.uncg.edu/sites/pauli/congruence/csg7.html#group112A7", "112A⁷")</f>
        <v/>
      </c>
      <c r="B1695" t="n">
        <v>7</v>
      </c>
      <c r="C1695" t="inlineStr"/>
      <c r="D1695" t="inlineStr">
        <is>
          <t>112</t>
        </is>
      </c>
      <c r="E1695" t="inlineStr">
        <is>
          <t>2</t>
        </is>
      </c>
      <c r="F1695" t="inlineStr">
        <is>
          <t>56</t>
        </is>
      </c>
      <c r="G1695" t="inlineStr">
        <is>
          <t>6</t>
        </is>
      </c>
      <c r="H1695" t="inlineStr">
        <is>
          <t>4</t>
        </is>
      </c>
      <c r="I1695" t="inlineStr">
        <is>
          <t>112¹</t>
        </is>
      </c>
      <c r="J1695" t="n">
        <v>1</v>
      </c>
      <c r="K1695" t="inlineStr">
        <is>
          <t>16², 48⁴</t>
        </is>
      </c>
      <c r="L1695" t="inlineStr">
        <is>
          <t>56C³</t>
        </is>
      </c>
      <c r="M1695" t="inlineStr">
        <is>
          <t>112E¹⁴, 112J¹⁵, 112A¹⁶, 336A²⁴</t>
        </is>
      </c>
      <c r="N1695" t="inlineStr">
        <is>
          <t>8A⁰, 56C³, 28A¹, 1A⁰, 4A⁰, 7A⁰</t>
        </is>
      </c>
      <c r="O1695" t="inlineStr">
        <is>
          <t>112A¹⁶, 112J¹⁵, 112E¹⁴, 336A²⁴</t>
        </is>
      </c>
    </row>
    <row r="1696">
      <c r="A1696">
        <f>HYPERLINK("https://mathstats.uncg.edu/sites/pauli/congruence/csg7.html#group112B7", "112B⁷")</f>
        <v/>
      </c>
      <c r="B1696" t="n">
        <v>7</v>
      </c>
      <c r="C1696" t="inlineStr"/>
      <c r="D1696" t="inlineStr">
        <is>
          <t>112</t>
        </is>
      </c>
      <c r="E1696" t="inlineStr">
        <is>
          <t>2</t>
        </is>
      </c>
      <c r="F1696" t="inlineStr">
        <is>
          <t>56</t>
        </is>
      </c>
      <c r="G1696" t="inlineStr">
        <is>
          <t>6</t>
        </is>
      </c>
      <c r="H1696" t="inlineStr">
        <is>
          <t>4</t>
        </is>
      </c>
      <c r="I1696" t="inlineStr">
        <is>
          <t>112¹</t>
        </is>
      </c>
      <c r="J1696" t="n">
        <v>1</v>
      </c>
      <c r="K1696" t="inlineStr">
        <is>
          <t>16², 48⁴</t>
        </is>
      </c>
      <c r="L1696" t="inlineStr">
        <is>
          <t>56D³</t>
        </is>
      </c>
      <c r="M1696" t="inlineStr">
        <is>
          <t>112F¹⁴, 112I¹⁵, 112A¹⁶, 336B²⁴</t>
        </is>
      </c>
      <c r="N1696" t="inlineStr">
        <is>
          <t>8A⁰, 56D³, 28A¹, 1A⁰, 4A⁰, 7A⁰</t>
        </is>
      </c>
      <c r="O1696" t="inlineStr">
        <is>
          <t>112A¹⁶, 112I¹⁵, 112F¹⁴, 336B²⁴</t>
        </is>
      </c>
    </row>
    <row r="1697">
      <c r="A1697">
        <f>HYPERLINK("https://mathstats.uncg.edu/sites/pauli/congruence/csg7.html#group112C7", "112C⁷")</f>
        <v/>
      </c>
      <c r="B1697" t="n">
        <v>7</v>
      </c>
      <c r="C1697" t="inlineStr"/>
      <c r="D1697" t="inlineStr">
        <is>
          <t>112</t>
        </is>
      </c>
      <c r="E1697" t="inlineStr">
        <is>
          <t>2</t>
        </is>
      </c>
      <c r="F1697" t="inlineStr">
        <is>
          <t>56</t>
        </is>
      </c>
      <c r="G1697" t="inlineStr">
        <is>
          <t>6</t>
        </is>
      </c>
      <c r="H1697" t="inlineStr">
        <is>
          <t>4</t>
        </is>
      </c>
      <c r="I1697" t="inlineStr">
        <is>
          <t>112¹</t>
        </is>
      </c>
      <c r="J1697" t="n">
        <v>1</v>
      </c>
      <c r="K1697" t="inlineStr">
        <is>
          <t>16², 48⁴</t>
        </is>
      </c>
      <c r="L1697" t="inlineStr">
        <is>
          <t>16A⁰, 56C³</t>
        </is>
      </c>
      <c r="M1697" t="inlineStr">
        <is>
          <t>112E¹⁴, 112J¹⁵, 112B¹⁶, 336C²⁴</t>
        </is>
      </c>
      <c r="N1697" t="inlineStr">
        <is>
          <t>8A⁰, 56C³, 16A⁰, 28A¹, 1A⁰, 4A⁰, 7A⁰</t>
        </is>
      </c>
      <c r="O1697" t="inlineStr">
        <is>
          <t>112J¹⁵, 336C²⁴, 112B¹⁶, 112E¹⁴</t>
        </is>
      </c>
    </row>
    <row r="1698">
      <c r="A1698">
        <f>HYPERLINK("https://mathstats.uncg.edu/sites/pauli/congruence/csg7.html#group112D7", "112D⁷")</f>
        <v/>
      </c>
      <c r="B1698" t="n">
        <v>7</v>
      </c>
      <c r="C1698" t="inlineStr"/>
      <c r="D1698" t="inlineStr">
        <is>
          <t>112</t>
        </is>
      </c>
      <c r="E1698" t="inlineStr">
        <is>
          <t>2</t>
        </is>
      </c>
      <c r="F1698" t="inlineStr">
        <is>
          <t>56</t>
        </is>
      </c>
      <c r="G1698" t="inlineStr">
        <is>
          <t>6</t>
        </is>
      </c>
      <c r="H1698" t="inlineStr">
        <is>
          <t>4</t>
        </is>
      </c>
      <c r="I1698" t="inlineStr">
        <is>
          <t>112¹</t>
        </is>
      </c>
      <c r="J1698" t="n">
        <v>1</v>
      </c>
      <c r="K1698" t="inlineStr">
        <is>
          <t>16², 48⁴</t>
        </is>
      </c>
      <c r="L1698" t="inlineStr">
        <is>
          <t>16A⁰, 56D³</t>
        </is>
      </c>
      <c r="M1698" t="inlineStr">
        <is>
          <t>112F¹⁴, 112I¹⁵, 112B¹⁶, 336D²⁴</t>
        </is>
      </c>
      <c r="N1698" t="inlineStr">
        <is>
          <t>8A⁰, 56D³, 16A⁰, 28A¹, 1A⁰, 4A⁰, 7A⁰</t>
        </is>
      </c>
      <c r="O1698" t="inlineStr">
        <is>
          <t>336D²⁴, 112I¹⁵, 112B¹⁶, 112F¹⁴</t>
        </is>
      </c>
    </row>
    <row r="1699">
      <c r="A1699">
        <f>HYPERLINK("https://mathstats.uncg.edu/sites/pauli/congruence/csg7.html#group120A7", "120A⁷")</f>
        <v/>
      </c>
      <c r="B1699" t="n">
        <v>7</v>
      </c>
      <c r="C1699" t="inlineStr"/>
      <c r="D1699" t="inlineStr">
        <is>
          <t>120</t>
        </is>
      </c>
      <c r="E1699" t="inlineStr">
        <is>
          <t>2</t>
        </is>
      </c>
      <c r="F1699" t="inlineStr">
        <is>
          <t>20</t>
        </is>
      </c>
      <c r="G1699" t="inlineStr">
        <is>
          <t>6</t>
        </is>
      </c>
      <c r="H1699" t="inlineStr">
        <is>
          <t>6</t>
        </is>
      </c>
      <c r="I1699" t="inlineStr">
        <is>
          <t>120¹</t>
        </is>
      </c>
      <c r="J1699" t="n">
        <v>1</v>
      </c>
      <c r="K1699" t="inlineStr">
        <is>
          <t>8², 32²</t>
        </is>
      </c>
      <c r="L1699" t="inlineStr">
        <is>
          <t>40A², 60A³</t>
        </is>
      </c>
      <c r="M1699" t="inlineStr">
        <is>
          <t>240A¹⁵, 120D¹⁶</t>
        </is>
      </c>
      <c r="N1699" t="inlineStr">
        <is>
          <t>5A⁰, 4A⁰, 8A⁰, 20A¹, 15A⁰, 1A⁰, 40A², 60A³</t>
        </is>
      </c>
      <c r="O1699" t="inlineStr">
        <is>
          <t>120D¹⁶, 240A¹⁵</t>
        </is>
      </c>
    </row>
    <row r="1700">
      <c r="A1700">
        <f>HYPERLINK("https://mathstats.uncg.edu/sites/pauli/congruence/csg7.html#group120B7", "120B⁷")</f>
        <v/>
      </c>
      <c r="B1700" t="n">
        <v>7</v>
      </c>
      <c r="C1700" t="inlineStr"/>
      <c r="D1700" t="inlineStr">
        <is>
          <t>120</t>
        </is>
      </c>
      <c r="E1700" t="inlineStr">
        <is>
          <t>2</t>
        </is>
      </c>
      <c r="F1700" t="inlineStr">
        <is>
          <t>20</t>
        </is>
      </c>
      <c r="G1700" t="inlineStr">
        <is>
          <t>6</t>
        </is>
      </c>
      <c r="H1700" t="inlineStr">
        <is>
          <t>6</t>
        </is>
      </c>
      <c r="I1700" t="inlineStr">
        <is>
          <t>120¹</t>
        </is>
      </c>
      <c r="J1700" t="n">
        <v>1</v>
      </c>
      <c r="K1700" t="inlineStr">
        <is>
          <t>8², 32²</t>
        </is>
      </c>
      <c r="L1700" t="inlineStr">
        <is>
          <t>40A², 60A³</t>
        </is>
      </c>
      <c r="M1700" t="inlineStr">
        <is>
          <t>240B¹⁵, 120D¹⁶</t>
        </is>
      </c>
      <c r="N1700" t="inlineStr">
        <is>
          <t>5A⁰, 4A⁰, 8A⁰, 20A¹, 15A⁰, 1A⁰, 40A², 60A³</t>
        </is>
      </c>
      <c r="O1700" t="inlineStr">
        <is>
          <t>240B¹⁵, 120D¹⁶</t>
        </is>
      </c>
    </row>
    <row r="1701">
      <c r="A1701">
        <f>HYPERLINK("https://mathstats.uncg.edu/sites/pauli/congruence/csg7.html#group126A7", "126A⁷")</f>
        <v/>
      </c>
      <c r="B1701" t="n">
        <v>7</v>
      </c>
      <c r="C1701" t="inlineStr"/>
      <c r="D1701" t="inlineStr">
        <is>
          <t>126</t>
        </is>
      </c>
      <c r="E1701" t="inlineStr">
        <is>
          <t>2</t>
        </is>
      </c>
      <c r="F1701" t="inlineStr">
        <is>
          <t>63</t>
        </is>
      </c>
      <c r="G1701" t="inlineStr">
        <is>
          <t>16</t>
        </is>
      </c>
      <c r="H1701" t="inlineStr">
        <is>
          <t>0</t>
        </is>
      </c>
      <c r="I1701" t="inlineStr">
        <is>
          <t>126¹</t>
        </is>
      </c>
      <c r="J1701" t="n">
        <v>1</v>
      </c>
      <c r="K1701" t="inlineStr">
        <is>
          <t>2¹, 4¹, 6², 12³, 36²</t>
        </is>
      </c>
      <c r="L1701" t="inlineStr">
        <is>
          <t>42A², 63A²</t>
        </is>
      </c>
      <c r="M1701" t="inlineStr">
        <is>
          <t>126E¹⁴, 126F¹⁴, 126F¹⁵, 126A¹⁹, 126B²⁰, 126A²⁰, 126D²¹</t>
        </is>
      </c>
      <c r="N1701" t="inlineStr">
        <is>
          <t>42A², 9A⁰, 63A², 21A⁰, 3A⁰, 1A⁰, 7A⁰</t>
        </is>
      </c>
      <c r="O1701" t="inlineStr">
        <is>
          <t>126A²⁰, 126E¹⁴, 126F¹⁴, 126D²¹, 126B²⁰, 126A¹⁹, 126F¹⁵</t>
        </is>
      </c>
    </row>
    <row r="1702">
      <c r="A1702">
        <f>HYPERLINK("https://mathstats.uncg.edu/sites/pauli/congruence/csg7.html#group128A7", "128A⁷")</f>
        <v/>
      </c>
      <c r="B1702" t="n">
        <v>7</v>
      </c>
      <c r="C1702" t="inlineStr"/>
      <c r="D1702" t="inlineStr">
        <is>
          <t>192</t>
        </is>
      </c>
      <c r="E1702" t="inlineStr">
        <is>
          <t>1</t>
        </is>
      </c>
      <c r="F1702" t="inlineStr">
        <is>
          <t>24</t>
        </is>
      </c>
      <c r="G1702" t="inlineStr">
        <is>
          <t>0</t>
        </is>
      </c>
      <c r="H1702" t="inlineStr">
        <is>
          <t>0</t>
        </is>
      </c>
      <c r="I1702" t="inlineStr">
        <is>
          <t>1¹⁶, 8², 32¹, 128¹</t>
        </is>
      </c>
      <c r="J1702" t="n">
        <v>20</v>
      </c>
      <c r="K1702" t="inlineStr">
        <is>
          <t>1⁴, 2², 4², 8¹</t>
        </is>
      </c>
      <c r="L1702" t="inlineStr">
        <is>
          <t>64A³</t>
        </is>
      </c>
      <c r="M1702" t="inlineStr">
        <is>
          <t>128E¹³, 256A¹⁹, 256B¹⁹, 128D²¹, 128E²¹</t>
        </is>
      </c>
      <c r="N1702" t="inlineStr">
        <is>
          <t>8C⁰, 2B⁰, 32A¹, 64A³, 4B⁰, 1A⁰, 16C⁰</t>
        </is>
      </c>
      <c r="O1702" t="inlineStr">
        <is>
          <t>128D²¹, 256A¹⁹, 128E²¹, 256B¹⁹, 128E¹³</t>
        </is>
      </c>
    </row>
    <row r="1703">
      <c r="A1703">
        <f>HYPERLINK("https://mathstats.uncg.edu/sites/pauli/congruence/csg7.html#group132A7", "132A⁷")</f>
        <v/>
      </c>
      <c r="B1703" t="n">
        <v>7</v>
      </c>
      <c r="C1703" t="inlineStr"/>
      <c r="D1703" t="inlineStr">
        <is>
          <t>132</t>
        </is>
      </c>
      <c r="E1703" t="inlineStr">
        <is>
          <t>2</t>
        </is>
      </c>
      <c r="F1703" t="inlineStr">
        <is>
          <t>44</t>
        </is>
      </c>
      <c r="G1703" t="inlineStr">
        <is>
          <t>18</t>
        </is>
      </c>
      <c r="H1703" t="inlineStr">
        <is>
          <t>0</t>
        </is>
      </c>
      <c r="I1703" t="inlineStr">
        <is>
          <t>132¹</t>
        </is>
      </c>
      <c r="J1703" t="n">
        <v>1</v>
      </c>
      <c r="K1703" t="inlineStr">
        <is>
          <t>4², 20⁴</t>
        </is>
      </c>
      <c r="L1703" t="inlineStr">
        <is>
          <t>12A⁰, 33A¹, 44A²</t>
        </is>
      </c>
      <c r="M1703" t="inlineStr">
        <is>
          <t>132D¹⁶, 264A¹⁸, 264B¹⁸, 264C¹⁸, 264D¹⁸, 132B¹⁹, 132A²²</t>
        </is>
      </c>
      <c r="N1703" t="inlineStr">
        <is>
          <t>11A⁰, 12A⁰, 44A², 4A⁰, 33A¹, 3A⁰, 1A⁰</t>
        </is>
      </c>
      <c r="O1703" t="inlineStr">
        <is>
          <t>264C¹⁸, 132A²², 132D¹⁶, 264B¹⁸, 264A¹⁸, 264D¹⁸, 132B¹⁹</t>
        </is>
      </c>
    </row>
    <row r="1704">
      <c r="A1704">
        <f>HYPERLINK("https://mathstats.uncg.edu/sites/pauli/congruence/csg7.html#group156A7", "156A⁷")</f>
        <v/>
      </c>
      <c r="B1704" t="n">
        <v>7</v>
      </c>
      <c r="C1704" t="inlineStr"/>
      <c r="D1704" t="inlineStr">
        <is>
          <t>168</t>
        </is>
      </c>
      <c r="E1704" t="inlineStr">
        <is>
          <t>2</t>
        </is>
      </c>
      <c r="F1704" t="inlineStr">
        <is>
          <t>14</t>
        </is>
      </c>
      <c r="G1704" t="inlineStr">
        <is>
          <t>12</t>
        </is>
      </c>
      <c r="H1704" t="inlineStr">
        <is>
          <t>12</t>
        </is>
      </c>
      <c r="I1704" t="inlineStr">
        <is>
          <t>12¹, 156¹</t>
        </is>
      </c>
      <c r="J1704" t="n">
        <v>2</v>
      </c>
      <c r="K1704" t="inlineStr">
        <is>
          <t>4², 48¹</t>
        </is>
      </c>
      <c r="L1704" t="inlineStr">
        <is>
          <t>52A¹, 78A²</t>
        </is>
      </c>
      <c r="M1704" t="inlineStr">
        <is>
          <t>156E¹⁹</t>
        </is>
      </c>
      <c r="N1704" t="inlineStr">
        <is>
          <t>13A⁰, 26A⁰, 39A¹, 52A¹, 1A⁰, 78A²</t>
        </is>
      </c>
      <c r="O1704" t="inlineStr">
        <is>
          <t>156E¹⁹</t>
        </is>
      </c>
    </row>
    <row r="1705">
      <c r="A1705">
        <f>HYPERLINK("https://mathstats.uncg.edu/sites/pauli/congruence/csg7.html#group156B7", "156B⁷")</f>
        <v/>
      </c>
      <c r="B1705" t="n">
        <v>7</v>
      </c>
      <c r="C1705" t="inlineStr"/>
      <c r="D1705" t="inlineStr">
        <is>
          <t>168</t>
        </is>
      </c>
      <c r="E1705" t="inlineStr">
        <is>
          <t>2</t>
        </is>
      </c>
      <c r="F1705" t="inlineStr">
        <is>
          <t>14</t>
        </is>
      </c>
      <c r="G1705" t="inlineStr">
        <is>
          <t>12</t>
        </is>
      </c>
      <c r="H1705" t="inlineStr">
        <is>
          <t>12</t>
        </is>
      </c>
      <c r="I1705" t="inlineStr">
        <is>
          <t>12¹, 156¹</t>
        </is>
      </c>
      <c r="J1705" t="n">
        <v>2</v>
      </c>
      <c r="K1705" t="inlineStr">
        <is>
          <t>4², 48¹</t>
        </is>
      </c>
      <c r="L1705" t="inlineStr">
        <is>
          <t>52A¹, 78A²</t>
        </is>
      </c>
      <c r="M1705" t="inlineStr">
        <is>
          <t>156E¹⁹</t>
        </is>
      </c>
      <c r="N1705" t="inlineStr">
        <is>
          <t>13A⁰, 26A⁰, 39A¹, 52A¹, 1A⁰, 78A²</t>
        </is>
      </c>
      <c r="O1705" t="inlineStr">
        <is>
          <t>156E¹⁹</t>
        </is>
      </c>
    </row>
    <row r="1706">
      <c r="A1706">
        <f>HYPERLINK("https://mathstats.uncg.edu/sites/pauli/congruence/csg8.html#group11A8", "11A⁸")</f>
        <v/>
      </c>
      <c r="B1706" t="n">
        <v>8</v>
      </c>
      <c r="C1706" t="inlineStr"/>
      <c r="D1706" t="inlineStr">
        <is>
          <t>220</t>
        </is>
      </c>
      <c r="E1706" t="inlineStr">
        <is>
          <t>1</t>
        </is>
      </c>
      <c r="F1706" t="inlineStr">
        <is>
          <t>55</t>
        </is>
      </c>
      <c r="G1706" t="inlineStr">
        <is>
          <t>0</t>
        </is>
      </c>
      <c r="H1706" t="inlineStr">
        <is>
          <t>4</t>
        </is>
      </c>
      <c r="I1706" t="inlineStr">
        <is>
          <t>11²⁰</t>
        </is>
      </c>
      <c r="J1706" t="n">
        <v>20</v>
      </c>
      <c r="K1706" t="inlineStr">
        <is>
          <t>5¹, 10⁵</t>
        </is>
      </c>
      <c r="L1706" t="inlineStr">
        <is>
          <t>11B¹, 11A³, 11A⁴</t>
        </is>
      </c>
      <c r="M1706" t="inlineStr"/>
      <c r="N1706" t="inlineStr">
        <is>
          <t>11A⁰, 11C¹, 1A⁰, 11B¹, 11A⁴, 11A³</t>
        </is>
      </c>
      <c r="O1706" t="inlineStr"/>
    </row>
    <row r="1707">
      <c r="A1707">
        <f>HYPERLINK("https://mathstats.uncg.edu/sites/pauli/congruence/csg8.html#group13A8", "13A⁸")</f>
        <v/>
      </c>
      <c r="B1707" t="n">
        <v>8</v>
      </c>
      <c r="C1707" t="inlineStr"/>
      <c r="D1707" t="inlineStr">
        <is>
          <t>156</t>
        </is>
      </c>
      <c r="E1707" t="inlineStr">
        <is>
          <t>1</t>
        </is>
      </c>
      <c r="F1707" t="inlineStr">
        <is>
          <t>78</t>
        </is>
      </c>
      <c r="G1707" t="inlineStr">
        <is>
          <t>0</t>
        </is>
      </c>
      <c r="H1707" t="inlineStr">
        <is>
          <t>0</t>
        </is>
      </c>
      <c r="I1707" t="inlineStr">
        <is>
          <t>13¹²</t>
        </is>
      </c>
      <c r="J1707" t="n">
        <v>12</v>
      </c>
      <c r="K1707" t="inlineStr">
        <is>
          <t>6¹, 12⁶</t>
        </is>
      </c>
      <c r="L1707" t="inlineStr">
        <is>
          <t>13A³</t>
        </is>
      </c>
      <c r="M1707" t="inlineStr">
        <is>
          <t>26A²¹</t>
        </is>
      </c>
      <c r="N1707" t="inlineStr">
        <is>
          <t>13A³, 1A⁰</t>
        </is>
      </c>
      <c r="O1707" t="inlineStr">
        <is>
          <t>26A²¹</t>
        </is>
      </c>
    </row>
    <row r="1708">
      <c r="A1708">
        <f>HYPERLINK("https://mathstats.uncg.edu/sites/pauli/congruence/csg8.html#group13B8", "13B⁸")</f>
        <v/>
      </c>
      <c r="B1708" t="n">
        <v>8</v>
      </c>
      <c r="C1708" t="inlineStr"/>
      <c r="D1708" t="inlineStr">
        <is>
          <t>182</t>
        </is>
      </c>
      <c r="E1708" t="inlineStr">
        <is>
          <t>1</t>
        </is>
      </c>
      <c r="F1708" t="inlineStr">
        <is>
          <t>91</t>
        </is>
      </c>
      <c r="G1708" t="inlineStr">
        <is>
          <t>2</t>
        </is>
      </c>
      <c r="H1708" t="inlineStr">
        <is>
          <t>2</t>
        </is>
      </c>
      <c r="I1708" t="inlineStr">
        <is>
          <t>13¹⁴</t>
        </is>
      </c>
      <c r="J1708" t="n">
        <v>14</v>
      </c>
      <c r="K1708" t="inlineStr">
        <is>
          <t>1¹, 6¹, 12⁷</t>
        </is>
      </c>
      <c r="L1708" t="inlineStr">
        <is>
          <t>13A⁰, 13C³</t>
        </is>
      </c>
      <c r="M1708" t="inlineStr">
        <is>
          <t>13A¹⁶, 26A²², 26A²³, 13A²⁴</t>
        </is>
      </c>
      <c r="N1708" t="inlineStr">
        <is>
          <t>13A⁰, 13C³, 1A⁰</t>
        </is>
      </c>
      <c r="O1708" t="inlineStr">
        <is>
          <t>13A¹⁶, 26A²², 26A²³, 13A²⁴</t>
        </is>
      </c>
    </row>
    <row r="1709">
      <c r="A1709">
        <f>HYPERLINK("https://mathstats.uncg.edu/sites/pauli/congruence/csg8.html#group15A8", "15A⁸")</f>
        <v/>
      </c>
      <c r="B1709" t="n">
        <v>8</v>
      </c>
      <c r="C1709" t="inlineStr"/>
      <c r="D1709" t="inlineStr">
        <is>
          <t>180</t>
        </is>
      </c>
      <c r="E1709" t="inlineStr">
        <is>
          <t>1</t>
        </is>
      </c>
      <c r="F1709" t="inlineStr">
        <is>
          <t>45</t>
        </is>
      </c>
      <c r="G1709" t="inlineStr">
        <is>
          <t>8</t>
        </is>
      </c>
      <c r="H1709" t="inlineStr">
        <is>
          <t>0</t>
        </is>
      </c>
      <c r="I1709" t="inlineStr">
        <is>
          <t>15¹²</t>
        </is>
      </c>
      <c r="J1709" t="n">
        <v>12</v>
      </c>
      <c r="K1709" t="inlineStr">
        <is>
          <t>1¹, 2², 4⁴, 8³</t>
        </is>
      </c>
      <c r="L1709" t="inlineStr">
        <is>
          <t>15H³, 15C⁴</t>
        </is>
      </c>
      <c r="M1709" t="inlineStr">
        <is>
          <t>15A¹⁷, 15B¹⁹, 30A²¹, 30D²³, 30E²³</t>
        </is>
      </c>
      <c r="N1709" t="inlineStr">
        <is>
          <t>15C⁴, 5A⁰, 15A², 15A¹, 15F¹, 5E⁰, 3C⁰, 3A⁰, 1A⁰, 15H³, 15A⁰</t>
        </is>
      </c>
      <c r="O1709" t="inlineStr">
        <is>
          <t>30E²³, 15B¹⁹, 15A¹⁷, 30A²¹, 30D²³</t>
        </is>
      </c>
    </row>
    <row r="1710">
      <c r="A1710">
        <f>HYPERLINK("https://mathstats.uncg.edu/sites/pauli/congruence/csg8.html#group15B8", "15B⁸")</f>
        <v/>
      </c>
      <c r="B1710" t="n">
        <v>8</v>
      </c>
      <c r="C1710" t="inlineStr"/>
      <c r="D1710" t="inlineStr">
        <is>
          <t>180</t>
        </is>
      </c>
      <c r="E1710" t="inlineStr">
        <is>
          <t>1</t>
        </is>
      </c>
      <c r="F1710" t="inlineStr">
        <is>
          <t>45</t>
        </is>
      </c>
      <c r="G1710" t="inlineStr">
        <is>
          <t>8</t>
        </is>
      </c>
      <c r="H1710" t="inlineStr">
        <is>
          <t>0</t>
        </is>
      </c>
      <c r="I1710" t="inlineStr">
        <is>
          <t>15¹²</t>
        </is>
      </c>
      <c r="J1710" t="n">
        <v>12</v>
      </c>
      <c r="K1710" t="inlineStr">
        <is>
          <t>1¹, 2², 4⁴, 8³</t>
        </is>
      </c>
      <c r="L1710" t="inlineStr">
        <is>
          <t>15C⁰, 15D², 15H³, 15D⁴</t>
        </is>
      </c>
      <c r="M1710" t="inlineStr">
        <is>
          <t>15A¹⁷, 15A¹⁹, 30B²¹, 30J²³</t>
        </is>
      </c>
      <c r="N1710" t="inlineStr">
        <is>
          <t>5A⁰, 15D⁴, 15A¹, 15F¹, 15D², 5B⁰, 1A⁰, 15D¹, 15B⁰, 5E⁰, 3A⁰, 5C⁰, 5G⁰, 15H³, 15C⁰, 15A⁰</t>
        </is>
      </c>
      <c r="O1710" t="inlineStr">
        <is>
          <t>30J²³, 15A¹⁹, 30B²¹, 15A¹⁷</t>
        </is>
      </c>
    </row>
    <row r="1711">
      <c r="A1711">
        <f>HYPERLINK("https://mathstats.uncg.edu/sites/pauli/congruence/csg8.html#group18A8", "18A⁸")</f>
        <v/>
      </c>
      <c r="B1711" t="n">
        <v>8</v>
      </c>
      <c r="C1711" t="inlineStr"/>
      <c r="D1711" t="inlineStr">
        <is>
          <t>162</t>
        </is>
      </c>
      <c r="E1711" t="inlineStr">
        <is>
          <t>1</t>
        </is>
      </c>
      <c r="F1711" t="inlineStr">
        <is>
          <t>81</t>
        </is>
      </c>
      <c r="G1711" t="inlineStr">
        <is>
          <t>2</t>
        </is>
      </c>
      <c r="H1711" t="inlineStr">
        <is>
          <t>0</t>
        </is>
      </c>
      <c r="I1711" t="inlineStr">
        <is>
          <t>9⁶, 18⁶</t>
        </is>
      </c>
      <c r="J1711" t="n">
        <v>12</v>
      </c>
      <c r="K1711" t="inlineStr">
        <is>
          <t>3³, 6¹²</t>
        </is>
      </c>
      <c r="L1711" t="inlineStr">
        <is>
          <t>18I¹, 9B², 18E³, 18J³</t>
        </is>
      </c>
      <c r="M1711" t="inlineStr">
        <is>
          <t>18A¹⁶, 18A¹⁸, 36A¹⁸, 18C¹⁹, 36O¹⁹, 36C²¹, 18A²², 36C²²</t>
        </is>
      </c>
      <c r="N1711" t="inlineStr">
        <is>
          <t>18I¹, 9G⁰, 6G⁰, 2B⁰, 9B², 9E⁰, 1A⁰, 9B¹, 18E³, 18J³, 9A⁰, 3C⁰, 18E¹, 3A⁰, 6D⁰</t>
        </is>
      </c>
      <c r="O1711" t="inlineStr">
        <is>
          <t>36O¹⁹, 36A¹⁸, 18C¹⁹, 18A¹⁶, 18A¹⁸, 18A²², 36C²², 36C²¹</t>
        </is>
      </c>
    </row>
    <row r="1712">
      <c r="A1712">
        <f>HYPERLINK("https://mathstats.uncg.edu/sites/pauli/congruence/csg8.html#group18B8", "18B⁸")</f>
        <v/>
      </c>
      <c r="B1712" t="n">
        <v>8</v>
      </c>
      <c r="C1712" t="inlineStr"/>
      <c r="D1712" t="inlineStr">
        <is>
          <t>162</t>
        </is>
      </c>
      <c r="E1712" t="inlineStr">
        <is>
          <t>2</t>
        </is>
      </c>
      <c r="F1712" t="inlineStr">
        <is>
          <t>81</t>
        </is>
      </c>
      <c r="G1712" t="inlineStr">
        <is>
          <t>8</t>
        </is>
      </c>
      <c r="H1712" t="inlineStr">
        <is>
          <t>0</t>
        </is>
      </c>
      <c r="I1712" t="inlineStr">
        <is>
          <t>18⁹</t>
        </is>
      </c>
      <c r="J1712" t="n">
        <v>9</v>
      </c>
      <c r="K1712" t="inlineStr">
        <is>
          <t>6²⁷</t>
        </is>
      </c>
      <c r="L1712" t="inlineStr">
        <is>
          <t>18K², 18L², 18M², 18D³, 18J³</t>
        </is>
      </c>
      <c r="M1712" t="inlineStr">
        <is>
          <t>18G¹⁶, 18A¹⁸, 36B¹⁸, 18E¹⁹, 36T¹⁹, 36D²¹, 36I²²</t>
        </is>
      </c>
      <c r="N1712" t="inlineStr">
        <is>
          <t>6B⁰, 9G⁰, 18K², 6H⁰, 18B¹, 2B⁰, 18M², 1A⁰, 18A⁰, 18L², 18D³, 18J³, 9A⁰, 18E¹, 3A⁰, 18A¹, 6D⁰</t>
        </is>
      </c>
      <c r="O1712" t="inlineStr">
        <is>
          <t>36T¹⁹, 18E¹⁹, 18G¹⁶, 18A¹⁸, 36B¹⁸, 36D²¹, 36I²²</t>
        </is>
      </c>
    </row>
    <row r="1713">
      <c r="A1713">
        <f>HYPERLINK("https://mathstats.uncg.edu/sites/pauli/congruence/csg8.html#group19A8", "19A⁸")</f>
        <v/>
      </c>
      <c r="B1713" t="n">
        <v>8</v>
      </c>
      <c r="C1713" t="inlineStr"/>
      <c r="D1713" t="inlineStr">
        <is>
          <t>171</t>
        </is>
      </c>
      <c r="E1713" t="inlineStr">
        <is>
          <t>1</t>
        </is>
      </c>
      <c r="F1713" t="inlineStr">
        <is>
          <t>171</t>
        </is>
      </c>
      <c r="G1713" t="inlineStr">
        <is>
          <t>11</t>
        </is>
      </c>
      <c r="H1713" t="inlineStr">
        <is>
          <t>0</t>
        </is>
      </c>
      <c r="I1713" t="inlineStr">
        <is>
          <t>19⁹</t>
        </is>
      </c>
      <c r="J1713" t="n">
        <v>9</v>
      </c>
      <c r="K1713" t="inlineStr">
        <is>
          <t>9¹, 18⁹</t>
        </is>
      </c>
      <c r="L1713" t="inlineStr">
        <is>
          <t>1A⁰</t>
        </is>
      </c>
      <c r="M1713" t="inlineStr">
        <is>
          <t>19A¹⁸, 19A²⁰, 38A²⁰, 38A²²</t>
        </is>
      </c>
      <c r="N1713" t="inlineStr">
        <is>
          <t>1A⁰</t>
        </is>
      </c>
      <c r="O1713" t="inlineStr">
        <is>
          <t>19A¹⁸, 38A²⁰, 19A²⁰, 38A²²</t>
        </is>
      </c>
    </row>
    <row r="1714">
      <c r="A1714">
        <f>HYPERLINK("https://mathstats.uncg.edu/sites/pauli/congruence/csg8.html#group20A8", "20A⁸")</f>
        <v/>
      </c>
      <c r="B1714" t="n">
        <v>8</v>
      </c>
      <c r="C1714" t="inlineStr"/>
      <c r="D1714" t="inlineStr">
        <is>
          <t>120</t>
        </is>
      </c>
      <c r="E1714" t="inlineStr">
        <is>
          <t>1</t>
        </is>
      </c>
      <c r="F1714" t="inlineStr">
        <is>
          <t>5</t>
        </is>
      </c>
      <c r="G1714" t="inlineStr">
        <is>
          <t>0</t>
        </is>
      </c>
      <c r="H1714" t="inlineStr">
        <is>
          <t>0</t>
        </is>
      </c>
      <c r="I1714" t="inlineStr">
        <is>
          <t>20⁶</t>
        </is>
      </c>
      <c r="J1714" t="n">
        <v>6</v>
      </c>
      <c r="K1714" t="inlineStr">
        <is>
          <t>1¹, 4¹</t>
        </is>
      </c>
      <c r="L1714" t="inlineStr">
        <is>
          <t>4G⁰, 20D², 20A⁴, 20C⁴</t>
        </is>
      </c>
      <c r="M1714" t="inlineStr">
        <is>
          <t>40A¹⁶, 40A¹⁷, 40A¹⁸, 20A²²</t>
        </is>
      </c>
      <c r="N1714" t="inlineStr">
        <is>
          <t>20A², 2A⁰, 5A⁰, 10B¹, 20B², 4C⁰, 4G⁰, 20C⁴, 2B⁰, 4E⁰, 20A¹, 4B⁰, 10B², 1A⁰, 10A⁰, 20D², 4A⁰, 4D⁰, 20A⁴, 4F⁰, 2C⁰</t>
        </is>
      </c>
      <c r="O1714" t="inlineStr">
        <is>
          <t>40A¹⁶, 20A²², 40A¹⁷, 40A¹⁸</t>
        </is>
      </c>
    </row>
    <row r="1715">
      <c r="A1715">
        <f>HYPERLINK("https://mathstats.uncg.edu/sites/pauli/congruence/csg8.html#group20B8", "20B⁸")</f>
        <v/>
      </c>
      <c r="B1715" t="n">
        <v>8</v>
      </c>
      <c r="C1715" t="inlineStr"/>
      <c r="D1715" t="inlineStr">
        <is>
          <t>120</t>
        </is>
      </c>
      <c r="E1715" t="inlineStr">
        <is>
          <t>1</t>
        </is>
      </c>
      <c r="F1715" t="inlineStr">
        <is>
          <t>20</t>
        </is>
      </c>
      <c r="G1715" t="inlineStr">
        <is>
          <t>0</t>
        </is>
      </c>
      <c r="H1715" t="inlineStr">
        <is>
          <t>0</t>
        </is>
      </c>
      <c r="I1715" t="inlineStr">
        <is>
          <t>20⁶</t>
        </is>
      </c>
      <c r="J1715" t="n">
        <v>6</v>
      </c>
      <c r="K1715" t="inlineStr">
        <is>
          <t>2², 8²</t>
        </is>
      </c>
      <c r="L1715" t="inlineStr">
        <is>
          <t>10A², 20D², 20D³</t>
        </is>
      </c>
      <c r="M1715" t="inlineStr">
        <is>
          <t>20F¹⁵, 40B¹⁸, 40D¹⁸, 20A²²</t>
        </is>
      </c>
      <c r="N1715" t="inlineStr">
        <is>
          <t>2A⁰, 5A⁰, 10A², 20D², 10A⁰, 4A⁰, 4D⁰, 5E⁰, 20A¹, 1A⁰, 20D³</t>
        </is>
      </c>
      <c r="O1715" t="inlineStr">
        <is>
          <t>20A²², 20F¹⁵, 40B¹⁸, 40D¹⁸</t>
        </is>
      </c>
    </row>
    <row r="1716">
      <c r="A1716">
        <f>HYPERLINK("https://mathstats.uncg.edu/sites/pauli/congruence/csg8.html#group20C8", "20C⁸")</f>
        <v/>
      </c>
      <c r="B1716" t="n">
        <v>8</v>
      </c>
      <c r="C1716" t="inlineStr"/>
      <c r="D1716" t="inlineStr">
        <is>
          <t>180</t>
        </is>
      </c>
      <c r="E1716" t="inlineStr">
        <is>
          <t>1</t>
        </is>
      </c>
      <c r="F1716" t="inlineStr">
        <is>
          <t>45</t>
        </is>
      </c>
      <c r="G1716" t="inlineStr">
        <is>
          <t>8</t>
        </is>
      </c>
      <c r="H1716" t="inlineStr">
        <is>
          <t>0</t>
        </is>
      </c>
      <c r="I1716" t="inlineStr">
        <is>
          <t>10⁶, 20⁶</t>
        </is>
      </c>
      <c r="J1716" t="n">
        <v>12</v>
      </c>
      <c r="K1716" t="inlineStr">
        <is>
          <t>1³, 2³, 4⁹</t>
        </is>
      </c>
      <c r="L1716" t="inlineStr">
        <is>
          <t>10C³, 20P³, 20E⁴</t>
        </is>
      </c>
      <c r="M1716" t="inlineStr">
        <is>
          <t>20B¹⁷, 20D¹⁹, 20A²⁰, 20B²⁰, 40A²⁰, 40B²⁰, 40F²¹, 40E²³, 40F²³</t>
        </is>
      </c>
      <c r="N1716" t="inlineStr">
        <is>
          <t>10C³, 5A⁰, 10I¹, 20E⁴, 10B¹, 20B², 4C⁰, 5E⁰, 20P³, 2B⁰, 10E¹, 1A⁰</t>
        </is>
      </c>
      <c r="O1716" t="inlineStr">
        <is>
          <t>20B¹⁷, 40A²⁰, 20D¹⁹, 40B²⁰, 20A²⁰, 20B²⁰, 40E²³, 40F²³, 40F²¹</t>
        </is>
      </c>
    </row>
    <row r="1717">
      <c r="A1717">
        <f>HYPERLINK("https://mathstats.uncg.edu/sites/pauli/congruence/csg8.html#group21A8", "21A⁸")</f>
        <v/>
      </c>
      <c r="B1717" t="n">
        <v>8</v>
      </c>
      <c r="C1717" t="inlineStr"/>
      <c r="D1717" t="inlineStr">
        <is>
          <t>168</t>
        </is>
      </c>
      <c r="E1717" t="inlineStr">
        <is>
          <t>2</t>
        </is>
      </c>
      <c r="F1717" t="inlineStr">
        <is>
          <t>168</t>
        </is>
      </c>
      <c r="G1717" t="inlineStr">
        <is>
          <t>8</t>
        </is>
      </c>
      <c r="H1717" t="inlineStr">
        <is>
          <t>3</t>
        </is>
      </c>
      <c r="I1717" t="inlineStr">
        <is>
          <t>21⁸</t>
        </is>
      </c>
      <c r="J1717" t="n">
        <v>8</v>
      </c>
      <c r="K1717" t="inlineStr">
        <is>
          <t>12²⁸</t>
        </is>
      </c>
      <c r="L1717" t="inlineStr">
        <is>
          <t>21C¹</t>
        </is>
      </c>
      <c r="M1717" t="inlineStr">
        <is>
          <t>21C¹⁷, 42F²¹, 42J²³</t>
        </is>
      </c>
      <c r="N1717" t="inlineStr">
        <is>
          <t>1A⁰, 7C⁰, 7A⁰, 21C¹</t>
        </is>
      </c>
      <c r="O1717" t="inlineStr">
        <is>
          <t>21C¹⁷, 42F²¹, 42J²³</t>
        </is>
      </c>
    </row>
    <row r="1718">
      <c r="A1718">
        <f>HYPERLINK("https://mathstats.uncg.edu/sites/pauli/congruence/csg8.html#group22A8", "22A⁸")</f>
        <v/>
      </c>
      <c r="B1718" t="n">
        <v>8</v>
      </c>
      <c r="C1718" t="inlineStr"/>
      <c r="D1718" t="inlineStr">
        <is>
          <t>165</t>
        </is>
      </c>
      <c r="E1718" t="inlineStr">
        <is>
          <t>1</t>
        </is>
      </c>
      <c r="F1718" t="inlineStr">
        <is>
          <t>165</t>
        </is>
      </c>
      <c r="G1718" t="inlineStr">
        <is>
          <t>7</t>
        </is>
      </c>
      <c r="H1718" t="inlineStr">
        <is>
          <t>0</t>
        </is>
      </c>
      <c r="I1718" t="inlineStr">
        <is>
          <t>11⁵, 22⁵</t>
        </is>
      </c>
      <c r="J1718" t="n">
        <v>10</v>
      </c>
      <c r="K1718" t="inlineStr">
        <is>
          <t>5³, 10¹⁵</t>
        </is>
      </c>
      <c r="L1718" t="inlineStr">
        <is>
          <t>2B⁰, 11C¹</t>
        </is>
      </c>
      <c r="M1718" t="inlineStr">
        <is>
          <t>22D¹⁷, 22A¹⁸, 22C¹⁸, 44A¹⁸, 22A¹⁹, 44C¹⁹, 44B²⁰, 22A²¹, 44A²¹, 44B²², 44A²³</t>
        </is>
      </c>
      <c r="N1718" t="inlineStr">
        <is>
          <t>11C¹, 1A⁰, 2B⁰</t>
        </is>
      </c>
      <c r="O1718" t="inlineStr">
        <is>
          <t>22A¹⁹, 44A²³, 44A²¹, 22A¹⁸, 22A²¹, 44B²⁰, 44B²², 44A¹⁸, 22C¹⁸, 22D¹⁷, 44C¹⁹</t>
        </is>
      </c>
    </row>
    <row r="1719">
      <c r="A1719">
        <f>HYPERLINK("https://mathstats.uncg.edu/sites/pauli/congruence/csg8.html#group24A8", "24A⁸")</f>
        <v/>
      </c>
      <c r="B1719" t="n">
        <v>8</v>
      </c>
      <c r="C1719" t="inlineStr"/>
      <c r="D1719" t="inlineStr">
        <is>
          <t>144</t>
        </is>
      </c>
      <c r="E1719" t="inlineStr">
        <is>
          <t>1</t>
        </is>
      </c>
      <c r="F1719" t="inlineStr">
        <is>
          <t>3</t>
        </is>
      </c>
      <c r="G1719" t="inlineStr">
        <is>
          <t>0</t>
        </is>
      </c>
      <c r="H1719" t="inlineStr">
        <is>
          <t>0</t>
        </is>
      </c>
      <c r="I1719" t="inlineStr">
        <is>
          <t>12⁸, 24²</t>
        </is>
      </c>
      <c r="J1719" t="n">
        <v>10</v>
      </c>
      <c r="K1719" t="inlineStr">
        <is>
          <t>1³</t>
        </is>
      </c>
      <c r="L1719" t="inlineStr">
        <is>
          <t>8N⁰, 24J³, 12A⁴, 24G⁴</t>
        </is>
      </c>
      <c r="M1719" t="inlineStr">
        <is>
          <t>24B¹⁵, 24B¹⁷, 24W¹⁷, 48B¹⁸, 48G¹⁸, 24D¹⁹, 24H¹⁹</t>
        </is>
      </c>
      <c r="N1719" t="inlineStr">
        <is>
          <t>2A⁰, 8N⁰, 12C⁰, 6C¹, 12E¹, 12B², 4C⁰, 4G⁰, 2B⁰, 4E⁰, 4B⁰, 1A⁰, 8K⁰, 24J³, 12A⁴, 12A⁰, 6A⁰, 4A⁰, 4D⁰, 12A², 12J¹, 6A¹, 12B¹, 4F⁰, 3A⁰, 8J⁰, 2C⁰, 6D⁰, 24G⁴</t>
        </is>
      </c>
      <c r="O1719" t="inlineStr">
        <is>
          <t>48B¹⁸, 24W¹⁷, 24H¹⁹, 24B¹⁷, 48G¹⁸, 24B¹⁵, 24D¹⁹</t>
        </is>
      </c>
    </row>
    <row r="1720">
      <c r="A1720">
        <f>HYPERLINK("https://mathstats.uncg.edu/sites/pauli/congruence/csg8.html#group24B8", "24B⁸")</f>
        <v/>
      </c>
      <c r="B1720" t="n">
        <v>8</v>
      </c>
      <c r="C1720" t="inlineStr"/>
      <c r="D1720" t="inlineStr">
        <is>
          <t>144</t>
        </is>
      </c>
      <c r="E1720" t="inlineStr">
        <is>
          <t>1</t>
        </is>
      </c>
      <c r="F1720" t="inlineStr">
        <is>
          <t>6</t>
        </is>
      </c>
      <c r="G1720" t="inlineStr">
        <is>
          <t>0</t>
        </is>
      </c>
      <c r="H1720" t="inlineStr">
        <is>
          <t>0</t>
        </is>
      </c>
      <c r="I1720" t="inlineStr">
        <is>
          <t>6⁴, 12², 24⁴</t>
        </is>
      </c>
      <c r="J1720" t="n">
        <v>10</v>
      </c>
      <c r="K1720" t="inlineStr">
        <is>
          <t>1⁴, 2¹</t>
        </is>
      </c>
      <c r="L1720" t="inlineStr">
        <is>
          <t>8O⁰, 24D⁴, 24F⁴, 24G⁴</t>
        </is>
      </c>
      <c r="M1720" t="inlineStr">
        <is>
          <t>24E¹⁵, 24B¹⁷, 24S¹⁷, 48D¹⁷, 48H¹⁷, 48D¹⁸, 48I¹⁸, 48C¹⁹, 48M¹⁹</t>
        </is>
      </c>
      <c r="N1720" t="inlineStr">
        <is>
          <t>2A⁰, 12C⁰, 6C¹, 4C⁰, 12B², 8C⁰, 2B⁰, 4E⁰, 4B⁰, 1A⁰, 24B², 8G⁰, 12B¹, 6A¹, 3A⁰, 24F⁴, 8D⁰, 8I⁰, 24D⁴, 6A⁰, 24C¹, 8J⁰, 2C⁰, 6D⁰, 24G⁴, 8O⁰</t>
        </is>
      </c>
      <c r="O1720" t="inlineStr">
        <is>
          <t>48H¹⁷, 48M¹⁹, 24B¹⁷, 48D¹⁷, 48I¹⁸, 48C¹⁹, 24E¹⁵, 24S¹⁷, 48D¹⁸</t>
        </is>
      </c>
    </row>
    <row r="1721">
      <c r="A1721">
        <f>HYPERLINK("https://mathstats.uncg.edu/sites/pauli/congruence/csg8.html#group24C8", "24C⁸")</f>
        <v/>
      </c>
      <c r="B1721" t="n">
        <v>8</v>
      </c>
      <c r="C1721" t="inlineStr"/>
      <c r="D1721" t="inlineStr">
        <is>
          <t>144</t>
        </is>
      </c>
      <c r="E1721" t="inlineStr">
        <is>
          <t>1</t>
        </is>
      </c>
      <c r="F1721" t="inlineStr">
        <is>
          <t>9</t>
        </is>
      </c>
      <c r="G1721" t="inlineStr">
        <is>
          <t>0</t>
        </is>
      </c>
      <c r="H1721" t="inlineStr">
        <is>
          <t>0</t>
        </is>
      </c>
      <c r="I1721" t="inlineStr">
        <is>
          <t>12⁸, 24²</t>
        </is>
      </c>
      <c r="J1721" t="n">
        <v>10</v>
      </c>
      <c r="K1721" t="inlineStr">
        <is>
          <t>1³, 2³</t>
        </is>
      </c>
      <c r="L1721" t="inlineStr">
        <is>
          <t>24R³, 12A⁴, 24N⁴</t>
        </is>
      </c>
      <c r="M1721" t="inlineStr">
        <is>
          <t>24A¹⁵, 24B¹⁵, 24F¹⁷, 24R¹⁷, 24W¹⁷, 24G¹⁹, 24I¹⁹, 24S¹⁹</t>
        </is>
      </c>
      <c r="N1721" t="inlineStr">
        <is>
          <t>2A⁰, 12C⁰, 3A⁰, 6C¹, 12E¹, 12B², 4C⁰, 4G⁰, 2B⁰, 4E⁰, 4B⁰, 1A⁰, 12A⁴, 12A⁰, 6A⁰, 24N⁴, 4A⁰, 4D⁰, 12A², 24R³, 12J¹, 6A¹, 12B¹, 4F⁰, 2C⁰, 6D⁰</t>
        </is>
      </c>
      <c r="O1721" t="inlineStr">
        <is>
          <t>24W¹⁷, 24R¹⁷, 24B¹⁵, 24I¹⁹, 24G¹⁹, 24S¹⁹, 24F¹⁷, 24A¹⁵</t>
        </is>
      </c>
    </row>
    <row r="1722">
      <c r="A1722">
        <f>HYPERLINK("https://mathstats.uncg.edu/sites/pauli/congruence/csg8.html#group24D8", "24D⁸")</f>
        <v/>
      </c>
      <c r="B1722" t="n">
        <v>8</v>
      </c>
      <c r="C1722" t="inlineStr"/>
      <c r="D1722" t="inlineStr">
        <is>
          <t>144</t>
        </is>
      </c>
      <c r="E1722" t="inlineStr">
        <is>
          <t>1</t>
        </is>
      </c>
      <c r="F1722" t="inlineStr">
        <is>
          <t>18</t>
        </is>
      </c>
      <c r="G1722" t="inlineStr">
        <is>
          <t>0</t>
        </is>
      </c>
      <c r="H1722" t="inlineStr">
        <is>
          <t>0</t>
        </is>
      </c>
      <c r="I1722" t="inlineStr">
        <is>
          <t>6⁴, 12², 24⁴</t>
        </is>
      </c>
      <c r="J1722" t="n">
        <v>10</v>
      </c>
      <c r="K1722" t="inlineStr">
        <is>
          <t>1⁴, 2⁵, 4¹</t>
        </is>
      </c>
      <c r="L1722" t="inlineStr">
        <is>
          <t>24D⁴, 24M⁴, 24N⁴</t>
        </is>
      </c>
      <c r="M1722" t="inlineStr">
        <is>
          <t>24D¹⁵, 24E¹⁵, 24F¹⁷, 24P¹⁷, 24S¹⁷, 48I¹⁷, 48J¹⁷, 48BP¹⁷, 48N¹⁹, 48O¹⁹, 48AX¹⁹</t>
        </is>
      </c>
      <c r="N1722" t="inlineStr">
        <is>
          <t>2A⁰, 12C⁰, 8D⁰, 6C¹, 4C⁰, 12B², 2B⁰, 4E⁰, 8C⁰, 4B⁰, 1A⁰, 24D⁴, 24B², 6A⁰, 8G⁰, 24N⁴, 24M⁴, 24C¹, 12B¹, 6A¹, 3A⁰, 2C⁰, 6D⁰</t>
        </is>
      </c>
      <c r="O1722" t="inlineStr">
        <is>
          <t>48O¹⁹, 48AX¹⁹, 48J¹⁷, 48BP¹⁷, 24P¹⁷, 24D¹⁵, 48N¹⁹, 24E¹⁵, 24F¹⁷, 24S¹⁷, 48I¹⁷</t>
        </is>
      </c>
    </row>
    <row r="1723">
      <c r="A1723">
        <f>HYPERLINK("https://mathstats.uncg.edu/sites/pauli/congruence/csg8.html#group24E8", "24E⁸")</f>
        <v/>
      </c>
      <c r="B1723" t="n">
        <v>8</v>
      </c>
      <c r="C1723" t="inlineStr"/>
      <c r="D1723" t="inlineStr">
        <is>
          <t>144</t>
        </is>
      </c>
      <c r="E1723" t="inlineStr">
        <is>
          <t>1</t>
        </is>
      </c>
      <c r="F1723" t="inlineStr">
        <is>
          <t>36</t>
        </is>
      </c>
      <c r="G1723" t="inlineStr">
        <is>
          <t>0</t>
        </is>
      </c>
      <c r="H1723" t="inlineStr">
        <is>
          <t>0</t>
        </is>
      </c>
      <c r="I1723" t="inlineStr">
        <is>
          <t>6⁴, 12², 24⁴</t>
        </is>
      </c>
      <c r="J1723" t="n">
        <v>10</v>
      </c>
      <c r="K1723" t="inlineStr">
        <is>
          <t>2⁸, 4³, 8¹</t>
        </is>
      </c>
      <c r="L1723" t="inlineStr">
        <is>
          <t>24J⁴, 24M⁴</t>
        </is>
      </c>
      <c r="M1723" t="inlineStr">
        <is>
          <t>24D¹⁵, 24H¹⁵, 48W¹⁷, 48X¹⁷, 48BS¹⁷</t>
        </is>
      </c>
      <c r="N1723" t="inlineStr">
        <is>
          <t>6B⁰, 12D², 24J⁴, 8C⁰, 2B⁰, 4B⁰, 1A⁰, 24B², 12C¹, 24M⁴, 24D², 12B¹, 6H⁰, 3A⁰, 6D⁰</t>
        </is>
      </c>
      <c r="O1723" t="inlineStr">
        <is>
          <t>48W¹⁷, 24H¹⁵, 48X¹⁷, 48BS¹⁷, 24D¹⁵</t>
        </is>
      </c>
    </row>
    <row r="1724">
      <c r="A1724">
        <f>HYPERLINK("https://mathstats.uncg.edu/sites/pauli/congruence/csg8.html#group24F8", "24F⁸")</f>
        <v/>
      </c>
      <c r="B1724" t="n">
        <v>8</v>
      </c>
      <c r="C1724" t="inlineStr"/>
      <c r="D1724" t="inlineStr">
        <is>
          <t>144</t>
        </is>
      </c>
      <c r="E1724" t="inlineStr">
        <is>
          <t>1</t>
        </is>
      </c>
      <c r="F1724" t="inlineStr">
        <is>
          <t>36</t>
        </is>
      </c>
      <c r="G1724" t="inlineStr">
        <is>
          <t>0</t>
        </is>
      </c>
      <c r="H1724" t="inlineStr">
        <is>
          <t>0</t>
        </is>
      </c>
      <c r="I1724" t="inlineStr">
        <is>
          <t>6⁴, 12², 24⁴</t>
        </is>
      </c>
      <c r="J1724" t="n">
        <v>10</v>
      </c>
      <c r="K1724" t="inlineStr">
        <is>
          <t>1⁴, 2⁶, 4³, 8¹</t>
        </is>
      </c>
      <c r="L1724" t="inlineStr">
        <is>
          <t>24F⁴, 24J⁴, 24M⁴</t>
        </is>
      </c>
      <c r="M1724" t="inlineStr">
        <is>
          <t>24E¹⁵, 24H¹⁵, 48AC¹⁷, 48AD¹⁷, 48BT¹⁷</t>
        </is>
      </c>
      <c r="N1724" t="inlineStr">
        <is>
          <t>24F⁴, 6B⁰, 12D², 24J⁴, 8C⁰, 2B⁰, 8I⁰, 4B⁰, 1A⁰, 24B², 12C¹, 24M⁴, 24D², 12B¹, 6H⁰, 3A⁰, 6D⁰</t>
        </is>
      </c>
      <c r="O1724" t="inlineStr">
        <is>
          <t>48AC¹⁷, 24H¹⁵, 48AD¹⁷, 24E¹⁵, 48BT¹⁷</t>
        </is>
      </c>
    </row>
    <row r="1725">
      <c r="A1725">
        <f>HYPERLINK("https://mathstats.uncg.edu/sites/pauli/congruence/csg8.html#group24G8", "24G⁸")</f>
        <v/>
      </c>
      <c r="B1725" t="n">
        <v>8</v>
      </c>
      <c r="C1725" t="inlineStr"/>
      <c r="D1725" t="inlineStr">
        <is>
          <t>144</t>
        </is>
      </c>
      <c r="E1725" t="inlineStr">
        <is>
          <t>1</t>
        </is>
      </c>
      <c r="F1725" t="inlineStr">
        <is>
          <t>36</t>
        </is>
      </c>
      <c r="G1725" t="inlineStr">
        <is>
          <t>0</t>
        </is>
      </c>
      <c r="H1725" t="inlineStr">
        <is>
          <t>0</t>
        </is>
      </c>
      <c r="I1725" t="inlineStr">
        <is>
          <t>6⁴, 12², 24⁴</t>
        </is>
      </c>
      <c r="J1725" t="n">
        <v>10</v>
      </c>
      <c r="K1725" t="inlineStr">
        <is>
          <t>2¹², 4³</t>
        </is>
      </c>
      <c r="L1725" t="inlineStr">
        <is>
          <t>24E⁴, 24N⁴</t>
        </is>
      </c>
      <c r="M1725" t="inlineStr">
        <is>
          <t>24D¹⁵, 24I¹⁵, 24Q¹⁷, 24R¹⁷, 24AJ¹⁷</t>
        </is>
      </c>
      <c r="N1725" t="inlineStr">
        <is>
          <t>2A⁰, 24E¹, 12C⁰, 6C¹, 4C⁰, 12B², 2B⁰, 4E⁰, 4B⁰, 1A⁰, 6A⁰, 24N⁴, 24D², 24E⁴, 12B¹, 6A¹, 3A⁰, 2C⁰, 6D⁰</t>
        </is>
      </c>
      <c r="O1725" t="inlineStr">
        <is>
          <t>24Q¹⁷, 24I¹⁵, 24AJ¹⁷, 24R¹⁷, 24D¹⁵</t>
        </is>
      </c>
    </row>
    <row r="1726">
      <c r="A1726">
        <f>HYPERLINK("https://mathstats.uncg.edu/sites/pauli/congruence/csg8.html#group24H8", "24H⁸")</f>
        <v/>
      </c>
      <c r="B1726" t="n">
        <v>8</v>
      </c>
      <c r="C1726" t="inlineStr"/>
      <c r="D1726" t="inlineStr">
        <is>
          <t>144</t>
        </is>
      </c>
      <c r="E1726" t="inlineStr">
        <is>
          <t>1</t>
        </is>
      </c>
      <c r="F1726" t="inlineStr">
        <is>
          <t>36</t>
        </is>
      </c>
      <c r="G1726" t="inlineStr">
        <is>
          <t>0</t>
        </is>
      </c>
      <c r="H1726" t="inlineStr">
        <is>
          <t>0</t>
        </is>
      </c>
      <c r="I1726" t="inlineStr">
        <is>
          <t>6⁴, 12², 24⁴</t>
        </is>
      </c>
      <c r="J1726" t="n">
        <v>10</v>
      </c>
      <c r="K1726" t="inlineStr">
        <is>
          <t>1⁸, 2¹⁰, 4²</t>
        </is>
      </c>
      <c r="L1726" t="inlineStr">
        <is>
          <t>24E⁴, 24G⁴, 24N⁴</t>
        </is>
      </c>
      <c r="M1726" t="inlineStr">
        <is>
          <t>24E¹⁵, 24I¹⁵, 24U¹⁷, 24W¹⁷, 24AJ¹⁷</t>
        </is>
      </c>
      <c r="N1726" t="inlineStr">
        <is>
          <t>2A⁰, 24E¹, 12C⁰, 6C¹, 4C⁰, 12B², 2B⁰, 4E⁰, 4B⁰, 1A⁰, 6A⁰, 24N⁴, 24D², 24E⁴, 12B¹, 6A¹, 3A⁰, 8J⁰, 2C⁰, 6D⁰, 24G⁴</t>
        </is>
      </c>
      <c r="O1726" t="inlineStr">
        <is>
          <t>24W¹⁷, 24U¹⁷, 24I¹⁵, 24AJ¹⁷, 24E¹⁵</t>
        </is>
      </c>
    </row>
    <row r="1727">
      <c r="A1727">
        <f>HYPERLINK("https://mathstats.uncg.edu/sites/pauli/congruence/csg8.html#group24I8", "24I⁸")</f>
        <v/>
      </c>
      <c r="B1727" t="n">
        <v>8</v>
      </c>
      <c r="C1727" t="inlineStr"/>
      <c r="D1727" t="inlineStr">
        <is>
          <t>144</t>
        </is>
      </c>
      <c r="E1727" t="inlineStr">
        <is>
          <t>1</t>
        </is>
      </c>
      <c r="F1727" t="inlineStr">
        <is>
          <t>36</t>
        </is>
      </c>
      <c r="G1727" t="inlineStr">
        <is>
          <t>0</t>
        </is>
      </c>
      <c r="H1727" t="inlineStr">
        <is>
          <t>0</t>
        </is>
      </c>
      <c r="I1727" t="inlineStr">
        <is>
          <t>12⁸, 24²</t>
        </is>
      </c>
      <c r="J1727" t="n">
        <v>10</v>
      </c>
      <c r="K1727" t="inlineStr">
        <is>
          <t>2¹⁴, 4²</t>
        </is>
      </c>
      <c r="L1727" t="inlineStr">
        <is>
          <t>12C⁴, 24N⁴</t>
        </is>
      </c>
      <c r="M1727" t="inlineStr">
        <is>
          <t>24A¹⁵, 24J¹⁵, 24P¹⁷, 24Q¹⁷, 24AJ¹⁷</t>
        </is>
      </c>
      <c r="N1727" t="inlineStr">
        <is>
          <t>2A⁰, 12C⁰, 6C¹, 4C⁰, 12B², 12E², 2B⁰, 4E⁰, 12M¹, 4B⁰, 1A⁰, 6A⁰, 12C¹, 24N⁴, 12B¹, 6A¹, 12D⁰, 12C⁴, 3A⁰, 2C⁰, 6D⁰</t>
        </is>
      </c>
      <c r="O1727" t="inlineStr">
        <is>
          <t>24Q¹⁷, 24J¹⁵, 24AJ¹⁷, 24A¹⁵, 24P¹⁷</t>
        </is>
      </c>
    </row>
    <row r="1728">
      <c r="A1728">
        <f>HYPERLINK("https://mathstats.uncg.edu/sites/pauli/congruence/csg8.html#group24J8", "24J⁸")</f>
        <v/>
      </c>
      <c r="B1728" t="n">
        <v>8</v>
      </c>
      <c r="C1728" t="inlineStr"/>
      <c r="D1728" t="inlineStr">
        <is>
          <t>144</t>
        </is>
      </c>
      <c r="E1728" t="inlineStr">
        <is>
          <t>1</t>
        </is>
      </c>
      <c r="F1728" t="inlineStr">
        <is>
          <t>36</t>
        </is>
      </c>
      <c r="G1728" t="inlineStr">
        <is>
          <t>0</t>
        </is>
      </c>
      <c r="H1728" t="inlineStr">
        <is>
          <t>0</t>
        </is>
      </c>
      <c r="I1728" t="inlineStr">
        <is>
          <t>12⁸, 24²</t>
        </is>
      </c>
      <c r="J1728" t="n">
        <v>10</v>
      </c>
      <c r="K1728" t="inlineStr">
        <is>
          <t>1⁸, 2¹⁰, 4²</t>
        </is>
      </c>
      <c r="L1728" t="inlineStr">
        <is>
          <t>12C⁴, 24G⁴, 24N⁴</t>
        </is>
      </c>
      <c r="M1728" t="inlineStr">
        <is>
          <t>24B¹⁵, 24J¹⁵, 24S¹⁷, 24U¹⁷, 24AJ¹⁷</t>
        </is>
      </c>
      <c r="N1728" t="inlineStr">
        <is>
          <t>2A⁰, 12C⁰, 6C¹, 4C⁰, 12B², 12E², 2B⁰, 4E⁰, 12M¹, 4B⁰, 1A⁰, 6A⁰, 12C¹, 24N⁴, 12B¹, 6A¹, 12D⁰, 12C⁴, 3A⁰, 8J⁰, 2C⁰, 6D⁰, 24G⁴</t>
        </is>
      </c>
      <c r="O1728" t="inlineStr">
        <is>
          <t>24J¹⁵, 24U¹⁷, 24AJ¹⁷, 24S¹⁷, 24B¹⁵</t>
        </is>
      </c>
    </row>
    <row r="1729">
      <c r="A1729">
        <f>HYPERLINK("https://mathstats.uncg.edu/sites/pauli/congruence/csg8.html#group24K8", "24K⁸")</f>
        <v/>
      </c>
      <c r="B1729" t="n">
        <v>8</v>
      </c>
      <c r="C1729" t="inlineStr"/>
      <c r="D1729" t="inlineStr">
        <is>
          <t>144</t>
        </is>
      </c>
      <c r="E1729" t="inlineStr">
        <is>
          <t>1</t>
        </is>
      </c>
      <c r="F1729" t="inlineStr">
        <is>
          <t>36</t>
        </is>
      </c>
      <c r="G1729" t="inlineStr">
        <is>
          <t>8</t>
        </is>
      </c>
      <c r="H1729" t="inlineStr">
        <is>
          <t>0</t>
        </is>
      </c>
      <c r="I1729" t="inlineStr">
        <is>
          <t>24⁶</t>
        </is>
      </c>
      <c r="J1729" t="n">
        <v>6</v>
      </c>
      <c r="K1729" t="inlineStr">
        <is>
          <t>2², 4⁴, 8²</t>
        </is>
      </c>
      <c r="L1729" t="inlineStr">
        <is>
          <t>24J³, 24P³, 24O⁴</t>
        </is>
      </c>
      <c r="M1729" t="inlineStr">
        <is>
          <t>24P¹⁵, 24AC¹⁷, 24AL¹⁷, 48J¹⁸, 48K¹⁸, 48R¹⁸, 24H¹⁹, 24Q¹⁹</t>
        </is>
      </c>
      <c r="N1729" t="inlineStr">
        <is>
          <t>24O⁴, 24E¹, 12C⁰, 4C⁰, 24D¹, 2B⁰, 24P³, 24B¹, 1A⁰, 8K⁰, 24J³, 12A⁰, 4A⁰, 12J¹, 4F⁰, 3A⁰, 6D⁰</t>
        </is>
      </c>
      <c r="O1729" t="inlineStr">
        <is>
          <t>48K¹⁸, 48J¹⁸, 24AL¹⁷, 24P¹⁵, 24H¹⁹, 24Q¹⁹, 24AC¹⁷, 48R¹⁸</t>
        </is>
      </c>
    </row>
    <row r="1730">
      <c r="A1730">
        <f>HYPERLINK("https://mathstats.uncg.edu/sites/pauli/congruence/csg8.html#group24L8", "24L⁸")</f>
        <v/>
      </c>
      <c r="B1730" t="n">
        <v>8</v>
      </c>
      <c r="C1730" t="inlineStr"/>
      <c r="D1730" t="inlineStr">
        <is>
          <t>144</t>
        </is>
      </c>
      <c r="E1730" t="inlineStr">
        <is>
          <t>1</t>
        </is>
      </c>
      <c r="F1730" t="inlineStr">
        <is>
          <t>36</t>
        </is>
      </c>
      <c r="G1730" t="inlineStr">
        <is>
          <t>8</t>
        </is>
      </c>
      <c r="H1730" t="inlineStr">
        <is>
          <t>0</t>
        </is>
      </c>
      <c r="I1730" t="inlineStr">
        <is>
          <t>24⁶</t>
        </is>
      </c>
      <c r="J1730" t="n">
        <v>6</v>
      </c>
      <c r="K1730" t="inlineStr">
        <is>
          <t>2², 4⁴, 8²</t>
        </is>
      </c>
      <c r="L1730" t="inlineStr">
        <is>
          <t>24P³, 24R³, 24H⁴</t>
        </is>
      </c>
      <c r="M1730" t="inlineStr">
        <is>
          <t>24P¹⁵, 24AB¹⁷, 24AK¹⁷, 24I¹⁹, 24Q¹⁹, 48C²⁰, 48D²⁰, 48H²⁰</t>
        </is>
      </c>
      <c r="N1730" t="inlineStr">
        <is>
          <t>24E¹, 12C⁰, 4C⁰, 24D¹, 8A⁰, 2B⁰, 24P³, 1A⁰, 8D¹, 24H⁴, 12A⁰, 24A¹, 4A⁰, 24R³, 12J¹, 4F⁰, 3A⁰, 6D⁰</t>
        </is>
      </c>
      <c r="O1730" t="inlineStr">
        <is>
          <t>24P¹⁵, 48H²⁰, 24I¹⁹, 24Q¹⁹, 24AK¹⁷, 48D²⁰, 48C²⁰, 24AB¹⁷</t>
        </is>
      </c>
    </row>
    <row r="1731">
      <c r="A1731">
        <f>HYPERLINK("https://mathstats.uncg.edu/sites/pauli/congruence/csg8.html#group24M8", "24M⁸")</f>
        <v/>
      </c>
      <c r="B1731" t="n">
        <v>8</v>
      </c>
      <c r="C1731" t="inlineStr"/>
      <c r="D1731" t="inlineStr">
        <is>
          <t>144</t>
        </is>
      </c>
      <c r="E1731" t="inlineStr">
        <is>
          <t>1</t>
        </is>
      </c>
      <c r="F1731" t="inlineStr">
        <is>
          <t>36</t>
        </is>
      </c>
      <c r="G1731" t="inlineStr">
        <is>
          <t>8</t>
        </is>
      </c>
      <c r="H1731" t="inlineStr">
        <is>
          <t>0</t>
        </is>
      </c>
      <c r="I1731" t="inlineStr">
        <is>
          <t>24⁶</t>
        </is>
      </c>
      <c r="J1731" t="n">
        <v>6</v>
      </c>
      <c r="K1731" t="inlineStr">
        <is>
          <t>2², 4⁴, 8²</t>
        </is>
      </c>
      <c r="L1731" t="inlineStr">
        <is>
          <t>12I², 24G², 24H², 24O⁴</t>
        </is>
      </c>
      <c r="M1731" t="inlineStr">
        <is>
          <t>24O¹⁵, 24AE¹⁷, 24AL¹⁷, 24B¹⁹, 24L¹⁹, 48E²⁰, 48F²⁰</t>
        </is>
      </c>
      <c r="N1731" t="inlineStr">
        <is>
          <t>24O⁴, 12I², 6B⁰, 12C⁰, 4C⁰, 12F⁰, 2B⁰, 24B¹, 12M¹, 12H⁰, 1A⁰, 12A⁰, 4A⁰, 12J¹, 12D⁰, 4F⁰, 6H⁰, 3A⁰, 24G², 24H², 6D⁰</t>
        </is>
      </c>
      <c r="O1731" t="inlineStr">
        <is>
          <t>24AE¹⁷, 48E²⁰, 24B¹⁹, 24O¹⁵, 24L¹⁹, 24AL¹⁷, 48F²⁰</t>
        </is>
      </c>
    </row>
    <row r="1732">
      <c r="A1732">
        <f>HYPERLINK("https://mathstats.uncg.edu/sites/pauli/congruence/csg8.html#group24N8", "24N⁸")</f>
        <v/>
      </c>
      <c r="B1732" t="n">
        <v>8</v>
      </c>
      <c r="C1732" t="inlineStr"/>
      <c r="D1732" t="inlineStr">
        <is>
          <t>144</t>
        </is>
      </c>
      <c r="E1732" t="inlineStr">
        <is>
          <t>1</t>
        </is>
      </c>
      <c r="F1732" t="inlineStr">
        <is>
          <t>36</t>
        </is>
      </c>
      <c r="G1732" t="inlineStr">
        <is>
          <t>8</t>
        </is>
      </c>
      <c r="H1732" t="inlineStr">
        <is>
          <t>0</t>
        </is>
      </c>
      <c r="I1732" t="inlineStr">
        <is>
          <t>24⁶</t>
        </is>
      </c>
      <c r="J1732" t="n">
        <v>6</v>
      </c>
      <c r="K1732" t="inlineStr">
        <is>
          <t>2², 4⁴, 8²</t>
        </is>
      </c>
      <c r="L1732" t="inlineStr">
        <is>
          <t>12I², 24K², 24H⁴, 24O⁴</t>
        </is>
      </c>
      <c r="M1732" t="inlineStr">
        <is>
          <t>24P¹⁵, 24AE¹⁷, 24AK¹⁷, 24C¹⁹, 24P¹⁹, 48G²⁰, 48I²⁰</t>
        </is>
      </c>
      <c r="N1732" t="inlineStr">
        <is>
          <t>24O⁴, 12I², 6B⁰, 12C⁰, 4C⁰, 12F⁰, 8A⁰, 2B⁰, 24B¹, 12M¹, 12H⁰, 1A⁰, 8D¹, 24H⁴, 24K², 12A⁰, 24A¹, 4A⁰, 12J¹, 12D⁰, 4F⁰, 6H⁰, 3A⁰, 6D⁰</t>
        </is>
      </c>
      <c r="O1732" t="inlineStr">
        <is>
          <t>24P¹⁵, 48I²⁰, 24AE¹⁷, 24P¹⁹, 48G²⁰, 24AK¹⁷, 24C¹⁹</t>
        </is>
      </c>
    </row>
    <row r="1733">
      <c r="A1733">
        <f>HYPERLINK("https://mathstats.uncg.edu/sites/pauli/congruence/csg8.html#group24O8", "24O⁸")</f>
        <v/>
      </c>
      <c r="B1733" t="n">
        <v>8</v>
      </c>
      <c r="C1733" t="inlineStr"/>
      <c r="D1733" t="inlineStr">
        <is>
          <t>144</t>
        </is>
      </c>
      <c r="E1733" t="inlineStr">
        <is>
          <t>1</t>
        </is>
      </c>
      <c r="F1733" t="inlineStr">
        <is>
          <t>72</t>
        </is>
      </c>
      <c r="G1733" t="inlineStr">
        <is>
          <t>8</t>
        </is>
      </c>
      <c r="H1733" t="inlineStr">
        <is>
          <t>0</t>
        </is>
      </c>
      <c r="I1733" t="inlineStr">
        <is>
          <t>24⁶</t>
        </is>
      </c>
      <c r="J1733" t="n">
        <v>6</v>
      </c>
      <c r="K1733" t="inlineStr">
        <is>
          <t>4¹⁰, 8⁴</t>
        </is>
      </c>
      <c r="L1733" t="inlineStr">
        <is>
          <t>12H²</t>
        </is>
      </c>
      <c r="M1733" t="inlineStr">
        <is>
          <t>24T¹⁵, 24AA¹⁷, 24AM¹⁷, 24K¹⁹, 24R¹⁹</t>
        </is>
      </c>
      <c r="N1733" t="inlineStr">
        <is>
          <t>12H², 6B⁰, 12C⁰, 4C⁰, 12M¹, 2B⁰, 12D⁰, 6H⁰, 3A⁰, 12H⁰, 1A⁰, 6D⁰</t>
        </is>
      </c>
      <c r="O1733" t="inlineStr">
        <is>
          <t>24T¹⁵, 24K¹⁹, 24R¹⁹, 24AM¹⁷, 24AA¹⁷</t>
        </is>
      </c>
    </row>
    <row r="1734">
      <c r="A1734">
        <f>HYPERLINK("https://mathstats.uncg.edu/sites/pauli/congruence/csg8.html#group24P8", "24P⁸")</f>
        <v/>
      </c>
      <c r="B1734" t="n">
        <v>8</v>
      </c>
      <c r="C1734" t="inlineStr"/>
      <c r="D1734" t="inlineStr">
        <is>
          <t>144</t>
        </is>
      </c>
      <c r="E1734" t="inlineStr">
        <is>
          <t>2</t>
        </is>
      </c>
      <c r="F1734" t="inlineStr">
        <is>
          <t>36</t>
        </is>
      </c>
      <c r="G1734" t="inlineStr">
        <is>
          <t>8</t>
        </is>
      </c>
      <c r="H1734" t="inlineStr">
        <is>
          <t>0</t>
        </is>
      </c>
      <c r="I1734" t="inlineStr">
        <is>
          <t>24⁶</t>
        </is>
      </c>
      <c r="J1734" t="n">
        <v>6</v>
      </c>
      <c r="K1734" t="inlineStr">
        <is>
          <t>4⁶, 8⁶</t>
        </is>
      </c>
      <c r="L1734" t="inlineStr">
        <is>
          <t>24P³, 24R³, 24O⁴</t>
        </is>
      </c>
      <c r="M1734" t="inlineStr">
        <is>
          <t>24O¹⁵, 24AC¹⁷, 24AB¹⁷, 24AL¹⁷, 24AK¹⁷, 24M¹⁹, 24S¹⁹</t>
        </is>
      </c>
      <c r="N1734" t="inlineStr">
        <is>
          <t>24O⁴, 24E¹, 12A⁰, 12C⁰, 3A⁰, 4A⁰, 4C⁰, 24D¹, 24R³, 24P³, 12J¹, 24B¹, 2B⁰, 4F⁰, 1A⁰, 6D⁰</t>
        </is>
      </c>
      <c r="O1734" t="inlineStr">
        <is>
          <t>24M¹⁹, 24S¹⁹, 24AK¹⁷, 24AC¹⁷, 24AL¹⁷, 24O¹⁵, 24AB¹⁷</t>
        </is>
      </c>
    </row>
    <row r="1735">
      <c r="A1735">
        <f>HYPERLINK("https://mathstats.uncg.edu/sites/pauli/congruence/csg8.html#group25A8", "25A⁸")</f>
        <v/>
      </c>
      <c r="B1735" t="n">
        <v>8</v>
      </c>
      <c r="C1735" t="inlineStr"/>
      <c r="D1735" t="inlineStr">
        <is>
          <t>150</t>
        </is>
      </c>
      <c r="E1735" t="inlineStr">
        <is>
          <t>1</t>
        </is>
      </c>
      <c r="F1735" t="inlineStr">
        <is>
          <t>150</t>
        </is>
      </c>
      <c r="G1735" t="inlineStr">
        <is>
          <t>2</t>
        </is>
      </c>
      <c r="H1735" t="inlineStr">
        <is>
          <t>0</t>
        </is>
      </c>
      <c r="I1735" t="inlineStr">
        <is>
          <t>5⁵, 25⁵</t>
        </is>
      </c>
      <c r="J1735" t="n">
        <v>10</v>
      </c>
      <c r="K1735" t="inlineStr">
        <is>
          <t>1², 4¹², 20⁵</t>
        </is>
      </c>
      <c r="L1735" t="inlineStr">
        <is>
          <t>5G⁰, 25A⁰, 25A², 25B², 25C², 25D²</t>
        </is>
      </c>
      <c r="M1735" t="inlineStr">
        <is>
          <t>25A¹⁶, 50A²⁰, 50E²¹</t>
        </is>
      </c>
      <c r="N1735" t="inlineStr">
        <is>
          <t>5A⁰, 25A², 25D², 5C⁰, 25A⁰, 5B⁰, 5E⁰, 1A⁰, 25C², 5G⁰, 25B²</t>
        </is>
      </c>
      <c r="O1735" t="inlineStr">
        <is>
          <t>50E²¹, 50A²⁰, 25A¹⁶</t>
        </is>
      </c>
    </row>
    <row r="1736">
      <c r="A1736">
        <f>HYPERLINK("https://mathstats.uncg.edu/sites/pauli/congruence/csg8.html#group26A8", "26A⁸")</f>
        <v/>
      </c>
      <c r="B1736" t="n">
        <v>8</v>
      </c>
      <c r="C1736" t="inlineStr"/>
      <c r="D1736" t="inlineStr">
        <is>
          <t>156</t>
        </is>
      </c>
      <c r="E1736" t="inlineStr">
        <is>
          <t>1</t>
        </is>
      </c>
      <c r="F1736" t="inlineStr">
        <is>
          <t>78</t>
        </is>
      </c>
      <c r="G1736" t="inlineStr">
        <is>
          <t>12</t>
        </is>
      </c>
      <c r="H1736" t="inlineStr">
        <is>
          <t>0</t>
        </is>
      </c>
      <c r="I1736" t="inlineStr">
        <is>
          <t>26⁶</t>
        </is>
      </c>
      <c r="J1736" t="n">
        <v>6</v>
      </c>
      <c r="K1736" t="inlineStr">
        <is>
          <t>6¹, 12⁶</t>
        </is>
      </c>
      <c r="L1736" t="inlineStr">
        <is>
          <t>13A³</t>
        </is>
      </c>
      <c r="M1736" t="inlineStr">
        <is>
          <t>26A²¹, 52B²¹</t>
        </is>
      </c>
      <c r="N1736" t="inlineStr">
        <is>
          <t>13A³, 1A⁰</t>
        </is>
      </c>
      <c r="O1736" t="inlineStr">
        <is>
          <t>26A²¹, 52B²¹</t>
        </is>
      </c>
    </row>
    <row r="1737">
      <c r="A1737">
        <f>HYPERLINK("https://mathstats.uncg.edu/sites/pauli/congruence/csg8.html#group27A8", "27A⁸")</f>
        <v/>
      </c>
      <c r="B1737" t="n">
        <v>8</v>
      </c>
      <c r="C1737" t="inlineStr"/>
      <c r="D1737" t="inlineStr">
        <is>
          <t>162</t>
        </is>
      </c>
      <c r="E1737" t="inlineStr">
        <is>
          <t>1</t>
        </is>
      </c>
      <c r="F1737" t="inlineStr">
        <is>
          <t>162</t>
        </is>
      </c>
      <c r="G1737" t="inlineStr">
        <is>
          <t>2</t>
        </is>
      </c>
      <c r="H1737" t="inlineStr">
        <is>
          <t>0</t>
        </is>
      </c>
      <c r="I1737" t="inlineStr">
        <is>
          <t>9⁹, 27³</t>
        </is>
      </c>
      <c r="J1737" t="n">
        <v>12</v>
      </c>
      <c r="K1737" t="inlineStr">
        <is>
          <t>3¹, 6⁴, 9¹, 18⁷</t>
        </is>
      </c>
      <c r="L1737" t="inlineStr">
        <is>
          <t>9B²</t>
        </is>
      </c>
      <c r="M1737" t="inlineStr">
        <is>
          <t>27A¹⁶, 54A²¹, 27C²², 54H²²</t>
        </is>
      </c>
      <c r="N1737" t="inlineStr">
        <is>
          <t>9A⁰, 9G⁰, 3C⁰, 9B², 9E⁰, 3A⁰, 1A⁰, 9B¹</t>
        </is>
      </c>
      <c r="O1737" t="inlineStr">
        <is>
          <t>27A¹⁶, 27C²², 54H²², 54A²¹</t>
        </is>
      </c>
    </row>
    <row r="1738">
      <c r="A1738">
        <f>HYPERLINK("https://mathstats.uncg.edu/sites/pauli/congruence/csg8.html#group28A8", "28A⁸")</f>
        <v/>
      </c>
      <c r="B1738" t="n">
        <v>8</v>
      </c>
      <c r="C1738" t="inlineStr"/>
      <c r="D1738" t="inlineStr">
        <is>
          <t>126</t>
        </is>
      </c>
      <c r="E1738" t="inlineStr">
        <is>
          <t>1</t>
        </is>
      </c>
      <c r="F1738" t="inlineStr">
        <is>
          <t>63</t>
        </is>
      </c>
      <c r="G1738" t="inlineStr">
        <is>
          <t>2</t>
        </is>
      </c>
      <c r="H1738" t="inlineStr">
        <is>
          <t>0</t>
        </is>
      </c>
      <c r="I1738" t="inlineStr">
        <is>
          <t>14³, 28³</t>
        </is>
      </c>
      <c r="J1738" t="n">
        <v>6</v>
      </c>
      <c r="K1738" t="inlineStr">
        <is>
          <t>3³, 6⁹</t>
        </is>
      </c>
      <c r="L1738" t="inlineStr">
        <is>
          <t>14F²</t>
        </is>
      </c>
      <c r="M1738" t="inlineStr">
        <is>
          <t>28D¹⁵, 28G¹⁵, 28A¹⁶, 28B¹⁶, 28D¹⁶</t>
        </is>
      </c>
      <c r="N1738" t="inlineStr">
        <is>
          <t>14F², 2B⁰, 7D⁰, 14B¹, 1A⁰, 7A⁰</t>
        </is>
      </c>
      <c r="O1738" t="inlineStr">
        <is>
          <t>28G¹⁵, 28D¹⁵, 28B¹⁶, 28D¹⁶, 28A¹⁶</t>
        </is>
      </c>
    </row>
    <row r="1739">
      <c r="A1739">
        <f>HYPERLINK("https://mathstats.uncg.edu/sites/pauli/congruence/csg8.html#group28B8", "28B⁸")</f>
        <v/>
      </c>
      <c r="B1739" t="n">
        <v>8</v>
      </c>
      <c r="C1739" t="inlineStr"/>
      <c r="D1739" t="inlineStr">
        <is>
          <t>168</t>
        </is>
      </c>
      <c r="E1739" t="inlineStr">
        <is>
          <t>1</t>
        </is>
      </c>
      <c r="F1739" t="inlineStr">
        <is>
          <t>84</t>
        </is>
      </c>
      <c r="G1739" t="inlineStr">
        <is>
          <t>16</t>
        </is>
      </c>
      <c r="H1739" t="inlineStr">
        <is>
          <t>0</t>
        </is>
      </c>
      <c r="I1739" t="inlineStr">
        <is>
          <t>28⁶</t>
        </is>
      </c>
      <c r="J1739" t="n">
        <v>6</v>
      </c>
      <c r="K1739" t="inlineStr">
        <is>
          <t>6², 12⁶</t>
        </is>
      </c>
      <c r="L1739" t="inlineStr">
        <is>
          <t>14E¹, 28B⁴</t>
        </is>
      </c>
      <c r="M1739" t="inlineStr">
        <is>
          <t>28C¹⁹, 56A²², 56B²², 56H²², 28B²³</t>
        </is>
      </c>
      <c r="N1739" t="inlineStr">
        <is>
          <t>14E¹, 7D⁰, 4A⁰, 28B⁴, 28A¹, 1A⁰, 7A⁰</t>
        </is>
      </c>
      <c r="O1739" t="inlineStr">
        <is>
          <t>56B²², 56A²², 56H²², 28C¹⁹, 28B²³</t>
        </is>
      </c>
    </row>
    <row r="1740">
      <c r="A1740">
        <f>HYPERLINK("https://mathstats.uncg.edu/sites/pauli/congruence/csg8.html#group29A8", "29A⁸")</f>
        <v/>
      </c>
      <c r="B1740" t="n">
        <v>8</v>
      </c>
      <c r="C1740" t="inlineStr"/>
      <c r="D1740" t="inlineStr">
        <is>
          <t>210</t>
        </is>
      </c>
      <c r="E1740" t="inlineStr">
        <is>
          <t>1</t>
        </is>
      </c>
      <c r="F1740" t="inlineStr">
        <is>
          <t>30</t>
        </is>
      </c>
      <c r="G1740" t="inlineStr">
        <is>
          <t>14</t>
        </is>
      </c>
      <c r="H1740" t="inlineStr">
        <is>
          <t>0</t>
        </is>
      </c>
      <c r="I1740" t="inlineStr">
        <is>
          <t>1⁷, 29⁷</t>
        </is>
      </c>
      <c r="J1740" t="n">
        <v>14</v>
      </c>
      <c r="K1740" t="inlineStr">
        <is>
          <t>1², 28¹</t>
        </is>
      </c>
      <c r="L1740" t="inlineStr">
        <is>
          <t>29A²</t>
        </is>
      </c>
      <c r="M1740" t="inlineStr">
        <is>
          <t>29A²², 58A²²</t>
        </is>
      </c>
      <c r="N1740" t="inlineStr">
        <is>
          <t>1A⁰, 29A²</t>
        </is>
      </c>
      <c r="O1740" t="inlineStr">
        <is>
          <t>29A²², 58A²²</t>
        </is>
      </c>
    </row>
    <row r="1741">
      <c r="A1741">
        <f>HYPERLINK("https://mathstats.uncg.edu/sites/pauli/congruence/csg8.html#group30A8", "30A⁸")</f>
        <v/>
      </c>
      <c r="B1741" t="n">
        <v>8</v>
      </c>
      <c r="C1741" t="inlineStr"/>
      <c r="D1741" t="inlineStr">
        <is>
          <t>120</t>
        </is>
      </c>
      <c r="E1741" t="inlineStr">
        <is>
          <t>1</t>
        </is>
      </c>
      <c r="F1741" t="inlineStr">
        <is>
          <t>20</t>
        </is>
      </c>
      <c r="G1741" t="inlineStr">
        <is>
          <t>0</t>
        </is>
      </c>
      <c r="H1741" t="inlineStr">
        <is>
          <t>0</t>
        </is>
      </c>
      <c r="I1741" t="inlineStr">
        <is>
          <t>10³, 30³</t>
        </is>
      </c>
      <c r="J1741" t="n">
        <v>6</v>
      </c>
      <c r="K1741" t="inlineStr">
        <is>
          <t>1², 2¹, 4², 8¹</t>
        </is>
      </c>
      <c r="L1741" t="inlineStr">
        <is>
          <t>10A², 30D², 15A³</t>
        </is>
      </c>
      <c r="M1741" t="inlineStr">
        <is>
          <t>30C¹⁵, 60A¹⁸, 60C¹⁸, 30A²²</t>
        </is>
      </c>
      <c r="N1741" t="inlineStr">
        <is>
          <t>3B⁰, 15A³, 5A⁰, 2A⁰, 10A², 10A⁰, 30D², 6C⁰, 5E⁰, 15B¹, 1A⁰</t>
        </is>
      </c>
      <c r="O1741" t="inlineStr">
        <is>
          <t>60C¹⁸, 60A¹⁸, 30C¹⁵, 30A²²</t>
        </is>
      </c>
    </row>
    <row r="1742">
      <c r="A1742">
        <f>HYPERLINK("https://mathstats.uncg.edu/sites/pauli/congruence/csg8.html#group30B8", "30B⁸")</f>
        <v/>
      </c>
      <c r="B1742" t="n">
        <v>8</v>
      </c>
      <c r="C1742" t="inlineStr"/>
      <c r="D1742" t="inlineStr">
        <is>
          <t>120</t>
        </is>
      </c>
      <c r="E1742" t="inlineStr">
        <is>
          <t>1</t>
        </is>
      </c>
      <c r="F1742" t="inlineStr">
        <is>
          <t>20</t>
        </is>
      </c>
      <c r="G1742" t="inlineStr">
        <is>
          <t>0</t>
        </is>
      </c>
      <c r="H1742" t="inlineStr">
        <is>
          <t>0</t>
        </is>
      </c>
      <c r="I1742" t="inlineStr">
        <is>
          <t>10³, 30³</t>
        </is>
      </c>
      <c r="J1742" t="n">
        <v>6</v>
      </c>
      <c r="K1742" t="inlineStr">
        <is>
          <t>1², 2¹, 4², 8¹</t>
        </is>
      </c>
      <c r="L1742" t="inlineStr">
        <is>
          <t>6I⁰, 10B², 30D², 30D⁴</t>
        </is>
      </c>
      <c r="M1742" t="inlineStr">
        <is>
          <t>60A¹⁶, 60B¹⁷, 60B¹⁸, 30A²²</t>
        </is>
      </c>
      <c r="N1742" t="inlineStr">
        <is>
          <t>3B⁰, 2A⁰, 5A⁰, 6I⁰, 10B¹, 30D², 6C⁰, 2B⁰, 10B², 1A⁰, 10A⁰, 30D⁴, 15B¹, 6F⁰, 2C⁰</t>
        </is>
      </c>
      <c r="O1742" t="inlineStr">
        <is>
          <t>30A²², 60B¹⁷, 60B¹⁸, 60A¹⁶</t>
        </is>
      </c>
    </row>
    <row r="1743">
      <c r="A1743">
        <f>HYPERLINK("https://mathstats.uncg.edu/sites/pauli/congruence/csg8.html#group30C8", "30C⁸")</f>
        <v/>
      </c>
      <c r="B1743" t="n">
        <v>8</v>
      </c>
      <c r="C1743" t="inlineStr"/>
      <c r="D1743" t="inlineStr">
        <is>
          <t>120</t>
        </is>
      </c>
      <c r="E1743" t="inlineStr">
        <is>
          <t>1</t>
        </is>
      </c>
      <c r="F1743" t="inlineStr">
        <is>
          <t>40</t>
        </is>
      </c>
      <c r="G1743" t="inlineStr">
        <is>
          <t>0</t>
        </is>
      </c>
      <c r="H1743" t="inlineStr">
        <is>
          <t>3</t>
        </is>
      </c>
      <c r="I1743" t="inlineStr">
        <is>
          <t>30⁴</t>
        </is>
      </c>
      <c r="J1743" t="n">
        <v>4</v>
      </c>
      <c r="K1743" t="inlineStr">
        <is>
          <t>8⁵</t>
        </is>
      </c>
      <c r="L1743" t="inlineStr">
        <is>
          <t>10H¹, 30B²</t>
        </is>
      </c>
      <c r="M1743" t="inlineStr">
        <is>
          <t>60A¹⁷, 30B²²</t>
        </is>
      </c>
      <c r="N1743" t="inlineStr">
        <is>
          <t>10H¹, 30B², 2A⁰, 5A⁰, 10A⁰, 10D⁰, 5F⁰, 10C¹, 1A⁰, 5C⁰</t>
        </is>
      </c>
      <c r="O1743" t="inlineStr">
        <is>
          <t>60A¹⁷, 30B²²</t>
        </is>
      </c>
    </row>
    <row r="1744">
      <c r="A1744">
        <f>HYPERLINK("https://mathstats.uncg.edu/sites/pauli/congruence/csg8.html#group30D8", "30D⁸")</f>
        <v/>
      </c>
      <c r="B1744" t="n">
        <v>8</v>
      </c>
      <c r="C1744" t="inlineStr"/>
      <c r="D1744" t="inlineStr">
        <is>
          <t>120</t>
        </is>
      </c>
      <c r="E1744" t="inlineStr">
        <is>
          <t>1</t>
        </is>
      </c>
      <c r="F1744" t="inlineStr">
        <is>
          <t>60</t>
        </is>
      </c>
      <c r="G1744" t="inlineStr">
        <is>
          <t>0</t>
        </is>
      </c>
      <c r="H1744" t="inlineStr">
        <is>
          <t>0</t>
        </is>
      </c>
      <c r="I1744" t="inlineStr">
        <is>
          <t>10³, 30³</t>
        </is>
      </c>
      <c r="J1744" t="n">
        <v>6</v>
      </c>
      <c r="K1744" t="inlineStr">
        <is>
          <t>1², 2³, 4⁷, 8³</t>
        </is>
      </c>
      <c r="L1744" t="inlineStr">
        <is>
          <t>10E¹, 15A³</t>
        </is>
      </c>
      <c r="M1744" t="inlineStr">
        <is>
          <t>30B¹⁵, 30C¹⁵, 30C²²</t>
        </is>
      </c>
      <c r="N1744" t="inlineStr">
        <is>
          <t>3B⁰, 15A³, 5A⁰, 5E⁰, 15B¹, 10E¹, 1A⁰</t>
        </is>
      </c>
      <c r="O1744" t="inlineStr">
        <is>
          <t>30C²², 30C¹⁵, 30B¹⁵</t>
        </is>
      </c>
    </row>
    <row r="1745">
      <c r="A1745">
        <f>HYPERLINK("https://mathstats.uncg.edu/sites/pauli/congruence/csg8.html#group30E8", "30E⁸")</f>
        <v/>
      </c>
      <c r="B1745" t="n">
        <v>8</v>
      </c>
      <c r="C1745" t="inlineStr"/>
      <c r="D1745" t="inlineStr">
        <is>
          <t>120</t>
        </is>
      </c>
      <c r="E1745" t="inlineStr">
        <is>
          <t>2</t>
        </is>
      </c>
      <c r="F1745" t="inlineStr">
        <is>
          <t>40</t>
        </is>
      </c>
      <c r="G1745" t="inlineStr">
        <is>
          <t>0</t>
        </is>
      </c>
      <c r="H1745" t="inlineStr">
        <is>
          <t>3</t>
        </is>
      </c>
      <c r="I1745" t="inlineStr">
        <is>
          <t>30⁴</t>
        </is>
      </c>
      <c r="J1745" t="n">
        <v>4</v>
      </c>
      <c r="K1745" t="inlineStr">
        <is>
          <t>4⁴, 8⁸</t>
        </is>
      </c>
      <c r="L1745" t="inlineStr">
        <is>
          <t>30B², 30D²</t>
        </is>
      </c>
      <c r="M1745" t="inlineStr">
        <is>
          <t>60L¹⁷, 30D²²</t>
        </is>
      </c>
      <c r="N1745" t="inlineStr">
        <is>
          <t>2A⁰, 30B², 5A⁰, 3B⁰, 10A⁰, 30D², 6C⁰, 15B¹, 1A⁰</t>
        </is>
      </c>
      <c r="O1745" t="inlineStr">
        <is>
          <t>60L¹⁷, 30D²²</t>
        </is>
      </c>
    </row>
    <row r="1746">
      <c r="A1746">
        <f>HYPERLINK("https://mathstats.uncg.edu/sites/pauli/congruence/csg8.html#group33A8", "33A⁸")</f>
        <v/>
      </c>
      <c r="B1746" t="n">
        <v>8</v>
      </c>
      <c r="C1746" t="inlineStr"/>
      <c r="D1746" t="inlineStr">
        <is>
          <t>165</t>
        </is>
      </c>
      <c r="E1746" t="inlineStr">
        <is>
          <t>1</t>
        </is>
      </c>
      <c r="F1746" t="inlineStr">
        <is>
          <t>55</t>
        </is>
      </c>
      <c r="G1746" t="inlineStr">
        <is>
          <t>9</t>
        </is>
      </c>
      <c r="H1746" t="inlineStr">
        <is>
          <t>6</t>
        </is>
      </c>
      <c r="I1746" t="inlineStr">
        <is>
          <t>33⁵</t>
        </is>
      </c>
      <c r="J1746" t="n">
        <v>5</v>
      </c>
      <c r="K1746" t="inlineStr">
        <is>
          <t>10¹, 20⁵</t>
        </is>
      </c>
      <c r="L1746" t="inlineStr">
        <is>
          <t>11B¹</t>
        </is>
      </c>
      <c r="M1746" t="inlineStr">
        <is>
          <t>66A²²</t>
        </is>
      </c>
      <c r="N1746" t="inlineStr">
        <is>
          <t>11A⁰, 1A⁰, 11B¹</t>
        </is>
      </c>
      <c r="O1746" t="inlineStr">
        <is>
          <t>66A²²</t>
        </is>
      </c>
    </row>
    <row r="1747">
      <c r="A1747">
        <f>HYPERLINK("https://mathstats.uncg.edu/sites/pauli/congruence/csg8.html#group33B8", "33B⁸")</f>
        <v/>
      </c>
      <c r="B1747" t="n">
        <v>8</v>
      </c>
      <c r="C1747" t="inlineStr"/>
      <c r="D1747" t="inlineStr">
        <is>
          <t>165</t>
        </is>
      </c>
      <c r="E1747" t="inlineStr">
        <is>
          <t>1</t>
        </is>
      </c>
      <c r="F1747" t="inlineStr">
        <is>
          <t>55</t>
        </is>
      </c>
      <c r="G1747" t="inlineStr">
        <is>
          <t>9</t>
        </is>
      </c>
      <c r="H1747" t="inlineStr">
        <is>
          <t>6</t>
        </is>
      </c>
      <c r="I1747" t="inlineStr">
        <is>
          <t>33⁵</t>
        </is>
      </c>
      <c r="J1747" t="n">
        <v>5</v>
      </c>
      <c r="K1747" t="inlineStr">
        <is>
          <t>10¹, 20⁵</t>
        </is>
      </c>
      <c r="L1747" t="inlineStr">
        <is>
          <t>11B¹</t>
        </is>
      </c>
      <c r="M1747" t="inlineStr">
        <is>
          <t>66B²²</t>
        </is>
      </c>
      <c r="N1747" t="inlineStr">
        <is>
          <t>11A⁰, 1A⁰, 11B¹</t>
        </is>
      </c>
      <c r="O1747" t="inlineStr">
        <is>
          <t>66B²²</t>
        </is>
      </c>
    </row>
    <row r="1748">
      <c r="A1748">
        <f>HYPERLINK("https://mathstats.uncg.edu/sites/pauli/congruence/csg8.html#group35A8", "35A⁸")</f>
        <v/>
      </c>
      <c r="B1748" t="n">
        <v>8</v>
      </c>
      <c r="C1748" t="inlineStr"/>
      <c r="D1748" t="inlineStr">
        <is>
          <t>120</t>
        </is>
      </c>
      <c r="E1748" t="inlineStr">
        <is>
          <t>1</t>
        </is>
      </c>
      <c r="F1748" t="inlineStr">
        <is>
          <t>40</t>
        </is>
      </c>
      <c r="G1748" t="inlineStr">
        <is>
          <t>0</t>
        </is>
      </c>
      <c r="H1748" t="inlineStr">
        <is>
          <t>0</t>
        </is>
      </c>
      <c r="I1748" t="inlineStr">
        <is>
          <t>5³, 35³</t>
        </is>
      </c>
      <c r="J1748" t="n">
        <v>6</v>
      </c>
      <c r="K1748" t="inlineStr">
        <is>
          <t>1², 4², 6¹, 24¹</t>
        </is>
      </c>
      <c r="L1748" t="inlineStr">
        <is>
          <t>5E⁰, 35B²</t>
        </is>
      </c>
      <c r="M1748" t="inlineStr">
        <is>
          <t>35C¹⁵, 70A¹⁸, 70D¹⁸, 35A²²</t>
        </is>
      </c>
      <c r="N1748" t="inlineStr">
        <is>
          <t>5E⁰, 5A⁰, 35B², 1A⁰, 7B⁰</t>
        </is>
      </c>
      <c r="O1748" t="inlineStr">
        <is>
          <t>70D¹⁸, 70A¹⁸, 35C¹⁵, 35A²²</t>
        </is>
      </c>
    </row>
    <row r="1749">
      <c r="A1749">
        <f>HYPERLINK("https://mathstats.uncg.edu/sites/pauli/congruence/csg8.html#group35B8", "35B⁸")</f>
        <v/>
      </c>
      <c r="B1749" t="n">
        <v>8</v>
      </c>
      <c r="C1749" t="inlineStr"/>
      <c r="D1749" t="inlineStr">
        <is>
          <t>120</t>
        </is>
      </c>
      <c r="E1749" t="inlineStr">
        <is>
          <t>1</t>
        </is>
      </c>
      <c r="F1749" t="inlineStr">
        <is>
          <t>40</t>
        </is>
      </c>
      <c r="G1749" t="inlineStr">
        <is>
          <t>0</t>
        </is>
      </c>
      <c r="H1749" t="inlineStr">
        <is>
          <t>0</t>
        </is>
      </c>
      <c r="I1749" t="inlineStr">
        <is>
          <t>5³, 35³</t>
        </is>
      </c>
      <c r="J1749" t="n">
        <v>6</v>
      </c>
      <c r="K1749" t="inlineStr">
        <is>
          <t>1², 4², 6¹, 24¹</t>
        </is>
      </c>
      <c r="L1749" t="inlineStr">
        <is>
          <t>7E⁰, 35B²</t>
        </is>
      </c>
      <c r="M1749" t="inlineStr">
        <is>
          <t>70B¹⁸, 35A²²</t>
        </is>
      </c>
      <c r="N1749" t="inlineStr">
        <is>
          <t>5A⁰, 7E⁰, 35B², 1A⁰, 7B⁰</t>
        </is>
      </c>
      <c r="O1749" t="inlineStr">
        <is>
          <t>70B¹⁸, 35A²²</t>
        </is>
      </c>
    </row>
    <row r="1750">
      <c r="A1750">
        <f>HYPERLINK("https://mathstats.uncg.edu/sites/pauli/congruence/csg8.html#group35C8", "35C⁸")</f>
        <v/>
      </c>
      <c r="B1750" t="n">
        <v>8</v>
      </c>
      <c r="C1750" t="inlineStr"/>
      <c r="D1750" t="inlineStr">
        <is>
          <t>140</t>
        </is>
      </c>
      <c r="E1750" t="inlineStr">
        <is>
          <t>2</t>
        </is>
      </c>
      <c r="F1750" t="inlineStr">
        <is>
          <t>70</t>
        </is>
      </c>
      <c r="G1750" t="inlineStr">
        <is>
          <t>8</t>
        </is>
      </c>
      <c r="H1750" t="inlineStr">
        <is>
          <t>2</t>
        </is>
      </c>
      <c r="I1750" t="inlineStr">
        <is>
          <t>35⁴</t>
        </is>
      </c>
      <c r="J1750" t="n">
        <v>4</v>
      </c>
      <c r="K1750" t="inlineStr">
        <is>
          <t>4¹, 8², 12², 24⁴</t>
        </is>
      </c>
      <c r="L1750" t="inlineStr">
        <is>
          <t>35B⁴</t>
        </is>
      </c>
      <c r="M1750" t="inlineStr">
        <is>
          <t>70I¹⁷, 35B¹⁹, 70B²¹</t>
        </is>
      </c>
      <c r="N1750" t="inlineStr">
        <is>
          <t>5C⁰, 1A⁰, 35B⁴, 7A⁰</t>
        </is>
      </c>
      <c r="O1750" t="inlineStr">
        <is>
          <t>70B²¹, 70I¹⁷, 35B¹⁹</t>
        </is>
      </c>
    </row>
    <row r="1751">
      <c r="A1751">
        <f>HYPERLINK("https://mathstats.uncg.edu/sites/pauli/congruence/csg8.html#group36A8", "36A⁸")</f>
        <v/>
      </c>
      <c r="B1751" t="n">
        <v>8</v>
      </c>
      <c r="C1751" t="inlineStr"/>
      <c r="D1751" t="inlineStr">
        <is>
          <t>108</t>
        </is>
      </c>
      <c r="E1751" t="inlineStr">
        <is>
          <t>1</t>
        </is>
      </c>
      <c r="F1751" t="inlineStr">
        <is>
          <t>9</t>
        </is>
      </c>
      <c r="G1751" t="inlineStr">
        <is>
          <t>0</t>
        </is>
      </c>
      <c r="H1751" t="inlineStr">
        <is>
          <t>0</t>
        </is>
      </c>
      <c r="I1751" t="inlineStr">
        <is>
          <t>18², 36²</t>
        </is>
      </c>
      <c r="J1751" t="n">
        <v>4</v>
      </c>
      <c r="K1751" t="inlineStr">
        <is>
          <t>1³, 2³</t>
        </is>
      </c>
      <c r="L1751" t="inlineStr">
        <is>
          <t>12C², 18I², 36E⁴</t>
        </is>
      </c>
      <c r="M1751" t="inlineStr">
        <is>
          <t>36A¹⁵, 36B¹⁵, 36C¹⁵, 36A²², 36H²²</t>
        </is>
      </c>
      <c r="N1751" t="inlineStr">
        <is>
          <t>9D⁰, 12C¹, 9A⁰, 6G⁰, 36E⁴, 3C⁰, 2B⁰, 1A⁰, 18E¹, 3A⁰, 12C², 18I², 6D⁰</t>
        </is>
      </c>
      <c r="O1751" t="inlineStr">
        <is>
          <t>36C¹⁵, 36H²², 36A¹⁵, 36B¹⁵, 36A²²</t>
        </is>
      </c>
    </row>
    <row r="1752">
      <c r="A1752">
        <f>HYPERLINK("https://mathstats.uncg.edu/sites/pauli/congruence/csg8.html#group36B8", "36B⁸")</f>
        <v/>
      </c>
      <c r="B1752" t="n">
        <v>8</v>
      </c>
      <c r="C1752" t="inlineStr"/>
      <c r="D1752" t="inlineStr">
        <is>
          <t>108</t>
        </is>
      </c>
      <c r="E1752" t="inlineStr">
        <is>
          <t>1</t>
        </is>
      </c>
      <c r="F1752" t="inlineStr">
        <is>
          <t>27</t>
        </is>
      </c>
      <c r="G1752" t="inlineStr">
        <is>
          <t>0</t>
        </is>
      </c>
      <c r="H1752" t="inlineStr">
        <is>
          <t>0</t>
        </is>
      </c>
      <c r="I1752" t="inlineStr">
        <is>
          <t>18², 36²</t>
        </is>
      </c>
      <c r="J1752" t="n">
        <v>4</v>
      </c>
      <c r="K1752" t="inlineStr">
        <is>
          <t>1³, 2³, 6³</t>
        </is>
      </c>
      <c r="L1752" t="inlineStr">
        <is>
          <t>12B², 36B², 18A⁴, 36D⁴</t>
        </is>
      </c>
      <c r="M1752" t="inlineStr">
        <is>
          <t>36D¹⁵, 36K¹⁵, 36A¹⁶, 36B¹⁶, 36E¹⁶, 72A¹⁶, 72B¹⁶, 72G¹⁶, 72H¹⁶, 72I¹⁶, 72Q¹⁶, 72C¹⁷, 72E¹⁷, 72K¹⁷, 36F²²</t>
        </is>
      </c>
      <c r="N1752" t="inlineStr">
        <is>
          <t>2A⁰, 12C⁰, 36B², 6C¹, 12B², 4C⁰, 2B⁰, 4E⁰, 18A², 4B⁰, 1A⁰, 6A⁰, 18A⁴, 9A⁰, 36D⁴, 12B¹, 6A¹, 18E¹, 3A⁰, 2C⁰, 6D⁰</t>
        </is>
      </c>
      <c r="O1752" t="inlineStr">
        <is>
          <t>36E¹⁶, 72E¹⁷, 72G¹⁶, 36K¹⁵, 72C¹⁷, 36B¹⁶, 72Q¹⁶, 72I¹⁶, 36A¹⁶, 72H¹⁶, 36F²², 72B¹⁶, 72A¹⁶, 36D¹⁵, 72K¹⁷</t>
        </is>
      </c>
    </row>
    <row r="1753">
      <c r="A1753">
        <f>HYPERLINK("https://mathstats.uncg.edu/sites/pauli/congruence/csg8.html#group36C8", "36C⁸")</f>
        <v/>
      </c>
      <c r="B1753" t="n">
        <v>8</v>
      </c>
      <c r="C1753" t="inlineStr"/>
      <c r="D1753" t="inlineStr">
        <is>
          <t>108</t>
        </is>
      </c>
      <c r="E1753" t="inlineStr">
        <is>
          <t>1</t>
        </is>
      </c>
      <c r="F1753" t="inlineStr">
        <is>
          <t>27</t>
        </is>
      </c>
      <c r="G1753" t="inlineStr">
        <is>
          <t>0</t>
        </is>
      </c>
      <c r="H1753" t="inlineStr">
        <is>
          <t>0</t>
        </is>
      </c>
      <c r="I1753" t="inlineStr">
        <is>
          <t>18², 36²</t>
        </is>
      </c>
      <c r="J1753" t="n">
        <v>4</v>
      </c>
      <c r="K1753" t="inlineStr">
        <is>
          <t>1³, 2³, 6³</t>
        </is>
      </c>
      <c r="L1753" t="inlineStr">
        <is>
          <t>12D², 18D³, 36E³, 36D⁴</t>
        </is>
      </c>
      <c r="M1753" t="inlineStr">
        <is>
          <t>36D¹⁵, 36I¹⁵, 72C¹⁶, 72D¹⁶, 36I²²</t>
        </is>
      </c>
      <c r="N1753" t="inlineStr">
        <is>
          <t>6B⁰, 36E³, 12D², 18B¹, 2B⁰, 4B⁰, 1A⁰, 18D³, 12C¹, 9A⁰, 36D⁴, 18E¹, 12B¹, 6H⁰, 3A⁰, 18A¹, 6D⁰</t>
        </is>
      </c>
      <c r="O1753" t="inlineStr">
        <is>
          <t>36D¹⁵, 72D¹⁶, 72C¹⁶, 36I¹⁵, 36I²²</t>
        </is>
      </c>
    </row>
    <row r="1754">
      <c r="A1754">
        <f>HYPERLINK("https://mathstats.uncg.edu/sites/pauli/congruence/csg8.html#group36D8", "36D⁸")</f>
        <v/>
      </c>
      <c r="B1754" t="n">
        <v>8</v>
      </c>
      <c r="C1754" t="inlineStr"/>
      <c r="D1754" t="inlineStr">
        <is>
          <t>108</t>
        </is>
      </c>
      <c r="E1754" t="inlineStr">
        <is>
          <t>1</t>
        </is>
      </c>
      <c r="F1754" t="inlineStr">
        <is>
          <t>27</t>
        </is>
      </c>
      <c r="G1754" t="inlineStr">
        <is>
          <t>0</t>
        </is>
      </c>
      <c r="H1754" t="inlineStr">
        <is>
          <t>0</t>
        </is>
      </c>
      <c r="I1754" t="inlineStr">
        <is>
          <t>18², 36²</t>
        </is>
      </c>
      <c r="J1754" t="n">
        <v>4</v>
      </c>
      <c r="K1754" t="inlineStr">
        <is>
          <t>1³, 2³, 6³</t>
        </is>
      </c>
      <c r="L1754" t="inlineStr">
        <is>
          <t>12E², 36D³, 36E³, 18A⁴</t>
        </is>
      </c>
      <c r="M1754" t="inlineStr">
        <is>
          <t>36D¹⁵, 36J¹⁵, 36B¹⁶, 36C¹⁶, 36J²²</t>
        </is>
      </c>
      <c r="N1754" t="inlineStr">
        <is>
          <t>2A⁰, 36E³, 6C¹, 12E², 2B⁰, 18A², 1A⁰, 12C¹, 6A⁰, 18A⁴, 36D³, 9A⁰, 6A¹, 12D⁰, 18E¹, 3A⁰, 2C⁰, 6D⁰</t>
        </is>
      </c>
      <c r="O1754" t="inlineStr">
        <is>
          <t>36C¹⁶, 36D¹⁵, 36B¹⁶, 36J²², 36J¹⁵</t>
        </is>
      </c>
    </row>
    <row r="1755">
      <c r="A1755">
        <f>HYPERLINK("https://mathstats.uncg.edu/sites/pauli/congruence/csg8.html#group36E8", "36E⁸")</f>
        <v/>
      </c>
      <c r="B1755" t="n">
        <v>8</v>
      </c>
      <c r="C1755" t="inlineStr"/>
      <c r="D1755" t="inlineStr">
        <is>
          <t>108</t>
        </is>
      </c>
      <c r="E1755" t="inlineStr">
        <is>
          <t>2</t>
        </is>
      </c>
      <c r="F1755" t="inlineStr">
        <is>
          <t>27</t>
        </is>
      </c>
      <c r="G1755" t="inlineStr">
        <is>
          <t>0</t>
        </is>
      </c>
      <c r="H1755" t="inlineStr">
        <is>
          <t>0</t>
        </is>
      </c>
      <c r="I1755" t="inlineStr">
        <is>
          <t>18², 36²</t>
        </is>
      </c>
      <c r="J1755" t="n">
        <v>4</v>
      </c>
      <c r="K1755" t="inlineStr">
        <is>
          <t>2⁹, 6⁶</t>
        </is>
      </c>
      <c r="L1755" t="inlineStr">
        <is>
          <t>12C², 18E³, 36E³, 36E⁴</t>
        </is>
      </c>
      <c r="M1755" t="inlineStr">
        <is>
          <t>36A¹⁵, 36I¹⁵, 36J¹⁵, 36C²², 36H²²</t>
        </is>
      </c>
      <c r="N1755" t="inlineStr">
        <is>
          <t>36E³, 12C¹, 9A⁰, 6D⁰, 6G⁰, 36E⁴, 1A⁰, 2B⁰, 3C⁰, 18E¹, 3A⁰, 12C², 9B¹, 18E³</t>
        </is>
      </c>
      <c r="O1755" t="inlineStr">
        <is>
          <t>36H²², 36J¹⁵, 36A¹⁵, 36C²², 36I¹⁵</t>
        </is>
      </c>
    </row>
    <row r="1756">
      <c r="A1756">
        <f>HYPERLINK("https://mathstats.uncg.edu/sites/pauli/congruence/csg8.html#group36F8", "36F⁸")</f>
        <v/>
      </c>
      <c r="B1756" t="n">
        <v>8</v>
      </c>
      <c r="C1756" t="inlineStr"/>
      <c r="D1756" t="inlineStr">
        <is>
          <t>108</t>
        </is>
      </c>
      <c r="E1756" t="inlineStr">
        <is>
          <t>2</t>
        </is>
      </c>
      <c r="F1756" t="inlineStr">
        <is>
          <t>27</t>
        </is>
      </c>
      <c r="G1756" t="inlineStr">
        <is>
          <t>0</t>
        </is>
      </c>
      <c r="H1756" t="inlineStr">
        <is>
          <t>0</t>
        </is>
      </c>
      <c r="I1756" t="inlineStr">
        <is>
          <t>18², 36²</t>
        </is>
      </c>
      <c r="J1756" t="n">
        <v>4</v>
      </c>
      <c r="K1756" t="inlineStr">
        <is>
          <t>2⁹, 6⁶</t>
        </is>
      </c>
      <c r="L1756" t="inlineStr">
        <is>
          <t>12D², 18L², 36D⁴, 36E⁴</t>
        </is>
      </c>
      <c r="M1756" t="inlineStr">
        <is>
          <t>36B¹⁵, 36I¹⁵, 36K¹⁵, 72K¹⁶, 72J¹⁶, 36D²², 36I²²</t>
        </is>
      </c>
      <c r="N1756" t="inlineStr">
        <is>
          <t>6B⁰, 12D², 6H⁰, 36E⁴, 2B⁰, 4B⁰, 1A⁰, 18A⁰, 18L², 12C¹, 9A⁰, 36D⁴, 12B¹, 18E¹, 3A⁰, 6D⁰</t>
        </is>
      </c>
      <c r="O1756" t="inlineStr">
        <is>
          <t>36K¹⁵, 36B¹⁵, 36D²², 72J¹⁶, 72K¹⁶, 36I¹⁵, 36I²²</t>
        </is>
      </c>
    </row>
    <row r="1757">
      <c r="A1757">
        <f>HYPERLINK("https://mathstats.uncg.edu/sites/pauli/congruence/csg8.html#group36G8", "36G⁸")</f>
        <v/>
      </c>
      <c r="B1757" t="n">
        <v>8</v>
      </c>
      <c r="C1757" t="inlineStr"/>
      <c r="D1757" t="inlineStr">
        <is>
          <t>108</t>
        </is>
      </c>
      <c r="E1757" t="inlineStr">
        <is>
          <t>2</t>
        </is>
      </c>
      <c r="F1757" t="inlineStr">
        <is>
          <t>27</t>
        </is>
      </c>
      <c r="G1757" t="inlineStr">
        <is>
          <t>0</t>
        </is>
      </c>
      <c r="H1757" t="inlineStr">
        <is>
          <t>0</t>
        </is>
      </c>
      <c r="I1757" t="inlineStr">
        <is>
          <t>18², 36²</t>
        </is>
      </c>
      <c r="J1757" t="n">
        <v>4</v>
      </c>
      <c r="K1757" t="inlineStr">
        <is>
          <t>2⁹, 6⁶</t>
        </is>
      </c>
      <c r="L1757" t="inlineStr">
        <is>
          <t>12E², 36C², 18A⁴, 36E⁴</t>
        </is>
      </c>
      <c r="M1757" t="inlineStr">
        <is>
          <t>36C¹⁵, 36K¹⁵, 36J¹⁵, 36C¹⁶, 36E¹⁶, 36E²², 36J²²</t>
        </is>
      </c>
      <c r="N1757" t="inlineStr">
        <is>
          <t>2A⁰, 6C¹, 12E², 36E⁴, 2B⁰, 18A², 1A⁰, 12C¹, 6A⁰, 18A⁴, 9A⁰, 6A¹, 12D⁰, 18E¹, 3A⁰, 2C⁰, 6D⁰, 36C²</t>
        </is>
      </c>
      <c r="O1757" t="inlineStr">
        <is>
          <t>36E¹⁶, 36C¹⁵, 36C¹⁶, 36K¹⁵, 36J²², 36J¹⁵, 36E²²</t>
        </is>
      </c>
    </row>
    <row r="1758">
      <c r="A1758">
        <f>HYPERLINK("https://mathstats.uncg.edu/sites/pauli/congruence/csg8.html#group36H8", "36H⁸")</f>
        <v/>
      </c>
      <c r="B1758" t="n">
        <v>8</v>
      </c>
      <c r="C1758" t="inlineStr"/>
      <c r="D1758" t="inlineStr">
        <is>
          <t>144</t>
        </is>
      </c>
      <c r="E1758" t="inlineStr">
        <is>
          <t>1</t>
        </is>
      </c>
      <c r="F1758" t="inlineStr">
        <is>
          <t>12</t>
        </is>
      </c>
      <c r="G1758" t="inlineStr">
        <is>
          <t>0</t>
        </is>
      </c>
      <c r="H1758" t="inlineStr">
        <is>
          <t>0</t>
        </is>
      </c>
      <c r="I1758" t="inlineStr">
        <is>
          <t>6⁴, 12¹, 18⁴, 36¹</t>
        </is>
      </c>
      <c r="J1758" t="n">
        <v>10</v>
      </c>
      <c r="K1758" t="inlineStr">
        <is>
          <t>1⁶, 2³</t>
        </is>
      </c>
      <c r="L1758" t="inlineStr">
        <is>
          <t>12I⁰, 18C⁴</t>
        </is>
      </c>
      <c r="M1758" t="inlineStr">
        <is>
          <t>36A¹⁷, 36C¹⁹, 36K²², 36N²²</t>
        </is>
      </c>
      <c r="N1758" t="inlineStr">
        <is>
          <t>3B⁰, 2A⁰, 18B⁰, 6I⁰, 18C², 6C⁰, 12I⁰, 18D², 1A⁰, 2B⁰, 9C⁰, 6F⁰, 2C⁰, 18C⁴</t>
        </is>
      </c>
      <c r="O1758" t="inlineStr">
        <is>
          <t>36N²², 36K²², 36A¹⁷, 36C¹⁹</t>
        </is>
      </c>
    </row>
    <row r="1759">
      <c r="A1759">
        <f>HYPERLINK("https://mathstats.uncg.edu/sites/pauli/congruence/csg8.html#group36I8", "36I⁸")</f>
        <v/>
      </c>
      <c r="B1759" t="n">
        <v>8</v>
      </c>
      <c r="C1759" t="inlineStr"/>
      <c r="D1759" t="inlineStr">
        <is>
          <t>144</t>
        </is>
      </c>
      <c r="E1759" t="inlineStr">
        <is>
          <t>1</t>
        </is>
      </c>
      <c r="F1759" t="inlineStr">
        <is>
          <t>12</t>
        </is>
      </c>
      <c r="G1759" t="inlineStr">
        <is>
          <t>0</t>
        </is>
      </c>
      <c r="H1759" t="inlineStr">
        <is>
          <t>0</t>
        </is>
      </c>
      <c r="I1759" t="inlineStr">
        <is>
          <t>6⁴, 12¹, 18⁴, 36¹</t>
        </is>
      </c>
      <c r="J1759" t="n">
        <v>10</v>
      </c>
      <c r="K1759" t="inlineStr">
        <is>
          <t>1⁶, 2³</t>
        </is>
      </c>
      <c r="L1759" t="inlineStr">
        <is>
          <t>12I⁰, 18D⁴</t>
        </is>
      </c>
      <c r="M1759" t="inlineStr">
        <is>
          <t>36B¹⁷, 36D¹⁹, 36K²², 36O²²</t>
        </is>
      </c>
      <c r="N1759" t="inlineStr">
        <is>
          <t>3B⁰, 2A⁰, 18B², 6I⁰, 9A¹, 12I⁰, 18E², 6C⁰, 1A⁰, 18D⁴, 2B⁰, 6F⁰, 2C⁰, 18D¹</t>
        </is>
      </c>
      <c r="O1759" t="inlineStr">
        <is>
          <t>36D¹⁹, 36B¹⁷, 36K²², 36O²²</t>
        </is>
      </c>
    </row>
    <row r="1760">
      <c r="A1760">
        <f>HYPERLINK("https://mathstats.uncg.edu/sites/pauli/congruence/csg8.html#group36J8", "36J⁸")</f>
        <v/>
      </c>
      <c r="B1760" t="n">
        <v>8</v>
      </c>
      <c r="C1760" t="inlineStr"/>
      <c r="D1760" t="inlineStr">
        <is>
          <t>144</t>
        </is>
      </c>
      <c r="E1760" t="inlineStr">
        <is>
          <t>1</t>
        </is>
      </c>
      <c r="F1760" t="inlineStr">
        <is>
          <t>24</t>
        </is>
      </c>
      <c r="G1760" t="inlineStr">
        <is>
          <t>0</t>
        </is>
      </c>
      <c r="H1760" t="inlineStr">
        <is>
          <t>0</t>
        </is>
      </c>
      <c r="I1760" t="inlineStr">
        <is>
          <t>3², 6¹, 9², 12², 18¹, 36²</t>
        </is>
      </c>
      <c r="J1760" t="n">
        <v>10</v>
      </c>
      <c r="K1760" t="inlineStr">
        <is>
          <t>1⁸, 2⁶, 4¹</t>
        </is>
      </c>
      <c r="L1760" t="inlineStr">
        <is>
          <t>12J⁰, 36F⁴</t>
        </is>
      </c>
      <c r="M1760" t="inlineStr">
        <is>
          <t>36A¹⁷, 72O¹⁷, 72E¹⁹, 36L²², 36P²²</t>
        </is>
      </c>
      <c r="N1760" t="inlineStr">
        <is>
          <t>3B⁰, 12J⁰, 18D², 36F⁴, 2B⁰, 1A⁰, 9C⁰, 4B⁰, 6F⁰, 12E⁰</t>
        </is>
      </c>
      <c r="O1760" t="inlineStr">
        <is>
          <t>36L²², 36P²², 72O¹⁷, 72E¹⁹, 36A¹⁷</t>
        </is>
      </c>
    </row>
    <row r="1761">
      <c r="A1761">
        <f>HYPERLINK("https://mathstats.uncg.edu/sites/pauli/congruence/csg8.html#group36K8", "36K⁸")</f>
        <v/>
      </c>
      <c r="B1761" t="n">
        <v>8</v>
      </c>
      <c r="C1761" t="inlineStr"/>
      <c r="D1761" t="inlineStr">
        <is>
          <t>144</t>
        </is>
      </c>
      <c r="E1761" t="inlineStr">
        <is>
          <t>1</t>
        </is>
      </c>
      <c r="F1761" t="inlineStr">
        <is>
          <t>24</t>
        </is>
      </c>
      <c r="G1761" t="inlineStr">
        <is>
          <t>0</t>
        </is>
      </c>
      <c r="H1761" t="inlineStr">
        <is>
          <t>0</t>
        </is>
      </c>
      <c r="I1761" t="inlineStr">
        <is>
          <t>3², 6¹, 9², 12², 18¹, 36²</t>
        </is>
      </c>
      <c r="J1761" t="n">
        <v>10</v>
      </c>
      <c r="K1761" t="inlineStr">
        <is>
          <t>1⁸, 2⁶, 4¹</t>
        </is>
      </c>
      <c r="L1761" t="inlineStr">
        <is>
          <t>12J⁰, 36G⁴</t>
        </is>
      </c>
      <c r="M1761" t="inlineStr">
        <is>
          <t>36B¹⁷, 72P¹⁷, 72F¹⁹, 36L²², 36Q²²</t>
        </is>
      </c>
      <c r="N1761" t="inlineStr">
        <is>
          <t>3B⁰, 9A¹, 18E², 12J⁰, 36G⁴, 1A⁰, 2B⁰, 4B⁰, 6F⁰, 12E⁰</t>
        </is>
      </c>
      <c r="O1761" t="inlineStr">
        <is>
          <t>72P¹⁷, 36L²², 36B¹⁷, 72F¹⁹, 36Q²²</t>
        </is>
      </c>
    </row>
    <row r="1762">
      <c r="A1762">
        <f>HYPERLINK("https://mathstats.uncg.edu/sites/pauli/congruence/csg8.html#group36L8", "36L⁸")</f>
        <v/>
      </c>
      <c r="B1762" t="n">
        <v>8</v>
      </c>
      <c r="C1762" t="inlineStr"/>
      <c r="D1762" t="inlineStr">
        <is>
          <t>162</t>
        </is>
      </c>
      <c r="E1762" t="inlineStr">
        <is>
          <t>1</t>
        </is>
      </c>
      <c r="F1762" t="inlineStr">
        <is>
          <t>81</t>
        </is>
      </c>
      <c r="G1762" t="inlineStr">
        <is>
          <t>14</t>
        </is>
      </c>
      <c r="H1762" t="inlineStr">
        <is>
          <t>0</t>
        </is>
      </c>
      <c r="I1762" t="inlineStr">
        <is>
          <t>18³, 36³</t>
        </is>
      </c>
      <c r="J1762" t="n">
        <v>6</v>
      </c>
      <c r="K1762" t="inlineStr">
        <is>
          <t>3³, 6¹²</t>
        </is>
      </c>
      <c r="L1762" t="inlineStr">
        <is>
          <t>36B², 18J³</t>
        </is>
      </c>
      <c r="M1762" t="inlineStr">
        <is>
          <t>36H¹⁶, 36B¹⁸, 72E¹⁸, 36R¹⁹, 72W¹⁹, 36A²⁰, 36B²⁰, 36C²⁰, 72D²⁰, 72E²⁰, 72F²⁰, 36C²¹, 72X²¹, 36F²², 72J²², 72A²⁴</t>
        </is>
      </c>
      <c r="N1762" t="inlineStr">
        <is>
          <t>12C⁰, 18J³, 9A⁰, 36B², 9G⁰, 4C⁰, 2B⁰, 18E¹, 3A⁰, 1A⁰, 6D⁰</t>
        </is>
      </c>
      <c r="O1762" t="inlineStr">
        <is>
          <t>72J²², 72W¹⁹, 36F²², 72D²⁰, 36C²⁰, 36H¹⁶, 36B¹⁸, 72E²⁰, 36A²⁰, 72X²¹, 36R¹⁹, 72E¹⁸, 36B²⁰, 72F²⁰, 72A²⁴, 36C²¹</t>
        </is>
      </c>
    </row>
    <row r="1763">
      <c r="A1763">
        <f>HYPERLINK("https://mathstats.uncg.edu/sites/pauli/congruence/csg8.html#group36M8", "36M⁸")</f>
        <v/>
      </c>
      <c r="B1763" t="n">
        <v>8</v>
      </c>
      <c r="C1763" t="inlineStr"/>
      <c r="D1763" t="inlineStr">
        <is>
          <t>162</t>
        </is>
      </c>
      <c r="E1763" t="inlineStr">
        <is>
          <t>2</t>
        </is>
      </c>
      <c r="F1763" t="inlineStr">
        <is>
          <t>81</t>
        </is>
      </c>
      <c r="G1763" t="inlineStr">
        <is>
          <t>8</t>
        </is>
      </c>
      <c r="H1763" t="inlineStr">
        <is>
          <t>0</t>
        </is>
      </c>
      <c r="I1763" t="inlineStr">
        <is>
          <t>9⁶, 36³</t>
        </is>
      </c>
      <c r="J1763" t="n">
        <v>9</v>
      </c>
      <c r="K1763" t="inlineStr">
        <is>
          <t>6²⁷</t>
        </is>
      </c>
      <c r="L1763" t="inlineStr">
        <is>
          <t>36C², 18J³, 36D³</t>
        </is>
      </c>
      <c r="M1763" t="inlineStr">
        <is>
          <t>36I¹⁶, 36A¹⁸, 36B¹⁸, 36Q¹⁹, 36S¹⁹, 36D²¹, 36J²²</t>
        </is>
      </c>
      <c r="N1763" t="inlineStr">
        <is>
          <t>18J³, 9A⁰, 9G⁰, 2B⁰, 12D⁰, 18E¹, 3A⁰, 1A⁰, 36D³, 6D⁰, 36C²</t>
        </is>
      </c>
      <c r="O1763" t="inlineStr">
        <is>
          <t>36B¹⁸, 36A¹⁸, 36S¹⁹, 36J²², 36Q¹⁹, 36I¹⁶, 36D²¹</t>
        </is>
      </c>
    </row>
    <row r="1764">
      <c r="A1764">
        <f>HYPERLINK("https://mathstats.uncg.edu/sites/pauli/congruence/csg8.html#group36N8", "36N⁸")</f>
        <v/>
      </c>
      <c r="B1764" t="n">
        <v>8</v>
      </c>
      <c r="C1764" t="inlineStr"/>
      <c r="D1764" t="inlineStr">
        <is>
          <t>216</t>
        </is>
      </c>
      <c r="E1764" t="inlineStr">
        <is>
          <t>1</t>
        </is>
      </c>
      <c r="F1764" t="inlineStr">
        <is>
          <t>54</t>
        </is>
      </c>
      <c r="G1764" t="inlineStr">
        <is>
          <t>4</t>
        </is>
      </c>
      <c r="H1764" t="inlineStr">
        <is>
          <t>0</t>
        </is>
      </c>
      <c r="I1764" t="inlineStr">
        <is>
          <t>6¹², 12³, 18⁴, 36¹</t>
        </is>
      </c>
      <c r="J1764" t="n">
        <v>20</v>
      </c>
      <c r="K1764" t="inlineStr">
        <is>
          <t>2³, 4³, 6³, 12⁶</t>
        </is>
      </c>
      <c r="L1764" t="inlineStr">
        <is>
          <t>12U¹, 18K³</t>
        </is>
      </c>
      <c r="M1764" t="inlineStr">
        <is>
          <t>36I¹⁷, 36B²³</t>
        </is>
      </c>
      <c r="N1764" t="inlineStr">
        <is>
          <t>12U¹, 6B⁰, 18I¹, 6G⁰, 2B⁰, 9E⁰, 1A⁰, 6E⁰, 6L⁰, 3C⁰, 18K³, 18G¹, 18F¹, 6H⁰, 3A⁰, 6D⁰</t>
        </is>
      </c>
      <c r="O1764" t="inlineStr">
        <is>
          <t>36I¹⁷, 36B²³</t>
        </is>
      </c>
    </row>
    <row r="1765">
      <c r="A1765">
        <f>HYPERLINK("https://mathstats.uncg.edu/sites/pauli/congruence/csg8.html#group36O8", "36O⁸")</f>
        <v/>
      </c>
      <c r="B1765" t="n">
        <v>8</v>
      </c>
      <c r="C1765" t="inlineStr"/>
      <c r="D1765" t="inlineStr">
        <is>
          <t>216</t>
        </is>
      </c>
      <c r="E1765" t="inlineStr">
        <is>
          <t>1</t>
        </is>
      </c>
      <c r="F1765" t="inlineStr">
        <is>
          <t>54</t>
        </is>
      </c>
      <c r="G1765" t="inlineStr">
        <is>
          <t>4</t>
        </is>
      </c>
      <c r="H1765" t="inlineStr">
        <is>
          <t>0</t>
        </is>
      </c>
      <c r="I1765" t="inlineStr">
        <is>
          <t>6¹², 12³, 18⁴, 36¹</t>
        </is>
      </c>
      <c r="J1765" t="n">
        <v>20</v>
      </c>
      <c r="K1765" t="inlineStr">
        <is>
          <t>2³, 4³, 6³, 12⁶</t>
        </is>
      </c>
      <c r="L1765" t="inlineStr">
        <is>
          <t>12U¹, 18K³</t>
        </is>
      </c>
      <c r="M1765" t="inlineStr">
        <is>
          <t>36I¹⁷, 36C²³</t>
        </is>
      </c>
      <c r="N1765" t="inlineStr">
        <is>
          <t>12U¹, 6B⁰, 18I¹, 6G⁰, 2B⁰, 9E⁰, 1A⁰, 6E⁰, 6L⁰, 3C⁰, 18K³, 18G¹, 18F¹, 6H⁰, 3A⁰, 6D⁰</t>
        </is>
      </c>
      <c r="O1765" t="inlineStr">
        <is>
          <t>36I¹⁷, 36C²³</t>
        </is>
      </c>
    </row>
    <row r="1766">
      <c r="A1766">
        <f>HYPERLINK("https://mathstats.uncg.edu/sites/pauli/congruence/csg8.html#group38A8", "38A⁸")</f>
        <v/>
      </c>
      <c r="B1766" t="n">
        <v>8</v>
      </c>
      <c r="C1766" t="inlineStr"/>
      <c r="D1766" t="inlineStr">
        <is>
          <t>120</t>
        </is>
      </c>
      <c r="E1766" t="inlineStr">
        <is>
          <t>1</t>
        </is>
      </c>
      <c r="F1766" t="inlineStr">
        <is>
          <t>20</t>
        </is>
      </c>
      <c r="G1766" t="inlineStr">
        <is>
          <t>0</t>
        </is>
      </c>
      <c r="H1766" t="inlineStr">
        <is>
          <t>0</t>
        </is>
      </c>
      <c r="I1766" t="inlineStr">
        <is>
          <t>2³, 38³</t>
        </is>
      </c>
      <c r="J1766" t="n">
        <v>6</v>
      </c>
      <c r="K1766" t="inlineStr">
        <is>
          <t>1², 18¹</t>
        </is>
      </c>
      <c r="L1766" t="inlineStr">
        <is>
          <t>2C⁰, 38A², 38A⁴</t>
        </is>
      </c>
      <c r="M1766" t="inlineStr">
        <is>
          <t>76A¹⁶, 76A¹⁷, 76A¹⁸, 38C²²</t>
        </is>
      </c>
      <c r="N1766" t="inlineStr">
        <is>
          <t>2A⁰, 19A¹, 38A², 38A⁴, 2B⁰, 1A⁰, 2C⁰</t>
        </is>
      </c>
      <c r="O1766" t="inlineStr">
        <is>
          <t>76A¹⁸, 76A¹⁷, 38C²², 76A¹⁶</t>
        </is>
      </c>
    </row>
    <row r="1767">
      <c r="A1767">
        <f>HYPERLINK("https://mathstats.uncg.edu/sites/pauli/congruence/csg8.html#group38B8", "38B⁸")</f>
        <v/>
      </c>
      <c r="B1767" t="n">
        <v>8</v>
      </c>
      <c r="C1767" t="inlineStr"/>
      <c r="D1767" t="inlineStr">
        <is>
          <t>120</t>
        </is>
      </c>
      <c r="E1767" t="inlineStr">
        <is>
          <t>1</t>
        </is>
      </c>
      <c r="F1767" t="inlineStr">
        <is>
          <t>40</t>
        </is>
      </c>
      <c r="G1767" t="inlineStr">
        <is>
          <t>0</t>
        </is>
      </c>
      <c r="H1767" t="inlineStr">
        <is>
          <t>0</t>
        </is>
      </c>
      <c r="I1767" t="inlineStr">
        <is>
          <t>2³, 38³</t>
        </is>
      </c>
      <c r="J1767" t="n">
        <v>6</v>
      </c>
      <c r="K1767" t="inlineStr">
        <is>
          <t>1⁴, 18²</t>
        </is>
      </c>
      <c r="L1767" t="inlineStr">
        <is>
          <t>38A²</t>
        </is>
      </c>
      <c r="M1767" t="inlineStr">
        <is>
          <t>76B¹⁸, 38C²²</t>
        </is>
      </c>
      <c r="N1767" t="inlineStr">
        <is>
          <t>2A⁰, 1A⁰, 19A¹, 38A²</t>
        </is>
      </c>
      <c r="O1767" t="inlineStr">
        <is>
          <t>76B¹⁸, 38C²²</t>
        </is>
      </c>
    </row>
    <row r="1768">
      <c r="A1768">
        <f>HYPERLINK("https://mathstats.uncg.edu/sites/pauli/congruence/csg8.html#group40A8", "40A⁸")</f>
        <v/>
      </c>
      <c r="B1768" t="n">
        <v>8</v>
      </c>
      <c r="C1768" t="inlineStr"/>
      <c r="D1768" t="inlineStr">
        <is>
          <t>120</t>
        </is>
      </c>
      <c r="E1768" t="inlineStr">
        <is>
          <t>1</t>
        </is>
      </c>
      <c r="F1768" t="inlineStr">
        <is>
          <t>15</t>
        </is>
      </c>
      <c r="G1768" t="inlineStr">
        <is>
          <t>0</t>
        </is>
      </c>
      <c r="H1768" t="inlineStr">
        <is>
          <t>0</t>
        </is>
      </c>
      <c r="I1768" t="inlineStr">
        <is>
          <t>10⁴, 40²</t>
        </is>
      </c>
      <c r="J1768" t="n">
        <v>6</v>
      </c>
      <c r="K1768" t="inlineStr">
        <is>
          <t>1³, 4³</t>
        </is>
      </c>
      <c r="L1768" t="inlineStr">
        <is>
          <t>8G⁰, 20A⁴, 40B⁴, 40C⁴</t>
        </is>
      </c>
      <c r="M1768" t="inlineStr">
        <is>
          <t>40B¹⁶, 80A¹⁶, 40A¹⁷, 80A¹⁷, 80A¹⁸, 40A²²</t>
        </is>
      </c>
      <c r="N1768" t="inlineStr">
        <is>
          <t>20A², 2A⁰, 5A⁰, 8D⁰, 10B¹, 20B², 4C⁰, 2B⁰, 8C⁰, 4E⁰, 10B², 4B⁰, 40B⁴, 1A⁰, 40C⁴, 10A⁰, 8G⁰, 20A⁴, 2C⁰</t>
        </is>
      </c>
      <c r="O1768" t="inlineStr">
        <is>
          <t>40B¹⁶, 40A¹⁷, 80A¹⁸, 80A¹⁶, 80A¹⁷, 40A²²</t>
        </is>
      </c>
    </row>
    <row r="1769">
      <c r="A1769">
        <f>HYPERLINK("https://mathstats.uncg.edu/sites/pauli/congruence/csg8.html#group40B8", "40B⁸")</f>
        <v/>
      </c>
      <c r="B1769" t="n">
        <v>8</v>
      </c>
      <c r="C1769" t="inlineStr"/>
      <c r="D1769" t="inlineStr">
        <is>
          <t>120</t>
        </is>
      </c>
      <c r="E1769" t="inlineStr">
        <is>
          <t>1</t>
        </is>
      </c>
      <c r="F1769" t="inlineStr">
        <is>
          <t>30</t>
        </is>
      </c>
      <c r="G1769" t="inlineStr">
        <is>
          <t>4</t>
        </is>
      </c>
      <c r="H1769" t="inlineStr">
        <is>
          <t>0</t>
        </is>
      </c>
      <c r="I1769" t="inlineStr">
        <is>
          <t>20², 40²</t>
        </is>
      </c>
      <c r="J1769" t="n">
        <v>4</v>
      </c>
      <c r="K1769" t="inlineStr">
        <is>
          <t>1², 2², 4², 8²</t>
        </is>
      </c>
      <c r="L1769" t="inlineStr">
        <is>
          <t>8H⁰, 20C⁴, 40A⁴, 40C⁴</t>
        </is>
      </c>
      <c r="M1769" t="inlineStr">
        <is>
          <t>40C¹⁶, 40A¹⁷, 40N¹⁷, 40O¹⁷, 80B¹⁷, 80F¹⁷, 80G¹⁷, 80C¹⁸, 80C¹⁹, 40B²²</t>
        </is>
      </c>
      <c r="N1769" t="inlineStr">
        <is>
          <t>5A⁰, 40A⁴, 8D⁰, 10B¹, 20B², 4C⁰, 8B⁰, 20A¹, 20C⁴, 2B⁰, 1A⁰, 8H⁰, 40C⁴, 4A⁰, 4F⁰</t>
        </is>
      </c>
      <c r="O1769" t="inlineStr">
        <is>
          <t>40C¹⁶, 80F¹⁷, 80G¹⁷, 40O¹⁷, 40A¹⁷, 40N¹⁷, 80B¹⁷, 80C¹⁸, 80C¹⁹, 40B²²</t>
        </is>
      </c>
    </row>
    <row r="1770">
      <c r="A1770">
        <f>HYPERLINK("https://mathstats.uncg.edu/sites/pauli/congruence/csg8.html#group40C8", "40C⁸")</f>
        <v/>
      </c>
      <c r="B1770" t="n">
        <v>8</v>
      </c>
      <c r="C1770" t="inlineStr"/>
      <c r="D1770" t="inlineStr">
        <is>
          <t>120</t>
        </is>
      </c>
      <c r="E1770" t="inlineStr">
        <is>
          <t>1</t>
        </is>
      </c>
      <c r="F1770" t="inlineStr">
        <is>
          <t>60</t>
        </is>
      </c>
      <c r="G1770" t="inlineStr">
        <is>
          <t>0</t>
        </is>
      </c>
      <c r="H1770" t="inlineStr">
        <is>
          <t>0</t>
        </is>
      </c>
      <c r="I1770" t="inlineStr">
        <is>
          <t>5², 10¹, 20¹, 40²</t>
        </is>
      </c>
      <c r="J1770" t="n">
        <v>6</v>
      </c>
      <c r="K1770" t="inlineStr">
        <is>
          <t>1⁴, 2², 4⁵, 8², 16¹</t>
        </is>
      </c>
      <c r="L1770" t="inlineStr">
        <is>
          <t>8I⁰, 40B⁴</t>
        </is>
      </c>
      <c r="M1770" t="inlineStr">
        <is>
          <t>40B¹⁶, 80B¹⁶, 80C¹⁷, 40D²²</t>
        </is>
      </c>
      <c r="N1770" t="inlineStr">
        <is>
          <t>20A², 5A⁰, 10B¹, 8C⁰, 2B⁰, 8I⁰, 4B⁰, 40B⁴, 1A⁰</t>
        </is>
      </c>
      <c r="O1770" t="inlineStr">
        <is>
          <t>40B¹⁶, 80C¹⁷, 40D²², 80B¹⁶</t>
        </is>
      </c>
    </row>
    <row r="1771">
      <c r="A1771">
        <f>HYPERLINK("https://mathstats.uncg.edu/sites/pauli/congruence/csg8.html#group40D8", "40D⁸")</f>
        <v/>
      </c>
      <c r="B1771" t="n">
        <v>8</v>
      </c>
      <c r="C1771" t="inlineStr"/>
      <c r="D1771" t="inlineStr">
        <is>
          <t>120</t>
        </is>
      </c>
      <c r="E1771" t="inlineStr">
        <is>
          <t>1</t>
        </is>
      </c>
      <c r="F1771" t="inlineStr">
        <is>
          <t>60</t>
        </is>
      </c>
      <c r="G1771" t="inlineStr">
        <is>
          <t>0</t>
        </is>
      </c>
      <c r="H1771" t="inlineStr">
        <is>
          <t>0</t>
        </is>
      </c>
      <c r="I1771" t="inlineStr">
        <is>
          <t>10², 20³, 40¹</t>
        </is>
      </c>
      <c r="J1771" t="n">
        <v>6</v>
      </c>
      <c r="K1771" t="inlineStr">
        <is>
          <t>1⁸, 2², 4⁸, 8²</t>
        </is>
      </c>
      <c r="L1771" t="inlineStr">
        <is>
          <t>8J⁰, 20A⁴</t>
        </is>
      </c>
      <c r="M1771" t="inlineStr">
        <is>
          <t>40A¹⁶, 40B¹⁶, 40G¹⁷, 40E²²</t>
        </is>
      </c>
      <c r="N1771" t="inlineStr">
        <is>
          <t>20A², 2A⁰, 5A⁰, 10B¹, 20B², 4C⁰, 2B⁰, 4E⁰, 10B², 4B⁰, 1A⁰, 10A⁰, 20A⁴, 8J⁰, 2C⁰</t>
        </is>
      </c>
      <c r="O1771" t="inlineStr">
        <is>
          <t>40A¹⁶, 40G¹⁷, 40B¹⁶, 40E²²</t>
        </is>
      </c>
    </row>
    <row r="1772">
      <c r="A1772">
        <f>HYPERLINK("https://mathstats.uncg.edu/sites/pauli/congruence/csg8.html#group40E8", "40E⁸")</f>
        <v/>
      </c>
      <c r="B1772" t="n">
        <v>8</v>
      </c>
      <c r="C1772" t="inlineStr"/>
      <c r="D1772" t="inlineStr">
        <is>
          <t>120</t>
        </is>
      </c>
      <c r="E1772" t="inlineStr">
        <is>
          <t>1</t>
        </is>
      </c>
      <c r="F1772" t="inlineStr">
        <is>
          <t>60</t>
        </is>
      </c>
      <c r="G1772" t="inlineStr">
        <is>
          <t>2</t>
        </is>
      </c>
      <c r="H1772" t="inlineStr">
        <is>
          <t>0</t>
        </is>
      </c>
      <c r="I1772" t="inlineStr">
        <is>
          <t>20⁴, 40¹</t>
        </is>
      </c>
      <c r="J1772" t="n">
        <v>5</v>
      </c>
      <c r="K1772" t="inlineStr">
        <is>
          <t>2², 4², 8², 16²</t>
        </is>
      </c>
      <c r="L1772" t="inlineStr">
        <is>
          <t>8K⁰, 20C⁴</t>
        </is>
      </c>
      <c r="M1772" t="inlineStr">
        <is>
          <t>40A¹⁶, 40N¹⁷, 80K¹⁷, 80L¹⁷, 40C¹⁸, 40F²²</t>
        </is>
      </c>
      <c r="N1772" t="inlineStr">
        <is>
          <t>5A⁰, 10B¹, 20B², 4C⁰, 20A¹, 20C⁴, 2B⁰, 1A⁰, 8K⁰, 4A⁰, 4F⁰</t>
        </is>
      </c>
      <c r="O1772" t="inlineStr">
        <is>
          <t>40F²², 80K¹⁷, 40N¹⁷, 40C¹⁸, 80L¹⁷, 40A¹⁶</t>
        </is>
      </c>
    </row>
    <row r="1773">
      <c r="A1773">
        <f>HYPERLINK("https://mathstats.uncg.edu/sites/pauli/congruence/csg8.html#group40F8", "40F⁸")</f>
        <v/>
      </c>
      <c r="B1773" t="n">
        <v>8</v>
      </c>
      <c r="C1773" t="inlineStr"/>
      <c r="D1773" t="inlineStr">
        <is>
          <t>120</t>
        </is>
      </c>
      <c r="E1773" t="inlineStr">
        <is>
          <t>1</t>
        </is>
      </c>
      <c r="F1773" t="inlineStr">
        <is>
          <t>60</t>
        </is>
      </c>
      <c r="G1773" t="inlineStr">
        <is>
          <t>4</t>
        </is>
      </c>
      <c r="H1773" t="inlineStr">
        <is>
          <t>0</t>
        </is>
      </c>
      <c r="I1773" t="inlineStr">
        <is>
          <t>20², 40²</t>
        </is>
      </c>
      <c r="J1773" t="n">
        <v>4</v>
      </c>
      <c r="K1773" t="inlineStr">
        <is>
          <t>1⁴, 2², 4⁵, 8², 16¹</t>
        </is>
      </c>
      <c r="L1773" t="inlineStr">
        <is>
          <t>8L⁰, 40A⁴</t>
        </is>
      </c>
      <c r="M1773" t="inlineStr">
        <is>
          <t>40C¹⁶, 40G¹⁷, 80J¹⁷, 80E¹⁸, 80H¹⁹, 40G²²</t>
        </is>
      </c>
      <c r="N1773" t="inlineStr">
        <is>
          <t>5A⁰, 40A⁴, 10B¹, 20B², 4C⁰, 8B⁰, 8L⁰, 2B⁰, 1A⁰</t>
        </is>
      </c>
      <c r="O1773" t="inlineStr">
        <is>
          <t>40C¹⁶, 80H¹⁹, 40G²², 80E¹⁸, 40G¹⁷, 80J¹⁷</t>
        </is>
      </c>
    </row>
    <row r="1774">
      <c r="A1774">
        <f>HYPERLINK("https://mathstats.uncg.edu/sites/pauli/congruence/csg8.html#group40G8", "40G⁸")</f>
        <v/>
      </c>
      <c r="B1774" t="n">
        <v>8</v>
      </c>
      <c r="C1774" t="inlineStr"/>
      <c r="D1774" t="inlineStr">
        <is>
          <t>120</t>
        </is>
      </c>
      <c r="E1774" t="inlineStr">
        <is>
          <t>2</t>
        </is>
      </c>
      <c r="F1774" t="inlineStr">
        <is>
          <t>20</t>
        </is>
      </c>
      <c r="G1774" t="inlineStr">
        <is>
          <t>6</t>
        </is>
      </c>
      <c r="H1774" t="inlineStr">
        <is>
          <t>0</t>
        </is>
      </c>
      <c r="I1774" t="inlineStr">
        <is>
          <t>40³</t>
        </is>
      </c>
      <c r="J1774" t="n">
        <v>3</v>
      </c>
      <c r="K1774" t="inlineStr">
        <is>
          <t>4², 16²</t>
        </is>
      </c>
      <c r="L1774" t="inlineStr">
        <is>
          <t>40A², 20D³</t>
        </is>
      </c>
      <c r="M1774" t="inlineStr">
        <is>
          <t>40E¹⁶, 40S¹⁷, 40B¹⁸, 80D¹⁸, 80F¹⁸</t>
        </is>
      </c>
      <c r="N1774" t="inlineStr">
        <is>
          <t>5A⁰, 4A⁰, 8A⁰, 5E⁰, 20A¹, 1A⁰, 40A², 20D³</t>
        </is>
      </c>
      <c r="O1774" t="inlineStr">
        <is>
          <t>40S¹⁷, 80D¹⁸, 80F¹⁸, 40B¹⁸, 40E¹⁶</t>
        </is>
      </c>
    </row>
    <row r="1775">
      <c r="A1775">
        <f>HYPERLINK("https://mathstats.uncg.edu/sites/pauli/congruence/csg8.html#group40H8", "40H⁸")</f>
        <v/>
      </c>
      <c r="B1775" t="n">
        <v>8</v>
      </c>
      <c r="C1775" t="inlineStr"/>
      <c r="D1775" t="inlineStr">
        <is>
          <t>120</t>
        </is>
      </c>
      <c r="E1775" t="inlineStr">
        <is>
          <t>2</t>
        </is>
      </c>
      <c r="F1775" t="inlineStr">
        <is>
          <t>60</t>
        </is>
      </c>
      <c r="G1775" t="inlineStr">
        <is>
          <t>6</t>
        </is>
      </c>
      <c r="H1775" t="inlineStr">
        <is>
          <t>0</t>
        </is>
      </c>
      <c r="I1775" t="inlineStr">
        <is>
          <t>40³</t>
        </is>
      </c>
      <c r="J1775" t="n">
        <v>3</v>
      </c>
      <c r="K1775" t="inlineStr">
        <is>
          <t>4², 8², 16⁶</t>
        </is>
      </c>
      <c r="L1775" t="inlineStr">
        <is>
          <t>20D³</t>
        </is>
      </c>
      <c r="M1775" t="inlineStr">
        <is>
          <t>40D¹⁶, 40E¹⁶, 40R¹⁷, 40S¹⁷, 40D¹⁸</t>
        </is>
      </c>
      <c r="N1775" t="inlineStr">
        <is>
          <t>5E⁰, 5A⁰, 20A¹, 1A⁰, 4A⁰, 20D³</t>
        </is>
      </c>
      <c r="O1775" t="inlineStr">
        <is>
          <t>40D¹⁸, 40R¹⁷, 40D¹⁶, 40S¹⁷, 40E¹⁶</t>
        </is>
      </c>
    </row>
    <row r="1776">
      <c r="A1776">
        <f>HYPERLINK("https://mathstats.uncg.edu/sites/pauli/congruence/csg8.html#group42A8", "42A⁸")</f>
        <v/>
      </c>
      <c r="B1776" t="n">
        <v>8</v>
      </c>
      <c r="C1776" t="inlineStr"/>
      <c r="D1776" t="inlineStr">
        <is>
          <t>126</t>
        </is>
      </c>
      <c r="E1776" t="inlineStr">
        <is>
          <t>2</t>
        </is>
      </c>
      <c r="F1776" t="inlineStr">
        <is>
          <t>21</t>
        </is>
      </c>
      <c r="G1776" t="inlineStr">
        <is>
          <t>6</t>
        </is>
      </c>
      <c r="H1776" t="inlineStr">
        <is>
          <t>0</t>
        </is>
      </c>
      <c r="I1776" t="inlineStr">
        <is>
          <t>21², 42²</t>
        </is>
      </c>
      <c r="J1776" t="n">
        <v>4</v>
      </c>
      <c r="K1776" t="inlineStr">
        <is>
          <t>2³, 6⁶</t>
        </is>
      </c>
      <c r="L1776" t="inlineStr">
        <is>
          <t>14A², 21C², 42C³</t>
        </is>
      </c>
      <c r="M1776" t="inlineStr">
        <is>
          <t>42C¹⁷, 42G¹⁷, 84D¹⁷, 84G¹⁷, 42G¹⁹, 84A¹⁹, 84F¹⁹, 42C²²</t>
        </is>
      </c>
      <c r="N1776" t="inlineStr">
        <is>
          <t>14A², 14B¹, 7C⁰, 21C², 21A⁰, 2B⁰, 3A⁰, 1A⁰, 42C³, 6D⁰, 7A⁰</t>
        </is>
      </c>
      <c r="O1776" t="inlineStr">
        <is>
          <t>42G¹⁷, 84A¹⁹, 42C²², 84G¹⁷, 84F¹⁹, 84D¹⁷, 42G¹⁹, 42C¹⁷</t>
        </is>
      </c>
    </row>
    <row r="1777">
      <c r="A1777">
        <f>HYPERLINK("https://mathstats.uncg.edu/sites/pauli/congruence/csg8.html#group42B8", "42B⁸")</f>
        <v/>
      </c>
      <c r="B1777" t="n">
        <v>8</v>
      </c>
      <c r="C1777" t="inlineStr"/>
      <c r="D1777" t="inlineStr">
        <is>
          <t>126</t>
        </is>
      </c>
      <c r="E1777" t="inlineStr">
        <is>
          <t>2</t>
        </is>
      </c>
      <c r="F1777" t="inlineStr">
        <is>
          <t>42</t>
        </is>
      </c>
      <c r="G1777" t="inlineStr">
        <is>
          <t>6</t>
        </is>
      </c>
      <c r="H1777" t="inlineStr">
        <is>
          <t>0</t>
        </is>
      </c>
      <c r="I1777" t="inlineStr">
        <is>
          <t>21², 42²</t>
        </is>
      </c>
      <c r="J1777" t="n">
        <v>4</v>
      </c>
      <c r="K1777" t="inlineStr">
        <is>
          <t>4³, 12⁶</t>
        </is>
      </c>
      <c r="L1777" t="inlineStr">
        <is>
          <t>21C¹, 14A²</t>
        </is>
      </c>
      <c r="M1777" t="inlineStr">
        <is>
          <t>84E¹⁷, 42I¹⁹, 84B¹⁹, 42C²²</t>
        </is>
      </c>
      <c r="N1777" t="inlineStr">
        <is>
          <t>2B⁰, 14A², 14B¹, 1A⁰, 7C⁰, 7A⁰, 21C¹</t>
        </is>
      </c>
      <c r="O1777" t="inlineStr">
        <is>
          <t>84B¹⁹, 42I¹⁹, 84E¹⁷, 42C²²</t>
        </is>
      </c>
    </row>
    <row r="1778">
      <c r="A1778">
        <f>HYPERLINK("https://mathstats.uncg.edu/sites/pauli/congruence/csg8.html#group42C8", "42C⁸")</f>
        <v/>
      </c>
      <c r="B1778" t="n">
        <v>8</v>
      </c>
      <c r="C1778" t="inlineStr"/>
      <c r="D1778" t="inlineStr">
        <is>
          <t>126</t>
        </is>
      </c>
      <c r="E1778" t="inlineStr">
        <is>
          <t>2</t>
        </is>
      </c>
      <c r="F1778" t="inlineStr">
        <is>
          <t>63</t>
        </is>
      </c>
      <c r="G1778" t="inlineStr">
        <is>
          <t>6</t>
        </is>
      </c>
      <c r="H1778" t="inlineStr">
        <is>
          <t>0</t>
        </is>
      </c>
      <c r="I1778" t="inlineStr">
        <is>
          <t>21², 42²</t>
        </is>
      </c>
      <c r="J1778" t="n">
        <v>4</v>
      </c>
      <c r="K1778" t="inlineStr">
        <is>
          <t>2³, 4³, 6⁶, 12⁶</t>
        </is>
      </c>
      <c r="L1778" t="inlineStr">
        <is>
          <t>6G⁰, 21D², 42C³</t>
        </is>
      </c>
      <c r="M1778" t="inlineStr">
        <is>
          <t>42C¹⁶, 42E¹⁶, 84C¹⁶, 42C¹⁷, 42F¹⁷, 84F¹⁷, 84H¹⁷, 42B¹⁸, 42C¹⁸, 84A¹⁸, 84B¹⁸, 42L¹⁹, 84D¹⁹, 84G¹⁹, 84D²⁰, 42C²⁴</t>
        </is>
      </c>
      <c r="N1778" t="inlineStr">
        <is>
          <t>21D², 14B¹, 6G⁰, 3C⁰, 21A⁰, 2B⁰, 3A⁰, 1A⁰, 42C³, 6D⁰, 7A⁰</t>
        </is>
      </c>
      <c r="O1778" t="inlineStr">
        <is>
          <t>42E¹⁶, 42F¹⁷, 42C²⁴, 42L¹⁹, 42C¹⁸, 84C¹⁶, 42C¹⁷, 84B¹⁸, 84F¹⁷, 84D²⁰, 42B¹⁸, 42C¹⁶, 84G¹⁹, 84A¹⁸, 84D¹⁹, 84H¹⁷</t>
        </is>
      </c>
    </row>
    <row r="1779">
      <c r="A1779">
        <f>HYPERLINK("https://mathstats.uncg.edu/sites/pauli/congruence/csg8.html#group42D8", "42D⁸")</f>
        <v/>
      </c>
      <c r="B1779" t="n">
        <v>8</v>
      </c>
      <c r="C1779" t="inlineStr"/>
      <c r="D1779" t="inlineStr">
        <is>
          <t>126</t>
        </is>
      </c>
      <c r="E1779" t="inlineStr">
        <is>
          <t>2</t>
        </is>
      </c>
      <c r="F1779" t="inlineStr">
        <is>
          <t>63</t>
        </is>
      </c>
      <c r="G1779" t="inlineStr">
        <is>
          <t>8</t>
        </is>
      </c>
      <c r="H1779" t="inlineStr">
        <is>
          <t>0</t>
        </is>
      </c>
      <c r="I1779" t="inlineStr">
        <is>
          <t>42³</t>
        </is>
      </c>
      <c r="J1779" t="n">
        <v>3</v>
      </c>
      <c r="K1779" t="inlineStr">
        <is>
          <t>2³, 4³, 6⁶, 12⁶</t>
        </is>
      </c>
      <c r="L1779" t="inlineStr">
        <is>
          <t>42A², 42C³</t>
        </is>
      </c>
      <c r="M1779" t="inlineStr">
        <is>
          <t>42H¹⁶, 42I¹⁶, 84F¹⁶, 42F¹⁷, 42G¹⁷, 84K¹⁷, 84L¹⁷, 42C¹⁸, 84E¹⁸, 84F¹⁸, 42K¹⁹, 84H¹⁹, 84I¹⁹, 84E²⁰, 42D²⁴</t>
        </is>
      </c>
      <c r="N1779" t="inlineStr">
        <is>
          <t>42A², 14B¹, 21A⁰, 2B⁰, 3A⁰, 1A⁰, 42C³, 6D⁰, 7A⁰</t>
        </is>
      </c>
      <c r="O1779" t="inlineStr">
        <is>
          <t>42H¹⁶, 42G¹⁷, 84L¹⁷, 84F¹⁸, 84E²⁰, 84K¹⁷, 84F¹⁶, 84E¹⁸, 42F¹⁷, 42I¹⁶, 42D²⁴, 84I¹⁹, 84H¹⁹, 42K¹⁹, 42C¹⁸</t>
        </is>
      </c>
    </row>
    <row r="1780">
      <c r="A1780">
        <f>HYPERLINK("https://mathstats.uncg.edu/sites/pauli/congruence/csg8.html#group44A8", "44A⁸")</f>
        <v/>
      </c>
      <c r="B1780" t="n">
        <v>8</v>
      </c>
      <c r="C1780" t="inlineStr"/>
      <c r="D1780" t="inlineStr">
        <is>
          <t>144</t>
        </is>
      </c>
      <c r="E1780" t="inlineStr">
        <is>
          <t>1</t>
        </is>
      </c>
      <c r="F1780" t="inlineStr">
        <is>
          <t>36</t>
        </is>
      </c>
      <c r="G1780" t="inlineStr">
        <is>
          <t>0</t>
        </is>
      </c>
      <c r="H1780" t="inlineStr">
        <is>
          <t>0</t>
        </is>
      </c>
      <c r="I1780" t="inlineStr">
        <is>
          <t>2⁴, 4¹, 22⁴, 44¹</t>
        </is>
      </c>
      <c r="J1780" t="n">
        <v>10</v>
      </c>
      <c r="K1780" t="inlineStr">
        <is>
          <t>1⁶, 10³</t>
        </is>
      </c>
      <c r="L1780" t="inlineStr">
        <is>
          <t>22A⁴</t>
        </is>
      </c>
      <c r="M1780" t="inlineStr">
        <is>
          <t>44D¹⁷, 44B¹⁹</t>
        </is>
      </c>
      <c r="N1780" t="inlineStr">
        <is>
          <t>2A⁰, 11A¹, 22A², 2C⁰, 2B⁰, 22C², 1A⁰, 22A⁴</t>
        </is>
      </c>
      <c r="O1780" t="inlineStr">
        <is>
          <t>44D¹⁷, 44B¹⁹</t>
        </is>
      </c>
    </row>
    <row r="1781">
      <c r="A1781">
        <f>HYPERLINK("https://mathstats.uncg.edu/sites/pauli/congruence/csg8.html#group44B8", "44B⁸")</f>
        <v/>
      </c>
      <c r="B1781" t="n">
        <v>8</v>
      </c>
      <c r="C1781" t="inlineStr"/>
      <c r="D1781" t="inlineStr">
        <is>
          <t>144</t>
        </is>
      </c>
      <c r="E1781" t="inlineStr">
        <is>
          <t>1</t>
        </is>
      </c>
      <c r="F1781" t="inlineStr">
        <is>
          <t>72</t>
        </is>
      </c>
      <c r="G1781" t="inlineStr">
        <is>
          <t>0</t>
        </is>
      </c>
      <c r="H1781" t="inlineStr">
        <is>
          <t>0</t>
        </is>
      </c>
      <c r="I1781" t="inlineStr">
        <is>
          <t>1², 2¹, 4², 11², 22¹, 44²</t>
        </is>
      </c>
      <c r="J1781" t="n">
        <v>10</v>
      </c>
      <c r="K1781" t="inlineStr">
        <is>
          <t>1⁸, 2², 10⁴, 20¹</t>
        </is>
      </c>
      <c r="L1781" t="inlineStr">
        <is>
          <t>44D⁴</t>
        </is>
      </c>
      <c r="M1781" t="inlineStr">
        <is>
          <t>44D¹⁷, 88A¹⁷, 88D¹⁹</t>
        </is>
      </c>
      <c r="N1781" t="inlineStr">
        <is>
          <t>2B⁰, 4B⁰, 22C², 1A⁰, 44D⁴, 11A¹</t>
        </is>
      </c>
      <c r="O1781" t="inlineStr">
        <is>
          <t>88D¹⁹, 88A¹⁷, 44D¹⁷</t>
        </is>
      </c>
    </row>
    <row r="1782">
      <c r="A1782">
        <f>HYPERLINK("https://mathstats.uncg.edu/sites/pauli/congruence/csg8.html#group45A8", "45A⁸")</f>
        <v/>
      </c>
      <c r="B1782" t="n">
        <v>8</v>
      </c>
      <c r="C1782" t="inlineStr"/>
      <c r="D1782" t="inlineStr">
        <is>
          <t>108</t>
        </is>
      </c>
      <c r="E1782" t="inlineStr">
        <is>
          <t>1</t>
        </is>
      </c>
      <c r="F1782" t="inlineStr">
        <is>
          <t>54</t>
        </is>
      </c>
      <c r="G1782" t="inlineStr">
        <is>
          <t>0</t>
        </is>
      </c>
      <c r="H1782" t="inlineStr">
        <is>
          <t>0</t>
        </is>
      </c>
      <c r="I1782" t="inlineStr">
        <is>
          <t>9², 45²</t>
        </is>
      </c>
      <c r="J1782" t="n">
        <v>4</v>
      </c>
      <c r="K1782" t="inlineStr">
        <is>
          <t>1², 2², 4¹, 6², 8¹, 24¹</t>
        </is>
      </c>
      <c r="L1782" t="inlineStr">
        <is>
          <t>15B², 45A²</t>
        </is>
      </c>
      <c r="M1782" t="inlineStr">
        <is>
          <t>45B¹⁵, 45C¹⁵, 90D¹⁷, 90F¹⁷, 90J¹⁷, 45B²², 90A²⁴</t>
        </is>
      </c>
      <c r="N1782" t="inlineStr">
        <is>
          <t>45A², 15B⁰, 9A⁰, 15B², 5B⁰, 5D⁰, 3A⁰, 1A⁰</t>
        </is>
      </c>
      <c r="O1782" t="inlineStr">
        <is>
          <t>45B²², 45B¹⁵, 90J¹⁷, 90A²⁴, 90F¹⁷, 90D¹⁷, 45C¹⁵</t>
        </is>
      </c>
    </row>
    <row r="1783">
      <c r="A1783">
        <f>HYPERLINK("https://mathstats.uncg.edu/sites/pauli/congruence/csg8.html#group45B8", "45B⁸")</f>
        <v/>
      </c>
      <c r="B1783" t="n">
        <v>8</v>
      </c>
      <c r="C1783" t="inlineStr"/>
      <c r="D1783" t="inlineStr">
        <is>
          <t>120</t>
        </is>
      </c>
      <c r="E1783" t="inlineStr">
        <is>
          <t>1</t>
        </is>
      </c>
      <c r="F1783" t="inlineStr">
        <is>
          <t>40</t>
        </is>
      </c>
      <c r="G1783" t="inlineStr">
        <is>
          <t>0</t>
        </is>
      </c>
      <c r="H1783" t="inlineStr">
        <is>
          <t>3</t>
        </is>
      </c>
      <c r="I1783" t="inlineStr">
        <is>
          <t>15², 45²</t>
        </is>
      </c>
      <c r="J1783" t="n">
        <v>4</v>
      </c>
      <c r="K1783" t="inlineStr">
        <is>
          <t>2², 4⁵, 8²</t>
        </is>
      </c>
      <c r="L1783" t="inlineStr">
        <is>
          <t>9C⁰, 15C²</t>
        </is>
      </c>
      <c r="M1783" t="inlineStr">
        <is>
          <t>45D¹⁵, 90N¹⁷, 90O¹⁷, 45A²⁴</t>
        </is>
      </c>
      <c r="N1783" t="inlineStr">
        <is>
          <t>3B⁰, 1A⁰, 15C², 9C⁰, 5C⁰</t>
        </is>
      </c>
      <c r="O1783" t="inlineStr">
        <is>
          <t>90O¹⁷, 45D¹⁵, 45A²⁴, 90N¹⁷</t>
        </is>
      </c>
    </row>
    <row r="1784">
      <c r="A1784">
        <f>HYPERLINK("https://mathstats.uncg.edu/sites/pauli/congruence/csg8.html#group45C8", "45C⁸")</f>
        <v/>
      </c>
      <c r="B1784" t="n">
        <v>8</v>
      </c>
      <c r="C1784" t="inlineStr"/>
      <c r="D1784" t="inlineStr">
        <is>
          <t>135</t>
        </is>
      </c>
      <c r="E1784" t="inlineStr">
        <is>
          <t>1</t>
        </is>
      </c>
      <c r="F1784" t="inlineStr">
        <is>
          <t>135</t>
        </is>
      </c>
      <c r="G1784" t="inlineStr">
        <is>
          <t>3</t>
        </is>
      </c>
      <c r="H1784" t="inlineStr">
        <is>
          <t>6</t>
        </is>
      </c>
      <c r="I1784" t="inlineStr">
        <is>
          <t>45³</t>
        </is>
      </c>
      <c r="J1784" t="n">
        <v>3</v>
      </c>
      <c r="K1784" t="inlineStr">
        <is>
          <t>3¹, 6⁴, 12¹, 24⁴</t>
        </is>
      </c>
      <c r="L1784" t="inlineStr">
        <is>
          <t>5A⁰, 9F⁰</t>
        </is>
      </c>
      <c r="M1784" t="inlineStr">
        <is>
          <t>90B¹⁸</t>
        </is>
      </c>
      <c r="N1784" t="inlineStr">
        <is>
          <t>9F⁰, 1A⁰, 5A⁰</t>
        </is>
      </c>
      <c r="O1784" t="inlineStr">
        <is>
          <t>90B¹⁸</t>
        </is>
      </c>
    </row>
    <row r="1785">
      <c r="A1785">
        <f>HYPERLINK("https://mathstats.uncg.edu/sites/pauli/congruence/csg8.html#group45D8", "45D⁸")</f>
        <v/>
      </c>
      <c r="B1785" t="n">
        <v>8</v>
      </c>
      <c r="C1785" t="inlineStr"/>
      <c r="D1785" t="inlineStr">
        <is>
          <t>162</t>
        </is>
      </c>
      <c r="E1785" t="inlineStr">
        <is>
          <t>1</t>
        </is>
      </c>
      <c r="F1785" t="inlineStr">
        <is>
          <t>162</t>
        </is>
      </c>
      <c r="G1785" t="inlineStr">
        <is>
          <t>14</t>
        </is>
      </c>
      <c r="H1785" t="inlineStr">
        <is>
          <t>0</t>
        </is>
      </c>
      <c r="I1785" t="inlineStr">
        <is>
          <t>9³, 45³</t>
        </is>
      </c>
      <c r="J1785" t="n">
        <v>6</v>
      </c>
      <c r="K1785" t="inlineStr">
        <is>
          <t>3², 6⁸, 12¹, 24⁴</t>
        </is>
      </c>
      <c r="L1785" t="inlineStr">
        <is>
          <t>9G⁰, 45A²</t>
        </is>
      </c>
      <c r="M1785" t="inlineStr">
        <is>
          <t>45E¹⁶, 45C¹⁸, 90D¹⁸, 45G¹⁹, 90J¹⁹, 45A²¹, 90J²¹, 45B²², 90H²², 90B²⁴</t>
        </is>
      </c>
      <c r="N1785" t="inlineStr">
        <is>
          <t>5B⁰, 45A², 15B⁰, 9A⁰, 3A⁰, 1A⁰, 9G⁰</t>
        </is>
      </c>
      <c r="O1785" t="inlineStr">
        <is>
          <t>45C¹⁸, 45A²¹, 90J²¹, 90J¹⁹, 90D¹⁸, 90H²², 45B²², 90B²⁴, 45E¹⁶, 45G¹⁹</t>
        </is>
      </c>
    </row>
    <row r="1786">
      <c r="A1786">
        <f>HYPERLINK("https://mathstats.uncg.edu/sites/pauli/congruence/csg8.html#group48A8", "48A⁸")</f>
        <v/>
      </c>
      <c r="B1786" t="n">
        <v>8</v>
      </c>
      <c r="C1786" t="inlineStr"/>
      <c r="D1786" t="inlineStr">
        <is>
          <t>96</t>
        </is>
      </c>
      <c r="E1786" t="inlineStr">
        <is>
          <t>1</t>
        </is>
      </c>
      <c r="F1786" t="inlineStr">
        <is>
          <t>4</t>
        </is>
      </c>
      <c r="G1786" t="inlineStr">
        <is>
          <t>0</t>
        </is>
      </c>
      <c r="H1786" t="inlineStr">
        <is>
          <t>0</t>
        </is>
      </c>
      <c r="I1786" t="inlineStr">
        <is>
          <t>48²</t>
        </is>
      </c>
      <c r="J1786" t="n">
        <v>2</v>
      </c>
      <c r="K1786" t="inlineStr">
        <is>
          <t>2²</t>
        </is>
      </c>
      <c r="L1786" t="inlineStr">
        <is>
          <t>16F⁰, 48A³, 24A⁴</t>
        </is>
      </c>
      <c r="M1786" t="inlineStr">
        <is>
          <t>48B¹⁵, 48A²², 144A²⁴</t>
        </is>
      </c>
      <c r="N1786" t="inlineStr">
        <is>
          <t>2A⁰, 12A⁰, 48A³, 24A¹, 16A⁰, 4A⁰, 4D⁰, 16F⁰, 12A², 24A⁴, 8A⁰, 8E⁰, 6A¹, 3A⁰, 1A⁰</t>
        </is>
      </c>
      <c r="O1786" t="inlineStr">
        <is>
          <t>48A²², 48B¹⁵, 144A²⁴</t>
        </is>
      </c>
    </row>
    <row r="1787">
      <c r="A1787">
        <f>HYPERLINK("https://mathstats.uncg.edu/sites/pauli/congruence/csg8.html#group48B8", "48B⁸")</f>
        <v/>
      </c>
      <c r="B1787" t="n">
        <v>8</v>
      </c>
      <c r="C1787" t="inlineStr"/>
      <c r="D1787" t="inlineStr">
        <is>
          <t>96</t>
        </is>
      </c>
      <c r="E1787" t="inlineStr">
        <is>
          <t>1</t>
        </is>
      </c>
      <c r="F1787" t="inlineStr">
        <is>
          <t>12</t>
        </is>
      </c>
      <c r="G1787" t="inlineStr">
        <is>
          <t>0</t>
        </is>
      </c>
      <c r="H1787" t="inlineStr">
        <is>
          <t>0</t>
        </is>
      </c>
      <c r="I1787" t="inlineStr">
        <is>
          <t>48²</t>
        </is>
      </c>
      <c r="J1787" t="n">
        <v>2</v>
      </c>
      <c r="K1787" t="inlineStr">
        <is>
          <t>2², 4²</t>
        </is>
      </c>
      <c r="L1787" t="inlineStr">
        <is>
          <t>48B³, 24A⁴</t>
        </is>
      </c>
      <c r="M1787" t="inlineStr">
        <is>
          <t>48A¹⁵, 48B¹⁵, 48B²², 144B²⁴, 144C²⁴</t>
        </is>
      </c>
      <c r="N1787" t="inlineStr">
        <is>
          <t>2A⁰, 12A⁰, 24A¹, 4A⁰, 4D⁰, 12A², 24A⁴, 8A⁰, 8E⁰, 6A¹, 3A⁰, 1A⁰, 48B³</t>
        </is>
      </c>
      <c r="O1787" t="inlineStr">
        <is>
          <t>48A¹⁵, 48B²², 144B²⁴, 48B¹⁵, 144C²⁴</t>
        </is>
      </c>
    </row>
    <row r="1788">
      <c r="A1788">
        <f>HYPERLINK("https://mathstats.uncg.edu/sites/pauli/congruence/csg8.html#group48C8", "48C⁸")</f>
        <v/>
      </c>
      <c r="B1788" t="n">
        <v>8</v>
      </c>
      <c r="C1788" t="inlineStr"/>
      <c r="D1788" t="inlineStr">
        <is>
          <t>144</t>
        </is>
      </c>
      <c r="E1788" t="inlineStr">
        <is>
          <t>1</t>
        </is>
      </c>
      <c r="F1788" t="inlineStr">
        <is>
          <t>3</t>
        </is>
      </c>
      <c r="G1788" t="inlineStr">
        <is>
          <t>0</t>
        </is>
      </c>
      <c r="H1788" t="inlineStr">
        <is>
          <t>0</t>
        </is>
      </c>
      <c r="I1788" t="inlineStr">
        <is>
          <t>6⁸, 48²</t>
        </is>
      </c>
      <c r="J1788" t="n">
        <v>10</v>
      </c>
      <c r="K1788" t="inlineStr">
        <is>
          <t>1³</t>
        </is>
      </c>
      <c r="L1788" t="inlineStr">
        <is>
          <t>16G⁰, 48D³, 24D⁴, 48D⁴</t>
        </is>
      </c>
      <c r="M1788" t="inlineStr">
        <is>
          <t>48F¹⁵, 48D¹⁷, 48I¹⁷, 96A¹⁸, 96C¹⁸, 48B¹⁹, 48H¹⁹</t>
        </is>
      </c>
      <c r="N1788" t="inlineStr">
        <is>
          <t>16G⁰, 2A⁰, 12C⁰, 8D⁰, 4C⁰, 6C¹, 12B², 8C⁰, 2B⁰, 4E⁰, 4B⁰, 1A⁰, 24D⁴, 24B², 16E⁰, 6A⁰, 8G⁰, 16D⁰, 24C¹, 12B¹, 6A¹, 48D³, 3A⁰, 2C⁰, 6D⁰, 48D⁴</t>
        </is>
      </c>
      <c r="O1788" t="inlineStr">
        <is>
          <t>48D¹⁷, 96C¹⁸, 48F¹⁵, 48B¹⁹, 48I¹⁷, 48H¹⁹, 96A¹⁸</t>
        </is>
      </c>
    </row>
    <row r="1789">
      <c r="A1789">
        <f>HYPERLINK("https://mathstats.uncg.edu/sites/pauli/congruence/csg8.html#group48D8", "48D⁸")</f>
        <v/>
      </c>
      <c r="B1789" t="n">
        <v>8</v>
      </c>
      <c r="C1789" t="inlineStr"/>
      <c r="D1789" t="inlineStr">
        <is>
          <t>144</t>
        </is>
      </c>
      <c r="E1789" t="inlineStr">
        <is>
          <t>1</t>
        </is>
      </c>
      <c r="F1789" t="inlineStr">
        <is>
          <t>9</t>
        </is>
      </c>
      <c r="G1789" t="inlineStr">
        <is>
          <t>0</t>
        </is>
      </c>
      <c r="H1789" t="inlineStr">
        <is>
          <t>0</t>
        </is>
      </c>
      <c r="I1789" t="inlineStr">
        <is>
          <t>6⁸, 48²</t>
        </is>
      </c>
      <c r="J1789" t="n">
        <v>10</v>
      </c>
      <c r="K1789" t="inlineStr">
        <is>
          <t>1³, 2³</t>
        </is>
      </c>
      <c r="L1789" t="inlineStr">
        <is>
          <t>48G³, 24D⁴, 48G⁴</t>
        </is>
      </c>
      <c r="M1789" t="inlineStr">
        <is>
          <t>48E¹⁵, 48F¹⁵, 48H¹⁷, 48J¹⁷, 48BP¹⁷, 48G¹⁹, 48I¹⁹, 48AW¹⁹</t>
        </is>
      </c>
      <c r="N1789" t="inlineStr">
        <is>
          <t>2A⁰, 12C⁰, 48G³, 8D⁰, 6C¹, 4C⁰, 12B², 8C⁰, 2B⁰, 4E⁰, 4B⁰, 1A⁰, 24D⁴, 48G⁴, 24B², 6A⁰, 8G⁰, 24C¹, 12B¹, 6A¹, 3A⁰, 2C⁰, 6D⁰</t>
        </is>
      </c>
      <c r="O1789" t="inlineStr">
        <is>
          <t>48H¹⁷, 48G¹⁹, 48AW¹⁹, 48F¹⁵, 48J¹⁷, 48BP¹⁷, 48E¹⁵, 48I¹⁹</t>
        </is>
      </c>
    </row>
    <row r="1790">
      <c r="A1790">
        <f>HYPERLINK("https://mathstats.uncg.edu/sites/pauli/congruence/csg8.html#group48E8", "48E⁸")</f>
        <v/>
      </c>
      <c r="B1790" t="n">
        <v>8</v>
      </c>
      <c r="C1790" t="inlineStr"/>
      <c r="D1790" t="inlineStr">
        <is>
          <t>144</t>
        </is>
      </c>
      <c r="E1790" t="inlineStr">
        <is>
          <t>1</t>
        </is>
      </c>
      <c r="F1790" t="inlineStr">
        <is>
          <t>12</t>
        </is>
      </c>
      <c r="G1790" t="inlineStr">
        <is>
          <t>0</t>
        </is>
      </c>
      <c r="H1790" t="inlineStr">
        <is>
          <t>0</t>
        </is>
      </c>
      <c r="I1790" t="inlineStr">
        <is>
          <t>3⁴, 6², 12², 48²</t>
        </is>
      </c>
      <c r="J1790" t="n">
        <v>10</v>
      </c>
      <c r="K1790" t="inlineStr">
        <is>
          <t>1⁴, 2², 4¹</t>
        </is>
      </c>
      <c r="L1790" t="inlineStr">
        <is>
          <t>16H⁰, 24F⁴, 48B⁴, 48D⁴</t>
        </is>
      </c>
      <c r="M1790" t="inlineStr">
        <is>
          <t>48Q¹⁵, 48D¹⁷, 48AC¹⁷, 96A¹⁷, 96K¹⁷, 48C¹⁸, 48H¹⁸, 96B¹⁸, 96D¹⁸, 96C¹⁹, 96P¹⁹</t>
        </is>
      </c>
      <c r="N1790" t="inlineStr">
        <is>
          <t>24B², 24F⁴, 3A⁰, 16C⁰, 16D⁰, 6D⁰, 8C⁰, 12B¹, 2B⁰, 8I⁰, 4B⁰, 1A⁰, 48B⁴, 48D⁴, 16H⁰</t>
        </is>
      </c>
      <c r="O1790" t="inlineStr">
        <is>
          <t>96C¹⁹, 48AC¹⁷, 48H¹⁸, 48Q¹⁵, 96B¹⁸, 96P¹⁹, 48D¹⁷, 96K¹⁷, 48C¹⁸, 96D¹⁸, 96A¹⁷</t>
        </is>
      </c>
    </row>
    <row r="1791">
      <c r="A1791">
        <f>HYPERLINK("https://mathstats.uncg.edu/sites/pauli/congruence/csg8.html#group48F8", "48F⁸")</f>
        <v/>
      </c>
      <c r="B1791" t="n">
        <v>8</v>
      </c>
      <c r="C1791" t="inlineStr"/>
      <c r="D1791" t="inlineStr">
        <is>
          <t>144</t>
        </is>
      </c>
      <c r="E1791" t="inlineStr">
        <is>
          <t>1</t>
        </is>
      </c>
      <c r="F1791" t="inlineStr">
        <is>
          <t>12</t>
        </is>
      </c>
      <c r="G1791" t="inlineStr">
        <is>
          <t>12</t>
        </is>
      </c>
      <c r="H1791" t="inlineStr">
        <is>
          <t>0</t>
        </is>
      </c>
      <c r="I1791" t="inlineStr">
        <is>
          <t>24², 48²</t>
        </is>
      </c>
      <c r="J1791" t="n">
        <v>4</v>
      </c>
      <c r="K1791" t="inlineStr">
        <is>
          <t>2⁶</t>
        </is>
      </c>
      <c r="L1791" t="inlineStr">
        <is>
          <t>16E², 24L², 48E³</t>
        </is>
      </c>
      <c r="M1791" t="inlineStr">
        <is>
          <t>48J¹⁵, 48AS¹⁷, 48AU¹⁷, 48F¹⁸, 48E¹⁸, 48Q¹⁸, 48O¹⁸, 48AK¹⁹, 48AL¹⁹, 96G²⁰, 96H²⁰, 96N²⁰, 96O²⁰, 48E²¹, 48V²¹</t>
        </is>
      </c>
      <c r="N1791" t="inlineStr">
        <is>
          <t>12C⁰, 8D⁰, 4C⁰, 8B⁰, 2B⁰, 24L², 1A⁰, 16E², 8H⁰, 16D¹, 12A⁰, 48E³, 24A⁰, 4A⁰, 24C¹, 12J¹, 4F⁰, 3A⁰, 6D⁰</t>
        </is>
      </c>
      <c r="O1791" t="inlineStr">
        <is>
          <t>48E¹⁸, 48O¹⁸, 48AK¹⁹, 96H²⁰, 48AU¹⁷, 48F¹⁸, 96G²⁰, 48J¹⁵, 48AL¹⁹, 96N²⁰, 48E²¹, 48Q¹⁸, 96O²⁰, 48AS¹⁷, 48V²¹</t>
        </is>
      </c>
    </row>
    <row r="1792">
      <c r="A1792">
        <f>HYPERLINK("https://mathstats.uncg.edu/sites/pauli/congruence/csg8.html#group48G8", "48G⁸")</f>
        <v/>
      </c>
      <c r="B1792" t="n">
        <v>8</v>
      </c>
      <c r="C1792" t="inlineStr"/>
      <c r="D1792" t="inlineStr">
        <is>
          <t>144</t>
        </is>
      </c>
      <c r="E1792" t="inlineStr">
        <is>
          <t>1</t>
        </is>
      </c>
      <c r="F1792" t="inlineStr">
        <is>
          <t>24</t>
        </is>
      </c>
      <c r="G1792" t="inlineStr">
        <is>
          <t>6</t>
        </is>
      </c>
      <c r="H1792" t="inlineStr">
        <is>
          <t>0</t>
        </is>
      </c>
      <c r="I1792" t="inlineStr">
        <is>
          <t>12⁴, 24², 48¹</t>
        </is>
      </c>
      <c r="J1792" t="n">
        <v>7</v>
      </c>
      <c r="K1792" t="inlineStr">
        <is>
          <t>4⁴, 8⁴</t>
        </is>
      </c>
      <c r="L1792" t="inlineStr">
        <is>
          <t>16K¹, 24J³</t>
        </is>
      </c>
      <c r="M1792" t="inlineStr">
        <is>
          <t>48D¹⁶, 48T¹⁷, 48BK¹⁷, 48B¹⁸, 48J¹⁸, 48AS¹⁹, 48A²⁰</t>
        </is>
      </c>
      <c r="N1792" t="inlineStr">
        <is>
          <t>12C⁰, 4C⁰, 2B⁰, 8K⁰, 1A⁰, 24J³, 12A⁰, 4A⁰, 12J¹, 4F⁰, 3A⁰, 16K¹, 6D⁰</t>
        </is>
      </c>
      <c r="O1792" t="inlineStr">
        <is>
          <t>48J¹⁸, 48B¹⁸, 48A²⁰, 48T¹⁷, 48D¹⁶, 48BK¹⁷, 48AS¹⁹</t>
        </is>
      </c>
    </row>
    <row r="1793">
      <c r="A1793">
        <f>HYPERLINK("https://mathstats.uncg.edu/sites/pauli/congruence/csg8.html#group48H8", "48H⁸")</f>
        <v/>
      </c>
      <c r="B1793" t="n">
        <v>8</v>
      </c>
      <c r="C1793" t="inlineStr"/>
      <c r="D1793" t="inlineStr">
        <is>
          <t>144</t>
        </is>
      </c>
      <c r="E1793" t="inlineStr">
        <is>
          <t>1</t>
        </is>
      </c>
      <c r="F1793" t="inlineStr">
        <is>
          <t>24</t>
        </is>
      </c>
      <c r="G1793" t="inlineStr">
        <is>
          <t>6</t>
        </is>
      </c>
      <c r="H1793" t="inlineStr">
        <is>
          <t>0</t>
        </is>
      </c>
      <c r="I1793" t="inlineStr">
        <is>
          <t>12⁴, 24², 48¹</t>
        </is>
      </c>
      <c r="J1793" t="n">
        <v>7</v>
      </c>
      <c r="K1793" t="inlineStr">
        <is>
          <t>4⁴, 8⁴</t>
        </is>
      </c>
      <c r="L1793" t="inlineStr">
        <is>
          <t>16L¹, 24J³</t>
        </is>
      </c>
      <c r="M1793" t="inlineStr">
        <is>
          <t>48E¹⁶, 48T¹⁷, 48BL¹⁷, 48B¹⁸, 48K¹⁸, 48AT¹⁹, 48A²⁰</t>
        </is>
      </c>
      <c r="N1793" t="inlineStr">
        <is>
          <t>12C⁰, 4C⁰, 2B⁰, 8K⁰, 1A⁰, 24J³, 16L¹, 12A⁰, 4A⁰, 12J¹, 4F⁰, 3A⁰, 6D⁰</t>
        </is>
      </c>
      <c r="O1793" t="inlineStr">
        <is>
          <t>48BL¹⁷, 48B¹⁸, 48K¹⁸, 48A²⁰, 48T¹⁷, 48AT¹⁹, 48E¹⁶</t>
        </is>
      </c>
    </row>
    <row r="1794">
      <c r="A1794">
        <f>HYPERLINK("https://mathstats.uncg.edu/sites/pauli/congruence/csg8.html#group48I8", "48I⁸")</f>
        <v/>
      </c>
      <c r="B1794" t="n">
        <v>8</v>
      </c>
      <c r="C1794" t="inlineStr"/>
      <c r="D1794" t="inlineStr">
        <is>
          <t>144</t>
        </is>
      </c>
      <c r="E1794" t="inlineStr">
        <is>
          <t>1</t>
        </is>
      </c>
      <c r="F1794" t="inlineStr">
        <is>
          <t>36</t>
        </is>
      </c>
      <c r="G1794" t="inlineStr">
        <is>
          <t>0</t>
        </is>
      </c>
      <c r="H1794" t="inlineStr">
        <is>
          <t>0</t>
        </is>
      </c>
      <c r="I1794" t="inlineStr">
        <is>
          <t>3⁴, 6², 12², 48²</t>
        </is>
      </c>
      <c r="J1794" t="n">
        <v>10</v>
      </c>
      <c r="K1794" t="inlineStr">
        <is>
          <t>1⁴, 2⁶, 4³, 8¹</t>
        </is>
      </c>
      <c r="L1794" t="inlineStr">
        <is>
          <t>24F⁴, 48F⁴, 48G⁴</t>
        </is>
      </c>
      <c r="M1794" t="inlineStr">
        <is>
          <t>48P¹⁵, 48Q¹⁵, 48H¹⁷, 48AD¹⁷, 48BT¹⁷</t>
        </is>
      </c>
      <c r="N1794" t="inlineStr">
        <is>
          <t>24B², 24F⁴, 3A⁰, 48F⁴, 8C⁰, 12B¹, 2B⁰, 8I⁰, 4B⁰, 1A⁰, 48G⁴, 6D⁰</t>
        </is>
      </c>
      <c r="O1794" t="inlineStr">
        <is>
          <t>48H¹⁷, 48P¹⁵, 48AD¹⁷, 48BT¹⁷, 48Q¹⁵</t>
        </is>
      </c>
    </row>
    <row r="1795">
      <c r="A1795">
        <f>HYPERLINK("https://mathstats.uncg.edu/sites/pauli/congruence/csg8.html#group48J8", "48J⁸")</f>
        <v/>
      </c>
      <c r="B1795" t="n">
        <v>8</v>
      </c>
      <c r="C1795" t="inlineStr"/>
      <c r="D1795" t="inlineStr">
        <is>
          <t>144</t>
        </is>
      </c>
      <c r="E1795" t="inlineStr">
        <is>
          <t>1</t>
        </is>
      </c>
      <c r="F1795" t="inlineStr">
        <is>
          <t>36</t>
        </is>
      </c>
      <c r="G1795" t="inlineStr">
        <is>
          <t>0</t>
        </is>
      </c>
      <c r="H1795" t="inlineStr">
        <is>
          <t>0</t>
        </is>
      </c>
      <c r="I1795" t="inlineStr">
        <is>
          <t>3⁴, 6², 12², 48²</t>
        </is>
      </c>
      <c r="J1795" t="n">
        <v>10</v>
      </c>
      <c r="K1795" t="inlineStr">
        <is>
          <t>1⁴, 2⁶, 4³, 8¹</t>
        </is>
      </c>
      <c r="L1795" t="inlineStr">
        <is>
          <t>24M⁴, 48B⁴, 48G⁴</t>
        </is>
      </c>
      <c r="M1795" t="inlineStr">
        <is>
          <t>48O¹⁵, 48Q¹⁵, 48J¹⁷, 48W¹⁷, 48AC¹⁷, 96L¹⁷, 96M¹⁷, 96AC¹⁷, 96Q¹⁹, 96R¹⁹, 96AX¹⁹</t>
        </is>
      </c>
      <c r="N1795" t="inlineStr">
        <is>
          <t>24B², 3A⁰, 16C⁰, 24M⁴, 8C⁰, 12B¹, 2B⁰, 4B⁰, 1A⁰, 48G⁴, 6D⁰, 48B⁴</t>
        </is>
      </c>
      <c r="O1795" t="inlineStr">
        <is>
          <t>48AC¹⁷, 48W¹⁷, 48J¹⁷, 96Q¹⁹, 48Q¹⁵, 96L¹⁷, 96AX¹⁹, 96M¹⁷, 96AC¹⁷, 48O¹⁵, 96R¹⁹</t>
        </is>
      </c>
    </row>
    <row r="1796">
      <c r="A1796">
        <f>HYPERLINK("https://mathstats.uncg.edu/sites/pauli/congruence/csg8.html#group48K8", "48K⁸")</f>
        <v/>
      </c>
      <c r="B1796" t="n">
        <v>8</v>
      </c>
      <c r="C1796" t="inlineStr"/>
      <c r="D1796" t="inlineStr">
        <is>
          <t>144</t>
        </is>
      </c>
      <c r="E1796" t="inlineStr">
        <is>
          <t>1</t>
        </is>
      </c>
      <c r="F1796" t="inlineStr">
        <is>
          <t>36</t>
        </is>
      </c>
      <c r="G1796" t="inlineStr">
        <is>
          <t>0</t>
        </is>
      </c>
      <c r="H1796" t="inlineStr">
        <is>
          <t>0</t>
        </is>
      </c>
      <c r="I1796" t="inlineStr">
        <is>
          <t>3⁴, 6², 12², 48²</t>
        </is>
      </c>
      <c r="J1796" t="n">
        <v>10</v>
      </c>
      <c r="K1796" t="inlineStr">
        <is>
          <t>1⁴, 2⁶, 4³, 8¹</t>
        </is>
      </c>
      <c r="L1796" t="inlineStr">
        <is>
          <t>24M⁴, 48D⁴, 48F⁴</t>
        </is>
      </c>
      <c r="M1796" t="inlineStr">
        <is>
          <t>48N¹⁵, 48Q¹⁵, 48I¹⁷, 48AD¹⁷, 48BS¹⁷</t>
        </is>
      </c>
      <c r="N1796" t="inlineStr">
        <is>
          <t>24B², 3A⁰, 16D⁰, 24M⁴, 48F⁴, 8C⁰, 12B¹, 2B⁰, 4B⁰, 1A⁰, 6D⁰, 48D⁴</t>
        </is>
      </c>
      <c r="O1796" t="inlineStr">
        <is>
          <t>48AD¹⁷, 48BS¹⁷, 48Q¹⁵, 48N¹⁵, 48I¹⁷</t>
        </is>
      </c>
    </row>
    <row r="1797">
      <c r="A1797">
        <f>HYPERLINK("https://mathstats.uncg.edu/sites/pauli/congruence/csg8.html#group48L8", "48L⁸")</f>
        <v/>
      </c>
      <c r="B1797" t="n">
        <v>8</v>
      </c>
      <c r="C1797" t="inlineStr"/>
      <c r="D1797" t="inlineStr">
        <is>
          <t>144</t>
        </is>
      </c>
      <c r="E1797" t="inlineStr">
        <is>
          <t>1</t>
        </is>
      </c>
      <c r="F1797" t="inlineStr">
        <is>
          <t>36</t>
        </is>
      </c>
      <c r="G1797" t="inlineStr">
        <is>
          <t>0</t>
        </is>
      </c>
      <c r="H1797" t="inlineStr">
        <is>
          <t>0</t>
        </is>
      </c>
      <c r="I1797" t="inlineStr">
        <is>
          <t>6⁸, 48²</t>
        </is>
      </c>
      <c r="J1797" t="n">
        <v>10</v>
      </c>
      <c r="K1797" t="inlineStr">
        <is>
          <t>2⁸, 4³, 8¹</t>
        </is>
      </c>
      <c r="L1797" t="inlineStr">
        <is>
          <t>24J⁴, 48G⁴</t>
        </is>
      </c>
      <c r="M1797" t="inlineStr">
        <is>
          <t>48E¹⁵, 48R¹⁵, 48W¹⁷, 48X¹⁷, 48BT¹⁷</t>
        </is>
      </c>
      <c r="N1797" t="inlineStr">
        <is>
          <t>6B⁰, 12D², 24J⁴, 8C⁰, 2B⁰, 4B⁰, 1A⁰, 48G⁴, 24B², 12C¹, 24D², 12B¹, 6H⁰, 3A⁰, 6D⁰</t>
        </is>
      </c>
      <c r="O1797" t="inlineStr">
        <is>
          <t>48W¹⁷, 48X¹⁷, 48BT¹⁷, 48E¹⁵, 48R¹⁵</t>
        </is>
      </c>
    </row>
    <row r="1798">
      <c r="A1798">
        <f>HYPERLINK("https://mathstats.uncg.edu/sites/pauli/congruence/csg8.html#group48M8", "48M⁸")</f>
        <v/>
      </c>
      <c r="B1798" t="n">
        <v>8</v>
      </c>
      <c r="C1798" t="inlineStr"/>
      <c r="D1798" t="inlineStr">
        <is>
          <t>144</t>
        </is>
      </c>
      <c r="E1798" t="inlineStr">
        <is>
          <t>1</t>
        </is>
      </c>
      <c r="F1798" t="inlineStr">
        <is>
          <t>36</t>
        </is>
      </c>
      <c r="G1798" t="inlineStr">
        <is>
          <t>0</t>
        </is>
      </c>
      <c r="H1798" t="inlineStr">
        <is>
          <t>0</t>
        </is>
      </c>
      <c r="I1798" t="inlineStr">
        <is>
          <t>6⁸, 48²</t>
        </is>
      </c>
      <c r="J1798" t="n">
        <v>10</v>
      </c>
      <c r="K1798" t="inlineStr">
        <is>
          <t>1⁴, 2⁶, 4³, 8¹</t>
        </is>
      </c>
      <c r="L1798" t="inlineStr">
        <is>
          <t>24J⁴, 48D⁴, 48G⁴</t>
        </is>
      </c>
      <c r="M1798" t="inlineStr">
        <is>
          <t>48F¹⁵, 48R¹⁵, 48AC¹⁷, 48AD¹⁷, 48BS¹⁷</t>
        </is>
      </c>
      <c r="N1798" t="inlineStr">
        <is>
          <t>6B⁰, 12D², 24J⁴, 8C⁰, 2B⁰, 4B⁰, 1A⁰, 48G⁴, 24B², 12C¹, 16D⁰, 24D², 12B¹, 6H⁰, 3A⁰, 6D⁰, 48D⁴</t>
        </is>
      </c>
      <c r="O1798" t="inlineStr">
        <is>
          <t>48AC¹⁷, 48AD¹⁷, 48F¹⁵, 48BS¹⁷, 48R¹⁵</t>
        </is>
      </c>
    </row>
    <row r="1799">
      <c r="A1799">
        <f>HYPERLINK("https://mathstats.uncg.edu/sites/pauli/congruence/csg8.html#group48N8", "48N⁸")</f>
        <v/>
      </c>
      <c r="B1799" t="n">
        <v>8</v>
      </c>
      <c r="C1799" t="inlineStr"/>
      <c r="D1799" t="inlineStr">
        <is>
          <t>144</t>
        </is>
      </c>
      <c r="E1799" t="inlineStr">
        <is>
          <t>1</t>
        </is>
      </c>
      <c r="F1799" t="inlineStr">
        <is>
          <t>36</t>
        </is>
      </c>
      <c r="G1799" t="inlineStr">
        <is>
          <t>8</t>
        </is>
      </c>
      <c r="H1799" t="inlineStr">
        <is>
          <t>0</t>
        </is>
      </c>
      <c r="I1799" t="inlineStr">
        <is>
          <t>12⁴, 48²</t>
        </is>
      </c>
      <c r="J1799" t="n">
        <v>6</v>
      </c>
      <c r="K1799" t="inlineStr">
        <is>
          <t>2⁴, 4³, 8²</t>
        </is>
      </c>
      <c r="L1799" t="inlineStr">
        <is>
          <t>24O², 48H⁴</t>
        </is>
      </c>
      <c r="M1799" t="inlineStr">
        <is>
          <t>48U¹⁵, 48AH¹⁷, 48BV¹⁷, 48E¹⁹, 48U¹⁹, 96E²⁰, 96F²⁰</t>
        </is>
      </c>
      <c r="N1799" t="inlineStr">
        <is>
          <t>24O², 24E¹, 6B⁰, 12C⁰, 48H⁴, 8D⁰, 4C⁰, 24C¹, 2B⁰, 12D⁰, 12H⁰, 6H⁰, 3A⁰, 1A⁰, 6D⁰</t>
        </is>
      </c>
      <c r="O1799" t="inlineStr">
        <is>
          <t>48AH¹⁷, 96F²⁰, 48BV¹⁷, 48U¹⁹, 48U¹⁵, 96E²⁰, 48E¹⁹</t>
        </is>
      </c>
    </row>
    <row r="1800">
      <c r="A1800">
        <f>HYPERLINK("https://mathstats.uncg.edu/sites/pauli/congruence/csg8.html#group48O8", "48O⁸")</f>
        <v/>
      </c>
      <c r="B1800" t="n">
        <v>8</v>
      </c>
      <c r="C1800" t="inlineStr"/>
      <c r="D1800" t="inlineStr">
        <is>
          <t>144</t>
        </is>
      </c>
      <c r="E1800" t="inlineStr">
        <is>
          <t>1</t>
        </is>
      </c>
      <c r="F1800" t="inlineStr">
        <is>
          <t>36</t>
        </is>
      </c>
      <c r="G1800" t="inlineStr">
        <is>
          <t>8</t>
        </is>
      </c>
      <c r="H1800" t="inlineStr">
        <is>
          <t>0</t>
        </is>
      </c>
      <c r="I1800" t="inlineStr">
        <is>
          <t>12⁴, 48²</t>
        </is>
      </c>
      <c r="J1800" t="n">
        <v>6</v>
      </c>
      <c r="K1800" t="inlineStr">
        <is>
          <t>1², 2³, 4³, 8²</t>
        </is>
      </c>
      <c r="L1800" t="inlineStr">
        <is>
          <t>24O², 48E⁴, 48H⁴</t>
        </is>
      </c>
      <c r="M1800" t="inlineStr">
        <is>
          <t>48V¹⁵, 48AH¹⁷, 48BU¹⁷, 48F¹⁹, 48Y¹⁹, 96K²⁰, 96L²⁰</t>
        </is>
      </c>
      <c r="N1800" t="inlineStr">
        <is>
          <t>24O², 24E¹, 6B⁰, 12C⁰, 48H⁴, 8D⁰, 4C⁰, 2B⁰, 12H⁰, 1A⁰, 48E⁴, 16C¹, 24C¹, 12D⁰, 6H⁰, 3A⁰, 6D⁰</t>
        </is>
      </c>
      <c r="O1800" t="inlineStr">
        <is>
          <t>48AH¹⁷, 96L²⁰, 48BU¹⁷, 48F¹⁹, 48Y¹⁹, 96K²⁰, 48V¹⁵</t>
        </is>
      </c>
    </row>
    <row r="1801">
      <c r="A1801">
        <f>HYPERLINK("https://mathstats.uncg.edu/sites/pauli/congruence/csg8.html#group48P8", "48P⁸")</f>
        <v/>
      </c>
      <c r="B1801" t="n">
        <v>8</v>
      </c>
      <c r="C1801" t="inlineStr"/>
      <c r="D1801" t="inlineStr">
        <is>
          <t>144</t>
        </is>
      </c>
      <c r="E1801" t="inlineStr">
        <is>
          <t>1</t>
        </is>
      </c>
      <c r="F1801" t="inlineStr">
        <is>
          <t>36</t>
        </is>
      </c>
      <c r="G1801" t="inlineStr">
        <is>
          <t>8</t>
        </is>
      </c>
      <c r="H1801" t="inlineStr">
        <is>
          <t>0</t>
        </is>
      </c>
      <c r="I1801" t="inlineStr">
        <is>
          <t>12⁴, 48²</t>
        </is>
      </c>
      <c r="J1801" t="n">
        <v>6</v>
      </c>
      <c r="K1801" t="inlineStr">
        <is>
          <t>1², 2³, 4³, 8²</t>
        </is>
      </c>
      <c r="L1801" t="inlineStr">
        <is>
          <t>24Q³, 48D³, 48H⁴</t>
        </is>
      </c>
      <c r="M1801" t="inlineStr">
        <is>
          <t>48V¹⁵, 48AJ¹⁷, 48BV¹⁷, 96E¹⁸, 96F¹⁸, 96G¹⁸, 48H¹⁹, 48Z¹⁹</t>
        </is>
      </c>
      <c r="N1801" t="inlineStr">
        <is>
          <t>24Q³, 16E⁰, 12C⁰, 48H⁴, 8D⁰, 4C⁰, 24D¹, 24C¹, 12M¹, 2B⁰, 48D³, 3A⁰, 1A⁰, 6D⁰</t>
        </is>
      </c>
      <c r="O1801" t="inlineStr">
        <is>
          <t>96G¹⁸, 96E¹⁸, 48BV¹⁷, 48Z¹⁹, 48V¹⁵, 48H¹⁹, 48AJ¹⁷, 96F¹⁸</t>
        </is>
      </c>
    </row>
    <row r="1802">
      <c r="A1802">
        <f>HYPERLINK("https://mathstats.uncg.edu/sites/pauli/congruence/csg8.html#group48Q8", "48Q⁸")</f>
        <v/>
      </c>
      <c r="B1802" t="n">
        <v>8</v>
      </c>
      <c r="C1802" t="inlineStr"/>
      <c r="D1802" t="inlineStr">
        <is>
          <t>144</t>
        </is>
      </c>
      <c r="E1802" t="inlineStr">
        <is>
          <t>1</t>
        </is>
      </c>
      <c r="F1802" t="inlineStr">
        <is>
          <t>36</t>
        </is>
      </c>
      <c r="G1802" t="inlineStr">
        <is>
          <t>8</t>
        </is>
      </c>
      <c r="H1802" t="inlineStr">
        <is>
          <t>0</t>
        </is>
      </c>
      <c r="I1802" t="inlineStr">
        <is>
          <t>12⁴, 48²</t>
        </is>
      </c>
      <c r="J1802" t="n">
        <v>6</v>
      </c>
      <c r="K1802" t="inlineStr">
        <is>
          <t>1², 2³, 4³, 8²</t>
        </is>
      </c>
      <c r="L1802" t="inlineStr">
        <is>
          <t>24Q³, 48G³, 48E⁴</t>
        </is>
      </c>
      <c r="M1802" t="inlineStr">
        <is>
          <t>48V¹⁵, 48AI¹⁷, 48BU¹⁷, 48I¹⁹, 48Z¹⁹, 96C²⁰, 96D²⁰, 96M²⁰</t>
        </is>
      </c>
      <c r="N1802" t="inlineStr">
        <is>
          <t>24Q³, 48E⁴, 48G³, 12C⁰, 8D⁰, 16C¹, 4C⁰, 24D¹, 24C¹, 12M¹, 2B⁰, 3A⁰, 1A⁰, 6D⁰</t>
        </is>
      </c>
      <c r="O1802" t="inlineStr">
        <is>
          <t>48Z¹⁹, 48AI¹⁷, 48I¹⁹, 96D²⁰, 96M²⁰, 48BU¹⁷, 96C²⁰, 48V¹⁵</t>
        </is>
      </c>
    </row>
    <row r="1803">
      <c r="A1803">
        <f>HYPERLINK("https://mathstats.uncg.edu/sites/pauli/congruence/csg8.html#group48R8", "48R⁸")</f>
        <v/>
      </c>
      <c r="B1803" t="n">
        <v>8</v>
      </c>
      <c r="C1803" t="inlineStr"/>
      <c r="D1803" t="inlineStr">
        <is>
          <t>144</t>
        </is>
      </c>
      <c r="E1803" t="inlineStr">
        <is>
          <t>1</t>
        </is>
      </c>
      <c r="F1803" t="inlineStr">
        <is>
          <t>36</t>
        </is>
      </c>
      <c r="G1803" t="inlineStr">
        <is>
          <t>12</t>
        </is>
      </c>
      <c r="H1803" t="inlineStr">
        <is>
          <t>0</t>
        </is>
      </c>
      <c r="I1803" t="inlineStr">
        <is>
          <t>24², 48²</t>
        </is>
      </c>
      <c r="J1803" t="n">
        <v>4</v>
      </c>
      <c r="K1803" t="inlineStr">
        <is>
          <t>2⁶, 4⁶</t>
        </is>
      </c>
      <c r="L1803" t="inlineStr">
        <is>
          <t>24L², 48H³</t>
        </is>
      </c>
      <c r="M1803" t="inlineStr">
        <is>
          <t>48Y¹⁵, 48AQ¹⁷, 48AS¹⁷, 48AT¹⁷, 48BZ¹⁷, 48M¹⁸, 48L¹⁸, 48P¹⁸, 48N¹⁸, 48T¹⁸, 48S¹⁸, 48AJ¹⁹, 48AL¹⁹, 48AM¹⁹, 48BA¹⁹, 48L²¹, 48AX²¹</t>
        </is>
      </c>
      <c r="N1803" t="inlineStr">
        <is>
          <t>12C⁰, 8D⁰, 4C⁰, 8B⁰, 2B⁰, 24L², 1A⁰, 48H³, 8H⁰, 12A⁰, 24A⁰, 4A⁰, 24C¹, 12J¹, 4F⁰, 3A⁰, 6D⁰</t>
        </is>
      </c>
      <c r="O1803" t="inlineStr">
        <is>
          <t>48AT¹⁷, 48AL¹⁹, 48Y¹⁵, 48L²¹, 48L¹⁸, 48S¹⁸, 48M¹⁸, 48T¹⁸, 48BZ¹⁷, 48BA¹⁹, 48AX²¹, 48AQ¹⁷, 48AJ¹⁹, 48N¹⁸, 48AS¹⁷, 48AM¹⁹, 48P¹⁸</t>
        </is>
      </c>
    </row>
    <row r="1804">
      <c r="A1804">
        <f>HYPERLINK("https://mathstats.uncg.edu/sites/pauli/congruence/csg8.html#group48S8", "48S⁸")</f>
        <v/>
      </c>
      <c r="B1804" t="n">
        <v>8</v>
      </c>
      <c r="C1804" t="inlineStr"/>
      <c r="D1804" t="inlineStr">
        <is>
          <t>144</t>
        </is>
      </c>
      <c r="E1804" t="inlineStr">
        <is>
          <t>1</t>
        </is>
      </c>
      <c r="F1804" t="inlineStr">
        <is>
          <t>36</t>
        </is>
      </c>
      <c r="G1804" t="inlineStr">
        <is>
          <t>12</t>
        </is>
      </c>
      <c r="H1804" t="inlineStr">
        <is>
          <t>0</t>
        </is>
      </c>
      <c r="I1804" t="inlineStr">
        <is>
          <t>24², 48²</t>
        </is>
      </c>
      <c r="J1804" t="n">
        <v>4</v>
      </c>
      <c r="K1804" t="inlineStr">
        <is>
          <t>4¹⁴, 8²</t>
        </is>
      </c>
      <c r="L1804" t="inlineStr">
        <is>
          <t>24P², 48H³</t>
        </is>
      </c>
      <c r="M1804" t="inlineStr">
        <is>
          <t>48Z¹⁵, 48AQ¹⁷, 48BB¹⁷, 48BC¹⁷, 48CG¹⁷, 48AM¹⁹, 48AO¹⁹, 48BB¹⁹, 48BJ¹⁹, 48AG²¹, 48BH²¹</t>
        </is>
      </c>
      <c r="N1804" t="inlineStr">
        <is>
          <t>24E¹, 12C⁰, 24A⁰, 4C⁰, 8B⁰, 24P², 12M¹, 2B⁰, 3A⁰, 1A⁰, 48H³, 6D⁰</t>
        </is>
      </c>
      <c r="O1804" t="inlineStr">
        <is>
          <t>48BB¹⁷, 48CG¹⁷, 48BC¹⁷, 48Z¹⁵, 48AQ¹⁷, 48BH²¹, 48BJ¹⁹, 48AO¹⁹, 48BB¹⁹, 48AG²¹, 48AM¹⁹</t>
        </is>
      </c>
    </row>
    <row r="1805">
      <c r="A1805">
        <f>HYPERLINK("https://mathstats.uncg.edu/sites/pauli/congruence/csg8.html#group48T8", "48T⁸")</f>
        <v/>
      </c>
      <c r="B1805" t="n">
        <v>8</v>
      </c>
      <c r="C1805" t="inlineStr"/>
      <c r="D1805" t="inlineStr">
        <is>
          <t>144</t>
        </is>
      </c>
      <c r="E1805" t="inlineStr">
        <is>
          <t>1</t>
        </is>
      </c>
      <c r="F1805" t="inlineStr">
        <is>
          <t>36</t>
        </is>
      </c>
      <c r="G1805" t="inlineStr">
        <is>
          <t>12</t>
        </is>
      </c>
      <c r="H1805" t="inlineStr">
        <is>
          <t>0</t>
        </is>
      </c>
      <c r="I1805" t="inlineStr">
        <is>
          <t>24², 48²</t>
        </is>
      </c>
      <c r="J1805" t="n">
        <v>4</v>
      </c>
      <c r="K1805" t="inlineStr">
        <is>
          <t>4¹⁴, 8²</t>
        </is>
      </c>
      <c r="L1805" t="inlineStr">
        <is>
          <t>24P², 48H³</t>
        </is>
      </c>
      <c r="M1805" t="inlineStr">
        <is>
          <t>48AA¹⁵, 48AQ¹⁷, 48BA¹⁷, 48BD¹⁷, 48CH¹⁷, 48AM¹⁹, 48AN¹⁹, 48BB¹⁹, 48BK¹⁹, 48AG²¹, 48BI²¹</t>
        </is>
      </c>
      <c r="N1805" t="inlineStr">
        <is>
          <t>24E¹, 12C⁰, 24A⁰, 4C⁰, 8B⁰, 24P², 12M¹, 2B⁰, 3A⁰, 1A⁰, 48H³, 6D⁰</t>
        </is>
      </c>
      <c r="O1805" t="inlineStr">
        <is>
          <t>48BD¹⁷, 48BA¹⁷, 48BI²¹, 48AN¹⁹, 48AQ¹⁷, 48AA¹⁵, 48BB¹⁹, 48AG²¹, 48BK¹⁹, 48AM¹⁹, 48CH¹⁷</t>
        </is>
      </c>
    </row>
    <row r="1806">
      <c r="A1806">
        <f>HYPERLINK("https://mathstats.uncg.edu/sites/pauli/congruence/csg8.html#group48U8", "48U⁸")</f>
        <v/>
      </c>
      <c r="B1806" t="n">
        <v>8</v>
      </c>
      <c r="C1806" t="inlineStr"/>
      <c r="D1806" t="inlineStr">
        <is>
          <t>144</t>
        </is>
      </c>
      <c r="E1806" t="inlineStr">
        <is>
          <t>1</t>
        </is>
      </c>
      <c r="F1806" t="inlineStr">
        <is>
          <t>72</t>
        </is>
      </c>
      <c r="G1806" t="inlineStr">
        <is>
          <t>6</t>
        </is>
      </c>
      <c r="H1806" t="inlineStr">
        <is>
          <t>0</t>
        </is>
      </c>
      <c r="I1806" t="inlineStr">
        <is>
          <t>12⁴, 24², 48¹</t>
        </is>
      </c>
      <c r="J1806" t="n">
        <v>7</v>
      </c>
      <c r="K1806" t="inlineStr">
        <is>
          <t>4⁴, 8⁸, 16⁴</t>
        </is>
      </c>
      <c r="L1806" t="inlineStr">
        <is>
          <t>24J³</t>
        </is>
      </c>
      <c r="M1806" t="inlineStr">
        <is>
          <t>48B¹⁶, 48D¹⁶, 48BI¹⁷, 48BK¹⁷, 48BO¹⁷, 48G¹⁸, 48K¹⁸, 48R¹⁸, 48AT¹⁹, 48BL¹⁹, 48B²⁰</t>
        </is>
      </c>
      <c r="N1806" t="inlineStr">
        <is>
          <t>12A⁰, 12C⁰, 8K⁰, 4A⁰, 4C⁰, 2B⁰, 12J¹, 4F⁰, 3A⁰, 1A⁰, 6D⁰, 24J³</t>
        </is>
      </c>
      <c r="O1806" t="inlineStr">
        <is>
          <t>48K¹⁸, 48BL¹⁹, 48D¹⁶, 48AT¹⁹, 48BK¹⁷, 48BI¹⁷, 48B¹⁶, 48B²⁰, 48G¹⁸, 48BO¹⁷, 48R¹⁸</t>
        </is>
      </c>
    </row>
    <row r="1807">
      <c r="A1807">
        <f>HYPERLINK("https://mathstats.uncg.edu/sites/pauli/congruence/csg8.html#group48V8", "48V⁸")</f>
        <v/>
      </c>
      <c r="B1807" t="n">
        <v>8</v>
      </c>
      <c r="C1807" t="inlineStr"/>
      <c r="D1807" t="inlineStr">
        <is>
          <t>144</t>
        </is>
      </c>
      <c r="E1807" t="inlineStr">
        <is>
          <t>1</t>
        </is>
      </c>
      <c r="F1807" t="inlineStr">
        <is>
          <t>72</t>
        </is>
      </c>
      <c r="G1807" t="inlineStr">
        <is>
          <t>6</t>
        </is>
      </c>
      <c r="H1807" t="inlineStr">
        <is>
          <t>0</t>
        </is>
      </c>
      <c r="I1807" t="inlineStr">
        <is>
          <t>12⁴, 24², 48¹</t>
        </is>
      </c>
      <c r="J1807" t="n">
        <v>7</v>
      </c>
      <c r="K1807" t="inlineStr">
        <is>
          <t>4⁴, 8⁸, 16⁴</t>
        </is>
      </c>
      <c r="L1807" t="inlineStr">
        <is>
          <t>24J³</t>
        </is>
      </c>
      <c r="M1807" t="inlineStr">
        <is>
          <t>48C¹⁶, 48E¹⁶, 48BJ¹⁷, 48BL¹⁷, 48BO¹⁷, 48G¹⁸, 48J¹⁸, 48R¹⁸, 48AS¹⁹, 48BL¹⁹, 48B²⁰</t>
        </is>
      </c>
      <c r="N1807" t="inlineStr">
        <is>
          <t>12A⁰, 12C⁰, 8K⁰, 4A⁰, 4C⁰, 2B⁰, 12J¹, 4F⁰, 3A⁰, 1A⁰, 6D⁰, 24J³</t>
        </is>
      </c>
      <c r="O1807" t="inlineStr">
        <is>
          <t>48BL¹⁹, 48E¹⁶, 48J¹⁸, 48BJ¹⁷, 48AS¹⁹, 48C¹⁶, 48BL¹⁷, 48B²⁰, 48G¹⁸, 48BO¹⁷, 48R¹⁸</t>
        </is>
      </c>
    </row>
    <row r="1808">
      <c r="A1808">
        <f>HYPERLINK("https://mathstats.uncg.edu/sites/pauli/congruence/csg8.html#group48W8", "48W⁸")</f>
        <v/>
      </c>
      <c r="B1808" t="n">
        <v>8</v>
      </c>
      <c r="C1808" t="inlineStr"/>
      <c r="D1808" t="inlineStr">
        <is>
          <t>144</t>
        </is>
      </c>
      <c r="E1808" t="inlineStr">
        <is>
          <t>1</t>
        </is>
      </c>
      <c r="F1808" t="inlineStr">
        <is>
          <t>72</t>
        </is>
      </c>
      <c r="G1808" t="inlineStr">
        <is>
          <t>8</t>
        </is>
      </c>
      <c r="H1808" t="inlineStr">
        <is>
          <t>0</t>
        </is>
      </c>
      <c r="I1808" t="inlineStr">
        <is>
          <t>12⁴, 48²</t>
        </is>
      </c>
      <c r="J1808" t="n">
        <v>6</v>
      </c>
      <c r="K1808" t="inlineStr">
        <is>
          <t>4¹⁰, 8⁴</t>
        </is>
      </c>
      <c r="L1808" t="inlineStr">
        <is>
          <t>24N²</t>
        </is>
      </c>
      <c r="M1808" t="inlineStr">
        <is>
          <t>48AC¹⁵, 48AG¹⁷, 48CI¹⁷, 48K¹⁹, 48AQ¹⁹</t>
        </is>
      </c>
      <c r="N1808" t="inlineStr">
        <is>
          <t>24E¹, 6B⁰, 12C⁰, 24N², 4C⁰, 2B⁰, 12D⁰, 12H⁰, 6H⁰, 3A⁰, 1A⁰, 6D⁰</t>
        </is>
      </c>
      <c r="O1808" t="inlineStr">
        <is>
          <t>48CI¹⁷, 48K¹⁹, 48AQ¹⁹, 48AG¹⁷, 48AC¹⁵</t>
        </is>
      </c>
    </row>
    <row r="1809">
      <c r="A1809">
        <f>HYPERLINK("https://mathstats.uncg.edu/sites/pauli/congruence/csg8.html#group48X8", "48X⁸")</f>
        <v/>
      </c>
      <c r="B1809" t="n">
        <v>8</v>
      </c>
      <c r="C1809" t="inlineStr"/>
      <c r="D1809" t="inlineStr">
        <is>
          <t>144</t>
        </is>
      </c>
      <c r="E1809" t="inlineStr">
        <is>
          <t>2</t>
        </is>
      </c>
      <c r="F1809" t="inlineStr">
        <is>
          <t>12</t>
        </is>
      </c>
      <c r="G1809" t="inlineStr">
        <is>
          <t>12</t>
        </is>
      </c>
      <c r="H1809" t="inlineStr">
        <is>
          <t>0</t>
        </is>
      </c>
      <c r="I1809" t="inlineStr">
        <is>
          <t>24², 48²</t>
        </is>
      </c>
      <c r="J1809" t="n">
        <v>4</v>
      </c>
      <c r="K1809" t="inlineStr">
        <is>
          <t>2⁸, 4²</t>
        </is>
      </c>
      <c r="L1809" t="inlineStr">
        <is>
          <t>16F², 24M², 48C³, 48E³</t>
        </is>
      </c>
      <c r="M1809" t="inlineStr">
        <is>
          <t>48J¹⁵, 48CA¹⁷, 48CB¹⁷, 48BF¹⁹, 48BG¹⁹, 96I²⁰, 96J²⁰, 96P²⁰, 96Q²⁰, 48I²¹, 48V²¹</t>
        </is>
      </c>
      <c r="N1809" t="inlineStr">
        <is>
          <t>48C³, 16D¹, 12C⁰, 48E³, 16F², 24A⁰, 24M², 4C⁰, 8B⁰, 16B¹, 8L⁰, 2B⁰, 3A⁰, 1A⁰, 6D⁰</t>
        </is>
      </c>
      <c r="O1809" t="inlineStr">
        <is>
          <t>48CA¹⁷, 96I²⁰, 96Q²⁰, 48I²¹, 48J¹⁵, 48BG¹⁹, 48BF¹⁹, 96P²⁰, 48CB¹⁷, 48V²¹, 96J²⁰</t>
        </is>
      </c>
    </row>
    <row r="1810">
      <c r="A1810">
        <f>HYPERLINK("https://mathstats.uncg.edu/sites/pauli/congruence/csg8.html#group48Y8", "48Y⁸")</f>
        <v/>
      </c>
      <c r="B1810" t="n">
        <v>8</v>
      </c>
      <c r="C1810" t="inlineStr"/>
      <c r="D1810" t="inlineStr">
        <is>
          <t>144</t>
        </is>
      </c>
      <c r="E1810" t="inlineStr">
        <is>
          <t>2</t>
        </is>
      </c>
      <c r="F1810" t="inlineStr">
        <is>
          <t>36</t>
        </is>
      </c>
      <c r="G1810" t="inlineStr">
        <is>
          <t>0</t>
        </is>
      </c>
      <c r="H1810" t="inlineStr">
        <is>
          <t>0</t>
        </is>
      </c>
      <c r="I1810" t="inlineStr">
        <is>
          <t>3⁴, 6², 12², 48²</t>
        </is>
      </c>
      <c r="J1810" t="n">
        <v>10</v>
      </c>
      <c r="K1810" t="inlineStr">
        <is>
          <t>2¹², 4⁶, 8³</t>
        </is>
      </c>
      <c r="L1810" t="inlineStr">
        <is>
          <t>24M⁴, 48F⁴, 48G⁴</t>
        </is>
      </c>
      <c r="M1810" t="inlineStr">
        <is>
          <t>48P¹⁵, 48O¹⁵, 48N¹⁵, 48X¹⁷, 48BP¹⁷, 48BT¹⁷, 48BS¹⁷</t>
        </is>
      </c>
      <c r="N1810" t="inlineStr">
        <is>
          <t>24B², 3A⁰, 24M⁴, 48F⁴, 8C⁰, 12B¹, 2B⁰, 4B⁰, 1A⁰, 48G⁴, 6D⁰</t>
        </is>
      </c>
      <c r="O1810" t="inlineStr">
        <is>
          <t>48BT¹⁷, 48P¹⁵, 48X¹⁷, 48BS¹⁷, 48BP¹⁷, 48O¹⁵, 48N¹⁵</t>
        </is>
      </c>
    </row>
    <row r="1811">
      <c r="A1811">
        <f>HYPERLINK("https://mathstats.uncg.edu/sites/pauli/congruence/csg8.html#group48Z8", "48Z⁸")</f>
        <v/>
      </c>
      <c r="B1811" t="n">
        <v>8</v>
      </c>
      <c r="C1811" t="inlineStr"/>
      <c r="D1811" t="inlineStr">
        <is>
          <t>144</t>
        </is>
      </c>
      <c r="E1811" t="inlineStr">
        <is>
          <t>2</t>
        </is>
      </c>
      <c r="F1811" t="inlineStr">
        <is>
          <t>36</t>
        </is>
      </c>
      <c r="G1811" t="inlineStr">
        <is>
          <t>8</t>
        </is>
      </c>
      <c r="H1811" t="inlineStr">
        <is>
          <t>0</t>
        </is>
      </c>
      <c r="I1811" t="inlineStr">
        <is>
          <t>12⁴, 48²</t>
        </is>
      </c>
      <c r="J1811" t="n">
        <v>6</v>
      </c>
      <c r="K1811" t="inlineStr">
        <is>
          <t>2⁶, 4³, 8⁶</t>
        </is>
      </c>
      <c r="L1811" t="inlineStr">
        <is>
          <t>24Q³, 48G³, 48H⁴</t>
        </is>
      </c>
      <c r="M1811" t="inlineStr">
        <is>
          <t>48U¹⁵, 48AJ¹⁷, 48AI¹⁷, 48BV¹⁷, 48BU¹⁷, 48V¹⁹, 48AW¹⁹</t>
        </is>
      </c>
      <c r="N1811" t="inlineStr">
        <is>
          <t>24Q³, 12C⁰, 48G³, 48H⁴, 8D⁰, 4C⁰, 24D¹, 24C¹, 12M¹, 2B⁰, 3A⁰, 1A⁰, 6D⁰</t>
        </is>
      </c>
      <c r="O1811" t="inlineStr">
        <is>
          <t>48AI¹⁷, 48AW¹⁹, 48BV¹⁷, 48BU¹⁷, 48V¹⁹, 48U¹⁵, 48AJ¹⁷</t>
        </is>
      </c>
    </row>
    <row r="1812">
      <c r="A1812">
        <f>HYPERLINK("https://mathstats.uncg.edu/sites/pauli/congruence/csg8.html#group48AA8", "48AA⁸")</f>
        <v/>
      </c>
      <c r="B1812" t="n">
        <v>8</v>
      </c>
      <c r="C1812" t="inlineStr"/>
      <c r="D1812" t="inlineStr">
        <is>
          <t>144</t>
        </is>
      </c>
      <c r="E1812" t="inlineStr">
        <is>
          <t>2</t>
        </is>
      </c>
      <c r="F1812" t="inlineStr">
        <is>
          <t>36</t>
        </is>
      </c>
      <c r="G1812" t="inlineStr">
        <is>
          <t>12</t>
        </is>
      </c>
      <c r="H1812" t="inlineStr">
        <is>
          <t>0</t>
        </is>
      </c>
      <c r="I1812" t="inlineStr">
        <is>
          <t>24², 48²</t>
        </is>
      </c>
      <c r="J1812" t="n">
        <v>4</v>
      </c>
      <c r="K1812" t="inlineStr">
        <is>
          <t>2⁸, 4¹⁰, 8²</t>
        </is>
      </c>
      <c r="L1812" t="inlineStr">
        <is>
          <t>24M², 48F³, 48H³</t>
        </is>
      </c>
      <c r="M1812" t="inlineStr">
        <is>
          <t>48AF¹⁵, 48AT¹⁷, 48BG¹⁷, 48BH¹⁷, 48CA¹⁷, 48CG¹⁷, 48CH¹⁷, 48AJ¹⁹, 48BE¹⁹, 48BG¹⁹, 48BJ¹⁹, 48BK¹⁹, 48AH²¹, 48BU²¹</t>
        </is>
      </c>
      <c r="N1812" t="inlineStr">
        <is>
          <t>12C⁰, 24A⁰, 24M², 4C⁰, 8B⁰, 8L⁰, 2B⁰, 48F³, 3A⁰, 1A⁰, 48H³, 6D⁰</t>
        </is>
      </c>
      <c r="O1812" t="inlineStr">
        <is>
          <t>48AH²¹, 48BU²¹, 48AT¹⁷, 48CA¹⁷, 48CG¹⁷, 48BE¹⁹, 48AJ¹⁹, 48BJ¹⁹, 48BG¹⁹, 48CH¹⁷, 48BG¹⁷, 48BK¹⁹, 48AF¹⁵, 48BH¹⁷</t>
        </is>
      </c>
    </row>
    <row r="1813">
      <c r="A1813">
        <f>HYPERLINK("https://mathstats.uncg.edu/sites/pauli/congruence/csg8.html#group48AB8", "48AB⁸")</f>
        <v/>
      </c>
      <c r="B1813" t="n">
        <v>8</v>
      </c>
      <c r="C1813" t="inlineStr"/>
      <c r="D1813" t="inlineStr">
        <is>
          <t>144</t>
        </is>
      </c>
      <c r="E1813" t="inlineStr">
        <is>
          <t>2</t>
        </is>
      </c>
      <c r="F1813" t="inlineStr">
        <is>
          <t>36</t>
        </is>
      </c>
      <c r="G1813" t="inlineStr">
        <is>
          <t>12</t>
        </is>
      </c>
      <c r="H1813" t="inlineStr">
        <is>
          <t>0</t>
        </is>
      </c>
      <c r="I1813" t="inlineStr">
        <is>
          <t>24², 48²</t>
        </is>
      </c>
      <c r="J1813" t="n">
        <v>4</v>
      </c>
      <c r="K1813" t="inlineStr">
        <is>
          <t>2⁸, 4¹⁰, 8²</t>
        </is>
      </c>
      <c r="L1813" t="inlineStr">
        <is>
          <t>24P², 48E³, 48H³</t>
        </is>
      </c>
      <c r="M1813" t="inlineStr">
        <is>
          <t>48AF¹⁵, 48AS¹⁷, 48BC¹⁷, 48BD¹⁷, 48CB¹⁷, 48CE¹⁷, 48CF¹⁷, 48AL¹⁹, 48BB¹⁹, 48BF¹⁹, 48BH¹⁹, 48BI¹⁹, 96R²⁰, 96U²⁰, 96T²⁰, 96S²⁰, 96Z²⁰, 96AA²⁰, 96AB²⁰, 96AC²⁰, 48AN²¹, 48BU²¹</t>
        </is>
      </c>
      <c r="N1813" t="inlineStr">
        <is>
          <t>24E¹, 16D¹, 12C⁰, 48E³, 24A⁰, 4C⁰, 8B⁰, 24P², 2B⁰, 12M¹, 3A⁰, 1A⁰, 48H³, 6D⁰</t>
        </is>
      </c>
      <c r="O1813" t="inlineStr">
        <is>
          <t>48BU²¹, 48BD¹⁷, 48CF¹⁷, 48AL¹⁹, 48BF¹⁹, 48BB¹⁹, 96Z²⁰, 96AC²⁰, 48CE¹⁷, 96R²⁰, 96U²⁰, 48BC¹⁷, 96AA²⁰, 96AB²⁰, 48AN²¹, 48BH¹⁹, 96S²⁰, 48AS¹⁷, 48BI¹⁹, 48AF¹⁵, 48CB¹⁷, 96T²⁰</t>
        </is>
      </c>
    </row>
    <row r="1814">
      <c r="A1814">
        <f>HYPERLINK("https://mathstats.uncg.edu/sites/pauli/congruence/csg8.html#group48AC8", "48AC⁸")</f>
        <v/>
      </c>
      <c r="B1814" t="n">
        <v>8</v>
      </c>
      <c r="C1814" t="inlineStr"/>
      <c r="D1814" t="inlineStr">
        <is>
          <t>144</t>
        </is>
      </c>
      <c r="E1814" t="inlineStr">
        <is>
          <t>2</t>
        </is>
      </c>
      <c r="F1814" t="inlineStr">
        <is>
          <t>36</t>
        </is>
      </c>
      <c r="G1814" t="inlineStr">
        <is>
          <t>12</t>
        </is>
      </c>
      <c r="H1814" t="inlineStr">
        <is>
          <t>0</t>
        </is>
      </c>
      <c r="I1814" t="inlineStr">
        <is>
          <t>24², 48²</t>
        </is>
      </c>
      <c r="J1814" t="n">
        <v>4</v>
      </c>
      <c r="K1814" t="inlineStr">
        <is>
          <t>2⁸, 4¹⁰, 8²</t>
        </is>
      </c>
      <c r="L1814" t="inlineStr">
        <is>
          <t>24Q², 48C³, 48H³</t>
        </is>
      </c>
      <c r="M1814" t="inlineStr">
        <is>
          <t>48Y¹⁵, 48BA¹⁷, 48BB¹⁷, 48BY¹⁷, 48CA¹⁷, 48CB¹⁷, 48AN¹⁹, 48AO¹⁹, 48BC¹⁹, 48BF¹⁹, 48BG¹⁹, 48AI²¹, 48AX²¹</t>
        </is>
      </c>
      <c r="N1814" t="inlineStr">
        <is>
          <t>48C³, 12C⁰, 24A⁰, 4C⁰, 8B⁰, 24Q², 16B¹, 2B⁰, 3A⁰, 1A⁰, 48H³, 6D⁰</t>
        </is>
      </c>
      <c r="O1814" t="inlineStr">
        <is>
          <t>48BB¹⁷, 48CA¹⁷, 48BA¹⁷, 48AX²¹, 48BY¹⁷, 48BC¹⁹, 48AI²¹, 48AO¹⁹, 48BG¹⁹, 48Y¹⁵, 48BF¹⁹, 48CB¹⁷, 48AN¹⁹</t>
        </is>
      </c>
    </row>
    <row r="1815">
      <c r="A1815">
        <f>HYPERLINK("https://mathstats.uncg.edu/sites/pauli/congruence/csg8.html#group48AD8", "48AD⁸")</f>
        <v/>
      </c>
      <c r="B1815" t="n">
        <v>8</v>
      </c>
      <c r="C1815" t="inlineStr"/>
      <c r="D1815" t="inlineStr">
        <is>
          <t>144</t>
        </is>
      </c>
      <c r="E1815" t="inlineStr">
        <is>
          <t>2</t>
        </is>
      </c>
      <c r="F1815" t="inlineStr">
        <is>
          <t>36</t>
        </is>
      </c>
      <c r="G1815" t="inlineStr">
        <is>
          <t>12</t>
        </is>
      </c>
      <c r="H1815" t="inlineStr">
        <is>
          <t>0</t>
        </is>
      </c>
      <c r="I1815" t="inlineStr">
        <is>
          <t>24², 48²</t>
        </is>
      </c>
      <c r="J1815" t="n">
        <v>4</v>
      </c>
      <c r="K1815" t="inlineStr">
        <is>
          <t>2⁸, 4¹⁰, 8²</t>
        </is>
      </c>
      <c r="L1815" t="inlineStr">
        <is>
          <t>24Q², 48E³, 48F³</t>
        </is>
      </c>
      <c r="M1815" t="inlineStr">
        <is>
          <t>48AF¹⁵, 48AU¹⁷, 48BE¹⁷, 48BF¹⁷, 48CA¹⁷, 48CE¹⁷, 48CF¹⁷, 48AK¹⁹, 48BD¹⁹, 48BG¹⁹, 48BH¹⁹, 48BI¹⁹, 96V²⁰, 96Y²⁰, 96X²⁰, 96W²⁰, 96AD²⁰, 96AE²⁰, 96AF²⁰, 96AG²⁰, 48AJ²¹, 48BU²¹</t>
        </is>
      </c>
      <c r="N1815" t="inlineStr">
        <is>
          <t>16D¹, 12C⁰, 48E³, 24A⁰, 4C⁰, 8B⁰, 24Q², 2B⁰, 48F³, 3A⁰, 1A⁰, 6D⁰</t>
        </is>
      </c>
      <c r="O1815" t="inlineStr">
        <is>
          <t>48BF¹⁷, 48BU²¹, 48AK¹⁹, 48AU¹⁷, 48CF¹⁷, 48BG¹⁹, 96AG²⁰, 96AD²⁰, 96W²⁰, 96Y²⁰, 48CE¹⁷, 96X²⁰, 48CA¹⁷, 48BD¹⁹, 48AJ²¹, 48BE¹⁷, 96AE²⁰, 48BH¹⁹, 96V²⁰, 48BI¹⁹, 48AF¹⁵, 96AF²⁰</t>
        </is>
      </c>
    </row>
    <row r="1816">
      <c r="A1816">
        <f>HYPERLINK("https://mathstats.uncg.edu/sites/pauli/congruence/csg8.html#group48AE8", "48AE⁸")</f>
        <v/>
      </c>
      <c r="B1816" t="n">
        <v>8</v>
      </c>
      <c r="C1816" t="inlineStr"/>
      <c r="D1816" t="inlineStr">
        <is>
          <t>144</t>
        </is>
      </c>
      <c r="E1816" t="inlineStr">
        <is>
          <t>2</t>
        </is>
      </c>
      <c r="F1816" t="inlineStr">
        <is>
          <t>36</t>
        </is>
      </c>
      <c r="G1816" t="inlineStr">
        <is>
          <t>12</t>
        </is>
      </c>
      <c r="H1816" t="inlineStr">
        <is>
          <t>0</t>
        </is>
      </c>
      <c r="I1816" t="inlineStr">
        <is>
          <t>24², 48²</t>
        </is>
      </c>
      <c r="J1816" t="n">
        <v>4</v>
      </c>
      <c r="K1816" t="inlineStr">
        <is>
          <t>4²⁴, 8⁶</t>
        </is>
      </c>
      <c r="L1816" t="inlineStr">
        <is>
          <t>24Q², 48F³, 48H³</t>
        </is>
      </c>
      <c r="M1816" t="inlineStr">
        <is>
          <t>48Z¹⁵, 48BG¹⁷, 48BE¹⁷, 48BY¹⁷, 48BZ¹⁷, 48CE¹⁷, 48CG¹⁷, 48BA¹⁹, 48BE¹⁹, 48BC¹⁹, 48BD¹⁹, 48BI¹⁹, 48BK¹⁹, 48BI²¹, 48BS²¹</t>
        </is>
      </c>
      <c r="N1816" t="inlineStr">
        <is>
          <t>12C⁰, 24A⁰, 4C⁰, 8B⁰, 24Q², 2B⁰, 48F³, 3A⁰, 1A⁰, 48H³, 6D⁰</t>
        </is>
      </c>
      <c r="O1816" t="inlineStr">
        <is>
          <t>48BZ¹⁷, 48CG¹⁷, 48BA¹⁹, 48BY¹⁷, 48Z¹⁵, 48BE¹⁷, 48BE¹⁹, 48BC¹⁹, 48BD¹⁹, 48BI²¹, 48BG¹⁷, 48BI¹⁹, 48BS²¹, 48BK¹⁹, 48CE¹⁷</t>
        </is>
      </c>
    </row>
    <row r="1817">
      <c r="A1817">
        <f>HYPERLINK("https://mathstats.uncg.edu/sites/pauli/congruence/csg8.html#group48AF8", "48AF⁸")</f>
        <v/>
      </c>
      <c r="B1817" t="n">
        <v>8</v>
      </c>
      <c r="C1817" t="inlineStr"/>
      <c r="D1817" t="inlineStr">
        <is>
          <t>144</t>
        </is>
      </c>
      <c r="E1817" t="inlineStr">
        <is>
          <t>2</t>
        </is>
      </c>
      <c r="F1817" t="inlineStr">
        <is>
          <t>36</t>
        </is>
      </c>
      <c r="G1817" t="inlineStr">
        <is>
          <t>12</t>
        </is>
      </c>
      <c r="H1817" t="inlineStr">
        <is>
          <t>0</t>
        </is>
      </c>
      <c r="I1817" t="inlineStr">
        <is>
          <t>24², 48²</t>
        </is>
      </c>
      <c r="J1817" t="n">
        <v>4</v>
      </c>
      <c r="K1817" t="inlineStr">
        <is>
          <t>4²⁴, 8⁶</t>
        </is>
      </c>
      <c r="L1817" t="inlineStr">
        <is>
          <t>24Q², 48F³, 48H³</t>
        </is>
      </c>
      <c r="M1817" t="inlineStr">
        <is>
          <t>48AA¹⁵, 48BH¹⁷, 48BF¹⁷, 48BY¹⁷, 48BZ¹⁷, 48CF¹⁷, 48CH¹⁷, 48BA¹⁹, 48BE¹⁹, 48BC¹⁹, 48BD¹⁹, 48BH¹⁹, 48BJ¹⁹, 48BH²¹, 48BS²¹</t>
        </is>
      </c>
      <c r="N1817" t="inlineStr">
        <is>
          <t>12C⁰, 24A⁰, 4C⁰, 8B⁰, 24Q², 2B⁰, 48F³, 3A⁰, 1A⁰, 48H³, 6D⁰</t>
        </is>
      </c>
      <c r="O1817" t="inlineStr">
        <is>
          <t>48BF¹⁷, 48BZ¹⁷, 48BA¹⁹, 48BY¹⁷, 48CF¹⁷, 48BE¹⁹, 48BC¹⁹, 48BD¹⁹, 48AA¹⁵, 48BJ¹⁹, 48BH²¹, 48BH¹⁹, 48CH¹⁷, 48BS²¹, 48BH¹⁷</t>
        </is>
      </c>
    </row>
    <row r="1818">
      <c r="A1818">
        <f>HYPERLINK("https://mathstats.uncg.edu/sites/pauli/congruence/csg8.html#group53A8", "53A⁸")</f>
        <v/>
      </c>
      <c r="B1818" t="n">
        <v>8</v>
      </c>
      <c r="C1818" t="inlineStr"/>
      <c r="D1818" t="inlineStr">
        <is>
          <t>108</t>
        </is>
      </c>
      <c r="E1818" t="inlineStr">
        <is>
          <t>1</t>
        </is>
      </c>
      <c r="F1818" t="inlineStr">
        <is>
          <t>54</t>
        </is>
      </c>
      <c r="G1818" t="inlineStr">
        <is>
          <t>0</t>
        </is>
      </c>
      <c r="H1818" t="inlineStr">
        <is>
          <t>0</t>
        </is>
      </c>
      <c r="I1818" t="inlineStr">
        <is>
          <t>1², 53²</t>
        </is>
      </c>
      <c r="J1818" t="n">
        <v>4</v>
      </c>
      <c r="K1818" t="inlineStr">
        <is>
          <t>1², 52¹</t>
        </is>
      </c>
      <c r="L1818" t="inlineStr">
        <is>
          <t>53A⁴</t>
        </is>
      </c>
      <c r="M1818" t="inlineStr">
        <is>
          <t>106A¹⁷, 106A²⁴</t>
        </is>
      </c>
      <c r="N1818" t="inlineStr">
        <is>
          <t>1A⁰, 53A⁴</t>
        </is>
      </c>
      <c r="O1818" t="inlineStr">
        <is>
          <t>106A¹⁷, 106A²⁴</t>
        </is>
      </c>
    </row>
    <row r="1819">
      <c r="A1819">
        <f>HYPERLINK("https://mathstats.uncg.edu/sites/pauli/congruence/csg8.html#group54A8", "54A⁸")</f>
        <v/>
      </c>
      <c r="B1819" t="n">
        <v>8</v>
      </c>
      <c r="C1819" t="inlineStr"/>
      <c r="D1819" t="inlineStr">
        <is>
          <t>108</t>
        </is>
      </c>
      <c r="E1819" t="inlineStr">
        <is>
          <t>1</t>
        </is>
      </c>
      <c r="F1819" t="inlineStr">
        <is>
          <t>36</t>
        </is>
      </c>
      <c r="G1819" t="inlineStr">
        <is>
          <t>0</t>
        </is>
      </c>
      <c r="H1819" t="inlineStr">
        <is>
          <t>0</t>
        </is>
      </c>
      <c r="I1819" t="inlineStr">
        <is>
          <t>9¹, 18¹, 27¹, 54¹</t>
        </is>
      </c>
      <c r="J1819" t="n">
        <v>4</v>
      </c>
      <c r="K1819" t="inlineStr">
        <is>
          <t>1⁶, 2⁶, 6³</t>
        </is>
      </c>
      <c r="L1819" t="inlineStr">
        <is>
          <t>27B¹, 18D²</t>
        </is>
      </c>
      <c r="M1819" t="inlineStr">
        <is>
          <t>54D¹⁶, 108A¹⁶, 108A¹⁷, 54B²², 54C²², 54E²²</t>
        </is>
      </c>
      <c r="N1819" t="inlineStr">
        <is>
          <t>6F⁰, 3B⁰, 18D², 27B¹, 2B⁰, 9C⁰, 1A⁰</t>
        </is>
      </c>
      <c r="O1819" t="inlineStr">
        <is>
          <t>54C²², 108A¹⁶, 54B²², 54E²², 108A¹⁷, 54D¹⁶</t>
        </is>
      </c>
    </row>
    <row r="1820">
      <c r="A1820">
        <f>HYPERLINK("https://mathstats.uncg.edu/sites/pauli/congruence/csg8.html#group54B8", "54B⁸")</f>
        <v/>
      </c>
      <c r="B1820" t="n">
        <v>8</v>
      </c>
      <c r="C1820" t="inlineStr"/>
      <c r="D1820" t="inlineStr">
        <is>
          <t>108</t>
        </is>
      </c>
      <c r="E1820" t="inlineStr">
        <is>
          <t>1</t>
        </is>
      </c>
      <c r="F1820" t="inlineStr">
        <is>
          <t>36</t>
        </is>
      </c>
      <c r="G1820" t="inlineStr">
        <is>
          <t>0</t>
        </is>
      </c>
      <c r="H1820" t="inlineStr">
        <is>
          <t>0</t>
        </is>
      </c>
      <c r="I1820" t="inlineStr">
        <is>
          <t>9¹, 18¹, 27¹, 54¹</t>
        </is>
      </c>
      <c r="J1820" t="n">
        <v>4</v>
      </c>
      <c r="K1820" t="inlineStr">
        <is>
          <t>1⁶, 2⁶, 6³</t>
        </is>
      </c>
      <c r="L1820" t="inlineStr">
        <is>
          <t>18D², 27B²</t>
        </is>
      </c>
      <c r="M1820" t="inlineStr">
        <is>
          <t>54F¹⁶, 108B¹⁶, 108B¹⁷, 54B²², 54D²², 54E²²</t>
        </is>
      </c>
      <c r="N1820" t="inlineStr">
        <is>
          <t>3B⁰, 27B², 6F⁰, 18D², 2B⁰, 9C⁰, 1A⁰</t>
        </is>
      </c>
      <c r="O1820" t="inlineStr">
        <is>
          <t>54F¹⁶, 54D²², 54B²², 54E²², 108B¹⁷, 108B¹⁶</t>
        </is>
      </c>
    </row>
    <row r="1821">
      <c r="A1821">
        <f>HYPERLINK("https://mathstats.uncg.edu/sites/pauli/congruence/csg8.html#group54C8", "54C⁸")</f>
        <v/>
      </c>
      <c r="B1821" t="n">
        <v>8</v>
      </c>
      <c r="C1821" t="inlineStr"/>
      <c r="D1821" t="inlineStr">
        <is>
          <t>108</t>
        </is>
      </c>
      <c r="E1821" t="inlineStr">
        <is>
          <t>1</t>
        </is>
      </c>
      <c r="F1821" t="inlineStr">
        <is>
          <t>36</t>
        </is>
      </c>
      <c r="G1821" t="inlineStr">
        <is>
          <t>0</t>
        </is>
      </c>
      <c r="H1821" t="inlineStr">
        <is>
          <t>0</t>
        </is>
      </c>
      <c r="I1821" t="inlineStr">
        <is>
          <t>9¹, 18¹, 27¹, 54¹</t>
        </is>
      </c>
      <c r="J1821" t="n">
        <v>4</v>
      </c>
      <c r="K1821" t="inlineStr">
        <is>
          <t>1⁶, 2⁶, 6³</t>
        </is>
      </c>
      <c r="L1821" t="inlineStr">
        <is>
          <t>18D², 27A³</t>
        </is>
      </c>
      <c r="M1821" t="inlineStr">
        <is>
          <t>54E¹⁶, 108C¹⁶, 108C¹⁷, 54D²², 54C²², 54E²²</t>
        </is>
      </c>
      <c r="N1821" t="inlineStr">
        <is>
          <t>6F⁰, 3B⁰, 18D², 2B⁰, 9C⁰, 1A⁰, 27A³</t>
        </is>
      </c>
      <c r="O1821" t="inlineStr">
        <is>
          <t>108C¹⁷, 54C²², 54D²², 108C¹⁶, 54E¹⁶, 54E²²</t>
        </is>
      </c>
    </row>
    <row r="1822">
      <c r="A1822">
        <f>HYPERLINK("https://mathstats.uncg.edu/sites/pauli/congruence/csg8.html#group54D8", "54D⁸")</f>
        <v/>
      </c>
      <c r="B1822" t="n">
        <v>8</v>
      </c>
      <c r="C1822" t="inlineStr"/>
      <c r="D1822" t="inlineStr">
        <is>
          <t>162</t>
        </is>
      </c>
      <c r="E1822" t="inlineStr">
        <is>
          <t>2</t>
        </is>
      </c>
      <c r="F1822" t="inlineStr">
        <is>
          <t>81</t>
        </is>
      </c>
      <c r="G1822" t="inlineStr">
        <is>
          <t>20</t>
        </is>
      </c>
      <c r="H1822" t="inlineStr">
        <is>
          <t>0</t>
        </is>
      </c>
      <c r="I1822" t="inlineStr">
        <is>
          <t>54³</t>
        </is>
      </c>
      <c r="J1822" t="n">
        <v>3</v>
      </c>
      <c r="K1822" t="inlineStr">
        <is>
          <t>6⁹, 18⁶</t>
        </is>
      </c>
      <c r="L1822" t="inlineStr">
        <is>
          <t>18K², 27B³</t>
        </is>
      </c>
      <c r="M1822" t="inlineStr">
        <is>
          <t>54V¹⁶, 54A²⁴</t>
        </is>
      </c>
      <c r="N1822" t="inlineStr">
        <is>
          <t>6B⁰, 9G⁰, 9A⁰, 18K², 27B³, 3A⁰, 1A⁰, 18A⁰, 18A¹</t>
        </is>
      </c>
      <c r="O1822" t="inlineStr">
        <is>
          <t>54V¹⁶, 54A²⁴</t>
        </is>
      </c>
    </row>
    <row r="1823">
      <c r="A1823">
        <f>HYPERLINK("https://mathstats.uncg.edu/sites/pauli/congruence/csg8.html#group56A8", "56A⁸")</f>
        <v/>
      </c>
      <c r="B1823" t="n">
        <v>8</v>
      </c>
      <c r="C1823" t="inlineStr"/>
      <c r="D1823" t="inlineStr">
        <is>
          <t>112</t>
        </is>
      </c>
      <c r="E1823" t="inlineStr">
        <is>
          <t>2</t>
        </is>
      </c>
      <c r="F1823" t="inlineStr">
        <is>
          <t>28</t>
        </is>
      </c>
      <c r="G1823" t="inlineStr">
        <is>
          <t>0</t>
        </is>
      </c>
      <c r="H1823" t="inlineStr">
        <is>
          <t>4</t>
        </is>
      </c>
      <c r="I1823" t="inlineStr">
        <is>
          <t>56²</t>
        </is>
      </c>
      <c r="J1823" t="n">
        <v>2</v>
      </c>
      <c r="K1823" t="inlineStr">
        <is>
          <t>4², 12⁴</t>
        </is>
      </c>
      <c r="L1823" t="inlineStr">
        <is>
          <t>56A³, 56B³, 28A⁴</t>
        </is>
      </c>
      <c r="M1823" t="inlineStr">
        <is>
          <t>56A¹⁵</t>
        </is>
      </c>
      <c r="N1823" t="inlineStr">
        <is>
          <t>2A⁰, 56B³, 4A⁰, 28A⁴, 4D⁰, 14A¹, 28A¹, 1A⁰, 7A⁰, 56A³</t>
        </is>
      </c>
      <c r="O1823" t="inlineStr">
        <is>
          <t>56A¹⁵</t>
        </is>
      </c>
    </row>
    <row r="1824">
      <c r="A1824">
        <f>HYPERLINK("https://mathstats.uncg.edu/sites/pauli/congruence/csg8.html#group56B8", "56B⁸")</f>
        <v/>
      </c>
      <c r="B1824" t="n">
        <v>8</v>
      </c>
      <c r="C1824" t="inlineStr"/>
      <c r="D1824" t="inlineStr">
        <is>
          <t>112</t>
        </is>
      </c>
      <c r="E1824" t="inlineStr">
        <is>
          <t>2</t>
        </is>
      </c>
      <c r="F1824" t="inlineStr">
        <is>
          <t>28</t>
        </is>
      </c>
      <c r="G1824" t="inlineStr">
        <is>
          <t>0</t>
        </is>
      </c>
      <c r="H1824" t="inlineStr">
        <is>
          <t>4</t>
        </is>
      </c>
      <c r="I1824" t="inlineStr">
        <is>
          <t>56²</t>
        </is>
      </c>
      <c r="J1824" t="n">
        <v>2</v>
      </c>
      <c r="K1824" t="inlineStr">
        <is>
          <t>4², 12⁴</t>
        </is>
      </c>
      <c r="L1824" t="inlineStr">
        <is>
          <t>8E⁰, 56C³, 56D³, 28A⁴</t>
        </is>
      </c>
      <c r="M1824" t="inlineStr">
        <is>
          <t>56A¹⁵, 112A¹⁶, 112B¹⁶</t>
        </is>
      </c>
      <c r="N1824" t="inlineStr">
        <is>
          <t>2A⁰, 56D³, 4A⁰, 28A⁴, 4D⁰, 14A¹, 8A⁰, 8E⁰, 56C³, 28A¹, 1A⁰, 7A⁰</t>
        </is>
      </c>
      <c r="O1824" t="inlineStr">
        <is>
          <t>112A¹⁶, 112B¹⁶, 56A¹⁵</t>
        </is>
      </c>
    </row>
    <row r="1825">
      <c r="A1825">
        <f>HYPERLINK("https://mathstats.uncg.edu/sites/pauli/congruence/csg8.html#group60A8", "60A⁸")</f>
        <v/>
      </c>
      <c r="B1825" t="n">
        <v>8</v>
      </c>
      <c r="C1825" t="inlineStr"/>
      <c r="D1825" t="inlineStr">
        <is>
          <t>108</t>
        </is>
      </c>
      <c r="E1825" t="inlineStr">
        <is>
          <t>1</t>
        </is>
      </c>
      <c r="F1825" t="inlineStr">
        <is>
          <t>18</t>
        </is>
      </c>
      <c r="G1825" t="inlineStr">
        <is>
          <t>0</t>
        </is>
      </c>
      <c r="H1825" t="inlineStr">
        <is>
          <t>0</t>
        </is>
      </c>
      <c r="I1825" t="inlineStr">
        <is>
          <t>6¹, 12¹, 30¹, 60¹</t>
        </is>
      </c>
      <c r="J1825" t="n">
        <v>4</v>
      </c>
      <c r="K1825" t="inlineStr">
        <is>
          <t>1⁶, 4³</t>
        </is>
      </c>
      <c r="L1825" t="inlineStr">
        <is>
          <t>20C², 30E²</t>
        </is>
      </c>
      <c r="M1825" t="inlineStr">
        <is>
          <t>60A¹⁵, 60B¹⁵, 60C¹⁵, 60F¹⁵, 60H¹⁵, 60G¹⁵, 60I¹⁵</t>
        </is>
      </c>
      <c r="N1825" t="inlineStr">
        <is>
          <t>15B⁰, 30E², 5B⁰, 10C⁰, 2B⁰, 3A⁰, 1A⁰, 20C², 6D⁰</t>
        </is>
      </c>
      <c r="O1825" t="inlineStr">
        <is>
          <t>60F¹⁵, 60C¹⁵, 60G¹⁵, 60B¹⁵, 60A¹⁵, 60H¹⁵, 60I¹⁵</t>
        </is>
      </c>
    </row>
    <row r="1826">
      <c r="A1826">
        <f>HYPERLINK("https://mathstats.uncg.edu/sites/pauli/congruence/csg8.html#group60B8", "60B⁸")</f>
        <v/>
      </c>
      <c r="B1826" t="n">
        <v>8</v>
      </c>
      <c r="C1826" t="inlineStr"/>
      <c r="D1826" t="inlineStr">
        <is>
          <t>120</t>
        </is>
      </c>
      <c r="E1826" t="inlineStr">
        <is>
          <t>1</t>
        </is>
      </c>
      <c r="F1826" t="inlineStr">
        <is>
          <t>40</t>
        </is>
      </c>
      <c r="G1826" t="inlineStr">
        <is>
          <t>0</t>
        </is>
      </c>
      <c r="H1826" t="inlineStr">
        <is>
          <t>6</t>
        </is>
      </c>
      <c r="I1826" t="inlineStr">
        <is>
          <t>60²</t>
        </is>
      </c>
      <c r="J1826" t="n">
        <v>2</v>
      </c>
      <c r="K1826" t="inlineStr">
        <is>
          <t>4², 16²</t>
        </is>
      </c>
      <c r="L1826" t="inlineStr">
        <is>
          <t>12E¹, 30A¹, 20D²</t>
        </is>
      </c>
      <c r="M1826" t="inlineStr">
        <is>
          <t>120A¹⁶</t>
        </is>
      </c>
      <c r="N1826" t="inlineStr">
        <is>
          <t>2A⁰, 30A¹, 5A⁰, 10A⁰, 20D², 6A⁰, 4A⁰, 4D⁰, 12E¹, 20A¹, 1A⁰</t>
        </is>
      </c>
      <c r="O1826" t="inlineStr">
        <is>
          <t>120A¹⁶</t>
        </is>
      </c>
    </row>
    <row r="1827">
      <c r="A1827">
        <f>HYPERLINK("https://mathstats.uncg.edu/sites/pauli/congruence/csg8.html#group60C8", "60C⁸")</f>
        <v/>
      </c>
      <c r="B1827" t="n">
        <v>8</v>
      </c>
      <c r="C1827" t="inlineStr"/>
      <c r="D1827" t="inlineStr">
        <is>
          <t>120</t>
        </is>
      </c>
      <c r="E1827" t="inlineStr">
        <is>
          <t>1</t>
        </is>
      </c>
      <c r="F1827" t="inlineStr">
        <is>
          <t>60</t>
        </is>
      </c>
      <c r="G1827" t="inlineStr">
        <is>
          <t>0</t>
        </is>
      </c>
      <c r="H1827" t="inlineStr">
        <is>
          <t>0</t>
        </is>
      </c>
      <c r="I1827" t="inlineStr">
        <is>
          <t>5², 15², 20¹, 60¹</t>
        </is>
      </c>
      <c r="J1827" t="n">
        <v>6</v>
      </c>
      <c r="K1827" t="inlineStr">
        <is>
          <t>1⁶, 2³, 4⁶, 8³</t>
        </is>
      </c>
      <c r="L1827" t="inlineStr">
        <is>
          <t>12E⁰, 20A², 30D⁴</t>
        </is>
      </c>
      <c r="M1827" t="inlineStr">
        <is>
          <t>60B¹⁶, 120B¹⁶, 60B¹⁷, 120D¹⁷, 120A¹⁸, 60A²²</t>
        </is>
      </c>
      <c r="N1827" t="inlineStr">
        <is>
          <t>20A², 3B⁰, 5A⁰, 30D⁴, 10B¹, 6F⁰, 15B¹, 2B⁰, 4B⁰, 1A⁰, 12E⁰</t>
        </is>
      </c>
      <c r="O1827" t="inlineStr">
        <is>
          <t>120D¹⁷, 60B¹⁶, 120B¹⁶, 120A¹⁸, 60A²², 60B¹⁷</t>
        </is>
      </c>
    </row>
    <row r="1828">
      <c r="A1828">
        <f>HYPERLINK("https://mathstats.uncg.edu/sites/pauli/congruence/csg8.html#group60D8", "60D⁸")</f>
        <v/>
      </c>
      <c r="B1828" t="n">
        <v>8</v>
      </c>
      <c r="C1828" t="inlineStr"/>
      <c r="D1828" t="inlineStr">
        <is>
          <t>120</t>
        </is>
      </c>
      <c r="E1828" t="inlineStr">
        <is>
          <t>1</t>
        </is>
      </c>
      <c r="F1828" t="inlineStr">
        <is>
          <t>60</t>
        </is>
      </c>
      <c r="G1828" t="inlineStr">
        <is>
          <t>8</t>
        </is>
      </c>
      <c r="H1828" t="inlineStr">
        <is>
          <t>0</t>
        </is>
      </c>
      <c r="I1828" t="inlineStr">
        <is>
          <t>60²</t>
        </is>
      </c>
      <c r="J1828" t="n">
        <v>2</v>
      </c>
      <c r="K1828" t="inlineStr">
        <is>
          <t>2², 4², 8², 16²</t>
        </is>
      </c>
      <c r="L1828" t="inlineStr">
        <is>
          <t>12F⁰, 30A², 60A⁴</t>
        </is>
      </c>
      <c r="M1828" t="inlineStr">
        <is>
          <t>60E¹⁷, 120B¹⁸, 120C¹⁸, 120F¹⁸, 60G¹⁹, 60B²²</t>
        </is>
      </c>
      <c r="N1828" t="inlineStr">
        <is>
          <t>5A⁰, 30A², 12A⁰, 6B⁰, 4A⁰, 60A⁴, 12F⁰, 20A¹, 3A⁰, 1A⁰, 15A¹</t>
        </is>
      </c>
      <c r="O1828" t="inlineStr">
        <is>
          <t>60B²², 120F¹⁸, 120B¹⁸, 120C¹⁸, 60E¹⁷, 60G¹⁹</t>
        </is>
      </c>
    </row>
    <row r="1829">
      <c r="A1829">
        <f>HYPERLINK("https://mathstats.uncg.edu/sites/pauli/congruence/csg8.html#group60E8", "60E⁸")</f>
        <v/>
      </c>
      <c r="B1829" t="n">
        <v>8</v>
      </c>
      <c r="C1829" t="inlineStr"/>
      <c r="D1829" t="inlineStr">
        <is>
          <t>120</t>
        </is>
      </c>
      <c r="E1829" t="inlineStr">
        <is>
          <t>1</t>
        </is>
      </c>
      <c r="F1829" t="inlineStr">
        <is>
          <t>120</t>
        </is>
      </c>
      <c r="G1829" t="inlineStr">
        <is>
          <t>0</t>
        </is>
      </c>
      <c r="H1829" t="inlineStr">
        <is>
          <t>6</t>
        </is>
      </c>
      <c r="I1829" t="inlineStr">
        <is>
          <t>60²</t>
        </is>
      </c>
      <c r="J1829" t="n">
        <v>2</v>
      </c>
      <c r="K1829" t="inlineStr">
        <is>
          <t>4⁶, 16⁶</t>
        </is>
      </c>
      <c r="L1829" t="inlineStr">
        <is>
          <t>12H¹, 30A¹</t>
        </is>
      </c>
      <c r="M1829" t="inlineStr">
        <is>
          <t>120C¹⁶</t>
        </is>
      </c>
      <c r="N1829" t="inlineStr">
        <is>
          <t>2A⁰, 30A¹, 5A⁰, 10A⁰, 12H¹, 6A⁰, 1A⁰</t>
        </is>
      </c>
      <c r="O1829" t="inlineStr">
        <is>
          <t>120C¹⁶</t>
        </is>
      </c>
    </row>
    <row r="1830">
      <c r="A1830">
        <f>HYPERLINK("https://mathstats.uncg.edu/sites/pauli/congruence/csg8.html#group60F8", "60F⁸")</f>
        <v/>
      </c>
      <c r="B1830" t="n">
        <v>8</v>
      </c>
      <c r="C1830" t="inlineStr"/>
      <c r="D1830" t="inlineStr">
        <is>
          <t>120</t>
        </is>
      </c>
      <c r="E1830" t="inlineStr">
        <is>
          <t>2</t>
        </is>
      </c>
      <c r="F1830" t="inlineStr">
        <is>
          <t>20</t>
        </is>
      </c>
      <c r="G1830" t="inlineStr">
        <is>
          <t>0</t>
        </is>
      </c>
      <c r="H1830" t="inlineStr">
        <is>
          <t>6</t>
        </is>
      </c>
      <c r="I1830" t="inlineStr">
        <is>
          <t>60²</t>
        </is>
      </c>
      <c r="J1830" t="n">
        <v>2</v>
      </c>
      <c r="K1830" t="inlineStr">
        <is>
          <t>4², 16²</t>
        </is>
      </c>
      <c r="L1830" t="inlineStr">
        <is>
          <t>30B¹, 20D², 60A³</t>
        </is>
      </c>
      <c r="M1830" t="inlineStr">
        <is>
          <t>120D¹⁶</t>
        </is>
      </c>
      <c r="N1830" t="inlineStr">
        <is>
          <t>2A⁰, 5A⁰, 10A⁰, 20D², 30B¹, 4A⁰, 4D⁰, 20A¹, 15A⁰, 1A⁰, 60A³</t>
        </is>
      </c>
      <c r="O1830" t="inlineStr">
        <is>
          <t>120D¹⁶</t>
        </is>
      </c>
    </row>
    <row r="1831">
      <c r="A1831">
        <f>HYPERLINK("https://mathstats.uncg.edu/sites/pauli/congruence/csg8.html#group61A8", "61A⁸")</f>
        <v/>
      </c>
      <c r="B1831" t="n">
        <v>8</v>
      </c>
      <c r="C1831" t="inlineStr"/>
      <c r="D1831" t="inlineStr">
        <is>
          <t>124</t>
        </is>
      </c>
      <c r="E1831" t="inlineStr">
        <is>
          <t>1</t>
        </is>
      </c>
      <c r="F1831" t="inlineStr">
        <is>
          <t>62</t>
        </is>
      </c>
      <c r="G1831" t="inlineStr">
        <is>
          <t>0</t>
        </is>
      </c>
      <c r="H1831" t="inlineStr">
        <is>
          <t>4</t>
        </is>
      </c>
      <c r="I1831" t="inlineStr">
        <is>
          <t>1², 61²</t>
        </is>
      </c>
      <c r="J1831" t="n">
        <v>4</v>
      </c>
      <c r="K1831" t="inlineStr">
        <is>
          <t>1², 60¹</t>
        </is>
      </c>
      <c r="L1831" t="inlineStr">
        <is>
          <t>61A⁴</t>
        </is>
      </c>
      <c r="M1831" t="inlineStr">
        <is>
          <t>122A¹⁷</t>
        </is>
      </c>
      <c r="N1831" t="inlineStr">
        <is>
          <t>1A⁰, 61A⁴</t>
        </is>
      </c>
      <c r="O1831" t="inlineStr">
        <is>
          <t>122A¹⁷</t>
        </is>
      </c>
    </row>
    <row r="1832">
      <c r="A1832">
        <f>HYPERLINK("https://mathstats.uncg.edu/sites/pauli/congruence/csg8.html#group63A8", "63A⁸")</f>
        <v/>
      </c>
      <c r="B1832" t="n">
        <v>8</v>
      </c>
      <c r="C1832" t="inlineStr"/>
      <c r="D1832" t="inlineStr">
        <is>
          <t>126</t>
        </is>
      </c>
      <c r="E1832" t="inlineStr">
        <is>
          <t>2</t>
        </is>
      </c>
      <c r="F1832" t="inlineStr">
        <is>
          <t>63</t>
        </is>
      </c>
      <c r="G1832" t="inlineStr">
        <is>
          <t>10</t>
        </is>
      </c>
      <c r="H1832" t="inlineStr">
        <is>
          <t>0</t>
        </is>
      </c>
      <c r="I1832" t="inlineStr">
        <is>
          <t>63²</t>
        </is>
      </c>
      <c r="J1832" t="n">
        <v>2</v>
      </c>
      <c r="K1832" t="inlineStr">
        <is>
          <t>2¹, 4¹, 6², 12³, 36²</t>
        </is>
      </c>
      <c r="L1832" t="inlineStr">
        <is>
          <t>21C², 63A²</t>
        </is>
      </c>
      <c r="M1832" t="inlineStr">
        <is>
          <t>63A¹⁷, 126C¹⁷, 126D¹⁷, 63E¹⁹, 63D¹⁹, 126A¹⁹, 126C²¹, 63B²²</t>
        </is>
      </c>
      <c r="N1832" t="inlineStr">
        <is>
          <t>7C⁰, 9A⁰, 63A², 21C², 21A⁰, 3A⁰, 1A⁰, 7A⁰</t>
        </is>
      </c>
      <c r="O1832" t="inlineStr">
        <is>
          <t>126C¹⁷, 63B²², 126A¹⁹, 63E¹⁹, 63D¹⁹, 126D¹⁷, 63A¹⁷, 126C²¹</t>
        </is>
      </c>
    </row>
    <row r="1833">
      <c r="A1833">
        <f>HYPERLINK("https://mathstats.uncg.edu/sites/pauli/congruence/csg8.html#group63B8", "63B⁸")</f>
        <v/>
      </c>
      <c r="B1833" t="n">
        <v>8</v>
      </c>
      <c r="C1833" t="inlineStr"/>
      <c r="D1833" t="inlineStr">
        <is>
          <t>126</t>
        </is>
      </c>
      <c r="E1833" t="inlineStr">
        <is>
          <t>2</t>
        </is>
      </c>
      <c r="F1833" t="inlineStr">
        <is>
          <t>126</t>
        </is>
      </c>
      <c r="G1833" t="inlineStr">
        <is>
          <t>6</t>
        </is>
      </c>
      <c r="H1833" t="inlineStr">
        <is>
          <t>0</t>
        </is>
      </c>
      <c r="I1833" t="inlineStr">
        <is>
          <t>21³, 63¹</t>
        </is>
      </c>
      <c r="J1833" t="n">
        <v>4</v>
      </c>
      <c r="K1833" t="inlineStr">
        <is>
          <t>2¹, 4¹, 6³, 12⁴, 18², 36⁴</t>
        </is>
      </c>
      <c r="L1833" t="inlineStr">
        <is>
          <t>9E⁰, 21D²</t>
        </is>
      </c>
      <c r="M1833" t="inlineStr">
        <is>
          <t>63D¹⁶, 63C¹⁷, 126E¹⁷, 63A¹⁸, 126G¹⁸, 126D¹⁹, 126E²⁰, 63C²⁴</t>
        </is>
      </c>
      <c r="N1833" t="inlineStr">
        <is>
          <t>21A⁰, 3C⁰, 21D², 9E⁰, 3A⁰, 1A⁰, 7A⁰</t>
        </is>
      </c>
      <c r="O1833" t="inlineStr">
        <is>
          <t>63A¹⁸, 126D¹⁹, 126G¹⁸, 63C¹⁷, 63C²⁴, 126E²⁰, 126E¹⁷, 63D¹⁶</t>
        </is>
      </c>
    </row>
    <row r="1834">
      <c r="A1834">
        <f>HYPERLINK("https://mathstats.uncg.edu/sites/pauli/congruence/csg8.html#group65A8", "65A⁸")</f>
        <v/>
      </c>
      <c r="B1834" t="n">
        <v>8</v>
      </c>
      <c r="C1834" t="inlineStr"/>
      <c r="D1834" t="inlineStr">
        <is>
          <t>140</t>
        </is>
      </c>
      <c r="E1834" t="inlineStr">
        <is>
          <t>1</t>
        </is>
      </c>
      <c r="F1834" t="inlineStr">
        <is>
          <t>70</t>
        </is>
      </c>
      <c r="G1834" t="inlineStr">
        <is>
          <t>0</t>
        </is>
      </c>
      <c r="H1834" t="inlineStr">
        <is>
          <t>8</t>
        </is>
      </c>
      <c r="I1834" t="inlineStr">
        <is>
          <t>5², 65²</t>
        </is>
      </c>
      <c r="J1834" t="n">
        <v>4</v>
      </c>
      <c r="K1834" t="inlineStr">
        <is>
          <t>1², 4², 12¹, 48¹</t>
        </is>
      </c>
      <c r="L1834" t="inlineStr">
        <is>
          <t>13B⁰, 65A⁴</t>
        </is>
      </c>
      <c r="M1834" t="inlineStr">
        <is>
          <t>130B¹⁷</t>
        </is>
      </c>
      <c r="N1834" t="inlineStr">
        <is>
          <t>13A⁰, 5A⁰, 13B⁰, 1A⁰, 65A⁴</t>
        </is>
      </c>
      <c r="O1834" t="inlineStr">
        <is>
          <t>130B¹⁷</t>
        </is>
      </c>
    </row>
    <row r="1835">
      <c r="A1835">
        <f>HYPERLINK("https://mathstats.uncg.edu/sites/pauli/congruence/csg8.html#group66A8", "66A⁸")</f>
        <v/>
      </c>
      <c r="B1835" t="n">
        <v>8</v>
      </c>
      <c r="C1835" t="inlineStr"/>
      <c r="D1835" t="inlineStr">
        <is>
          <t>108</t>
        </is>
      </c>
      <c r="E1835" t="inlineStr">
        <is>
          <t>1</t>
        </is>
      </c>
      <c r="F1835" t="inlineStr">
        <is>
          <t>36</t>
        </is>
      </c>
      <c r="G1835" t="inlineStr">
        <is>
          <t>0</t>
        </is>
      </c>
      <c r="H1835" t="inlineStr">
        <is>
          <t>0</t>
        </is>
      </c>
      <c r="I1835" t="inlineStr">
        <is>
          <t>3¹, 6¹, 33¹, 66¹</t>
        </is>
      </c>
      <c r="J1835" t="n">
        <v>4</v>
      </c>
      <c r="K1835" t="inlineStr">
        <is>
          <t>1⁶, 10³</t>
        </is>
      </c>
      <c r="L1835" t="inlineStr">
        <is>
          <t>6D⁰, 22C², 33A³</t>
        </is>
      </c>
      <c r="M1835" t="inlineStr">
        <is>
          <t>66A¹⁵, 66B¹⁶, 66C¹⁶, 132B¹⁶, 132C¹⁶, 132A¹⁷, 132B¹⁷</t>
        </is>
      </c>
      <c r="N1835" t="inlineStr">
        <is>
          <t>11A¹, 33A³, 2B⁰, 3A⁰, 22C², 1A⁰, 6D⁰</t>
        </is>
      </c>
      <c r="O1835" t="inlineStr">
        <is>
          <t>132B¹⁶, 132A¹⁷, 132C¹⁶, 66C¹⁶, 66B¹⁶, 66A¹⁵, 132B¹⁷</t>
        </is>
      </c>
    </row>
    <row r="1836">
      <c r="A1836">
        <f>HYPERLINK("https://mathstats.uncg.edu/sites/pauli/congruence/csg8.html#group66B8", "66B⁸")</f>
        <v/>
      </c>
      <c r="B1836" t="n">
        <v>8</v>
      </c>
      <c r="C1836" t="inlineStr"/>
      <c r="D1836" t="inlineStr">
        <is>
          <t>132</t>
        </is>
      </c>
      <c r="E1836" t="inlineStr">
        <is>
          <t>2</t>
        </is>
      </c>
      <c r="F1836" t="inlineStr">
        <is>
          <t>33</t>
        </is>
      </c>
      <c r="G1836" t="inlineStr">
        <is>
          <t>12</t>
        </is>
      </c>
      <c r="H1836" t="inlineStr">
        <is>
          <t>0</t>
        </is>
      </c>
      <c r="I1836" t="inlineStr">
        <is>
          <t>66²</t>
        </is>
      </c>
      <c r="J1836" t="n">
        <v>2</v>
      </c>
      <c r="K1836" t="inlineStr">
        <is>
          <t>2¹, 4¹, 10², 20²</t>
        </is>
      </c>
      <c r="L1836" t="inlineStr">
        <is>
          <t>6E⁰, 66A³, 33A⁴</t>
        </is>
      </c>
      <c r="M1836" t="inlineStr">
        <is>
          <t>132A¹⁹, 66A²¹, 198A²⁴</t>
        </is>
      </c>
      <c r="N1836" t="inlineStr">
        <is>
          <t>11A⁰, 6B⁰, 66A³, 6E⁰, 33A¹, 3C⁰, 3A⁰, 1A⁰, 33A⁴</t>
        </is>
      </c>
      <c r="O1836" t="inlineStr">
        <is>
          <t>132A¹⁹, 66A²¹, 198A²⁴</t>
        </is>
      </c>
    </row>
    <row r="1837">
      <c r="A1837">
        <f>HYPERLINK("https://mathstats.uncg.edu/sites/pauli/congruence/csg8.html#group70A8", "70A⁸")</f>
        <v/>
      </c>
      <c r="B1837" t="n">
        <v>8</v>
      </c>
      <c r="C1837" t="inlineStr"/>
      <c r="D1837" t="inlineStr">
        <is>
          <t>105</t>
        </is>
      </c>
      <c r="E1837" t="inlineStr">
        <is>
          <t>2</t>
        </is>
      </c>
      <c r="F1837" t="inlineStr">
        <is>
          <t>105</t>
        </is>
      </c>
      <c r="G1837" t="inlineStr">
        <is>
          <t>3</t>
        </is>
      </c>
      <c r="H1837" t="inlineStr">
        <is>
          <t>0</t>
        </is>
      </c>
      <c r="I1837" t="inlineStr">
        <is>
          <t>35¹, 70¹</t>
        </is>
      </c>
      <c r="J1837" t="n">
        <v>2</v>
      </c>
      <c r="K1837" t="inlineStr">
        <is>
          <t>2³, 6⁶, 8³, 24⁶</t>
        </is>
      </c>
      <c r="L1837" t="inlineStr">
        <is>
          <t>10B¹, 14B¹, 35A²</t>
        </is>
      </c>
      <c r="M1837" t="inlineStr">
        <is>
          <t>70A¹⁶, 70C¹⁶, 140A¹⁶, 140B¹⁶, 70C¹⁷, 140A¹⁷, 140B¹⁷, 70A²², 70A²³, 210A²⁴, 210B²⁴, 210C²⁴</t>
        </is>
      </c>
      <c r="N1837" t="inlineStr">
        <is>
          <t>5A⁰, 14B¹, 10B¹, 2B⁰, 1A⁰, 35A², 7A⁰</t>
        </is>
      </c>
      <c r="O1837" t="inlineStr">
        <is>
          <t>140B¹⁶, 140A¹⁷, 70A²², 210A²⁴, 140A¹⁶, 70C¹⁶, 140B¹⁷, 70C¹⁷, 70A²³, 70A¹⁶, 210B²⁴, 210C²⁴</t>
        </is>
      </c>
    </row>
    <row r="1838">
      <c r="A1838">
        <f>HYPERLINK("https://mathstats.uncg.edu/sites/pauli/congruence/csg8.html#group70B8", "70B⁸")</f>
        <v/>
      </c>
      <c r="B1838" t="n">
        <v>8</v>
      </c>
      <c r="C1838" t="inlineStr"/>
      <c r="D1838" t="inlineStr">
        <is>
          <t>126</t>
        </is>
      </c>
      <c r="E1838" t="inlineStr">
        <is>
          <t>2</t>
        </is>
      </c>
      <c r="F1838" t="inlineStr">
        <is>
          <t>126</t>
        </is>
      </c>
      <c r="G1838" t="inlineStr">
        <is>
          <t>6</t>
        </is>
      </c>
      <c r="H1838" t="inlineStr">
        <is>
          <t>0</t>
        </is>
      </c>
      <c r="I1838" t="inlineStr">
        <is>
          <t>7¹, 14¹, 35¹, 70¹</t>
        </is>
      </c>
      <c r="J1838" t="n">
        <v>4</v>
      </c>
      <c r="K1838" t="inlineStr">
        <is>
          <t>2⁶, 6¹², 8³, 24⁶</t>
        </is>
      </c>
      <c r="L1838" t="inlineStr">
        <is>
          <t>10C⁰, 14B¹, 35C²</t>
        </is>
      </c>
      <c r="M1838" t="inlineStr">
        <is>
          <t>70F¹⁶, 70H¹⁶, 140C¹⁶, 70E¹⁷, 70G¹⁷, 140C¹⁷, 140D¹⁷, 70F¹⁸, 70G¹⁸, 140B¹⁸, 140C¹⁸, 70B¹⁹, 140B¹⁹, 140C¹⁹, 140A²⁰, 70A²⁴</t>
        </is>
      </c>
      <c r="N1838" t="inlineStr">
        <is>
          <t>35C², 14B¹, 5B⁰, 10C⁰, 2B⁰, 1A⁰, 7A⁰</t>
        </is>
      </c>
      <c r="O1838" t="inlineStr">
        <is>
          <t>140C¹⁶, 140C¹⁷, 70H¹⁶, 70B¹⁹, 140A²⁰, 140B¹⁸, 70A²⁴, 70E¹⁷, 140C¹⁸, 140D¹⁷, 140C¹⁹, 70G¹⁷, 70F¹⁶, 70G¹⁸, 140B¹⁹, 70F¹⁸</t>
        </is>
      </c>
    </row>
    <row r="1839">
      <c r="A1839">
        <f>HYPERLINK("https://mathstats.uncg.edu/sites/pauli/congruence/csg8.html#group70C8", "70C⁸")</f>
        <v/>
      </c>
      <c r="B1839" t="n">
        <v>8</v>
      </c>
      <c r="C1839" t="inlineStr"/>
      <c r="D1839" t="inlineStr">
        <is>
          <t>140</t>
        </is>
      </c>
      <c r="E1839" t="inlineStr">
        <is>
          <t>2</t>
        </is>
      </c>
      <c r="F1839" t="inlineStr">
        <is>
          <t>70</t>
        </is>
      </c>
      <c r="G1839" t="inlineStr">
        <is>
          <t>12</t>
        </is>
      </c>
      <c r="H1839" t="inlineStr">
        <is>
          <t>2</t>
        </is>
      </c>
      <c r="I1839" t="inlineStr">
        <is>
          <t>70²</t>
        </is>
      </c>
      <c r="J1839" t="n">
        <v>2</v>
      </c>
      <c r="K1839" t="inlineStr">
        <is>
          <t>4¹, 8², 12², 24⁴</t>
        </is>
      </c>
      <c r="L1839" t="inlineStr">
        <is>
          <t>10D⁰, 35B⁴</t>
        </is>
      </c>
      <c r="M1839" t="inlineStr">
        <is>
          <t>70I¹⁷, 70D¹⁹, 140D¹⁹, 140E¹⁹, 140F¹⁹, 140G¹⁹, 70E²¹</t>
        </is>
      </c>
      <c r="N1839" t="inlineStr">
        <is>
          <t>1A⁰, 5C⁰, 10D⁰, 35B⁴, 7A⁰</t>
        </is>
      </c>
      <c r="O1839" t="inlineStr">
        <is>
          <t>140F¹⁹, 140D¹⁹, 140E¹⁹, 70D¹⁹, 70I¹⁷, 140G¹⁹, 70E²¹</t>
        </is>
      </c>
    </row>
    <row r="1840">
      <c r="A1840">
        <f>HYPERLINK("https://mathstats.uncg.edu/sites/pauli/congruence/csg8.html#group72A8", "72A⁸")</f>
        <v/>
      </c>
      <c r="B1840" t="n">
        <v>8</v>
      </c>
      <c r="C1840" t="inlineStr"/>
      <c r="D1840" t="inlineStr">
        <is>
          <t>96</t>
        </is>
      </c>
      <c r="E1840" t="inlineStr">
        <is>
          <t>2</t>
        </is>
      </c>
      <c r="F1840" t="inlineStr">
        <is>
          <t>16</t>
        </is>
      </c>
      <c r="G1840" t="inlineStr">
        <is>
          <t>0</t>
        </is>
      </c>
      <c r="H1840" t="inlineStr">
        <is>
          <t>0</t>
        </is>
      </c>
      <c r="I1840" t="inlineStr">
        <is>
          <t>24¹, 72¹</t>
        </is>
      </c>
      <c r="J1840" t="n">
        <v>2</v>
      </c>
      <c r="K1840" t="inlineStr">
        <is>
          <t>4⁴, 8²</t>
        </is>
      </c>
      <c r="L1840" t="inlineStr">
        <is>
          <t>24A², 36C⁴</t>
        </is>
      </c>
      <c r="M1840" t="inlineStr">
        <is>
          <t>72B¹⁵, 144A¹⁶, 72B²², 72C²², 72D²²</t>
        </is>
      </c>
      <c r="N1840" t="inlineStr">
        <is>
          <t>3B⁰, 24A², 4A⁰, 12A¹, 9A¹, 8A⁰, 36C⁴, 1A⁰</t>
        </is>
      </c>
      <c r="O1840" t="inlineStr">
        <is>
          <t>144A¹⁶, 72B¹⁵, 72D²², 72B²², 72C²²</t>
        </is>
      </c>
    </row>
    <row r="1841">
      <c r="A1841">
        <f>HYPERLINK("https://mathstats.uncg.edu/sites/pauli/congruence/csg8.html#group72B8", "72B⁸")</f>
        <v/>
      </c>
      <c r="B1841" t="n">
        <v>8</v>
      </c>
      <c r="C1841" t="inlineStr"/>
      <c r="D1841" t="inlineStr">
        <is>
          <t>108</t>
        </is>
      </c>
      <c r="E1841" t="inlineStr">
        <is>
          <t>1</t>
        </is>
      </c>
      <c r="F1841" t="inlineStr">
        <is>
          <t>54</t>
        </is>
      </c>
      <c r="G1841" t="inlineStr">
        <is>
          <t>0</t>
        </is>
      </c>
      <c r="H1841" t="inlineStr">
        <is>
          <t>0</t>
        </is>
      </c>
      <c r="I1841" t="inlineStr">
        <is>
          <t>9², 18¹, 72¹</t>
        </is>
      </c>
      <c r="J1841" t="n">
        <v>4</v>
      </c>
      <c r="K1841" t="inlineStr">
        <is>
          <t>1⁴, 2⁵, 4¹, 6⁴, 12¹</t>
        </is>
      </c>
      <c r="L1841" t="inlineStr">
        <is>
          <t>24B², 36D⁴</t>
        </is>
      </c>
      <c r="M1841" t="inlineStr">
        <is>
          <t>72G¹⁵, 72S¹⁵, 72A¹⁶, 72D¹⁶, 72E¹⁶, 72F¹⁶, 72K¹⁶, 72P¹⁶, 144B¹⁶, 144C¹⁶, 144D¹⁶, 144E¹⁶, 144G¹⁶, 144H¹⁶, 144A¹⁷, 144B¹⁷, 144C¹⁷, 72G²²</t>
        </is>
      </c>
      <c r="N1841" t="inlineStr">
        <is>
          <t>24B², 3A⁰, 9A⁰, 36D⁴, 12B¹, 2B⁰, 8C⁰, 18E¹, 4B⁰, 1A⁰, 6D⁰</t>
        </is>
      </c>
      <c r="O1841" t="inlineStr">
        <is>
          <t>72G¹⁵, 144C¹⁷, 72P¹⁶, 72D¹⁶, 144D¹⁶, 72G²², 72A¹⁶, 72E¹⁶, 72F¹⁶, 144H¹⁶, 144C¹⁶, 144B¹⁶, 72K¹⁶, 144B¹⁷, 72S¹⁵, 144G¹⁶, 144E¹⁶, 144A¹⁷</t>
        </is>
      </c>
    </row>
    <row r="1842">
      <c r="A1842">
        <f>HYPERLINK("https://mathstats.uncg.edu/sites/pauli/congruence/csg8.html#group72C8", "72C⁸")</f>
        <v/>
      </c>
      <c r="B1842" t="n">
        <v>8</v>
      </c>
      <c r="C1842" t="inlineStr"/>
      <c r="D1842" t="inlineStr">
        <is>
          <t>108</t>
        </is>
      </c>
      <c r="E1842" t="inlineStr">
        <is>
          <t>1</t>
        </is>
      </c>
      <c r="F1842" t="inlineStr">
        <is>
          <t>54</t>
        </is>
      </c>
      <c r="G1842" t="inlineStr">
        <is>
          <t>0</t>
        </is>
      </c>
      <c r="H1842" t="inlineStr">
        <is>
          <t>0</t>
        </is>
      </c>
      <c r="I1842" t="inlineStr">
        <is>
          <t>9², 18¹, 72¹</t>
        </is>
      </c>
      <c r="J1842" t="n">
        <v>4</v>
      </c>
      <c r="K1842" t="inlineStr">
        <is>
          <t>1⁴, 2⁵, 4¹, 6⁴, 12¹</t>
        </is>
      </c>
      <c r="L1842" t="inlineStr">
        <is>
          <t>24D², 36D⁴</t>
        </is>
      </c>
      <c r="M1842" t="inlineStr">
        <is>
          <t>72G¹⁵, 72R¹⁵, 72B¹⁶, 72D¹⁶, 72J¹⁶, 72K²²</t>
        </is>
      </c>
      <c r="N1842" t="inlineStr">
        <is>
          <t>4B⁰, 9A⁰, 24D², 36D⁴, 12B¹, 2B⁰, 18E¹, 3A⁰, 1A⁰, 6D⁰</t>
        </is>
      </c>
      <c r="O1842" t="inlineStr">
        <is>
          <t>72G¹⁵, 72R¹⁵, 72B¹⁶, 72J¹⁶, 72D¹⁶, 72K²²</t>
        </is>
      </c>
    </row>
    <row r="1843">
      <c r="A1843">
        <f>HYPERLINK("https://mathstats.uncg.edu/sites/pauli/congruence/csg8.html#group72D8", "72D⁸")</f>
        <v/>
      </c>
      <c r="B1843" t="n">
        <v>8</v>
      </c>
      <c r="C1843" t="inlineStr"/>
      <c r="D1843" t="inlineStr">
        <is>
          <t>108</t>
        </is>
      </c>
      <c r="E1843" t="inlineStr">
        <is>
          <t>2</t>
        </is>
      </c>
      <c r="F1843" t="inlineStr">
        <is>
          <t>27</t>
        </is>
      </c>
      <c r="G1843" t="inlineStr">
        <is>
          <t>4</t>
        </is>
      </c>
      <c r="H1843" t="inlineStr">
        <is>
          <t>0</t>
        </is>
      </c>
      <c r="I1843" t="inlineStr">
        <is>
          <t>36¹, 72¹</t>
        </is>
      </c>
      <c r="J1843" t="n">
        <v>2</v>
      </c>
      <c r="K1843" t="inlineStr">
        <is>
          <t>2⁹, 6⁶</t>
        </is>
      </c>
      <c r="L1843" t="inlineStr">
        <is>
          <t>24C², 36B²</t>
        </is>
      </c>
      <c r="M1843" t="inlineStr">
        <is>
          <t>72O¹⁵, 72P¹⁵, 72Q¹⁵, 72L¹⁶, 72M¹⁶, 72N¹⁶, 72O¹⁶, 72A¹⁷, 72H¹⁷, 72I¹⁷, 72K¹⁷, 72J²², 72A²⁴</t>
        </is>
      </c>
      <c r="N1843" t="inlineStr">
        <is>
          <t>12C⁰, 9A⁰, 36B², 4C⁰, 2B⁰, 24C², 18E¹, 3A⁰, 1A⁰, 6D⁰</t>
        </is>
      </c>
      <c r="O1843" t="inlineStr">
        <is>
          <t>72H¹⁷, 72J²², 72O¹⁵, 72P¹⁵, 72M¹⁶, 72I¹⁷, 72O¹⁶, 72L¹⁶, 72K¹⁷, 72N¹⁶, 72A¹⁷, 72A²⁴, 72Q¹⁵</t>
        </is>
      </c>
    </row>
    <row r="1844">
      <c r="A1844">
        <f>HYPERLINK("https://mathstats.uncg.edu/sites/pauli/congruence/csg8.html#group72E8", "72E⁸")</f>
        <v/>
      </c>
      <c r="B1844" t="n">
        <v>8</v>
      </c>
      <c r="C1844" t="inlineStr"/>
      <c r="D1844" t="inlineStr">
        <is>
          <t>108</t>
        </is>
      </c>
      <c r="E1844" t="inlineStr">
        <is>
          <t>2</t>
        </is>
      </c>
      <c r="F1844" t="inlineStr">
        <is>
          <t>54</t>
        </is>
      </c>
      <c r="G1844" t="inlineStr">
        <is>
          <t>0</t>
        </is>
      </c>
      <c r="H1844" t="inlineStr">
        <is>
          <t>0</t>
        </is>
      </c>
      <c r="I1844" t="inlineStr">
        <is>
          <t>9², 18¹, 72¹</t>
        </is>
      </c>
      <c r="J1844" t="n">
        <v>4</v>
      </c>
      <c r="K1844" t="inlineStr">
        <is>
          <t>2¹², 4³, 6⁸, 12²</t>
        </is>
      </c>
      <c r="L1844" t="inlineStr">
        <is>
          <t>24D², 36D⁴</t>
        </is>
      </c>
      <c r="M1844" t="inlineStr">
        <is>
          <t>72F¹⁵, 72S¹⁵, 72R¹⁵, 72C¹⁶, 72I¹⁶, 72K¹⁶, 72J¹⁶, 72H²², 72K²²</t>
        </is>
      </c>
      <c r="N1844" t="inlineStr">
        <is>
          <t>4B⁰, 9A⁰, 24D², 36D⁴, 12B¹, 2B⁰, 18E¹, 3A⁰, 1A⁰, 6D⁰</t>
        </is>
      </c>
      <c r="O1844" t="inlineStr">
        <is>
          <t>72R¹⁵, 72J¹⁶, 72I¹⁶, 72C¹⁶, 72K²², 72K¹⁶, 72H²², 72F¹⁵, 72S¹⁵</t>
        </is>
      </c>
    </row>
    <row r="1845">
      <c r="A1845">
        <f>HYPERLINK("https://mathstats.uncg.edu/sites/pauli/congruence/csg8.html#group72F8", "72F⁸")</f>
        <v/>
      </c>
      <c r="B1845" t="n">
        <v>8</v>
      </c>
      <c r="C1845" t="inlineStr"/>
      <c r="D1845" t="inlineStr">
        <is>
          <t>144</t>
        </is>
      </c>
      <c r="E1845" t="inlineStr">
        <is>
          <t>1</t>
        </is>
      </c>
      <c r="F1845" t="inlineStr">
        <is>
          <t>12</t>
        </is>
      </c>
      <c r="G1845" t="inlineStr">
        <is>
          <t>0</t>
        </is>
      </c>
      <c r="H1845" t="inlineStr">
        <is>
          <t>0</t>
        </is>
      </c>
      <c r="I1845" t="inlineStr">
        <is>
          <t>3⁴, 9⁴, 24¹, 72¹</t>
        </is>
      </c>
      <c r="J1845" t="n">
        <v>10</v>
      </c>
      <c r="K1845" t="inlineStr">
        <is>
          <t>1⁶, 2³</t>
        </is>
      </c>
      <c r="L1845" t="inlineStr">
        <is>
          <t>24B⁰, 36F⁴</t>
        </is>
      </c>
      <c r="M1845" t="inlineStr">
        <is>
          <t>72O¹⁷, 72A¹⁹, 72L²², 72M²²</t>
        </is>
      </c>
      <c r="N1845" t="inlineStr">
        <is>
          <t>3B⁰, 24B⁰, 18D², 36F⁴, 2B⁰, 1A⁰, 9C⁰, 4B⁰, 6F⁰, 12E⁰</t>
        </is>
      </c>
      <c r="O1845" t="inlineStr">
        <is>
          <t>72M²², 72O¹⁷, 72A¹⁹, 72L²²</t>
        </is>
      </c>
    </row>
    <row r="1846">
      <c r="A1846">
        <f>HYPERLINK("https://mathstats.uncg.edu/sites/pauli/congruence/csg8.html#group72G8", "72G⁸")</f>
        <v/>
      </c>
      <c r="B1846" t="n">
        <v>8</v>
      </c>
      <c r="C1846" t="inlineStr"/>
      <c r="D1846" t="inlineStr">
        <is>
          <t>144</t>
        </is>
      </c>
      <c r="E1846" t="inlineStr">
        <is>
          <t>1</t>
        </is>
      </c>
      <c r="F1846" t="inlineStr">
        <is>
          <t>12</t>
        </is>
      </c>
      <c r="G1846" t="inlineStr">
        <is>
          <t>0</t>
        </is>
      </c>
      <c r="H1846" t="inlineStr">
        <is>
          <t>0</t>
        </is>
      </c>
      <c r="I1846" t="inlineStr">
        <is>
          <t>3⁴, 9⁴, 24¹, 72¹</t>
        </is>
      </c>
      <c r="J1846" t="n">
        <v>10</v>
      </c>
      <c r="K1846" t="inlineStr">
        <is>
          <t>1⁶, 2³</t>
        </is>
      </c>
      <c r="L1846" t="inlineStr">
        <is>
          <t>24B⁰, 36G⁴</t>
        </is>
      </c>
      <c r="M1846" t="inlineStr">
        <is>
          <t>72P¹⁷, 72B¹⁹, 72L²², 72N²²</t>
        </is>
      </c>
      <c r="N1846" t="inlineStr">
        <is>
          <t>3B⁰, 24B⁰, 9A¹, 18E², 36G⁴, 1A⁰, 2B⁰, 4B⁰, 6F⁰, 12E⁰</t>
        </is>
      </c>
      <c r="O1846" t="inlineStr">
        <is>
          <t>72P¹⁷, 72B¹⁹, 72N²², 72L²²</t>
        </is>
      </c>
    </row>
    <row r="1847">
      <c r="A1847">
        <f>HYPERLINK("https://mathstats.uncg.edu/sites/pauli/congruence/csg8.html#group72H8", "72H⁸")</f>
        <v/>
      </c>
      <c r="B1847" t="n">
        <v>8</v>
      </c>
      <c r="C1847" t="inlineStr"/>
      <c r="D1847" t="inlineStr">
        <is>
          <t>144</t>
        </is>
      </c>
      <c r="E1847" t="inlineStr">
        <is>
          <t>2</t>
        </is>
      </c>
      <c r="F1847" t="inlineStr">
        <is>
          <t>36</t>
        </is>
      </c>
      <c r="G1847" t="inlineStr">
        <is>
          <t>16</t>
        </is>
      </c>
      <c r="H1847" t="inlineStr">
        <is>
          <t>0</t>
        </is>
      </c>
      <c r="I1847" t="inlineStr">
        <is>
          <t>72²</t>
        </is>
      </c>
      <c r="J1847" t="n">
        <v>2</v>
      </c>
      <c r="K1847" t="inlineStr">
        <is>
          <t>8⁶, 24⁴</t>
        </is>
      </c>
      <c r="L1847" t="inlineStr">
        <is>
          <t>24G², 36D², 72B⁴, 72C⁴</t>
        </is>
      </c>
      <c r="M1847" t="inlineStr">
        <is>
          <t>72W¹⁷, 144G²⁰, 72P²¹, 72G²³</t>
        </is>
      </c>
      <c r="N1847" t="inlineStr">
        <is>
          <t>36A¹, 36D², 12A⁰, 6B⁰, 72B⁴, 4A⁰, 9A⁰, 12F⁰, 72C⁴, 18A⁰, 24B¹, 3A⁰, 1A⁰, 24G²</t>
        </is>
      </c>
      <c r="O1847" t="inlineStr">
        <is>
          <t>72G²³, 72P²¹, 72W¹⁷, 144G²⁰</t>
        </is>
      </c>
    </row>
    <row r="1848">
      <c r="A1848">
        <f>HYPERLINK("https://mathstats.uncg.edu/sites/pauli/congruence/csg8.html#group72I8", "72I⁸")</f>
        <v/>
      </c>
      <c r="B1848" t="n">
        <v>8</v>
      </c>
      <c r="C1848" t="inlineStr"/>
      <c r="D1848" t="inlineStr">
        <is>
          <t>144</t>
        </is>
      </c>
      <c r="E1848" t="inlineStr">
        <is>
          <t>2</t>
        </is>
      </c>
      <c r="F1848" t="inlineStr">
        <is>
          <t>36</t>
        </is>
      </c>
      <c r="G1848" t="inlineStr">
        <is>
          <t>16</t>
        </is>
      </c>
      <c r="H1848" t="inlineStr">
        <is>
          <t>0</t>
        </is>
      </c>
      <c r="I1848" t="inlineStr">
        <is>
          <t>72²</t>
        </is>
      </c>
      <c r="J1848" t="n">
        <v>2</v>
      </c>
      <c r="K1848" t="inlineStr">
        <is>
          <t>8⁶, 24⁴</t>
        </is>
      </c>
      <c r="L1848" t="inlineStr">
        <is>
          <t>24H², 36D², 72B⁴, 72D⁴</t>
        </is>
      </c>
      <c r="M1848" t="inlineStr">
        <is>
          <t>72W¹⁷, 144H²⁰, 72Q²¹, 72G²³</t>
        </is>
      </c>
      <c r="N1848" t="inlineStr">
        <is>
          <t>36A¹, 36D², 12A⁰, 6B⁰, 72B⁴, 4A⁰, 9A⁰, 12F⁰, 24B¹, 72D⁴, 3A⁰, 1A⁰, 18A⁰, 24H²</t>
        </is>
      </c>
      <c r="O1848" t="inlineStr">
        <is>
          <t>144H²⁰, 72Q²¹, 72W¹⁷, 72G²³</t>
        </is>
      </c>
    </row>
    <row r="1849">
      <c r="A1849">
        <f>HYPERLINK("https://mathstats.uncg.edu/sites/pauli/congruence/csg8.html#group72J8", "72J⁸")</f>
        <v/>
      </c>
      <c r="B1849" t="n">
        <v>8</v>
      </c>
      <c r="C1849" t="inlineStr"/>
      <c r="D1849" t="inlineStr">
        <is>
          <t>144</t>
        </is>
      </c>
      <c r="E1849" t="inlineStr">
        <is>
          <t>2</t>
        </is>
      </c>
      <c r="F1849" t="inlineStr">
        <is>
          <t>36</t>
        </is>
      </c>
      <c r="G1849" t="inlineStr">
        <is>
          <t>16</t>
        </is>
      </c>
      <c r="H1849" t="inlineStr">
        <is>
          <t>0</t>
        </is>
      </c>
      <c r="I1849" t="inlineStr">
        <is>
          <t>72²</t>
        </is>
      </c>
      <c r="J1849" t="n">
        <v>2</v>
      </c>
      <c r="K1849" t="inlineStr">
        <is>
          <t>8⁶, 24⁴</t>
        </is>
      </c>
      <c r="L1849" t="inlineStr">
        <is>
          <t>24K², 36D², 72A⁴, 72C⁴</t>
        </is>
      </c>
      <c r="M1849" t="inlineStr">
        <is>
          <t>72W¹⁷, 144E²⁰, 144C²⁰, 72P²¹, 72H²³</t>
        </is>
      </c>
      <c r="N1849" t="inlineStr">
        <is>
          <t>36D², 6B⁰, 12F⁰, 72C⁴, 8A⁰, 24B¹, 1A⁰, 18A⁰, 72A⁴, 36A¹, 12A⁰, 24K², 24A¹, 4A⁰, 9A⁰, 3A⁰</t>
        </is>
      </c>
      <c r="O1849" t="inlineStr">
        <is>
          <t>72H²³, 72W¹⁷, 144C²⁰, 144E²⁰, 72P²¹</t>
        </is>
      </c>
    </row>
    <row r="1850">
      <c r="A1850">
        <f>HYPERLINK("https://mathstats.uncg.edu/sites/pauli/congruence/csg8.html#group72K8", "72K⁸")</f>
        <v/>
      </c>
      <c r="B1850" t="n">
        <v>8</v>
      </c>
      <c r="C1850" t="inlineStr"/>
      <c r="D1850" t="inlineStr">
        <is>
          <t>144</t>
        </is>
      </c>
      <c r="E1850" t="inlineStr">
        <is>
          <t>2</t>
        </is>
      </c>
      <c r="F1850" t="inlineStr">
        <is>
          <t>36</t>
        </is>
      </c>
      <c r="G1850" t="inlineStr">
        <is>
          <t>16</t>
        </is>
      </c>
      <c r="H1850" t="inlineStr">
        <is>
          <t>0</t>
        </is>
      </c>
      <c r="I1850" t="inlineStr">
        <is>
          <t>72²</t>
        </is>
      </c>
      <c r="J1850" t="n">
        <v>2</v>
      </c>
      <c r="K1850" t="inlineStr">
        <is>
          <t>8⁶, 24⁴</t>
        </is>
      </c>
      <c r="L1850" t="inlineStr">
        <is>
          <t>24K², 36D², 72A⁴, 72D⁴</t>
        </is>
      </c>
      <c r="M1850" t="inlineStr">
        <is>
          <t>72W¹⁷, 144F²⁰, 144D²⁰, 72Q²¹, 72H²³</t>
        </is>
      </c>
      <c r="N1850" t="inlineStr">
        <is>
          <t>36D², 6B⁰, 12F⁰, 8A⁰, 24B¹, 72D⁴, 1A⁰, 18A⁰, 72A⁴, 36A¹, 12A⁰, 24K², 24A¹, 4A⁰, 9A⁰, 3A⁰</t>
        </is>
      </c>
      <c r="O1850" t="inlineStr">
        <is>
          <t>144D²⁰, 72H²³, 72Q²¹, 72W¹⁷, 144F²⁰</t>
        </is>
      </c>
    </row>
    <row r="1851">
      <c r="A1851">
        <f>HYPERLINK("https://mathstats.uncg.edu/sites/pauli/congruence/csg8.html#group72L8", "72L⁸")</f>
        <v/>
      </c>
      <c r="B1851" t="n">
        <v>8</v>
      </c>
      <c r="C1851" t="inlineStr"/>
      <c r="D1851" t="inlineStr">
        <is>
          <t>216</t>
        </is>
      </c>
      <c r="E1851" t="inlineStr">
        <is>
          <t>1</t>
        </is>
      </c>
      <c r="F1851" t="inlineStr">
        <is>
          <t>54</t>
        </is>
      </c>
      <c r="G1851" t="inlineStr">
        <is>
          <t>4</t>
        </is>
      </c>
      <c r="H1851" t="inlineStr">
        <is>
          <t>0</t>
        </is>
      </c>
      <c r="I1851" t="inlineStr">
        <is>
          <t>3¹², 9⁴, 24³, 72¹</t>
        </is>
      </c>
      <c r="J1851" t="n">
        <v>20</v>
      </c>
      <c r="K1851" t="inlineStr">
        <is>
          <t>2³, 4³, 6³, 12⁶</t>
        </is>
      </c>
      <c r="L1851" t="inlineStr">
        <is>
          <t>24I¹, 36I³</t>
        </is>
      </c>
      <c r="M1851" t="inlineStr">
        <is>
          <t>72X¹⁷, 72I²³</t>
        </is>
      </c>
      <c r="N1851" t="inlineStr">
        <is>
          <t>12G⁰, 24I¹, 18I¹, 6G⁰, 3C⁰, 2B⁰, 12D⁰, 36I³, 9E⁰, 3A⁰, 1A⁰, 6D⁰</t>
        </is>
      </c>
      <c r="O1851" t="inlineStr">
        <is>
          <t>72I²³, 72X¹⁷</t>
        </is>
      </c>
    </row>
    <row r="1852">
      <c r="A1852">
        <f>HYPERLINK("https://mathstats.uncg.edu/sites/pauli/congruence/csg8.html#group72M8", "72M⁸")</f>
        <v/>
      </c>
      <c r="B1852" t="n">
        <v>8</v>
      </c>
      <c r="C1852" t="inlineStr"/>
      <c r="D1852" t="inlineStr">
        <is>
          <t>216</t>
        </is>
      </c>
      <c r="E1852" t="inlineStr">
        <is>
          <t>1</t>
        </is>
      </c>
      <c r="F1852" t="inlineStr">
        <is>
          <t>54</t>
        </is>
      </c>
      <c r="G1852" t="inlineStr">
        <is>
          <t>4</t>
        </is>
      </c>
      <c r="H1852" t="inlineStr">
        <is>
          <t>0</t>
        </is>
      </c>
      <c r="I1852" t="inlineStr">
        <is>
          <t>3¹², 9⁴, 24³, 72¹</t>
        </is>
      </c>
      <c r="J1852" t="n">
        <v>20</v>
      </c>
      <c r="K1852" t="inlineStr">
        <is>
          <t>2³, 4³, 6³, 12⁶</t>
        </is>
      </c>
      <c r="L1852" t="inlineStr">
        <is>
          <t>24I¹, 36I³</t>
        </is>
      </c>
      <c r="M1852" t="inlineStr">
        <is>
          <t>72X¹⁷, 72J²³</t>
        </is>
      </c>
      <c r="N1852" t="inlineStr">
        <is>
          <t>12G⁰, 24I¹, 18I¹, 6G⁰, 3C⁰, 2B⁰, 12D⁰, 36I³, 9E⁰, 3A⁰, 1A⁰, 6D⁰</t>
        </is>
      </c>
      <c r="O1852" t="inlineStr">
        <is>
          <t>72J²³, 72X¹⁷</t>
        </is>
      </c>
    </row>
    <row r="1853">
      <c r="A1853">
        <f>HYPERLINK("https://mathstats.uncg.edu/sites/pauli/congruence/csg8.html#group74A8", "74A⁸")</f>
        <v/>
      </c>
      <c r="B1853" t="n">
        <v>8</v>
      </c>
      <c r="C1853" t="inlineStr">
        <is>
          <t>Γ₀(74)</t>
        </is>
      </c>
      <c r="D1853" t="inlineStr">
        <is>
          <t>114</t>
        </is>
      </c>
      <c r="E1853" t="inlineStr">
        <is>
          <t>1</t>
        </is>
      </c>
      <c r="F1853" t="inlineStr">
        <is>
          <t>114</t>
        </is>
      </c>
      <c r="G1853" t="inlineStr">
        <is>
          <t>2</t>
        </is>
      </c>
      <c r="H1853" t="inlineStr">
        <is>
          <t>0</t>
        </is>
      </c>
      <c r="I1853" t="inlineStr">
        <is>
          <t>1¹, 2¹, 37¹, 74¹</t>
        </is>
      </c>
      <c r="J1853" t="n">
        <v>4</v>
      </c>
      <c r="K1853" t="inlineStr">
        <is>
          <t>1⁶, 36³</t>
        </is>
      </c>
      <c r="L1853" t="inlineStr">
        <is>
          <t>2B⁰, 37A²</t>
        </is>
      </c>
      <c r="M1853" t="inlineStr">
        <is>
          <t>74A¹⁶, 74B¹⁶, 148A¹⁶, 74A¹⁷, 148A¹⁷, 148B¹⁷, 148A¹⁸, 74A²²</t>
        </is>
      </c>
      <c r="N1853" t="inlineStr">
        <is>
          <t>37A², 1A⁰, 2B⁰</t>
        </is>
      </c>
      <c r="O1853" t="inlineStr">
        <is>
          <t>148A¹⁶, 74A²², 74B¹⁶, 148A¹⁸, 148A¹⁷, 74A¹⁷, 74A¹⁶, 148B¹⁷</t>
        </is>
      </c>
    </row>
    <row r="1854">
      <c r="A1854">
        <f>HYPERLINK("https://mathstats.uncg.edu/sites/pauli/congruence/csg8.html#group75A8", "75A⁸")</f>
        <v/>
      </c>
      <c r="B1854" t="n">
        <v>8</v>
      </c>
      <c r="C1854" t="inlineStr"/>
      <c r="D1854" t="inlineStr">
        <is>
          <t>180</t>
        </is>
      </c>
      <c r="E1854" t="inlineStr">
        <is>
          <t>1</t>
        </is>
      </c>
      <c r="F1854" t="inlineStr">
        <is>
          <t>90</t>
        </is>
      </c>
      <c r="G1854" t="inlineStr">
        <is>
          <t>8</t>
        </is>
      </c>
      <c r="H1854" t="inlineStr">
        <is>
          <t>0</t>
        </is>
      </c>
      <c r="I1854" t="inlineStr">
        <is>
          <t>3¹⁰, 75²</t>
        </is>
      </c>
      <c r="J1854" t="n">
        <v>12</v>
      </c>
      <c r="K1854" t="inlineStr">
        <is>
          <t>1², 2², 4², 8², 20¹, 40¹</t>
        </is>
      </c>
      <c r="L1854" t="inlineStr">
        <is>
          <t>15C⁰, 75A⁴</t>
        </is>
      </c>
      <c r="M1854" t="inlineStr">
        <is>
          <t>75E¹⁷, 75C¹⁹, 150A²¹, 150D²³</t>
        </is>
      </c>
      <c r="N1854" t="inlineStr">
        <is>
          <t>15B⁰, 5B⁰, 25A⁰, 75A⁴, 3A⁰, 1A⁰, 15C⁰</t>
        </is>
      </c>
      <c r="O1854" t="inlineStr">
        <is>
          <t>150A²¹, 150D²³, 75E¹⁷, 75C¹⁹</t>
        </is>
      </c>
    </row>
    <row r="1855">
      <c r="A1855">
        <f>HYPERLINK("https://mathstats.uncg.edu/sites/pauli/congruence/csg8.html#group76A8", "76A⁸")</f>
        <v/>
      </c>
      <c r="B1855" t="n">
        <v>8</v>
      </c>
      <c r="C1855" t="inlineStr">
        <is>
          <t>Γ₀(76)</t>
        </is>
      </c>
      <c r="D1855" t="inlineStr">
        <is>
          <t>120</t>
        </is>
      </c>
      <c r="E1855" t="inlineStr">
        <is>
          <t>1</t>
        </is>
      </c>
      <c r="F1855" t="inlineStr">
        <is>
          <t>60</t>
        </is>
      </c>
      <c r="G1855" t="inlineStr">
        <is>
          <t>0</t>
        </is>
      </c>
      <c r="H1855" t="inlineStr">
        <is>
          <t>0</t>
        </is>
      </c>
      <c r="I1855" t="inlineStr">
        <is>
          <t>1², 4¹, 19², 76¹</t>
        </is>
      </c>
      <c r="J1855" t="n">
        <v>6</v>
      </c>
      <c r="K1855" t="inlineStr">
        <is>
          <t>1⁶, 18³</t>
        </is>
      </c>
      <c r="L1855" t="inlineStr">
        <is>
          <t>4B⁰, 38A⁴</t>
        </is>
      </c>
      <c r="M1855" t="inlineStr">
        <is>
          <t>76C¹⁶, 152A¹⁶, 76A¹⁷, 152A¹⁷, 152A¹⁸, 76A²²</t>
        </is>
      </c>
      <c r="N1855" t="inlineStr">
        <is>
          <t>19A¹, 2B⁰, 4B⁰, 1A⁰, 38A⁴</t>
        </is>
      </c>
      <c r="O1855" t="inlineStr">
        <is>
          <t>152A¹⁷, 76C¹⁶, 152A¹⁸, 152A¹⁶, 76A¹⁷, 76A²²</t>
        </is>
      </c>
    </row>
    <row r="1856">
      <c r="A1856">
        <f>HYPERLINK("https://mathstats.uncg.edu/sites/pauli/congruence/csg8.html#group78A8", "78A⁸")</f>
        <v/>
      </c>
      <c r="B1856" t="n">
        <v>8</v>
      </c>
      <c r="C1856" t="inlineStr"/>
      <c r="D1856" t="inlineStr">
        <is>
          <t>126</t>
        </is>
      </c>
      <c r="E1856" t="inlineStr">
        <is>
          <t>1</t>
        </is>
      </c>
      <c r="F1856" t="inlineStr">
        <is>
          <t>42</t>
        </is>
      </c>
      <c r="G1856" t="inlineStr">
        <is>
          <t>6</t>
        </is>
      </c>
      <c r="H1856" t="inlineStr">
        <is>
          <t>0</t>
        </is>
      </c>
      <c r="I1856" t="inlineStr">
        <is>
          <t>3¹, 6¹, 39¹, 78¹</t>
        </is>
      </c>
      <c r="J1856" t="n">
        <v>4</v>
      </c>
      <c r="K1856" t="inlineStr">
        <is>
          <t>1⁶, 12³</t>
        </is>
      </c>
      <c r="L1856" t="inlineStr">
        <is>
          <t>6D⁰, 26A², 39A²</t>
        </is>
      </c>
      <c r="M1856" t="inlineStr">
        <is>
          <t>78B¹⁶, 78C¹⁶, 156A¹⁶, 78A¹⁷, 78B¹⁷, 156B¹⁷, 156C¹⁷, 78A¹⁸, 78B¹⁸, 156A¹⁸, 156B¹⁸, 78B¹⁹, 156A¹⁹, 156B¹⁹, 156A²⁰, 78A²²</t>
        </is>
      </c>
      <c r="N1856" t="inlineStr">
        <is>
          <t>39A², 13A⁰, 2B⁰, 3A⁰, 1A⁰, 26A², 6D⁰</t>
        </is>
      </c>
      <c r="O1856" t="inlineStr">
        <is>
          <t>78B¹⁶, 156C¹⁷, 156A¹⁹, 156B¹⁷, 78A¹⁸, 156B¹⁸, 156A²⁰, 78B¹⁷, 78B¹⁹, 78A²², 78C¹⁶, 156A¹⁶, 78B¹⁸, 156A¹⁸, 78A¹⁷, 156B¹⁹</t>
        </is>
      </c>
    </row>
    <row r="1857">
      <c r="A1857">
        <f>HYPERLINK("https://mathstats.uncg.edu/sites/pauli/congruence/csg8.html#group78B8", "78B⁸")</f>
        <v/>
      </c>
      <c r="B1857" t="n">
        <v>8</v>
      </c>
      <c r="C1857" t="inlineStr"/>
      <c r="D1857" t="inlineStr">
        <is>
          <t>126</t>
        </is>
      </c>
      <c r="E1857" t="inlineStr">
        <is>
          <t>2</t>
        </is>
      </c>
      <c r="F1857" t="inlineStr">
        <is>
          <t>42</t>
        </is>
      </c>
      <c r="G1857" t="inlineStr">
        <is>
          <t>6</t>
        </is>
      </c>
      <c r="H1857" t="inlineStr">
        <is>
          <t>0</t>
        </is>
      </c>
      <c r="I1857" t="inlineStr">
        <is>
          <t>3¹, 6¹, 39¹, 78¹</t>
        </is>
      </c>
      <c r="J1857" t="n">
        <v>4</v>
      </c>
      <c r="K1857" t="inlineStr">
        <is>
          <t>2⁶, 24³</t>
        </is>
      </c>
      <c r="L1857" t="inlineStr">
        <is>
          <t>39A¹, 26A²</t>
        </is>
      </c>
      <c r="M1857" t="inlineStr">
        <is>
          <t>78E¹⁶, 156B¹⁶, 156D¹⁷, 78C¹⁸, 78E¹⁹, 156C¹⁹, 156B²⁰, 78A²²</t>
        </is>
      </c>
      <c r="N1857" t="inlineStr">
        <is>
          <t>13A⁰, 2B⁰, 39A¹, 1A⁰, 26A²</t>
        </is>
      </c>
      <c r="O1857" t="inlineStr">
        <is>
          <t>78E¹⁶, 78A²², 156C¹⁹, 156B²⁰, 78E¹⁹, 156D¹⁷, 78C¹⁸, 156B¹⁶</t>
        </is>
      </c>
    </row>
    <row r="1858">
      <c r="A1858">
        <f>HYPERLINK("https://mathstats.uncg.edu/sites/pauli/congruence/csg8.html#group80A8", "80A⁸")</f>
        <v/>
      </c>
      <c r="B1858" t="n">
        <v>8</v>
      </c>
      <c r="C1858" t="inlineStr"/>
      <c r="D1858" t="inlineStr">
        <is>
          <t>120</t>
        </is>
      </c>
      <c r="E1858" t="inlineStr">
        <is>
          <t>1</t>
        </is>
      </c>
      <c r="F1858" t="inlineStr">
        <is>
          <t>15</t>
        </is>
      </c>
      <c r="G1858" t="inlineStr">
        <is>
          <t>8</t>
        </is>
      </c>
      <c r="H1858" t="inlineStr">
        <is>
          <t>0</t>
        </is>
      </c>
      <c r="I1858" t="inlineStr">
        <is>
          <t>40¹, 80¹</t>
        </is>
      </c>
      <c r="J1858" t="n">
        <v>2</v>
      </c>
      <c r="K1858" t="inlineStr">
        <is>
          <t>1³, 4³</t>
        </is>
      </c>
      <c r="L1858" t="inlineStr">
        <is>
          <t>16B⁰, 40A⁴</t>
        </is>
      </c>
      <c r="M1858" t="inlineStr">
        <is>
          <t>80B¹⁷, 80J¹⁷, 160B¹⁷, 80B¹⁹, 160D¹⁹, 80B²², 240B²⁴, 240C²⁴</t>
        </is>
      </c>
      <c r="N1858" t="inlineStr">
        <is>
          <t>16B⁰, 5A⁰, 40A⁴, 10B¹, 20B², 4C⁰, 8B⁰, 2B⁰, 1A⁰</t>
        </is>
      </c>
      <c r="O1858" t="inlineStr">
        <is>
          <t>160D¹⁹, 80B²², 160B¹⁷, 240C²⁴, 80B¹⁷, 80B¹⁹, 240B²⁴, 80J¹⁷</t>
        </is>
      </c>
    </row>
    <row r="1859">
      <c r="A1859">
        <f>HYPERLINK("https://mathstats.uncg.edu/sites/pauli/congruence/csg8.html#group80B8", "80B⁸")</f>
        <v/>
      </c>
      <c r="B1859" t="n">
        <v>8</v>
      </c>
      <c r="C1859" t="inlineStr"/>
      <c r="D1859" t="inlineStr">
        <is>
          <t>120</t>
        </is>
      </c>
      <c r="E1859" t="inlineStr">
        <is>
          <t>1</t>
        </is>
      </c>
      <c r="F1859" t="inlineStr">
        <is>
          <t>30</t>
        </is>
      </c>
      <c r="G1859" t="inlineStr">
        <is>
          <t>0</t>
        </is>
      </c>
      <c r="H1859" t="inlineStr">
        <is>
          <t>0</t>
        </is>
      </c>
      <c r="I1859" t="inlineStr">
        <is>
          <t>5⁴, 20¹, 80¹</t>
        </is>
      </c>
      <c r="J1859" t="n">
        <v>6</v>
      </c>
      <c r="K1859" t="inlineStr">
        <is>
          <t>1⁴, 2¹, 4⁴, 8¹</t>
        </is>
      </c>
      <c r="L1859" t="inlineStr">
        <is>
          <t>16C⁰, 40B⁴</t>
        </is>
      </c>
      <c r="M1859" t="inlineStr">
        <is>
          <t>80B¹⁶, 160A¹⁶, 80A¹⁷, 160A¹⁷, 160A¹⁸, 80C²²</t>
        </is>
      </c>
      <c r="N1859" t="inlineStr">
        <is>
          <t>20A², 5A⁰, 16C⁰, 10B¹, 8C⁰, 2B⁰, 4B⁰, 40B⁴, 1A⁰</t>
        </is>
      </c>
      <c r="O1859" t="inlineStr">
        <is>
          <t>80C²², 80B¹⁶, 160A¹⁷, 160A¹⁸, 80A¹⁷, 160A¹⁶</t>
        </is>
      </c>
    </row>
    <row r="1860">
      <c r="A1860">
        <f>HYPERLINK("https://mathstats.uncg.edu/sites/pauli/congruence/csg8.html#group80C8", "80C⁸")</f>
        <v/>
      </c>
      <c r="B1860" t="n">
        <v>8</v>
      </c>
      <c r="C1860" t="inlineStr"/>
      <c r="D1860" t="inlineStr">
        <is>
          <t>120</t>
        </is>
      </c>
      <c r="E1860" t="inlineStr">
        <is>
          <t>1</t>
        </is>
      </c>
      <c r="F1860" t="inlineStr">
        <is>
          <t>60</t>
        </is>
      </c>
      <c r="G1860" t="inlineStr">
        <is>
          <t>0</t>
        </is>
      </c>
      <c r="H1860" t="inlineStr">
        <is>
          <t>0</t>
        </is>
      </c>
      <c r="I1860" t="inlineStr">
        <is>
          <t>5², 10³, 80¹</t>
        </is>
      </c>
      <c r="J1860" t="n">
        <v>6</v>
      </c>
      <c r="K1860" t="inlineStr">
        <is>
          <t>1⁴, 2², 4⁵, 8², 16¹</t>
        </is>
      </c>
      <c r="L1860" t="inlineStr">
        <is>
          <t>16D⁰, 40B⁴</t>
        </is>
      </c>
      <c r="M1860" t="inlineStr">
        <is>
          <t>80A¹⁶, 80B¹⁶, 80C¹⁷, 80D²²</t>
        </is>
      </c>
      <c r="N1860" t="inlineStr">
        <is>
          <t>20A², 5A⁰, 10B¹, 16D⁰, 8C⁰, 2B⁰, 4B⁰, 40B⁴, 1A⁰</t>
        </is>
      </c>
      <c r="O1860" t="inlineStr">
        <is>
          <t>80B¹⁶, 80C¹⁷, 80D²², 80A¹⁶</t>
        </is>
      </c>
    </row>
    <row r="1861">
      <c r="A1861">
        <f>HYPERLINK("https://mathstats.uncg.edu/sites/pauli/congruence/csg8.html#group80D8", "80D⁸")</f>
        <v/>
      </c>
      <c r="B1861" t="n">
        <v>8</v>
      </c>
      <c r="C1861" t="inlineStr"/>
      <c r="D1861" t="inlineStr">
        <is>
          <t>120</t>
        </is>
      </c>
      <c r="E1861" t="inlineStr">
        <is>
          <t>1</t>
        </is>
      </c>
      <c r="F1861" t="inlineStr">
        <is>
          <t>60</t>
        </is>
      </c>
      <c r="G1861" t="inlineStr">
        <is>
          <t>2</t>
        </is>
      </c>
      <c r="H1861" t="inlineStr">
        <is>
          <t>0</t>
        </is>
      </c>
      <c r="I1861" t="inlineStr">
        <is>
          <t>10⁴, 80¹</t>
        </is>
      </c>
      <c r="J1861" t="n">
        <v>5</v>
      </c>
      <c r="K1861" t="inlineStr">
        <is>
          <t>1², 2¹, 4⁴, 8¹, 16²</t>
        </is>
      </c>
      <c r="L1861" t="inlineStr">
        <is>
          <t>16E⁰, 40C⁴</t>
        </is>
      </c>
      <c r="M1861" t="inlineStr">
        <is>
          <t>80A¹⁶, 80G¹⁷, 160C¹⁷, 160D¹⁷, 80B¹⁸, 80E²²</t>
        </is>
      </c>
      <c r="N1861" t="inlineStr">
        <is>
          <t>40C⁴, 16E⁰, 5A⁰, 8D⁰, 10B¹, 20B², 4C⁰, 2B⁰, 1A⁰</t>
        </is>
      </c>
      <c r="O1861" t="inlineStr">
        <is>
          <t>160D¹⁷, 160C¹⁷, 80B¹⁸, 80G¹⁷, 80E²², 80A¹⁶</t>
        </is>
      </c>
    </row>
    <row r="1862">
      <c r="A1862">
        <f>HYPERLINK("https://mathstats.uncg.edu/sites/pauli/congruence/csg8.html#group80E8", "80E⁸")</f>
        <v/>
      </c>
      <c r="B1862" t="n">
        <v>8</v>
      </c>
      <c r="C1862" t="inlineStr"/>
      <c r="D1862" t="inlineStr">
        <is>
          <t>160</t>
        </is>
      </c>
      <c r="E1862" t="inlineStr">
        <is>
          <t>1</t>
        </is>
      </c>
      <c r="F1862" t="inlineStr">
        <is>
          <t>20</t>
        </is>
      </c>
      <c r="G1862" t="inlineStr">
        <is>
          <t>0</t>
        </is>
      </c>
      <c r="H1862" t="inlineStr">
        <is>
          <t>16</t>
        </is>
      </c>
      <c r="I1862" t="inlineStr">
        <is>
          <t>80²</t>
        </is>
      </c>
      <c r="J1862" t="n">
        <v>2</v>
      </c>
      <c r="K1862" t="inlineStr">
        <is>
          <t>2², 8²</t>
        </is>
      </c>
      <c r="L1862" t="inlineStr">
        <is>
          <t>16F⁰, 40D⁴, 80A⁴</t>
        </is>
      </c>
      <c r="M1862" t="inlineStr"/>
      <c r="N1862" t="inlineStr">
        <is>
          <t>2A⁰, 40D⁴, 5A⁰, 80A⁴, 10A⁰, 20D², 16A⁰, 4A⁰, 4D⁰, 16F⁰, 8A⁰, 8E⁰, 20A¹, 1A⁰, 40A²</t>
        </is>
      </c>
      <c r="O1862" t="inlineStr"/>
    </row>
    <row r="1863">
      <c r="A1863">
        <f>HYPERLINK("https://mathstats.uncg.edu/sites/pauli/congruence/csg8.html#group84A8", "84A⁸")</f>
        <v/>
      </c>
      <c r="B1863" t="n">
        <v>8</v>
      </c>
      <c r="C1863" t="inlineStr"/>
      <c r="D1863" t="inlineStr">
        <is>
          <t>96</t>
        </is>
      </c>
      <c r="E1863" t="inlineStr">
        <is>
          <t>1</t>
        </is>
      </c>
      <c r="F1863" t="inlineStr">
        <is>
          <t>8</t>
        </is>
      </c>
      <c r="G1863" t="inlineStr">
        <is>
          <t>0</t>
        </is>
      </c>
      <c r="H1863" t="inlineStr">
        <is>
          <t>0</t>
        </is>
      </c>
      <c r="I1863" t="inlineStr">
        <is>
          <t>12¹, 84¹</t>
        </is>
      </c>
      <c r="J1863" t="n">
        <v>2</v>
      </c>
      <c r="K1863" t="inlineStr">
        <is>
          <t>1², 6¹</t>
        </is>
      </c>
      <c r="L1863" t="inlineStr">
        <is>
          <t>28A⁰, 42B⁴</t>
        </is>
      </c>
      <c r="M1863" t="inlineStr">
        <is>
          <t>84B¹⁵, 84A²², 84B²², 84D²², 252A²⁴</t>
        </is>
      </c>
      <c r="N1863" t="inlineStr">
        <is>
          <t>2A⁰, 28A⁰, 42B⁴, 21A², 7B⁰, 14B⁰, 6A¹, 3A⁰, 1A⁰</t>
        </is>
      </c>
      <c r="O1863" t="inlineStr">
        <is>
          <t>84D²², 252A²⁴, 84A²², 84B²², 84B¹⁵</t>
        </is>
      </c>
    </row>
    <row r="1864">
      <c r="A1864">
        <f>HYPERLINK("https://mathstats.uncg.edu/sites/pauli/congruence/csg8.html#group84B8", "84B⁸")</f>
        <v/>
      </c>
      <c r="B1864" t="n">
        <v>8</v>
      </c>
      <c r="C1864" t="inlineStr"/>
      <c r="D1864" t="inlineStr">
        <is>
          <t>96</t>
        </is>
      </c>
      <c r="E1864" t="inlineStr">
        <is>
          <t>1</t>
        </is>
      </c>
      <c r="F1864" t="inlineStr">
        <is>
          <t>24</t>
        </is>
      </c>
      <c r="G1864" t="inlineStr">
        <is>
          <t>0</t>
        </is>
      </c>
      <c r="H1864" t="inlineStr">
        <is>
          <t>0</t>
        </is>
      </c>
      <c r="I1864" t="inlineStr">
        <is>
          <t>12¹, 84¹</t>
        </is>
      </c>
      <c r="J1864" t="n">
        <v>2</v>
      </c>
      <c r="K1864" t="inlineStr">
        <is>
          <t>1², 2², 6¹, 12¹</t>
        </is>
      </c>
      <c r="L1864" t="inlineStr">
        <is>
          <t>42B⁴</t>
        </is>
      </c>
      <c r="M1864" t="inlineStr">
        <is>
          <t>84A¹⁵, 84B¹⁵, 84F²², 84E²², 84H²², 252B²⁴, 252D²⁴</t>
        </is>
      </c>
      <c r="N1864" t="inlineStr">
        <is>
          <t>2A⁰, 21A², 42B⁴, 7B⁰, 14B⁰, 6A¹, 3A⁰, 1A⁰</t>
        </is>
      </c>
      <c r="O1864" t="inlineStr">
        <is>
          <t>84E²², 252B²⁴, 84F²², 252D²⁴, 84H²², 84B¹⁵, 84A¹⁵</t>
        </is>
      </c>
    </row>
    <row r="1865">
      <c r="A1865">
        <f>HYPERLINK("https://mathstats.uncg.edu/sites/pauli/congruence/csg8.html#group84C8", "84C⁸")</f>
        <v/>
      </c>
      <c r="B1865" t="n">
        <v>8</v>
      </c>
      <c r="C1865" t="inlineStr"/>
      <c r="D1865" t="inlineStr">
        <is>
          <t>96</t>
        </is>
      </c>
      <c r="E1865" t="inlineStr">
        <is>
          <t>1</t>
        </is>
      </c>
      <c r="F1865" t="inlineStr">
        <is>
          <t>32</t>
        </is>
      </c>
      <c r="G1865" t="inlineStr">
        <is>
          <t>0</t>
        </is>
      </c>
      <c r="H1865" t="inlineStr">
        <is>
          <t>0</t>
        </is>
      </c>
      <c r="I1865" t="inlineStr">
        <is>
          <t>12¹, 84¹</t>
        </is>
      </c>
      <c r="J1865" t="n">
        <v>2</v>
      </c>
      <c r="K1865" t="inlineStr">
        <is>
          <t>2⁴, 12²</t>
        </is>
      </c>
      <c r="L1865" t="inlineStr">
        <is>
          <t>12A⁰, 21A², 28A²</t>
        </is>
      </c>
      <c r="M1865" t="inlineStr">
        <is>
          <t>84C¹⁵, 84E¹⁵, 84F¹⁵, 168A¹⁶, 168B¹⁶, 84G²², 84I²², 252C²⁴</t>
        </is>
      </c>
      <c r="N1865" t="inlineStr">
        <is>
          <t>12A⁰, 21A², 4A⁰, 7B⁰, 3A⁰, 1A⁰, 28A²</t>
        </is>
      </c>
      <c r="O1865" t="inlineStr">
        <is>
          <t>84C¹⁵, 84E¹⁵, 84I²², 168B¹⁶, 252C²⁴, 168A¹⁶, 84G²², 84F¹⁵</t>
        </is>
      </c>
    </row>
    <row r="1866">
      <c r="A1866">
        <f>HYPERLINK("https://mathstats.uncg.edu/sites/pauli/congruence/csg8.html#group84D8", "84D⁸")</f>
        <v/>
      </c>
      <c r="B1866" t="n">
        <v>8</v>
      </c>
      <c r="C1866" t="inlineStr"/>
      <c r="D1866" t="inlineStr">
        <is>
          <t>112</t>
        </is>
      </c>
      <c r="E1866" t="inlineStr">
        <is>
          <t>2</t>
        </is>
      </c>
      <c r="F1866" t="inlineStr">
        <is>
          <t>28</t>
        </is>
      </c>
      <c r="G1866" t="inlineStr">
        <is>
          <t>0</t>
        </is>
      </c>
      <c r="H1866" t="inlineStr">
        <is>
          <t>4</t>
        </is>
      </c>
      <c r="I1866" t="inlineStr">
        <is>
          <t>28¹, 84¹</t>
        </is>
      </c>
      <c r="J1866" t="n">
        <v>2</v>
      </c>
      <c r="K1866" t="inlineStr">
        <is>
          <t>2², 4¹, 6⁴, 12²</t>
        </is>
      </c>
      <c r="L1866" t="inlineStr">
        <is>
          <t>42E⁴</t>
        </is>
      </c>
      <c r="M1866" t="inlineStr">
        <is>
          <t>84G¹⁵, 252E²⁴</t>
        </is>
      </c>
      <c r="N1866" t="inlineStr">
        <is>
          <t>3B⁰, 2A⁰, 21B², 42E⁴, 6C⁰, 14A¹, 1A⁰, 7A⁰</t>
        </is>
      </c>
      <c r="O1866" t="inlineStr">
        <is>
          <t>252E²⁴, 84G¹⁵</t>
        </is>
      </c>
    </row>
    <row r="1867">
      <c r="A1867">
        <f>HYPERLINK("https://mathstats.uncg.edu/sites/pauli/congruence/csg8.html#group84E8", "84E⁸")</f>
        <v/>
      </c>
      <c r="B1867" t="n">
        <v>8</v>
      </c>
      <c r="C1867" t="inlineStr"/>
      <c r="D1867" t="inlineStr">
        <is>
          <t>112</t>
        </is>
      </c>
      <c r="E1867" t="inlineStr">
        <is>
          <t>2</t>
        </is>
      </c>
      <c r="F1867" t="inlineStr">
        <is>
          <t>28</t>
        </is>
      </c>
      <c r="G1867" t="inlineStr">
        <is>
          <t>0</t>
        </is>
      </c>
      <c r="H1867" t="inlineStr">
        <is>
          <t>4</t>
        </is>
      </c>
      <c r="I1867" t="inlineStr">
        <is>
          <t>28¹, 84¹</t>
        </is>
      </c>
      <c r="J1867" t="n">
        <v>2</v>
      </c>
      <c r="K1867" t="inlineStr">
        <is>
          <t>2², 4¹, 6⁴, 12²</t>
        </is>
      </c>
      <c r="L1867" t="inlineStr">
        <is>
          <t>12B⁰, 42E⁴</t>
        </is>
      </c>
      <c r="M1867" t="inlineStr">
        <is>
          <t>84G¹⁵, 252F²⁴</t>
        </is>
      </c>
      <c r="N1867" t="inlineStr">
        <is>
          <t>3B⁰, 2A⁰, 21B², 42E⁴, 6C⁰, 14A¹, 1A⁰, 7A⁰, 12B⁰</t>
        </is>
      </c>
      <c r="O1867" t="inlineStr">
        <is>
          <t>252F²⁴, 84G¹⁵</t>
        </is>
      </c>
    </row>
    <row r="1868">
      <c r="A1868">
        <f>HYPERLINK("https://mathstats.uncg.edu/sites/pauli/congruence/csg8.html#group84F8", "84F⁸")</f>
        <v/>
      </c>
      <c r="B1868" t="n">
        <v>8</v>
      </c>
      <c r="C1868" t="inlineStr"/>
      <c r="D1868" t="inlineStr">
        <is>
          <t>126</t>
        </is>
      </c>
      <c r="E1868" t="inlineStr">
        <is>
          <t>2</t>
        </is>
      </c>
      <c r="F1868" t="inlineStr">
        <is>
          <t>63</t>
        </is>
      </c>
      <c r="G1868" t="inlineStr">
        <is>
          <t>8</t>
        </is>
      </c>
      <c r="H1868" t="inlineStr">
        <is>
          <t>0</t>
        </is>
      </c>
      <c r="I1868" t="inlineStr">
        <is>
          <t>21², 84¹</t>
        </is>
      </c>
      <c r="J1868" t="n">
        <v>3</v>
      </c>
      <c r="K1868" t="inlineStr">
        <is>
          <t>2³, 4³, 6⁶, 12⁶</t>
        </is>
      </c>
      <c r="L1868" t="inlineStr">
        <is>
          <t>42C³</t>
        </is>
      </c>
      <c r="M1868" t="inlineStr">
        <is>
          <t>84D¹⁶, 84E¹⁶, 84F¹⁶, 84F¹⁷, 84G¹⁷, 84I¹⁷, 84J¹⁷, 84A¹⁸, 84C¹⁸, 84D¹⁸, 84C¹⁹, 84H¹⁹, 84I¹⁹, 84F²⁰, 84E²⁴</t>
        </is>
      </c>
      <c r="N1868" t="inlineStr">
        <is>
          <t>14B¹, 21A⁰, 2B⁰, 3A⁰, 1A⁰, 42C³, 6D⁰, 7A⁰</t>
        </is>
      </c>
      <c r="O1868" t="inlineStr">
        <is>
          <t>84J¹⁷, 84F¹⁷, 84D¹⁸, 84E¹⁶, 84F¹⁶, 84C¹⁹, 84E²⁴, 84G¹⁷, 84C¹⁸, 84A¹⁸, 84I¹⁹, 84H¹⁹, 84D¹⁶, 84I¹⁷, 84F²⁰</t>
        </is>
      </c>
    </row>
    <row r="1869">
      <c r="A1869">
        <f>HYPERLINK("https://mathstats.uncg.edu/sites/pauli/congruence/csg8.html#group84G8", "84G⁸")</f>
        <v/>
      </c>
      <c r="B1869" t="n">
        <v>8</v>
      </c>
      <c r="C1869" t="inlineStr"/>
      <c r="D1869" t="inlineStr">
        <is>
          <t>126</t>
        </is>
      </c>
      <c r="E1869" t="inlineStr">
        <is>
          <t>2</t>
        </is>
      </c>
      <c r="F1869" t="inlineStr">
        <is>
          <t>63</t>
        </is>
      </c>
      <c r="G1869" t="inlineStr">
        <is>
          <t>10</t>
        </is>
      </c>
      <c r="H1869" t="inlineStr">
        <is>
          <t>0</t>
        </is>
      </c>
      <c r="I1869" t="inlineStr">
        <is>
          <t>42¹, 84¹</t>
        </is>
      </c>
      <c r="J1869" t="n">
        <v>2</v>
      </c>
      <c r="K1869" t="inlineStr">
        <is>
          <t>2³, 4³, 6⁶, 12⁶</t>
        </is>
      </c>
      <c r="L1869" t="inlineStr">
        <is>
          <t>42C³</t>
        </is>
      </c>
      <c r="M1869" t="inlineStr">
        <is>
          <t>84I¹⁵, 84G¹⁶, 84H¹⁶, 84I¹⁷, 84J¹⁷, 84K¹⁷, 84L¹⁷, 84B¹⁸, 84G¹⁸, 84H¹⁸, 84F¹⁹, 84G¹⁹, 84E²⁰, 84F²⁰</t>
        </is>
      </c>
      <c r="N1869" t="inlineStr">
        <is>
          <t>14B¹, 21A⁰, 2B⁰, 3A⁰, 1A⁰, 42C³, 6D⁰, 7A⁰</t>
        </is>
      </c>
      <c r="O1869" t="inlineStr">
        <is>
          <t>84L¹⁷, 84B¹⁸, 84G¹⁸, 84J¹⁷, 84K¹⁷, 84G¹⁶, 84H¹⁶, 84I¹⁵, 84F¹⁹, 84G¹⁹, 84F²⁰, 84E²⁰, 84I¹⁷, 84H¹⁸</t>
        </is>
      </c>
    </row>
    <row r="1870">
      <c r="A1870">
        <f>HYPERLINK("https://mathstats.uncg.edu/sites/pauli/congruence/csg8.html#group84H8", "84H⁸")</f>
        <v/>
      </c>
      <c r="B1870" t="n">
        <v>8</v>
      </c>
      <c r="C1870" t="inlineStr"/>
      <c r="D1870" t="inlineStr">
        <is>
          <t>168</t>
        </is>
      </c>
      <c r="E1870" t="inlineStr">
        <is>
          <t>2</t>
        </is>
      </c>
      <c r="F1870" t="inlineStr">
        <is>
          <t>28</t>
        </is>
      </c>
      <c r="G1870" t="inlineStr">
        <is>
          <t>24</t>
        </is>
      </c>
      <c r="H1870" t="inlineStr">
        <is>
          <t>0</t>
        </is>
      </c>
      <c r="I1870" t="inlineStr">
        <is>
          <t>84²</t>
        </is>
      </c>
      <c r="J1870" t="n">
        <v>2</v>
      </c>
      <c r="K1870" t="inlineStr">
        <is>
          <t>4², 12⁴</t>
        </is>
      </c>
      <c r="L1870" t="inlineStr">
        <is>
          <t>42A¹, 28E², 84A³</t>
        </is>
      </c>
      <c r="M1870" t="inlineStr">
        <is>
          <t>84L¹⁹, 168G²², 168H²², 168J²², 168I²², 84D²³</t>
        </is>
      </c>
      <c r="N1870" t="inlineStr">
        <is>
          <t>28E², 14A⁰, 84A³, 12A⁰, 42A¹, 4A⁰, 21A⁰, 3A⁰, 28A¹, 1A⁰, 7A⁰</t>
        </is>
      </c>
      <c r="O1870" t="inlineStr">
        <is>
          <t>168I²², 168G²², 84L¹⁹, 84D²³, 168J²², 168H²²</t>
        </is>
      </c>
    </row>
    <row r="1871">
      <c r="A1871">
        <f>HYPERLINK("https://mathstats.uncg.edu/sites/pauli/congruence/csg8.html#group84I8", "84I⁸")</f>
        <v/>
      </c>
      <c r="B1871" t="n">
        <v>8</v>
      </c>
      <c r="C1871" t="inlineStr"/>
      <c r="D1871" t="inlineStr">
        <is>
          <t>168</t>
        </is>
      </c>
      <c r="E1871" t="inlineStr">
        <is>
          <t>2</t>
        </is>
      </c>
      <c r="F1871" t="inlineStr">
        <is>
          <t>84</t>
        </is>
      </c>
      <c r="G1871" t="inlineStr">
        <is>
          <t>24</t>
        </is>
      </c>
      <c r="H1871" t="inlineStr">
        <is>
          <t>0</t>
        </is>
      </c>
      <c r="I1871" t="inlineStr">
        <is>
          <t>84²</t>
        </is>
      </c>
      <c r="J1871" t="n">
        <v>2</v>
      </c>
      <c r="K1871" t="inlineStr">
        <is>
          <t>4², 8², 12⁴, 24⁴</t>
        </is>
      </c>
      <c r="L1871" t="inlineStr">
        <is>
          <t>12F⁰, 42B¹, 84A³</t>
        </is>
      </c>
      <c r="M1871" t="inlineStr">
        <is>
          <t>84L¹⁹, 84N²¹, 84O²¹, 84P²¹, 168K²², 168L²², 168M²², 168N²², 168O²², 168P²², 168Q²², 168R²², 84E²³</t>
        </is>
      </c>
      <c r="N1871" t="inlineStr">
        <is>
          <t>84A³, 12A⁰, 6B⁰, 4A⁰, 12F⁰, 21A⁰, 42B¹, 3A⁰, 28A¹, 1A⁰, 7A⁰</t>
        </is>
      </c>
      <c r="O1871" t="inlineStr">
        <is>
          <t>168M²², 84N²¹, 84P²¹, 168K²², 168L²², 168N²², 168P²², 84O²¹, 84E²³, 168O²², 84L¹⁹, 168Q²², 168R²²</t>
        </is>
      </c>
    </row>
    <row r="1872">
      <c r="A1872">
        <f>HYPERLINK("https://mathstats.uncg.edu/sites/pauli/congruence/csg8.html#group88A8", "88A⁸")</f>
        <v/>
      </c>
      <c r="B1872" t="n">
        <v>8</v>
      </c>
      <c r="C1872" t="inlineStr"/>
      <c r="D1872" t="inlineStr">
        <is>
          <t>96</t>
        </is>
      </c>
      <c r="E1872" t="inlineStr">
        <is>
          <t>2</t>
        </is>
      </c>
      <c r="F1872" t="inlineStr">
        <is>
          <t>48</t>
        </is>
      </c>
      <c r="G1872" t="inlineStr">
        <is>
          <t>0</t>
        </is>
      </c>
      <c r="H1872" t="inlineStr">
        <is>
          <t>0</t>
        </is>
      </c>
      <c r="I1872" t="inlineStr">
        <is>
          <t>8¹, 88¹</t>
        </is>
      </c>
      <c r="J1872" t="n">
        <v>2</v>
      </c>
      <c r="K1872" t="inlineStr">
        <is>
          <t>4⁴, 40²</t>
        </is>
      </c>
      <c r="L1872" t="inlineStr">
        <is>
          <t>8A⁰, 44B⁴</t>
        </is>
      </c>
      <c r="M1872" t="inlineStr">
        <is>
          <t>88B¹⁵, 176A¹⁶, 88A²², 264A²⁴</t>
        </is>
      </c>
      <c r="N1872" t="inlineStr">
        <is>
          <t>8A⁰, 1A⁰, 4A⁰, 44B⁴, 11A¹</t>
        </is>
      </c>
      <c r="O1872" t="inlineStr">
        <is>
          <t>88B¹⁵, 88A²², 264A²⁴, 176A¹⁶</t>
        </is>
      </c>
    </row>
    <row r="1873">
      <c r="A1873">
        <f>HYPERLINK("https://mathstats.uncg.edu/sites/pauli/congruence/csg8.html#group88B8", "88B⁸")</f>
        <v/>
      </c>
      <c r="B1873" t="n">
        <v>8</v>
      </c>
      <c r="C1873" t="inlineStr"/>
      <c r="D1873" t="inlineStr">
        <is>
          <t>132</t>
        </is>
      </c>
      <c r="E1873" t="inlineStr">
        <is>
          <t>2</t>
        </is>
      </c>
      <c r="F1873" t="inlineStr">
        <is>
          <t>33</t>
        </is>
      </c>
      <c r="G1873" t="inlineStr">
        <is>
          <t>12</t>
        </is>
      </c>
      <c r="H1873" t="inlineStr">
        <is>
          <t>0</t>
        </is>
      </c>
      <c r="I1873" t="inlineStr">
        <is>
          <t>44¹, 88¹</t>
        </is>
      </c>
      <c r="J1873" t="n">
        <v>2</v>
      </c>
      <c r="K1873" t="inlineStr">
        <is>
          <t>2³, 10⁶</t>
        </is>
      </c>
      <c r="L1873" t="inlineStr">
        <is>
          <t>8B⁰, 44C⁴</t>
        </is>
      </c>
      <c r="M1873" t="inlineStr">
        <is>
          <t>176B¹⁶, 88A¹⁸, 88B¹⁸, 176A¹⁹, 176C¹⁹, 88A²¹, 176A²², 264C²⁴</t>
        </is>
      </c>
      <c r="N1873" t="inlineStr">
        <is>
          <t>11A⁰, 44C⁴, 4C⁰, 8B⁰, 2B⁰, 22B², 1A⁰</t>
        </is>
      </c>
      <c r="O1873" t="inlineStr">
        <is>
          <t>88B¹⁸, 264C²⁴, 88A¹⁸, 176B¹⁶, 88A²¹, 176A¹⁹, 176C¹⁹, 176A²²</t>
        </is>
      </c>
    </row>
    <row r="1874">
      <c r="A1874">
        <f>HYPERLINK("https://mathstats.uncg.edu/sites/pauli/congruence/csg8.html#group88C8", "88C⁸")</f>
        <v/>
      </c>
      <c r="B1874" t="n">
        <v>8</v>
      </c>
      <c r="C1874" t="inlineStr"/>
      <c r="D1874" t="inlineStr">
        <is>
          <t>144</t>
        </is>
      </c>
      <c r="E1874" t="inlineStr">
        <is>
          <t>1</t>
        </is>
      </c>
      <c r="F1874" t="inlineStr">
        <is>
          <t>36</t>
        </is>
      </c>
      <c r="G1874" t="inlineStr">
        <is>
          <t>0</t>
        </is>
      </c>
      <c r="H1874" t="inlineStr">
        <is>
          <t>0</t>
        </is>
      </c>
      <c r="I1874" t="inlineStr">
        <is>
          <t>1⁴, 8¹, 11⁴, 88¹</t>
        </is>
      </c>
      <c r="J1874" t="n">
        <v>10</v>
      </c>
      <c r="K1874" t="inlineStr">
        <is>
          <t>1⁶, 10³</t>
        </is>
      </c>
      <c r="L1874" t="inlineStr">
        <is>
          <t>44D⁴</t>
        </is>
      </c>
      <c r="M1874" t="inlineStr">
        <is>
          <t>88A¹⁷, 88B¹⁹</t>
        </is>
      </c>
      <c r="N1874" t="inlineStr">
        <is>
          <t>2B⁰, 4B⁰, 22C², 1A⁰, 44D⁴, 11A¹</t>
        </is>
      </c>
      <c r="O1874" t="inlineStr">
        <is>
          <t>88B¹⁹, 88A¹⁷</t>
        </is>
      </c>
    </row>
    <row r="1875">
      <c r="A1875">
        <f>HYPERLINK("https://mathstats.uncg.edu/sites/pauli/congruence/csg8.html#group90A8", "90A⁸")</f>
        <v/>
      </c>
      <c r="B1875" t="n">
        <v>8</v>
      </c>
      <c r="C1875" t="inlineStr"/>
      <c r="D1875" t="inlineStr">
        <is>
          <t>90</t>
        </is>
      </c>
      <c r="E1875" t="inlineStr">
        <is>
          <t>1</t>
        </is>
      </c>
      <c r="F1875" t="inlineStr">
        <is>
          <t>45</t>
        </is>
      </c>
      <c r="G1875" t="inlineStr">
        <is>
          <t>0</t>
        </is>
      </c>
      <c r="H1875" t="inlineStr">
        <is>
          <t>0</t>
        </is>
      </c>
      <c r="I1875" t="inlineStr">
        <is>
          <t>90¹</t>
        </is>
      </c>
      <c r="J1875" t="n">
        <v>1</v>
      </c>
      <c r="K1875" t="inlineStr">
        <is>
          <t>1¹, 2¹, 4¹, 6¹, 8¹, 24¹</t>
        </is>
      </c>
      <c r="L1875" t="inlineStr">
        <is>
          <t>18A², 30A³, 45A³</t>
        </is>
      </c>
      <c r="M1875" t="inlineStr">
        <is>
          <t>90A¹⁵, 90F¹⁵, 90A²², 90B²², 90C²², 90D²²</t>
        </is>
      </c>
      <c r="N1875" t="inlineStr">
        <is>
          <t>2A⁰, 30A³, 5A⁰, 10A⁰, 9A⁰, 6A¹, 18A², 3A⁰, 1A⁰, 15A¹, 45A³</t>
        </is>
      </c>
      <c r="O1875" t="inlineStr">
        <is>
          <t>90B²², 90A¹⁵, 90D²², 90F¹⁵, 90A²², 90C²²</t>
        </is>
      </c>
    </row>
    <row r="1876">
      <c r="A1876">
        <f>HYPERLINK("https://mathstats.uncg.edu/sites/pauli/congruence/csg8.html#group90B8", "90B⁸")</f>
        <v/>
      </c>
      <c r="B1876" t="n">
        <v>8</v>
      </c>
      <c r="C1876" t="inlineStr"/>
      <c r="D1876" t="inlineStr">
        <is>
          <t>108</t>
        </is>
      </c>
      <c r="E1876" t="inlineStr">
        <is>
          <t>2</t>
        </is>
      </c>
      <c r="F1876" t="inlineStr">
        <is>
          <t>54</t>
        </is>
      </c>
      <c r="G1876" t="inlineStr">
        <is>
          <t>4</t>
        </is>
      </c>
      <c r="H1876" t="inlineStr">
        <is>
          <t>0</t>
        </is>
      </c>
      <c r="I1876" t="inlineStr">
        <is>
          <t>18¹, 90¹</t>
        </is>
      </c>
      <c r="J1876" t="n">
        <v>2</v>
      </c>
      <c r="K1876" t="inlineStr">
        <is>
          <t>2⁶, 6⁴, 8³, 24²</t>
        </is>
      </c>
      <c r="L1876" t="inlineStr">
        <is>
          <t>30C², 45A²</t>
        </is>
      </c>
      <c r="M1876" t="inlineStr">
        <is>
          <t>90K¹⁵, 90L¹⁵, 90M¹⁵, 90A¹⁷, 90H¹⁷, 90I¹⁷, 90J¹⁷, 90H²², 90B²⁴, 90C²⁴</t>
        </is>
      </c>
      <c r="N1876" t="inlineStr">
        <is>
          <t>5B⁰, 45A², 15B⁰, 3A⁰, 1A⁰, 9A⁰, 30C²</t>
        </is>
      </c>
      <c r="O1876" t="inlineStr">
        <is>
          <t>90I¹⁷, 90M¹⁵, 90K¹⁵, 90L¹⁵, 90C²⁴, 90J¹⁷, 90A¹⁷, 90B²⁴, 90H²², 90H¹⁷</t>
        </is>
      </c>
    </row>
    <row r="1877">
      <c r="A1877">
        <f>HYPERLINK("https://mathstats.uncg.edu/sites/pauli/congruence/csg8.html#group90C8", "90C⁸")</f>
        <v/>
      </c>
      <c r="B1877" t="n">
        <v>8</v>
      </c>
      <c r="C1877" t="inlineStr"/>
      <c r="D1877" t="inlineStr">
        <is>
          <t>120</t>
        </is>
      </c>
      <c r="E1877" t="inlineStr">
        <is>
          <t>1</t>
        </is>
      </c>
      <c r="F1877" t="inlineStr">
        <is>
          <t>40</t>
        </is>
      </c>
      <c r="G1877" t="inlineStr">
        <is>
          <t>0</t>
        </is>
      </c>
      <c r="H1877" t="inlineStr">
        <is>
          <t>6</t>
        </is>
      </c>
      <c r="I1877" t="inlineStr">
        <is>
          <t>30¹, 90¹</t>
        </is>
      </c>
      <c r="J1877" t="n">
        <v>2</v>
      </c>
      <c r="K1877" t="inlineStr">
        <is>
          <t>2⁴, 8⁴</t>
        </is>
      </c>
      <c r="L1877" t="inlineStr">
        <is>
          <t>18D¹, 30D²</t>
        </is>
      </c>
      <c r="M1877" t="inlineStr">
        <is>
          <t>180A¹⁶, 90I²²</t>
        </is>
      </c>
      <c r="N1877" t="inlineStr">
        <is>
          <t>3B⁰, 2A⁰, 5A⁰, 10A⁰, 30D², 6C⁰, 15B¹, 1A⁰, 18D¹</t>
        </is>
      </c>
      <c r="O1877" t="inlineStr">
        <is>
          <t>180A¹⁶, 90I²²</t>
        </is>
      </c>
    </row>
    <row r="1878">
      <c r="A1878">
        <f>HYPERLINK("https://mathstats.uncg.edu/sites/pauli/congruence/csg8.html#group90D8", "90D⁸")</f>
        <v/>
      </c>
      <c r="B1878" t="n">
        <v>8</v>
      </c>
      <c r="C1878" t="inlineStr"/>
      <c r="D1878" t="inlineStr">
        <is>
          <t>120</t>
        </is>
      </c>
      <c r="E1878" t="inlineStr">
        <is>
          <t>2</t>
        </is>
      </c>
      <c r="F1878" t="inlineStr">
        <is>
          <t>20</t>
        </is>
      </c>
      <c r="G1878" t="inlineStr">
        <is>
          <t>0</t>
        </is>
      </c>
      <c r="H1878" t="inlineStr">
        <is>
          <t>6</t>
        </is>
      </c>
      <c r="I1878" t="inlineStr">
        <is>
          <t>30¹, 90¹</t>
        </is>
      </c>
      <c r="J1878" t="n">
        <v>2</v>
      </c>
      <c r="K1878" t="inlineStr">
        <is>
          <t>2², 4¹, 8⁴</t>
        </is>
      </c>
      <c r="L1878" t="inlineStr">
        <is>
          <t>30D², 45B⁴</t>
        </is>
      </c>
      <c r="M1878" t="inlineStr">
        <is>
          <t>180B¹⁶, 90K²²</t>
        </is>
      </c>
      <c r="N1878" t="inlineStr">
        <is>
          <t>3B⁰, 2A⁰, 5A⁰, 10A⁰, 30D², 45B⁴, 6C⁰, 15B¹, 1A⁰</t>
        </is>
      </c>
      <c r="O1878" t="inlineStr">
        <is>
          <t>90K²², 180B¹⁶</t>
        </is>
      </c>
    </row>
    <row r="1879">
      <c r="A1879">
        <f>HYPERLINK("https://mathstats.uncg.edu/sites/pauli/congruence/csg8.html#group90E8", "90E⁸")</f>
        <v/>
      </c>
      <c r="B1879" t="n">
        <v>8</v>
      </c>
      <c r="C1879" t="inlineStr"/>
      <c r="D1879" t="inlineStr">
        <is>
          <t>120</t>
        </is>
      </c>
      <c r="E1879" t="inlineStr">
        <is>
          <t>2</t>
        </is>
      </c>
      <c r="F1879" t="inlineStr">
        <is>
          <t>40</t>
        </is>
      </c>
      <c r="G1879" t="inlineStr">
        <is>
          <t>0</t>
        </is>
      </c>
      <c r="H1879" t="inlineStr">
        <is>
          <t>3</t>
        </is>
      </c>
      <c r="I1879" t="inlineStr">
        <is>
          <t>10³, 90¹</t>
        </is>
      </c>
      <c r="J1879" t="n">
        <v>4</v>
      </c>
      <c r="K1879" t="inlineStr">
        <is>
          <t>4⁴, 8⁸</t>
        </is>
      </c>
      <c r="L1879" t="inlineStr">
        <is>
          <t>30D²</t>
        </is>
      </c>
      <c r="M1879" t="inlineStr">
        <is>
          <t>180A¹⁷, 90L²²</t>
        </is>
      </c>
      <c r="N1879" t="inlineStr">
        <is>
          <t>3B⁰, 2A⁰, 5A⁰, 10A⁰, 30D², 6C⁰, 15B¹, 1A⁰</t>
        </is>
      </c>
      <c r="O1879" t="inlineStr">
        <is>
          <t>90L²², 180A¹⁷</t>
        </is>
      </c>
    </row>
    <row r="1880">
      <c r="A1880">
        <f>HYPERLINK("https://mathstats.uncg.edu/sites/pauli/congruence/csg8.html#group90F8", "90F⁸")</f>
        <v/>
      </c>
      <c r="B1880" t="n">
        <v>8</v>
      </c>
      <c r="C1880" t="inlineStr"/>
      <c r="D1880" t="inlineStr">
        <is>
          <t>120</t>
        </is>
      </c>
      <c r="E1880" t="inlineStr">
        <is>
          <t>2</t>
        </is>
      </c>
      <c r="F1880" t="inlineStr">
        <is>
          <t>40</t>
        </is>
      </c>
      <c r="G1880" t="inlineStr">
        <is>
          <t>0</t>
        </is>
      </c>
      <c r="H1880" t="inlineStr">
        <is>
          <t>6</t>
        </is>
      </c>
      <c r="I1880" t="inlineStr">
        <is>
          <t>30¹, 90¹</t>
        </is>
      </c>
      <c r="J1880" t="n">
        <v>2</v>
      </c>
      <c r="K1880" t="inlineStr">
        <is>
          <t>4⁴, 8⁸</t>
        </is>
      </c>
      <c r="L1880" t="inlineStr">
        <is>
          <t>30D²</t>
        </is>
      </c>
      <c r="M1880" t="inlineStr">
        <is>
          <t>180C¹⁶, 90J²²</t>
        </is>
      </c>
      <c r="N1880" t="inlineStr">
        <is>
          <t>3B⁰, 2A⁰, 5A⁰, 10A⁰, 30D², 6C⁰, 15B¹, 1A⁰</t>
        </is>
      </c>
      <c r="O1880" t="inlineStr">
        <is>
          <t>180C¹⁶, 90J²²</t>
        </is>
      </c>
    </row>
    <row r="1881">
      <c r="A1881">
        <f>HYPERLINK("https://mathstats.uncg.edu/sites/pauli/congruence/csg8.html#group92A8", "92A⁸")</f>
        <v/>
      </c>
      <c r="B1881" t="n">
        <v>8</v>
      </c>
      <c r="C1881" t="inlineStr"/>
      <c r="D1881" t="inlineStr">
        <is>
          <t>96</t>
        </is>
      </c>
      <c r="E1881" t="inlineStr">
        <is>
          <t>1</t>
        </is>
      </c>
      <c r="F1881" t="inlineStr">
        <is>
          <t>24</t>
        </is>
      </c>
      <c r="G1881" t="inlineStr">
        <is>
          <t>0</t>
        </is>
      </c>
      <c r="H1881" t="inlineStr">
        <is>
          <t>0</t>
        </is>
      </c>
      <c r="I1881" t="inlineStr">
        <is>
          <t>4¹, 92¹</t>
        </is>
      </c>
      <c r="J1881" t="n">
        <v>2</v>
      </c>
      <c r="K1881" t="inlineStr">
        <is>
          <t>1², 22¹</t>
        </is>
      </c>
      <c r="L1881" t="inlineStr">
        <is>
          <t>46A⁴</t>
        </is>
      </c>
      <c r="M1881" t="inlineStr">
        <is>
          <t>92A²², 276A²⁴, 276B²⁴</t>
        </is>
      </c>
      <c r="N1881" t="inlineStr">
        <is>
          <t>2A⁰, 1A⁰, 23A², 46A⁴</t>
        </is>
      </c>
      <c r="O1881" t="inlineStr">
        <is>
          <t>92A²², 276B²⁴, 276A²⁴</t>
        </is>
      </c>
    </row>
    <row r="1882">
      <c r="A1882">
        <f>HYPERLINK("https://mathstats.uncg.edu/sites/pauli/congruence/csg8.html#group92B8", "92B⁸")</f>
        <v/>
      </c>
      <c r="B1882" t="n">
        <v>8</v>
      </c>
      <c r="C1882" t="inlineStr"/>
      <c r="D1882" t="inlineStr">
        <is>
          <t>96</t>
        </is>
      </c>
      <c r="E1882" t="inlineStr">
        <is>
          <t>1</t>
        </is>
      </c>
      <c r="F1882" t="inlineStr">
        <is>
          <t>96</t>
        </is>
      </c>
      <c r="G1882" t="inlineStr">
        <is>
          <t>0</t>
        </is>
      </c>
      <c r="H1882" t="inlineStr">
        <is>
          <t>0</t>
        </is>
      </c>
      <c r="I1882" t="inlineStr">
        <is>
          <t>4¹, 92¹</t>
        </is>
      </c>
      <c r="J1882" t="n">
        <v>2</v>
      </c>
      <c r="K1882" t="inlineStr">
        <is>
          <t>2⁴, 44²</t>
        </is>
      </c>
      <c r="L1882" t="inlineStr">
        <is>
          <t>4A⁰, 23A²</t>
        </is>
      </c>
      <c r="M1882" t="inlineStr">
        <is>
          <t>92A¹⁵, 184A¹⁶, 92B²², 276D²⁴</t>
        </is>
      </c>
      <c r="N1882" t="inlineStr">
        <is>
          <t>1A⁰, 4A⁰, 23A²</t>
        </is>
      </c>
      <c r="O1882" t="inlineStr">
        <is>
          <t>92B²², 276D²⁴, 92A¹⁵, 184A¹⁶</t>
        </is>
      </c>
    </row>
    <row r="1883">
      <c r="A1883">
        <f>HYPERLINK("https://mathstats.uncg.edu/sites/pauli/congruence/csg8.html#group93A8", "93A⁸")</f>
        <v/>
      </c>
      <c r="B1883" t="n">
        <v>8</v>
      </c>
      <c r="C1883" t="inlineStr"/>
      <c r="D1883" t="inlineStr">
        <is>
          <t>96</t>
        </is>
      </c>
      <c r="E1883" t="inlineStr">
        <is>
          <t>1</t>
        </is>
      </c>
      <c r="F1883" t="inlineStr">
        <is>
          <t>32</t>
        </is>
      </c>
      <c r="G1883" t="inlineStr">
        <is>
          <t>0</t>
        </is>
      </c>
      <c r="H1883" t="inlineStr">
        <is>
          <t>0</t>
        </is>
      </c>
      <c r="I1883" t="inlineStr">
        <is>
          <t>3¹, 93¹</t>
        </is>
      </c>
      <c r="J1883" t="n">
        <v>2</v>
      </c>
      <c r="K1883" t="inlineStr">
        <is>
          <t>1², 30¹</t>
        </is>
      </c>
      <c r="L1883" t="inlineStr">
        <is>
          <t>3A⁰, 31A²</t>
        </is>
      </c>
      <c r="M1883" t="inlineStr">
        <is>
          <t>93A¹⁵, 186A¹⁶, 186B¹⁶, 93A²², 186A²³, 279A²⁴</t>
        </is>
      </c>
      <c r="N1883" t="inlineStr">
        <is>
          <t>3A⁰, 31A², 1A⁰</t>
        </is>
      </c>
      <c r="O1883" t="inlineStr">
        <is>
          <t>93A²², 186A¹⁶, 279A²⁴, 93A¹⁵, 186A²³, 186B¹⁶</t>
        </is>
      </c>
    </row>
    <row r="1884">
      <c r="A1884">
        <f>HYPERLINK("https://mathstats.uncg.edu/sites/pauli/congruence/csg8.html#group94A8", "94A⁸")</f>
        <v/>
      </c>
      <c r="B1884" t="n">
        <v>8</v>
      </c>
      <c r="C1884" t="inlineStr"/>
      <c r="D1884" t="inlineStr">
        <is>
          <t>96</t>
        </is>
      </c>
      <c r="E1884" t="inlineStr">
        <is>
          <t>1</t>
        </is>
      </c>
      <c r="F1884" t="inlineStr">
        <is>
          <t>48</t>
        </is>
      </c>
      <c r="G1884" t="inlineStr">
        <is>
          <t>0</t>
        </is>
      </c>
      <c r="H1884" t="inlineStr">
        <is>
          <t>0</t>
        </is>
      </c>
      <c r="I1884" t="inlineStr">
        <is>
          <t>2¹, 94¹</t>
        </is>
      </c>
      <c r="J1884" t="n">
        <v>2</v>
      </c>
      <c r="K1884" t="inlineStr">
        <is>
          <t>1², 46¹</t>
        </is>
      </c>
      <c r="L1884" t="inlineStr">
        <is>
          <t>2A⁰, 47A⁴</t>
        </is>
      </c>
      <c r="M1884" t="inlineStr">
        <is>
          <t>188A¹⁶, 94A²², 282A²⁴, 282B²⁴</t>
        </is>
      </c>
      <c r="N1884" t="inlineStr">
        <is>
          <t>47A⁴, 2A⁰, 1A⁰</t>
        </is>
      </c>
      <c r="O1884" t="inlineStr">
        <is>
          <t>94A²², 188A¹⁶, 282A²⁴, 282B²⁴</t>
        </is>
      </c>
    </row>
    <row r="1885">
      <c r="A1885">
        <f>HYPERLINK("https://mathstats.uncg.edu/sites/pauli/congruence/csg8.html#group96A8", "96A⁸")</f>
        <v/>
      </c>
      <c r="B1885" t="n">
        <v>8</v>
      </c>
      <c r="C1885" t="inlineStr"/>
      <c r="D1885" t="inlineStr">
        <is>
          <t>144</t>
        </is>
      </c>
      <c r="E1885" t="inlineStr">
        <is>
          <t>1</t>
        </is>
      </c>
      <c r="F1885" t="inlineStr">
        <is>
          <t>6</t>
        </is>
      </c>
      <c r="G1885" t="inlineStr">
        <is>
          <t>0</t>
        </is>
      </c>
      <c r="H1885" t="inlineStr">
        <is>
          <t>0</t>
        </is>
      </c>
      <c r="I1885" t="inlineStr">
        <is>
          <t>3⁸, 24¹, 96¹</t>
        </is>
      </c>
      <c r="J1885" t="n">
        <v>10</v>
      </c>
      <c r="K1885" t="inlineStr">
        <is>
          <t>1⁴, 2¹</t>
        </is>
      </c>
      <c r="L1885" t="inlineStr">
        <is>
          <t>32A⁰, 48B⁴</t>
        </is>
      </c>
      <c r="M1885" t="inlineStr">
        <is>
          <t>96N¹⁵, 96A¹⁷, 96L¹⁷, 192A¹⁸, 192B¹⁸, 96B¹⁹, 96G¹⁹</t>
        </is>
      </c>
      <c r="N1885" t="inlineStr">
        <is>
          <t>24B², 3A⁰, 16C⁰, 32A⁰, 8C⁰, 12B¹, 2B⁰, 4B⁰, 1A⁰, 6D⁰, 48B⁴</t>
        </is>
      </c>
      <c r="O1885" t="inlineStr">
        <is>
          <t>96B¹⁹, 192B¹⁸, 192A¹⁸, 96L¹⁷, 96G¹⁹, 96N¹⁵, 96A¹⁷</t>
        </is>
      </c>
    </row>
    <row r="1886">
      <c r="A1886">
        <f>HYPERLINK("https://mathstats.uncg.edu/sites/pauli/congruence/csg8.html#group96B8", "96B⁸")</f>
        <v/>
      </c>
      <c r="B1886" t="n">
        <v>8</v>
      </c>
      <c r="C1886" t="inlineStr"/>
      <c r="D1886" t="inlineStr">
        <is>
          <t>144</t>
        </is>
      </c>
      <c r="E1886" t="inlineStr">
        <is>
          <t>1</t>
        </is>
      </c>
      <c r="F1886" t="inlineStr">
        <is>
          <t>18</t>
        </is>
      </c>
      <c r="G1886" t="inlineStr">
        <is>
          <t>0</t>
        </is>
      </c>
      <c r="H1886" t="inlineStr">
        <is>
          <t>0</t>
        </is>
      </c>
      <c r="I1886" t="inlineStr">
        <is>
          <t>3⁸, 24¹, 96¹</t>
        </is>
      </c>
      <c r="J1886" t="n">
        <v>10</v>
      </c>
      <c r="K1886" t="inlineStr">
        <is>
          <t>1⁴, 2⁵, 4¹</t>
        </is>
      </c>
      <c r="L1886" t="inlineStr">
        <is>
          <t>48B⁴</t>
        </is>
      </c>
      <c r="M1886" t="inlineStr">
        <is>
          <t>96M¹⁵, 96N¹⁵, 96K¹⁷, 96M¹⁷, 96AC¹⁷, 96H¹⁹, 96I¹⁹, 96AW¹⁹</t>
        </is>
      </c>
      <c r="N1886" t="inlineStr">
        <is>
          <t>24B², 3A⁰, 16C⁰, 8C⁰, 12B¹, 2B⁰, 4B⁰, 1A⁰, 6D⁰, 48B⁴</t>
        </is>
      </c>
      <c r="O1886" t="inlineStr">
        <is>
          <t>96AW¹⁹, 96N¹⁵, 96K¹⁷, 96M¹⁷, 96AC¹⁷, 96I¹⁹, 96M¹⁵, 96H¹⁹</t>
        </is>
      </c>
    </row>
    <row r="1887">
      <c r="A1887">
        <f>HYPERLINK("https://mathstats.uncg.edu/sites/pauli/congruence/csg8.html#group96C8", "96C⁸")</f>
        <v/>
      </c>
      <c r="B1887" t="n">
        <v>8</v>
      </c>
      <c r="C1887" t="inlineStr"/>
      <c r="D1887" t="inlineStr">
        <is>
          <t>144</t>
        </is>
      </c>
      <c r="E1887" t="inlineStr">
        <is>
          <t>1</t>
        </is>
      </c>
      <c r="F1887" t="inlineStr">
        <is>
          <t>24</t>
        </is>
      </c>
      <c r="G1887" t="inlineStr">
        <is>
          <t>6</t>
        </is>
      </c>
      <c r="H1887" t="inlineStr">
        <is>
          <t>0</t>
        </is>
      </c>
      <c r="I1887" t="inlineStr">
        <is>
          <t>6⁴, 12², 96¹</t>
        </is>
      </c>
      <c r="J1887" t="n">
        <v>7</v>
      </c>
      <c r="K1887" t="inlineStr">
        <is>
          <t>2², 4³, 8⁴</t>
        </is>
      </c>
      <c r="L1887" t="inlineStr">
        <is>
          <t>32C¹, 48D³</t>
        </is>
      </c>
      <c r="M1887" t="inlineStr">
        <is>
          <t>96C¹⁶, 96F¹⁷, 96V¹⁷, 96A¹⁸, 96E¹⁸, 96AA¹⁹, 96A²⁰</t>
        </is>
      </c>
      <c r="N1887" t="inlineStr">
        <is>
          <t>16E⁰, 12C⁰, 32C¹, 8D⁰, 4C⁰, 24C¹, 2B⁰, 48D³, 3A⁰, 1A⁰, 6D⁰</t>
        </is>
      </c>
      <c r="O1887" t="inlineStr">
        <is>
          <t>96AA¹⁹, 96E¹⁸, 96F¹⁷, 96A²⁰, 96V¹⁷, 96A¹⁸, 96C¹⁶</t>
        </is>
      </c>
    </row>
    <row r="1888">
      <c r="A1888">
        <f>HYPERLINK("https://mathstats.uncg.edu/sites/pauli/congruence/csg8.html#group96D8", "96D⁸")</f>
        <v/>
      </c>
      <c r="B1888" t="n">
        <v>8</v>
      </c>
      <c r="C1888" t="inlineStr"/>
      <c r="D1888" t="inlineStr">
        <is>
          <t>144</t>
        </is>
      </c>
      <c r="E1888" t="inlineStr">
        <is>
          <t>1</t>
        </is>
      </c>
      <c r="F1888" t="inlineStr">
        <is>
          <t>24</t>
        </is>
      </c>
      <c r="G1888" t="inlineStr">
        <is>
          <t>6</t>
        </is>
      </c>
      <c r="H1888" t="inlineStr">
        <is>
          <t>0</t>
        </is>
      </c>
      <c r="I1888" t="inlineStr">
        <is>
          <t>6⁴, 12², 96¹</t>
        </is>
      </c>
      <c r="J1888" t="n">
        <v>7</v>
      </c>
      <c r="K1888" t="inlineStr">
        <is>
          <t>2², 4³, 8⁴</t>
        </is>
      </c>
      <c r="L1888" t="inlineStr">
        <is>
          <t>32D¹, 48D³</t>
        </is>
      </c>
      <c r="M1888" t="inlineStr">
        <is>
          <t>96D¹⁶, 96F¹⁷, 96W¹⁷, 96A¹⁸, 96F¹⁸, 96AB¹⁹, 96A²⁰</t>
        </is>
      </c>
      <c r="N1888" t="inlineStr">
        <is>
          <t>12C⁰, 8D⁰, 4C⁰, 32D¹, 2B⁰, 1A⁰, 16E⁰, 24C¹, 48D³, 3A⁰, 6D⁰</t>
        </is>
      </c>
      <c r="O1888" t="inlineStr">
        <is>
          <t>96W¹⁷, 96F¹⁷, 96A²⁰, 96AB¹⁹, 96D¹⁶, 96A¹⁸, 96F¹⁸</t>
        </is>
      </c>
    </row>
    <row r="1889">
      <c r="A1889">
        <f>HYPERLINK("https://mathstats.uncg.edu/sites/pauli/congruence/csg8.html#group96E8", "96E⁸")</f>
        <v/>
      </c>
      <c r="B1889" t="n">
        <v>8</v>
      </c>
      <c r="C1889" t="inlineStr"/>
      <c r="D1889" t="inlineStr">
        <is>
          <t>144</t>
        </is>
      </c>
      <c r="E1889" t="inlineStr">
        <is>
          <t>1</t>
        </is>
      </c>
      <c r="F1889" t="inlineStr">
        <is>
          <t>72</t>
        </is>
      </c>
      <c r="G1889" t="inlineStr">
        <is>
          <t>6</t>
        </is>
      </c>
      <c r="H1889" t="inlineStr">
        <is>
          <t>0</t>
        </is>
      </c>
      <c r="I1889" t="inlineStr">
        <is>
          <t>6⁴, 12², 96¹</t>
        </is>
      </c>
      <c r="J1889" t="n">
        <v>7</v>
      </c>
      <c r="K1889" t="inlineStr">
        <is>
          <t>2², 4⁵, 8⁷, 16⁴</t>
        </is>
      </c>
      <c r="L1889" t="inlineStr">
        <is>
          <t>48D³</t>
        </is>
      </c>
      <c r="M1889" t="inlineStr">
        <is>
          <t>96A¹⁶, 96C¹⁶, 96T¹⁷, 96V¹⁷, 96Y¹⁷, 96C¹⁸, 96F¹⁸, 96G¹⁸, 96AB¹⁹, 96AZ¹⁹, 96B²⁰</t>
        </is>
      </c>
      <c r="N1889" t="inlineStr">
        <is>
          <t>16E⁰, 12C⁰, 8D⁰, 4C⁰, 24C¹, 2B⁰, 48D³, 3A⁰, 1A⁰, 6D⁰</t>
        </is>
      </c>
      <c r="O1889" t="inlineStr">
        <is>
          <t>96G¹⁸, 96B²⁰, 96C¹⁸, 96A¹⁶, 96V¹⁷, 96Y¹⁷, 96C¹⁶, 96F¹⁸, 96AZ¹⁹, 96AB¹⁹, 96T¹⁷</t>
        </is>
      </c>
    </row>
    <row r="1890">
      <c r="A1890">
        <f>HYPERLINK("https://mathstats.uncg.edu/sites/pauli/congruence/csg8.html#group96F8", "96F⁸")</f>
        <v/>
      </c>
      <c r="B1890" t="n">
        <v>8</v>
      </c>
      <c r="C1890" t="inlineStr"/>
      <c r="D1890" t="inlineStr">
        <is>
          <t>144</t>
        </is>
      </c>
      <c r="E1890" t="inlineStr">
        <is>
          <t>1</t>
        </is>
      </c>
      <c r="F1890" t="inlineStr">
        <is>
          <t>72</t>
        </is>
      </c>
      <c r="G1890" t="inlineStr">
        <is>
          <t>6</t>
        </is>
      </c>
      <c r="H1890" t="inlineStr">
        <is>
          <t>0</t>
        </is>
      </c>
      <c r="I1890" t="inlineStr">
        <is>
          <t>6⁴, 12², 96¹</t>
        </is>
      </c>
      <c r="J1890" t="n">
        <v>7</v>
      </c>
      <c r="K1890" t="inlineStr">
        <is>
          <t>2², 4⁵, 8⁷, 16⁴</t>
        </is>
      </c>
      <c r="L1890" t="inlineStr">
        <is>
          <t>48D³</t>
        </is>
      </c>
      <c r="M1890" t="inlineStr">
        <is>
          <t>96B¹⁶, 96D¹⁶, 96U¹⁷, 96W¹⁷, 96Y¹⁷, 96C¹⁸, 96E¹⁸, 96G¹⁸, 96AA¹⁹, 96AZ¹⁹, 96B²⁰</t>
        </is>
      </c>
      <c r="N1890" t="inlineStr">
        <is>
          <t>16E⁰, 12C⁰, 8D⁰, 4C⁰, 24C¹, 2B⁰, 48D³, 3A⁰, 1A⁰, 6D⁰</t>
        </is>
      </c>
      <c r="O1890" t="inlineStr">
        <is>
          <t>96U¹⁷, 96G¹⁸, 96E¹⁸, 96B²⁰, 96B¹⁶, 96C¹⁸, 96D¹⁶, 96Y¹⁷, 96W¹⁷, 96AA¹⁹, 96AZ¹⁹</t>
        </is>
      </c>
    </row>
    <row r="1891">
      <c r="A1891">
        <f>HYPERLINK("https://mathstats.uncg.edu/sites/pauli/congruence/csg8.html#group101A8", "101A⁸")</f>
        <v/>
      </c>
      <c r="B1891" t="n">
        <v>8</v>
      </c>
      <c r="C1891" t="inlineStr">
        <is>
          <t>Γ₀(101)</t>
        </is>
      </c>
      <c r="D1891" t="inlineStr">
        <is>
          <t>102</t>
        </is>
      </c>
      <c r="E1891" t="inlineStr">
        <is>
          <t>1</t>
        </is>
      </c>
      <c r="F1891" t="inlineStr">
        <is>
          <t>102</t>
        </is>
      </c>
      <c r="G1891" t="inlineStr">
        <is>
          <t>2</t>
        </is>
      </c>
      <c r="H1891" t="inlineStr">
        <is>
          <t>0</t>
        </is>
      </c>
      <c r="I1891" t="inlineStr">
        <is>
          <t>1¹, 101¹</t>
        </is>
      </c>
      <c r="J1891" t="n">
        <v>2</v>
      </c>
      <c r="K1891" t="inlineStr">
        <is>
          <t>1², 100¹</t>
        </is>
      </c>
      <c r="L1891" t="inlineStr">
        <is>
          <t>1A⁰</t>
        </is>
      </c>
      <c r="M1891" t="inlineStr">
        <is>
          <t>101A¹⁶, 202A¹⁶, 202A¹⁷, 202A²⁴, 303A²⁴</t>
        </is>
      </c>
      <c r="N1891" t="inlineStr">
        <is>
          <t>1A⁰</t>
        </is>
      </c>
      <c r="O1891" t="inlineStr">
        <is>
          <t>303A²⁴, 202A¹⁷, 101A¹⁶, 202A¹⁶, 202A²⁴</t>
        </is>
      </c>
    </row>
    <row r="1892">
      <c r="A1892">
        <f>HYPERLINK("https://mathstats.uncg.edu/sites/pauli/congruence/csg8.html#group103A8", "103A⁸")</f>
        <v/>
      </c>
      <c r="B1892" t="n">
        <v>8</v>
      </c>
      <c r="C1892" t="inlineStr">
        <is>
          <t>Γ₀(103)</t>
        </is>
      </c>
      <c r="D1892" t="inlineStr">
        <is>
          <t>104</t>
        </is>
      </c>
      <c r="E1892" t="inlineStr">
        <is>
          <t>1</t>
        </is>
      </c>
      <c r="F1892" t="inlineStr">
        <is>
          <t>104</t>
        </is>
      </c>
      <c r="G1892" t="inlineStr">
        <is>
          <t>0</t>
        </is>
      </c>
      <c r="H1892" t="inlineStr">
        <is>
          <t>2</t>
        </is>
      </c>
      <c r="I1892" t="inlineStr">
        <is>
          <t>1¹, 103¹</t>
        </is>
      </c>
      <c r="J1892" t="n">
        <v>2</v>
      </c>
      <c r="K1892" t="inlineStr">
        <is>
          <t>1², 102¹</t>
        </is>
      </c>
      <c r="L1892" t="inlineStr">
        <is>
          <t>1A⁰</t>
        </is>
      </c>
      <c r="M1892" t="inlineStr">
        <is>
          <t>206A¹⁶, 103A²⁴</t>
        </is>
      </c>
      <c r="N1892" t="inlineStr">
        <is>
          <t>1A⁰</t>
        </is>
      </c>
      <c r="O1892" t="inlineStr">
        <is>
          <t>206A¹⁶, 103A²⁴</t>
        </is>
      </c>
    </row>
    <row r="1893">
      <c r="A1893">
        <f>HYPERLINK("https://mathstats.uncg.edu/sites/pauli/congruence/csg8.html#group105A8", "105A⁸")</f>
        <v/>
      </c>
      <c r="B1893" t="n">
        <v>8</v>
      </c>
      <c r="C1893" t="inlineStr"/>
      <c r="D1893" t="inlineStr">
        <is>
          <t>120</t>
        </is>
      </c>
      <c r="E1893" t="inlineStr">
        <is>
          <t>2</t>
        </is>
      </c>
      <c r="F1893" t="inlineStr">
        <is>
          <t>40</t>
        </is>
      </c>
      <c r="G1893" t="inlineStr">
        <is>
          <t>0</t>
        </is>
      </c>
      <c r="H1893" t="inlineStr">
        <is>
          <t>6</t>
        </is>
      </c>
      <c r="I1893" t="inlineStr">
        <is>
          <t>15¹, 105¹</t>
        </is>
      </c>
      <c r="J1893" t="n">
        <v>2</v>
      </c>
      <c r="K1893" t="inlineStr">
        <is>
          <t>2², 8², 12¹, 48¹</t>
        </is>
      </c>
      <c r="L1893" t="inlineStr">
        <is>
          <t>15A⁰, 35B²</t>
        </is>
      </c>
      <c r="M1893" t="inlineStr">
        <is>
          <t>210F¹⁶</t>
        </is>
      </c>
      <c r="N1893" t="inlineStr">
        <is>
          <t>5A⁰, 35B², 1A⁰, 7B⁰, 15A⁰</t>
        </is>
      </c>
      <c r="O1893" t="inlineStr">
        <is>
          <t>210F¹⁶</t>
        </is>
      </c>
    </row>
    <row r="1894">
      <c r="A1894">
        <f>HYPERLINK("https://mathstats.uncg.edu/sites/pauli/congruence/csg8.html#group105B8", "105B⁸")</f>
        <v/>
      </c>
      <c r="B1894" t="n">
        <v>8</v>
      </c>
      <c r="C1894" t="inlineStr"/>
      <c r="D1894" t="inlineStr">
        <is>
          <t>120</t>
        </is>
      </c>
      <c r="E1894" t="inlineStr">
        <is>
          <t>2</t>
        </is>
      </c>
      <c r="F1894" t="inlineStr">
        <is>
          <t>40</t>
        </is>
      </c>
      <c r="G1894" t="inlineStr">
        <is>
          <t>0</t>
        </is>
      </c>
      <c r="H1894" t="inlineStr">
        <is>
          <t>6</t>
        </is>
      </c>
      <c r="I1894" t="inlineStr">
        <is>
          <t>15¹, 105¹</t>
        </is>
      </c>
      <c r="J1894" t="n">
        <v>2</v>
      </c>
      <c r="K1894" t="inlineStr">
        <is>
          <t>2², 8², 12¹, 48¹</t>
        </is>
      </c>
      <c r="L1894" t="inlineStr">
        <is>
          <t>21A¹, 35B²</t>
        </is>
      </c>
      <c r="M1894" t="inlineStr">
        <is>
          <t>210G¹⁶</t>
        </is>
      </c>
      <c r="N1894" t="inlineStr">
        <is>
          <t>5A⁰, 35B², 1A⁰, 7B⁰, 21A¹</t>
        </is>
      </c>
      <c r="O1894" t="inlineStr">
        <is>
          <t>210G¹⁶</t>
        </is>
      </c>
    </row>
    <row r="1895">
      <c r="A1895">
        <f>HYPERLINK("https://mathstats.uncg.edu/sites/pauli/congruence/csg8.html#group106A8", "106A⁸")</f>
        <v/>
      </c>
      <c r="B1895" t="n">
        <v>8</v>
      </c>
      <c r="C1895" t="inlineStr"/>
      <c r="D1895" t="inlineStr">
        <is>
          <t>108</t>
        </is>
      </c>
      <c r="E1895" t="inlineStr">
        <is>
          <t>1</t>
        </is>
      </c>
      <c r="F1895" t="inlineStr">
        <is>
          <t>54</t>
        </is>
      </c>
      <c r="G1895" t="inlineStr">
        <is>
          <t>4</t>
        </is>
      </c>
      <c r="H1895" t="inlineStr">
        <is>
          <t>0</t>
        </is>
      </c>
      <c r="I1895" t="inlineStr">
        <is>
          <t>2¹, 106¹</t>
        </is>
      </c>
      <c r="J1895" t="n">
        <v>2</v>
      </c>
      <c r="K1895" t="inlineStr">
        <is>
          <t>1², 52¹</t>
        </is>
      </c>
      <c r="L1895" t="inlineStr">
        <is>
          <t>53A⁴</t>
        </is>
      </c>
      <c r="M1895" t="inlineStr">
        <is>
          <t>106A¹⁷, 212B¹⁷, 106B²⁴, 318A²⁴</t>
        </is>
      </c>
      <c r="N1895" t="inlineStr">
        <is>
          <t>1A⁰, 53A⁴</t>
        </is>
      </c>
      <c r="O1895" t="inlineStr">
        <is>
          <t>318A²⁴, 106A¹⁷, 212B¹⁷, 106B²⁴</t>
        </is>
      </c>
    </row>
    <row r="1896">
      <c r="A1896">
        <f>HYPERLINK("https://mathstats.uncg.edu/sites/pauli/congruence/csg8.html#group108A8", "108A⁸")</f>
        <v/>
      </c>
      <c r="B1896" t="n">
        <v>8</v>
      </c>
      <c r="C1896" t="inlineStr"/>
      <c r="D1896" t="inlineStr">
        <is>
          <t>144</t>
        </is>
      </c>
      <c r="E1896" t="inlineStr">
        <is>
          <t>1</t>
        </is>
      </c>
      <c r="F1896" t="inlineStr">
        <is>
          <t>12</t>
        </is>
      </c>
      <c r="G1896" t="inlineStr">
        <is>
          <t>0</t>
        </is>
      </c>
      <c r="H1896" t="inlineStr">
        <is>
          <t>12</t>
        </is>
      </c>
      <c r="I1896" t="inlineStr">
        <is>
          <t>36¹, 108¹</t>
        </is>
      </c>
      <c r="J1896" t="n">
        <v>2</v>
      </c>
      <c r="K1896" t="inlineStr">
        <is>
          <t>1², 2², 6¹</t>
        </is>
      </c>
      <c r="L1896" t="inlineStr">
        <is>
          <t>36A⁰, 54B⁴</t>
        </is>
      </c>
      <c r="M1896" t="inlineStr">
        <is>
          <t>108B²²</t>
        </is>
      </c>
      <c r="N1896" t="inlineStr">
        <is>
          <t>3B⁰, 2A⁰, 27B², 18B⁰, 6C⁰, 54B⁴, 9C⁰, 1A⁰, 36A⁰, 12B⁰</t>
        </is>
      </c>
      <c r="O1896" t="inlineStr">
        <is>
          <t>108B²²</t>
        </is>
      </c>
    </row>
    <row r="1897">
      <c r="A1897">
        <f>HYPERLINK("https://mathstats.uncg.edu/sites/pauli/congruence/csg8.html#group108B8", "108B⁸")</f>
        <v/>
      </c>
      <c r="B1897" t="n">
        <v>8</v>
      </c>
      <c r="C1897" t="inlineStr"/>
      <c r="D1897" t="inlineStr">
        <is>
          <t>144</t>
        </is>
      </c>
      <c r="E1897" t="inlineStr">
        <is>
          <t>1</t>
        </is>
      </c>
      <c r="F1897" t="inlineStr">
        <is>
          <t>24</t>
        </is>
      </c>
      <c r="G1897" t="inlineStr">
        <is>
          <t>0</t>
        </is>
      </c>
      <c r="H1897" t="inlineStr">
        <is>
          <t>12</t>
        </is>
      </c>
      <c r="I1897" t="inlineStr">
        <is>
          <t>36¹, 108¹</t>
        </is>
      </c>
      <c r="J1897" t="n">
        <v>2</v>
      </c>
      <c r="K1897" t="inlineStr">
        <is>
          <t>2⁶, 6²</t>
        </is>
      </c>
      <c r="L1897" t="inlineStr">
        <is>
          <t>36A⁰, 54D⁴</t>
        </is>
      </c>
      <c r="M1897" t="inlineStr">
        <is>
          <t>108C²²</t>
        </is>
      </c>
      <c r="N1897" t="inlineStr">
        <is>
          <t>3B⁰, 2A⁰, 18B⁰, 6C⁰, 54D⁴, 9C⁰, 1A⁰, 36A⁰, 12B⁰</t>
        </is>
      </c>
      <c r="O1897" t="inlineStr">
        <is>
          <t>108C²²</t>
        </is>
      </c>
    </row>
    <row r="1898">
      <c r="A1898">
        <f>HYPERLINK("https://mathstats.uncg.edu/sites/pauli/congruence/csg8.html#group109A8", "109A⁸")</f>
        <v/>
      </c>
      <c r="B1898" t="n">
        <v>8</v>
      </c>
      <c r="C1898" t="inlineStr">
        <is>
          <t>Γ₀(109)</t>
        </is>
      </c>
      <c r="D1898" t="inlineStr">
        <is>
          <t>110</t>
        </is>
      </c>
      <c r="E1898" t="inlineStr">
        <is>
          <t>1</t>
        </is>
      </c>
      <c r="F1898" t="inlineStr">
        <is>
          <t>110</t>
        </is>
      </c>
      <c r="G1898" t="inlineStr">
        <is>
          <t>2</t>
        </is>
      </c>
      <c r="H1898" t="inlineStr">
        <is>
          <t>2</t>
        </is>
      </c>
      <c r="I1898" t="inlineStr">
        <is>
          <t>1¹, 109¹</t>
        </is>
      </c>
      <c r="J1898" t="n">
        <v>2</v>
      </c>
      <c r="K1898" t="inlineStr">
        <is>
          <t>1², 108¹</t>
        </is>
      </c>
      <c r="L1898" t="inlineStr">
        <is>
          <t>1A⁰</t>
        </is>
      </c>
      <c r="M1898" t="inlineStr">
        <is>
          <t>109A¹⁶, 218A¹⁶, 218A¹⁷, 109A²²</t>
        </is>
      </c>
      <c r="N1898" t="inlineStr">
        <is>
          <t>1A⁰</t>
        </is>
      </c>
      <c r="O1898" t="inlineStr">
        <is>
          <t>109A¹⁶, 218A¹⁶, 218A¹⁷, 109A²²</t>
        </is>
      </c>
    </row>
    <row r="1899">
      <c r="A1899">
        <f>HYPERLINK("https://mathstats.uncg.edu/sites/pauli/congruence/csg8.html#group110A8", "110A⁸")</f>
        <v/>
      </c>
      <c r="B1899" t="n">
        <v>8</v>
      </c>
      <c r="C1899" t="inlineStr"/>
      <c r="D1899" t="inlineStr">
        <is>
          <t>132</t>
        </is>
      </c>
      <c r="E1899" t="inlineStr">
        <is>
          <t>2</t>
        </is>
      </c>
      <c r="F1899" t="inlineStr">
        <is>
          <t>66</t>
        </is>
      </c>
      <c r="G1899" t="inlineStr">
        <is>
          <t>12</t>
        </is>
      </c>
      <c r="H1899" t="inlineStr">
        <is>
          <t>0</t>
        </is>
      </c>
      <c r="I1899" t="inlineStr">
        <is>
          <t>22¹, 110¹</t>
        </is>
      </c>
      <c r="J1899" t="n">
        <v>2</v>
      </c>
      <c r="K1899" t="inlineStr">
        <is>
          <t>2², 8¹, 10⁴, 40²</t>
        </is>
      </c>
      <c r="L1899" t="inlineStr">
        <is>
          <t>10B⁰, 55A⁴</t>
        </is>
      </c>
      <c r="M1899" t="inlineStr">
        <is>
          <t>220A¹⁹, 220B¹⁹, 110A²¹, 330D²⁴</t>
        </is>
      </c>
      <c r="N1899" t="inlineStr">
        <is>
          <t>5B⁰, 11A⁰, 55A⁴, 1A⁰, 10B⁰</t>
        </is>
      </c>
      <c r="O1899" t="inlineStr">
        <is>
          <t>330D²⁴, 220B¹⁹, 220A¹⁹, 110A²¹</t>
        </is>
      </c>
    </row>
    <row r="1900">
      <c r="A1900">
        <f>HYPERLINK("https://mathstats.uncg.edu/sites/pauli/congruence/csg8.html#group111A8", "111A⁸")</f>
        <v/>
      </c>
      <c r="B1900" t="n">
        <v>8</v>
      </c>
      <c r="C1900" t="inlineStr"/>
      <c r="D1900" t="inlineStr">
        <is>
          <t>114</t>
        </is>
      </c>
      <c r="E1900" t="inlineStr">
        <is>
          <t>1</t>
        </is>
      </c>
      <c r="F1900" t="inlineStr">
        <is>
          <t>38</t>
        </is>
      </c>
      <c r="G1900" t="inlineStr">
        <is>
          <t>6</t>
        </is>
      </c>
      <c r="H1900" t="inlineStr">
        <is>
          <t>0</t>
        </is>
      </c>
      <c r="I1900" t="inlineStr">
        <is>
          <t>3¹, 111¹</t>
        </is>
      </c>
      <c r="J1900" t="n">
        <v>2</v>
      </c>
      <c r="K1900" t="inlineStr">
        <is>
          <t>1², 36¹</t>
        </is>
      </c>
      <c r="L1900" t="inlineStr">
        <is>
          <t>3A⁰, 37A²</t>
        </is>
      </c>
      <c r="M1900" t="inlineStr">
        <is>
          <t>111A¹⁶, 222A¹⁶, 111A¹⁷, 222B¹⁷, 111A¹⁸, 222A¹⁸, 222A¹⁹, 111A²²</t>
        </is>
      </c>
      <c r="N1900" t="inlineStr">
        <is>
          <t>3A⁰, 1A⁰, 37A²</t>
        </is>
      </c>
      <c r="O1900" t="inlineStr">
        <is>
          <t>222A¹⁸, 222A¹⁹, 222A¹⁶, 111A¹⁸, 111A²², 111A¹⁷, 111A¹⁶, 222B¹⁷</t>
        </is>
      </c>
    </row>
    <row r="1901">
      <c r="A1901">
        <f>HYPERLINK("https://mathstats.uncg.edu/sites/pauli/congruence/csg8.html#group111B8", "111B⁸")</f>
        <v/>
      </c>
      <c r="B1901" t="n">
        <v>8</v>
      </c>
      <c r="C1901" t="inlineStr"/>
      <c r="D1901" t="inlineStr">
        <is>
          <t>114</t>
        </is>
      </c>
      <c r="E1901" t="inlineStr">
        <is>
          <t>2</t>
        </is>
      </c>
      <c r="F1901" t="inlineStr">
        <is>
          <t>38</t>
        </is>
      </c>
      <c r="G1901" t="inlineStr">
        <is>
          <t>6</t>
        </is>
      </c>
      <c r="H1901" t="inlineStr">
        <is>
          <t>0</t>
        </is>
      </c>
      <c r="I1901" t="inlineStr">
        <is>
          <t>3¹, 111¹</t>
        </is>
      </c>
      <c r="J1901" t="n">
        <v>2</v>
      </c>
      <c r="K1901" t="inlineStr">
        <is>
          <t>2², 72¹</t>
        </is>
      </c>
      <c r="L1901" t="inlineStr">
        <is>
          <t>37A²</t>
        </is>
      </c>
      <c r="M1901" t="inlineStr">
        <is>
          <t>222B¹⁶, 111B¹⁸, 222B¹⁹, 111A²²</t>
        </is>
      </c>
      <c r="N1901" t="inlineStr">
        <is>
          <t>37A², 1A⁰</t>
        </is>
      </c>
      <c r="O1901" t="inlineStr">
        <is>
          <t>111B¹⁸, 222B¹⁹, 222B¹⁶, 111A²²</t>
        </is>
      </c>
    </row>
    <row r="1902">
      <c r="A1902">
        <f>HYPERLINK("https://mathstats.uncg.edu/sites/pauli/congruence/csg8.html#group112A8", "112A⁸")</f>
        <v/>
      </c>
      <c r="B1902" t="n">
        <v>8</v>
      </c>
      <c r="C1902" t="inlineStr"/>
      <c r="D1902" t="inlineStr">
        <is>
          <t>128</t>
        </is>
      </c>
      <c r="E1902" t="inlineStr">
        <is>
          <t>2</t>
        </is>
      </c>
      <c r="F1902" t="inlineStr">
        <is>
          <t>64</t>
        </is>
      </c>
      <c r="G1902" t="inlineStr">
        <is>
          <t>0</t>
        </is>
      </c>
      <c r="H1902" t="inlineStr">
        <is>
          <t>8</t>
        </is>
      </c>
      <c r="I1902" t="inlineStr">
        <is>
          <t>16¹, 112¹</t>
        </is>
      </c>
      <c r="J1902" t="n">
        <v>2</v>
      </c>
      <c r="K1902" t="inlineStr">
        <is>
          <t>8⁴, 48²</t>
        </is>
      </c>
      <c r="L1902" t="inlineStr">
        <is>
          <t>16A⁰, 56A⁴</t>
        </is>
      </c>
      <c r="M1902" t="inlineStr">
        <is>
          <t>112L¹⁵</t>
        </is>
      </c>
      <c r="N1902" t="inlineStr">
        <is>
          <t>8A⁰, 56A⁴, 16A⁰, 4A⁰, 1A⁰, 7B⁰, 28A²</t>
        </is>
      </c>
      <c r="O1902" t="inlineStr">
        <is>
          <t>112L¹⁵</t>
        </is>
      </c>
    </row>
    <row r="1903">
      <c r="A1903">
        <f>HYPERLINK("https://mathstats.uncg.edu/sites/pauli/congruence/csg8.html#group112B8", "112B⁸")</f>
        <v/>
      </c>
      <c r="B1903" t="n">
        <v>8</v>
      </c>
      <c r="C1903" t="inlineStr"/>
      <c r="D1903" t="inlineStr">
        <is>
          <t>168</t>
        </is>
      </c>
      <c r="E1903" t="inlineStr">
        <is>
          <t>2</t>
        </is>
      </c>
      <c r="F1903" t="inlineStr">
        <is>
          <t>21</t>
        </is>
      </c>
      <c r="G1903" t="inlineStr">
        <is>
          <t>24</t>
        </is>
      </c>
      <c r="H1903" t="inlineStr">
        <is>
          <t>0</t>
        </is>
      </c>
      <c r="I1903" t="inlineStr">
        <is>
          <t>56¹, 112¹</t>
        </is>
      </c>
      <c r="J1903" t="n">
        <v>2</v>
      </c>
      <c r="K1903" t="inlineStr">
        <is>
          <t>2³, 6⁶</t>
        </is>
      </c>
      <c r="L1903" t="inlineStr">
        <is>
          <t>16B⁰, 56B⁴</t>
        </is>
      </c>
      <c r="M1903" t="inlineStr">
        <is>
          <t>112A¹⁹, 224A¹⁹, 112A²¹, 112B²¹, 112C²¹, 112D²¹, 224A²¹, 112A²³, 224A²³, 336I²⁴</t>
        </is>
      </c>
      <c r="N1903" t="inlineStr">
        <is>
          <t>16B⁰, 28C², 14B¹, 4C⁰, 8B⁰, 2B⁰, 1A⁰, 7A⁰, 56B⁴</t>
        </is>
      </c>
      <c r="O1903" t="inlineStr">
        <is>
          <t>112C²¹, 224A²³, 112B²¹, 224A²¹, 336I²⁴, 224A¹⁹, 112D²¹, 112A¹⁹, 112A²¹, 112A²³</t>
        </is>
      </c>
    </row>
    <row r="1904">
      <c r="A1904">
        <f>HYPERLINK("https://mathstats.uncg.edu/sites/pauli/congruence/csg8.html#group114A8", "114A⁸")</f>
        <v/>
      </c>
      <c r="B1904" t="n">
        <v>8</v>
      </c>
      <c r="C1904" t="inlineStr"/>
      <c r="D1904" t="inlineStr">
        <is>
          <t>120</t>
        </is>
      </c>
      <c r="E1904" t="inlineStr">
        <is>
          <t>1</t>
        </is>
      </c>
      <c r="F1904" t="inlineStr">
        <is>
          <t>40</t>
        </is>
      </c>
      <c r="G1904" t="inlineStr">
        <is>
          <t>0</t>
        </is>
      </c>
      <c r="H1904" t="inlineStr">
        <is>
          <t>6</t>
        </is>
      </c>
      <c r="I1904" t="inlineStr">
        <is>
          <t>6¹, 114¹</t>
        </is>
      </c>
      <c r="J1904" t="n">
        <v>2</v>
      </c>
      <c r="K1904" t="inlineStr">
        <is>
          <t>2², 36¹</t>
        </is>
      </c>
      <c r="L1904" t="inlineStr">
        <is>
          <t>6A⁰, 38A²</t>
        </is>
      </c>
      <c r="M1904" t="inlineStr">
        <is>
          <t>228A¹⁶, 114A²²</t>
        </is>
      </c>
      <c r="N1904" t="inlineStr">
        <is>
          <t>2A⁰, 19A¹, 38A², 6A⁰, 1A⁰</t>
        </is>
      </c>
      <c r="O1904" t="inlineStr">
        <is>
          <t>228A¹⁶, 114A²²</t>
        </is>
      </c>
    </row>
    <row r="1905">
      <c r="A1905">
        <f>HYPERLINK("https://mathstats.uncg.edu/sites/pauli/congruence/csg8.html#group114B8", "114B⁸")</f>
        <v/>
      </c>
      <c r="B1905" t="n">
        <v>8</v>
      </c>
      <c r="C1905" t="inlineStr"/>
      <c r="D1905" t="inlineStr">
        <is>
          <t>120</t>
        </is>
      </c>
      <c r="E1905" t="inlineStr">
        <is>
          <t>2</t>
        </is>
      </c>
      <c r="F1905" t="inlineStr">
        <is>
          <t>40</t>
        </is>
      </c>
      <c r="G1905" t="inlineStr">
        <is>
          <t>0</t>
        </is>
      </c>
      <c r="H1905" t="inlineStr">
        <is>
          <t>6</t>
        </is>
      </c>
      <c r="I1905" t="inlineStr">
        <is>
          <t>6¹, 114¹</t>
        </is>
      </c>
      <c r="J1905" t="n">
        <v>2</v>
      </c>
      <c r="K1905" t="inlineStr">
        <is>
          <t>2⁴, 36²</t>
        </is>
      </c>
      <c r="L1905" t="inlineStr">
        <is>
          <t>38A²</t>
        </is>
      </c>
      <c r="M1905" t="inlineStr">
        <is>
          <t>228B¹⁶, 114A²²</t>
        </is>
      </c>
      <c r="N1905" t="inlineStr">
        <is>
          <t>2A⁰, 1A⁰, 19A¹, 38A²</t>
        </is>
      </c>
      <c r="O1905" t="inlineStr">
        <is>
          <t>228B¹⁶, 114A²²</t>
        </is>
      </c>
    </row>
    <row r="1906">
      <c r="A1906">
        <f>HYPERLINK("https://mathstats.uncg.edu/sites/pauli/congruence/csg8.html#group117A8", "117A⁸")</f>
        <v/>
      </c>
      <c r="B1906" t="n">
        <v>8</v>
      </c>
      <c r="C1906" t="inlineStr"/>
      <c r="D1906" t="inlineStr">
        <is>
          <t>126</t>
        </is>
      </c>
      <c r="E1906" t="inlineStr">
        <is>
          <t>1</t>
        </is>
      </c>
      <c r="F1906" t="inlineStr">
        <is>
          <t>126</t>
        </is>
      </c>
      <c r="G1906" t="inlineStr">
        <is>
          <t>10</t>
        </is>
      </c>
      <c r="H1906" t="inlineStr">
        <is>
          <t>0</t>
        </is>
      </c>
      <c r="I1906" t="inlineStr">
        <is>
          <t>9¹, 117¹</t>
        </is>
      </c>
      <c r="J1906" t="n">
        <v>2</v>
      </c>
      <c r="K1906" t="inlineStr">
        <is>
          <t>1², 2², 6², 12¹, 24¹, 72¹</t>
        </is>
      </c>
      <c r="L1906" t="inlineStr">
        <is>
          <t>9A⁰, 39A²</t>
        </is>
      </c>
      <c r="M1906" t="inlineStr">
        <is>
          <t>117A¹⁶, 234A¹⁶, 117A¹⁷, 234A¹⁷, 117A¹⁸, 234A¹⁸, 117A¹⁹, 234A¹⁹, 117A²⁰, 234A²⁰, 234A²¹, 117A²²</t>
        </is>
      </c>
      <c r="N1906" t="inlineStr">
        <is>
          <t>13A⁰, 39A², 3A⁰, 1A⁰, 9A⁰</t>
        </is>
      </c>
      <c r="O1906" t="inlineStr">
        <is>
          <t>117A¹⁷, 117A¹⁹, 234A¹⁸, 234A¹⁹, 234A²¹, 117A²², 234A¹⁶, 117A¹⁶, 234A²⁰, 117A¹⁸, 117A²⁰, 234A¹⁷</t>
        </is>
      </c>
    </row>
    <row r="1907">
      <c r="A1907">
        <f>HYPERLINK("https://mathstats.uncg.edu/sites/pauli/congruence/csg8.html#group122A8", "122A⁸")</f>
        <v/>
      </c>
      <c r="B1907" t="n">
        <v>8</v>
      </c>
      <c r="C1907" t="inlineStr"/>
      <c r="D1907" t="inlineStr">
        <is>
          <t>124</t>
        </is>
      </c>
      <c r="E1907" t="inlineStr">
        <is>
          <t>1</t>
        </is>
      </c>
      <c r="F1907" t="inlineStr">
        <is>
          <t>62</t>
        </is>
      </c>
      <c r="G1907" t="inlineStr">
        <is>
          <t>4</t>
        </is>
      </c>
      <c r="H1907" t="inlineStr">
        <is>
          <t>4</t>
        </is>
      </c>
      <c r="I1907" t="inlineStr">
        <is>
          <t>2¹, 122¹</t>
        </is>
      </c>
      <c r="J1907" t="n">
        <v>2</v>
      </c>
      <c r="K1907" t="inlineStr">
        <is>
          <t>1², 60¹</t>
        </is>
      </c>
      <c r="L1907" t="inlineStr">
        <is>
          <t>61A⁴</t>
        </is>
      </c>
      <c r="M1907" t="inlineStr">
        <is>
          <t>122A¹⁷, 244A¹⁷</t>
        </is>
      </c>
      <c r="N1907" t="inlineStr">
        <is>
          <t>1A⁰, 61A⁴</t>
        </is>
      </c>
      <c r="O1907" t="inlineStr">
        <is>
          <t>122A¹⁷, 244A¹⁷</t>
        </is>
      </c>
    </row>
    <row r="1908">
      <c r="A1908">
        <f>HYPERLINK("https://mathstats.uncg.edu/sites/pauli/congruence/csg8.html#group124A8", "124A⁸")</f>
        <v/>
      </c>
      <c r="B1908" t="n">
        <v>8</v>
      </c>
      <c r="C1908" t="inlineStr"/>
      <c r="D1908" t="inlineStr">
        <is>
          <t>128</t>
        </is>
      </c>
      <c r="E1908" t="inlineStr">
        <is>
          <t>1</t>
        </is>
      </c>
      <c r="F1908" t="inlineStr">
        <is>
          <t>32</t>
        </is>
      </c>
      <c r="G1908" t="inlineStr">
        <is>
          <t>0</t>
        </is>
      </c>
      <c r="H1908" t="inlineStr">
        <is>
          <t>8</t>
        </is>
      </c>
      <c r="I1908" t="inlineStr">
        <is>
          <t>4¹, 124¹</t>
        </is>
      </c>
      <c r="J1908" t="n">
        <v>2</v>
      </c>
      <c r="K1908" t="inlineStr">
        <is>
          <t>1², 30¹</t>
        </is>
      </c>
      <c r="L1908" t="inlineStr">
        <is>
          <t>62A⁴</t>
        </is>
      </c>
      <c r="M1908" t="inlineStr"/>
      <c r="N1908" t="inlineStr">
        <is>
          <t>2A⁰, 31A², 1A⁰, 62A⁴</t>
        </is>
      </c>
      <c r="O1908" t="inlineStr"/>
    </row>
    <row r="1909">
      <c r="A1909">
        <f>HYPERLINK("https://mathstats.uncg.edu/sites/pauli/congruence/csg8.html#group125A8", "125A⁸")</f>
        <v/>
      </c>
      <c r="B1909" t="n">
        <v>8</v>
      </c>
      <c r="C1909" t="inlineStr">
        <is>
          <t>Γ₀(125)</t>
        </is>
      </c>
      <c r="D1909" t="inlineStr">
        <is>
          <t>150</t>
        </is>
      </c>
      <c r="E1909" t="inlineStr">
        <is>
          <t>1</t>
        </is>
      </c>
      <c r="F1909" t="inlineStr">
        <is>
          <t>150</t>
        </is>
      </c>
      <c r="G1909" t="inlineStr">
        <is>
          <t>2</t>
        </is>
      </c>
      <c r="H1909" t="inlineStr">
        <is>
          <t>0</t>
        </is>
      </c>
      <c r="I1909" t="inlineStr">
        <is>
          <t>1⁵, 5⁴, 125¹</t>
        </is>
      </c>
      <c r="J1909" t="n">
        <v>10</v>
      </c>
      <c r="K1909" t="inlineStr">
        <is>
          <t>1², 4², 20², 100¹</t>
        </is>
      </c>
      <c r="L1909" t="inlineStr">
        <is>
          <t>25A⁰</t>
        </is>
      </c>
      <c r="M1909" t="inlineStr">
        <is>
          <t>125A¹⁶, 250A²⁰, 250A²¹</t>
        </is>
      </c>
      <c r="N1909" t="inlineStr">
        <is>
          <t>25A⁰, 5B⁰, 1A⁰</t>
        </is>
      </c>
      <c r="O1909" t="inlineStr">
        <is>
          <t>125A¹⁶, 250A²¹, 250A²⁰</t>
        </is>
      </c>
    </row>
    <row r="1910">
      <c r="A1910">
        <f>HYPERLINK("https://mathstats.uncg.edu/sites/pauli/congruence/csg8.html#group126A8", "126A⁸")</f>
        <v/>
      </c>
      <c r="B1910" t="n">
        <v>8</v>
      </c>
      <c r="C1910" t="inlineStr"/>
      <c r="D1910" t="inlineStr">
        <is>
          <t>126</t>
        </is>
      </c>
      <c r="E1910" t="inlineStr">
        <is>
          <t>2</t>
        </is>
      </c>
      <c r="F1910" t="inlineStr">
        <is>
          <t>63</t>
        </is>
      </c>
      <c r="G1910" t="inlineStr">
        <is>
          <t>12</t>
        </is>
      </c>
      <c r="H1910" t="inlineStr">
        <is>
          <t>0</t>
        </is>
      </c>
      <c r="I1910" t="inlineStr">
        <is>
          <t>126¹</t>
        </is>
      </c>
      <c r="J1910" t="n">
        <v>1</v>
      </c>
      <c r="K1910" t="inlineStr">
        <is>
          <t>2¹, 4¹, 6², 12³, 36²</t>
        </is>
      </c>
      <c r="L1910" t="inlineStr">
        <is>
          <t>18A¹, 42B¹, 63A²</t>
        </is>
      </c>
      <c r="M1910" t="inlineStr">
        <is>
          <t>126B¹⁷, 126B¹⁸, 126C¹⁸, 126D¹⁸, 126E¹⁸, 126A¹⁹, 126A²¹</t>
        </is>
      </c>
      <c r="N1910" t="inlineStr">
        <is>
          <t>6B⁰, 7A⁰, 9A⁰, 21A⁰, 42B¹, 3A⁰, 1A⁰, 18A¹, 63A²</t>
        </is>
      </c>
      <c r="O1910" t="inlineStr">
        <is>
          <t>126A²¹, 126B¹⁷, 126C¹⁸, 126A¹⁹, 126E¹⁸, 126B¹⁸, 126D¹⁸</t>
        </is>
      </c>
    </row>
    <row r="1911">
      <c r="A1911">
        <f>HYPERLINK("https://mathstats.uncg.edu/sites/pauli/congruence/csg8.html#group126B8", "126B⁸")</f>
        <v/>
      </c>
      <c r="B1911" t="n">
        <v>8</v>
      </c>
      <c r="C1911" t="inlineStr"/>
      <c r="D1911" t="inlineStr">
        <is>
          <t>126</t>
        </is>
      </c>
      <c r="E1911" t="inlineStr">
        <is>
          <t>2</t>
        </is>
      </c>
      <c r="F1911" t="inlineStr">
        <is>
          <t>63</t>
        </is>
      </c>
      <c r="G1911" t="inlineStr">
        <is>
          <t>12</t>
        </is>
      </c>
      <c r="H1911" t="inlineStr">
        <is>
          <t>0</t>
        </is>
      </c>
      <c r="I1911" t="inlineStr">
        <is>
          <t>126¹</t>
        </is>
      </c>
      <c r="J1911" t="n">
        <v>1</v>
      </c>
      <c r="K1911" t="inlineStr">
        <is>
          <t>4³, 12⁸, 36⁴</t>
        </is>
      </c>
      <c r="L1911" t="inlineStr">
        <is>
          <t>42A², 63A²</t>
        </is>
      </c>
      <c r="M1911" t="inlineStr">
        <is>
          <t>126A¹⁶, 126D¹⁷, 126A¹⁸, 126C¹⁸, 126B¹⁹, 126A²⁰, 126F²¹, 126D²⁴</t>
        </is>
      </c>
      <c r="N1911" t="inlineStr">
        <is>
          <t>42A², 9A⁰, 63A², 21A⁰, 3A⁰, 1A⁰, 7A⁰</t>
        </is>
      </c>
      <c r="O1911" t="inlineStr">
        <is>
          <t>126A¹⁸, 126C¹⁸, 126F²¹, 126A¹⁶, 126D²⁴, 126B¹⁹, 126A²⁰, 126D¹⁷</t>
        </is>
      </c>
    </row>
    <row r="1912">
      <c r="A1912">
        <f>HYPERLINK("https://mathstats.uncg.edu/sites/pauli/congruence/csg8.html#group126C8", "126C⁸")</f>
        <v/>
      </c>
      <c r="B1912" t="n">
        <v>8</v>
      </c>
      <c r="C1912" t="inlineStr"/>
      <c r="D1912" t="inlineStr">
        <is>
          <t>126</t>
        </is>
      </c>
      <c r="E1912" t="inlineStr">
        <is>
          <t>2</t>
        </is>
      </c>
      <c r="F1912" t="inlineStr">
        <is>
          <t>63</t>
        </is>
      </c>
      <c r="G1912" t="inlineStr">
        <is>
          <t>12</t>
        </is>
      </c>
      <c r="H1912" t="inlineStr">
        <is>
          <t>0</t>
        </is>
      </c>
      <c r="I1912" t="inlineStr">
        <is>
          <t>126¹</t>
        </is>
      </c>
      <c r="J1912" t="n">
        <v>1</v>
      </c>
      <c r="K1912" t="inlineStr">
        <is>
          <t>4³, 12⁸, 36⁴</t>
        </is>
      </c>
      <c r="L1912" t="inlineStr">
        <is>
          <t>42A², 63A²</t>
        </is>
      </c>
      <c r="M1912" t="inlineStr">
        <is>
          <t>126B¹⁶, 126C¹⁷, 126A¹⁸, 126B¹⁸, 126C¹⁹, 126B²⁰, 126E²¹, 126E²⁴</t>
        </is>
      </c>
      <c r="N1912" t="inlineStr">
        <is>
          <t>42A², 9A⁰, 63A², 21A⁰, 3A⁰, 1A⁰, 7A⁰</t>
        </is>
      </c>
      <c r="O1912" t="inlineStr">
        <is>
          <t>126C¹⁷, 126A¹⁸, 126E²⁴, 126B¹⁸, 126C¹⁹, 126B¹⁶, 126B²⁰, 126E²¹</t>
        </is>
      </c>
    </row>
    <row r="1913">
      <c r="A1913">
        <f>HYPERLINK("https://mathstats.uncg.edu/sites/pauli/congruence/csg8.html#group126D8", "126D⁸")</f>
        <v/>
      </c>
      <c r="B1913" t="n">
        <v>8</v>
      </c>
      <c r="C1913" t="inlineStr"/>
      <c r="D1913" t="inlineStr">
        <is>
          <t>126</t>
        </is>
      </c>
      <c r="E1913" t="inlineStr">
        <is>
          <t>2</t>
        </is>
      </c>
      <c r="F1913" t="inlineStr">
        <is>
          <t>126</t>
        </is>
      </c>
      <c r="G1913" t="inlineStr">
        <is>
          <t>12</t>
        </is>
      </c>
      <c r="H1913" t="inlineStr">
        <is>
          <t>0</t>
        </is>
      </c>
      <c r="I1913" t="inlineStr">
        <is>
          <t>126¹</t>
        </is>
      </c>
      <c r="J1913" t="n">
        <v>1</v>
      </c>
      <c r="K1913" t="inlineStr">
        <is>
          <t>4³, 12⁸, 36⁴</t>
        </is>
      </c>
      <c r="L1913" t="inlineStr">
        <is>
          <t>18B¹, 42B¹</t>
        </is>
      </c>
      <c r="M1913" t="inlineStr">
        <is>
          <t>126G¹⁷, 126H¹⁸, 126I¹⁸, 126J¹⁸, 126K¹⁸, 126E¹⁹, 126B²¹</t>
        </is>
      </c>
      <c r="N1913" t="inlineStr">
        <is>
          <t>6B⁰, 18B¹, 21A⁰, 42B¹, 3A⁰, 1A⁰, 7A⁰</t>
        </is>
      </c>
      <c r="O1913" t="inlineStr">
        <is>
          <t>126B²¹, 126G¹⁷, 126E¹⁹, 126J¹⁸, 126I¹⁸, 126K¹⁸, 126H¹⁸</t>
        </is>
      </c>
    </row>
    <row r="1914">
      <c r="A1914">
        <f>HYPERLINK("https://mathstats.uncg.edu/sites/pauli/congruence/csg8.html#group130A8", "130A⁸")</f>
        <v/>
      </c>
      <c r="B1914" t="n">
        <v>8</v>
      </c>
      <c r="C1914" t="inlineStr"/>
      <c r="D1914" t="inlineStr">
        <is>
          <t>140</t>
        </is>
      </c>
      <c r="E1914" t="inlineStr">
        <is>
          <t>1</t>
        </is>
      </c>
      <c r="F1914" t="inlineStr">
        <is>
          <t>70</t>
        </is>
      </c>
      <c r="G1914" t="inlineStr">
        <is>
          <t>4</t>
        </is>
      </c>
      <c r="H1914" t="inlineStr">
        <is>
          <t>8</t>
        </is>
      </c>
      <c r="I1914" t="inlineStr">
        <is>
          <t>10¹, 130¹</t>
        </is>
      </c>
      <c r="J1914" t="n">
        <v>2</v>
      </c>
      <c r="K1914" t="inlineStr">
        <is>
          <t>1², 4², 12¹, 48¹</t>
        </is>
      </c>
      <c r="L1914" t="inlineStr">
        <is>
          <t>26A⁰, 65A⁴</t>
        </is>
      </c>
      <c r="M1914" t="inlineStr">
        <is>
          <t>130B¹⁷, 260A¹⁷</t>
        </is>
      </c>
      <c r="N1914" t="inlineStr">
        <is>
          <t>13A⁰, 5A⁰, 26A⁰, 1A⁰, 65A⁴</t>
        </is>
      </c>
      <c r="O1914" t="inlineStr">
        <is>
          <t>260A¹⁷, 130B¹⁷</t>
        </is>
      </c>
    </row>
    <row r="1915">
      <c r="A1915">
        <f>HYPERLINK("https://mathstats.uncg.edu/sites/pauli/congruence/csg8.html#group140A8", "140A⁸")</f>
        <v/>
      </c>
      <c r="B1915" t="n">
        <v>8</v>
      </c>
      <c r="C1915" t="inlineStr"/>
      <c r="D1915" t="inlineStr">
        <is>
          <t>160</t>
        </is>
      </c>
      <c r="E1915" t="inlineStr">
        <is>
          <t>1</t>
        </is>
      </c>
      <c r="F1915" t="inlineStr">
        <is>
          <t>40</t>
        </is>
      </c>
      <c r="G1915" t="inlineStr">
        <is>
          <t>0</t>
        </is>
      </c>
      <c r="H1915" t="inlineStr">
        <is>
          <t>16</t>
        </is>
      </c>
      <c r="I1915" t="inlineStr">
        <is>
          <t>20¹, 140¹</t>
        </is>
      </c>
      <c r="J1915" t="n">
        <v>2</v>
      </c>
      <c r="K1915" t="inlineStr">
        <is>
          <t>1², 4², 6¹, 24¹</t>
        </is>
      </c>
      <c r="L1915" t="inlineStr">
        <is>
          <t>28A⁰, 70B⁴</t>
        </is>
      </c>
      <c r="M1915" t="inlineStr"/>
      <c r="N1915" t="inlineStr">
        <is>
          <t>2A⁰, 5A⁰, 10A⁰, 28A⁰, 70B⁴, 7B⁰, 14B⁰, 35B², 1A⁰</t>
        </is>
      </c>
      <c r="O1915" t="inlineStr"/>
    </row>
    <row r="1916">
      <c r="A1916">
        <f>HYPERLINK("https://mathstats.uncg.edu/sites/pauli/congruence/csg8.html#group144A8", "144A⁸")</f>
        <v/>
      </c>
      <c r="B1916" t="n">
        <v>8</v>
      </c>
      <c r="C1916" t="inlineStr"/>
      <c r="D1916" t="inlineStr">
        <is>
          <t>216</t>
        </is>
      </c>
      <c r="E1916" t="inlineStr">
        <is>
          <t>1</t>
        </is>
      </c>
      <c r="F1916" t="inlineStr">
        <is>
          <t>27</t>
        </is>
      </c>
      <c r="G1916" t="inlineStr">
        <is>
          <t>40</t>
        </is>
      </c>
      <c r="H1916" t="inlineStr">
        <is>
          <t>0</t>
        </is>
      </c>
      <c r="I1916" t="inlineStr">
        <is>
          <t>72¹, 144¹</t>
        </is>
      </c>
      <c r="J1916" t="n">
        <v>2</v>
      </c>
      <c r="K1916" t="inlineStr">
        <is>
          <t>1³, 2³, 6³</t>
        </is>
      </c>
      <c r="L1916" t="inlineStr">
        <is>
          <t>48A⁰, 72E⁴</t>
        </is>
      </c>
      <c r="M1916" t="inlineStr">
        <is>
          <t>144J¹⁹, 288A²¹, 144X²³, 288A²³</t>
        </is>
      </c>
      <c r="N1916" t="inlineStr">
        <is>
          <t>16B⁰, 12C⁰, 24A⁰, 72E⁴, 9A⁰, 4C⁰, 36B², 8B⁰, 48A⁰, 2B⁰, 18E¹, 3A⁰, 1A⁰, 6D⁰</t>
        </is>
      </c>
      <c r="O1916" t="inlineStr">
        <is>
          <t>144X²³, 288A²³, 288A²¹, 144J¹⁹</t>
        </is>
      </c>
    </row>
    <row r="1917">
      <c r="A1917">
        <f>HYPERLINK("https://mathstats.uncg.edu/sites/pauli/congruence/csg8.html#group169A8", "169A⁸")</f>
        <v/>
      </c>
      <c r="B1917" t="n">
        <v>8</v>
      </c>
      <c r="C1917" t="inlineStr">
        <is>
          <t>Γ₀(169)</t>
        </is>
      </c>
      <c r="D1917" t="inlineStr">
        <is>
          <t>182</t>
        </is>
      </c>
      <c r="E1917" t="inlineStr">
        <is>
          <t>1</t>
        </is>
      </c>
      <c r="F1917" t="inlineStr">
        <is>
          <t>182</t>
        </is>
      </c>
      <c r="G1917" t="inlineStr">
        <is>
          <t>2</t>
        </is>
      </c>
      <c r="H1917" t="inlineStr">
        <is>
          <t>2</t>
        </is>
      </c>
      <c r="I1917" t="inlineStr">
        <is>
          <t>1¹³, 169¹</t>
        </is>
      </c>
      <c r="J1917" t="n">
        <v>14</v>
      </c>
      <c r="K1917" t="inlineStr">
        <is>
          <t>1², 12², 156¹</t>
        </is>
      </c>
      <c r="L1917" t="inlineStr">
        <is>
          <t>13A⁰</t>
        </is>
      </c>
      <c r="M1917" t="inlineStr">
        <is>
          <t>169A¹⁶, 338A²², 338A²³, 169A²⁴</t>
        </is>
      </c>
      <c r="N1917" t="inlineStr">
        <is>
          <t>13A⁰, 1A⁰</t>
        </is>
      </c>
      <c r="O1917" t="inlineStr">
        <is>
          <t>169A¹⁶, 338A²², 338A²³, 169A²⁴</t>
        </is>
      </c>
    </row>
    <row r="1918">
      <c r="A1918">
        <f>HYPERLINK("https://mathstats.uncg.edu/sites/pauli/congruence/csg9.html#group12A9", "12A⁹")</f>
        <v/>
      </c>
      <c r="B1918" t="n">
        <v>9</v>
      </c>
      <c r="C1918" t="inlineStr"/>
      <c r="D1918" t="inlineStr">
        <is>
          <t>192</t>
        </is>
      </c>
      <c r="E1918" t="inlineStr">
        <is>
          <t>1</t>
        </is>
      </c>
      <c r="F1918" t="inlineStr">
        <is>
          <t>4</t>
        </is>
      </c>
      <c r="G1918" t="inlineStr">
        <is>
          <t>0</t>
        </is>
      </c>
      <c r="H1918" t="inlineStr">
        <is>
          <t>0</t>
        </is>
      </c>
      <c r="I1918" t="inlineStr">
        <is>
          <t>12¹⁶</t>
        </is>
      </c>
      <c r="J1918" t="n">
        <v>16</v>
      </c>
      <c r="K1918" t="inlineStr">
        <is>
          <t>2²</t>
        </is>
      </c>
      <c r="L1918" t="inlineStr">
        <is>
          <t>12R¹, 12A³, 12M³, 12A⁵</t>
        </is>
      </c>
      <c r="M1918" t="inlineStr"/>
      <c r="N1918" t="inlineStr">
        <is>
          <t>2A⁰, 12D¹, 12A⁵, 1A⁰, 6B¹, 4D⁰, 12A¹, 12M³, 12A², 12Q¹, 3C⁰, 6A¹, 12R¹, 3A⁰, 12G¹, 3B⁰, 6B⁰, 12I¹, 12B³, 12A³, 6C⁰, 12F⁰, 12C³, 12A⁰, 6D¹, 6E⁰, 4A⁰, 3D⁰, 12B⁰</t>
        </is>
      </c>
      <c r="O1918" t="inlineStr"/>
    </row>
    <row r="1919">
      <c r="A1919">
        <f>HYPERLINK("https://mathstats.uncg.edu/sites/pauli/congruence/csg9.html#group12B9", "12B⁹")</f>
        <v/>
      </c>
      <c r="B1919" t="n">
        <v>9</v>
      </c>
      <c r="C1919" t="inlineStr"/>
      <c r="D1919" t="inlineStr">
        <is>
          <t>288</t>
        </is>
      </c>
      <c r="E1919" t="inlineStr">
        <is>
          <t>1</t>
        </is>
      </c>
      <c r="F1919" t="inlineStr">
        <is>
          <t>3</t>
        </is>
      </c>
      <c r="G1919" t="inlineStr">
        <is>
          <t>0</t>
        </is>
      </c>
      <c r="H1919" t="inlineStr">
        <is>
          <t>0</t>
        </is>
      </c>
      <c r="I1919" t="inlineStr">
        <is>
          <t>6¹⁶, 12¹⁶</t>
        </is>
      </c>
      <c r="J1919" t="n">
        <v>32</v>
      </c>
      <c r="K1919" t="inlineStr">
        <is>
          <t>1³</t>
        </is>
      </c>
      <c r="L1919" t="inlineStr">
        <is>
          <t>12V¹, 12N³, 12O³, 12P³, 12B⁵</t>
        </is>
      </c>
      <c r="M1919" t="inlineStr"/>
      <c r="N1919" t="inlineStr">
        <is>
          <t>12T¹, 12C⁰, 12F³, 12I⁰, 6C¹, 12J⁰, 12E², 12B², 2B⁰, 12N³, 4B⁰, 12G³, 1A⁰, 3C⁰, 12B¹, 6H⁰, 6E¹, 12O³, 3B⁰, 12P¹, 12L¹, 12G⁰, 12D³, 12C¹, 6A⁰, 12P³, 12E³, 3D⁰, 2C⁰, 6D⁰, 2A⁰, 12K¹, 12B⁵, 12D², 4C⁰, 6G⁰, 12S¹, 4E⁰, 12N¹, 6B¹, 6K⁰, 6A¹, 3A⁰, 6F⁰, 12U¹, 6B⁰, 12V¹, 6I⁰, 12F¹, 6F¹, 6C⁰, 6D¹, 6E⁰, 6L⁰, 6J⁰, 12D⁰, 12H⁰, 12C², 12E⁰</t>
        </is>
      </c>
      <c r="O1919" t="inlineStr"/>
    </row>
    <row r="1920">
      <c r="A1920">
        <f>HYPERLINK("https://mathstats.uncg.edu/sites/pauli/congruence/csg9.html#group14A9", "14A⁹")</f>
        <v/>
      </c>
      <c r="B1920" t="n">
        <v>9</v>
      </c>
      <c r="C1920" t="inlineStr"/>
      <c r="D1920" t="inlineStr">
        <is>
          <t>168</t>
        </is>
      </c>
      <c r="E1920" t="inlineStr">
        <is>
          <t>1</t>
        </is>
      </c>
      <c r="F1920" t="inlineStr">
        <is>
          <t>21</t>
        </is>
      </c>
      <c r="G1920" t="inlineStr">
        <is>
          <t>0</t>
        </is>
      </c>
      <c r="H1920" t="inlineStr">
        <is>
          <t>0</t>
        </is>
      </c>
      <c r="I1920" t="inlineStr">
        <is>
          <t>14¹²</t>
        </is>
      </c>
      <c r="J1920" t="n">
        <v>12</v>
      </c>
      <c r="K1920" t="inlineStr">
        <is>
          <t>3¹, 6³</t>
        </is>
      </c>
      <c r="L1920" t="inlineStr">
        <is>
          <t>7C¹, 14C³, 14F³, 14A⁵, 14B⁵, 14C⁵</t>
        </is>
      </c>
      <c r="M1920" t="inlineStr">
        <is>
          <t>14A¹⁷</t>
        </is>
      </c>
      <c r="N1920" t="inlineStr">
        <is>
          <t>2A⁰, 14A⁰, 14B², 7D⁰, 14A¹, 14C⁵, 14B⁵, 7G⁰, 7C¹, 1A⁰, 14D¹, 14A⁵, 14A³, 7C⁰, 14C³, 7A¹, 7F⁰, 14F³, 14E¹, 7A⁰</t>
        </is>
      </c>
      <c r="O1920" t="inlineStr">
        <is>
          <t>14A¹⁷</t>
        </is>
      </c>
    </row>
    <row r="1921">
      <c r="A1921">
        <f>HYPERLINK("https://mathstats.uncg.edu/sites/pauli/congruence/csg9.html#group14B9", "14B⁹")</f>
        <v/>
      </c>
      <c r="B1921" t="n">
        <v>9</v>
      </c>
      <c r="C1921" t="inlineStr"/>
      <c r="D1921" t="inlineStr">
        <is>
          <t>168</t>
        </is>
      </c>
      <c r="E1921" t="inlineStr">
        <is>
          <t>1</t>
        </is>
      </c>
      <c r="F1921" t="inlineStr">
        <is>
          <t>28</t>
        </is>
      </c>
      <c r="G1921" t="inlineStr">
        <is>
          <t>0</t>
        </is>
      </c>
      <c r="H1921" t="inlineStr">
        <is>
          <t>0</t>
        </is>
      </c>
      <c r="I1921" t="inlineStr">
        <is>
          <t>14¹²</t>
        </is>
      </c>
      <c r="J1921" t="n">
        <v>12</v>
      </c>
      <c r="K1921" t="inlineStr">
        <is>
          <t>1¹, 3¹, 6⁴</t>
        </is>
      </c>
      <c r="L1921" t="inlineStr">
        <is>
          <t>14B³, 14C³, 14D³</t>
        </is>
      </c>
      <c r="M1921" t="inlineStr">
        <is>
          <t>14B¹⁷, 28D²¹, 28C²¹</t>
        </is>
      </c>
      <c r="N1921" t="inlineStr">
        <is>
          <t>2A⁰, 14B³, 14B¹, 14C³, 14A¹, 7F⁰, 2B⁰, 1A⁰, 2C⁰, 7A⁰, 14D³</t>
        </is>
      </c>
      <c r="O1921" t="inlineStr">
        <is>
          <t>28C²¹, 28D²¹, 14B¹⁷</t>
        </is>
      </c>
    </row>
    <row r="1922">
      <c r="A1922">
        <f>HYPERLINK("https://mathstats.uncg.edu/sites/pauli/congruence/csg9.html#group14C9", "14C⁹")</f>
        <v/>
      </c>
      <c r="B1922" t="n">
        <v>9</v>
      </c>
      <c r="C1922" t="inlineStr"/>
      <c r="D1922" t="inlineStr">
        <is>
          <t>252</t>
        </is>
      </c>
      <c r="E1922" t="inlineStr">
        <is>
          <t>1</t>
        </is>
      </c>
      <c r="F1922" t="inlineStr">
        <is>
          <t>63</t>
        </is>
      </c>
      <c r="G1922" t="inlineStr">
        <is>
          <t>4</t>
        </is>
      </c>
      <c r="H1922" t="inlineStr">
        <is>
          <t>0</t>
        </is>
      </c>
      <c r="I1922" t="inlineStr">
        <is>
          <t>7¹², 14¹²</t>
        </is>
      </c>
      <c r="J1922" t="n">
        <v>24</v>
      </c>
      <c r="K1922" t="inlineStr">
        <is>
          <t>3³, 6⁹</t>
        </is>
      </c>
      <c r="L1922" t="inlineStr">
        <is>
          <t>7C¹, 14D³, 14A⁴, 14F⁵</t>
        </is>
      </c>
      <c r="M1922" t="inlineStr">
        <is>
          <t>14A¹⁹, 14A²³, 28E²³</t>
        </is>
      </c>
      <c r="N1922" t="inlineStr">
        <is>
          <t>14A⁴, 14A², 7D⁰, 14B¹, 7C⁰, 7A¹, 7F⁰, 14F², 2B⁰, 7G⁰, 7C¹, 14F⁵, 1A⁰, 7A⁰, 14D³</t>
        </is>
      </c>
      <c r="O1922" t="inlineStr">
        <is>
          <t>14A¹⁹, 14A²³, 28E²³</t>
        </is>
      </c>
    </row>
    <row r="1923">
      <c r="A1923">
        <f>HYPERLINK("https://mathstats.uncg.edu/sites/pauli/congruence/csg9.html#group15A9", "15A⁹")</f>
        <v/>
      </c>
      <c r="B1923" t="n">
        <v>9</v>
      </c>
      <c r="C1923" t="inlineStr"/>
      <c r="D1923" t="inlineStr">
        <is>
          <t>180</t>
        </is>
      </c>
      <c r="E1923" t="inlineStr">
        <is>
          <t>1</t>
        </is>
      </c>
      <c r="F1923" t="inlineStr">
        <is>
          <t>45</t>
        </is>
      </c>
      <c r="G1923" t="inlineStr">
        <is>
          <t>4</t>
        </is>
      </c>
      <c r="H1923" t="inlineStr">
        <is>
          <t>0</t>
        </is>
      </c>
      <c r="I1923" t="inlineStr">
        <is>
          <t>15¹²</t>
        </is>
      </c>
      <c r="J1923" t="n">
        <v>12</v>
      </c>
      <c r="K1923" t="inlineStr">
        <is>
          <t>1¹, 2², 4⁴, 8³</t>
        </is>
      </c>
      <c r="L1923" t="inlineStr">
        <is>
          <t>15E¹, 15C³, 15H³, 15C⁴, 15D⁴</t>
        </is>
      </c>
      <c r="M1923" t="inlineStr">
        <is>
          <t>15A¹⁷, 15A¹⁹, 15B¹⁹, 30B²³, 30C²³</t>
        </is>
      </c>
      <c r="N1923" t="inlineStr">
        <is>
          <t>5A⁰, 15D⁴, 15F¹, 5B⁰, 15C³, 15H³, 1A⁰, 15C⁴, 15D¹, 15B⁰, 15A², 5E⁰, 3C⁰, 3A⁰, 5C⁰, 5G⁰, 15A¹, 15E¹, 15A⁰</t>
        </is>
      </c>
      <c r="O1923" t="inlineStr">
        <is>
          <t>15B¹⁹, 30C²³, 15A¹⁷, 15A¹⁹, 30B²³</t>
        </is>
      </c>
    </row>
    <row r="1924">
      <c r="A1924">
        <f>HYPERLINK("https://mathstats.uncg.edu/sites/pauli/congruence/csg9.html#group15B9", "15B⁹")</f>
        <v/>
      </c>
      <c r="B1924" t="n">
        <v>9</v>
      </c>
      <c r="C1924" t="inlineStr"/>
      <c r="D1924" t="inlineStr">
        <is>
          <t>240</t>
        </is>
      </c>
      <c r="E1924" t="inlineStr">
        <is>
          <t>1</t>
        </is>
      </c>
      <c r="F1924" t="inlineStr">
        <is>
          <t>4</t>
        </is>
      </c>
      <c r="G1924" t="inlineStr">
        <is>
          <t>0</t>
        </is>
      </c>
      <c r="H1924" t="inlineStr">
        <is>
          <t>0</t>
        </is>
      </c>
      <c r="I1924" t="inlineStr">
        <is>
          <t>5¹², 15¹²</t>
        </is>
      </c>
      <c r="J1924" t="n">
        <v>24</v>
      </c>
      <c r="K1924" t="inlineStr">
        <is>
          <t>1², 2¹</t>
        </is>
      </c>
      <c r="L1924" t="inlineStr">
        <is>
          <t>5H⁰, 15G¹, 15G³, 15B⁵</t>
        </is>
      </c>
      <c r="M1924" t="inlineStr">
        <is>
          <t>15B¹⁷</t>
        </is>
      </c>
      <c r="N1924" t="inlineStr">
        <is>
          <t>3B⁰, 5A⁰, 5B⁰, 15G¹, 5D⁰, 5F⁰, 1A⁰, 5H⁰, 15C¹, 15A³, 15G³, 5E⁰, 15B¹, 15C², 5C⁰, 15B⁵, 5G⁰</t>
        </is>
      </c>
      <c r="O1924" t="inlineStr">
        <is>
          <t>15B¹⁷</t>
        </is>
      </c>
    </row>
    <row r="1925">
      <c r="A1925">
        <f>HYPERLINK("https://mathstats.uncg.edu/sites/pauli/congruence/csg9.html#group15C9", "15C⁹")</f>
        <v/>
      </c>
      <c r="B1925" t="n">
        <v>9</v>
      </c>
      <c r="C1925" t="inlineStr"/>
      <c r="D1925" t="inlineStr">
        <is>
          <t>288</t>
        </is>
      </c>
      <c r="E1925" t="inlineStr">
        <is>
          <t>1</t>
        </is>
      </c>
      <c r="F1925" t="inlineStr">
        <is>
          <t>6</t>
        </is>
      </c>
      <c r="G1925" t="inlineStr">
        <is>
          <t>0</t>
        </is>
      </c>
      <c r="H1925" t="inlineStr">
        <is>
          <t>0</t>
        </is>
      </c>
      <c r="I1925" t="inlineStr">
        <is>
          <t>3¹⁶, 15¹⁶</t>
        </is>
      </c>
      <c r="J1925" t="n">
        <v>32</v>
      </c>
      <c r="K1925" t="inlineStr">
        <is>
          <t>1², 4¹</t>
        </is>
      </c>
      <c r="L1925" t="inlineStr">
        <is>
          <t>15I¹, 15I³, 15C⁵</t>
        </is>
      </c>
      <c r="M1925" t="inlineStr"/>
      <c r="N1925" t="inlineStr">
        <is>
          <t>3B⁰, 15I¹, 5B⁰, 15G¹, 5D⁰, 15F³, 15H¹, 1A⁰, 15I³, 15C¹, 15B⁰, 15C⁵, 15E³, 15E¹, 15B², 3C⁰, 3A⁰, 3D⁰, 15C⁰</t>
        </is>
      </c>
      <c r="O1925" t="inlineStr"/>
    </row>
    <row r="1926">
      <c r="A1926">
        <f>HYPERLINK("https://mathstats.uncg.edu/sites/pauli/congruence/csg9.html#group16A9", "16A⁹")</f>
        <v/>
      </c>
      <c r="B1926" t="n">
        <v>9</v>
      </c>
      <c r="C1926" t="inlineStr"/>
      <c r="D1926" t="inlineStr">
        <is>
          <t>192</t>
        </is>
      </c>
      <c r="E1926" t="inlineStr">
        <is>
          <t>1</t>
        </is>
      </c>
      <c r="F1926" t="inlineStr">
        <is>
          <t>3</t>
        </is>
      </c>
      <c r="G1926" t="inlineStr">
        <is>
          <t>0</t>
        </is>
      </c>
      <c r="H1926" t="inlineStr">
        <is>
          <t>0</t>
        </is>
      </c>
      <c r="I1926" t="inlineStr">
        <is>
          <t>8⁸, 16⁸</t>
        </is>
      </c>
      <c r="J1926" t="n">
        <v>16</v>
      </c>
      <c r="K1926" t="inlineStr">
        <is>
          <t>1³</t>
        </is>
      </c>
      <c r="L1926" t="inlineStr">
        <is>
          <t>8A³, 16H³, 16C⁴, 16A⁵</t>
        </is>
      </c>
      <c r="M1926" t="inlineStr">
        <is>
          <t>16A¹⁷, 16C²¹, 32F²¹</t>
        </is>
      </c>
      <c r="N1926" t="inlineStr">
        <is>
          <t>2A⁰, 4C⁰, 4G⁰, 2B⁰, 8C⁰, 4E⁰, 8E¹, 4B⁰, 8F¹, 1A⁰, 16A¹, 16E², 16D¹, 16B², 8G⁰, 4D⁰, 16C⁰, 16H¹, 16E³, 16D³, 8A¹, 8A³, 8D⁰, 16E¹, 8B⁰, 8B¹, 16H³, 8H⁰, 8F⁰, 8C¹, 4A⁰, 8I¹, 16A⁵, 16C⁴, 4F⁰, 2C⁰</t>
        </is>
      </c>
      <c r="O1926" t="inlineStr">
        <is>
          <t>16C²¹, 32F²¹, 16A¹⁷</t>
        </is>
      </c>
    </row>
    <row r="1927">
      <c r="A1927">
        <f>HYPERLINK("https://mathstats.uncg.edu/sites/pauli/congruence/csg9.html#group16B9", "16B⁹")</f>
        <v/>
      </c>
      <c r="B1927" t="n">
        <v>9</v>
      </c>
      <c r="C1927" t="inlineStr"/>
      <c r="D1927" t="inlineStr">
        <is>
          <t>192</t>
        </is>
      </c>
      <c r="E1927" t="inlineStr">
        <is>
          <t>1</t>
        </is>
      </c>
      <c r="F1927" t="inlineStr">
        <is>
          <t>3</t>
        </is>
      </c>
      <c r="G1927" t="inlineStr">
        <is>
          <t>0</t>
        </is>
      </c>
      <c r="H1927" t="inlineStr">
        <is>
          <t>0</t>
        </is>
      </c>
      <c r="I1927" t="inlineStr">
        <is>
          <t>8⁸, 16⁸</t>
        </is>
      </c>
      <c r="J1927" t="n">
        <v>16</v>
      </c>
      <c r="K1927" t="inlineStr">
        <is>
          <t>1³</t>
        </is>
      </c>
      <c r="L1927" t="inlineStr">
        <is>
          <t>8A³, 16I³, 16L³, 16B⁵, 16F⁵</t>
        </is>
      </c>
      <c r="M1927" t="inlineStr">
        <is>
          <t>16A¹⁷, 16A²¹, 16C²¹, 32E²¹</t>
        </is>
      </c>
      <c r="N1927" t="inlineStr">
        <is>
          <t>2A⁰, 16G⁰, 16F⁵, 16I¹, 4C⁰, 16A³, 4G⁰, 2B⁰, 4E⁰, 8C⁰, 8E¹, 4B⁰, 8F¹, 1A⁰, 16A², 16B⁰, 16E⁰, 8G⁰, 4D⁰, 16F¹, 16D², 8A¹, 16C², 8A³, 16C³, 8D⁰, 16B³, 8B⁰, 16B¹, 8B¹, 16I³, 8H⁰, 16B⁵, 8F⁰, 8C¹, 16L³, 4A⁰, 8I¹, 16C¹, 16D⁰, 4F⁰, 2C⁰</t>
        </is>
      </c>
      <c r="O1927" t="inlineStr">
        <is>
          <t>16C²¹, 16A²¹, 32E²¹, 16A¹⁷</t>
        </is>
      </c>
    </row>
    <row r="1928">
      <c r="A1928">
        <f>HYPERLINK("https://mathstats.uncg.edu/sites/pauli/congruence/csg9.html#group16C9", "16C⁹")</f>
        <v/>
      </c>
      <c r="B1928" t="n">
        <v>9</v>
      </c>
      <c r="C1928" t="inlineStr"/>
      <c r="D1928" t="inlineStr">
        <is>
          <t>192</t>
        </is>
      </c>
      <c r="E1928" t="inlineStr">
        <is>
          <t>1</t>
        </is>
      </c>
      <c r="F1928" t="inlineStr">
        <is>
          <t>3</t>
        </is>
      </c>
      <c r="G1928" t="inlineStr">
        <is>
          <t>0</t>
        </is>
      </c>
      <c r="H1928" t="inlineStr">
        <is>
          <t>0</t>
        </is>
      </c>
      <c r="I1928" t="inlineStr">
        <is>
          <t>8⁸, 16⁸</t>
        </is>
      </c>
      <c r="J1928" t="n">
        <v>16</v>
      </c>
      <c r="K1928" t="inlineStr">
        <is>
          <t>1³</t>
        </is>
      </c>
      <c r="L1928" t="inlineStr">
        <is>
          <t>8B³, 16H³, 16K³, 16B⁵, 16E⁵</t>
        </is>
      </c>
      <c r="M1928" t="inlineStr">
        <is>
          <t>16A¹⁷, 16E²¹, 32B²¹, 32A²¹</t>
        </is>
      </c>
      <c r="N1928" t="inlineStr">
        <is>
          <t>2A⁰, 8B³, 4C⁰, 8A⁰, 16A³, 4G⁰, 2B⁰, 4E⁰, 8C⁰, 16A¹, 4B⁰, 8F¹, 8K⁰, 1A⁰, 8H¹, 16A², 16B⁰, 8G⁰, 4D⁰, 16C⁰, 16F¹, 16H¹, 8N⁰, 8A¹, 16C³, 8D⁰, 2C⁰, 16E¹, 8B², 8B⁰, 16B³, 16B¹, 8E⁰, 8B¹, 8D¹, 16H³, 8H⁰, 8A², 16K³, 16B⁵, 8C¹, 4A⁰, 4F⁰, 8J⁰, 16E⁵</t>
        </is>
      </c>
      <c r="O1928" t="inlineStr">
        <is>
          <t>16E²¹, 32A²¹, 32B²¹, 16A¹⁷</t>
        </is>
      </c>
    </row>
    <row r="1929">
      <c r="A1929">
        <f>HYPERLINK("https://mathstats.uncg.edu/sites/pauli/congruence/csg9.html#group16D9", "16D⁹")</f>
        <v/>
      </c>
      <c r="B1929" t="n">
        <v>9</v>
      </c>
      <c r="C1929" t="inlineStr"/>
      <c r="D1929" t="inlineStr">
        <is>
          <t>192</t>
        </is>
      </c>
      <c r="E1929" t="inlineStr">
        <is>
          <t>1</t>
        </is>
      </c>
      <c r="F1929" t="inlineStr">
        <is>
          <t>3</t>
        </is>
      </c>
      <c r="G1929" t="inlineStr">
        <is>
          <t>0</t>
        </is>
      </c>
      <c r="H1929" t="inlineStr">
        <is>
          <t>0</t>
        </is>
      </c>
      <c r="I1929" t="inlineStr">
        <is>
          <t>8⁸, 16⁸</t>
        </is>
      </c>
      <c r="J1929" t="n">
        <v>16</v>
      </c>
      <c r="K1929" t="inlineStr">
        <is>
          <t>1³</t>
        </is>
      </c>
      <c r="L1929" t="inlineStr">
        <is>
          <t>8B³, 16I³, 16B⁴, 16A⁵, 16H⁵</t>
        </is>
      </c>
      <c r="M1929" t="inlineStr">
        <is>
          <t>16A¹⁷, 16D²¹, 32D²¹</t>
        </is>
      </c>
      <c r="N1929" t="inlineStr">
        <is>
          <t>2A⁰, 16G⁰, 8B³, 16I¹, 4C⁰, 8A⁰, 4G⁰, 2B⁰, 4E⁰, 8C⁰, 4B⁰, 8F¹, 1A⁰, 8K⁰, 8H¹, 16E², 16E⁰, 16B⁴, 16D¹, 16B², 8G⁰, 4D⁰, 16E³, 16D², 8N⁰, 16D³, 8A¹, 16C², 16H⁵, 8D⁰, 8B², 8B⁰, 8E⁰, 8B¹, 16I³, 8D¹, 8H⁰, 8A², 8C¹, 4A⁰, 16C¹, 16D⁰, 16A⁵, 4F⁰, 8J⁰, 2C⁰</t>
        </is>
      </c>
      <c r="O1929" t="inlineStr">
        <is>
          <t>32D²¹, 16D²¹, 16A¹⁷</t>
        </is>
      </c>
    </row>
    <row r="1930">
      <c r="A1930">
        <f>HYPERLINK("https://mathstats.uncg.edu/sites/pauli/congruence/csg9.html#group16E9", "16E⁹")</f>
        <v/>
      </c>
      <c r="B1930" t="n">
        <v>9</v>
      </c>
      <c r="C1930" t="inlineStr"/>
      <c r="D1930" t="inlineStr">
        <is>
          <t>192</t>
        </is>
      </c>
      <c r="E1930" t="inlineStr">
        <is>
          <t>1</t>
        </is>
      </c>
      <c r="F1930" t="inlineStr">
        <is>
          <t>3</t>
        </is>
      </c>
      <c r="G1930" t="inlineStr">
        <is>
          <t>0</t>
        </is>
      </c>
      <c r="H1930" t="inlineStr">
        <is>
          <t>0</t>
        </is>
      </c>
      <c r="I1930" t="inlineStr">
        <is>
          <t>8⁸, 16⁸</t>
        </is>
      </c>
      <c r="J1930" t="n">
        <v>16</v>
      </c>
      <c r="K1930" t="inlineStr">
        <is>
          <t>1³</t>
        </is>
      </c>
      <c r="L1930" t="inlineStr">
        <is>
          <t>8K¹, 16M³, 16A⁵, 16B⁵, 16C⁵, 16D⁵, 16G⁵</t>
        </is>
      </c>
      <c r="M1930" t="inlineStr">
        <is>
          <t>16A¹⁷, 16B¹⁷</t>
        </is>
      </c>
      <c r="N1930" t="inlineStr">
        <is>
          <t>2A⁰, 16D⁵, 16C⁵, 4C⁰, 16A³, 4G⁰, 2B⁰, 4E⁰, 8C⁰, 8L⁰, 4B⁰, 8F¹, 1A⁰, 8K⁰, 16E², 16A², 16B⁰, 16D¹, 16B², 8G⁰, 4D⁰, 8G¹, 16F¹, 8P⁰, 16E³, 8N⁰, 16D³, 8A¹, 16C³, 8K¹, 8D⁰, 16M³, 16B³, 8B⁰, 16G⁵, 16B¹, 8B¹, 8I⁰, 16J¹, 8H⁰, 16B⁵, 8C¹, 16F², 4A⁰, 16F³, 16A⁵, 4F⁰, 8J⁰, 2C⁰, 8O⁰</t>
        </is>
      </c>
      <c r="O1930" t="inlineStr">
        <is>
          <t>16A¹⁷, 16B¹⁷</t>
        </is>
      </c>
    </row>
    <row r="1931">
      <c r="A1931">
        <f>HYPERLINK("https://mathstats.uncg.edu/sites/pauli/congruence/csg9.html#group16F9", "16F⁹")</f>
        <v/>
      </c>
      <c r="B1931" t="n">
        <v>9</v>
      </c>
      <c r="C1931" t="inlineStr"/>
      <c r="D1931" t="inlineStr">
        <is>
          <t>192</t>
        </is>
      </c>
      <c r="E1931" t="inlineStr">
        <is>
          <t>1</t>
        </is>
      </c>
      <c r="F1931" t="inlineStr">
        <is>
          <t>12</t>
        </is>
      </c>
      <c r="G1931" t="inlineStr">
        <is>
          <t>0</t>
        </is>
      </c>
      <c r="H1931" t="inlineStr">
        <is>
          <t>0</t>
        </is>
      </c>
      <c r="I1931" t="inlineStr">
        <is>
          <t>8⁸, 16⁸</t>
        </is>
      </c>
      <c r="J1931" t="n">
        <v>16</v>
      </c>
      <c r="K1931" t="inlineStr">
        <is>
          <t>1⁴, 2², 4¹</t>
        </is>
      </c>
      <c r="L1931" t="inlineStr">
        <is>
          <t>16O³, 16C⁵</t>
        </is>
      </c>
      <c r="M1931" t="inlineStr">
        <is>
          <t>16B¹⁷, 32Q²¹</t>
        </is>
      </c>
      <c r="N1931" t="inlineStr">
        <is>
          <t>2A⁰, 16D³, 8A¹, 16C⁵, 16O³, 4C⁰, 16A³, 8B⁰, 16B¹, 8L⁰, 2B⁰, 8B¹, 4E⁰, 4B⁰, 1A⁰, 16D¹, 16B², 16F², 8G¹, 8J⁰, 2C⁰</t>
        </is>
      </c>
      <c r="O1931" t="inlineStr">
        <is>
          <t>32Q²¹, 16B¹⁷</t>
        </is>
      </c>
    </row>
    <row r="1932">
      <c r="A1932">
        <f>HYPERLINK("https://mathstats.uncg.edu/sites/pauli/congruence/csg9.html#group16G9", "16G⁹")</f>
        <v/>
      </c>
      <c r="B1932" t="n">
        <v>9</v>
      </c>
      <c r="C1932" t="inlineStr"/>
      <c r="D1932" t="inlineStr">
        <is>
          <t>192</t>
        </is>
      </c>
      <c r="E1932" t="inlineStr">
        <is>
          <t>1</t>
        </is>
      </c>
      <c r="F1932" t="inlineStr">
        <is>
          <t>12</t>
        </is>
      </c>
      <c r="G1932" t="inlineStr">
        <is>
          <t>0</t>
        </is>
      </c>
      <c r="H1932" t="inlineStr">
        <is>
          <t>0</t>
        </is>
      </c>
      <c r="I1932" t="inlineStr">
        <is>
          <t>8⁸, 16⁸</t>
        </is>
      </c>
      <c r="J1932" t="n">
        <v>16</v>
      </c>
      <c r="K1932" t="inlineStr">
        <is>
          <t>1⁴, 2², 4¹</t>
        </is>
      </c>
      <c r="L1932" t="inlineStr">
        <is>
          <t>16O³, 16R³, 16S³, 16D⁵</t>
        </is>
      </c>
      <c r="M1932" t="inlineStr">
        <is>
          <t>16B¹⁷, 32R²¹</t>
        </is>
      </c>
      <c r="N1932" t="inlineStr">
        <is>
          <t>2A⁰, 16D³, 16D⁵, 8A¹, 16O³, 4C⁰, 8B⁰, 16B³, 16S³, 8L⁰, 2B⁰, 8B¹, 4E⁰, 16J¹, 4B⁰, 1A⁰, 16A², 16B⁰, 16D¹, 16B², 8G¹, 16F³, 16R³, 8J⁰, 2C⁰</t>
        </is>
      </c>
      <c r="O1932" t="inlineStr">
        <is>
          <t>32R²¹, 16B¹⁷</t>
        </is>
      </c>
    </row>
    <row r="1933">
      <c r="A1933">
        <f>HYPERLINK("https://mathstats.uncg.edu/sites/pauli/congruence/csg9.html#group16H9", "16H⁹")</f>
        <v/>
      </c>
      <c r="B1933" t="n">
        <v>9</v>
      </c>
      <c r="C1933" t="inlineStr"/>
      <c r="D1933" t="inlineStr">
        <is>
          <t>192</t>
        </is>
      </c>
      <c r="E1933" t="inlineStr">
        <is>
          <t>1</t>
        </is>
      </c>
      <c r="F1933" t="inlineStr">
        <is>
          <t>24</t>
        </is>
      </c>
      <c r="G1933" t="inlineStr">
        <is>
          <t>0</t>
        </is>
      </c>
      <c r="H1933" t="inlineStr">
        <is>
          <t>0</t>
        </is>
      </c>
      <c r="I1933" t="inlineStr">
        <is>
          <t>8⁸, 16⁸</t>
        </is>
      </c>
      <c r="J1933" t="n">
        <v>16</v>
      </c>
      <c r="K1933" t="inlineStr">
        <is>
          <t>2², 4⁵</t>
        </is>
      </c>
      <c r="L1933" t="inlineStr">
        <is>
          <t>8C², 16L², 16C⁴, 16B⁴, 16E⁵, 16F⁵, 16G⁵</t>
        </is>
      </c>
      <c r="M1933" t="inlineStr">
        <is>
          <t>16A¹⁷, 16F²¹, 32P²¹</t>
        </is>
      </c>
      <c r="N1933" t="inlineStr">
        <is>
          <t>16F⁵, 16I¹, 4C⁰, 8C², 8A⁰, 8L⁰, 2B⁰, 1A⁰, 8K⁰, 8H¹, 16E², 16A², 16E⁰, 16B⁴, 16D¹, 8M⁰, 8P⁰, 16H¹, 16C³, 8D⁰, 8B⁰, 16G⁵, 16B¹, 16L², 8D¹, 8H⁰, 8F⁰, 16F², 4A⁰, 8I¹, 16C¹, 16F³, 16C⁴, 4F⁰, 16E⁵</t>
        </is>
      </c>
      <c r="O1933" t="inlineStr">
        <is>
          <t>16F²¹, 32P²¹, 16A¹⁷</t>
        </is>
      </c>
    </row>
    <row r="1934">
      <c r="A1934">
        <f>HYPERLINK("https://mathstats.uncg.edu/sites/pauli/congruence/csg9.html#group16I9", "16I⁹")</f>
        <v/>
      </c>
      <c r="B1934" t="n">
        <v>9</v>
      </c>
      <c r="C1934" t="inlineStr"/>
      <c r="D1934" t="inlineStr">
        <is>
          <t>192</t>
        </is>
      </c>
      <c r="E1934" t="inlineStr">
        <is>
          <t>1</t>
        </is>
      </c>
      <c r="F1934" t="inlineStr">
        <is>
          <t>24</t>
        </is>
      </c>
      <c r="G1934" t="inlineStr">
        <is>
          <t>8</t>
        </is>
      </c>
      <c r="H1934" t="inlineStr">
        <is>
          <t>0</t>
        </is>
      </c>
      <c r="I1934" t="inlineStr">
        <is>
          <t>16¹²</t>
        </is>
      </c>
      <c r="J1934" t="n">
        <v>12</v>
      </c>
      <c r="K1934" t="inlineStr">
        <is>
          <t>4², 8²</t>
        </is>
      </c>
      <c r="L1934" t="inlineStr">
        <is>
          <t>16K³, 16P³, 16J⁵</t>
        </is>
      </c>
      <c r="M1934" t="inlineStr">
        <is>
          <t>16A¹⁹, 16E²¹, 32I²¹, 32X²¹, 32A²³</t>
        </is>
      </c>
      <c r="N1934" t="inlineStr">
        <is>
          <t>16A⁰, 8D⁰, 4C⁰, 8B⁰, 16P³, 8A⁰, 16B¹, 2B⁰, 16G³, 1A⁰, 8D¹, 8K⁰, 8H¹, 8H⁰, 16B⁰, 16K³, 4A⁰, 4F⁰, 16F¹, 16H¹, 16J⁵</t>
        </is>
      </c>
      <c r="O1934" t="inlineStr">
        <is>
          <t>32X²¹, 16A¹⁹, 32I²¹, 16E²¹, 32A²³</t>
        </is>
      </c>
    </row>
    <row r="1935">
      <c r="A1935">
        <f>HYPERLINK("https://mathstats.uncg.edu/sites/pauli/congruence/csg9.html#group16J9", "16J⁹")</f>
        <v/>
      </c>
      <c r="B1935" t="n">
        <v>9</v>
      </c>
      <c r="C1935" t="inlineStr"/>
      <c r="D1935" t="inlineStr">
        <is>
          <t>192</t>
        </is>
      </c>
      <c r="E1935" t="inlineStr">
        <is>
          <t>1</t>
        </is>
      </c>
      <c r="F1935" t="inlineStr">
        <is>
          <t>24</t>
        </is>
      </c>
      <c r="G1935" t="inlineStr">
        <is>
          <t>8</t>
        </is>
      </c>
      <c r="H1935" t="inlineStr">
        <is>
          <t>0</t>
        </is>
      </c>
      <c r="I1935" t="inlineStr">
        <is>
          <t>16¹²</t>
        </is>
      </c>
      <c r="J1935" t="n">
        <v>12</v>
      </c>
      <c r="K1935" t="inlineStr">
        <is>
          <t>4², 8²</t>
        </is>
      </c>
      <c r="L1935" t="inlineStr">
        <is>
          <t>16K³, 16Q³, 16I⁵</t>
        </is>
      </c>
      <c r="M1935" t="inlineStr">
        <is>
          <t>16A¹⁹, 16E²¹, 32J²¹, 32W²¹, 32B²³</t>
        </is>
      </c>
      <c r="N1935" t="inlineStr">
        <is>
          <t>8D⁰, 4C⁰, 8B⁰, 8A⁰, 16B¹, 2B⁰, 8K⁰, 1A⁰, 8H¹, 8D¹, 8H⁰, 16B⁰, 16L¹, 16K³, 4A⁰, 16I⁵, 4F⁰, 16F¹, 16Q³, 16H¹, 16K¹</t>
        </is>
      </c>
      <c r="O1935" t="inlineStr">
        <is>
          <t>32W²¹, 16A¹⁹, 32B²³, 16E²¹, 32J²¹</t>
        </is>
      </c>
    </row>
    <row r="1936">
      <c r="A1936">
        <f>HYPERLINK("https://mathstats.uncg.edu/sites/pauli/congruence/csg9.html#group16K9", "16K⁹")</f>
        <v/>
      </c>
      <c r="B1936" t="n">
        <v>9</v>
      </c>
      <c r="C1936" t="inlineStr"/>
      <c r="D1936" t="inlineStr">
        <is>
          <t>192</t>
        </is>
      </c>
      <c r="E1936" t="inlineStr">
        <is>
          <t>1</t>
        </is>
      </c>
      <c r="F1936" t="inlineStr">
        <is>
          <t>24</t>
        </is>
      </c>
      <c r="G1936" t="inlineStr">
        <is>
          <t>8</t>
        </is>
      </c>
      <c r="H1936" t="inlineStr">
        <is>
          <t>0</t>
        </is>
      </c>
      <c r="I1936" t="inlineStr">
        <is>
          <t>16¹²</t>
        </is>
      </c>
      <c r="J1936" t="n">
        <v>12</v>
      </c>
      <c r="K1936" t="inlineStr">
        <is>
          <t>1², 2¹, 4¹, 8²</t>
        </is>
      </c>
      <c r="L1936" t="inlineStr">
        <is>
          <t>16L³</t>
        </is>
      </c>
      <c r="M1936" t="inlineStr">
        <is>
          <t>16B¹⁹, 16C²¹, 32K²¹, 32C²³</t>
        </is>
      </c>
      <c r="N1936" t="inlineStr">
        <is>
          <t>16I¹, 8D⁰, 4C⁰, 8B⁰, 16B¹, 2B⁰, 1A⁰, 8H⁰, 16B⁰, 16E⁰, 8F⁰, 16L³, 4A⁰, 8I¹, 16C¹, 4F⁰, 16F¹</t>
        </is>
      </c>
      <c r="O1936" t="inlineStr">
        <is>
          <t>16C²¹, 32K²¹, 32C²³, 16B¹⁹</t>
        </is>
      </c>
    </row>
    <row r="1937">
      <c r="A1937">
        <f>HYPERLINK("https://mathstats.uncg.edu/sites/pauli/congruence/csg9.html#group16L9", "16L⁹")</f>
        <v/>
      </c>
      <c r="B1937" t="n">
        <v>9</v>
      </c>
      <c r="C1937" t="inlineStr"/>
      <c r="D1937" t="inlineStr">
        <is>
          <t>192</t>
        </is>
      </c>
      <c r="E1937" t="inlineStr">
        <is>
          <t>1</t>
        </is>
      </c>
      <c r="F1937" t="inlineStr">
        <is>
          <t>24</t>
        </is>
      </c>
      <c r="G1937" t="inlineStr">
        <is>
          <t>8</t>
        </is>
      </c>
      <c r="H1937" t="inlineStr">
        <is>
          <t>0</t>
        </is>
      </c>
      <c r="I1937" t="inlineStr">
        <is>
          <t>16¹²</t>
        </is>
      </c>
      <c r="J1937" t="n">
        <v>12</v>
      </c>
      <c r="K1937" t="inlineStr">
        <is>
          <t>2⁴, 8²</t>
        </is>
      </c>
      <c r="L1937" t="inlineStr">
        <is>
          <t>16G², 16L³</t>
        </is>
      </c>
      <c r="M1937" t="inlineStr">
        <is>
          <t>16B¹⁹, 16A²¹, 32L²¹, 32D²³</t>
        </is>
      </c>
      <c r="N1937" t="inlineStr">
        <is>
          <t>16I¹, 8D⁰, 4C⁰, 8B⁰, 16B¹, 2B⁰, 1A⁰, 8H⁰, 16B⁰, 16E⁰, 8F⁰, 16L³, 4A⁰, 8I¹, 16C¹, 16G², 4F⁰, 16F¹</t>
        </is>
      </c>
      <c r="O1937" t="inlineStr">
        <is>
          <t>16A²¹, 32D²³, 32L²¹, 16B¹⁹</t>
        </is>
      </c>
    </row>
    <row r="1938">
      <c r="A1938">
        <f>HYPERLINK("https://mathstats.uncg.edu/sites/pauli/congruence/csg9.html#group17A9", "17A⁹")</f>
        <v/>
      </c>
      <c r="B1938" t="n">
        <v>9</v>
      </c>
      <c r="C1938" t="inlineStr"/>
      <c r="D1938" t="inlineStr">
        <is>
          <t>204</t>
        </is>
      </c>
      <c r="E1938" t="inlineStr">
        <is>
          <t>1</t>
        </is>
      </c>
      <c r="F1938" t="inlineStr">
        <is>
          <t>102</t>
        </is>
      </c>
      <c r="G1938" t="inlineStr">
        <is>
          <t>4</t>
        </is>
      </c>
      <c r="H1938" t="inlineStr">
        <is>
          <t>6</t>
        </is>
      </c>
      <c r="I1938" t="inlineStr">
        <is>
          <t>17¹²</t>
        </is>
      </c>
      <c r="J1938" t="n">
        <v>12</v>
      </c>
      <c r="K1938" t="inlineStr">
        <is>
          <t>4¹, 8¹, 16¹²</t>
        </is>
      </c>
      <c r="L1938" t="inlineStr">
        <is>
          <t>17A⁴</t>
        </is>
      </c>
      <c r="M1938" t="inlineStr"/>
      <c r="N1938" t="inlineStr">
        <is>
          <t>1A⁰, 17A⁴</t>
        </is>
      </c>
      <c r="O1938" t="inlineStr"/>
    </row>
    <row r="1939">
      <c r="A1939">
        <f>HYPERLINK("https://mathstats.uncg.edu/sites/pauli/congruence/csg9.html#group17B9", "17B⁹")</f>
        <v/>
      </c>
      <c r="B1939" t="n">
        <v>9</v>
      </c>
      <c r="C1939" t="inlineStr"/>
      <c r="D1939" t="inlineStr">
        <is>
          <t>204</t>
        </is>
      </c>
      <c r="E1939" t="inlineStr">
        <is>
          <t>1</t>
        </is>
      </c>
      <c r="F1939" t="inlineStr">
        <is>
          <t>102</t>
        </is>
      </c>
      <c r="G1939" t="inlineStr">
        <is>
          <t>4</t>
        </is>
      </c>
      <c r="H1939" t="inlineStr">
        <is>
          <t>6</t>
        </is>
      </c>
      <c r="I1939" t="inlineStr">
        <is>
          <t>17¹²</t>
        </is>
      </c>
      <c r="J1939" t="n">
        <v>12</v>
      </c>
      <c r="K1939" t="inlineStr">
        <is>
          <t>4¹, 8¹, 16¹²</t>
        </is>
      </c>
      <c r="L1939" t="inlineStr">
        <is>
          <t>17B⁴</t>
        </is>
      </c>
      <c r="M1939" t="inlineStr"/>
      <c r="N1939" t="inlineStr">
        <is>
          <t>1A⁰, 17B⁴</t>
        </is>
      </c>
      <c r="O1939" t="inlineStr"/>
    </row>
    <row r="1940">
      <c r="A1940">
        <f>HYPERLINK("https://mathstats.uncg.edu/sites/pauli/congruence/csg9.html#group19A9", "19A⁹")</f>
        <v/>
      </c>
      <c r="B1940" t="n">
        <v>9</v>
      </c>
      <c r="C1940" t="inlineStr"/>
      <c r="D1940" t="inlineStr">
        <is>
          <t>190</t>
        </is>
      </c>
      <c r="E1940" t="inlineStr">
        <is>
          <t>1</t>
        </is>
      </c>
      <c r="F1940" t="inlineStr">
        <is>
          <t>190</t>
        </is>
      </c>
      <c r="G1940" t="inlineStr">
        <is>
          <t>10</t>
        </is>
      </c>
      <c r="H1940" t="inlineStr">
        <is>
          <t>1</t>
        </is>
      </c>
      <c r="I1940" t="inlineStr">
        <is>
          <t>19¹⁰</t>
        </is>
      </c>
      <c r="J1940" t="n">
        <v>10</v>
      </c>
      <c r="K1940" t="inlineStr">
        <is>
          <t>1¹, 9¹, 18¹⁰</t>
        </is>
      </c>
      <c r="L1940" t="inlineStr">
        <is>
          <t>1A⁰</t>
        </is>
      </c>
      <c r="M1940" t="inlineStr">
        <is>
          <t>19A²², 38D²²</t>
        </is>
      </c>
      <c r="N1940" t="inlineStr">
        <is>
          <t>1A⁰</t>
        </is>
      </c>
      <c r="O1940" t="inlineStr">
        <is>
          <t>19A²², 38D²²</t>
        </is>
      </c>
    </row>
    <row r="1941">
      <c r="A1941">
        <f>HYPERLINK("https://mathstats.uncg.edu/sites/pauli/congruence/csg9.html#group20A9", "20A⁹")</f>
        <v/>
      </c>
      <c r="B1941" t="n">
        <v>9</v>
      </c>
      <c r="C1941" t="inlineStr"/>
      <c r="D1941" t="inlineStr">
        <is>
          <t>160</t>
        </is>
      </c>
      <c r="E1941" t="inlineStr">
        <is>
          <t>1</t>
        </is>
      </c>
      <c r="F1941" t="inlineStr">
        <is>
          <t>40</t>
        </is>
      </c>
      <c r="G1941" t="inlineStr">
        <is>
          <t>0</t>
        </is>
      </c>
      <c r="H1941" t="inlineStr">
        <is>
          <t>4</t>
        </is>
      </c>
      <c r="I1941" t="inlineStr">
        <is>
          <t>20⁸</t>
        </is>
      </c>
      <c r="J1941" t="n">
        <v>8</v>
      </c>
      <c r="K1941" t="inlineStr">
        <is>
          <t>4², 8⁴</t>
        </is>
      </c>
      <c r="L1941" t="inlineStr">
        <is>
          <t>10H¹, 20D², 20O³, 20A⁵, 20B⁵</t>
        </is>
      </c>
      <c r="M1941" t="inlineStr">
        <is>
          <t>20A¹⁷, 40A²¹, 40B²¹</t>
        </is>
      </c>
      <c r="N1941" t="inlineStr">
        <is>
          <t>10H¹, 2A⁰, 5A⁰, 20O³, 10D⁰, 20B⁵, 5F⁰, 20A¹, 20A⁵, 1A⁰, 10A⁰, 20D², 4A⁰, 4D⁰, 10C¹, 5C⁰, 20E²</t>
        </is>
      </c>
      <c r="O1941" t="inlineStr">
        <is>
          <t>40B²¹, 20A¹⁷, 40A²¹</t>
        </is>
      </c>
    </row>
    <row r="1942">
      <c r="A1942">
        <f>HYPERLINK("https://mathstats.uncg.edu/sites/pauli/congruence/csg9.html#group20B9", "20B⁹")</f>
        <v/>
      </c>
      <c r="B1942" t="n">
        <v>9</v>
      </c>
      <c r="C1942" t="inlineStr"/>
      <c r="D1942" t="inlineStr">
        <is>
          <t>180</t>
        </is>
      </c>
      <c r="E1942" t="inlineStr">
        <is>
          <t>1</t>
        </is>
      </c>
      <c r="F1942" t="inlineStr">
        <is>
          <t>45</t>
        </is>
      </c>
      <c r="G1942" t="inlineStr">
        <is>
          <t>4</t>
        </is>
      </c>
      <c r="H1942" t="inlineStr">
        <is>
          <t>0</t>
        </is>
      </c>
      <c r="I1942" t="inlineStr">
        <is>
          <t>10⁶, 20⁶</t>
        </is>
      </c>
      <c r="J1942" t="n">
        <v>12</v>
      </c>
      <c r="K1942" t="inlineStr">
        <is>
          <t>1³, 2³, 4⁹</t>
        </is>
      </c>
      <c r="L1942" t="inlineStr">
        <is>
          <t>20E¹, 10F², 20F³, 20E⁴, 20C⁵</t>
        </is>
      </c>
      <c r="M1942" t="inlineStr">
        <is>
          <t>20B¹⁷, 20A¹⁹, 20D¹⁹, 20B²¹, 20C²¹, 40H²¹, 40I²¹, 40C²³, 40D²³</t>
        </is>
      </c>
      <c r="N1942" t="inlineStr">
        <is>
          <t>20E¹, 5A⁰, 20E⁴, 10B¹, 20B², 4C⁰, 5B⁰, 2B⁰, 1A⁰, 20F³, 10F¹, 10I¹, 10F², 20C⁵, 10C⁰, 5E⁰, 5C⁰, 5G⁰</t>
        </is>
      </c>
      <c r="O1942" t="inlineStr">
        <is>
          <t>20B¹⁷, 20A¹⁹, 20B²¹, 40C²³, 20C²¹, 20D¹⁹, 40I²¹, 40H²¹, 40D²³</t>
        </is>
      </c>
    </row>
    <row r="1943">
      <c r="A1943">
        <f>HYPERLINK("https://mathstats.uncg.edu/sites/pauli/congruence/csg9.html#group20C9", "20C⁹")</f>
        <v/>
      </c>
      <c r="B1943" t="n">
        <v>9</v>
      </c>
      <c r="C1943" t="inlineStr"/>
      <c r="D1943" t="inlineStr">
        <is>
          <t>180</t>
        </is>
      </c>
      <c r="E1943" t="inlineStr">
        <is>
          <t>1</t>
        </is>
      </c>
      <c r="F1943" t="inlineStr">
        <is>
          <t>45</t>
        </is>
      </c>
      <c r="G1943" t="inlineStr">
        <is>
          <t>4</t>
        </is>
      </c>
      <c r="H1943" t="inlineStr">
        <is>
          <t>0</t>
        </is>
      </c>
      <c r="I1943" t="inlineStr">
        <is>
          <t>10⁶, 20⁶</t>
        </is>
      </c>
      <c r="J1943" t="n">
        <v>12</v>
      </c>
      <c r="K1943" t="inlineStr">
        <is>
          <t>2⁹, 4¹⁸</t>
        </is>
      </c>
      <c r="L1943" t="inlineStr">
        <is>
          <t>10C³, 20P³, 20C⁵</t>
        </is>
      </c>
      <c r="M1943" t="inlineStr">
        <is>
          <t>20B¹⁷, 20B¹⁹, 20C¹⁹, 40E²⁴</t>
        </is>
      </c>
      <c r="N1943" t="inlineStr">
        <is>
          <t>10C³, 5A⁰, 10I¹, 10B¹, 20C⁵, 5E⁰, 20P³, 2B⁰, 10E¹, 1A⁰</t>
        </is>
      </c>
      <c r="O1943" t="inlineStr">
        <is>
          <t>20B¹⁷, 20C¹⁹, 20B¹⁹, 40E²⁴</t>
        </is>
      </c>
    </row>
    <row r="1944">
      <c r="A1944">
        <f>HYPERLINK("https://mathstats.uncg.edu/sites/pauli/congruence/csg9.html#group20D9", "20D⁹")</f>
        <v/>
      </c>
      <c r="B1944" t="n">
        <v>9</v>
      </c>
      <c r="C1944" t="inlineStr"/>
      <c r="D1944" t="inlineStr">
        <is>
          <t>180</t>
        </is>
      </c>
      <c r="E1944" t="inlineStr">
        <is>
          <t>1</t>
        </is>
      </c>
      <c r="F1944" t="inlineStr">
        <is>
          <t>45</t>
        </is>
      </c>
      <c r="G1944" t="inlineStr">
        <is>
          <t>4</t>
        </is>
      </c>
      <c r="H1944" t="inlineStr">
        <is>
          <t>0</t>
        </is>
      </c>
      <c r="I1944" t="inlineStr">
        <is>
          <t>10⁶, 20⁶</t>
        </is>
      </c>
      <c r="J1944" t="n">
        <v>12</v>
      </c>
      <c r="K1944" t="inlineStr">
        <is>
          <t>2⁹, 4¹⁸</t>
        </is>
      </c>
      <c r="L1944" t="inlineStr">
        <is>
          <t>10C³, 20P³, 20C⁵</t>
        </is>
      </c>
      <c r="M1944" t="inlineStr">
        <is>
          <t>20B¹⁷, 20B¹⁹, 20C¹⁹, 40F²⁴</t>
        </is>
      </c>
      <c r="N1944" t="inlineStr">
        <is>
          <t>10C³, 5A⁰, 10I¹, 10B¹, 20C⁵, 5E⁰, 20P³, 2B⁰, 10E¹, 1A⁰</t>
        </is>
      </c>
      <c r="O1944" t="inlineStr">
        <is>
          <t>20B¹⁷, 20C¹⁹, 20B¹⁹, 40F²⁴</t>
        </is>
      </c>
    </row>
    <row r="1945">
      <c r="A1945">
        <f>HYPERLINK("https://mathstats.uncg.edu/sites/pauli/congruence/csg9.html#group20E9", "20E⁹")</f>
        <v/>
      </c>
      <c r="B1945" t="n">
        <v>9</v>
      </c>
      <c r="C1945" t="inlineStr"/>
      <c r="D1945" t="inlineStr">
        <is>
          <t>192</t>
        </is>
      </c>
      <c r="E1945" t="inlineStr">
        <is>
          <t>1</t>
        </is>
      </c>
      <c r="F1945" t="inlineStr">
        <is>
          <t>24</t>
        </is>
      </c>
      <c r="G1945" t="inlineStr">
        <is>
          <t>0</t>
        </is>
      </c>
      <c r="H1945" t="inlineStr">
        <is>
          <t>0</t>
        </is>
      </c>
      <c r="I1945" t="inlineStr">
        <is>
          <t>4⁸, 20⁸</t>
        </is>
      </c>
      <c r="J1945" t="n">
        <v>16</v>
      </c>
      <c r="K1945" t="inlineStr">
        <is>
          <t>2⁴, 8²</t>
        </is>
      </c>
      <c r="L1945" t="inlineStr">
        <is>
          <t>20A³, 20Q³, 20D⁵</t>
        </is>
      </c>
      <c r="M1945" t="inlineStr"/>
      <c r="N1945" t="inlineStr">
        <is>
          <t>2A⁰, 20C¹, 20Q³, 20C³, 5B⁰, 5D⁰, 10A¹, 10D¹, 1A⁰, 20B³, 20B¹, 20A³, 10B⁰, 4A⁰, 4D⁰, 20G¹, 20D⁵</t>
        </is>
      </c>
      <c r="O1945" t="inlineStr"/>
    </row>
    <row r="1946">
      <c r="A1946">
        <f>HYPERLINK("https://mathstats.uncg.edu/sites/pauli/congruence/csg9.html#group20F9", "20F⁹")</f>
        <v/>
      </c>
      <c r="B1946" t="n">
        <v>9</v>
      </c>
      <c r="C1946" t="inlineStr"/>
      <c r="D1946" t="inlineStr">
        <is>
          <t>288</t>
        </is>
      </c>
      <c r="E1946" t="inlineStr">
        <is>
          <t>1</t>
        </is>
      </c>
      <c r="F1946" t="inlineStr">
        <is>
          <t>18</t>
        </is>
      </c>
      <c r="G1946" t="inlineStr">
        <is>
          <t>0</t>
        </is>
      </c>
      <c r="H1946" t="inlineStr">
        <is>
          <t>0</t>
        </is>
      </c>
      <c r="I1946" t="inlineStr">
        <is>
          <t>2⁸, 4⁸, 10⁸, 20⁸</t>
        </is>
      </c>
      <c r="J1946" t="n">
        <v>32</v>
      </c>
      <c r="K1946" t="inlineStr">
        <is>
          <t>1⁶, 4³</t>
        </is>
      </c>
      <c r="L1946" t="inlineStr">
        <is>
          <t>20R³, 20S³, 20T³, 20I⁵</t>
        </is>
      </c>
      <c r="M1946" t="inlineStr"/>
      <c r="N1946" t="inlineStr">
        <is>
          <t>20E¹, 2A⁰, 10G⁰, 20I⁵, 20G³, 4C⁰, 5B⁰, 5D⁰, 10A¹, 2B⁰, 20D¹, 20H¹, 4E⁰, 4B⁰, 10D¹, 1A⁰, 20J¹, 20H³, 20S³, 20T³, 10F⁰, 10B⁰, 20A⁰, 20I¹, 20R³, 10C⁰, 10K¹, 20I³, 20J³, 2C⁰, 20C², 10G¹</t>
        </is>
      </c>
      <c r="O1946" t="inlineStr"/>
    </row>
    <row r="1947">
      <c r="A1947">
        <f>HYPERLINK("https://mathstats.uncg.edu/sites/pauli/congruence/csg9.html#group21A9", "21A⁹")</f>
        <v/>
      </c>
      <c r="B1947" t="n">
        <v>9</v>
      </c>
      <c r="C1947" t="inlineStr"/>
      <c r="D1947" t="inlineStr">
        <is>
          <t>168</t>
        </is>
      </c>
      <c r="E1947" t="inlineStr">
        <is>
          <t>1</t>
        </is>
      </c>
      <c r="F1947" t="inlineStr">
        <is>
          <t>84</t>
        </is>
      </c>
      <c r="G1947" t="inlineStr">
        <is>
          <t>0</t>
        </is>
      </c>
      <c r="H1947" t="inlineStr">
        <is>
          <t>0</t>
        </is>
      </c>
      <c r="I1947" t="inlineStr">
        <is>
          <t>7⁶, 21⁶</t>
        </is>
      </c>
      <c r="J1947" t="n">
        <v>12</v>
      </c>
      <c r="K1947" t="inlineStr">
        <is>
          <t>3², 6⁷, 12³</t>
        </is>
      </c>
      <c r="L1947" t="inlineStr">
        <is>
          <t>7A¹, 21A⁵</t>
        </is>
      </c>
      <c r="M1947" t="inlineStr">
        <is>
          <t>21A¹⁷, 42C²³, 42D²³</t>
        </is>
      </c>
      <c r="N1947" t="inlineStr">
        <is>
          <t>3B⁰, 21B², 21A⁵, 1A⁰, 7D⁰, 7A⁰, 7A¹</t>
        </is>
      </c>
      <c r="O1947" t="inlineStr">
        <is>
          <t>42C²³, 42D²³, 21A¹⁷</t>
        </is>
      </c>
    </row>
    <row r="1948">
      <c r="A1948">
        <f>HYPERLINK("https://mathstats.uncg.edu/sites/pauli/congruence/csg9.html#group21B9", "21B⁹")</f>
        <v/>
      </c>
      <c r="B1948" t="n">
        <v>9</v>
      </c>
      <c r="C1948" t="inlineStr"/>
      <c r="D1948" t="inlineStr">
        <is>
          <t>168</t>
        </is>
      </c>
      <c r="E1948" t="inlineStr">
        <is>
          <t>1</t>
        </is>
      </c>
      <c r="F1948" t="inlineStr">
        <is>
          <t>84</t>
        </is>
      </c>
      <c r="G1948" t="inlineStr">
        <is>
          <t>8</t>
        </is>
      </c>
      <c r="H1948" t="inlineStr">
        <is>
          <t>0</t>
        </is>
      </c>
      <c r="I1948" t="inlineStr">
        <is>
          <t>21⁸</t>
        </is>
      </c>
      <c r="J1948" t="n">
        <v>8</v>
      </c>
      <c r="K1948" t="inlineStr">
        <is>
          <t>1¹, 2¹, 3¹, 6⁵, 12⁴</t>
        </is>
      </c>
      <c r="L1948" t="inlineStr">
        <is>
          <t>21D², 21C³</t>
        </is>
      </c>
      <c r="M1948" t="inlineStr">
        <is>
          <t>21B¹⁷, 21A²¹, 21B²¹, 42A²¹, 42B²¹</t>
        </is>
      </c>
      <c r="N1948" t="inlineStr">
        <is>
          <t>21D², 7F⁰, 21A⁰, 3C⁰, 3A⁰, 1A⁰, 21C³, 7A⁰</t>
        </is>
      </c>
      <c r="O1948" t="inlineStr">
        <is>
          <t>42A²¹, 21A²¹, 21B²¹, 42B²¹, 21B¹⁷</t>
        </is>
      </c>
    </row>
    <row r="1949">
      <c r="A1949">
        <f>HYPERLINK("https://mathstats.uncg.edu/sites/pauli/congruence/csg9.html#group21C9", "21C⁹")</f>
        <v/>
      </c>
      <c r="B1949" t="n">
        <v>9</v>
      </c>
      <c r="C1949" t="inlineStr"/>
      <c r="D1949" t="inlineStr">
        <is>
          <t>168</t>
        </is>
      </c>
      <c r="E1949" t="inlineStr">
        <is>
          <t>2</t>
        </is>
      </c>
      <c r="F1949" t="inlineStr">
        <is>
          <t>28</t>
        </is>
      </c>
      <c r="G1949" t="inlineStr">
        <is>
          <t>0</t>
        </is>
      </c>
      <c r="H1949" t="inlineStr">
        <is>
          <t>0</t>
        </is>
      </c>
      <c r="I1949" t="inlineStr">
        <is>
          <t>7⁶, 21⁶</t>
        </is>
      </c>
      <c r="J1949" t="n">
        <v>12</v>
      </c>
      <c r="K1949" t="inlineStr">
        <is>
          <t>2², 4¹, 6⁴, 12²</t>
        </is>
      </c>
      <c r="L1949" t="inlineStr">
        <is>
          <t>7G⁰, 21B³, 21A⁵</t>
        </is>
      </c>
      <c r="M1949" t="inlineStr">
        <is>
          <t>21A¹⁷, 42E²³, 42I²³</t>
        </is>
      </c>
      <c r="N1949" t="inlineStr">
        <is>
          <t>21B³, 3B⁰, 21B², 7D⁰, 7C⁰, 7G⁰, 21A⁵, 1A⁰, 7A⁰</t>
        </is>
      </c>
      <c r="O1949" t="inlineStr">
        <is>
          <t>42E²³, 42I²³, 21A¹⁷</t>
        </is>
      </c>
    </row>
    <row r="1950">
      <c r="A1950">
        <f>HYPERLINK("https://mathstats.uncg.edu/sites/pauli/congruence/csg9.html#group21D9", "21D⁹")</f>
        <v/>
      </c>
      <c r="B1950" t="n">
        <v>9</v>
      </c>
      <c r="C1950" t="inlineStr"/>
      <c r="D1950" t="inlineStr">
        <is>
          <t>192</t>
        </is>
      </c>
      <c r="E1950" t="inlineStr">
        <is>
          <t>1</t>
        </is>
      </c>
      <c r="F1950" t="inlineStr">
        <is>
          <t>8</t>
        </is>
      </c>
      <c r="G1950" t="inlineStr">
        <is>
          <t>0</t>
        </is>
      </c>
      <c r="H1950" t="inlineStr">
        <is>
          <t>0</t>
        </is>
      </c>
      <c r="I1950" t="inlineStr">
        <is>
          <t>3⁸, 21⁸</t>
        </is>
      </c>
      <c r="J1950" t="n">
        <v>16</v>
      </c>
      <c r="K1950" t="inlineStr">
        <is>
          <t>1², 6¹</t>
        </is>
      </c>
      <c r="L1950" t="inlineStr">
        <is>
          <t>21F¹, 21C⁵</t>
        </is>
      </c>
      <c r="M1950" t="inlineStr"/>
      <c r="N1950" t="inlineStr">
        <is>
          <t>3B⁰, 21B¹, 21C⁵, 21A², 7B⁰, 3C⁰, 3A⁰, 1A⁰, 21A³, 21F¹, 3D⁰</t>
        </is>
      </c>
      <c r="O1950" t="inlineStr"/>
    </row>
    <row r="1951">
      <c r="A1951">
        <f>HYPERLINK("https://mathstats.uncg.edu/sites/pauli/congruence/csg9.html#group22A9", "22A⁹")</f>
        <v/>
      </c>
      <c r="B1951" t="n">
        <v>9</v>
      </c>
      <c r="C1951" t="inlineStr"/>
      <c r="D1951" t="inlineStr">
        <is>
          <t>132</t>
        </is>
      </c>
      <c r="E1951" t="inlineStr">
        <is>
          <t>1</t>
        </is>
      </c>
      <c r="F1951" t="inlineStr">
        <is>
          <t>66</t>
        </is>
      </c>
      <c r="G1951" t="inlineStr">
        <is>
          <t>0</t>
        </is>
      </c>
      <c r="H1951" t="inlineStr">
        <is>
          <t>0</t>
        </is>
      </c>
      <c r="I1951" t="inlineStr">
        <is>
          <t>22⁶</t>
        </is>
      </c>
      <c r="J1951" t="n">
        <v>6</v>
      </c>
      <c r="K1951" t="inlineStr">
        <is>
          <t>1¹, 5¹, 10⁶</t>
        </is>
      </c>
      <c r="L1951" t="inlineStr">
        <is>
          <t>22A¹, 11A²</t>
        </is>
      </c>
      <c r="M1951" t="inlineStr">
        <is>
          <t>22A¹⁷</t>
        </is>
      </c>
      <c r="N1951" t="inlineStr">
        <is>
          <t>11A⁰, 2A⁰, 22A¹, 1A⁰, 11A²</t>
        </is>
      </c>
      <c r="O1951" t="inlineStr">
        <is>
          <t>22A¹⁷</t>
        </is>
      </c>
    </row>
    <row r="1952">
      <c r="A1952">
        <f>HYPERLINK("https://mathstats.uncg.edu/sites/pauli/congruence/csg9.html#group22B9", "22B⁹")</f>
        <v/>
      </c>
      <c r="B1952" t="n">
        <v>9</v>
      </c>
      <c r="C1952" t="inlineStr"/>
      <c r="D1952" t="inlineStr">
        <is>
          <t>165</t>
        </is>
      </c>
      <c r="E1952" t="inlineStr">
        <is>
          <t>1</t>
        </is>
      </c>
      <c r="F1952" t="inlineStr">
        <is>
          <t>165</t>
        </is>
      </c>
      <c r="G1952" t="inlineStr">
        <is>
          <t>3</t>
        </is>
      </c>
      <c r="H1952" t="inlineStr">
        <is>
          <t>0</t>
        </is>
      </c>
      <c r="I1952" t="inlineStr">
        <is>
          <t>11⁵, 22⁵</t>
        </is>
      </c>
      <c r="J1952" t="n">
        <v>10</v>
      </c>
      <c r="K1952" t="inlineStr">
        <is>
          <t>5³, 10¹⁵</t>
        </is>
      </c>
      <c r="L1952" t="inlineStr">
        <is>
          <t>11B¹, 22B²</t>
        </is>
      </c>
      <c r="M1952" t="inlineStr">
        <is>
          <t>22C²¹, 44B²¹, 44A²²</t>
        </is>
      </c>
      <c r="N1952" t="inlineStr">
        <is>
          <t>11A⁰, 2B⁰, 11B¹, 22B², 1A⁰</t>
        </is>
      </c>
      <c r="O1952" t="inlineStr">
        <is>
          <t>44B²¹, 22C²¹, 44A²²</t>
        </is>
      </c>
    </row>
    <row r="1953">
      <c r="A1953">
        <f>HYPERLINK("https://mathstats.uncg.edu/sites/pauli/congruence/csg9.html#group24A9", "24A⁹")</f>
        <v/>
      </c>
      <c r="B1953" t="n">
        <v>9</v>
      </c>
      <c r="C1953" t="inlineStr"/>
      <c r="D1953" t="inlineStr">
        <is>
          <t>144</t>
        </is>
      </c>
      <c r="E1953" t="inlineStr">
        <is>
          <t>1</t>
        </is>
      </c>
      <c r="F1953" t="inlineStr">
        <is>
          <t>3</t>
        </is>
      </c>
      <c r="G1953" t="inlineStr">
        <is>
          <t>0</t>
        </is>
      </c>
      <c r="H1953" t="inlineStr">
        <is>
          <t>0</t>
        </is>
      </c>
      <c r="I1953" t="inlineStr">
        <is>
          <t>12⁴, 24⁴</t>
        </is>
      </c>
      <c r="J1953" t="n">
        <v>8</v>
      </c>
      <c r="K1953" t="inlineStr">
        <is>
          <t>1³</t>
        </is>
      </c>
      <c r="L1953" t="inlineStr">
        <is>
          <t>12D³, 24B³, 24I³, 24C⁵</t>
        </is>
      </c>
      <c r="M1953" t="inlineStr">
        <is>
          <t>24C¹⁷, 24D¹⁷, 24L¹⁷, 48D²¹, 48C²¹, 48H²¹, 48W²¹</t>
        </is>
      </c>
      <c r="N1953" t="inlineStr">
        <is>
          <t>3B⁰, 12C⁰, 24B³, 12F¹, 4C⁰, 12C², 24I³, 8B⁰, 6G⁰, 2B⁰, 24C², 1A⁰, 12L¹, 3D⁰, 12D³, 12C¹, 24A⁰, 24C⁵, 3C⁰, 6K⁰, 3A⁰, 6F⁰, 6D⁰</t>
        </is>
      </c>
      <c r="O1953" t="inlineStr">
        <is>
          <t>48W²¹, 48H²¹, 48C²¹, 24C¹⁷, 24L¹⁷, 48D²¹, 24D¹⁷</t>
        </is>
      </c>
    </row>
    <row r="1954">
      <c r="A1954">
        <f>HYPERLINK("https://mathstats.uncg.edu/sites/pauli/congruence/csg9.html#group24B9", "24B⁹")</f>
        <v/>
      </c>
      <c r="B1954" t="n">
        <v>9</v>
      </c>
      <c r="C1954" t="inlineStr"/>
      <c r="D1954" t="inlineStr">
        <is>
          <t>144</t>
        </is>
      </c>
      <c r="E1954" t="inlineStr">
        <is>
          <t>1</t>
        </is>
      </c>
      <c r="F1954" t="inlineStr">
        <is>
          <t>3</t>
        </is>
      </c>
      <c r="G1954" t="inlineStr">
        <is>
          <t>0</t>
        </is>
      </c>
      <c r="H1954" t="inlineStr">
        <is>
          <t>0</t>
        </is>
      </c>
      <c r="I1954" t="inlineStr">
        <is>
          <t>12⁴, 24⁴</t>
        </is>
      </c>
      <c r="J1954" t="n">
        <v>8</v>
      </c>
      <c r="K1954" t="inlineStr">
        <is>
          <t>1³</t>
        </is>
      </c>
      <c r="L1954" t="inlineStr">
        <is>
          <t>12D³, 24C³, 24H³, 24E⁵</t>
        </is>
      </c>
      <c r="M1954" t="inlineStr">
        <is>
          <t>24C¹⁷, 24E¹⁷, 24K¹⁷, 48A²¹, 48B²¹, 48G²¹, 48X²¹</t>
        </is>
      </c>
      <c r="N1954" t="inlineStr">
        <is>
          <t>3B⁰, 24A³, 8A¹, 12C⁰, 12F¹, 4C⁰, 24D¹, 12C², 6G⁰, 2B⁰, 24E⁵, 1A⁰, 12L¹, 3D⁰, 24C³, 12D³, 24H³, 12C¹, 3C⁰, 6K⁰, 3A⁰, 6F⁰, 6D⁰</t>
        </is>
      </c>
      <c r="O1954" t="inlineStr">
        <is>
          <t>48B²¹, 48X²¹, 24E¹⁷, 24K¹⁷, 48A²¹, 24C¹⁷, 48G²¹</t>
        </is>
      </c>
    </row>
    <row r="1955">
      <c r="A1955">
        <f>HYPERLINK("https://mathstats.uncg.edu/sites/pauli/congruence/csg9.html#group24C9", "24C⁹")</f>
        <v/>
      </c>
      <c r="B1955" t="n">
        <v>9</v>
      </c>
      <c r="C1955" t="inlineStr"/>
      <c r="D1955" t="inlineStr">
        <is>
          <t>144</t>
        </is>
      </c>
      <c r="E1955" t="inlineStr">
        <is>
          <t>1</t>
        </is>
      </c>
      <c r="F1955" t="inlineStr">
        <is>
          <t>3</t>
        </is>
      </c>
      <c r="G1955" t="inlineStr">
        <is>
          <t>0</t>
        </is>
      </c>
      <c r="H1955" t="inlineStr">
        <is>
          <t>0</t>
        </is>
      </c>
      <c r="I1955" t="inlineStr">
        <is>
          <t>12⁴, 24⁴</t>
        </is>
      </c>
      <c r="J1955" t="n">
        <v>8</v>
      </c>
      <c r="K1955" t="inlineStr">
        <is>
          <t>1³</t>
        </is>
      </c>
      <c r="L1955" t="inlineStr">
        <is>
          <t>8F¹, 24L², 12A⁴, 24D⁴, 24A⁵, 24B⁵</t>
        </is>
      </c>
      <c r="M1955" t="inlineStr">
        <is>
          <t>24B¹⁷, 24F¹⁷, 24J¹⁷, 24A¹⁹, 24D¹⁹, 24F¹⁹, 24G¹⁹, 48A¹⁹, 48B¹⁹, 48D¹⁹, 48G¹⁹, 48E²¹, 48F²¹, 48L²¹, 48Q²¹</t>
        </is>
      </c>
      <c r="N1955" t="inlineStr">
        <is>
          <t>2A⁰, 24A³, 12C⁰, 6C¹, 24A⁵, 12B², 4C⁰, 4G⁰, 2B⁰, 4E⁰, 8C⁰, 4B⁰, 8F¹, 1A⁰, 12A⁴, 24B², 24A⁰, 8G⁰, 4D⁰, 12A², 6A¹, 12B¹, 3A⁰, 8A¹, 8D⁰, 12E¹, 8B⁰, 8B¹, 24L², 24D⁴, 8H⁰, 12A⁰, 8C¹, 6A⁰, 4A⁰, 24C¹, 12J¹, 4F⁰, 2C⁰, 6D⁰, 24B⁵</t>
        </is>
      </c>
      <c r="O1955" t="inlineStr">
        <is>
          <t>48G¹⁹, 24A¹⁹, 24B¹⁷, 48B¹⁹, 48E²¹, 48D¹⁹, 24J¹⁷, 24G¹⁹, 48L²¹, 48Q²¹, 24F¹⁹, 24F¹⁷, 48F²¹, 24D¹⁹, 48A¹⁹</t>
        </is>
      </c>
    </row>
    <row r="1956">
      <c r="A1956">
        <f>HYPERLINK("https://mathstats.uncg.edu/sites/pauli/congruence/csg9.html#group24D9", "24D⁹")</f>
        <v/>
      </c>
      <c r="B1956" t="n">
        <v>9</v>
      </c>
      <c r="C1956" t="inlineStr"/>
      <c r="D1956" t="inlineStr">
        <is>
          <t>144</t>
        </is>
      </c>
      <c r="E1956" t="inlineStr">
        <is>
          <t>1</t>
        </is>
      </c>
      <c r="F1956" t="inlineStr">
        <is>
          <t>6</t>
        </is>
      </c>
      <c r="G1956" t="inlineStr">
        <is>
          <t>0</t>
        </is>
      </c>
      <c r="H1956" t="inlineStr">
        <is>
          <t>0</t>
        </is>
      </c>
      <c r="I1956" t="inlineStr">
        <is>
          <t>12⁴, 24⁴</t>
        </is>
      </c>
      <c r="J1956" t="n">
        <v>8</v>
      </c>
      <c r="K1956" t="inlineStr">
        <is>
          <t>1⁴, 2¹</t>
        </is>
      </c>
      <c r="L1956" t="inlineStr">
        <is>
          <t>8G¹, 24M², 24G⁴, 24A⁵</t>
        </is>
      </c>
      <c r="M1956" t="inlineStr">
        <is>
          <t>24B¹⁷, 24U¹⁷, 24V¹⁷, 48R¹⁹, 48AR¹⁹, 48I²¹, 48J²¹, 48AH²¹, 48AL²¹</t>
        </is>
      </c>
      <c r="N1956" t="inlineStr">
        <is>
          <t>2A⁰, 24A³, 8A¹, 12C⁰, 4C⁰, 24A⁵, 8B⁰, 6C¹, 12B², 8L⁰, 2B⁰, 8B¹, 4E⁰, 4B⁰, 1A⁰, 6A⁰, 24A⁰, 8G¹, 24M², 12B¹, 6A¹, 3A⁰, 8J⁰, 2C⁰, 6D⁰, 24G⁴</t>
        </is>
      </c>
      <c r="O1956" t="inlineStr">
        <is>
          <t>48AH²¹, 24U¹⁷, 24V¹⁷, 24B¹⁷, 48AL²¹, 48I²¹, 48R¹⁹, 48J²¹, 48AR¹⁹</t>
        </is>
      </c>
    </row>
    <row r="1957">
      <c r="A1957">
        <f>HYPERLINK("https://mathstats.uncg.edu/sites/pauli/congruence/csg9.html#group24E9", "24E⁹")</f>
        <v/>
      </c>
      <c r="B1957" t="n">
        <v>9</v>
      </c>
      <c r="C1957" t="inlineStr"/>
      <c r="D1957" t="inlineStr">
        <is>
          <t>144</t>
        </is>
      </c>
      <c r="E1957" t="inlineStr">
        <is>
          <t>1</t>
        </is>
      </c>
      <c r="F1957" t="inlineStr">
        <is>
          <t>9</t>
        </is>
      </c>
      <c r="G1957" t="inlineStr">
        <is>
          <t>0</t>
        </is>
      </c>
      <c r="H1957" t="inlineStr">
        <is>
          <t>0</t>
        </is>
      </c>
      <c r="I1957" t="inlineStr">
        <is>
          <t>12⁴, 24⁴</t>
        </is>
      </c>
      <c r="J1957" t="n">
        <v>8</v>
      </c>
      <c r="K1957" t="inlineStr">
        <is>
          <t>1³, 2³</t>
        </is>
      </c>
      <c r="L1957" t="inlineStr">
        <is>
          <t>12T¹, 24S³, 24C⁵, 24D⁵, 24E⁵</t>
        </is>
      </c>
      <c r="M1957" t="inlineStr">
        <is>
          <t>24C¹⁷, 24M¹⁷, 24N¹⁷, 24O¹⁷, 48AV²¹, 48BE²¹</t>
        </is>
      </c>
      <c r="N1957" t="inlineStr">
        <is>
          <t>12T¹, 24A³, 6B⁰, 12C⁰, 3A⁰, 8A¹, 4C⁰, 24D¹, 6G⁰, 2B⁰, 24C², 12N¹, 24E⁵, 1A⁰, 12L¹, 24D⁵, 12G⁰, 12C¹, 6E⁰, 6L⁰, 24C⁵, 24S³, 3C⁰, 12D⁰, 6H⁰, 12H⁰, 6D⁰</t>
        </is>
      </c>
      <c r="O1957" t="inlineStr">
        <is>
          <t>24O¹⁷, 24C¹⁷, 24N¹⁷, 48AV²¹, 24M¹⁷, 48BE²¹</t>
        </is>
      </c>
    </row>
    <row r="1958">
      <c r="A1958">
        <f>HYPERLINK("https://mathstats.uncg.edu/sites/pauli/congruence/csg9.html#group24F9", "24F⁹")</f>
        <v/>
      </c>
      <c r="B1958" t="n">
        <v>9</v>
      </c>
      <c r="C1958" t="inlineStr"/>
      <c r="D1958" t="inlineStr">
        <is>
          <t>144</t>
        </is>
      </c>
      <c r="E1958" t="inlineStr">
        <is>
          <t>1</t>
        </is>
      </c>
      <c r="F1958" t="inlineStr">
        <is>
          <t>9</t>
        </is>
      </c>
      <c r="G1958" t="inlineStr">
        <is>
          <t>0</t>
        </is>
      </c>
      <c r="H1958" t="inlineStr">
        <is>
          <t>0</t>
        </is>
      </c>
      <c r="I1958" t="inlineStr">
        <is>
          <t>12⁴, 24⁴</t>
        </is>
      </c>
      <c r="J1958" t="n">
        <v>8</v>
      </c>
      <c r="K1958" t="inlineStr">
        <is>
          <t>1³, 2³</t>
        </is>
      </c>
      <c r="L1958" t="inlineStr">
        <is>
          <t>24P², 12C⁴, 24E⁴, 24A⁵, 24G⁵</t>
        </is>
      </c>
      <c r="M1958" t="inlineStr">
        <is>
          <t>24I¹⁷, 24J¹⁷, 24Q¹⁷, 24U¹⁷, 48N²¹, 48R²¹, 48AG²¹, 48AN²¹, 48BQ²¹</t>
        </is>
      </c>
      <c r="N1958" t="inlineStr">
        <is>
          <t>2A⁰, 24E¹, 24A³, 12C⁰, 4C⁰, 24A⁵, 6C¹, 12B², 24P², 12E², 12M¹, 2B⁰, 4E⁰, 4B⁰, 1A⁰, 24A⁰, 24D², 12B¹, 6A¹, 3A⁰, 24G⁵, 8A¹, 8B⁰, 8B¹, 6A⁰, 12C¹, 24E⁴, 12D⁰, 12C⁴, 2C⁰, 6D⁰</t>
        </is>
      </c>
      <c r="O1958" t="inlineStr">
        <is>
          <t>24U¹⁷, 48N²¹, 24Q¹⁷, 48AN²¹, 24J¹⁷, 24I¹⁷, 48R²¹, 48BQ²¹, 48AG²¹</t>
        </is>
      </c>
    </row>
    <row r="1959">
      <c r="A1959">
        <f>HYPERLINK("https://mathstats.uncg.edu/sites/pauli/congruence/csg9.html#group24G9", "24G⁹")</f>
        <v/>
      </c>
      <c r="B1959" t="n">
        <v>9</v>
      </c>
      <c r="C1959" t="inlineStr"/>
      <c r="D1959" t="inlineStr">
        <is>
          <t>144</t>
        </is>
      </c>
      <c r="E1959" t="inlineStr">
        <is>
          <t>1</t>
        </is>
      </c>
      <c r="F1959" t="inlineStr">
        <is>
          <t>9</t>
        </is>
      </c>
      <c r="G1959" t="inlineStr">
        <is>
          <t>0</t>
        </is>
      </c>
      <c r="H1959" t="inlineStr">
        <is>
          <t>0</t>
        </is>
      </c>
      <c r="I1959" t="inlineStr">
        <is>
          <t>12⁴, 24⁴</t>
        </is>
      </c>
      <c r="J1959" t="n">
        <v>8</v>
      </c>
      <c r="K1959" t="inlineStr">
        <is>
          <t>1³, 2³</t>
        </is>
      </c>
      <c r="L1959" t="inlineStr">
        <is>
          <t>12G³, 24H³, 24S³, 24C⁵, 24F⁵</t>
        </is>
      </c>
      <c r="M1959" t="inlineStr">
        <is>
          <t>24C¹⁷, 24G¹⁷, 24H¹⁷, 24Z¹⁷, 48Y²¹, 48Z²¹, 48AU²¹</t>
        </is>
      </c>
      <c r="N1959" t="inlineStr">
        <is>
          <t>2A⁰, 12C⁰, 12K¹, 12D², 4C⁰, 6C¹, 12B², 6G⁰, 12E², 2B⁰, 4E⁰, 24C², 4B⁰, 12G³, 1A⁰, 24F⁵, 24H³, 6B¹, 24S³, 3C⁰, 6A¹, 12B¹, 6H⁰, 3A⁰, 6E¹, 6B⁰, 24D¹, 12L¹, 12C¹, 6A⁰, 24C⁵, 12D⁰, 12H⁰, 2C⁰, 6D⁰</t>
        </is>
      </c>
      <c r="O1959" t="inlineStr">
        <is>
          <t>24H¹⁷, 24Z¹⁷, 48Z²¹, 48AU²¹, 48Y²¹, 24C¹⁷, 24G¹⁷</t>
        </is>
      </c>
    </row>
    <row r="1960">
      <c r="A1960">
        <f>HYPERLINK("https://mathstats.uncg.edu/sites/pauli/congruence/csg9.html#group24H9", "24H⁹")</f>
        <v/>
      </c>
      <c r="B1960" t="n">
        <v>9</v>
      </c>
      <c r="C1960" t="inlineStr"/>
      <c r="D1960" t="inlineStr">
        <is>
          <t>144</t>
        </is>
      </c>
      <c r="E1960" t="inlineStr">
        <is>
          <t>1</t>
        </is>
      </c>
      <c r="F1960" t="inlineStr">
        <is>
          <t>9</t>
        </is>
      </c>
      <c r="G1960" t="inlineStr">
        <is>
          <t>0</t>
        </is>
      </c>
      <c r="H1960" t="inlineStr">
        <is>
          <t>0</t>
        </is>
      </c>
      <c r="I1960" t="inlineStr">
        <is>
          <t>12⁴, 24⁴</t>
        </is>
      </c>
      <c r="J1960" t="n">
        <v>8</v>
      </c>
      <c r="K1960" t="inlineStr">
        <is>
          <t>1³, 2³</t>
        </is>
      </c>
      <c r="L1960" t="inlineStr">
        <is>
          <t>24P³, 12A⁴, 24E⁴, 24K⁴, 24F⁵</t>
        </is>
      </c>
      <c r="M1960" t="inlineStr">
        <is>
          <t>24G¹⁷, 24J¹⁷, 24R¹⁷, 24W¹⁷, 24E¹⁹, 24F¹⁹, 24H¹⁹, 24I¹⁹, 24S¹⁹</t>
        </is>
      </c>
      <c r="N1960" t="inlineStr">
        <is>
          <t>2A⁰, 24E¹, 12C⁰, 6C¹, 12E¹, 12B², 4C⁰, 24D¹, 4G⁰, 2B⁰, 24P³, 4E⁰, 24C², 4B⁰, 1A⁰, 24F⁵, 12A⁴, 12A⁰, 6A⁰, 4A⁰, 4D⁰, 24K⁴, 12A², 24E⁴, 24D², 12J¹, 6A¹, 12B¹, 4F⁰, 3A⁰, 2C⁰, 6D⁰</t>
        </is>
      </c>
      <c r="O1960" t="inlineStr">
        <is>
          <t>24W¹⁷, 24R¹⁷, 24E¹⁹, 24G¹⁷, 24I¹⁹, 24J¹⁷, 24H¹⁹, 24S¹⁹, 24F¹⁹</t>
        </is>
      </c>
    </row>
    <row r="1961">
      <c r="A1961">
        <f>HYPERLINK("https://mathstats.uncg.edu/sites/pauli/congruence/csg9.html#group24I9", "24I⁹")</f>
        <v/>
      </c>
      <c r="B1961" t="n">
        <v>9</v>
      </c>
      <c r="C1961" t="inlineStr"/>
      <c r="D1961" t="inlineStr">
        <is>
          <t>144</t>
        </is>
      </c>
      <c r="E1961" t="inlineStr">
        <is>
          <t>1</t>
        </is>
      </c>
      <c r="F1961" t="inlineStr">
        <is>
          <t>9</t>
        </is>
      </c>
      <c r="G1961" t="inlineStr">
        <is>
          <t>0</t>
        </is>
      </c>
      <c r="H1961" t="inlineStr">
        <is>
          <t>0</t>
        </is>
      </c>
      <c r="I1961" t="inlineStr">
        <is>
          <t>12⁴, 24⁴</t>
        </is>
      </c>
      <c r="J1961" t="n">
        <v>8</v>
      </c>
      <c r="K1961" t="inlineStr">
        <is>
          <t>1³, 2³</t>
        </is>
      </c>
      <c r="L1961" t="inlineStr">
        <is>
          <t>24Q³, 12C⁴, 24D⁴, 24L⁴, 24F⁵</t>
        </is>
      </c>
      <c r="M1961" t="inlineStr">
        <is>
          <t>24H¹⁷, 24J¹⁷, 24P¹⁷, 24S¹⁷, 48H¹⁹, 48I¹⁹, 48L¹⁹, 48P¹⁹, 48AW¹⁹</t>
        </is>
      </c>
      <c r="N1961" t="inlineStr">
        <is>
          <t>24Q³, 2A⁰, 12C⁰, 4C⁰, 6C¹, 12B², 12E², 12M¹, 2B⁰, 4E⁰, 24C², 4B⁰, 8C⁰, 1A⁰, 24F⁵, 24B², 8G⁰, 12B¹, 6A¹, 3A⁰, 8D⁰, 2C⁰, 24D¹, 24D⁴, 6A⁰, 12C¹, 24C¹, 12D⁰, 12C⁴, 24L⁴, 6D⁰</t>
        </is>
      </c>
      <c r="O1961" t="inlineStr">
        <is>
          <t>48P¹⁹, 48AW¹⁹, 24P¹⁷, 24H¹⁷, 48I¹⁹, 24J¹⁷, 48L¹⁹, 24S¹⁷, 48H¹⁹</t>
        </is>
      </c>
    </row>
    <row r="1962">
      <c r="A1962">
        <f>HYPERLINK("https://mathstats.uncg.edu/sites/pauli/congruence/csg9.html#group24J9", "24J⁹")</f>
        <v/>
      </c>
      <c r="B1962" t="n">
        <v>9</v>
      </c>
      <c r="C1962" t="inlineStr"/>
      <c r="D1962" t="inlineStr">
        <is>
          <t>144</t>
        </is>
      </c>
      <c r="E1962" t="inlineStr">
        <is>
          <t>1</t>
        </is>
      </c>
      <c r="F1962" t="inlineStr">
        <is>
          <t>9</t>
        </is>
      </c>
      <c r="G1962" t="inlineStr">
        <is>
          <t>0</t>
        </is>
      </c>
      <c r="H1962" t="inlineStr">
        <is>
          <t>0</t>
        </is>
      </c>
      <c r="I1962" t="inlineStr">
        <is>
          <t>12⁴, 24⁴</t>
        </is>
      </c>
      <c r="J1962" t="n">
        <v>8</v>
      </c>
      <c r="K1962" t="inlineStr">
        <is>
          <t>1³, 2³</t>
        </is>
      </c>
      <c r="L1962" t="inlineStr">
        <is>
          <t>24H¹, 12G³, 24I³, 24A⁵, 24D⁵, 24E⁵, 24F⁵</t>
        </is>
      </c>
      <c r="M1962" t="inlineStr">
        <is>
          <t>24C¹⁷, 24I¹⁷, 24J¹⁷, 24T¹⁷, 24V¹⁷, 48K²¹, 48O²¹, 48P²¹, 48S²¹, 48AO²¹, 48AP²¹</t>
        </is>
      </c>
      <c r="N1962" t="inlineStr">
        <is>
          <t>2A⁰, 24A³, 12C⁰, 12K¹, 12D², 4C⁰, 24A⁵, 24I³, 6C¹, 12B², 6G⁰, 2B⁰, 4E⁰, 24C², 12E², 4B⁰, 24E⁵, 12G³, 1A⁰, 24F⁵, 24A⁰, 6B¹, 3C⁰, 12B¹, 6A¹, 6H⁰, 3A⁰, 24H¹, 6E¹, 6B⁰, 8A¹, 24D¹, 8B⁰, 8B¹, 12L¹, 24D⁵, 6A⁰, 12C¹, 12D⁰, 12H⁰, 2C⁰, 6D⁰</t>
        </is>
      </c>
      <c r="O1962" t="inlineStr">
        <is>
          <t>48AO²¹, 24V¹⁷, 48P²¹, 48O²¹, 24T¹⁷, 48K²¹, 24J¹⁷, 24I¹⁷, 48S²¹, 48AP²¹, 24C¹⁷</t>
        </is>
      </c>
    </row>
    <row r="1963">
      <c r="A1963">
        <f>HYPERLINK("https://mathstats.uncg.edu/sites/pauli/congruence/csg9.html#group24K9", "24K⁹")</f>
        <v/>
      </c>
      <c r="B1963" t="n">
        <v>9</v>
      </c>
      <c r="C1963" t="inlineStr"/>
      <c r="D1963" t="inlineStr">
        <is>
          <t>144</t>
        </is>
      </c>
      <c r="E1963" t="inlineStr">
        <is>
          <t>1</t>
        </is>
      </c>
      <c r="F1963" t="inlineStr">
        <is>
          <t>18</t>
        </is>
      </c>
      <c r="G1963" t="inlineStr">
        <is>
          <t>0</t>
        </is>
      </c>
      <c r="H1963" t="inlineStr">
        <is>
          <t>0</t>
        </is>
      </c>
      <c r="I1963" t="inlineStr">
        <is>
          <t>12⁴, 24⁴</t>
        </is>
      </c>
      <c r="J1963" t="n">
        <v>8</v>
      </c>
      <c r="K1963" t="inlineStr">
        <is>
          <t>2³, 4³</t>
        </is>
      </c>
      <c r="L1963" t="inlineStr">
        <is>
          <t>12F³, 24Q⁴</t>
        </is>
      </c>
      <c r="M1963" t="inlineStr">
        <is>
          <t>24A¹⁷, 24Y¹⁷</t>
        </is>
      </c>
      <c r="N1963" t="inlineStr">
        <is>
          <t>24Q⁴, 2A⁰, 12F³, 6C¹, 12E², 6G⁰, 2B⁰, 12N¹, 1A⁰, 6B¹, 3C⁰, 6A¹, 6H⁰, 3A⁰, 6E¹, 6B⁰, 12G⁰, 12C¹, 6A⁰, 12D⁰, 12C², 2C⁰, 6D⁰</t>
        </is>
      </c>
      <c r="O1963" t="inlineStr">
        <is>
          <t>24A¹⁷, 24Y¹⁷</t>
        </is>
      </c>
    </row>
    <row r="1964">
      <c r="A1964">
        <f>HYPERLINK("https://mathstats.uncg.edu/sites/pauli/congruence/csg9.html#group24L9", "24L⁹")</f>
        <v/>
      </c>
      <c r="B1964" t="n">
        <v>9</v>
      </c>
      <c r="C1964" t="inlineStr"/>
      <c r="D1964" t="inlineStr">
        <is>
          <t>144</t>
        </is>
      </c>
      <c r="E1964" t="inlineStr">
        <is>
          <t>1</t>
        </is>
      </c>
      <c r="F1964" t="inlineStr">
        <is>
          <t>18</t>
        </is>
      </c>
      <c r="G1964" t="inlineStr">
        <is>
          <t>0</t>
        </is>
      </c>
      <c r="H1964" t="inlineStr">
        <is>
          <t>0</t>
        </is>
      </c>
      <c r="I1964" t="inlineStr">
        <is>
          <t>12⁴, 24⁴</t>
        </is>
      </c>
      <c r="J1964" t="n">
        <v>8</v>
      </c>
      <c r="K1964" t="inlineStr">
        <is>
          <t>2⁵, 4²</t>
        </is>
      </c>
      <c r="L1964" t="inlineStr">
        <is>
          <t>12E³, 24Q⁴</t>
        </is>
      </c>
      <c r="M1964" t="inlineStr">
        <is>
          <t>24A¹⁷, 24X¹⁷</t>
        </is>
      </c>
      <c r="N1964" t="inlineStr">
        <is>
          <t>24Q⁴, 6B⁰, 12K¹, 12D², 6G⁰, 2B⁰, 12N¹, 4B⁰, 1A⁰, 12C¹, 6E⁰, 6L⁰, 12E³, 3C⁰, 12B¹, 12D⁰, 6H⁰, 3A⁰, 12C², 6D⁰</t>
        </is>
      </c>
      <c r="O1964" t="inlineStr">
        <is>
          <t>24A¹⁷, 24X¹⁷</t>
        </is>
      </c>
    </row>
    <row r="1965">
      <c r="A1965">
        <f>HYPERLINK("https://mathstats.uncg.edu/sites/pauli/congruence/csg9.html#group24M9", "24M⁹")</f>
        <v/>
      </c>
      <c r="B1965" t="n">
        <v>9</v>
      </c>
      <c r="C1965" t="inlineStr"/>
      <c r="D1965" t="inlineStr">
        <is>
          <t>144</t>
        </is>
      </c>
      <c r="E1965" t="inlineStr">
        <is>
          <t>1</t>
        </is>
      </c>
      <c r="F1965" t="inlineStr">
        <is>
          <t>18</t>
        </is>
      </c>
      <c r="G1965" t="inlineStr">
        <is>
          <t>0</t>
        </is>
      </c>
      <c r="H1965" t="inlineStr">
        <is>
          <t>0</t>
        </is>
      </c>
      <c r="I1965" t="inlineStr">
        <is>
          <t>12⁴, 24⁴</t>
        </is>
      </c>
      <c r="J1965" t="n">
        <v>8</v>
      </c>
      <c r="K1965" t="inlineStr">
        <is>
          <t>2⁵, 4²</t>
        </is>
      </c>
      <c r="L1965" t="inlineStr">
        <is>
          <t>12H², 24N², 24P⁴, 24D⁵, 24G⁵</t>
        </is>
      </c>
      <c r="M1965" t="inlineStr">
        <is>
          <t>24I¹⁷, 24N¹⁷, 24R¹⁹, 48AQ¹⁹, 48BJ²¹, 48BK²¹</t>
        </is>
      </c>
      <c r="N1965" t="inlineStr">
        <is>
          <t>24G⁵, 24E¹, 24A³, 6B⁰, 12C⁰, 8A¹, 24P⁴, 24N², 4C⁰, 12M¹, 2B⁰, 24C², 12H⁰, 1A⁰, 12H², 24D⁵, 12D⁰, 6H⁰, 3A⁰, 6D⁰</t>
        </is>
      </c>
      <c r="O1965" t="inlineStr">
        <is>
          <t>48BK²¹, 24N¹⁷, 24I¹⁷, 24R¹⁹, 48AQ¹⁹, 48BJ²¹</t>
        </is>
      </c>
    </row>
    <row r="1966">
      <c r="A1966">
        <f>HYPERLINK("https://mathstats.uncg.edu/sites/pauli/congruence/csg9.html#group24N9", "24N⁹")</f>
        <v/>
      </c>
      <c r="B1966" t="n">
        <v>9</v>
      </c>
      <c r="C1966" t="inlineStr"/>
      <c r="D1966" t="inlineStr">
        <is>
          <t>144</t>
        </is>
      </c>
      <c r="E1966" t="inlineStr">
        <is>
          <t>1</t>
        </is>
      </c>
      <c r="F1966" t="inlineStr">
        <is>
          <t>18</t>
        </is>
      </c>
      <c r="G1966" t="inlineStr">
        <is>
          <t>0</t>
        </is>
      </c>
      <c r="H1966" t="inlineStr">
        <is>
          <t>0</t>
        </is>
      </c>
      <c r="I1966" t="inlineStr">
        <is>
          <t>12⁴, 24⁴</t>
        </is>
      </c>
      <c r="J1966" t="n">
        <v>8</v>
      </c>
      <c r="K1966" t="inlineStr">
        <is>
          <t>1², 2⁴, 4²</t>
        </is>
      </c>
      <c r="L1966" t="inlineStr">
        <is>
          <t>12I³, 24N³, 24T³, 24E⁵, 24G⁵</t>
        </is>
      </c>
      <c r="M1966" t="inlineStr">
        <is>
          <t>24E¹⁷, 24I¹⁷, 24N¹⁷, 48BT²¹</t>
        </is>
      </c>
      <c r="N1966" t="inlineStr">
        <is>
          <t>24G⁵, 24E¹, 24A³, 12C⁰, 8A¹, 4C⁰, 24D¹, 6G⁰, 12M¹, 2B⁰, 24E⁵, 1A⁰, 12L¹, 12C¹, 12I³, 24N³, 24T³, 3C⁰, 3A⁰, 6D⁰</t>
        </is>
      </c>
      <c r="O1966" t="inlineStr">
        <is>
          <t>24E¹⁷, 24N¹⁷, 48BT²¹, 24I¹⁷</t>
        </is>
      </c>
    </row>
    <row r="1967">
      <c r="A1967">
        <f>HYPERLINK("https://mathstats.uncg.edu/sites/pauli/congruence/csg9.html#group24O9", "24O⁹")</f>
        <v/>
      </c>
      <c r="B1967" t="n">
        <v>9</v>
      </c>
      <c r="C1967" t="inlineStr"/>
      <c r="D1967" t="inlineStr">
        <is>
          <t>144</t>
        </is>
      </c>
      <c r="E1967" t="inlineStr">
        <is>
          <t>1</t>
        </is>
      </c>
      <c r="F1967" t="inlineStr">
        <is>
          <t>18</t>
        </is>
      </c>
      <c r="G1967" t="inlineStr">
        <is>
          <t>0</t>
        </is>
      </c>
      <c r="H1967" t="inlineStr">
        <is>
          <t>0</t>
        </is>
      </c>
      <c r="I1967" t="inlineStr">
        <is>
          <t>12⁴, 24⁴</t>
        </is>
      </c>
      <c r="J1967" t="n">
        <v>8</v>
      </c>
      <c r="K1967" t="inlineStr">
        <is>
          <t>1², 2⁴, 4²</t>
        </is>
      </c>
      <c r="L1967" t="inlineStr">
        <is>
          <t>12I³, 24O³, 24L⁴, 24P⁴, 24C⁵</t>
        </is>
      </c>
      <c r="M1967" t="inlineStr">
        <is>
          <t>24D¹⁷, 24H¹⁷, 24N¹⁷, 48X¹⁹, 48W¹⁹</t>
        </is>
      </c>
      <c r="N1967" t="inlineStr">
        <is>
          <t>24E¹, 12C⁰, 24P⁴, 8D⁰, 4C⁰, 6G⁰, 12M¹, 2B⁰, 24C², 1A⁰, 24O³, 12L¹, 12C¹, 12I³, 24C⁵, 24C¹, 3C⁰, 3A⁰, 24L⁴, 6D⁰</t>
        </is>
      </c>
      <c r="O1967" t="inlineStr">
        <is>
          <t>24H¹⁷, 48W¹⁹, 24N¹⁷, 48X¹⁹, 24D¹⁷</t>
        </is>
      </c>
    </row>
    <row r="1968">
      <c r="A1968">
        <f>HYPERLINK("https://mathstats.uncg.edu/sites/pauli/congruence/csg9.html#group24P9", "24P⁹")</f>
        <v/>
      </c>
      <c r="B1968" t="n">
        <v>9</v>
      </c>
      <c r="C1968" t="inlineStr"/>
      <c r="D1968" t="inlineStr">
        <is>
          <t>144</t>
        </is>
      </c>
      <c r="E1968" t="inlineStr">
        <is>
          <t>1</t>
        </is>
      </c>
      <c r="F1968" t="inlineStr">
        <is>
          <t>18</t>
        </is>
      </c>
      <c r="G1968" t="inlineStr">
        <is>
          <t>0</t>
        </is>
      </c>
      <c r="H1968" t="inlineStr">
        <is>
          <t>0</t>
        </is>
      </c>
      <c r="I1968" t="inlineStr">
        <is>
          <t>12⁴, 24⁴</t>
        </is>
      </c>
      <c r="J1968" t="n">
        <v>8</v>
      </c>
      <c r="K1968" t="inlineStr">
        <is>
          <t>1², 2⁴, 4²</t>
        </is>
      </c>
      <c r="L1968" t="inlineStr">
        <is>
          <t>12J³, 24N³, 24K⁴, 24P⁴, 24C⁵</t>
        </is>
      </c>
      <c r="M1968" t="inlineStr">
        <is>
          <t>24D¹⁷, 24G¹⁷, 24N¹⁷, 24O¹⁹, 24N¹⁹</t>
        </is>
      </c>
      <c r="N1968" t="inlineStr">
        <is>
          <t>12G¹, 24E¹, 12C⁰, 24P⁴, 4C⁰, 6G⁰, 12M¹, 2B⁰, 24C², 1A⁰, 12L¹, 12J³, 12A⁰, 12C¹, 24C⁵, 24N³, 4A⁰, 24K⁴, 3C⁰, 12J¹, 4F⁰, 3A⁰, 6D⁰</t>
        </is>
      </c>
      <c r="O1968" t="inlineStr">
        <is>
          <t>24N¹⁹, 24N¹⁷, 24O¹⁹, 24G¹⁷, 24D¹⁷</t>
        </is>
      </c>
    </row>
    <row r="1969">
      <c r="A1969">
        <f>HYPERLINK("https://mathstats.uncg.edu/sites/pauli/congruence/csg9.html#group24Q9", "24Q⁹")</f>
        <v/>
      </c>
      <c r="B1969" t="n">
        <v>9</v>
      </c>
      <c r="C1969" t="inlineStr"/>
      <c r="D1969" t="inlineStr">
        <is>
          <t>144</t>
        </is>
      </c>
      <c r="E1969" t="inlineStr">
        <is>
          <t>1</t>
        </is>
      </c>
      <c r="F1969" t="inlineStr">
        <is>
          <t>18</t>
        </is>
      </c>
      <c r="G1969" t="inlineStr">
        <is>
          <t>0</t>
        </is>
      </c>
      <c r="H1969" t="inlineStr">
        <is>
          <t>0</t>
        </is>
      </c>
      <c r="I1969" t="inlineStr">
        <is>
          <t>12⁴, 24⁴</t>
        </is>
      </c>
      <c r="J1969" t="n">
        <v>8</v>
      </c>
      <c r="K1969" t="inlineStr">
        <is>
          <t>1², 2⁴, 4²</t>
        </is>
      </c>
      <c r="L1969" t="inlineStr">
        <is>
          <t>12I², 24O², 24K⁴, 24L⁴, 24B⁵, 24D⁵, 24G⁵</t>
        </is>
      </c>
      <c r="M1969" t="inlineStr">
        <is>
          <t>24J¹⁷, 24N¹⁷, 24L¹⁹, 24P¹⁹, 48U¹⁹, 48Y¹⁹, 48AT²¹, 48AY²¹</t>
        </is>
      </c>
      <c r="N1969" t="inlineStr">
        <is>
          <t>24G⁵, 12I², 24O², 24E¹, 24A³, 6B⁰, 12C⁰, 8A¹, 8D⁰, 4C⁰, 12F⁰, 12M¹, 2B⁰, 24C², 12H⁰, 1A⁰, 24D⁵, 12A⁰, 8C¹, 4A⁰, 24K⁴, 24C¹, 12J¹, 12D⁰, 4F⁰, 6H⁰, 3A⁰, 24L⁴, 6D⁰, 24B⁵</t>
        </is>
      </c>
      <c r="O1969" t="inlineStr">
        <is>
          <t>48AT²¹, 24P¹⁹, 48AY²¹, 48Y¹⁹, 24J¹⁷, 48U¹⁹, 24N¹⁷, 24L¹⁹</t>
        </is>
      </c>
    </row>
    <row r="1970">
      <c r="A1970">
        <f>HYPERLINK("https://mathstats.uncg.edu/sites/pauli/congruence/csg9.html#group24R9", "24R⁹")</f>
        <v/>
      </c>
      <c r="B1970" t="n">
        <v>9</v>
      </c>
      <c r="C1970" t="inlineStr"/>
      <c r="D1970" t="inlineStr">
        <is>
          <t>144</t>
        </is>
      </c>
      <c r="E1970" t="inlineStr">
        <is>
          <t>1</t>
        </is>
      </c>
      <c r="F1970" t="inlineStr">
        <is>
          <t>18</t>
        </is>
      </c>
      <c r="G1970" t="inlineStr">
        <is>
          <t>0</t>
        </is>
      </c>
      <c r="H1970" t="inlineStr">
        <is>
          <t>0</t>
        </is>
      </c>
      <c r="I1970" t="inlineStr">
        <is>
          <t>12⁴, 24⁴</t>
        </is>
      </c>
      <c r="J1970" t="n">
        <v>8</v>
      </c>
      <c r="K1970" t="inlineStr">
        <is>
          <t>1², 2⁴, 4²</t>
        </is>
      </c>
      <c r="L1970" t="inlineStr">
        <is>
          <t>12J³, 24O³, 24P³, 24Q³, 24B⁵, 24E⁵, 24G⁵</t>
        </is>
      </c>
      <c r="M1970" t="inlineStr">
        <is>
          <t>24E¹⁷, 24J¹⁷, 24N¹⁷, 24M¹⁹, 24Q¹⁹, 48V¹⁹, 48Z¹⁹, 48AZ²¹, 48BA²¹</t>
        </is>
      </c>
      <c r="N1970" t="inlineStr">
        <is>
          <t>24G⁵, 24Q³, 24E¹, 24A³, 12G¹, 12C⁰, 8A¹, 8D⁰, 4C⁰, 24D¹, 6G⁰, 12M¹, 24P³, 2B⁰, 24E⁵, 1A⁰, 24O³, 12J³, 12L¹, 12A⁰, 8C¹, 12C¹, 4A⁰, 24C¹, 3C⁰, 12J¹, 4F⁰, 3A⁰, 6D⁰, 24B⁵</t>
        </is>
      </c>
      <c r="O1970" t="inlineStr">
        <is>
          <t>48AZ²¹, 48V¹⁹, 48Z¹⁹, 48BA²¹, 24M¹⁹, 24J¹⁷, 24Q¹⁹, 24E¹⁷, 24N¹⁷</t>
        </is>
      </c>
    </row>
    <row r="1971">
      <c r="A1971">
        <f>HYPERLINK("https://mathstats.uncg.edu/sites/pauli/congruence/csg9.html#group24S9", "24S⁹")</f>
        <v/>
      </c>
      <c r="B1971" t="n">
        <v>9</v>
      </c>
      <c r="C1971" t="inlineStr"/>
      <c r="D1971" t="inlineStr">
        <is>
          <t>144</t>
        </is>
      </c>
      <c r="E1971" t="inlineStr">
        <is>
          <t>1</t>
        </is>
      </c>
      <c r="F1971" t="inlineStr">
        <is>
          <t>18</t>
        </is>
      </c>
      <c r="G1971" t="inlineStr">
        <is>
          <t>0</t>
        </is>
      </c>
      <c r="H1971" t="inlineStr">
        <is>
          <t>0</t>
        </is>
      </c>
      <c r="I1971" t="inlineStr">
        <is>
          <t>12⁴, 24⁴</t>
        </is>
      </c>
      <c r="J1971" t="n">
        <v>8</v>
      </c>
      <c r="K1971" t="inlineStr">
        <is>
          <t>1⁴, 2⁵, 4¹</t>
        </is>
      </c>
      <c r="L1971" t="inlineStr">
        <is>
          <t>24Q², 24N⁴, 24A⁵</t>
        </is>
      </c>
      <c r="M1971" t="inlineStr">
        <is>
          <t>24F¹⁷, 24Q¹⁷, 24T¹⁷, 24U¹⁷, 24V¹⁷, 48AI²¹, 48AJ²¹, 48AK²¹, 48AM²¹, 48BR²¹, 48BS²¹</t>
        </is>
      </c>
      <c r="N1971" t="inlineStr">
        <is>
          <t>2A⁰, 24A³, 12C⁰, 8A¹, 4C⁰, 24A⁵, 8B⁰, 6C¹, 24Q², 12B², 2B⁰, 4E⁰, 8B¹, 4B⁰, 1A⁰, 6A⁰, 24A⁰, 24N⁴, 12B¹, 6A¹, 3A⁰, 2C⁰, 6D⁰</t>
        </is>
      </c>
      <c r="O1971" t="inlineStr">
        <is>
          <t>24U¹⁷, 24V¹⁷, 48AK²¹, 48AJ²¹, 24T¹⁷, 24Q¹⁷, 48AI²¹, 48AM²¹, 48BR²¹, 24F¹⁷, 48BS²¹</t>
        </is>
      </c>
    </row>
    <row r="1972">
      <c r="A1972">
        <f>HYPERLINK("https://mathstats.uncg.edu/sites/pauli/congruence/csg9.html#group24T9", "24T⁹")</f>
        <v/>
      </c>
      <c r="B1972" t="n">
        <v>9</v>
      </c>
      <c r="C1972" t="inlineStr"/>
      <c r="D1972" t="inlineStr">
        <is>
          <t>144</t>
        </is>
      </c>
      <c r="E1972" t="inlineStr">
        <is>
          <t>1</t>
        </is>
      </c>
      <c r="F1972" t="inlineStr">
        <is>
          <t>36</t>
        </is>
      </c>
      <c r="G1972" t="inlineStr">
        <is>
          <t>0</t>
        </is>
      </c>
      <c r="H1972" t="inlineStr">
        <is>
          <t>0</t>
        </is>
      </c>
      <c r="I1972" t="inlineStr">
        <is>
          <t>12⁴, 24⁴</t>
        </is>
      </c>
      <c r="J1972" t="n">
        <v>8</v>
      </c>
      <c r="K1972" t="inlineStr">
        <is>
          <t>2¹², 4³</t>
        </is>
      </c>
      <c r="L1972" t="inlineStr">
        <is>
          <t>24N⁴, 24F⁵</t>
        </is>
      </c>
      <c r="M1972" t="inlineStr">
        <is>
          <t>24P¹⁷, 24R¹⁷, 24T¹⁷, 24Z¹⁷, 24AJ¹⁷</t>
        </is>
      </c>
      <c r="N1972" t="inlineStr">
        <is>
          <t>2A⁰, 12C⁰, 6C¹, 4C⁰, 12B², 24D¹, 2B⁰, 4E⁰, 24C², 4B⁰, 1A⁰, 24F⁵, 6A⁰, 24N⁴, 12B¹, 6A¹, 3A⁰, 2C⁰, 6D⁰</t>
        </is>
      </c>
      <c r="O1972" t="inlineStr">
        <is>
          <t>24Z¹⁷, 24R¹⁷, 24AJ¹⁷, 24T¹⁷, 24P¹⁷</t>
        </is>
      </c>
    </row>
    <row r="1973">
      <c r="A1973">
        <f>HYPERLINK("https://mathstats.uncg.edu/sites/pauli/congruence/csg9.html#group24U9", "24U⁹")</f>
        <v/>
      </c>
      <c r="B1973" t="n">
        <v>9</v>
      </c>
      <c r="C1973" t="inlineStr"/>
      <c r="D1973" t="inlineStr">
        <is>
          <t>144</t>
        </is>
      </c>
      <c r="E1973" t="inlineStr">
        <is>
          <t>1</t>
        </is>
      </c>
      <c r="F1973" t="inlineStr">
        <is>
          <t>36</t>
        </is>
      </c>
      <c r="G1973" t="inlineStr">
        <is>
          <t>0</t>
        </is>
      </c>
      <c r="H1973" t="inlineStr">
        <is>
          <t>0</t>
        </is>
      </c>
      <c r="I1973" t="inlineStr">
        <is>
          <t>12⁴, 24⁴</t>
        </is>
      </c>
      <c r="J1973" t="n">
        <v>8</v>
      </c>
      <c r="K1973" t="inlineStr">
        <is>
          <t>1⁸, 2¹⁰, 4²</t>
        </is>
      </c>
      <c r="L1973" t="inlineStr">
        <is>
          <t>24G⁴, 24N⁴, 24F⁵</t>
        </is>
      </c>
      <c r="M1973" t="inlineStr">
        <is>
          <t>24S¹⁷, 24V¹⁷, 24W¹⁷, 24Z¹⁷, 24AJ¹⁷</t>
        </is>
      </c>
      <c r="N1973" t="inlineStr">
        <is>
          <t>2A⁰, 12C⁰, 6C¹, 4C⁰, 12B², 24D¹, 2B⁰, 4E⁰, 24C², 4B⁰, 1A⁰, 24F⁵, 6A⁰, 24N⁴, 12B¹, 6A¹, 3A⁰, 8J⁰, 2C⁰, 6D⁰, 24G⁴</t>
        </is>
      </c>
      <c r="O1973" t="inlineStr">
        <is>
          <t>24W¹⁷, 24Z¹⁷, 24V¹⁷, 24AJ¹⁷, 24S¹⁷</t>
        </is>
      </c>
    </row>
    <row r="1974">
      <c r="A1974">
        <f>HYPERLINK("https://mathstats.uncg.edu/sites/pauli/congruence/csg9.html#group24V9", "24V⁹")</f>
        <v/>
      </c>
      <c r="B1974" t="n">
        <v>9</v>
      </c>
      <c r="C1974" t="inlineStr"/>
      <c r="D1974" t="inlineStr">
        <is>
          <t>144</t>
        </is>
      </c>
      <c r="E1974" t="inlineStr">
        <is>
          <t>1</t>
        </is>
      </c>
      <c r="F1974" t="inlineStr">
        <is>
          <t>36</t>
        </is>
      </c>
      <c r="G1974" t="inlineStr">
        <is>
          <t>4</t>
        </is>
      </c>
      <c r="H1974" t="inlineStr">
        <is>
          <t>0</t>
        </is>
      </c>
      <c r="I1974" t="inlineStr">
        <is>
          <t>24⁶</t>
        </is>
      </c>
      <c r="J1974" t="n">
        <v>6</v>
      </c>
      <c r="K1974" t="inlineStr">
        <is>
          <t>2², 4⁴, 8²</t>
        </is>
      </c>
      <c r="L1974" t="inlineStr">
        <is>
          <t>12J³, 24D³, 24O⁴</t>
        </is>
      </c>
      <c r="M1974" t="inlineStr">
        <is>
          <t>24AC¹⁷, 24AD¹⁷, 24AE¹⁷, 24B¹⁹, 24J¹⁹, 24O¹⁹, 24M¹⁹</t>
        </is>
      </c>
      <c r="N1974" t="inlineStr">
        <is>
          <t>24O⁴, 12G¹, 24D³, 12C⁰, 4C⁰, 6G⁰, 2B⁰, 24B¹, 12M¹, 1A⁰, 12L¹, 12J³, 12A⁰, 12C¹, 4A⁰, 3C⁰, 12J¹, 4F⁰, 3A⁰, 6D⁰</t>
        </is>
      </c>
      <c r="O1974" t="inlineStr">
        <is>
          <t>24AE¹⁷, 24M¹⁹, 24B¹⁹, 24AC¹⁷, 24J¹⁹, 24AD¹⁷, 24O¹⁹</t>
        </is>
      </c>
    </row>
    <row r="1975">
      <c r="A1975">
        <f>HYPERLINK("https://mathstats.uncg.edu/sites/pauli/congruence/csg9.html#group24W9", "24W⁹")</f>
        <v/>
      </c>
      <c r="B1975" t="n">
        <v>9</v>
      </c>
      <c r="C1975" t="inlineStr"/>
      <c r="D1975" t="inlineStr">
        <is>
          <t>144</t>
        </is>
      </c>
      <c r="E1975" t="inlineStr">
        <is>
          <t>1</t>
        </is>
      </c>
      <c r="F1975" t="inlineStr">
        <is>
          <t>36</t>
        </is>
      </c>
      <c r="G1975" t="inlineStr">
        <is>
          <t>4</t>
        </is>
      </c>
      <c r="H1975" t="inlineStr">
        <is>
          <t>0</t>
        </is>
      </c>
      <c r="I1975" t="inlineStr">
        <is>
          <t>24⁶</t>
        </is>
      </c>
      <c r="J1975" t="n">
        <v>6</v>
      </c>
      <c r="K1975" t="inlineStr">
        <is>
          <t>2², 4⁴, 8²</t>
        </is>
      </c>
      <c r="L1975" t="inlineStr">
        <is>
          <t>24J³, 24K⁴, 24O⁴</t>
        </is>
      </c>
      <c r="M1975" t="inlineStr">
        <is>
          <t>24AF¹⁷, 24AL¹⁷, 24H¹⁹, 24O¹⁹, 24P¹⁹, 48AS¹⁹, 48AT¹⁹, 48BL¹⁹</t>
        </is>
      </c>
      <c r="N1975" t="inlineStr">
        <is>
          <t>24O⁴, 24E¹, 12C⁰, 4C⁰, 2B⁰, 24B¹, 24C², 1A⁰, 8K⁰, 24J³, 12A⁰, 4A⁰, 24K⁴, 12J¹, 4F⁰, 3A⁰, 6D⁰</t>
        </is>
      </c>
      <c r="O1975" t="inlineStr">
        <is>
          <t>48BL¹⁹, 24P¹⁹, 24AF¹⁷, 48AT¹⁹, 24O¹⁹, 24AL¹⁷, 48AS¹⁹, 24H¹⁹</t>
        </is>
      </c>
    </row>
    <row r="1976">
      <c r="A1976">
        <f>HYPERLINK("https://mathstats.uncg.edu/sites/pauli/congruence/csg9.html#group24X9", "24X⁹")</f>
        <v/>
      </c>
      <c r="B1976" t="n">
        <v>9</v>
      </c>
      <c r="C1976" t="inlineStr"/>
      <c r="D1976" t="inlineStr">
        <is>
          <t>144</t>
        </is>
      </c>
      <c r="E1976" t="inlineStr">
        <is>
          <t>1</t>
        </is>
      </c>
      <c r="F1976" t="inlineStr">
        <is>
          <t>36</t>
        </is>
      </c>
      <c r="G1976" t="inlineStr">
        <is>
          <t>4</t>
        </is>
      </c>
      <c r="H1976" t="inlineStr">
        <is>
          <t>0</t>
        </is>
      </c>
      <c r="I1976" t="inlineStr">
        <is>
          <t>24⁶</t>
        </is>
      </c>
      <c r="J1976" t="n">
        <v>6</v>
      </c>
      <c r="K1976" t="inlineStr">
        <is>
          <t>2², 4⁴, 8²</t>
        </is>
      </c>
      <c r="L1976" t="inlineStr">
        <is>
          <t>24R³, 24H⁴, 24K⁴</t>
        </is>
      </c>
      <c r="M1976" t="inlineStr">
        <is>
          <t>24AF¹⁷, 24AK¹⁷, 24I¹⁹, 24N¹⁹, 24P¹⁹, 48BO²¹, 48BP²¹, 48BX²¹</t>
        </is>
      </c>
      <c r="N1976" t="inlineStr">
        <is>
          <t>24E¹, 12C⁰, 4C⁰, 8A⁰, 2B⁰, 24C², 1A⁰, 8D¹, 24H⁴, 12A⁰, 24A¹, 4A⁰, 24K⁴, 24R³, 12J¹, 4F⁰, 3A⁰, 6D⁰</t>
        </is>
      </c>
      <c r="O1976" t="inlineStr">
        <is>
          <t>48BX²¹, 24P¹⁹, 24AF¹⁷, 48BP²¹, 24I¹⁹, 48BO²¹, 24N¹⁹, 24AK¹⁷</t>
        </is>
      </c>
    </row>
    <row r="1977">
      <c r="A1977">
        <f>HYPERLINK("https://mathstats.uncg.edu/sites/pauli/congruence/csg9.html#group24Y9", "24Y⁹")</f>
        <v/>
      </c>
      <c r="B1977" t="n">
        <v>9</v>
      </c>
      <c r="C1977" t="inlineStr"/>
      <c r="D1977" t="inlineStr">
        <is>
          <t>144</t>
        </is>
      </c>
      <c r="E1977" t="inlineStr">
        <is>
          <t>1</t>
        </is>
      </c>
      <c r="F1977" t="inlineStr">
        <is>
          <t>36</t>
        </is>
      </c>
      <c r="G1977" t="inlineStr">
        <is>
          <t>4</t>
        </is>
      </c>
      <c r="H1977" t="inlineStr">
        <is>
          <t>0</t>
        </is>
      </c>
      <c r="I1977" t="inlineStr">
        <is>
          <t>24⁶</t>
        </is>
      </c>
      <c r="J1977" t="n">
        <v>6</v>
      </c>
      <c r="K1977" t="inlineStr">
        <is>
          <t>2², 4⁴, 8²</t>
        </is>
      </c>
      <c r="L1977" t="inlineStr">
        <is>
          <t>12J³, 24E³, 24H⁴, 24O⁴</t>
        </is>
      </c>
      <c r="M1977" t="inlineStr">
        <is>
          <t>24AB¹⁷, 24AE¹⁷, 24AF¹⁷, 24C¹⁹, 24J¹⁹, 24N¹⁹, 24Q¹⁹, 48BW²¹, 48BY²¹</t>
        </is>
      </c>
      <c r="N1977" t="inlineStr">
        <is>
          <t>24O⁴, 12G¹, 12C⁰, 4C⁰, 8A⁰, 6G⁰, 2B⁰, 24B¹, 12M¹, 1A⁰, 12L¹, 12J³, 8D¹, 24E³, 24H⁴, 12A⁰, 24A¹, 12C¹, 4A⁰, 3C⁰, 12J¹, 4F⁰, 3A⁰, 6D⁰</t>
        </is>
      </c>
      <c r="O1977" t="inlineStr">
        <is>
          <t>24AF¹⁷, 24C¹⁹, 24AE¹⁷, 24Q¹⁹, 24N¹⁹, 48BY²¹, 48BW²¹, 24J¹⁹, 24AB¹⁷</t>
        </is>
      </c>
    </row>
    <row r="1978">
      <c r="A1978">
        <f>HYPERLINK("https://mathstats.uncg.edu/sites/pauli/congruence/csg9.html#group24Z9", "24Z⁹")</f>
        <v/>
      </c>
      <c r="B1978" t="n">
        <v>9</v>
      </c>
      <c r="C1978" t="inlineStr"/>
      <c r="D1978" t="inlineStr">
        <is>
          <t>144</t>
        </is>
      </c>
      <c r="E1978" t="inlineStr">
        <is>
          <t>2</t>
        </is>
      </c>
      <c r="F1978" t="inlineStr">
        <is>
          <t>9</t>
        </is>
      </c>
      <c r="G1978" t="inlineStr">
        <is>
          <t>0</t>
        </is>
      </c>
      <c r="H1978" t="inlineStr">
        <is>
          <t>0</t>
        </is>
      </c>
      <c r="I1978" t="inlineStr">
        <is>
          <t>12⁴, 24⁴</t>
        </is>
      </c>
      <c r="J1978" t="n">
        <v>8</v>
      </c>
      <c r="K1978" t="inlineStr">
        <is>
          <t>2⁹</t>
        </is>
      </c>
      <c r="L1978" t="inlineStr">
        <is>
          <t>24T³, 12C⁴, 24E⁴, 24P⁴, 24F⁵</t>
        </is>
      </c>
      <c r="M1978" t="inlineStr">
        <is>
          <t>24G¹⁷, 24H¹⁷, 24I¹⁷, 24AJ¹⁷</t>
        </is>
      </c>
      <c r="N1978" t="inlineStr">
        <is>
          <t>2A⁰, 24E¹, 12C⁰, 24P⁴, 4C⁰, 6C¹, 12B², 12E², 12M¹, 2B⁰, 24C², 4E⁰, 4B⁰, 1A⁰, 24F⁵, 24D², 24T³, 12B¹, 6A¹, 3A⁰, 24D¹, 6A⁰, 12C¹, 24E⁴, 12D⁰, 12C⁴, 2C⁰, 6D⁰</t>
        </is>
      </c>
      <c r="O1978" t="inlineStr">
        <is>
          <t>24H¹⁷, 24I¹⁷, 24G¹⁷, 24AJ¹⁷</t>
        </is>
      </c>
    </row>
    <row r="1979">
      <c r="A1979">
        <f>HYPERLINK("https://mathstats.uncg.edu/sites/pauli/congruence/csg9.html#group24AA9", "24AA⁹")</f>
        <v/>
      </c>
      <c r="B1979" t="n">
        <v>9</v>
      </c>
      <c r="C1979" t="inlineStr"/>
      <c r="D1979" t="inlineStr">
        <is>
          <t>144</t>
        </is>
      </c>
      <c r="E1979" t="inlineStr">
        <is>
          <t>2</t>
        </is>
      </c>
      <c r="F1979" t="inlineStr">
        <is>
          <t>36</t>
        </is>
      </c>
      <c r="G1979" t="inlineStr">
        <is>
          <t>4</t>
        </is>
      </c>
      <c r="H1979" t="inlineStr">
        <is>
          <t>0</t>
        </is>
      </c>
      <c r="I1979" t="inlineStr">
        <is>
          <t>24⁶</t>
        </is>
      </c>
      <c r="J1979" t="n">
        <v>6</v>
      </c>
      <c r="K1979" t="inlineStr">
        <is>
          <t>4⁶, 8⁶</t>
        </is>
      </c>
      <c r="L1979" t="inlineStr">
        <is>
          <t>24R³, 24K⁴, 24O⁴</t>
        </is>
      </c>
      <c r="M1979" t="inlineStr">
        <is>
          <t>24AD¹⁷, 24AL¹⁷, 24AK¹⁷, 24L¹⁹, 24O¹⁹, 24N¹⁹, 24S¹⁹</t>
        </is>
      </c>
      <c r="N1979" t="inlineStr">
        <is>
          <t>24O⁴, 24E¹, 12A⁰, 12C⁰, 3A⁰, 4A⁰, 4C⁰, 24K⁴, 24R³, 12J¹, 2B⁰, 24C², 4F⁰, 24B¹, 1A⁰, 6D⁰</t>
        </is>
      </c>
      <c r="O1979" t="inlineStr">
        <is>
          <t>24AL¹⁷, 24N¹⁹, 24S¹⁹, 24AK¹⁷, 24L¹⁹, 24AD¹⁷, 24O¹⁹</t>
        </is>
      </c>
    </row>
    <row r="1980">
      <c r="A1980">
        <f>HYPERLINK("https://mathstats.uncg.edu/sites/pauli/congruence/csg9.html#group24AB9", "24AB⁹")</f>
        <v/>
      </c>
      <c r="B1980" t="n">
        <v>9</v>
      </c>
      <c r="C1980" t="inlineStr"/>
      <c r="D1980" t="inlineStr">
        <is>
          <t>192</t>
        </is>
      </c>
      <c r="E1980" t="inlineStr">
        <is>
          <t>1</t>
        </is>
      </c>
      <c r="F1980" t="inlineStr">
        <is>
          <t>12</t>
        </is>
      </c>
      <c r="G1980" t="inlineStr">
        <is>
          <t>0</t>
        </is>
      </c>
      <c r="H1980" t="inlineStr">
        <is>
          <t>0</t>
        </is>
      </c>
      <c r="I1980" t="inlineStr">
        <is>
          <t>4⁴, 8⁴, 12⁴, 24⁴</t>
        </is>
      </c>
      <c r="J1980" t="n">
        <v>16</v>
      </c>
      <c r="K1980" t="inlineStr">
        <is>
          <t>1⁶, 2³</t>
        </is>
      </c>
      <c r="L1980" t="inlineStr">
        <is>
          <t>12V¹, 24H⁵, 24I⁵</t>
        </is>
      </c>
      <c r="M1980" t="inlineStr">
        <is>
          <t>24AP¹⁷, 24AQ¹⁷</t>
        </is>
      </c>
      <c r="N1980" t="inlineStr">
        <is>
          <t>3B⁰, 2A⁰, 8A¹, 12V¹, 24B³, 6I⁰, 12F¹, 6C⁰, 12I⁰, 4C⁰, 12J⁰, 8B⁰, 2B⁰, 4E⁰, 8B¹, 12P¹, 4B⁰, 1A⁰, 24C³, 24I⁵, 24H⁵, 6F⁰, 2C⁰, 12E⁰</t>
        </is>
      </c>
      <c r="O1980" t="inlineStr">
        <is>
          <t>24AQ¹⁷, 24AP¹⁷</t>
        </is>
      </c>
    </row>
    <row r="1981">
      <c r="A1981">
        <f>HYPERLINK("https://mathstats.uncg.edu/sites/pauli/congruence/csg9.html#group24AC9", "24AC⁹")</f>
        <v/>
      </c>
      <c r="B1981" t="n">
        <v>9</v>
      </c>
      <c r="C1981" t="inlineStr"/>
      <c r="D1981" t="inlineStr">
        <is>
          <t>192</t>
        </is>
      </c>
      <c r="E1981" t="inlineStr">
        <is>
          <t>1</t>
        </is>
      </c>
      <c r="F1981" t="inlineStr">
        <is>
          <t>12</t>
        </is>
      </c>
      <c r="G1981" t="inlineStr">
        <is>
          <t>0</t>
        </is>
      </c>
      <c r="H1981" t="inlineStr">
        <is>
          <t>0</t>
        </is>
      </c>
      <c r="I1981" t="inlineStr">
        <is>
          <t>4⁴, 8⁴, 12⁴, 24⁴</t>
        </is>
      </c>
      <c r="J1981" t="n">
        <v>16</v>
      </c>
      <c r="K1981" t="inlineStr">
        <is>
          <t>1⁶, 2³</t>
        </is>
      </c>
      <c r="L1981" t="inlineStr">
        <is>
          <t>12K³, 24U³, 24H⁵</t>
        </is>
      </c>
      <c r="M1981" t="inlineStr">
        <is>
          <t>24AP¹⁷, 24AT¹⁷, 24E²¹, 24C²¹, 24F²¹</t>
        </is>
      </c>
      <c r="N1981" t="inlineStr">
        <is>
          <t>3B⁰, 2A⁰, 12I¹, 6I⁰, 12F¹, 6C⁰, 4C⁰, 4G⁰, 2B⁰, 4E⁰, 12P¹, 4B⁰, 1A⁰, 24U³, 24B⁰, 4A⁰, 4D⁰, 12A¹, 24H⁵, 12G², 12K³, 4F⁰, 24F², 6F⁰, 2C⁰, 12E⁰</t>
        </is>
      </c>
      <c r="O1981" t="inlineStr">
        <is>
          <t>24E²¹, 24AT¹⁷, 24F²¹, 24AP¹⁷, 24C²¹</t>
        </is>
      </c>
    </row>
    <row r="1982">
      <c r="A1982">
        <f>HYPERLINK("https://mathstats.uncg.edu/sites/pauli/congruence/csg9.html#group24AD9", "24AD⁹")</f>
        <v/>
      </c>
      <c r="B1982" t="n">
        <v>9</v>
      </c>
      <c r="C1982" t="inlineStr"/>
      <c r="D1982" t="inlineStr">
        <is>
          <t>192</t>
        </is>
      </c>
      <c r="E1982" t="inlineStr">
        <is>
          <t>1</t>
        </is>
      </c>
      <c r="F1982" t="inlineStr">
        <is>
          <t>12</t>
        </is>
      </c>
      <c r="G1982" t="inlineStr">
        <is>
          <t>0</t>
        </is>
      </c>
      <c r="H1982" t="inlineStr">
        <is>
          <t>0</t>
        </is>
      </c>
      <c r="I1982" t="inlineStr">
        <is>
          <t>4⁴, 8⁴, 12⁴, 24⁴</t>
        </is>
      </c>
      <c r="J1982" t="n">
        <v>16</v>
      </c>
      <c r="K1982" t="inlineStr">
        <is>
          <t>1⁶, 2³</t>
        </is>
      </c>
      <c r="L1982" t="inlineStr">
        <is>
          <t>12L³, 24U³, 24I⁵</t>
        </is>
      </c>
      <c r="M1982" t="inlineStr">
        <is>
          <t>24AP¹⁷, 24AS¹⁷</t>
        </is>
      </c>
      <c r="N1982" t="inlineStr">
        <is>
          <t>3B⁰, 2A⁰, 8A¹, 24B³, 6I⁰, 12F¹, 6C⁰, 4C⁰, 12I⁰, 8B⁰, 2B⁰, 4E⁰, 8B¹, 12P¹, 4B⁰, 1A⁰, 24C³, 12F², 24I⁵, 24U³, 24B⁰, 12L³, 24F², 6F⁰, 2C⁰, 12E⁰, 12B⁰</t>
        </is>
      </c>
      <c r="O1982" t="inlineStr">
        <is>
          <t>24AS¹⁷, 24AP¹⁷</t>
        </is>
      </c>
    </row>
    <row r="1983">
      <c r="A1983">
        <f>HYPERLINK("https://mathstats.uncg.edu/sites/pauli/congruence/csg9.html#group24AE9", "24AE⁹")</f>
        <v/>
      </c>
      <c r="B1983" t="n">
        <v>9</v>
      </c>
      <c r="C1983" t="inlineStr"/>
      <c r="D1983" t="inlineStr">
        <is>
          <t>192</t>
        </is>
      </c>
      <c r="E1983" t="inlineStr">
        <is>
          <t>1</t>
        </is>
      </c>
      <c r="F1983" t="inlineStr">
        <is>
          <t>12</t>
        </is>
      </c>
      <c r="G1983" t="inlineStr">
        <is>
          <t>0</t>
        </is>
      </c>
      <c r="H1983" t="inlineStr">
        <is>
          <t>0</t>
        </is>
      </c>
      <c r="I1983" t="inlineStr">
        <is>
          <t>4⁴, 8⁴, 12⁴, 24⁴</t>
        </is>
      </c>
      <c r="J1983" t="n">
        <v>16</v>
      </c>
      <c r="K1983" t="inlineStr">
        <is>
          <t>1⁶, 2³</t>
        </is>
      </c>
      <c r="L1983" t="inlineStr">
        <is>
          <t>12L³, 24V³, 24H⁵</t>
        </is>
      </c>
      <c r="M1983" t="inlineStr">
        <is>
          <t>24AP¹⁷, 24AR¹⁷, 48CC²¹, 48CA²¹, 48CJ²¹</t>
        </is>
      </c>
      <c r="N1983" t="inlineStr">
        <is>
          <t>3B⁰, 2A⁰, 24V³, 8D⁰, 6I⁰, 12F¹, 24G¹, 6C⁰, 12I⁰, 4C⁰, 2B⁰, 4E⁰, 8C⁰, 12P¹, 4B⁰, 1A⁰, 12F², 24I², 8G⁰, 12L³, 24H⁵, 6F⁰, 2C⁰, 12E⁰, 12B⁰</t>
        </is>
      </c>
      <c r="O1983" t="inlineStr">
        <is>
          <t>48CA²¹, 24AR¹⁷, 24AP¹⁷, 48CJ²¹, 48CC²¹</t>
        </is>
      </c>
    </row>
    <row r="1984">
      <c r="A1984">
        <f>HYPERLINK("https://mathstats.uncg.edu/sites/pauli/congruence/csg9.html#group24AF9", "24AF⁹")</f>
        <v/>
      </c>
      <c r="B1984" t="n">
        <v>9</v>
      </c>
      <c r="C1984" t="inlineStr"/>
      <c r="D1984" t="inlineStr">
        <is>
          <t>192</t>
        </is>
      </c>
      <c r="E1984" t="inlineStr">
        <is>
          <t>1</t>
        </is>
      </c>
      <c r="F1984" t="inlineStr">
        <is>
          <t>12</t>
        </is>
      </c>
      <c r="G1984" t="inlineStr">
        <is>
          <t>0</t>
        </is>
      </c>
      <c r="H1984" t="inlineStr">
        <is>
          <t>0</t>
        </is>
      </c>
      <c r="I1984" t="inlineStr">
        <is>
          <t>4⁴, 8⁴, 12⁴, 24⁴</t>
        </is>
      </c>
      <c r="J1984" t="n">
        <v>16</v>
      </c>
      <c r="K1984" t="inlineStr">
        <is>
          <t>1⁶, 2³</t>
        </is>
      </c>
      <c r="L1984" t="inlineStr">
        <is>
          <t>8F¹, 12K³, 24V³, 24I⁵, 24J⁵, 24K⁵</t>
        </is>
      </c>
      <c r="M1984" t="inlineStr">
        <is>
          <t>24AN¹⁷, 24AO¹⁷, 24AP¹⁷, 24A²¹, 24D²¹, 24F²¹, 24G²¹, 48CB²¹, 48CD²¹, 48CE²¹, 48CF²¹</t>
        </is>
      </c>
      <c r="N1984" t="inlineStr">
        <is>
          <t>2A⁰, 24V³, 24G¹, 4C⁰, 4G⁰, 2B⁰, 4E⁰, 8C⁰, 4B⁰, 8F¹, 1A⁰, 8G⁰, 4D⁰, 12A¹, 6F⁰, 3B⁰, 24K⁵, 8A¹, 12I¹, 24B³, 8D⁰, 12F¹, 6I⁰, 6C⁰, 8B⁰, 8B¹, 12P¹, 24C³, 8H⁰, 24I⁵, 8C¹, 24I², 4A⁰, 12G², 12K³, 24J⁵, 4F⁰, 2C⁰, 12E⁰</t>
        </is>
      </c>
      <c r="O1984" t="inlineStr">
        <is>
          <t>48CE²¹, 48CD²¹, 24F²¹, 24AP¹⁷, 24G²¹, 48CF²¹, 24A²¹, 48CB²¹, 24AN¹⁷, 24AO¹⁷, 24D²¹</t>
        </is>
      </c>
    </row>
    <row r="1985">
      <c r="A1985">
        <f>HYPERLINK("https://mathstats.uncg.edu/sites/pauli/congruence/csg9.html#group24AG9", "24AG⁹")</f>
        <v/>
      </c>
      <c r="B1985" t="n">
        <v>9</v>
      </c>
      <c r="C1985" t="inlineStr"/>
      <c r="D1985" t="inlineStr">
        <is>
          <t>192</t>
        </is>
      </c>
      <c r="E1985" t="inlineStr">
        <is>
          <t>1</t>
        </is>
      </c>
      <c r="F1985" t="inlineStr">
        <is>
          <t>24</t>
        </is>
      </c>
      <c r="G1985" t="inlineStr">
        <is>
          <t>0</t>
        </is>
      </c>
      <c r="H1985" t="inlineStr">
        <is>
          <t>0</t>
        </is>
      </c>
      <c r="I1985" t="inlineStr">
        <is>
          <t>4⁴, 8⁴, 12⁴, 24⁴</t>
        </is>
      </c>
      <c r="J1985" t="n">
        <v>16</v>
      </c>
      <c r="K1985" t="inlineStr">
        <is>
          <t>1⁸, 2⁶, 4¹</t>
        </is>
      </c>
      <c r="L1985" t="inlineStr">
        <is>
          <t>24Z³, 24I⁵, 24M⁵</t>
        </is>
      </c>
      <c r="M1985" t="inlineStr">
        <is>
          <t>24AN¹⁷, 24AQ¹⁷, 24AS¹⁷</t>
        </is>
      </c>
      <c r="N1985" t="inlineStr">
        <is>
          <t>3B⁰, 2A⁰, 8A¹, 24Z³, 24B³, 12F¹, 6I⁰, 4C⁰, 6C⁰, 8B⁰, 2B⁰, 8B¹, 4E⁰, 12P¹, 4B⁰, 1A⁰, 24C³, 24I⁵, 24M⁵, 6F⁰, 2C⁰, 12E⁰</t>
        </is>
      </c>
      <c r="O1985" t="inlineStr">
        <is>
          <t>24AQ¹⁷, 24AN¹⁷, 24AS¹⁷</t>
        </is>
      </c>
    </row>
    <row r="1986">
      <c r="A1986">
        <f>HYPERLINK("https://mathstats.uncg.edu/sites/pauli/congruence/csg9.html#group24AH9", "24AH⁹")</f>
        <v/>
      </c>
      <c r="B1986" t="n">
        <v>9</v>
      </c>
      <c r="C1986" t="inlineStr"/>
      <c r="D1986" t="inlineStr">
        <is>
          <t>192</t>
        </is>
      </c>
      <c r="E1986" t="inlineStr">
        <is>
          <t>1</t>
        </is>
      </c>
      <c r="F1986" t="inlineStr">
        <is>
          <t>24</t>
        </is>
      </c>
      <c r="G1986" t="inlineStr">
        <is>
          <t>0</t>
        </is>
      </c>
      <c r="H1986" t="inlineStr">
        <is>
          <t>0</t>
        </is>
      </c>
      <c r="I1986" t="inlineStr">
        <is>
          <t>4⁴, 8⁴, 12⁴, 24⁴</t>
        </is>
      </c>
      <c r="J1986" t="n">
        <v>16</v>
      </c>
      <c r="K1986" t="inlineStr">
        <is>
          <t>1⁸, 2⁶, 4¹</t>
        </is>
      </c>
      <c r="L1986" t="inlineStr">
        <is>
          <t>8G¹, 24AA³, 24I⁵, 24N⁵</t>
        </is>
      </c>
      <c r="M1986" t="inlineStr">
        <is>
          <t>24AO¹⁷, 24AQ¹⁷, 24AS¹⁷, 48CP²¹, 48CQ²¹</t>
        </is>
      </c>
      <c r="N1986" t="inlineStr">
        <is>
          <t>3B⁰, 2A⁰, 8A¹, 24N⁵, 24AA³, 24B³, 12F¹, 6I⁰, 4C⁰, 6C⁰, 8B⁰, 8L⁰, 2B⁰, 4E⁰, 8B¹, 12P¹, 4B⁰, 1A⁰, 24C³, 24I⁵, 8G¹, 6F⁰, 2C⁰, 12E⁰, 8J⁰</t>
        </is>
      </c>
      <c r="O1986" t="inlineStr">
        <is>
          <t>24AQ¹⁷, 48CP²¹, 48CQ²¹, 24AS¹⁷, 24AO¹⁷</t>
        </is>
      </c>
    </row>
    <row r="1987">
      <c r="A1987">
        <f>HYPERLINK("https://mathstats.uncg.edu/sites/pauli/congruence/csg9.html#group24AI9", "24AI⁹")</f>
        <v/>
      </c>
      <c r="B1987" t="n">
        <v>9</v>
      </c>
      <c r="C1987" t="inlineStr"/>
      <c r="D1987" t="inlineStr">
        <is>
          <t>192</t>
        </is>
      </c>
      <c r="E1987" t="inlineStr">
        <is>
          <t>1</t>
        </is>
      </c>
      <c r="F1987" t="inlineStr">
        <is>
          <t>48</t>
        </is>
      </c>
      <c r="G1987" t="inlineStr">
        <is>
          <t>0</t>
        </is>
      </c>
      <c r="H1987" t="inlineStr">
        <is>
          <t>0</t>
        </is>
      </c>
      <c r="I1987" t="inlineStr">
        <is>
          <t>4⁴, 8⁴, 12⁴, 24⁴</t>
        </is>
      </c>
      <c r="J1987" t="n">
        <v>16</v>
      </c>
      <c r="K1987" t="inlineStr">
        <is>
          <t>2¹², 4⁶</t>
        </is>
      </c>
      <c r="L1987" t="inlineStr">
        <is>
          <t>24K⁵, 24M⁵</t>
        </is>
      </c>
      <c r="M1987" t="inlineStr">
        <is>
          <t>24AN¹⁷, 24I²¹, 48CN²¹</t>
        </is>
      </c>
      <c r="N1987" t="inlineStr">
        <is>
          <t>3B⁰, 24K⁵, 8A¹, 8D⁰, 12F¹, 4C⁰, 2B⁰, 1A⁰, 24C³, 8C¹, 24I², 24M⁵, 4A⁰, 12A¹, 12G², 4F⁰, 6F⁰</t>
        </is>
      </c>
      <c r="O1987" t="inlineStr">
        <is>
          <t>48CN²¹, 24AN¹⁷, 24I²¹</t>
        </is>
      </c>
    </row>
    <row r="1988">
      <c r="A1988">
        <f>HYPERLINK("https://mathstats.uncg.edu/sites/pauli/congruence/csg9.html#group24AJ9", "24AJ⁹")</f>
        <v/>
      </c>
      <c r="B1988" t="n">
        <v>9</v>
      </c>
      <c r="C1988" t="inlineStr"/>
      <c r="D1988" t="inlineStr">
        <is>
          <t>192</t>
        </is>
      </c>
      <c r="E1988" t="inlineStr">
        <is>
          <t>1</t>
        </is>
      </c>
      <c r="F1988" t="inlineStr">
        <is>
          <t>48</t>
        </is>
      </c>
      <c r="G1988" t="inlineStr">
        <is>
          <t>0</t>
        </is>
      </c>
      <c r="H1988" t="inlineStr">
        <is>
          <t>0</t>
        </is>
      </c>
      <c r="I1988" t="inlineStr">
        <is>
          <t>4⁴, 8⁴, 12⁴, 24⁴</t>
        </is>
      </c>
      <c r="J1988" t="n">
        <v>16</v>
      </c>
      <c r="K1988" t="inlineStr">
        <is>
          <t>2¹², 4⁶</t>
        </is>
      </c>
      <c r="L1988" t="inlineStr">
        <is>
          <t>8P⁰, 24J⁵, 24N⁵</t>
        </is>
      </c>
      <c r="M1988" t="inlineStr">
        <is>
          <t>24AO¹⁷, 24J²¹, 48CO²¹</t>
        </is>
      </c>
      <c r="N1988" t="inlineStr">
        <is>
          <t>3B⁰, 24N⁵, 24B³, 8D⁰, 12F¹, 4C⁰, 8B⁰, 8L⁰, 2B⁰, 1A⁰, 8H⁰, 24I², 4A⁰, 12A¹, 12G², 24J⁵, 4F⁰, 8P⁰, 6F⁰</t>
        </is>
      </c>
      <c r="O1988" t="inlineStr">
        <is>
          <t>48CO²¹, 24J²¹, 24AO¹⁷</t>
        </is>
      </c>
    </row>
    <row r="1989">
      <c r="A1989">
        <f>HYPERLINK("https://mathstats.uncg.edu/sites/pauli/congruence/csg9.html#group24AK9", "24AK⁹")</f>
        <v/>
      </c>
      <c r="B1989" t="n">
        <v>9</v>
      </c>
      <c r="C1989" t="inlineStr"/>
      <c r="D1989" t="inlineStr">
        <is>
          <t>192</t>
        </is>
      </c>
      <c r="E1989" t="inlineStr">
        <is>
          <t>1</t>
        </is>
      </c>
      <c r="F1989" t="inlineStr">
        <is>
          <t>48</t>
        </is>
      </c>
      <c r="G1989" t="inlineStr">
        <is>
          <t>0</t>
        </is>
      </c>
      <c r="H1989" t="inlineStr">
        <is>
          <t>0</t>
        </is>
      </c>
      <c r="I1989" t="inlineStr">
        <is>
          <t>4⁴, 8⁴, 12⁴, 24⁴</t>
        </is>
      </c>
      <c r="J1989" t="n">
        <v>16</v>
      </c>
      <c r="K1989" t="inlineStr">
        <is>
          <t>1¹⁶, 2¹², 4²</t>
        </is>
      </c>
      <c r="L1989" t="inlineStr">
        <is>
          <t>24Z³, 24AA³, 24H⁵</t>
        </is>
      </c>
      <c r="M1989" t="inlineStr">
        <is>
          <t>24AQ¹⁷, 24AR¹⁷, 24AT¹⁷</t>
        </is>
      </c>
      <c r="N1989" t="inlineStr">
        <is>
          <t>2A⁰, 3B⁰, 24Z³, 24AA³, 6I⁰, 12F¹, 4C⁰, 6C⁰, 2B⁰, 4E⁰, 12P¹, 4B⁰, 1A⁰, 24H⁵, 6F⁰, 2C⁰, 12E⁰, 8J⁰</t>
        </is>
      </c>
      <c r="O1989" t="inlineStr">
        <is>
          <t>24AQ¹⁷, 24AR¹⁷, 24AT¹⁷</t>
        </is>
      </c>
    </row>
    <row r="1990">
      <c r="A1990">
        <f>HYPERLINK("https://mathstats.uncg.edu/sites/pauli/congruence/csg9.html#group24AL9", "24AL⁹")</f>
        <v/>
      </c>
      <c r="B1990" t="n">
        <v>9</v>
      </c>
      <c r="C1990" t="inlineStr"/>
      <c r="D1990" t="inlineStr">
        <is>
          <t>192</t>
        </is>
      </c>
      <c r="E1990" t="inlineStr">
        <is>
          <t>1</t>
        </is>
      </c>
      <c r="F1990" t="inlineStr">
        <is>
          <t>48</t>
        </is>
      </c>
      <c r="G1990" t="inlineStr">
        <is>
          <t>16</t>
        </is>
      </c>
      <c r="H1990" t="inlineStr">
        <is>
          <t>0</t>
        </is>
      </c>
      <c r="I1990" t="inlineStr">
        <is>
          <t>24⁸</t>
        </is>
      </c>
      <c r="J1990" t="n">
        <v>8</v>
      </c>
      <c r="K1990" t="inlineStr">
        <is>
          <t>4⁴, 8⁴</t>
        </is>
      </c>
      <c r="L1990" t="inlineStr">
        <is>
          <t>12Q¹, 24AB³, 24O⁵</t>
        </is>
      </c>
      <c r="M1990" t="inlineStr">
        <is>
          <t>24K²¹, 24L²¹, 24M²¹</t>
        </is>
      </c>
      <c r="N1990" t="inlineStr">
        <is>
          <t>12G¹, 24F¹, 12A⁰, 6B⁰, 8F⁰, 6E⁰, 4A⁰, 24O⁵, 12F⁰, 12Q¹, 3C⁰, 24AB³, 3A⁰, 1A⁰</t>
        </is>
      </c>
      <c r="O1990" t="inlineStr">
        <is>
          <t>24L²¹, 24M²¹, 24K²¹</t>
        </is>
      </c>
    </row>
    <row r="1991">
      <c r="A1991">
        <f>HYPERLINK("https://mathstats.uncg.edu/sites/pauli/congruence/csg9.html#group24AM9", "24AM⁹")</f>
        <v/>
      </c>
      <c r="B1991" t="n">
        <v>9</v>
      </c>
      <c r="C1991" t="inlineStr"/>
      <c r="D1991" t="inlineStr">
        <is>
          <t>192</t>
        </is>
      </c>
      <c r="E1991" t="inlineStr">
        <is>
          <t>1</t>
        </is>
      </c>
      <c r="F1991" t="inlineStr">
        <is>
          <t>48</t>
        </is>
      </c>
      <c r="G1991" t="inlineStr">
        <is>
          <t>16</t>
        </is>
      </c>
      <c r="H1991" t="inlineStr">
        <is>
          <t>0</t>
        </is>
      </c>
      <c r="I1991" t="inlineStr">
        <is>
          <t>24⁸</t>
        </is>
      </c>
      <c r="J1991" t="n">
        <v>8</v>
      </c>
      <c r="K1991" t="inlineStr">
        <is>
          <t>8¹²</t>
        </is>
      </c>
      <c r="L1991" t="inlineStr">
        <is>
          <t>24G², 24AB³, 24T⁴</t>
        </is>
      </c>
      <c r="M1991" t="inlineStr">
        <is>
          <t>24M²¹</t>
        </is>
      </c>
      <c r="N1991" t="inlineStr">
        <is>
          <t>24F¹, 24T⁴, 12A⁰, 6B⁰, 8F⁰, 4A⁰, 12F⁰, 24B¹, 24AB³, 3A⁰, 1A⁰, 24G²</t>
        </is>
      </c>
      <c r="O1991" t="inlineStr">
        <is>
          <t>24M²¹</t>
        </is>
      </c>
    </row>
    <row r="1992">
      <c r="A1992">
        <f>HYPERLINK("https://mathstats.uncg.edu/sites/pauli/congruence/csg9.html#group24AN9", "24AN⁹")</f>
        <v/>
      </c>
      <c r="B1992" t="n">
        <v>9</v>
      </c>
      <c r="C1992" t="inlineStr"/>
      <c r="D1992" t="inlineStr">
        <is>
          <t>192</t>
        </is>
      </c>
      <c r="E1992" t="inlineStr">
        <is>
          <t>1</t>
        </is>
      </c>
      <c r="F1992" t="inlineStr">
        <is>
          <t>48</t>
        </is>
      </c>
      <c r="G1992" t="inlineStr">
        <is>
          <t>16</t>
        </is>
      </c>
      <c r="H1992" t="inlineStr">
        <is>
          <t>0</t>
        </is>
      </c>
      <c r="I1992" t="inlineStr">
        <is>
          <t>24⁸</t>
        </is>
      </c>
      <c r="J1992" t="n">
        <v>8</v>
      </c>
      <c r="K1992" t="inlineStr">
        <is>
          <t>8¹²</t>
        </is>
      </c>
      <c r="L1992" t="inlineStr">
        <is>
          <t>24H², 24AB³, 24T⁴</t>
        </is>
      </c>
      <c r="M1992" t="inlineStr">
        <is>
          <t>24M²¹</t>
        </is>
      </c>
      <c r="N1992" t="inlineStr">
        <is>
          <t>24F¹, 12A⁰, 8F⁰, 6B⁰, 4A⁰, 12F⁰, 24B¹, 24AB³, 3A⁰, 1A⁰, 24T⁴, 24H²</t>
        </is>
      </c>
      <c r="O1992" t="inlineStr">
        <is>
          <t>24M²¹</t>
        </is>
      </c>
    </row>
    <row r="1993">
      <c r="A1993">
        <f>HYPERLINK("https://mathstats.uncg.edu/sites/pauli/congruence/csg9.html#group24AO9", "24AO⁹")</f>
        <v/>
      </c>
      <c r="B1993" t="n">
        <v>9</v>
      </c>
      <c r="C1993" t="inlineStr"/>
      <c r="D1993" t="inlineStr">
        <is>
          <t>192</t>
        </is>
      </c>
      <c r="E1993" t="inlineStr">
        <is>
          <t>2</t>
        </is>
      </c>
      <c r="F1993" t="inlineStr">
        <is>
          <t>48</t>
        </is>
      </c>
      <c r="G1993" t="inlineStr">
        <is>
          <t>16</t>
        </is>
      </c>
      <c r="H1993" t="inlineStr">
        <is>
          <t>0</t>
        </is>
      </c>
      <c r="I1993" t="inlineStr">
        <is>
          <t>24⁸</t>
        </is>
      </c>
      <c r="J1993" t="n">
        <v>8</v>
      </c>
      <c r="K1993" t="inlineStr">
        <is>
          <t>4⁸, 8⁸</t>
        </is>
      </c>
      <c r="L1993" t="inlineStr">
        <is>
          <t>24K², 24AB³, 24S⁴, 24T⁴</t>
        </is>
      </c>
      <c r="M1993" t="inlineStr">
        <is>
          <t>24M²¹</t>
        </is>
      </c>
      <c r="N1993" t="inlineStr">
        <is>
          <t>6B⁰, 3A⁰, 24S⁴, 8A⁰, 12F⁰, 24B¹, 1A⁰, 24F¹, 8F⁰, 24K², 24A¹, 12A⁰, 4A⁰, 24AB³, 8M⁰, 24T⁴</t>
        </is>
      </c>
      <c r="O1993" t="inlineStr">
        <is>
          <t>24M²¹</t>
        </is>
      </c>
    </row>
    <row r="1994">
      <c r="A1994">
        <f>HYPERLINK("https://mathstats.uncg.edu/sites/pauli/congruence/csg9.html#group24AP9", "24AP⁹")</f>
        <v/>
      </c>
      <c r="B1994" t="n">
        <v>9</v>
      </c>
      <c r="C1994" t="inlineStr"/>
      <c r="D1994" t="inlineStr">
        <is>
          <t>288</t>
        </is>
      </c>
      <c r="E1994" t="inlineStr">
        <is>
          <t>1</t>
        </is>
      </c>
      <c r="F1994" t="inlineStr">
        <is>
          <t>6</t>
        </is>
      </c>
      <c r="G1994" t="inlineStr">
        <is>
          <t>0</t>
        </is>
      </c>
      <c r="H1994" t="inlineStr">
        <is>
          <t>0</t>
        </is>
      </c>
      <c r="I1994" t="inlineStr">
        <is>
          <t>3¹⁶, 6⁸, 24⁸</t>
        </is>
      </c>
      <c r="J1994" t="n">
        <v>32</v>
      </c>
      <c r="K1994" t="inlineStr">
        <is>
          <t>1⁴, 2¹</t>
        </is>
      </c>
      <c r="L1994" t="inlineStr">
        <is>
          <t>24J¹, 12O³, 24AC³, 24R⁵</t>
        </is>
      </c>
      <c r="M1994" t="inlineStr"/>
      <c r="N1994" t="inlineStr">
        <is>
          <t>12O³, 3B⁰, 24I¹, 12K¹, 24G¹, 12J⁰, 6G⁰, 12S¹, 2B⁰, 24AC³, 8C⁰, 4B⁰, 1A⁰, 24J¹, 24B², 12G⁰, 24B⁰, 24L³, 6F⁰, 24R⁵, 3C⁰, 6K⁰, 12B¹, 12D⁰, 12E⁰, 24D², 3A⁰, 24K³, 3D⁰, 6D⁰</t>
        </is>
      </c>
      <c r="O1994" t="inlineStr"/>
    </row>
    <row r="1995">
      <c r="A1995">
        <f>HYPERLINK("https://mathstats.uncg.edu/sites/pauli/congruence/csg9.html#group26A9", "26A⁹")</f>
        <v/>
      </c>
      <c r="B1995" t="n">
        <v>9</v>
      </c>
      <c r="C1995" t="inlineStr"/>
      <c r="D1995" t="inlineStr">
        <is>
          <t>168</t>
        </is>
      </c>
      <c r="E1995" t="inlineStr">
        <is>
          <t>1</t>
        </is>
      </c>
      <c r="F1995" t="inlineStr">
        <is>
          <t>14</t>
        </is>
      </c>
      <c r="G1995" t="inlineStr">
        <is>
          <t>0</t>
        </is>
      </c>
      <c r="H1995" t="inlineStr">
        <is>
          <t>0</t>
        </is>
      </c>
      <c r="I1995" t="inlineStr">
        <is>
          <t>2⁶, 26⁶</t>
        </is>
      </c>
      <c r="J1995" t="n">
        <v>12</v>
      </c>
      <c r="K1995" t="inlineStr">
        <is>
          <t>1², 12¹</t>
        </is>
      </c>
      <c r="L1995" t="inlineStr">
        <is>
          <t>26B¹, 13A², 26B², 26A⁵</t>
        </is>
      </c>
      <c r="M1995" t="inlineStr">
        <is>
          <t>52A²³</t>
        </is>
      </c>
      <c r="N1995" t="inlineStr">
        <is>
          <t>2A⁰, 26A⁵, 26B¹, 26A¹, 13A², 13A⁰, 13C⁰, 26A⁰, 26B², 13B⁰, 1A⁰</t>
        </is>
      </c>
      <c r="O1995" t="inlineStr">
        <is>
          <t>52A²³</t>
        </is>
      </c>
    </row>
    <row r="1996">
      <c r="A1996">
        <f>HYPERLINK("https://mathstats.uncg.edu/sites/pauli/congruence/csg9.html#group26B9", "26B⁹")</f>
        <v/>
      </c>
      <c r="B1996" t="n">
        <v>9</v>
      </c>
      <c r="C1996" t="inlineStr"/>
      <c r="D1996" t="inlineStr">
        <is>
          <t>168</t>
        </is>
      </c>
      <c r="E1996" t="inlineStr">
        <is>
          <t>1</t>
        </is>
      </c>
      <c r="F1996" t="inlineStr">
        <is>
          <t>14</t>
        </is>
      </c>
      <c r="G1996" t="inlineStr">
        <is>
          <t>0</t>
        </is>
      </c>
      <c r="H1996" t="inlineStr">
        <is>
          <t>0</t>
        </is>
      </c>
      <c r="I1996" t="inlineStr">
        <is>
          <t>2⁶, 26⁶</t>
        </is>
      </c>
      <c r="J1996" t="n">
        <v>12</v>
      </c>
      <c r="K1996" t="inlineStr">
        <is>
          <t>1², 12¹</t>
        </is>
      </c>
      <c r="L1996" t="inlineStr">
        <is>
          <t>26B¹, 26A⁴, 26B⁴, 26B⁵</t>
        </is>
      </c>
      <c r="M1996" t="inlineStr">
        <is>
          <t>52A¹⁹, 52C²¹, 52B²³</t>
        </is>
      </c>
      <c r="N1996" t="inlineStr">
        <is>
          <t>26B⁵, 2A⁰, 26B¹, 26A¹, 13A⁰, 26B⁴, 2B⁰, 26A⁰, 13B⁰, 1A⁰, 2C⁰, 26A², 26A⁴</t>
        </is>
      </c>
      <c r="O1996" t="inlineStr">
        <is>
          <t>52C²¹, 52A¹⁹, 52B²³</t>
        </is>
      </c>
    </row>
    <row r="1997">
      <c r="A1997">
        <f>HYPERLINK("https://mathstats.uncg.edu/sites/pauli/congruence/csg9.html#group26C9", "26C⁹")</f>
        <v/>
      </c>
      <c r="B1997" t="n">
        <v>9</v>
      </c>
      <c r="C1997" t="inlineStr"/>
      <c r="D1997" t="inlineStr">
        <is>
          <t>182</t>
        </is>
      </c>
      <c r="E1997" t="inlineStr">
        <is>
          <t>1</t>
        </is>
      </c>
      <c r="F1997" t="inlineStr">
        <is>
          <t>91</t>
        </is>
      </c>
      <c r="G1997" t="inlineStr">
        <is>
          <t>12</t>
        </is>
      </c>
      <c r="H1997" t="inlineStr">
        <is>
          <t>2</t>
        </is>
      </c>
      <c r="I1997" t="inlineStr">
        <is>
          <t>26⁷</t>
        </is>
      </c>
      <c r="J1997" t="n">
        <v>7</v>
      </c>
      <c r="K1997" t="inlineStr">
        <is>
          <t>1¹, 6¹, 12⁷</t>
        </is>
      </c>
      <c r="L1997" t="inlineStr">
        <is>
          <t>13C³</t>
        </is>
      </c>
      <c r="M1997" t="inlineStr">
        <is>
          <t>26A²⁰, 26B²⁰, 26A²³</t>
        </is>
      </c>
      <c r="N1997" t="inlineStr">
        <is>
          <t>13C³, 1A⁰</t>
        </is>
      </c>
      <c r="O1997" t="inlineStr">
        <is>
          <t>26A²⁰, 26B²⁰, 26A²³</t>
        </is>
      </c>
    </row>
    <row r="1998">
      <c r="A1998">
        <f>HYPERLINK("https://mathstats.uncg.edu/sites/pauli/congruence/csg9.html#group28A9", "28A⁹")</f>
        <v/>
      </c>
      <c r="B1998" t="n">
        <v>9</v>
      </c>
      <c r="C1998" t="inlineStr"/>
      <c r="D1998" t="inlineStr">
        <is>
          <t>168</t>
        </is>
      </c>
      <c r="E1998" t="inlineStr">
        <is>
          <t>1</t>
        </is>
      </c>
      <c r="F1998" t="inlineStr">
        <is>
          <t>84</t>
        </is>
      </c>
      <c r="G1998" t="inlineStr">
        <is>
          <t>0</t>
        </is>
      </c>
      <c r="H1998" t="inlineStr">
        <is>
          <t>0</t>
        </is>
      </c>
      <c r="I1998" t="inlineStr">
        <is>
          <t>7⁸, 28⁴</t>
        </is>
      </c>
      <c r="J1998" t="n">
        <v>12</v>
      </c>
      <c r="K1998" t="inlineStr">
        <is>
          <t>1³, 3³, 6¹²</t>
        </is>
      </c>
      <c r="L1998" t="inlineStr">
        <is>
          <t>14D³, 28A³</t>
        </is>
      </c>
      <c r="M1998" t="inlineStr">
        <is>
          <t>28A¹⁷, 28D²¹, 28B²¹, 56F²¹, 56E²¹</t>
        </is>
      </c>
      <c r="N1998" t="inlineStr">
        <is>
          <t>14B¹, 7F⁰, 28A³, 2B⁰, 4B⁰, 1A⁰, 7A⁰, 14D³</t>
        </is>
      </c>
      <c r="O1998" t="inlineStr">
        <is>
          <t>56F²¹, 28D²¹, 28A¹⁷, 56E²¹, 28B²¹</t>
        </is>
      </c>
    </row>
    <row r="1999">
      <c r="A1999">
        <f>HYPERLINK("https://mathstats.uncg.edu/sites/pauli/congruence/csg9.html#group28B9", "28B⁹")</f>
        <v/>
      </c>
      <c r="B1999" t="n">
        <v>9</v>
      </c>
      <c r="C1999" t="inlineStr"/>
      <c r="D1999" t="inlineStr">
        <is>
          <t>168</t>
        </is>
      </c>
      <c r="E1999" t="inlineStr">
        <is>
          <t>1</t>
        </is>
      </c>
      <c r="F1999" t="inlineStr">
        <is>
          <t>84</t>
        </is>
      </c>
      <c r="G1999" t="inlineStr">
        <is>
          <t>8</t>
        </is>
      </c>
      <c r="H1999" t="inlineStr">
        <is>
          <t>0</t>
        </is>
      </c>
      <c r="I1999" t="inlineStr">
        <is>
          <t>14⁴, 28⁴</t>
        </is>
      </c>
      <c r="J1999" t="n">
        <v>8</v>
      </c>
      <c r="K1999" t="inlineStr">
        <is>
          <t>1³, 3³, 6¹²</t>
        </is>
      </c>
      <c r="L1999" t="inlineStr">
        <is>
          <t>28C², 14D³</t>
        </is>
      </c>
      <c r="M1999" t="inlineStr">
        <is>
          <t>28D¹⁷, 28D²¹, 28E²¹, 28I²¹, 28J²¹, 56C²¹, 56D²¹, 56H²¹, 56G²¹</t>
        </is>
      </c>
      <c r="N1999" t="inlineStr">
        <is>
          <t>28C², 14B¹, 4C⁰, 7F⁰, 2B⁰, 1A⁰, 7A⁰, 14D³</t>
        </is>
      </c>
      <c r="O1999" t="inlineStr">
        <is>
          <t>28E²¹, 56H²¹, 28I²¹, 56G²¹, 56D²¹, 28J²¹, 28D²¹, 56C²¹, 28D¹⁷</t>
        </is>
      </c>
    </row>
    <row r="2000">
      <c r="A2000">
        <f>HYPERLINK("https://mathstats.uncg.edu/sites/pauli/congruence/csg9.html#group28C9", "28C⁹")</f>
        <v/>
      </c>
      <c r="B2000" t="n">
        <v>9</v>
      </c>
      <c r="C2000" t="inlineStr"/>
      <c r="D2000" t="inlineStr">
        <is>
          <t>168</t>
        </is>
      </c>
      <c r="E2000" t="inlineStr">
        <is>
          <t>2</t>
        </is>
      </c>
      <c r="F2000" t="inlineStr">
        <is>
          <t>28</t>
        </is>
      </c>
      <c r="G2000" t="inlineStr">
        <is>
          <t>12</t>
        </is>
      </c>
      <c r="H2000" t="inlineStr">
        <is>
          <t>0</t>
        </is>
      </c>
      <c r="I2000" t="inlineStr">
        <is>
          <t>28⁶</t>
        </is>
      </c>
      <c r="J2000" t="n">
        <v>6</v>
      </c>
      <c r="K2000" t="inlineStr">
        <is>
          <t>4², 12⁴</t>
        </is>
      </c>
      <c r="L2000" t="inlineStr">
        <is>
          <t>7G⁰, 28D³, 28B⁴</t>
        </is>
      </c>
      <c r="M2000" t="inlineStr">
        <is>
          <t>28C¹⁹, 28F²¹, 28D²³, 56C²³, 56B²³, 56K²³, 56L²³</t>
        </is>
      </c>
      <c r="N2000" t="inlineStr">
        <is>
          <t>28D³, 7D⁰, 4A⁰, 7C⁰, 7G⁰, 28B⁴, 28A¹, 1A⁰, 7A⁰</t>
        </is>
      </c>
      <c r="O2000" t="inlineStr">
        <is>
          <t>56L²³, 56K²³, 56C²³, 28C¹⁹, 56B²³, 28D²³, 28F²¹</t>
        </is>
      </c>
    </row>
    <row r="2001">
      <c r="A2001">
        <f>HYPERLINK("https://mathstats.uncg.edu/sites/pauli/congruence/csg9.html#group28D9", "28D⁹")</f>
        <v/>
      </c>
      <c r="B2001" t="n">
        <v>9</v>
      </c>
      <c r="C2001" t="inlineStr"/>
      <c r="D2001" t="inlineStr">
        <is>
          <t>168</t>
        </is>
      </c>
      <c r="E2001" t="inlineStr">
        <is>
          <t>2</t>
        </is>
      </c>
      <c r="F2001" t="inlineStr">
        <is>
          <t>168</t>
        </is>
      </c>
      <c r="G2001" t="inlineStr">
        <is>
          <t>8</t>
        </is>
      </c>
      <c r="H2001" t="inlineStr">
        <is>
          <t>3</t>
        </is>
      </c>
      <c r="I2001" t="inlineStr">
        <is>
          <t>28⁶</t>
        </is>
      </c>
      <c r="J2001" t="n">
        <v>6</v>
      </c>
      <c r="K2001" t="inlineStr">
        <is>
          <t>12²⁸</t>
        </is>
      </c>
      <c r="L2001" t="inlineStr">
        <is>
          <t>14F¹</t>
        </is>
      </c>
      <c r="M2001" t="inlineStr">
        <is>
          <t>28L²¹, 56I²², 56J²²</t>
        </is>
      </c>
      <c r="N2001" t="inlineStr">
        <is>
          <t>7A⁰, 14A⁰, 1A⁰, 14F¹</t>
        </is>
      </c>
      <c r="O2001" t="inlineStr">
        <is>
          <t>28L²¹, 56J²², 56I²²</t>
        </is>
      </c>
    </row>
    <row r="2002">
      <c r="A2002">
        <f>HYPERLINK("https://mathstats.uncg.edu/sites/pauli/congruence/csg9.html#group28E9", "28E⁹")</f>
        <v/>
      </c>
      <c r="B2002" t="n">
        <v>9</v>
      </c>
      <c r="C2002" t="inlineStr"/>
      <c r="D2002" t="inlineStr">
        <is>
          <t>168</t>
        </is>
      </c>
      <c r="E2002" t="inlineStr">
        <is>
          <t>2</t>
        </is>
      </c>
      <c r="F2002" t="inlineStr">
        <is>
          <t>168</t>
        </is>
      </c>
      <c r="G2002" t="inlineStr">
        <is>
          <t>8</t>
        </is>
      </c>
      <c r="H2002" t="inlineStr">
        <is>
          <t>3</t>
        </is>
      </c>
      <c r="I2002" t="inlineStr">
        <is>
          <t>28⁶</t>
        </is>
      </c>
      <c r="J2002" t="n">
        <v>6</v>
      </c>
      <c r="K2002" t="inlineStr">
        <is>
          <t>12²⁸</t>
        </is>
      </c>
      <c r="L2002" t="inlineStr">
        <is>
          <t>14F¹, 28E²</t>
        </is>
      </c>
      <c r="M2002" t="inlineStr">
        <is>
          <t>28K²¹, 56K²², 56L²²</t>
        </is>
      </c>
      <c r="N2002" t="inlineStr">
        <is>
          <t>28E², 14A⁰, 14F¹, 28A¹, 1A⁰, 4A⁰, 7A⁰</t>
        </is>
      </c>
      <c r="O2002" t="inlineStr">
        <is>
          <t>56K²², 28K²¹, 56L²²</t>
        </is>
      </c>
    </row>
    <row r="2003">
      <c r="A2003">
        <f>HYPERLINK("https://mathstats.uncg.edu/sites/pauli/congruence/csg9.html#group28F9", "28F⁹")</f>
        <v/>
      </c>
      <c r="B2003" t="n">
        <v>9</v>
      </c>
      <c r="C2003" t="inlineStr"/>
      <c r="D2003" t="inlineStr">
        <is>
          <t>192</t>
        </is>
      </c>
      <c r="E2003" t="inlineStr">
        <is>
          <t>1</t>
        </is>
      </c>
      <c r="F2003" t="inlineStr">
        <is>
          <t>24</t>
        </is>
      </c>
      <c r="G2003" t="inlineStr">
        <is>
          <t>0</t>
        </is>
      </c>
      <c r="H2003" t="inlineStr">
        <is>
          <t>0</t>
        </is>
      </c>
      <c r="I2003" t="inlineStr">
        <is>
          <t>2⁴, 4⁴, 14⁴, 28⁴</t>
        </is>
      </c>
      <c r="J2003" t="n">
        <v>16</v>
      </c>
      <c r="K2003" t="inlineStr">
        <is>
          <t>1⁶, 6³</t>
        </is>
      </c>
      <c r="L2003" t="inlineStr">
        <is>
          <t>28D⁴, 28E⁴, 28E⁵</t>
        </is>
      </c>
      <c r="M2003" t="inlineStr">
        <is>
          <t>28M²¹, 56L²¹, 56N²¹</t>
        </is>
      </c>
      <c r="N2003" t="inlineStr">
        <is>
          <t>2A⁰, 28D², 4C⁰, 2B⁰, 4E⁰, 14E², 4B⁰, 1A⁰, 28D⁴, 28E⁴, 28E⁵, 7B⁰, 14C¹, 14B⁰, 28C³, 2C⁰</t>
        </is>
      </c>
      <c r="O2003" t="inlineStr">
        <is>
          <t>28M²¹, 56N²¹, 56L²¹</t>
        </is>
      </c>
    </row>
    <row r="2004">
      <c r="A2004">
        <f>HYPERLINK("https://mathstats.uncg.edu/sites/pauli/congruence/csg9.html#group28G9", "28G⁹")</f>
        <v/>
      </c>
      <c r="B2004" t="n">
        <v>9</v>
      </c>
      <c r="C2004" t="inlineStr"/>
      <c r="D2004" t="inlineStr">
        <is>
          <t>192</t>
        </is>
      </c>
      <c r="E2004" t="inlineStr">
        <is>
          <t>1</t>
        </is>
      </c>
      <c r="F2004" t="inlineStr">
        <is>
          <t>64</t>
        </is>
      </c>
      <c r="G2004" t="inlineStr">
        <is>
          <t>0</t>
        </is>
      </c>
      <c r="H2004" t="inlineStr">
        <is>
          <t>6</t>
        </is>
      </c>
      <c r="I2004" t="inlineStr">
        <is>
          <t>4⁶, 28⁶</t>
        </is>
      </c>
      <c r="J2004" t="n">
        <v>12</v>
      </c>
      <c r="K2004" t="inlineStr">
        <is>
          <t>2⁸, 12⁴</t>
        </is>
      </c>
      <c r="L2004" t="inlineStr">
        <is>
          <t>14C⁰, 28E³</t>
        </is>
      </c>
      <c r="M2004" t="inlineStr">
        <is>
          <t>28E¹⁷, 56T²³, 56S²³</t>
        </is>
      </c>
      <c r="N2004" t="inlineStr">
        <is>
          <t>2A⁰, 7B⁰, 4A⁰, 4D⁰, 14B⁰, 28E³, 14C⁰, 1A⁰, 28A²</t>
        </is>
      </c>
      <c r="O2004" t="inlineStr">
        <is>
          <t>56S²³, 28E¹⁷, 56T²³</t>
        </is>
      </c>
    </row>
    <row r="2005">
      <c r="A2005">
        <f>HYPERLINK("https://mathstats.uncg.edu/sites/pauli/congruence/csg9.html#group30A9", "30A⁹")</f>
        <v/>
      </c>
      <c r="B2005" t="n">
        <v>9</v>
      </c>
      <c r="C2005" t="inlineStr"/>
      <c r="D2005" t="inlineStr">
        <is>
          <t>120</t>
        </is>
      </c>
      <c r="E2005" t="inlineStr">
        <is>
          <t>1</t>
        </is>
      </c>
      <c r="F2005" t="inlineStr">
        <is>
          <t>5</t>
        </is>
      </c>
      <c r="G2005" t="inlineStr">
        <is>
          <t>0</t>
        </is>
      </c>
      <c r="H2005" t="inlineStr">
        <is>
          <t>0</t>
        </is>
      </c>
      <c r="I2005" t="inlineStr">
        <is>
          <t>30⁴</t>
        </is>
      </c>
      <c r="J2005" t="n">
        <v>4</v>
      </c>
      <c r="K2005" t="inlineStr">
        <is>
          <t>1¹, 4¹</t>
        </is>
      </c>
      <c r="L2005" t="inlineStr">
        <is>
          <t>6D¹, 30D², 15A⁴, 30A⁴, 30B⁵</t>
        </is>
      </c>
      <c r="M2005" t="inlineStr">
        <is>
          <t>60A¹⁹</t>
        </is>
      </c>
      <c r="N2005" t="inlineStr">
        <is>
          <t>3B⁰, 2A⁰, 5A⁰, 30A³, 6B⁰, 15A⁴, 30D², 6C⁰, 30A⁴, 1A⁰, 30B⁵, 10A⁰, 30A², 6D¹, 15A², 6E⁰, 6B¹, 15B¹, 3C⁰, 6A¹, 3A⁰, 3D⁰, 15A¹</t>
        </is>
      </c>
      <c r="O2005" t="inlineStr">
        <is>
          <t>60A¹⁹</t>
        </is>
      </c>
    </row>
    <row r="2006">
      <c r="A2006">
        <f>HYPERLINK("https://mathstats.uncg.edu/sites/pauli/congruence/csg9.html#group30B9", "30B⁹")</f>
        <v/>
      </c>
      <c r="B2006" t="n">
        <v>9</v>
      </c>
      <c r="C2006" t="inlineStr"/>
      <c r="D2006" t="inlineStr">
        <is>
          <t>120</t>
        </is>
      </c>
      <c r="E2006" t="inlineStr">
        <is>
          <t>1</t>
        </is>
      </c>
      <c r="F2006" t="inlineStr">
        <is>
          <t>10</t>
        </is>
      </c>
      <c r="G2006" t="inlineStr">
        <is>
          <t>0</t>
        </is>
      </c>
      <c r="H2006" t="inlineStr">
        <is>
          <t>0</t>
        </is>
      </c>
      <c r="I2006" t="inlineStr">
        <is>
          <t>30⁴</t>
        </is>
      </c>
      <c r="J2006" t="n">
        <v>4</v>
      </c>
      <c r="K2006" t="inlineStr">
        <is>
          <t>2¹, 4²</t>
        </is>
      </c>
      <c r="L2006" t="inlineStr">
        <is>
          <t>10H¹, 30F², 30A³, 15B⁴, 30A⁵</t>
        </is>
      </c>
      <c r="M2006" t="inlineStr">
        <is>
          <t>30E¹⁷, 60B¹⁹, 60D¹⁹</t>
        </is>
      </c>
      <c r="N2006" t="inlineStr">
        <is>
          <t>10H¹, 30A³, 2A⁰, 5A⁰, 10D⁰, 15B⁴, 5F⁰, 30A⁵, 1A⁰, 30F², 15D¹, 10A⁰, 10C¹, 6A¹, 3A⁰, 5C⁰, 15A¹</t>
        </is>
      </c>
      <c r="O2006" t="inlineStr">
        <is>
          <t>60B¹⁹, 30E¹⁷, 60D¹⁹</t>
        </is>
      </c>
    </row>
    <row r="2007">
      <c r="A2007">
        <f>HYPERLINK("https://mathstats.uncg.edu/sites/pauli/congruence/csg9.html#group30C9", "30C⁹")</f>
        <v/>
      </c>
      <c r="B2007" t="n">
        <v>9</v>
      </c>
      <c r="C2007" t="inlineStr"/>
      <c r="D2007" t="inlineStr">
        <is>
          <t>120</t>
        </is>
      </c>
      <c r="E2007" t="inlineStr">
        <is>
          <t>1</t>
        </is>
      </c>
      <c r="F2007" t="inlineStr">
        <is>
          <t>30</t>
        </is>
      </c>
      <c r="G2007" t="inlineStr">
        <is>
          <t>0</t>
        </is>
      </c>
      <c r="H2007" t="inlineStr">
        <is>
          <t>0</t>
        </is>
      </c>
      <c r="I2007" t="inlineStr">
        <is>
          <t>30⁴</t>
        </is>
      </c>
      <c r="J2007" t="n">
        <v>4</v>
      </c>
      <c r="K2007" t="inlineStr">
        <is>
          <t>2¹, 4³, 8²</t>
        </is>
      </c>
      <c r="L2007" t="inlineStr">
        <is>
          <t>15C³, 30C⁴</t>
        </is>
      </c>
      <c r="M2007" t="inlineStr">
        <is>
          <t>30A¹⁷, 30C¹⁷, 30D¹⁷</t>
        </is>
      </c>
      <c r="N2007" t="inlineStr">
        <is>
          <t>30C⁴, 15D¹, 5C⁰, 3C⁰, 15C³, 3A⁰, 1A⁰</t>
        </is>
      </c>
      <c r="O2007" t="inlineStr">
        <is>
          <t>30C¹⁷, 30D¹⁷, 30A¹⁷</t>
        </is>
      </c>
    </row>
    <row r="2008">
      <c r="A2008">
        <f>HYPERLINK("https://mathstats.uncg.edu/sites/pauli/congruence/csg9.html#group30D9", "30D⁹")</f>
        <v/>
      </c>
      <c r="B2008" t="n">
        <v>9</v>
      </c>
      <c r="C2008" t="inlineStr"/>
      <c r="D2008" t="inlineStr">
        <is>
          <t>120</t>
        </is>
      </c>
      <c r="E2008" t="inlineStr">
        <is>
          <t>1</t>
        </is>
      </c>
      <c r="F2008" t="inlineStr">
        <is>
          <t>30</t>
        </is>
      </c>
      <c r="G2008" t="inlineStr">
        <is>
          <t>0</t>
        </is>
      </c>
      <c r="H2008" t="inlineStr">
        <is>
          <t>0</t>
        </is>
      </c>
      <c r="I2008" t="inlineStr">
        <is>
          <t>30⁴</t>
        </is>
      </c>
      <c r="J2008" t="n">
        <v>4</v>
      </c>
      <c r="K2008" t="inlineStr">
        <is>
          <t>2¹, 4³, 8²</t>
        </is>
      </c>
      <c r="L2008" t="inlineStr">
        <is>
          <t>15D², 30C⁴, 30A⁵</t>
        </is>
      </c>
      <c r="M2008" t="inlineStr">
        <is>
          <t>30C¹⁷, 30E¹⁷</t>
        </is>
      </c>
      <c r="N2008" t="inlineStr">
        <is>
          <t>2A⁰, 30C⁴, 15D¹, 5C⁰, 15D², 10C¹, 6A¹, 30A⁵, 3A⁰, 1A⁰</t>
        </is>
      </c>
      <c r="O2008" t="inlineStr">
        <is>
          <t>30C¹⁷, 30E¹⁷</t>
        </is>
      </c>
    </row>
    <row r="2009">
      <c r="A2009">
        <f>HYPERLINK("https://mathstats.uncg.edu/sites/pauli/congruence/csg9.html#group30E9", "30E⁹")</f>
        <v/>
      </c>
      <c r="B2009" t="n">
        <v>9</v>
      </c>
      <c r="C2009" t="inlineStr"/>
      <c r="D2009" t="inlineStr">
        <is>
          <t>120</t>
        </is>
      </c>
      <c r="E2009" t="inlineStr">
        <is>
          <t>1</t>
        </is>
      </c>
      <c r="F2009" t="inlineStr">
        <is>
          <t>30</t>
        </is>
      </c>
      <c r="G2009" t="inlineStr">
        <is>
          <t>0</t>
        </is>
      </c>
      <c r="H2009" t="inlineStr">
        <is>
          <t>0</t>
        </is>
      </c>
      <c r="I2009" t="inlineStr">
        <is>
          <t>30⁴</t>
        </is>
      </c>
      <c r="J2009" t="n">
        <v>4</v>
      </c>
      <c r="K2009" t="inlineStr">
        <is>
          <t>2¹, 4³, 8²</t>
        </is>
      </c>
      <c r="L2009" t="inlineStr">
        <is>
          <t>6B¹, 15C³, 30H³, 30A⁵</t>
        </is>
      </c>
      <c r="M2009" t="inlineStr">
        <is>
          <t>30B¹⁷, 30C¹⁷, 30E¹⁷</t>
        </is>
      </c>
      <c r="N2009" t="inlineStr">
        <is>
          <t>2A⁰, 15D¹, 6B⁰, 3A⁰, 6B¹, 5C⁰, 3C⁰, 10C¹, 6A¹, 30A⁵, 15C³, 30H³, 1A⁰</t>
        </is>
      </c>
      <c r="O2009" t="inlineStr">
        <is>
          <t>30C¹⁷, 30B¹⁷, 30E¹⁷</t>
        </is>
      </c>
    </row>
    <row r="2010">
      <c r="A2010">
        <f>HYPERLINK("https://mathstats.uncg.edu/sites/pauli/congruence/csg9.html#group30F9", "30F⁹")</f>
        <v/>
      </c>
      <c r="B2010" t="n">
        <v>9</v>
      </c>
      <c r="C2010" t="inlineStr"/>
      <c r="D2010" t="inlineStr">
        <is>
          <t>120</t>
        </is>
      </c>
      <c r="E2010" t="inlineStr">
        <is>
          <t>1</t>
        </is>
      </c>
      <c r="F2010" t="inlineStr">
        <is>
          <t>30</t>
        </is>
      </c>
      <c r="G2010" t="inlineStr">
        <is>
          <t>0</t>
        </is>
      </c>
      <c r="H2010" t="inlineStr">
        <is>
          <t>0</t>
        </is>
      </c>
      <c r="I2010" t="inlineStr">
        <is>
          <t>30⁴</t>
        </is>
      </c>
      <c r="J2010" t="n">
        <v>4</v>
      </c>
      <c r="K2010" t="inlineStr">
        <is>
          <t>2¹, 4³, 8²</t>
        </is>
      </c>
      <c r="L2010" t="inlineStr">
        <is>
          <t>30A², 30H³, 15B⁴, 30C⁴</t>
        </is>
      </c>
      <c r="M2010" t="inlineStr">
        <is>
          <t>30D¹⁷, 30E¹⁷</t>
        </is>
      </c>
      <c r="N2010" t="inlineStr">
        <is>
          <t>30C⁴, 15D¹, 30A², 6B⁰, 3A⁰, 5A⁰, 15B⁴, 5C⁰, 5F⁰, 30H³, 1A⁰, 15A¹</t>
        </is>
      </c>
      <c r="O2010" t="inlineStr">
        <is>
          <t>30D¹⁷, 30E¹⁷</t>
        </is>
      </c>
    </row>
    <row r="2011">
      <c r="A2011">
        <f>HYPERLINK("https://mathstats.uncg.edu/sites/pauli/congruence/csg9.html#group30G9", "30G⁹")</f>
        <v/>
      </c>
      <c r="B2011" t="n">
        <v>9</v>
      </c>
      <c r="C2011" t="inlineStr"/>
      <c r="D2011" t="inlineStr">
        <is>
          <t>144</t>
        </is>
      </c>
      <c r="E2011" t="inlineStr">
        <is>
          <t>1</t>
        </is>
      </c>
      <c r="F2011" t="inlineStr">
        <is>
          <t>6</t>
        </is>
      </c>
      <c r="G2011" t="inlineStr">
        <is>
          <t>0</t>
        </is>
      </c>
      <c r="H2011" t="inlineStr">
        <is>
          <t>0</t>
        </is>
      </c>
      <c r="I2011" t="inlineStr">
        <is>
          <t>6⁴, 30⁴</t>
        </is>
      </c>
      <c r="J2011" t="n">
        <v>8</v>
      </c>
      <c r="K2011" t="inlineStr">
        <is>
          <t>1², 4¹</t>
        </is>
      </c>
      <c r="L2011" t="inlineStr">
        <is>
          <t>15E³, 30F³, 30J³, 30E⁵</t>
        </is>
      </c>
      <c r="M2011" t="inlineStr">
        <is>
          <t>30H¹⁷, 60Q²¹</t>
        </is>
      </c>
      <c r="N2011" t="inlineStr">
        <is>
          <t>30A⁰, 3B⁰, 30J³, 5B⁰, 1A⁰, 10B⁰, 15C¹, 30F³, 15B⁰, 15E³, 30E⁵, 3C⁰, 3A⁰, 3D⁰, 15E¹, 30C²</t>
        </is>
      </c>
      <c r="O2011" t="inlineStr">
        <is>
          <t>30H¹⁷, 60Q²¹</t>
        </is>
      </c>
    </row>
    <row r="2012">
      <c r="A2012">
        <f>HYPERLINK("https://mathstats.uncg.edu/sites/pauli/congruence/csg9.html#group30H9", "30H⁹")</f>
        <v/>
      </c>
      <c r="B2012" t="n">
        <v>9</v>
      </c>
      <c r="C2012" t="inlineStr"/>
      <c r="D2012" t="inlineStr">
        <is>
          <t>144</t>
        </is>
      </c>
      <c r="E2012" t="inlineStr">
        <is>
          <t>1</t>
        </is>
      </c>
      <c r="F2012" t="inlineStr">
        <is>
          <t>6</t>
        </is>
      </c>
      <c r="G2012" t="inlineStr">
        <is>
          <t>0</t>
        </is>
      </c>
      <c r="H2012" t="inlineStr">
        <is>
          <t>0</t>
        </is>
      </c>
      <c r="I2012" t="inlineStr">
        <is>
          <t>6⁴, 30⁴</t>
        </is>
      </c>
      <c r="J2012" t="n">
        <v>8</v>
      </c>
      <c r="K2012" t="inlineStr">
        <is>
          <t>1², 4¹</t>
        </is>
      </c>
      <c r="L2012" t="inlineStr">
        <is>
          <t>6D¹, 15E³, 30G³, 30I³, 30H⁵</t>
        </is>
      </c>
      <c r="M2012" t="inlineStr">
        <is>
          <t>30H¹⁷, 60A²¹, 60B²¹</t>
        </is>
      </c>
      <c r="N2012" t="inlineStr">
        <is>
          <t>3B⁰, 2A⁰, 6B⁰, 30I³, 30C¹, 6C⁰, 5B⁰, 10A¹, 30G³, 1A⁰, 30B³, 30H⁵, 15C¹, 15B⁰, 6D¹, 15E³, 6E⁰, 6B¹, 3C⁰, 6A¹, 3A⁰, 3D⁰, 15E¹</t>
        </is>
      </c>
      <c r="O2012" t="inlineStr">
        <is>
          <t>60A²¹, 60B²¹, 30H¹⁷</t>
        </is>
      </c>
    </row>
    <row r="2013">
      <c r="A2013">
        <f>HYPERLINK("https://mathstats.uncg.edu/sites/pauli/congruence/csg9.html#group30I9", "30I⁹")</f>
        <v/>
      </c>
      <c r="B2013" t="n">
        <v>9</v>
      </c>
      <c r="C2013" t="inlineStr"/>
      <c r="D2013" t="inlineStr">
        <is>
          <t>144</t>
        </is>
      </c>
      <c r="E2013" t="inlineStr">
        <is>
          <t>1</t>
        </is>
      </c>
      <c r="F2013" t="inlineStr">
        <is>
          <t>18</t>
        </is>
      </c>
      <c r="G2013" t="inlineStr">
        <is>
          <t>0</t>
        </is>
      </c>
      <c r="H2013" t="inlineStr">
        <is>
          <t>0</t>
        </is>
      </c>
      <c r="I2013" t="inlineStr">
        <is>
          <t>6⁴, 30⁴</t>
        </is>
      </c>
      <c r="J2013" t="n">
        <v>8</v>
      </c>
      <c r="K2013" t="inlineStr">
        <is>
          <t>1², 2², 4¹, 8¹</t>
        </is>
      </c>
      <c r="L2013" t="inlineStr">
        <is>
          <t>15H¹, 30L³, 30E⁵, 30F⁵, 30H⁵</t>
        </is>
      </c>
      <c r="M2013" t="inlineStr">
        <is>
          <t>30H¹⁷, 30I¹⁷</t>
        </is>
      </c>
      <c r="N2013" t="inlineStr">
        <is>
          <t>2A⁰, 30L³, 6B⁰, 5B⁰, 10A¹, 15H¹, 1A⁰, 30F⁵, 30B³, 30H⁵, 15B⁰, 6B¹, 30E⁵, 15E¹, 3C⁰, 15C⁰, 6A¹, 3A⁰, 30C¹, 30C²</t>
        </is>
      </c>
      <c r="O2013" t="inlineStr">
        <is>
          <t>30I¹⁷, 30H¹⁷</t>
        </is>
      </c>
    </row>
    <row r="2014">
      <c r="A2014">
        <f>HYPERLINK("https://mathstats.uncg.edu/sites/pauli/congruence/csg9.html#group30J9", "30J⁹")</f>
        <v/>
      </c>
      <c r="B2014" t="n">
        <v>9</v>
      </c>
      <c r="C2014" t="inlineStr"/>
      <c r="D2014" t="inlineStr">
        <is>
          <t>144</t>
        </is>
      </c>
      <c r="E2014" t="inlineStr">
        <is>
          <t>1</t>
        </is>
      </c>
      <c r="F2014" t="inlineStr">
        <is>
          <t>18</t>
        </is>
      </c>
      <c r="G2014" t="inlineStr">
        <is>
          <t>0</t>
        </is>
      </c>
      <c r="H2014" t="inlineStr">
        <is>
          <t>0</t>
        </is>
      </c>
      <c r="I2014" t="inlineStr">
        <is>
          <t>6⁴, 30⁴</t>
        </is>
      </c>
      <c r="J2014" t="n">
        <v>8</v>
      </c>
      <c r="K2014" t="inlineStr">
        <is>
          <t>1², 2², 4¹, 8¹</t>
        </is>
      </c>
      <c r="L2014" t="inlineStr">
        <is>
          <t>15F³, 30I³, 30L³, 30E⁵, 30G⁵</t>
        </is>
      </c>
      <c r="M2014" t="inlineStr">
        <is>
          <t>30H¹⁷, 60G²¹</t>
        </is>
      </c>
      <c r="N2014" t="inlineStr">
        <is>
          <t>30L³, 6B⁰, 30I³, 5B⁰, 5D⁰, 30G⁵, 15F³, 1A⁰, 15B⁰, 6E⁰, 30E⁵, 15E¹, 15B², 3C⁰, 15C⁰, 3A⁰, 30C¹, 30C²</t>
        </is>
      </c>
      <c r="O2014" t="inlineStr">
        <is>
          <t>60G²¹, 30H¹⁷</t>
        </is>
      </c>
    </row>
    <row r="2015">
      <c r="A2015">
        <f>HYPERLINK("https://mathstats.uncg.edu/sites/pauli/congruence/csg9.html#group30K9", "30K⁹")</f>
        <v/>
      </c>
      <c r="B2015" t="n">
        <v>9</v>
      </c>
      <c r="C2015" t="inlineStr"/>
      <c r="D2015" t="inlineStr">
        <is>
          <t>144</t>
        </is>
      </c>
      <c r="E2015" t="inlineStr">
        <is>
          <t>1</t>
        </is>
      </c>
      <c r="F2015" t="inlineStr">
        <is>
          <t>18</t>
        </is>
      </c>
      <c r="G2015" t="inlineStr">
        <is>
          <t>0</t>
        </is>
      </c>
      <c r="H2015" t="inlineStr">
        <is>
          <t>0</t>
        </is>
      </c>
      <c r="I2015" t="inlineStr">
        <is>
          <t>6⁴, 30⁴</t>
        </is>
      </c>
      <c r="J2015" t="n">
        <v>8</v>
      </c>
      <c r="K2015" t="inlineStr">
        <is>
          <t>1², 2², 4¹, 8¹</t>
        </is>
      </c>
      <c r="L2015" t="inlineStr">
        <is>
          <t>30D¹, 15F³, 30J³, 30C⁵, 30F⁵, 30G⁵, 30H⁵</t>
        </is>
      </c>
      <c r="M2015" t="inlineStr">
        <is>
          <t>30H¹⁷, 60C²¹, 60D²¹</t>
        </is>
      </c>
      <c r="N2015" t="inlineStr">
        <is>
          <t>30A⁰, 2A⁰, 30C⁵, 6B⁰, 30C¹, 30J³, 5B⁰, 5D⁰, 30G⁵, 15F³, 10A¹, 10D¹, 1A⁰, 30F⁵, 30B³, 30D¹, 30H⁵, 10B⁰, 15B⁰, 6B¹, 15B², 3C⁰, 6A¹, 15C⁰, 3A⁰, 15E¹, 30C²</t>
        </is>
      </c>
      <c r="O2015" t="inlineStr">
        <is>
          <t>60D²¹, 60C²¹, 30H¹⁷</t>
        </is>
      </c>
    </row>
    <row r="2016">
      <c r="A2016">
        <f>HYPERLINK("https://mathstats.uncg.edu/sites/pauli/congruence/csg9.html#group30L9", "30L⁹")</f>
        <v/>
      </c>
      <c r="B2016" t="n">
        <v>9</v>
      </c>
      <c r="C2016" t="inlineStr"/>
      <c r="D2016" t="inlineStr">
        <is>
          <t>144</t>
        </is>
      </c>
      <c r="E2016" t="inlineStr">
        <is>
          <t>1</t>
        </is>
      </c>
      <c r="F2016" t="inlineStr">
        <is>
          <t>48</t>
        </is>
      </c>
      <c r="G2016" t="inlineStr">
        <is>
          <t>0</t>
        </is>
      </c>
      <c r="H2016" t="inlineStr">
        <is>
          <t>0</t>
        </is>
      </c>
      <c r="I2016" t="inlineStr">
        <is>
          <t>6⁴, 30⁴</t>
        </is>
      </c>
      <c r="J2016" t="n">
        <v>8</v>
      </c>
      <c r="K2016" t="inlineStr">
        <is>
          <t>2⁸, 8⁴</t>
        </is>
      </c>
      <c r="L2016" t="inlineStr">
        <is>
          <t>6J⁰, 30C³, 30G³</t>
        </is>
      </c>
      <c r="M2016" t="inlineStr">
        <is>
          <t>30J¹⁷, 60I²¹, 60J²¹</t>
        </is>
      </c>
      <c r="N2016" t="inlineStr">
        <is>
          <t>3B⁰, 2A⁰, 15C¹, 6A⁰, 30C³, 6C⁰, 6J⁰, 5B⁰, 10A¹, 30G³, 1A⁰</t>
        </is>
      </c>
      <c r="O2016" t="inlineStr">
        <is>
          <t>30J¹⁷, 60J²¹, 60I²¹</t>
        </is>
      </c>
    </row>
    <row r="2017">
      <c r="A2017">
        <f>HYPERLINK("https://mathstats.uncg.edu/sites/pauli/congruence/csg9.html#group30M9", "30M⁹")</f>
        <v/>
      </c>
      <c r="B2017" t="n">
        <v>9</v>
      </c>
      <c r="C2017" t="inlineStr"/>
      <c r="D2017" t="inlineStr">
        <is>
          <t>160</t>
        </is>
      </c>
      <c r="E2017" t="inlineStr">
        <is>
          <t>1</t>
        </is>
      </c>
      <c r="F2017" t="inlineStr">
        <is>
          <t>40</t>
        </is>
      </c>
      <c r="G2017" t="inlineStr">
        <is>
          <t>0</t>
        </is>
      </c>
      <c r="H2017" t="inlineStr">
        <is>
          <t>4</t>
        </is>
      </c>
      <c r="I2017" t="inlineStr">
        <is>
          <t>10⁴, 30⁴</t>
        </is>
      </c>
      <c r="J2017" t="n">
        <v>8</v>
      </c>
      <c r="K2017" t="inlineStr">
        <is>
          <t>2², 4⁵, 8²</t>
        </is>
      </c>
      <c r="L2017" t="inlineStr">
        <is>
          <t>15G³</t>
        </is>
      </c>
      <c r="M2017" t="inlineStr">
        <is>
          <t>30K¹⁷</t>
        </is>
      </c>
      <c r="N2017" t="inlineStr">
        <is>
          <t>3B⁰, 5A⁰, 15G³, 15B¹, 5F⁰, 1A⁰, 15C², 5C⁰</t>
        </is>
      </c>
      <c r="O2017" t="inlineStr">
        <is>
          <t>30K¹⁷</t>
        </is>
      </c>
    </row>
    <row r="2018">
      <c r="A2018">
        <f>HYPERLINK("https://mathstats.uncg.edu/sites/pauli/congruence/csg9.html#group30N9", "30N⁹")</f>
        <v/>
      </c>
      <c r="B2018" t="n">
        <v>9</v>
      </c>
      <c r="C2018" t="inlineStr"/>
      <c r="D2018" t="inlineStr">
        <is>
          <t>160</t>
        </is>
      </c>
      <c r="E2018" t="inlineStr">
        <is>
          <t>1</t>
        </is>
      </c>
      <c r="F2018" t="inlineStr">
        <is>
          <t>40</t>
        </is>
      </c>
      <c r="G2018" t="inlineStr">
        <is>
          <t>0</t>
        </is>
      </c>
      <c r="H2018" t="inlineStr">
        <is>
          <t>4</t>
        </is>
      </c>
      <c r="I2018" t="inlineStr">
        <is>
          <t>10⁴, 30⁴</t>
        </is>
      </c>
      <c r="J2018" t="n">
        <v>8</v>
      </c>
      <c r="K2018" t="inlineStr">
        <is>
          <t>2², 4⁵, 8²</t>
        </is>
      </c>
      <c r="L2018" t="inlineStr">
        <is>
          <t>10H¹, 30D², 15G³, 30I⁵, 30J⁵</t>
        </is>
      </c>
      <c r="M2018" t="inlineStr">
        <is>
          <t>30K¹⁷, 60R²¹, 60S²¹</t>
        </is>
      </c>
      <c r="N2018" t="inlineStr">
        <is>
          <t>30J⁵, 10H¹, 2A⁰, 3B⁰, 5A⁰, 10D⁰, 30D², 6C⁰, 5F⁰, 1A⁰, 30I⁵, 10A⁰, 15G³, 15B¹, 10C¹, 15C², 5C⁰</t>
        </is>
      </c>
      <c r="O2018" t="inlineStr">
        <is>
          <t>30K¹⁷, 60R²¹, 60S²¹</t>
        </is>
      </c>
    </row>
    <row r="2019">
      <c r="A2019">
        <f>HYPERLINK("https://mathstats.uncg.edu/sites/pauli/congruence/csg9.html#group30O9", "30O⁹")</f>
        <v/>
      </c>
      <c r="B2019" t="n">
        <v>9</v>
      </c>
      <c r="C2019" t="inlineStr"/>
      <c r="D2019" t="inlineStr">
        <is>
          <t>180</t>
        </is>
      </c>
      <c r="E2019" t="inlineStr">
        <is>
          <t>1</t>
        </is>
      </c>
      <c r="F2019" t="inlineStr">
        <is>
          <t>45</t>
        </is>
      </c>
      <c r="G2019" t="inlineStr">
        <is>
          <t>16</t>
        </is>
      </c>
      <c r="H2019" t="inlineStr">
        <is>
          <t>0</t>
        </is>
      </c>
      <c r="I2019" t="inlineStr">
        <is>
          <t>30⁶</t>
        </is>
      </c>
      <c r="J2019" t="n">
        <v>6</v>
      </c>
      <c r="K2019" t="inlineStr">
        <is>
          <t>1¹, 2², 4⁴, 8³</t>
        </is>
      </c>
      <c r="L2019" t="inlineStr">
        <is>
          <t>15H³, 30E⁴, 30F⁴</t>
        </is>
      </c>
      <c r="M2019" t="inlineStr">
        <is>
          <t>30A²¹, 30B²¹, 30F²¹</t>
        </is>
      </c>
      <c r="N2019" t="inlineStr">
        <is>
          <t>5A⁰, 30F⁴, 30A², 30E⁴, 6B⁰, 15A¹, 15F¹, 5E⁰, 3A⁰, 10E¹, 1A⁰, 15H³, 15A⁰</t>
        </is>
      </c>
      <c r="O2019" t="inlineStr">
        <is>
          <t>30A²¹, 30F²¹, 30B²¹</t>
        </is>
      </c>
    </row>
    <row r="2020">
      <c r="A2020">
        <f>HYPERLINK("https://mathstats.uncg.edu/sites/pauli/congruence/csg9.html#group30P9", "30P⁹")</f>
        <v/>
      </c>
      <c r="B2020" t="n">
        <v>9</v>
      </c>
      <c r="C2020" t="inlineStr"/>
      <c r="D2020" t="inlineStr">
        <is>
          <t>192</t>
        </is>
      </c>
      <c r="E2020" t="inlineStr">
        <is>
          <t>1</t>
        </is>
      </c>
      <c r="F2020" t="inlineStr">
        <is>
          <t>24</t>
        </is>
      </c>
      <c r="G2020" t="inlineStr">
        <is>
          <t>0</t>
        </is>
      </c>
      <c r="H2020" t="inlineStr">
        <is>
          <t>0</t>
        </is>
      </c>
      <c r="I2020" t="inlineStr">
        <is>
          <t>2⁴, 6⁴, 10⁴, 30⁴</t>
        </is>
      </c>
      <c r="J2020" t="n">
        <v>16</v>
      </c>
      <c r="K2020" t="inlineStr">
        <is>
          <t>1⁴, 2², 4², 8¹</t>
        </is>
      </c>
      <c r="L2020" t="inlineStr">
        <is>
          <t>15I¹, 30M⁵, 30N⁵</t>
        </is>
      </c>
      <c r="M2020" t="inlineStr"/>
      <c r="N2020" t="inlineStr">
        <is>
          <t>3B⁰, 2A⁰, 30M⁵, 6C⁰, 30N⁵, 15I¹, 5B⁰, 15G¹, 5D⁰, 10A¹, 30G³, 10D¹, 1A⁰, 10B⁰, 15C¹, 30F³</t>
        </is>
      </c>
      <c r="O2020" t="inlineStr"/>
    </row>
    <row r="2021">
      <c r="A2021">
        <f>HYPERLINK("https://mathstats.uncg.edu/sites/pauli/congruence/csg9.html#group30Q9", "30Q⁹")</f>
        <v/>
      </c>
      <c r="B2021" t="n">
        <v>9</v>
      </c>
      <c r="C2021" t="inlineStr"/>
      <c r="D2021" t="inlineStr">
        <is>
          <t>216</t>
        </is>
      </c>
      <c r="E2021" t="inlineStr">
        <is>
          <t>1</t>
        </is>
      </c>
      <c r="F2021" t="inlineStr">
        <is>
          <t>54</t>
        </is>
      </c>
      <c r="G2021" t="inlineStr">
        <is>
          <t>8</t>
        </is>
      </c>
      <c r="H2021" t="inlineStr">
        <is>
          <t>0</t>
        </is>
      </c>
      <c r="I2021" t="inlineStr">
        <is>
          <t>3⁴, 6⁴, 15⁴, 30⁴</t>
        </is>
      </c>
      <c r="J2021" t="n">
        <v>16</v>
      </c>
      <c r="K2021" t="inlineStr">
        <is>
          <t>1⁶, 2⁶, 4³, 8³</t>
        </is>
      </c>
      <c r="L2021" t="inlineStr">
        <is>
          <t>15H¹, 30I⁴, 30O⁵</t>
        </is>
      </c>
      <c r="M2021" t="inlineStr">
        <is>
          <t>30C¹⁹, 30G²¹, 30H²¹, 60W²¹, 30L²³, 60Q²³</t>
        </is>
      </c>
      <c r="N2021" t="inlineStr">
        <is>
          <t>5B⁰, 6G⁰, 2B⁰, 30O⁵, 15H¹, 1A⁰, 15B⁰, 30E², 30I⁴, 10C⁰, 3C⁰, 15C⁰, 3A⁰, 6D⁰, 15E¹</t>
        </is>
      </c>
      <c r="O2021" t="inlineStr">
        <is>
          <t>30L²³, 30G²¹, 60Q²³, 30H²¹, 30C¹⁹, 60W²¹</t>
        </is>
      </c>
    </row>
    <row r="2022">
      <c r="A2022">
        <f>HYPERLINK("https://mathstats.uncg.edu/sites/pauli/congruence/csg9.html#group30R9", "30R⁹")</f>
        <v/>
      </c>
      <c r="B2022" t="n">
        <v>9</v>
      </c>
      <c r="C2022" t="inlineStr"/>
      <c r="D2022" t="inlineStr">
        <is>
          <t>216</t>
        </is>
      </c>
      <c r="E2022" t="inlineStr">
        <is>
          <t>1</t>
        </is>
      </c>
      <c r="F2022" t="inlineStr">
        <is>
          <t>54</t>
        </is>
      </c>
      <c r="G2022" t="inlineStr">
        <is>
          <t>16</t>
        </is>
      </c>
      <c r="H2022" t="inlineStr">
        <is>
          <t>0</t>
        </is>
      </c>
      <c r="I2022" t="inlineStr">
        <is>
          <t>6⁶, 30⁶</t>
        </is>
      </c>
      <c r="J2022" t="n">
        <v>12</v>
      </c>
      <c r="K2022" t="inlineStr">
        <is>
          <t>1⁶, 2⁶, 4³, 8³</t>
        </is>
      </c>
      <c r="L2022" t="inlineStr">
        <is>
          <t>30D¹, 30H⁴, 30I⁴, 30P⁵</t>
        </is>
      </c>
      <c r="M2022" t="inlineStr">
        <is>
          <t>30H²¹, 60X²¹, 60O²³, 60P²³, 60S²³</t>
        </is>
      </c>
      <c r="N2022" t="inlineStr">
        <is>
          <t>30A⁰, 6B⁰, 10G⁰, 5B⁰, 2B⁰, 1A⁰, 30P⁵, 30D¹, 10B⁰, 15B⁰, 30E², 30I⁴, 10C⁰, 15C⁰, 30H⁴, 6H⁰, 3A⁰, 6D⁰, 30C¹</t>
        </is>
      </c>
      <c r="O2022" t="inlineStr">
        <is>
          <t>60O²³, 60X²¹, 60S²³, 30H²¹, 60P²³</t>
        </is>
      </c>
    </row>
    <row r="2023">
      <c r="A2023">
        <f>HYPERLINK("https://mathstats.uncg.edu/sites/pauli/congruence/csg9.html#group30S9", "30S⁹")</f>
        <v/>
      </c>
      <c r="B2023" t="n">
        <v>9</v>
      </c>
      <c r="C2023" t="inlineStr">
        <is>
          <t>Γ₁(30)</t>
        </is>
      </c>
      <c r="D2023" t="inlineStr">
        <is>
          <t>288</t>
        </is>
      </c>
      <c r="E2023" t="inlineStr">
        <is>
          <t>1</t>
        </is>
      </c>
      <c r="F2023" t="inlineStr">
        <is>
          <t>72</t>
        </is>
      </c>
      <c r="G2023" t="inlineStr">
        <is>
          <t>0</t>
        </is>
      </c>
      <c r="H2023" t="inlineStr">
        <is>
          <t>0</t>
        </is>
      </c>
      <c r="I2023" t="inlineStr">
        <is>
          <t>1⁴, 2⁴, 3⁴, 5⁴, 6⁴, 10⁴, 15⁴, 30⁴</t>
        </is>
      </c>
      <c r="J2023" t="n">
        <v>32</v>
      </c>
      <c r="K2023" t="inlineStr">
        <is>
          <t>1¹², 2⁶, 4⁶, 8³</t>
        </is>
      </c>
      <c r="L2023" t="inlineStr">
        <is>
          <t>15I¹, 30S⁵</t>
        </is>
      </c>
      <c r="M2023" t="inlineStr"/>
      <c r="N2023" t="inlineStr">
        <is>
          <t>3B⁰, 15I¹, 5B⁰, 15G¹, 5D⁰, 2B⁰, 1A⁰, 10F⁰, 15C¹, 10C⁰, 30S⁵, 30K³, 6F⁰</t>
        </is>
      </c>
      <c r="O2023" t="inlineStr"/>
    </row>
    <row r="2024">
      <c r="A2024">
        <f>HYPERLINK("https://mathstats.uncg.edu/sites/pauli/congruence/csg9.html#group32A9", "32A⁹")</f>
        <v/>
      </c>
      <c r="B2024" t="n">
        <v>9</v>
      </c>
      <c r="C2024" t="inlineStr"/>
      <c r="D2024" t="inlineStr">
        <is>
          <t>192</t>
        </is>
      </c>
      <c r="E2024" t="inlineStr">
        <is>
          <t>1</t>
        </is>
      </c>
      <c r="F2024" t="inlineStr">
        <is>
          <t>6</t>
        </is>
      </c>
      <c r="G2024" t="inlineStr">
        <is>
          <t>0</t>
        </is>
      </c>
      <c r="H2024" t="inlineStr">
        <is>
          <t>0</t>
        </is>
      </c>
      <c r="I2024" t="inlineStr">
        <is>
          <t>4⁸, 8⁴, 32⁴</t>
        </is>
      </c>
      <c r="J2024" t="n">
        <v>16</v>
      </c>
      <c r="K2024" t="inlineStr">
        <is>
          <t>1⁴, 2¹</t>
        </is>
      </c>
      <c r="L2024" t="inlineStr">
        <is>
          <t>16H³, 32J³, 32A⁵</t>
        </is>
      </c>
      <c r="M2024" t="inlineStr">
        <is>
          <t>32A¹⁷, 32A²¹, 32F²¹, 64F²¹</t>
        </is>
      </c>
      <c r="N2024" t="inlineStr">
        <is>
          <t>2A⁰, 8A¹, 8D⁰, 16E¹, 4C⁰, 8B⁰, 16A¹, 8C⁰, 2B⁰, 4E⁰, 4G⁰, 4B⁰, 8B¹, 1A⁰, 32C³, 32J³, 8F¹, 16H³, 8H⁰, 8C¹, 32A¹, 8G⁰, 4A⁰, 16C⁰, 4D⁰, 32A⁵, 4F⁰, 16H¹, 2C⁰</t>
        </is>
      </c>
      <c r="O2024" t="inlineStr">
        <is>
          <t>32A²¹, 32F²¹, 64F²¹, 32A¹⁷</t>
        </is>
      </c>
    </row>
    <row r="2025">
      <c r="A2025">
        <f>HYPERLINK("https://mathstats.uncg.edu/sites/pauli/congruence/csg9.html#group32B9", "32B⁹")</f>
        <v/>
      </c>
      <c r="B2025" t="n">
        <v>9</v>
      </c>
      <c r="C2025" t="inlineStr"/>
      <c r="D2025" t="inlineStr">
        <is>
          <t>192</t>
        </is>
      </c>
      <c r="E2025" t="inlineStr">
        <is>
          <t>1</t>
        </is>
      </c>
      <c r="F2025" t="inlineStr">
        <is>
          <t>6</t>
        </is>
      </c>
      <c r="G2025" t="inlineStr">
        <is>
          <t>0</t>
        </is>
      </c>
      <c r="H2025" t="inlineStr">
        <is>
          <t>0</t>
        </is>
      </c>
      <c r="I2025" t="inlineStr">
        <is>
          <t>4⁸, 8⁴, 32⁴</t>
        </is>
      </c>
      <c r="J2025" t="n">
        <v>16</v>
      </c>
      <c r="K2025" t="inlineStr">
        <is>
          <t>1⁴, 2¹</t>
        </is>
      </c>
      <c r="L2025" t="inlineStr">
        <is>
          <t>16H³, 32K³, 32B⁵</t>
        </is>
      </c>
      <c r="M2025" t="inlineStr">
        <is>
          <t>32A¹⁷, 32B²¹, 32F²¹, 64D²¹</t>
        </is>
      </c>
      <c r="N2025" t="inlineStr">
        <is>
          <t>2A⁰, 8A¹, 8D⁰, 16E¹, 4C⁰, 32A³, 8B⁰, 16A¹, 8C⁰, 4E⁰, 2B⁰, 32K³, 4B⁰, 4G⁰, 1A⁰, 8B¹, 8F¹, 16H³, 8H⁰, 8C¹, 32B⁵, 8G⁰, 4A⁰, 16C⁰, 4D⁰, 32A⁰, 32A², 4F⁰, 16H¹, 2C⁰, 32B³</t>
        </is>
      </c>
      <c r="O2025" t="inlineStr">
        <is>
          <t>32B²¹, 32F²¹, 64D²¹, 32A¹⁷</t>
        </is>
      </c>
    </row>
    <row r="2026">
      <c r="A2026">
        <f>HYPERLINK("https://mathstats.uncg.edu/sites/pauli/congruence/csg9.html#group32C9", "32C⁹")</f>
        <v/>
      </c>
      <c r="B2026" t="n">
        <v>9</v>
      </c>
      <c r="C2026" t="inlineStr"/>
      <c r="D2026" t="inlineStr">
        <is>
          <t>192</t>
        </is>
      </c>
      <c r="E2026" t="inlineStr">
        <is>
          <t>1</t>
        </is>
      </c>
      <c r="F2026" t="inlineStr">
        <is>
          <t>6</t>
        </is>
      </c>
      <c r="G2026" t="inlineStr">
        <is>
          <t>0</t>
        </is>
      </c>
      <c r="H2026" t="inlineStr">
        <is>
          <t>0</t>
        </is>
      </c>
      <c r="I2026" t="inlineStr">
        <is>
          <t>4⁸, 8⁴, 32⁴</t>
        </is>
      </c>
      <c r="J2026" t="n">
        <v>16</v>
      </c>
      <c r="K2026" t="inlineStr">
        <is>
          <t>1⁴, 2¹</t>
        </is>
      </c>
      <c r="L2026" t="inlineStr">
        <is>
          <t>16J³, 32J³, 32B⁵</t>
        </is>
      </c>
      <c r="M2026" t="inlineStr">
        <is>
          <t>32A¹⁷, 32G²¹, 64A²¹, 64B²¹</t>
        </is>
      </c>
      <c r="N2026" t="inlineStr">
        <is>
          <t>2A⁰, 16C², 8D⁰, 16E¹, 4C⁰, 32A³, 16A¹, 8C⁰, 4E⁰, 2B⁰, 8I⁰, 16J³, 4B⁰, 1A⁰, 32B³, 32J³, 32A¹, 32B⁵, 8G⁰, 16C⁰, 16C¹, 8J⁰, 2C⁰, 8O⁰</t>
        </is>
      </c>
      <c r="O2026" t="inlineStr">
        <is>
          <t>32G²¹, 64B²¹, 32A¹⁷, 64A²¹</t>
        </is>
      </c>
    </row>
    <row r="2027">
      <c r="A2027">
        <f>HYPERLINK("https://mathstats.uncg.edu/sites/pauli/congruence/csg9.html#group32D9", "32D⁹")</f>
        <v/>
      </c>
      <c r="B2027" t="n">
        <v>9</v>
      </c>
      <c r="C2027" t="inlineStr"/>
      <c r="D2027" t="inlineStr">
        <is>
          <t>192</t>
        </is>
      </c>
      <c r="E2027" t="inlineStr">
        <is>
          <t>1</t>
        </is>
      </c>
      <c r="F2027" t="inlineStr">
        <is>
          <t>6</t>
        </is>
      </c>
      <c r="G2027" t="inlineStr">
        <is>
          <t>0</t>
        </is>
      </c>
      <c r="H2027" t="inlineStr">
        <is>
          <t>0</t>
        </is>
      </c>
      <c r="I2027" t="inlineStr">
        <is>
          <t>4⁸, 8⁴, 32⁴</t>
        </is>
      </c>
      <c r="J2027" t="n">
        <v>16</v>
      </c>
      <c r="K2027" t="inlineStr">
        <is>
          <t>1⁴, 2¹</t>
        </is>
      </c>
      <c r="L2027" t="inlineStr">
        <is>
          <t>16J³, 32K³, 32A⁵</t>
        </is>
      </c>
      <c r="M2027" t="inlineStr">
        <is>
          <t>32A¹⁷, 32H²¹, 64E²¹</t>
        </is>
      </c>
      <c r="N2027" t="inlineStr">
        <is>
          <t>2A⁰, 16C², 8D⁰, 16E¹, 4C⁰, 16A¹, 8C⁰, 4E⁰, 2B⁰, 32K³, 16J³, 8I⁰, 4B⁰, 1A⁰, 32C³, 8G⁰, 16C⁰, 16C¹, 32A⁰, 32A⁵, 32A², 8J⁰, 2C⁰, 8O⁰</t>
        </is>
      </c>
      <c r="O2027" t="inlineStr">
        <is>
          <t>64E²¹, 32H²¹, 32A¹⁷</t>
        </is>
      </c>
    </row>
    <row r="2028">
      <c r="A2028">
        <f>HYPERLINK("https://mathstats.uncg.edu/sites/pauli/congruence/csg9.html#group32E9", "32E⁹")</f>
        <v/>
      </c>
      <c r="B2028" t="n">
        <v>9</v>
      </c>
      <c r="C2028" t="inlineStr"/>
      <c r="D2028" t="inlineStr">
        <is>
          <t>192</t>
        </is>
      </c>
      <c r="E2028" t="inlineStr">
        <is>
          <t>1</t>
        </is>
      </c>
      <c r="F2028" t="inlineStr">
        <is>
          <t>6</t>
        </is>
      </c>
      <c r="G2028" t="inlineStr">
        <is>
          <t>0</t>
        </is>
      </c>
      <c r="H2028" t="inlineStr">
        <is>
          <t>0</t>
        </is>
      </c>
      <c r="I2028" t="inlineStr">
        <is>
          <t>4⁸, 8⁴, 32⁴</t>
        </is>
      </c>
      <c r="J2028" t="n">
        <v>16</v>
      </c>
      <c r="K2028" t="inlineStr">
        <is>
          <t>1⁴, 2¹</t>
        </is>
      </c>
      <c r="L2028" t="inlineStr">
        <is>
          <t>16M¹, 32A⁵, 32B⁵, 32C⁵, 32D⁵</t>
        </is>
      </c>
      <c r="M2028" t="inlineStr">
        <is>
          <t>32A¹⁷, 32B¹⁷</t>
        </is>
      </c>
      <c r="N2028" t="inlineStr">
        <is>
          <t>2A⁰, 16G⁰, 8D⁰, 16E¹, 4C⁰, 32A³, 16A¹, 8C⁰, 2B⁰, 8I⁰, 4E⁰, 4B⁰, 1A⁰, 32C³, 16H⁰, 16E⁰, 32C⁵, 8O⁰, 32B⁵, 16G¹, 8G⁰, 16C⁰, 16D⁰, 32D⁵, 32A⁵, 16M¹, 8J⁰, 2C⁰, 32B³</t>
        </is>
      </c>
      <c r="O2028" t="inlineStr">
        <is>
          <t>32B¹⁷, 32A¹⁷</t>
        </is>
      </c>
    </row>
    <row r="2029">
      <c r="A2029">
        <f>HYPERLINK("https://mathstats.uncg.edu/sites/pauli/congruence/csg9.html#group32F9", "32F⁹")</f>
        <v/>
      </c>
      <c r="B2029" t="n">
        <v>9</v>
      </c>
      <c r="C2029" t="inlineStr"/>
      <c r="D2029" t="inlineStr">
        <is>
          <t>192</t>
        </is>
      </c>
      <c r="E2029" t="inlineStr">
        <is>
          <t>1</t>
        </is>
      </c>
      <c r="F2029" t="inlineStr">
        <is>
          <t>12</t>
        </is>
      </c>
      <c r="G2029" t="inlineStr">
        <is>
          <t>16</t>
        </is>
      </c>
      <c r="H2029" t="inlineStr">
        <is>
          <t>0</t>
        </is>
      </c>
      <c r="I2029" t="inlineStr">
        <is>
          <t>16⁴, 32⁴</t>
        </is>
      </c>
      <c r="J2029" t="n">
        <v>8</v>
      </c>
      <c r="K2029" t="inlineStr">
        <is>
          <t>2², 4²</t>
        </is>
      </c>
      <c r="L2029" t="inlineStr">
        <is>
          <t>16K³, 32L³, 32E⁵</t>
        </is>
      </c>
      <c r="M2029" t="inlineStr">
        <is>
          <t>32I²¹, 32J²¹, 32M²¹, 64G²¹</t>
        </is>
      </c>
      <c r="N2029" t="inlineStr">
        <is>
          <t>32E⁵, 8D⁰, 4C⁰, 8B⁰, 8A⁰, 16B¹, 2B⁰, 1A⁰, 8K⁰, 8D¹, 8H¹, 16B⁰, 8H⁰, 16K³, 4A⁰, 32B¹, 4F⁰, 16F¹, 16H¹, 32L³</t>
        </is>
      </c>
      <c r="O2029" t="inlineStr">
        <is>
          <t>64G²¹, 32M²¹, 32I²¹, 32J²¹</t>
        </is>
      </c>
    </row>
    <row r="2030">
      <c r="A2030">
        <f>HYPERLINK("https://mathstats.uncg.edu/sites/pauli/congruence/csg9.html#group32G9", "32G⁹")</f>
        <v/>
      </c>
      <c r="B2030" t="n">
        <v>9</v>
      </c>
      <c r="C2030" t="inlineStr"/>
      <c r="D2030" t="inlineStr">
        <is>
          <t>192</t>
        </is>
      </c>
      <c r="E2030" t="inlineStr">
        <is>
          <t>1</t>
        </is>
      </c>
      <c r="F2030" t="inlineStr">
        <is>
          <t>12</t>
        </is>
      </c>
      <c r="G2030" t="inlineStr">
        <is>
          <t>16</t>
        </is>
      </c>
      <c r="H2030" t="inlineStr">
        <is>
          <t>0</t>
        </is>
      </c>
      <c r="I2030" t="inlineStr">
        <is>
          <t>16⁴, 32⁴</t>
        </is>
      </c>
      <c r="J2030" t="n">
        <v>8</v>
      </c>
      <c r="K2030" t="inlineStr">
        <is>
          <t>1², 2¹, 4²</t>
        </is>
      </c>
      <c r="L2030" t="inlineStr">
        <is>
          <t>16L³, 32L³, 32F⁵</t>
        </is>
      </c>
      <c r="M2030" t="inlineStr">
        <is>
          <t>32K²¹, 32L²¹, 32M²¹, 64H²¹</t>
        </is>
      </c>
      <c r="N2030" t="inlineStr">
        <is>
          <t>32F⁵, 16I¹, 8D⁰, 4C⁰, 8B⁰, 16B¹, 2B⁰, 1A⁰, 8H⁰, 16B⁰, 16E⁰, 8F⁰, 16L³, 4A⁰, 8I¹, 16C¹, 32B¹, 4F⁰, 16F¹, 32L³</t>
        </is>
      </c>
      <c r="O2030" t="inlineStr">
        <is>
          <t>32K²¹, 32M²¹, 32L²¹, 64H²¹</t>
        </is>
      </c>
    </row>
    <row r="2031">
      <c r="A2031">
        <f>HYPERLINK("https://mathstats.uncg.edu/sites/pauli/congruence/csg9.html#group32H9", "32H⁹")</f>
        <v/>
      </c>
      <c r="B2031" t="n">
        <v>9</v>
      </c>
      <c r="C2031" t="inlineStr"/>
      <c r="D2031" t="inlineStr">
        <is>
          <t>192</t>
        </is>
      </c>
      <c r="E2031" t="inlineStr">
        <is>
          <t>1</t>
        </is>
      </c>
      <c r="F2031" t="inlineStr">
        <is>
          <t>12</t>
        </is>
      </c>
      <c r="G2031" t="inlineStr">
        <is>
          <t>16</t>
        </is>
      </c>
      <c r="H2031" t="inlineStr">
        <is>
          <t>0</t>
        </is>
      </c>
      <c r="I2031" t="inlineStr">
        <is>
          <t>16⁴, 32⁴</t>
        </is>
      </c>
      <c r="J2031" t="n">
        <v>8</v>
      </c>
      <c r="K2031" t="inlineStr">
        <is>
          <t>2⁶</t>
        </is>
      </c>
      <c r="L2031" t="inlineStr">
        <is>
          <t>16M³, 32L³, 32N³, 32G⁵, 32L⁵</t>
        </is>
      </c>
      <c r="M2031" t="inlineStr">
        <is>
          <t>32M²¹, 32Y²¹, 64I²¹</t>
        </is>
      </c>
      <c r="N2031" t="inlineStr">
        <is>
          <t>32L⁵, 8D⁰, 16M³, 4C⁰, 8B⁰, 16B¹, 8L⁰, 2B⁰, 32G⁵, 16J¹, 1A⁰, 16E², 32N³, 16B⁰, 8H⁰, 16D¹, 16F², 4A⁰, 32D³, 32B¹, 4F⁰, 16F¹, 8P⁰, 32L³</t>
        </is>
      </c>
      <c r="O2031" t="inlineStr">
        <is>
          <t>32M²¹, 32Y²¹, 64I²¹</t>
        </is>
      </c>
    </row>
    <row r="2032">
      <c r="A2032">
        <f>HYPERLINK("https://mathstats.uncg.edu/sites/pauli/congruence/csg9.html#group32I9", "32I⁹")</f>
        <v/>
      </c>
      <c r="B2032" t="n">
        <v>9</v>
      </c>
      <c r="C2032" t="inlineStr"/>
      <c r="D2032" t="inlineStr">
        <is>
          <t>192</t>
        </is>
      </c>
      <c r="E2032" t="inlineStr">
        <is>
          <t>1</t>
        </is>
      </c>
      <c r="F2032" t="inlineStr">
        <is>
          <t>24</t>
        </is>
      </c>
      <c r="G2032" t="inlineStr">
        <is>
          <t>0</t>
        </is>
      </c>
      <c r="H2032" t="inlineStr">
        <is>
          <t>0</t>
        </is>
      </c>
      <c r="I2032" t="inlineStr">
        <is>
          <t>4⁸, 8⁴, 32⁴</t>
        </is>
      </c>
      <c r="J2032" t="n">
        <v>16</v>
      </c>
      <c r="K2032" t="inlineStr">
        <is>
          <t>1⁴, 2², 4², 8¹</t>
        </is>
      </c>
      <c r="L2032" t="inlineStr">
        <is>
          <t>16N³, 32O³, 32C⁵</t>
        </is>
      </c>
      <c r="M2032" t="inlineStr">
        <is>
          <t>32B¹⁷, 32N²¹, 64N²¹</t>
        </is>
      </c>
      <c r="N2032" t="inlineStr">
        <is>
          <t>16N³, 32C⁵, 16G¹, 32O³, 16D⁰, 32A³, 16A¹, 8C⁰, 2B⁰, 8I⁰, 4B⁰, 1A⁰, 32C³</t>
        </is>
      </c>
      <c r="O2032" t="inlineStr">
        <is>
          <t>64N²¹, 32B¹⁷, 32N²¹</t>
        </is>
      </c>
    </row>
    <row r="2033">
      <c r="A2033">
        <f>HYPERLINK("https://mathstats.uncg.edu/sites/pauli/congruence/csg9.html#group32J9", "32J⁹")</f>
        <v/>
      </c>
      <c r="B2033" t="n">
        <v>9</v>
      </c>
      <c r="C2033" t="inlineStr"/>
      <c r="D2033" t="inlineStr">
        <is>
          <t>192</t>
        </is>
      </c>
      <c r="E2033" t="inlineStr">
        <is>
          <t>1</t>
        </is>
      </c>
      <c r="F2033" t="inlineStr">
        <is>
          <t>24</t>
        </is>
      </c>
      <c r="G2033" t="inlineStr">
        <is>
          <t>0</t>
        </is>
      </c>
      <c r="H2033" t="inlineStr">
        <is>
          <t>0</t>
        </is>
      </c>
      <c r="I2033" t="inlineStr">
        <is>
          <t>4⁸, 8⁴, 32⁴</t>
        </is>
      </c>
      <c r="J2033" t="n">
        <v>16</v>
      </c>
      <c r="K2033" t="inlineStr">
        <is>
          <t>1⁴, 2², 4², 8¹</t>
        </is>
      </c>
      <c r="L2033" t="inlineStr">
        <is>
          <t>16N³, 32O³, 32D⁵</t>
        </is>
      </c>
      <c r="M2033" t="inlineStr">
        <is>
          <t>32B¹⁷, 32O²¹, 64O²¹</t>
        </is>
      </c>
      <c r="N2033" t="inlineStr">
        <is>
          <t>16N³, 16G¹, 32O³, 16D⁰, 32D⁵, 16A¹, 8C⁰, 2B⁰, 8I⁰, 4B⁰, 1A⁰, 32C³, 32B³</t>
        </is>
      </c>
      <c r="O2033" t="inlineStr">
        <is>
          <t>32O²¹, 32B¹⁷, 64O²¹</t>
        </is>
      </c>
    </row>
    <row r="2034">
      <c r="A2034">
        <f>HYPERLINK("https://mathstats.uncg.edu/sites/pauli/congruence/csg9.html#group32K9", "32K⁹")</f>
        <v/>
      </c>
      <c r="B2034" t="n">
        <v>9</v>
      </c>
      <c r="C2034" t="inlineStr"/>
      <c r="D2034" t="inlineStr">
        <is>
          <t>192</t>
        </is>
      </c>
      <c r="E2034" t="inlineStr">
        <is>
          <t>1</t>
        </is>
      </c>
      <c r="F2034" t="inlineStr">
        <is>
          <t>24</t>
        </is>
      </c>
      <c r="G2034" t="inlineStr">
        <is>
          <t>8</t>
        </is>
      </c>
      <c r="H2034" t="inlineStr">
        <is>
          <t>0</t>
        </is>
      </c>
      <c r="I2034" t="inlineStr">
        <is>
          <t>8⁸, 32⁴</t>
        </is>
      </c>
      <c r="J2034" t="n">
        <v>12</v>
      </c>
      <c r="K2034" t="inlineStr">
        <is>
          <t>4², 8²</t>
        </is>
      </c>
      <c r="L2034" t="inlineStr">
        <is>
          <t>16K³</t>
        </is>
      </c>
      <c r="M2034" t="inlineStr">
        <is>
          <t>32D¹⁹, 32A²¹, 32I²¹, 32B²³</t>
        </is>
      </c>
      <c r="N2034" t="inlineStr">
        <is>
          <t>8D⁰, 4C⁰, 8B⁰, 8A⁰, 16B¹, 2B⁰, 8K⁰, 1A⁰, 8D¹, 8H¹, 8H⁰, 16B⁰, 16K³, 4A⁰, 4F⁰, 16F¹, 16H¹</t>
        </is>
      </c>
      <c r="O2034" t="inlineStr">
        <is>
          <t>32D¹⁹, 32A²¹, 32I²¹, 32B²³</t>
        </is>
      </c>
    </row>
    <row r="2035">
      <c r="A2035">
        <f>HYPERLINK("https://mathstats.uncg.edu/sites/pauli/congruence/csg9.html#group32L9", "32L⁹")</f>
        <v/>
      </c>
      <c r="B2035" t="n">
        <v>9</v>
      </c>
      <c r="C2035" t="inlineStr"/>
      <c r="D2035" t="inlineStr">
        <is>
          <t>192</t>
        </is>
      </c>
      <c r="E2035" t="inlineStr">
        <is>
          <t>1</t>
        </is>
      </c>
      <c r="F2035" t="inlineStr">
        <is>
          <t>24</t>
        </is>
      </c>
      <c r="G2035" t="inlineStr">
        <is>
          <t>8</t>
        </is>
      </c>
      <c r="H2035" t="inlineStr">
        <is>
          <t>0</t>
        </is>
      </c>
      <c r="I2035" t="inlineStr">
        <is>
          <t>8⁸, 32⁴</t>
        </is>
      </c>
      <c r="J2035" t="n">
        <v>12</v>
      </c>
      <c r="K2035" t="inlineStr">
        <is>
          <t>4², 8²</t>
        </is>
      </c>
      <c r="L2035" t="inlineStr">
        <is>
          <t>16K³</t>
        </is>
      </c>
      <c r="M2035" t="inlineStr">
        <is>
          <t>32D¹⁹, 32B²¹, 32J²¹, 32A²³</t>
        </is>
      </c>
      <c r="N2035" t="inlineStr">
        <is>
          <t>8D⁰, 4C⁰, 8B⁰, 8A⁰, 16B¹, 2B⁰, 8K⁰, 1A⁰, 8D¹, 8H¹, 8H⁰, 16B⁰, 16K³, 4A⁰, 4F⁰, 16F¹, 16H¹</t>
        </is>
      </c>
      <c r="O2035" t="inlineStr">
        <is>
          <t>32B²¹, 32D¹⁹, 32J²¹, 32A²³</t>
        </is>
      </c>
    </row>
    <row r="2036">
      <c r="A2036">
        <f>HYPERLINK("https://mathstats.uncg.edu/sites/pauli/congruence/csg9.html#group32M9", "32M⁹")</f>
        <v/>
      </c>
      <c r="B2036" t="n">
        <v>9</v>
      </c>
      <c r="C2036" t="inlineStr"/>
      <c r="D2036" t="inlineStr">
        <is>
          <t>192</t>
        </is>
      </c>
      <c r="E2036" t="inlineStr">
        <is>
          <t>1</t>
        </is>
      </c>
      <c r="F2036" t="inlineStr">
        <is>
          <t>24</t>
        </is>
      </c>
      <c r="G2036" t="inlineStr">
        <is>
          <t>8</t>
        </is>
      </c>
      <c r="H2036" t="inlineStr">
        <is>
          <t>0</t>
        </is>
      </c>
      <c r="I2036" t="inlineStr">
        <is>
          <t>8⁸, 32⁴</t>
        </is>
      </c>
      <c r="J2036" t="n">
        <v>12</v>
      </c>
      <c r="K2036" t="inlineStr">
        <is>
          <t>1², 2¹, 4¹, 8²</t>
        </is>
      </c>
      <c r="L2036" t="inlineStr">
        <is>
          <t>16L³, 32P³, 32H⁵</t>
        </is>
      </c>
      <c r="M2036" t="inlineStr">
        <is>
          <t>32E¹⁹, 32E²¹, 32K²¹, 64Q²¹, 32D²³</t>
        </is>
      </c>
      <c r="N2036" t="inlineStr">
        <is>
          <t>16I¹, 8D⁰, 4C⁰, 32H⁵, 8B⁰, 16B¹, 32I³, 2B⁰, 1A⁰, 8H⁰, 16B⁰, 16E⁰, 8F⁰, 16L³, 4A⁰, 8I¹, 16C¹, 4F⁰, 16F¹, 32P³</t>
        </is>
      </c>
      <c r="O2036" t="inlineStr">
        <is>
          <t>32K²¹, 32D²³, 32E²¹, 64Q²¹, 32E¹⁹</t>
        </is>
      </c>
    </row>
    <row r="2037">
      <c r="A2037">
        <f>HYPERLINK("https://mathstats.uncg.edu/sites/pauli/congruence/csg9.html#group32N9", "32N⁹")</f>
        <v/>
      </c>
      <c r="B2037" t="n">
        <v>9</v>
      </c>
      <c r="C2037" t="inlineStr"/>
      <c r="D2037" t="inlineStr">
        <is>
          <t>192</t>
        </is>
      </c>
      <c r="E2037" t="inlineStr">
        <is>
          <t>1</t>
        </is>
      </c>
      <c r="F2037" t="inlineStr">
        <is>
          <t>24</t>
        </is>
      </c>
      <c r="G2037" t="inlineStr">
        <is>
          <t>8</t>
        </is>
      </c>
      <c r="H2037" t="inlineStr">
        <is>
          <t>0</t>
        </is>
      </c>
      <c r="I2037" t="inlineStr">
        <is>
          <t>8⁸, 32⁴</t>
        </is>
      </c>
      <c r="J2037" t="n">
        <v>12</v>
      </c>
      <c r="K2037" t="inlineStr">
        <is>
          <t>2⁴, 8²</t>
        </is>
      </c>
      <c r="L2037" t="inlineStr">
        <is>
          <t>16L³, 32Q³, 32I⁵</t>
        </is>
      </c>
      <c r="M2037" t="inlineStr">
        <is>
          <t>32E¹⁹, 32E²¹, 32L²¹, 64P²¹, 32C²³</t>
        </is>
      </c>
      <c r="N2037" t="inlineStr">
        <is>
          <t>16I¹, 8D⁰, 4C⁰, 8B⁰, 16B¹, 32D¹, 2B⁰, 1A⁰, 32Q³, 8H⁰, 16B⁰, 16E⁰, 8F⁰, 16L³, 32C¹, 4A⁰, 8I¹, 16C¹, 4F⁰, 16F¹, 32I⁵</t>
        </is>
      </c>
      <c r="O2037" t="inlineStr">
        <is>
          <t>32C²³, 32L²¹, 64P²¹, 32E²¹, 32E¹⁹</t>
        </is>
      </c>
    </row>
    <row r="2038">
      <c r="A2038">
        <f>HYPERLINK("https://mathstats.uncg.edu/sites/pauli/congruence/csg9.html#group32O9", "32O⁹")</f>
        <v/>
      </c>
      <c r="B2038" t="n">
        <v>9</v>
      </c>
      <c r="C2038" t="inlineStr"/>
      <c r="D2038" t="inlineStr">
        <is>
          <t>192</t>
        </is>
      </c>
      <c r="E2038" t="inlineStr">
        <is>
          <t>1</t>
        </is>
      </c>
      <c r="F2038" t="inlineStr">
        <is>
          <t>24</t>
        </is>
      </c>
      <c r="G2038" t="inlineStr">
        <is>
          <t>16</t>
        </is>
      </c>
      <c r="H2038" t="inlineStr">
        <is>
          <t>0</t>
        </is>
      </c>
      <c r="I2038" t="inlineStr">
        <is>
          <t>16⁴, 32⁴</t>
        </is>
      </c>
      <c r="J2038" t="n">
        <v>8</v>
      </c>
      <c r="K2038" t="inlineStr">
        <is>
          <t>2⁸, 8¹</t>
        </is>
      </c>
      <c r="L2038" t="inlineStr">
        <is>
          <t>16R³, 32N³, 32K⁵</t>
        </is>
      </c>
      <c r="M2038" t="inlineStr">
        <is>
          <t>32S²¹, 32T²¹, 32Y²¹, 64L²¹</t>
        </is>
      </c>
      <c r="N2038" t="inlineStr">
        <is>
          <t>16B⁰, 16D¹, 32K⁵, 4C⁰, 8B⁰, 8L⁰, 2B⁰, 32B¹, 32G³, 16R³, 16J¹, 1A⁰, 32H³, 32N³</t>
        </is>
      </c>
      <c r="O2038" t="inlineStr">
        <is>
          <t>32S²¹, 32T²¹, 32Y²¹, 64L²¹</t>
        </is>
      </c>
    </row>
    <row r="2039">
      <c r="A2039">
        <f>HYPERLINK("https://mathstats.uncg.edu/sites/pauli/congruence/csg9.html#group32P9", "32P⁹")</f>
        <v/>
      </c>
      <c r="B2039" t="n">
        <v>9</v>
      </c>
      <c r="C2039" t="inlineStr"/>
      <c r="D2039" t="inlineStr">
        <is>
          <t>192</t>
        </is>
      </c>
      <c r="E2039" t="inlineStr">
        <is>
          <t>1</t>
        </is>
      </c>
      <c r="F2039" t="inlineStr">
        <is>
          <t>24</t>
        </is>
      </c>
      <c r="G2039" t="inlineStr">
        <is>
          <t>16</t>
        </is>
      </c>
      <c r="H2039" t="inlineStr">
        <is>
          <t>0</t>
        </is>
      </c>
      <c r="I2039" t="inlineStr">
        <is>
          <t>16⁴, 32⁴</t>
        </is>
      </c>
      <c r="J2039" t="n">
        <v>8</v>
      </c>
      <c r="K2039" t="inlineStr">
        <is>
          <t>2⁸, 8¹</t>
        </is>
      </c>
      <c r="L2039" t="inlineStr">
        <is>
          <t>16S³, 32N³, 32J⁵</t>
        </is>
      </c>
      <c r="M2039" t="inlineStr">
        <is>
          <t>32U²¹, 32V²¹, 32Y²¹, 64M²¹</t>
        </is>
      </c>
      <c r="N2039" t="inlineStr">
        <is>
          <t>16B⁰, 16D¹, 32J⁵, 4C⁰, 8B⁰, 16S³, 8L⁰, 2B⁰, 32E³, 32B¹, 32F³, 16J¹, 1A⁰, 32N³</t>
        </is>
      </c>
      <c r="O2039" t="inlineStr">
        <is>
          <t>32U²¹, 32Y²¹, 32V²¹, 64M²¹</t>
        </is>
      </c>
    </row>
    <row r="2040">
      <c r="A2040">
        <f>HYPERLINK("https://mathstats.uncg.edu/sites/pauli/congruence/csg9.html#group32Q9", "32Q⁹")</f>
        <v/>
      </c>
      <c r="B2040" t="n">
        <v>9</v>
      </c>
      <c r="C2040" t="inlineStr"/>
      <c r="D2040" t="inlineStr">
        <is>
          <t>192</t>
        </is>
      </c>
      <c r="E2040" t="inlineStr">
        <is>
          <t>1</t>
        </is>
      </c>
      <c r="F2040" t="inlineStr">
        <is>
          <t>96</t>
        </is>
      </c>
      <c r="G2040" t="inlineStr">
        <is>
          <t>4</t>
        </is>
      </c>
      <c r="H2040" t="inlineStr">
        <is>
          <t>0</t>
        </is>
      </c>
      <c r="I2040" t="inlineStr">
        <is>
          <t>8⁸, 16⁴, 32²</t>
        </is>
      </c>
      <c r="J2040" t="n">
        <v>14</v>
      </c>
      <c r="K2040" t="inlineStr">
        <is>
          <t>8⁴, 16¹⁰</t>
        </is>
      </c>
      <c r="L2040" t="inlineStr">
        <is>
          <t>16P³</t>
        </is>
      </c>
      <c r="M2040" t="inlineStr">
        <is>
          <t>32A¹⁸, 32A¹⁹, 32X²¹, 32A²², 32B²², 32G²³</t>
        </is>
      </c>
      <c r="N2040" t="inlineStr">
        <is>
          <t>8H⁰, 8D⁰, 4A⁰, 4C⁰, 8B⁰, 16P³, 8A⁰, 1A⁰, 2B⁰, 4F⁰, 8K⁰, 8D¹, 8H¹</t>
        </is>
      </c>
      <c r="O2040" t="inlineStr">
        <is>
          <t>32X²¹, 32A¹⁹, 32A²², 32A¹⁸, 32G²³, 32B²²</t>
        </is>
      </c>
    </row>
    <row r="2041">
      <c r="A2041">
        <f>HYPERLINK("https://mathstats.uncg.edu/sites/pauli/congruence/csg9.html#group32R9", "32R⁹")</f>
        <v/>
      </c>
      <c r="B2041" t="n">
        <v>9</v>
      </c>
      <c r="C2041" t="inlineStr"/>
      <c r="D2041" t="inlineStr">
        <is>
          <t>192</t>
        </is>
      </c>
      <c r="E2041" t="inlineStr">
        <is>
          <t>1</t>
        </is>
      </c>
      <c r="F2041" t="inlineStr">
        <is>
          <t>96</t>
        </is>
      </c>
      <c r="G2041" t="inlineStr">
        <is>
          <t>4</t>
        </is>
      </c>
      <c r="H2041" t="inlineStr">
        <is>
          <t>0</t>
        </is>
      </c>
      <c r="I2041" t="inlineStr">
        <is>
          <t>8⁸, 16⁴, 32²</t>
        </is>
      </c>
      <c r="J2041" t="n">
        <v>14</v>
      </c>
      <c r="K2041" t="inlineStr">
        <is>
          <t>8⁴, 16¹⁰</t>
        </is>
      </c>
      <c r="L2041" t="inlineStr">
        <is>
          <t>16P³</t>
        </is>
      </c>
      <c r="M2041" t="inlineStr">
        <is>
          <t>32B¹⁸, 32A¹⁹, 32X²¹, 32A²², 32B²², 32G²³</t>
        </is>
      </c>
      <c r="N2041" t="inlineStr">
        <is>
          <t>8H⁰, 8D⁰, 4A⁰, 4C⁰, 8B⁰, 16P³, 8A⁰, 1A⁰, 2B⁰, 4F⁰, 8K⁰, 8D¹, 8H¹</t>
        </is>
      </c>
      <c r="O2041" t="inlineStr">
        <is>
          <t>32X²¹, 32A¹⁹, 32A²², 32G²³, 32B²², 32B¹⁸</t>
        </is>
      </c>
    </row>
    <row r="2042">
      <c r="A2042">
        <f>HYPERLINK("https://mathstats.uncg.edu/sites/pauli/congruence/csg9.html#group33A9", "33A⁹")</f>
        <v/>
      </c>
      <c r="B2042" t="n">
        <v>9</v>
      </c>
      <c r="C2042" t="inlineStr"/>
      <c r="D2042" t="inlineStr">
        <is>
          <t>144</t>
        </is>
      </c>
      <c r="E2042" t="inlineStr">
        <is>
          <t>1</t>
        </is>
      </c>
      <c r="F2042" t="inlineStr">
        <is>
          <t>12</t>
        </is>
      </c>
      <c r="G2042" t="inlineStr">
        <is>
          <t>0</t>
        </is>
      </c>
      <c r="H2042" t="inlineStr">
        <is>
          <t>0</t>
        </is>
      </c>
      <c r="I2042" t="inlineStr">
        <is>
          <t>3⁴, 33⁴</t>
        </is>
      </c>
      <c r="J2042" t="n">
        <v>8</v>
      </c>
      <c r="K2042" t="inlineStr">
        <is>
          <t>1², 10¹</t>
        </is>
      </c>
      <c r="L2042" t="inlineStr">
        <is>
          <t>3D⁰, 33C³, 33A⁵</t>
        </is>
      </c>
      <c r="M2042" t="inlineStr">
        <is>
          <t>33B¹⁷, 66B²¹, 66C²¹</t>
        </is>
      </c>
      <c r="N2042" t="inlineStr">
        <is>
          <t>3B⁰, 11A¹, 33A⁵, 3C⁰, 1A⁰, 3A⁰, 33A³, 3D⁰, 33C³</t>
        </is>
      </c>
      <c r="O2042" t="inlineStr">
        <is>
          <t>33B¹⁷, 66C²¹, 66B²¹</t>
        </is>
      </c>
    </row>
    <row r="2043">
      <c r="A2043">
        <f>HYPERLINK("https://mathstats.uncg.edu/sites/pauli/congruence/csg9.html#group34A9", "34A⁹")</f>
        <v/>
      </c>
      <c r="B2043" t="n">
        <v>9</v>
      </c>
      <c r="C2043" t="inlineStr"/>
      <c r="D2043" t="inlineStr">
        <is>
          <t>144</t>
        </is>
      </c>
      <c r="E2043" t="inlineStr">
        <is>
          <t>1</t>
        </is>
      </c>
      <c r="F2043" t="inlineStr">
        <is>
          <t>18</t>
        </is>
      </c>
      <c r="G2043" t="inlineStr">
        <is>
          <t>0</t>
        </is>
      </c>
      <c r="H2043" t="inlineStr">
        <is>
          <t>0</t>
        </is>
      </c>
      <c r="I2043" t="inlineStr">
        <is>
          <t>2⁴, 34⁴</t>
        </is>
      </c>
      <c r="J2043" t="n">
        <v>8</v>
      </c>
      <c r="K2043" t="inlineStr">
        <is>
          <t>1², 16¹</t>
        </is>
      </c>
      <c r="L2043" t="inlineStr">
        <is>
          <t>17C¹, 34A⁵, 34B⁵</t>
        </is>
      </c>
      <c r="M2043" t="inlineStr">
        <is>
          <t>34A¹⁷</t>
        </is>
      </c>
      <c r="N2043" t="inlineStr">
        <is>
          <t>2A⁰, 34A⁵, 17B¹, 34B⁵, 17C¹, 17A¹, 34B³, 1A⁰, 34A³</t>
        </is>
      </c>
      <c r="O2043" t="inlineStr">
        <is>
          <t>34A¹⁷</t>
        </is>
      </c>
    </row>
    <row r="2044">
      <c r="A2044">
        <f>HYPERLINK("https://mathstats.uncg.edu/sites/pauli/congruence/csg9.html#group34B9", "34B⁹")</f>
        <v/>
      </c>
      <c r="B2044" t="n">
        <v>9</v>
      </c>
      <c r="C2044" t="inlineStr"/>
      <c r="D2044" t="inlineStr">
        <is>
          <t>216</t>
        </is>
      </c>
      <c r="E2044" t="inlineStr">
        <is>
          <t>1</t>
        </is>
      </c>
      <c r="F2044" t="inlineStr">
        <is>
          <t>54</t>
        </is>
      </c>
      <c r="G2044" t="inlineStr">
        <is>
          <t>8</t>
        </is>
      </c>
      <c r="H2044" t="inlineStr">
        <is>
          <t>0</t>
        </is>
      </c>
      <c r="I2044" t="inlineStr">
        <is>
          <t>1⁴, 2⁴, 17⁴, 34⁴</t>
        </is>
      </c>
      <c r="J2044" t="n">
        <v>16</v>
      </c>
      <c r="K2044" t="inlineStr">
        <is>
          <t>1⁶, 16³</t>
        </is>
      </c>
      <c r="L2044" t="inlineStr">
        <is>
          <t>17C¹, 34C⁵</t>
        </is>
      </c>
      <c r="M2044" t="inlineStr">
        <is>
          <t>34A²¹, 34B²¹, 68C²¹</t>
        </is>
      </c>
      <c r="N2044" t="inlineStr">
        <is>
          <t>34C³, 17B¹, 34C⁵, 17C¹, 17A¹, 2B⁰, 1A⁰</t>
        </is>
      </c>
      <c r="O2044" t="inlineStr">
        <is>
          <t>34A²¹, 68C²¹, 34B²¹</t>
        </is>
      </c>
    </row>
    <row r="2045">
      <c r="A2045">
        <f>HYPERLINK("https://mathstats.uncg.edu/sites/pauli/congruence/csg9.html#group35A9", "35A⁹")</f>
        <v/>
      </c>
      <c r="B2045" t="n">
        <v>9</v>
      </c>
      <c r="C2045" t="inlineStr"/>
      <c r="D2045" t="inlineStr">
        <is>
          <t>140</t>
        </is>
      </c>
      <c r="E2045" t="inlineStr">
        <is>
          <t>1</t>
        </is>
      </c>
      <c r="F2045" t="inlineStr">
        <is>
          <t>140</t>
        </is>
      </c>
      <c r="G2045" t="inlineStr">
        <is>
          <t>4</t>
        </is>
      </c>
      <c r="H2045" t="inlineStr">
        <is>
          <t>2</t>
        </is>
      </c>
      <c r="I2045" t="inlineStr">
        <is>
          <t>35⁴</t>
        </is>
      </c>
      <c r="J2045" t="n">
        <v>4</v>
      </c>
      <c r="K2045" t="inlineStr">
        <is>
          <t>1¹, 3¹, 4¹, 6⁴, 12¹, 24⁴</t>
        </is>
      </c>
      <c r="L2045" t="inlineStr">
        <is>
          <t>7F⁰, 35A²</t>
        </is>
      </c>
      <c r="M2045" t="inlineStr">
        <is>
          <t>35A¹⁹, 70C¹⁹, 70A²¹</t>
        </is>
      </c>
      <c r="N2045" t="inlineStr">
        <is>
          <t>7F⁰, 5A⁰, 1A⁰, 35A², 7A⁰</t>
        </is>
      </c>
      <c r="O2045" t="inlineStr">
        <is>
          <t>70A²¹, 35A¹⁹, 70C¹⁹</t>
        </is>
      </c>
    </row>
    <row r="2046">
      <c r="A2046">
        <f>HYPERLINK("https://mathstats.uncg.edu/sites/pauli/congruence/csg9.html#group35B9", "35B⁹")</f>
        <v/>
      </c>
      <c r="B2046" t="n">
        <v>9</v>
      </c>
      <c r="C2046" t="inlineStr"/>
      <c r="D2046" t="inlineStr">
        <is>
          <t>140</t>
        </is>
      </c>
      <c r="E2046" t="inlineStr">
        <is>
          <t>2</t>
        </is>
      </c>
      <c r="F2046" t="inlineStr">
        <is>
          <t>70</t>
        </is>
      </c>
      <c r="G2046" t="inlineStr">
        <is>
          <t>4</t>
        </is>
      </c>
      <c r="H2046" t="inlineStr">
        <is>
          <t>2</t>
        </is>
      </c>
      <c r="I2046" t="inlineStr">
        <is>
          <t>35⁴</t>
        </is>
      </c>
      <c r="J2046" t="n">
        <v>4</v>
      </c>
      <c r="K2046" t="inlineStr">
        <is>
          <t>4¹, 8², 12², 24⁴</t>
        </is>
      </c>
      <c r="L2046" t="inlineStr">
        <is>
          <t>7C⁰, 35B⁴</t>
        </is>
      </c>
      <c r="M2046" t="inlineStr">
        <is>
          <t>35B¹⁹, 70D¹⁹, 70C²¹</t>
        </is>
      </c>
      <c r="N2046" t="inlineStr">
        <is>
          <t>1A⁰, 5C⁰, 35B⁴, 7A⁰, 7C⁰</t>
        </is>
      </c>
      <c r="O2046" t="inlineStr">
        <is>
          <t>70C²¹, 70D¹⁹, 35B¹⁹</t>
        </is>
      </c>
    </row>
    <row r="2047">
      <c r="A2047">
        <f>HYPERLINK("https://mathstats.uncg.edu/sites/pauli/congruence/csg9.html#group35C9", "35C⁹")</f>
        <v/>
      </c>
      <c r="B2047" t="n">
        <v>9</v>
      </c>
      <c r="C2047" t="inlineStr"/>
      <c r="D2047" t="inlineStr">
        <is>
          <t>160</t>
        </is>
      </c>
      <c r="E2047" t="inlineStr">
        <is>
          <t>1</t>
        </is>
      </c>
      <c r="F2047" t="inlineStr">
        <is>
          <t>80</t>
        </is>
      </c>
      <c r="G2047" t="inlineStr">
        <is>
          <t>0</t>
        </is>
      </c>
      <c r="H2047" t="inlineStr">
        <is>
          <t>4</t>
        </is>
      </c>
      <c r="I2047" t="inlineStr">
        <is>
          <t>5⁴, 35⁴</t>
        </is>
      </c>
      <c r="J2047" t="n">
        <v>8</v>
      </c>
      <c r="K2047" t="inlineStr">
        <is>
          <t>2², 4⁴, 12¹, 24²</t>
        </is>
      </c>
      <c r="L2047" t="inlineStr">
        <is>
          <t>5F⁰, 35B², 35A⁵</t>
        </is>
      </c>
      <c r="M2047" t="inlineStr">
        <is>
          <t>35A¹⁷, 70F²¹, 70G²¹</t>
        </is>
      </c>
      <c r="N2047" t="inlineStr">
        <is>
          <t>35A⁵, 5A⁰, 7B⁰, 5C⁰, 5F⁰, 35B², 1A⁰</t>
        </is>
      </c>
      <c r="O2047" t="inlineStr">
        <is>
          <t>70G²¹, 35A¹⁷, 70F²¹</t>
        </is>
      </c>
    </row>
    <row r="2048">
      <c r="A2048">
        <f>HYPERLINK("https://mathstats.uncg.edu/sites/pauli/congruence/csg9.html#group35D9", "35D⁹")</f>
        <v/>
      </c>
      <c r="B2048" t="n">
        <v>9</v>
      </c>
      <c r="C2048" t="inlineStr"/>
      <c r="D2048" t="inlineStr">
        <is>
          <t>168</t>
        </is>
      </c>
      <c r="E2048" t="inlineStr">
        <is>
          <t>1</t>
        </is>
      </c>
      <c r="F2048" t="inlineStr">
        <is>
          <t>168</t>
        </is>
      </c>
      <c r="G2048" t="inlineStr">
        <is>
          <t>8</t>
        </is>
      </c>
      <c r="H2048" t="inlineStr">
        <is>
          <t>0</t>
        </is>
      </c>
      <c r="I2048" t="inlineStr">
        <is>
          <t>7⁴, 35⁴</t>
        </is>
      </c>
      <c r="J2048" t="n">
        <v>8</v>
      </c>
      <c r="K2048" t="inlineStr">
        <is>
          <t>1², 3², 4¹, 6⁸, 12¹, 24⁴</t>
        </is>
      </c>
      <c r="L2048" t="inlineStr">
        <is>
          <t>7F⁰, 35C²</t>
        </is>
      </c>
      <c r="M2048" t="inlineStr">
        <is>
          <t>35B¹⁷, 35A²¹, 35B²¹, 70H²¹, 70I²¹</t>
        </is>
      </c>
      <c r="N2048" t="inlineStr">
        <is>
          <t>7F⁰, 35C², 5B⁰, 1A⁰, 7A⁰</t>
        </is>
      </c>
      <c r="O2048" t="inlineStr">
        <is>
          <t>35B¹⁷, 70H²¹, 35B²¹, 70I²¹, 35A²¹</t>
        </is>
      </c>
    </row>
    <row r="2049">
      <c r="A2049">
        <f>HYPERLINK("https://mathstats.uncg.edu/sites/pauli/congruence/csg9.html#group35E9", "35E⁹")</f>
        <v/>
      </c>
      <c r="B2049" t="n">
        <v>9</v>
      </c>
      <c r="C2049" t="inlineStr"/>
      <c r="D2049" t="inlineStr">
        <is>
          <t>192</t>
        </is>
      </c>
      <c r="E2049" t="inlineStr">
        <is>
          <t>1</t>
        </is>
      </c>
      <c r="F2049" t="inlineStr">
        <is>
          <t>48</t>
        </is>
      </c>
      <c r="G2049" t="inlineStr">
        <is>
          <t>0</t>
        </is>
      </c>
      <c r="H2049" t="inlineStr">
        <is>
          <t>0</t>
        </is>
      </c>
      <c r="I2049" t="inlineStr">
        <is>
          <t>1⁴, 5⁴, 7⁴, 35⁴</t>
        </is>
      </c>
      <c r="J2049" t="n">
        <v>16</v>
      </c>
      <c r="K2049" t="inlineStr">
        <is>
          <t>1⁴, 4², 6², 24¹</t>
        </is>
      </c>
      <c r="L2049" t="inlineStr">
        <is>
          <t>35C⁵</t>
        </is>
      </c>
      <c r="M2049" t="inlineStr"/>
      <c r="N2049" t="inlineStr">
        <is>
          <t>5B⁰, 5D⁰, 1A⁰, 7B⁰, 35A³, 35C⁵</t>
        </is>
      </c>
      <c r="O2049" t="inlineStr"/>
    </row>
    <row r="2050">
      <c r="A2050">
        <f>HYPERLINK("https://mathstats.uncg.edu/sites/pauli/congruence/csg9.html#group36A9", "36A⁹")</f>
        <v/>
      </c>
      <c r="B2050" t="n">
        <v>9</v>
      </c>
      <c r="C2050" t="inlineStr"/>
      <c r="D2050" t="inlineStr">
        <is>
          <t>144</t>
        </is>
      </c>
      <c r="E2050" t="inlineStr">
        <is>
          <t>1</t>
        </is>
      </c>
      <c r="F2050" t="inlineStr">
        <is>
          <t>6</t>
        </is>
      </c>
      <c r="G2050" t="inlineStr">
        <is>
          <t>0</t>
        </is>
      </c>
      <c r="H2050" t="inlineStr">
        <is>
          <t>0</t>
        </is>
      </c>
      <c r="I2050" t="inlineStr">
        <is>
          <t>12⁶, 36²</t>
        </is>
      </c>
      <c r="J2050" t="n">
        <v>8</v>
      </c>
      <c r="K2050" t="inlineStr">
        <is>
          <t>1², 2²</t>
        </is>
      </c>
      <c r="L2050" t="inlineStr">
        <is>
          <t>12A³, 18F³, 36H⁴, 36I⁴</t>
        </is>
      </c>
      <c r="M2050" t="inlineStr"/>
      <c r="N2050" t="inlineStr">
        <is>
          <t>3B⁰, 2A⁰, 18F², 12D¹, 6B⁰, 36I⁴, 12A³, 6C⁰, 9E⁰, 36H⁴, 1A⁰, 18F³, 6D¹, 6E⁰, 6B¹, 3C⁰, 6A¹, 18F¹, 9H⁰, 3A⁰, 3D⁰, 12B⁰</t>
        </is>
      </c>
      <c r="O2050" t="inlineStr"/>
    </row>
    <row r="2051">
      <c r="A2051">
        <f>HYPERLINK("https://mathstats.uncg.edu/sites/pauli/congruence/csg9.html#group36B9", "36B⁹")</f>
        <v/>
      </c>
      <c r="B2051" t="n">
        <v>9</v>
      </c>
      <c r="C2051" t="inlineStr"/>
      <c r="D2051" t="inlineStr">
        <is>
          <t>144</t>
        </is>
      </c>
      <c r="E2051" t="inlineStr">
        <is>
          <t>1</t>
        </is>
      </c>
      <c r="F2051" t="inlineStr">
        <is>
          <t>12</t>
        </is>
      </c>
      <c r="G2051" t="inlineStr">
        <is>
          <t>0</t>
        </is>
      </c>
      <c r="H2051" t="inlineStr">
        <is>
          <t>0</t>
        </is>
      </c>
      <c r="I2051" t="inlineStr">
        <is>
          <t>4³, 12², 36³</t>
        </is>
      </c>
      <c r="J2051" t="n">
        <v>8</v>
      </c>
      <c r="K2051" t="inlineStr">
        <is>
          <t>1², 2², 6¹</t>
        </is>
      </c>
      <c r="L2051" t="inlineStr">
        <is>
          <t>18G³, 36A³</t>
        </is>
      </c>
      <c r="M2051" t="inlineStr"/>
      <c r="N2051" t="inlineStr">
        <is>
          <t>3B⁰, 2A⁰, 18G³, 18C¹, 6C⁰, 9I⁰, 9B⁰, 1A⁰, 36A³, 12B⁰</t>
        </is>
      </c>
      <c r="O2051" t="inlineStr"/>
    </row>
    <row r="2052">
      <c r="A2052">
        <f>HYPERLINK("https://mathstats.uncg.edu/sites/pauli/congruence/csg9.html#group36C9", "36C⁹")</f>
        <v/>
      </c>
      <c r="B2052" t="n">
        <v>9</v>
      </c>
      <c r="C2052" t="inlineStr"/>
      <c r="D2052" t="inlineStr">
        <is>
          <t>144</t>
        </is>
      </c>
      <c r="E2052" t="inlineStr">
        <is>
          <t>1</t>
        </is>
      </c>
      <c r="F2052" t="inlineStr">
        <is>
          <t>12</t>
        </is>
      </c>
      <c r="G2052" t="inlineStr">
        <is>
          <t>0</t>
        </is>
      </c>
      <c r="H2052" t="inlineStr">
        <is>
          <t>0</t>
        </is>
      </c>
      <c r="I2052" t="inlineStr">
        <is>
          <t>6², 12², 18², 36²</t>
        </is>
      </c>
      <c r="J2052" t="n">
        <v>8</v>
      </c>
      <c r="K2052" t="inlineStr">
        <is>
          <t>1⁶, 2³</t>
        </is>
      </c>
      <c r="L2052" t="inlineStr">
        <is>
          <t>12P¹, 18C⁴, 36F⁴, 36A⁵</t>
        </is>
      </c>
      <c r="M2052" t="inlineStr">
        <is>
          <t>36A¹⁷, 36A¹⁹, 36C¹⁹, 72C¹⁹, 72A¹⁹, 72M¹⁹, 72K¹⁹, 72A²¹, 72C²¹</t>
        </is>
      </c>
      <c r="N2052" t="inlineStr">
        <is>
          <t>3B⁰, 2A⁰, 12F¹, 18B⁰, 6I⁰, 4C⁰, 6C⁰, 18D², 36F⁴, 2B⁰, 4E⁰, 9C⁰, 36A⁵, 12P¹, 1A⁰, 4B⁰, 18C², 6F⁰, 2C⁰, 12E⁰, 18C⁴</t>
        </is>
      </c>
      <c r="O2052" t="inlineStr">
        <is>
          <t>72A¹⁹, 72K¹⁹, 36A¹⁹, 72C¹⁹, 72M¹⁹, 72A²¹, 72C²¹, 36A¹⁷, 36C¹⁹</t>
        </is>
      </c>
    </row>
    <row r="2053">
      <c r="A2053">
        <f>HYPERLINK("https://mathstats.uncg.edu/sites/pauli/congruence/csg9.html#group36D9", "36D⁹")</f>
        <v/>
      </c>
      <c r="B2053" t="n">
        <v>9</v>
      </c>
      <c r="C2053" t="inlineStr"/>
      <c r="D2053" t="inlineStr">
        <is>
          <t>144</t>
        </is>
      </c>
      <c r="E2053" t="inlineStr">
        <is>
          <t>1</t>
        </is>
      </c>
      <c r="F2053" t="inlineStr">
        <is>
          <t>12</t>
        </is>
      </c>
      <c r="G2053" t="inlineStr">
        <is>
          <t>0</t>
        </is>
      </c>
      <c r="H2053" t="inlineStr">
        <is>
          <t>0</t>
        </is>
      </c>
      <c r="I2053" t="inlineStr">
        <is>
          <t>6², 12², 18², 36²</t>
        </is>
      </c>
      <c r="J2053" t="n">
        <v>8</v>
      </c>
      <c r="K2053" t="inlineStr">
        <is>
          <t>1⁶, 2³</t>
        </is>
      </c>
      <c r="L2053" t="inlineStr">
        <is>
          <t>12P¹, 18D⁴, 36G⁴, 36B⁵</t>
        </is>
      </c>
      <c r="M2053" t="inlineStr">
        <is>
          <t>36B¹⁷, 36B¹⁹, 36D¹⁹, 72D¹⁹, 72B¹⁹, 72N¹⁹, 72L¹⁹, 72B²¹, 72D²¹</t>
        </is>
      </c>
      <c r="N2053" t="inlineStr">
        <is>
          <t>3B⁰, 2A⁰, 12F¹, 6I⁰, 4C⁰, 18E², 6C⁰, 36G⁴, 36B⁵, 2B⁰, 4E⁰, 12P¹, 4B⁰, 1A⁰, 18B², 9A¹, 18D⁴, 6F⁰, 2C⁰, 12E⁰, 18D¹</t>
        </is>
      </c>
      <c r="O2053" t="inlineStr">
        <is>
          <t>72N¹⁹, 72L¹⁹, 72D¹⁹, 72D²¹, 72B¹⁹, 36D¹⁹, 36B¹⁷, 36B¹⁹, 72B²¹</t>
        </is>
      </c>
    </row>
    <row r="2054">
      <c r="A2054">
        <f>HYPERLINK("https://mathstats.uncg.edu/sites/pauli/congruence/csg9.html#group36E9", "36E⁹")</f>
        <v/>
      </c>
      <c r="B2054" t="n">
        <v>9</v>
      </c>
      <c r="C2054" t="inlineStr"/>
      <c r="D2054" t="inlineStr">
        <is>
          <t>144</t>
        </is>
      </c>
      <c r="E2054" t="inlineStr">
        <is>
          <t>1</t>
        </is>
      </c>
      <c r="F2054" t="inlineStr">
        <is>
          <t>12</t>
        </is>
      </c>
      <c r="G2054" t="inlineStr">
        <is>
          <t>0</t>
        </is>
      </c>
      <c r="H2054" t="inlineStr">
        <is>
          <t>0</t>
        </is>
      </c>
      <c r="I2054" t="inlineStr">
        <is>
          <t>12⁶, 36²</t>
        </is>
      </c>
      <c r="J2054" t="n">
        <v>8</v>
      </c>
      <c r="K2054" t="inlineStr">
        <is>
          <t>1², 2⁵</t>
        </is>
      </c>
      <c r="L2054" t="inlineStr">
        <is>
          <t>12A³, 18H³, 36J⁴, 36K⁴</t>
        </is>
      </c>
      <c r="M2054" t="inlineStr"/>
      <c r="N2054" t="inlineStr">
        <is>
          <t>36K⁴, 36J⁴, 3B⁰, 12D¹, 6B⁰, 2A⁰, 12A³, 6C⁰, 1A⁰, 6D¹, 6E⁰, 6B¹, 18H³, 3C⁰, 6A¹, 18G¹, 3A⁰, 3D⁰, 12B⁰</t>
        </is>
      </c>
      <c r="O2054" t="inlineStr"/>
    </row>
    <row r="2055">
      <c r="A2055">
        <f>HYPERLINK("https://mathstats.uncg.edu/sites/pauli/congruence/csg9.html#group36F9", "36F⁹")</f>
        <v/>
      </c>
      <c r="B2055" t="n">
        <v>9</v>
      </c>
      <c r="C2055" t="inlineStr"/>
      <c r="D2055" t="inlineStr">
        <is>
          <t>144</t>
        </is>
      </c>
      <c r="E2055" t="inlineStr">
        <is>
          <t>1</t>
        </is>
      </c>
      <c r="F2055" t="inlineStr">
        <is>
          <t>24</t>
        </is>
      </c>
      <c r="G2055" t="inlineStr">
        <is>
          <t>0</t>
        </is>
      </c>
      <c r="H2055" t="inlineStr">
        <is>
          <t>0</t>
        </is>
      </c>
      <c r="I2055" t="inlineStr">
        <is>
          <t>4³, 12², 36³</t>
        </is>
      </c>
      <c r="J2055" t="n">
        <v>8</v>
      </c>
      <c r="K2055" t="inlineStr">
        <is>
          <t>1⁴, 2⁴, 6²</t>
        </is>
      </c>
      <c r="L2055" t="inlineStr">
        <is>
          <t>18I³, 36A³</t>
        </is>
      </c>
      <c r="M2055" t="inlineStr"/>
      <c r="N2055" t="inlineStr">
        <is>
          <t>3B⁰, 2A⁰, 18C¹, 6C⁰, 9B⁰, 18I³, 1A⁰, 36A³, 12B⁰</t>
        </is>
      </c>
      <c r="O2055" t="inlineStr"/>
    </row>
    <row r="2056">
      <c r="A2056">
        <f>HYPERLINK("https://mathstats.uncg.edu/sites/pauli/congruence/csg9.html#group36G9", "36G⁹")</f>
        <v/>
      </c>
      <c r="B2056" t="n">
        <v>9</v>
      </c>
      <c r="C2056" t="inlineStr"/>
      <c r="D2056" t="inlineStr">
        <is>
          <t>144</t>
        </is>
      </c>
      <c r="E2056" t="inlineStr">
        <is>
          <t>1</t>
        </is>
      </c>
      <c r="F2056" t="inlineStr">
        <is>
          <t>24</t>
        </is>
      </c>
      <c r="G2056" t="inlineStr">
        <is>
          <t>0</t>
        </is>
      </c>
      <c r="H2056" t="inlineStr">
        <is>
          <t>0</t>
        </is>
      </c>
      <c r="I2056" t="inlineStr">
        <is>
          <t>12⁶, 36²</t>
        </is>
      </c>
      <c r="J2056" t="n">
        <v>8</v>
      </c>
      <c r="K2056" t="inlineStr">
        <is>
          <t>2⁴, 4⁴</t>
        </is>
      </c>
      <c r="L2056" t="inlineStr">
        <is>
          <t>9H⁰, 12B³, 36M⁴</t>
        </is>
      </c>
      <c r="M2056" t="inlineStr">
        <is>
          <t>36C¹⁷, 72O²¹</t>
        </is>
      </c>
      <c r="N2056" t="inlineStr">
        <is>
          <t>12G¹, 3B⁰, 12A⁰, 12B³, 4A⁰, 12A¹, 36M⁴, 3C⁰, 9H⁰, 9E⁰, 3A⁰, 1A⁰, 3D⁰</t>
        </is>
      </c>
      <c r="O2056" t="inlineStr">
        <is>
          <t>36C¹⁷, 72O²¹</t>
        </is>
      </c>
    </row>
    <row r="2057">
      <c r="A2057">
        <f>HYPERLINK("https://mathstats.uncg.edu/sites/pauli/congruence/csg9.html#group36H9", "36H⁹")</f>
        <v/>
      </c>
      <c r="B2057" t="n">
        <v>9</v>
      </c>
      <c r="C2057" t="inlineStr"/>
      <c r="D2057" t="inlineStr">
        <is>
          <t>144</t>
        </is>
      </c>
      <c r="E2057" t="inlineStr">
        <is>
          <t>1</t>
        </is>
      </c>
      <c r="F2057" t="inlineStr">
        <is>
          <t>48</t>
        </is>
      </c>
      <c r="G2057" t="inlineStr">
        <is>
          <t>0</t>
        </is>
      </c>
      <c r="H2057" t="inlineStr">
        <is>
          <t>0</t>
        </is>
      </c>
      <c r="I2057" t="inlineStr">
        <is>
          <t>4³, 12², 36³</t>
        </is>
      </c>
      <c r="J2057" t="n">
        <v>8</v>
      </c>
      <c r="K2057" t="inlineStr">
        <is>
          <t>2⁴, 4⁴, 12²</t>
        </is>
      </c>
      <c r="L2057" t="inlineStr">
        <is>
          <t>9I⁰, 36B³</t>
        </is>
      </c>
      <c r="M2057" t="inlineStr">
        <is>
          <t>36D¹⁷, 72R²¹</t>
        </is>
      </c>
      <c r="N2057" t="inlineStr">
        <is>
          <t>3B⁰, 4A⁰, 12A¹, 9I⁰, 9B⁰, 36B³, 1A⁰</t>
        </is>
      </c>
      <c r="O2057" t="inlineStr">
        <is>
          <t>36D¹⁷, 72R²¹</t>
        </is>
      </c>
    </row>
    <row r="2058">
      <c r="A2058">
        <f>HYPERLINK("https://mathstats.uncg.edu/sites/pauli/congruence/csg9.html#group36I9", "36I⁹")</f>
        <v/>
      </c>
      <c r="B2058" t="n">
        <v>9</v>
      </c>
      <c r="C2058" t="inlineStr"/>
      <c r="D2058" t="inlineStr">
        <is>
          <t>144</t>
        </is>
      </c>
      <c r="E2058" t="inlineStr">
        <is>
          <t>1</t>
        </is>
      </c>
      <c r="F2058" t="inlineStr">
        <is>
          <t>48</t>
        </is>
      </c>
      <c r="G2058" t="inlineStr">
        <is>
          <t>0</t>
        </is>
      </c>
      <c r="H2058" t="inlineStr">
        <is>
          <t>3</t>
        </is>
      </c>
      <c r="I2058" t="inlineStr">
        <is>
          <t>12³, 36³</t>
        </is>
      </c>
      <c r="J2058" t="n">
        <v>6</v>
      </c>
      <c r="K2058" t="inlineStr">
        <is>
          <t>2⁴, 4⁴, 12²</t>
        </is>
      </c>
      <c r="L2058" t="inlineStr">
        <is>
          <t>9J⁰, 36C³</t>
        </is>
      </c>
      <c r="M2058" t="inlineStr">
        <is>
          <t>36F¹⁷, 72C²⁰</t>
        </is>
      </c>
      <c r="N2058" t="inlineStr">
        <is>
          <t>3B⁰, 9J⁰, 4A⁰, 12A¹, 9C⁰, 1A⁰, 36C³</t>
        </is>
      </c>
      <c r="O2058" t="inlineStr">
        <is>
          <t>72C²⁰, 36F¹⁷</t>
        </is>
      </c>
    </row>
    <row r="2059">
      <c r="A2059">
        <f>HYPERLINK("https://mathstats.uncg.edu/sites/pauli/congruence/csg9.html#group36J9", "36J⁹")</f>
        <v/>
      </c>
      <c r="B2059" t="n">
        <v>9</v>
      </c>
      <c r="C2059" t="inlineStr"/>
      <c r="D2059" t="inlineStr">
        <is>
          <t>144</t>
        </is>
      </c>
      <c r="E2059" t="inlineStr">
        <is>
          <t>1</t>
        </is>
      </c>
      <c r="F2059" t="inlineStr">
        <is>
          <t>72</t>
        </is>
      </c>
      <c r="G2059" t="inlineStr">
        <is>
          <t>0</t>
        </is>
      </c>
      <c r="H2059" t="inlineStr">
        <is>
          <t>0</t>
        </is>
      </c>
      <c r="I2059" t="inlineStr">
        <is>
          <t>12⁶, 36²</t>
        </is>
      </c>
      <c r="J2059" t="n">
        <v>8</v>
      </c>
      <c r="K2059" t="inlineStr">
        <is>
          <t>2², 4², 6², 12⁴</t>
        </is>
      </c>
      <c r="L2059" t="inlineStr">
        <is>
          <t>18F², 12C³, 36M⁴</t>
        </is>
      </c>
      <c r="M2059" t="inlineStr">
        <is>
          <t>36C¹⁷, 72M²¹, 72N²¹</t>
        </is>
      </c>
      <c r="N2059" t="inlineStr">
        <is>
          <t>12G¹, 18F², 2A⁰, 6B⁰, 12C³, 12F⁰, 9E⁰, 1A⁰, 12A⁰, 6B¹, 4A⁰, 4D⁰, 12A², 36M⁴, 3C⁰, 6A¹, 3A⁰</t>
        </is>
      </c>
      <c r="O2059" t="inlineStr">
        <is>
          <t>36C¹⁷, 72N²¹, 72M²¹</t>
        </is>
      </c>
    </row>
    <row r="2060">
      <c r="A2060">
        <f>HYPERLINK("https://mathstats.uncg.edu/sites/pauli/congruence/csg9.html#group36K9", "36K⁹")</f>
        <v/>
      </c>
      <c r="B2060" t="n">
        <v>9</v>
      </c>
      <c r="C2060" t="inlineStr"/>
      <c r="D2060" t="inlineStr">
        <is>
          <t>144</t>
        </is>
      </c>
      <c r="E2060" t="inlineStr">
        <is>
          <t>2</t>
        </is>
      </c>
      <c r="F2060" t="inlineStr">
        <is>
          <t>36</t>
        </is>
      </c>
      <c r="G2060" t="inlineStr">
        <is>
          <t>8</t>
        </is>
      </c>
      <c r="H2060" t="inlineStr">
        <is>
          <t>0</t>
        </is>
      </c>
      <c r="I2060" t="inlineStr">
        <is>
          <t>36⁴</t>
        </is>
      </c>
      <c r="J2060" t="n">
        <v>4</v>
      </c>
      <c r="K2060" t="inlineStr">
        <is>
          <t>4⁶, 12⁴</t>
        </is>
      </c>
      <c r="L2060" t="inlineStr">
        <is>
          <t>12Q¹, 18G², 36D², 36L⁴, 36E⁵</t>
        </is>
      </c>
      <c r="M2060" t="inlineStr">
        <is>
          <t>36K¹⁹, 36A²¹, 72P²¹, 72Q²¹, 72S²¹</t>
        </is>
      </c>
      <c r="N2060" t="inlineStr">
        <is>
          <t>12G¹, 36D², 6B⁰, 12F⁰, 1A⁰, 18A⁰, 9B¹, 36A¹, 12A⁰, 6E⁰, 4A⁰, 36E⁵, 9A⁰, 12Q¹, 3C⁰, 18G², 3A⁰, 18A¹, 36L⁴</t>
        </is>
      </c>
      <c r="O2060" t="inlineStr">
        <is>
          <t>72Q²¹, 72S²¹, 36K¹⁹, 36A²¹, 72P²¹</t>
        </is>
      </c>
    </row>
    <row r="2061">
      <c r="A2061">
        <f>HYPERLINK("https://mathstats.uncg.edu/sites/pauli/congruence/csg9.html#group36L9", "36L⁹")</f>
        <v/>
      </c>
      <c r="B2061" t="n">
        <v>9</v>
      </c>
      <c r="C2061" t="inlineStr"/>
      <c r="D2061" t="inlineStr">
        <is>
          <t>144</t>
        </is>
      </c>
      <c r="E2061" t="inlineStr">
        <is>
          <t>2</t>
        </is>
      </c>
      <c r="F2061" t="inlineStr">
        <is>
          <t>72</t>
        </is>
      </c>
      <c r="G2061" t="inlineStr">
        <is>
          <t>8</t>
        </is>
      </c>
      <c r="H2061" t="inlineStr">
        <is>
          <t>0</t>
        </is>
      </c>
      <c r="I2061" t="inlineStr">
        <is>
          <t>36⁴</t>
        </is>
      </c>
      <c r="J2061" t="n">
        <v>4</v>
      </c>
      <c r="K2061" t="inlineStr">
        <is>
          <t>4¹², 12⁸</t>
        </is>
      </c>
      <c r="L2061" t="inlineStr">
        <is>
          <t>12Q¹, 18H², 36N⁴</t>
        </is>
      </c>
      <c r="M2061" t="inlineStr">
        <is>
          <t>36L¹⁹, 36B²¹, 72T²¹, 72U²¹, 72V²¹</t>
        </is>
      </c>
      <c r="N2061" t="inlineStr">
        <is>
          <t>12G¹, 36N⁴, 6B⁰, 12A⁰, 18H², 6E⁰, 4A⁰, 12F⁰, 18B¹, 12Q¹, 3C⁰, 3A⁰, 1A⁰</t>
        </is>
      </c>
      <c r="O2061" t="inlineStr">
        <is>
          <t>72V²¹, 36B²¹, 72T²¹, 36L¹⁹, 72U²¹</t>
        </is>
      </c>
    </row>
    <row r="2062">
      <c r="A2062">
        <f>HYPERLINK("https://mathstats.uncg.edu/sites/pauli/congruence/csg9.html#group36M9", "36M⁹")</f>
        <v/>
      </c>
      <c r="B2062" t="n">
        <v>9</v>
      </c>
      <c r="C2062" t="inlineStr"/>
      <c r="D2062" t="inlineStr">
        <is>
          <t>192</t>
        </is>
      </c>
      <c r="E2062" t="inlineStr">
        <is>
          <t>1</t>
        </is>
      </c>
      <c r="F2062" t="inlineStr">
        <is>
          <t>16</t>
        </is>
      </c>
      <c r="G2062" t="inlineStr">
        <is>
          <t>0</t>
        </is>
      </c>
      <c r="H2062" t="inlineStr">
        <is>
          <t>0</t>
        </is>
      </c>
      <c r="I2062" t="inlineStr">
        <is>
          <t>4¹², 36⁴</t>
        </is>
      </c>
      <c r="J2062" t="n">
        <v>16</v>
      </c>
      <c r="K2062" t="inlineStr">
        <is>
          <t>2⁴, 4²</t>
        </is>
      </c>
      <c r="L2062" t="inlineStr">
        <is>
          <t>12R¹, 36A³, 36F⁵</t>
        </is>
      </c>
      <c r="M2062" t="inlineStr"/>
      <c r="N2062" t="inlineStr">
        <is>
          <t>3B⁰, 2A⁰, 12I¹, 4A⁰, 18C¹, 12A¹, 6C⁰, 4D⁰, 9B⁰, 1A⁰, 12R¹, 36B³, 36F⁵, 36A³, 12B⁰</t>
        </is>
      </c>
      <c r="O2062" t="inlineStr"/>
    </row>
    <row r="2063">
      <c r="A2063">
        <f>HYPERLINK("https://mathstats.uncg.edu/sites/pauli/congruence/csg9.html#group36N9", "36N⁹")</f>
        <v/>
      </c>
      <c r="B2063" t="n">
        <v>9</v>
      </c>
      <c r="C2063" t="inlineStr"/>
      <c r="D2063" t="inlineStr">
        <is>
          <t>192</t>
        </is>
      </c>
      <c r="E2063" t="inlineStr">
        <is>
          <t>1</t>
        </is>
      </c>
      <c r="F2063" t="inlineStr">
        <is>
          <t>16</t>
        </is>
      </c>
      <c r="G2063" t="inlineStr">
        <is>
          <t>0</t>
        </is>
      </c>
      <c r="H2063" t="inlineStr">
        <is>
          <t>12</t>
        </is>
      </c>
      <c r="I2063" t="inlineStr">
        <is>
          <t>12⁴, 36⁴</t>
        </is>
      </c>
      <c r="J2063" t="n">
        <v>8</v>
      </c>
      <c r="K2063" t="inlineStr">
        <is>
          <t>2⁴, 4²</t>
        </is>
      </c>
      <c r="L2063" t="inlineStr">
        <is>
          <t>36A⁰, 12R¹, 36G⁵</t>
        </is>
      </c>
      <c r="M2063" t="inlineStr">
        <is>
          <t>72Y²¹</t>
        </is>
      </c>
      <c r="N2063" t="inlineStr">
        <is>
          <t>2A⁰, 3B⁰, 12I¹, 18B⁰, 6C⁰, 9C⁰, 1A⁰, 36G⁵, 36C³, 4A⁰, 4D⁰, 12A¹, 12R¹, 36A⁰, 12B⁰</t>
        </is>
      </c>
      <c r="O2063" t="inlineStr">
        <is>
          <t>72Y²¹</t>
        </is>
      </c>
    </row>
    <row r="2064">
      <c r="A2064">
        <f>HYPERLINK("https://mathstats.uncg.edu/sites/pauli/congruence/csg9.html#group36O9", "36O⁹")</f>
        <v/>
      </c>
      <c r="B2064" t="n">
        <v>9</v>
      </c>
      <c r="C2064" t="inlineStr"/>
      <c r="D2064" t="inlineStr">
        <is>
          <t>216</t>
        </is>
      </c>
      <c r="E2064" t="inlineStr">
        <is>
          <t>1</t>
        </is>
      </c>
      <c r="F2064" t="inlineStr">
        <is>
          <t>9</t>
        </is>
      </c>
      <c r="G2064" t="inlineStr">
        <is>
          <t>24</t>
        </is>
      </c>
      <c r="H2064" t="inlineStr">
        <is>
          <t>0</t>
        </is>
      </c>
      <c r="I2064" t="inlineStr">
        <is>
          <t>18⁴, 36⁴</t>
        </is>
      </c>
      <c r="J2064" t="n">
        <v>8</v>
      </c>
      <c r="K2064" t="inlineStr">
        <is>
          <t>1³, 2³</t>
        </is>
      </c>
      <c r="L2064" t="inlineStr">
        <is>
          <t>12T¹, 18L⁴, 36P⁴, 36R⁴, 36H⁵, 36K⁵</t>
        </is>
      </c>
      <c r="M2064" t="inlineStr">
        <is>
          <t>72AA²¹, 36A²³</t>
        </is>
      </c>
      <c r="N2064" t="inlineStr">
        <is>
          <t>12T¹, 12C⁰, 36E³, 4C⁰, 36B², 36R⁴, 6G⁰, 2B⁰, 12N¹, 1A⁰, 18A⁰, 18L², 3C⁰, 6H⁰, 3A⁰, 18E¹, 6B⁰, 18L⁴, 36K⁵, 36P⁴, 36H⁵, 12L¹, 12G⁰, 9D⁰, 12C¹, 18D⁰, 6E⁰, 6L⁰, 9A⁰, 12D⁰, 12H⁰, 18I², 6D⁰, 36C²</t>
        </is>
      </c>
      <c r="O2064" t="inlineStr">
        <is>
          <t>72AA²¹, 36A²³</t>
        </is>
      </c>
    </row>
    <row r="2065">
      <c r="A2065">
        <f>HYPERLINK("https://mathstats.uncg.edu/sites/pauli/congruence/csg9.html#group36P9", "36P⁹")</f>
        <v/>
      </c>
      <c r="B2065" t="n">
        <v>9</v>
      </c>
      <c r="C2065" t="inlineStr"/>
      <c r="D2065" t="inlineStr">
        <is>
          <t>216</t>
        </is>
      </c>
      <c r="E2065" t="inlineStr">
        <is>
          <t>1</t>
        </is>
      </c>
      <c r="F2065" t="inlineStr">
        <is>
          <t>54</t>
        </is>
      </c>
      <c r="G2065" t="inlineStr">
        <is>
          <t>8</t>
        </is>
      </c>
      <c r="H2065" t="inlineStr">
        <is>
          <t>0</t>
        </is>
      </c>
      <c r="I2065" t="inlineStr">
        <is>
          <t>6⁶, 12⁶, 18², 36²</t>
        </is>
      </c>
      <c r="J2065" t="n">
        <v>16</v>
      </c>
      <c r="K2065" t="inlineStr">
        <is>
          <t>1³, 2³, 3³, 6⁶</t>
        </is>
      </c>
      <c r="L2065" t="inlineStr">
        <is>
          <t>12T¹, 18K³, 36I³, 36I⁵</t>
        </is>
      </c>
      <c r="M2065" t="inlineStr">
        <is>
          <t>36U¹⁹, 36E²¹, 36B²³, 36C²³, 36D²³, 72I²³, 72J²³, 72K²³</t>
        </is>
      </c>
      <c r="N2065" t="inlineStr">
        <is>
          <t>12T¹, 36I⁵, 6B⁰, 12C⁰, 3A⁰, 18I¹, 4C⁰, 6G⁰, 2B⁰, 12N¹, 9E⁰, 1A⁰, 12L¹, 12G⁰, 12C¹, 6E⁰, 6L⁰, 3C⁰, 18K³, 12D⁰, 36I³, 6H⁰, 12H⁰, 18G¹, 18F¹, 6D⁰</t>
        </is>
      </c>
      <c r="O2065" t="inlineStr">
        <is>
          <t>36D²³, 36E²¹, 72J²³, 72K²³, 72I²³, 36U¹⁹, 36C²³, 36B²³</t>
        </is>
      </c>
    </row>
    <row r="2066">
      <c r="A2066">
        <f>HYPERLINK("https://mathstats.uncg.edu/sites/pauli/congruence/csg9.html#group36Q9", "36Q⁹")</f>
        <v/>
      </c>
      <c r="B2066" t="n">
        <v>9</v>
      </c>
      <c r="C2066" t="inlineStr"/>
      <c r="D2066" t="inlineStr">
        <is>
          <t>288</t>
        </is>
      </c>
      <c r="E2066" t="inlineStr">
        <is>
          <t>1</t>
        </is>
      </c>
      <c r="F2066" t="inlineStr">
        <is>
          <t>12</t>
        </is>
      </c>
      <c r="G2066" t="inlineStr">
        <is>
          <t>0</t>
        </is>
      </c>
      <c r="H2066" t="inlineStr">
        <is>
          <t>0</t>
        </is>
      </c>
      <c r="I2066" t="inlineStr">
        <is>
          <t>2¹², 4¹², 18⁴, 36⁴</t>
        </is>
      </c>
      <c r="J2066" t="n">
        <v>32</v>
      </c>
      <c r="K2066" t="inlineStr">
        <is>
          <t>1⁶, 2³</t>
        </is>
      </c>
      <c r="L2066" t="inlineStr">
        <is>
          <t>12V¹, 36J³, 36K³, 36L⁵</t>
        </is>
      </c>
      <c r="M2066" t="inlineStr"/>
      <c r="N2066" t="inlineStr">
        <is>
          <t>3B⁰, 2A⁰, 36L⁵, 36G³, 12V¹, 6I⁰, 12F¹, 6C⁰, 12I⁰, 4C⁰, 12J⁰, 9B⁰, 2B⁰, 4E⁰, 12P¹, 4B⁰, 18J¹, 1A⁰, 18C⁰, 18E⁰, 18C¹, 36K³, 36C¹, 36J³, 6F⁰, 2C⁰, 12E⁰</t>
        </is>
      </c>
      <c r="O2066" t="inlineStr"/>
    </row>
    <row r="2067">
      <c r="A2067">
        <f>HYPERLINK("https://mathstats.uncg.edu/sites/pauli/congruence/csg9.html#group39A9", "39A⁹")</f>
        <v/>
      </c>
      <c r="B2067" t="n">
        <v>9</v>
      </c>
      <c r="C2067" t="inlineStr"/>
      <c r="D2067" t="inlineStr">
        <is>
          <t>168</t>
        </is>
      </c>
      <c r="E2067" t="inlineStr">
        <is>
          <t>1</t>
        </is>
      </c>
      <c r="F2067" t="inlineStr">
        <is>
          <t>42</t>
        </is>
      </c>
      <c r="G2067" t="inlineStr">
        <is>
          <t>8</t>
        </is>
      </c>
      <c r="H2067" t="inlineStr">
        <is>
          <t>0</t>
        </is>
      </c>
      <c r="I2067" t="inlineStr">
        <is>
          <t>3⁴, 39⁴</t>
        </is>
      </c>
      <c r="J2067" t="n">
        <v>8</v>
      </c>
      <c r="K2067" t="inlineStr">
        <is>
          <t>1², 2², 12¹, 24¹</t>
        </is>
      </c>
      <c r="L2067" t="inlineStr">
        <is>
          <t>39A⁴, 39A⁵</t>
        </is>
      </c>
      <c r="M2067" t="inlineStr">
        <is>
          <t>39A¹⁹, 39B²¹, 78A²¹, 78D²³</t>
        </is>
      </c>
      <c r="N2067" t="inlineStr">
        <is>
          <t>13A⁰, 39A², 3C⁰, 39A⁴, 3A⁰, 39A⁵, 1A⁰</t>
        </is>
      </c>
      <c r="O2067" t="inlineStr">
        <is>
          <t>78D²³, 78A²¹, 39B²¹, 39A¹⁹</t>
        </is>
      </c>
    </row>
    <row r="2068">
      <c r="A2068">
        <f>HYPERLINK("https://mathstats.uncg.edu/sites/pauli/congruence/csg9.html#group39B9", "39B⁹")</f>
        <v/>
      </c>
      <c r="B2068" t="n">
        <v>9</v>
      </c>
      <c r="C2068" t="inlineStr"/>
      <c r="D2068" t="inlineStr">
        <is>
          <t>168</t>
        </is>
      </c>
      <c r="E2068" t="inlineStr">
        <is>
          <t>1</t>
        </is>
      </c>
      <c r="F2068" t="inlineStr">
        <is>
          <t>56</t>
        </is>
      </c>
      <c r="G2068" t="inlineStr">
        <is>
          <t>0</t>
        </is>
      </c>
      <c r="H2068" t="inlineStr">
        <is>
          <t>0</t>
        </is>
      </c>
      <c r="I2068" t="inlineStr">
        <is>
          <t>1³, 3³, 13³, 39³</t>
        </is>
      </c>
      <c r="J2068" t="n">
        <v>12</v>
      </c>
      <c r="K2068" t="inlineStr">
        <is>
          <t>1⁴, 2², 12², 24¹</t>
        </is>
      </c>
      <c r="L2068" t="inlineStr">
        <is>
          <t>13C⁰, 39A³</t>
        </is>
      </c>
      <c r="M2068" t="inlineStr">
        <is>
          <t>39A¹⁷, 78A²³, 78B²³</t>
        </is>
      </c>
      <c r="N2068" t="inlineStr">
        <is>
          <t>13A⁰, 3B⁰, 39A³, 13C⁰, 1A⁰</t>
        </is>
      </c>
      <c r="O2068" t="inlineStr">
        <is>
          <t>78B²³, 39A¹⁷, 78A²³</t>
        </is>
      </c>
    </row>
    <row r="2069">
      <c r="A2069">
        <f>HYPERLINK("https://mathstats.uncg.edu/sites/pauli/congruence/csg9.html#group39C9", "39C⁹")</f>
        <v/>
      </c>
      <c r="B2069" t="n">
        <v>9</v>
      </c>
      <c r="C2069" t="inlineStr"/>
      <c r="D2069" t="inlineStr">
        <is>
          <t>224</t>
        </is>
      </c>
      <c r="E2069" t="inlineStr">
        <is>
          <t>1</t>
        </is>
      </c>
      <c r="F2069" t="inlineStr">
        <is>
          <t>56</t>
        </is>
      </c>
      <c r="G2069" t="inlineStr">
        <is>
          <t>0</t>
        </is>
      </c>
      <c r="H2069" t="inlineStr">
        <is>
          <t>8</t>
        </is>
      </c>
      <c r="I2069" t="inlineStr">
        <is>
          <t>1⁴, 3⁴, 13⁴, 39⁴</t>
        </is>
      </c>
      <c r="J2069" t="n">
        <v>16</v>
      </c>
      <c r="K2069" t="inlineStr">
        <is>
          <t>1⁴, 2², 12², 24¹</t>
        </is>
      </c>
      <c r="L2069" t="inlineStr">
        <is>
          <t>39B⁵</t>
        </is>
      </c>
      <c r="M2069" t="inlineStr"/>
      <c r="N2069" t="inlineStr">
        <is>
          <t>13A⁰, 3B⁰, 39A³, 13B⁰, 1A⁰, 39B⁵</t>
        </is>
      </c>
      <c r="O2069" t="inlineStr"/>
    </row>
    <row r="2070">
      <c r="A2070">
        <f>HYPERLINK("https://mathstats.uncg.edu/sites/pauli/congruence/csg9.html#group40A9", "40A⁹")</f>
        <v/>
      </c>
      <c r="B2070" t="n">
        <v>9</v>
      </c>
      <c r="C2070" t="inlineStr"/>
      <c r="D2070" t="inlineStr">
        <is>
          <t>120</t>
        </is>
      </c>
      <c r="E2070" t="inlineStr">
        <is>
          <t>1</t>
        </is>
      </c>
      <c r="F2070" t="inlineStr">
        <is>
          <t>15</t>
        </is>
      </c>
      <c r="G2070" t="inlineStr">
        <is>
          <t>0</t>
        </is>
      </c>
      <c r="H2070" t="inlineStr">
        <is>
          <t>0</t>
        </is>
      </c>
      <c r="I2070" t="inlineStr">
        <is>
          <t>20², 40²</t>
        </is>
      </c>
      <c r="J2070" t="n">
        <v>4</v>
      </c>
      <c r="K2070" t="inlineStr">
        <is>
          <t>1³, 4³</t>
        </is>
      </c>
      <c r="L2070" t="inlineStr">
        <is>
          <t>8B¹, 20A⁴, 40A⁴, 40A⁵</t>
        </is>
      </c>
      <c r="M2070" t="inlineStr">
        <is>
          <t>40A¹⁷, 40G¹⁷, 80A¹⁹, 80B¹⁹, 80F¹⁹</t>
        </is>
      </c>
      <c r="N2070" t="inlineStr">
        <is>
          <t>20A², 2A⁰, 5A⁰, 40A⁴, 8A¹, 10B¹, 20B², 4C⁰, 8B⁰, 2B⁰, 8B¹, 4E⁰, 10B², 4B⁰, 1A⁰, 10A⁰, 20A⁴, 40A⁵, 2C⁰</t>
        </is>
      </c>
      <c r="O2070" t="inlineStr">
        <is>
          <t>40A¹⁷, 80F¹⁹, 80B¹⁹, 80A¹⁹, 40G¹⁷</t>
        </is>
      </c>
    </row>
    <row r="2071">
      <c r="A2071">
        <f>HYPERLINK("https://mathstats.uncg.edu/sites/pauli/congruence/csg9.html#group40B9", "40B⁹")</f>
        <v/>
      </c>
      <c r="B2071" t="n">
        <v>9</v>
      </c>
      <c r="C2071" t="inlineStr"/>
      <c r="D2071" t="inlineStr">
        <is>
          <t>120</t>
        </is>
      </c>
      <c r="E2071" t="inlineStr">
        <is>
          <t>1</t>
        </is>
      </c>
      <c r="F2071" t="inlineStr">
        <is>
          <t>30</t>
        </is>
      </c>
      <c r="G2071" t="inlineStr">
        <is>
          <t>0</t>
        </is>
      </c>
      <c r="H2071" t="inlineStr">
        <is>
          <t>0</t>
        </is>
      </c>
      <c r="I2071" t="inlineStr">
        <is>
          <t>20², 40²</t>
        </is>
      </c>
      <c r="J2071" t="n">
        <v>4</v>
      </c>
      <c r="K2071" t="inlineStr">
        <is>
          <t>1², 2², 4², 8²</t>
        </is>
      </c>
      <c r="L2071" t="inlineStr">
        <is>
          <t>8C¹, 20C⁴, 40C⁴, 40A⁵</t>
        </is>
      </c>
      <c r="M2071" t="inlineStr">
        <is>
          <t>40A¹⁷, 40C¹⁸, 80B¹⁸, 80G¹⁹</t>
        </is>
      </c>
      <c r="N2071" t="inlineStr">
        <is>
          <t>5A⁰, 8A¹, 8D⁰, 10B¹, 20B², 4C⁰, 20A¹, 20C⁴, 2B⁰, 1A⁰, 40C⁴, 8C¹, 4A⁰, 4F⁰, 40A⁵</t>
        </is>
      </c>
      <c r="O2071" t="inlineStr">
        <is>
          <t>40A¹⁷, 80G¹⁹, 80B¹⁸, 40C¹⁸</t>
        </is>
      </c>
    </row>
    <row r="2072">
      <c r="A2072">
        <f>HYPERLINK("https://mathstats.uncg.edu/sites/pauli/congruence/csg9.html#group40C9", "40C⁹")</f>
        <v/>
      </c>
      <c r="B2072" t="n">
        <v>9</v>
      </c>
      <c r="C2072" t="inlineStr"/>
      <c r="D2072" t="inlineStr">
        <is>
          <t>120</t>
        </is>
      </c>
      <c r="E2072" t="inlineStr">
        <is>
          <t>1</t>
        </is>
      </c>
      <c r="F2072" t="inlineStr">
        <is>
          <t>30</t>
        </is>
      </c>
      <c r="G2072" t="inlineStr">
        <is>
          <t>0</t>
        </is>
      </c>
      <c r="H2072" t="inlineStr">
        <is>
          <t>0</t>
        </is>
      </c>
      <c r="I2072" t="inlineStr">
        <is>
          <t>20², 40²</t>
        </is>
      </c>
      <c r="J2072" t="n">
        <v>4</v>
      </c>
      <c r="K2072" t="inlineStr">
        <is>
          <t>2³, 4⁶</t>
        </is>
      </c>
      <c r="L2072" t="inlineStr">
        <is>
          <t>20F³</t>
        </is>
      </c>
      <c r="M2072" t="inlineStr">
        <is>
          <t>40B¹⁷, 40C¹⁷, 40E¹⁷, 40L¹⁷, 40K¹⁷</t>
        </is>
      </c>
      <c r="N2072" t="inlineStr">
        <is>
          <t>1A⁰, 2B⁰, 5C⁰, 20F³, 4C⁰, 10F¹</t>
        </is>
      </c>
      <c r="O2072" t="inlineStr">
        <is>
          <t>40L¹⁷, 40E¹⁷, 40K¹⁷, 40B¹⁷, 40C¹⁷</t>
        </is>
      </c>
    </row>
    <row r="2073">
      <c r="A2073">
        <f>HYPERLINK("https://mathstats.uncg.edu/sites/pauli/congruence/csg9.html#group40D9", "40D⁹")</f>
        <v/>
      </c>
      <c r="B2073" t="n">
        <v>9</v>
      </c>
      <c r="C2073" t="inlineStr"/>
      <c r="D2073" t="inlineStr">
        <is>
          <t>120</t>
        </is>
      </c>
      <c r="E2073" t="inlineStr">
        <is>
          <t>1</t>
        </is>
      </c>
      <c r="F2073" t="inlineStr">
        <is>
          <t>30</t>
        </is>
      </c>
      <c r="G2073" t="inlineStr">
        <is>
          <t>0</t>
        </is>
      </c>
      <c r="H2073" t="inlineStr">
        <is>
          <t>0</t>
        </is>
      </c>
      <c r="I2073" t="inlineStr">
        <is>
          <t>20², 40²</t>
        </is>
      </c>
      <c r="J2073" t="n">
        <v>4</v>
      </c>
      <c r="K2073" t="inlineStr">
        <is>
          <t>2³, 4⁶</t>
        </is>
      </c>
      <c r="L2073" t="inlineStr">
        <is>
          <t>8A¹, 20F³</t>
        </is>
      </c>
      <c r="M2073" t="inlineStr">
        <is>
          <t>40B¹⁷, 40D¹⁷, 40F¹⁷, 40J¹⁷, 40M¹⁷, 80I¹⁹, 80J¹⁹</t>
        </is>
      </c>
      <c r="N2073" t="inlineStr">
        <is>
          <t>1A⁰, 2B⁰, 8A¹, 5C⁰, 20F³, 4C⁰, 10F¹</t>
        </is>
      </c>
      <c r="O2073" t="inlineStr">
        <is>
          <t>80J¹⁹, 40F¹⁷, 40M¹⁷, 40B¹⁷, 80I¹⁹, 40J¹⁷, 40D¹⁷</t>
        </is>
      </c>
    </row>
    <row r="2074">
      <c r="A2074">
        <f>HYPERLINK("https://mathstats.uncg.edu/sites/pauli/congruence/csg9.html#group40E9", "40E⁹")</f>
        <v/>
      </c>
      <c r="B2074" t="n">
        <v>9</v>
      </c>
      <c r="C2074" t="inlineStr"/>
      <c r="D2074" t="inlineStr">
        <is>
          <t>120</t>
        </is>
      </c>
      <c r="E2074" t="inlineStr">
        <is>
          <t>1</t>
        </is>
      </c>
      <c r="F2074" t="inlineStr">
        <is>
          <t>60</t>
        </is>
      </c>
      <c r="G2074" t="inlineStr">
        <is>
          <t>2</t>
        </is>
      </c>
      <c r="H2074" t="inlineStr">
        <is>
          <t>0</t>
        </is>
      </c>
      <c r="I2074" t="inlineStr">
        <is>
          <t>40³</t>
        </is>
      </c>
      <c r="J2074" t="n">
        <v>3</v>
      </c>
      <c r="K2074" t="inlineStr">
        <is>
          <t>2², 4², 8², 16²</t>
        </is>
      </c>
      <c r="L2074" t="inlineStr">
        <is>
          <t>8D¹, 40A², 20C⁴</t>
        </is>
      </c>
      <c r="M2074" t="inlineStr">
        <is>
          <t>40N¹⁷, 40A¹⁸, 40C¹⁸, 80K¹⁹</t>
        </is>
      </c>
      <c r="N2074" t="inlineStr">
        <is>
          <t>5A⁰, 4A⁰, 10B¹, 20B², 4C⁰, 8A⁰, 20A¹, 20C⁴, 1A⁰, 2B⁰, 4F⁰, 40A², 8D¹</t>
        </is>
      </c>
      <c r="O2074" t="inlineStr">
        <is>
          <t>80K¹⁹, 40N¹⁷, 40C¹⁸, 40A¹⁸</t>
        </is>
      </c>
    </row>
    <row r="2075">
      <c r="A2075">
        <f>HYPERLINK("https://mathstats.uncg.edu/sites/pauli/congruence/csg9.html#group40F9", "40F⁹")</f>
        <v/>
      </c>
      <c r="B2075" t="n">
        <v>9</v>
      </c>
      <c r="C2075" t="inlineStr"/>
      <c r="D2075" t="inlineStr">
        <is>
          <t>144</t>
        </is>
      </c>
      <c r="E2075" t="inlineStr">
        <is>
          <t>1</t>
        </is>
      </c>
      <c r="F2075" t="inlineStr">
        <is>
          <t>18</t>
        </is>
      </c>
      <c r="G2075" t="inlineStr">
        <is>
          <t>0</t>
        </is>
      </c>
      <c r="H2075" t="inlineStr">
        <is>
          <t>0</t>
        </is>
      </c>
      <c r="I2075" t="inlineStr">
        <is>
          <t>4², 8², 20², 40²</t>
        </is>
      </c>
      <c r="J2075" t="n">
        <v>8</v>
      </c>
      <c r="K2075" t="inlineStr">
        <is>
          <t>1⁶, 4³</t>
        </is>
      </c>
      <c r="L2075" t="inlineStr">
        <is>
          <t>20I¹, 40B⁵, 40C⁵</t>
        </is>
      </c>
      <c r="M2075" t="inlineStr">
        <is>
          <t>40Y¹⁷, 40Z¹⁷, 40AC¹⁷, 40AQ¹⁷, 80U²¹, 80Y²¹</t>
        </is>
      </c>
      <c r="N2075" t="inlineStr">
        <is>
          <t>20E¹, 20A⁰, 10G⁰, 8A¹, 20I¹, 4C⁰, 40C⁵, 5B⁰, 10C⁰, 40B⁵, 2B⁰, 1A⁰, 10B⁰</t>
        </is>
      </c>
      <c r="O2075" t="inlineStr">
        <is>
          <t>40AC¹⁷, 80Y²¹, 40AQ¹⁷, 40Y¹⁷, 80U²¹, 40Z¹⁷</t>
        </is>
      </c>
    </row>
    <row r="2076">
      <c r="A2076">
        <f>HYPERLINK("https://mathstats.uncg.edu/sites/pauli/congruence/csg9.html#group40G9", "40G⁹")</f>
        <v/>
      </c>
      <c r="B2076" t="n">
        <v>9</v>
      </c>
      <c r="C2076" t="inlineStr"/>
      <c r="D2076" t="inlineStr">
        <is>
          <t>144</t>
        </is>
      </c>
      <c r="E2076" t="inlineStr">
        <is>
          <t>1</t>
        </is>
      </c>
      <c r="F2076" t="inlineStr">
        <is>
          <t>18</t>
        </is>
      </c>
      <c r="G2076" t="inlineStr">
        <is>
          <t>0</t>
        </is>
      </c>
      <c r="H2076" t="inlineStr">
        <is>
          <t>0</t>
        </is>
      </c>
      <c r="I2076" t="inlineStr">
        <is>
          <t>4², 8², 20², 40²</t>
        </is>
      </c>
      <c r="J2076" t="n">
        <v>8</v>
      </c>
      <c r="K2076" t="inlineStr">
        <is>
          <t>1⁶, 4³</t>
        </is>
      </c>
      <c r="L2076" t="inlineStr">
        <is>
          <t>20G³, 40C³, 40C⁵</t>
        </is>
      </c>
      <c r="M2076" t="inlineStr">
        <is>
          <t>40Y¹⁷, 40AB¹⁷, 40AF¹⁷, 80A²¹, 80B²¹, 80J²¹, 80Z²¹</t>
        </is>
      </c>
      <c r="N2076" t="inlineStr">
        <is>
          <t>40C³, 20E¹, 20C², 8A¹, 20G³, 4C⁰, 40C⁵, 5B⁰, 10C⁰, 5D⁰, 2B⁰, 1A⁰, 10F⁰</t>
        </is>
      </c>
      <c r="O2076" t="inlineStr">
        <is>
          <t>80Z²¹, 40AB¹⁷, 80B²¹, 40Y¹⁷, 80J²¹, 80A²¹, 40AF¹⁷</t>
        </is>
      </c>
    </row>
    <row r="2077">
      <c r="A2077">
        <f>HYPERLINK("https://mathstats.uncg.edu/sites/pauli/congruence/csg9.html#group40H9", "40H⁹")</f>
        <v/>
      </c>
      <c r="B2077" t="n">
        <v>9</v>
      </c>
      <c r="C2077" t="inlineStr"/>
      <c r="D2077" t="inlineStr">
        <is>
          <t>144</t>
        </is>
      </c>
      <c r="E2077" t="inlineStr">
        <is>
          <t>1</t>
        </is>
      </c>
      <c r="F2077" t="inlineStr">
        <is>
          <t>18</t>
        </is>
      </c>
      <c r="G2077" t="inlineStr">
        <is>
          <t>0</t>
        </is>
      </c>
      <c r="H2077" t="inlineStr">
        <is>
          <t>0</t>
        </is>
      </c>
      <c r="I2077" t="inlineStr">
        <is>
          <t>4², 8², 20², 40²</t>
        </is>
      </c>
      <c r="J2077" t="n">
        <v>8</v>
      </c>
      <c r="K2077" t="inlineStr">
        <is>
          <t>1⁶, 4³</t>
        </is>
      </c>
      <c r="L2077" t="inlineStr">
        <is>
          <t>20G³, 40D³, 40B⁵</t>
        </is>
      </c>
      <c r="M2077" t="inlineStr">
        <is>
          <t>40Y¹⁷, 40AA¹⁷, 40AG¹⁷, 80H²¹, 80F²¹, 80N²¹, 80AA²¹</t>
        </is>
      </c>
      <c r="N2077" t="inlineStr">
        <is>
          <t>20E¹, 20C², 20G³, 4C⁰, 8B⁰, 5B⁰, 10C⁰, 1A⁰, 40B⁵, 2B⁰, 5D⁰, 40D³, 10F⁰</t>
        </is>
      </c>
      <c r="O2077" t="inlineStr">
        <is>
          <t>80N²¹, 40AG¹⁷, 40Y¹⁷, 80F²¹, 40AA¹⁷, 80H²¹, 80AA²¹</t>
        </is>
      </c>
    </row>
    <row r="2078">
      <c r="A2078">
        <f>HYPERLINK("https://mathstats.uncg.edu/sites/pauli/congruence/csg9.html#group40I9", "40I⁹")</f>
        <v/>
      </c>
      <c r="B2078" t="n">
        <v>9</v>
      </c>
      <c r="C2078" t="inlineStr"/>
      <c r="D2078" t="inlineStr">
        <is>
          <t>144</t>
        </is>
      </c>
      <c r="E2078" t="inlineStr">
        <is>
          <t>1</t>
        </is>
      </c>
      <c r="F2078" t="inlineStr">
        <is>
          <t>18</t>
        </is>
      </c>
      <c r="G2078" t="inlineStr">
        <is>
          <t>0</t>
        </is>
      </c>
      <c r="H2078" t="inlineStr">
        <is>
          <t>0</t>
        </is>
      </c>
      <c r="I2078" t="inlineStr">
        <is>
          <t>4², 8², 20², 40²</t>
        </is>
      </c>
      <c r="J2078" t="n">
        <v>8</v>
      </c>
      <c r="K2078" t="inlineStr">
        <is>
          <t>1⁶, 4³</t>
        </is>
      </c>
      <c r="L2078" t="inlineStr">
        <is>
          <t>20J³, 40C³, 40B⁵</t>
        </is>
      </c>
      <c r="M2078" t="inlineStr">
        <is>
          <t>40U¹⁷, 40W¹⁷, 40Y¹⁷, 40AH¹⁷, 80R²¹, 80AC²¹, 80AD²¹</t>
        </is>
      </c>
      <c r="N2078" t="inlineStr">
        <is>
          <t>20E¹, 2A⁰, 4C⁰, 5B⁰, 10A¹, 40B⁵, 2B⁰, 20D¹, 4E⁰, 4B⁰, 1A⁰, 40C³, 10C⁰, 20J³, 2C⁰, 10G¹</t>
        </is>
      </c>
      <c r="O2078" t="inlineStr">
        <is>
          <t>40AH¹⁷, 80AD²¹, 40U¹⁷, 80AC²¹, 40Y¹⁷, 80R²¹, 40W¹⁷</t>
        </is>
      </c>
    </row>
    <row r="2079">
      <c r="A2079">
        <f>HYPERLINK("https://mathstats.uncg.edu/sites/pauli/congruence/csg9.html#group40J9", "40J⁹")</f>
        <v/>
      </c>
      <c r="B2079" t="n">
        <v>9</v>
      </c>
      <c r="C2079" t="inlineStr"/>
      <c r="D2079" t="inlineStr">
        <is>
          <t>144</t>
        </is>
      </c>
      <c r="E2079" t="inlineStr">
        <is>
          <t>1</t>
        </is>
      </c>
      <c r="F2079" t="inlineStr">
        <is>
          <t>18</t>
        </is>
      </c>
      <c r="G2079" t="inlineStr">
        <is>
          <t>0</t>
        </is>
      </c>
      <c r="H2079" t="inlineStr">
        <is>
          <t>0</t>
        </is>
      </c>
      <c r="I2079" t="inlineStr">
        <is>
          <t>4², 8², 20², 40²</t>
        </is>
      </c>
      <c r="J2079" t="n">
        <v>8</v>
      </c>
      <c r="K2079" t="inlineStr">
        <is>
          <t>1⁶, 4³</t>
        </is>
      </c>
      <c r="L2079" t="inlineStr">
        <is>
          <t>8B¹, 20J³, 40D³, 40C⁵</t>
        </is>
      </c>
      <c r="M2079" t="inlineStr">
        <is>
          <t>40V¹⁷, 40X¹⁷, 40Y¹⁷, 40AD¹⁷, 40AE¹⁷, 80C²¹, 80D²¹, 80G²¹, 80I²¹, 80P²¹, 80Q²¹</t>
        </is>
      </c>
      <c r="N2079" t="inlineStr">
        <is>
          <t>20E¹, 2A⁰, 8A¹, 4C⁰, 40C⁵, 5B⁰, 10A¹, 8B⁰, 2B⁰, 8B¹, 20D¹, 4E⁰, 4B⁰, 1A⁰, 20J³, 10C⁰, 40D³, 2C⁰, 10G¹</t>
        </is>
      </c>
      <c r="O2079" t="inlineStr">
        <is>
          <t>40AD¹⁷, 80P²¹, 80I²¹, 40V¹⁷, 40X¹⁷, 80C²¹, 80D²¹, 40Y¹⁷, 40AE¹⁷, 80Q²¹, 80G²¹</t>
        </is>
      </c>
    </row>
    <row r="2080">
      <c r="A2080">
        <f>HYPERLINK("https://mathstats.uncg.edu/sites/pauli/congruence/csg9.html#group40K9", "40K⁹")</f>
        <v/>
      </c>
      <c r="B2080" t="n">
        <v>9</v>
      </c>
      <c r="C2080" t="inlineStr"/>
      <c r="D2080" t="inlineStr">
        <is>
          <t>144</t>
        </is>
      </c>
      <c r="E2080" t="inlineStr">
        <is>
          <t>1</t>
        </is>
      </c>
      <c r="F2080" t="inlineStr">
        <is>
          <t>36</t>
        </is>
      </c>
      <c r="G2080" t="inlineStr">
        <is>
          <t>0</t>
        </is>
      </c>
      <c r="H2080" t="inlineStr">
        <is>
          <t>0</t>
        </is>
      </c>
      <c r="I2080" t="inlineStr">
        <is>
          <t>4², 8², 20², 40²</t>
        </is>
      </c>
      <c r="J2080" t="n">
        <v>8</v>
      </c>
      <c r="K2080" t="inlineStr">
        <is>
          <t>2⁶, 8³</t>
        </is>
      </c>
      <c r="L2080" t="inlineStr">
        <is>
          <t>20I³</t>
        </is>
      </c>
      <c r="M2080" t="inlineStr">
        <is>
          <t>40T¹⁷, 40AR¹⁷</t>
        </is>
      </c>
      <c r="N2080" t="inlineStr">
        <is>
          <t>2A⁰, 20A⁰, 5B⁰, 10C⁰, 10A¹, 2B⁰, 20I³, 1A⁰, 2C⁰, 20C², 10G¹</t>
        </is>
      </c>
      <c r="O2080" t="inlineStr">
        <is>
          <t>40T¹⁷, 40AR¹⁷</t>
        </is>
      </c>
    </row>
    <row r="2081">
      <c r="A2081">
        <f>HYPERLINK("https://mathstats.uncg.edu/sites/pauli/congruence/csg9.html#group40L9", "40L⁹")</f>
        <v/>
      </c>
      <c r="B2081" t="n">
        <v>9</v>
      </c>
      <c r="C2081" t="inlineStr"/>
      <c r="D2081" t="inlineStr">
        <is>
          <t>144</t>
        </is>
      </c>
      <c r="E2081" t="inlineStr">
        <is>
          <t>1</t>
        </is>
      </c>
      <c r="F2081" t="inlineStr">
        <is>
          <t>36</t>
        </is>
      </c>
      <c r="G2081" t="inlineStr">
        <is>
          <t>0</t>
        </is>
      </c>
      <c r="H2081" t="inlineStr">
        <is>
          <t>0</t>
        </is>
      </c>
      <c r="I2081" t="inlineStr">
        <is>
          <t>4², 8², 20², 40²</t>
        </is>
      </c>
      <c r="J2081" t="n">
        <v>8</v>
      </c>
      <c r="K2081" t="inlineStr">
        <is>
          <t>1⁴, 2⁴, 4², 8²</t>
        </is>
      </c>
      <c r="L2081" t="inlineStr">
        <is>
          <t>20H³</t>
        </is>
      </c>
      <c r="M2081" t="inlineStr">
        <is>
          <t>40T¹⁷, 40AS¹⁷</t>
        </is>
      </c>
      <c r="N2081" t="inlineStr">
        <is>
          <t>20C², 10G⁰, 5B⁰, 10C⁰, 20D¹, 2B⁰, 4B⁰, 1A⁰, 20H³, 10B⁰</t>
        </is>
      </c>
      <c r="O2081" t="inlineStr">
        <is>
          <t>40T¹⁷, 40AS¹⁷</t>
        </is>
      </c>
    </row>
    <row r="2082">
      <c r="A2082">
        <f>HYPERLINK("https://mathstats.uncg.edu/sites/pauli/congruence/csg9.html#group40M9", "40M⁹")</f>
        <v/>
      </c>
      <c r="B2082" t="n">
        <v>9</v>
      </c>
      <c r="C2082" t="inlineStr"/>
      <c r="D2082" t="inlineStr">
        <is>
          <t>144</t>
        </is>
      </c>
      <c r="E2082" t="inlineStr">
        <is>
          <t>1</t>
        </is>
      </c>
      <c r="F2082" t="inlineStr">
        <is>
          <t>36</t>
        </is>
      </c>
      <c r="G2082" t="inlineStr">
        <is>
          <t>0</t>
        </is>
      </c>
      <c r="H2082" t="inlineStr">
        <is>
          <t>0</t>
        </is>
      </c>
      <c r="I2082" t="inlineStr">
        <is>
          <t>4², 8², 20², 40²</t>
        </is>
      </c>
      <c r="J2082" t="n">
        <v>8</v>
      </c>
      <c r="K2082" t="inlineStr">
        <is>
          <t>1⁴, 2⁴, 4², 8²</t>
        </is>
      </c>
      <c r="L2082" t="inlineStr">
        <is>
          <t>20K³, 40G³, 40C⁵</t>
        </is>
      </c>
      <c r="M2082" t="inlineStr">
        <is>
          <t>40V¹⁷, 40Z¹⁷, 40AB¹⁷, 80AE²¹</t>
        </is>
      </c>
      <c r="N2082" t="inlineStr">
        <is>
          <t>20E¹, 8A¹, 4C⁰, 40C⁵, 5B⁰, 10C⁰, 2B⁰, 20K³, 1A⁰, 40G³</t>
        </is>
      </c>
      <c r="O2082" t="inlineStr">
        <is>
          <t>40AB¹⁷, 80AE²¹, 40Z¹⁷, 40V¹⁷</t>
        </is>
      </c>
    </row>
    <row r="2083">
      <c r="A2083">
        <f>HYPERLINK("https://mathstats.uncg.edu/sites/pauli/congruence/csg9.html#group40N9", "40N⁹")</f>
        <v/>
      </c>
      <c r="B2083" t="n">
        <v>9</v>
      </c>
      <c r="C2083" t="inlineStr"/>
      <c r="D2083" t="inlineStr">
        <is>
          <t>144</t>
        </is>
      </c>
      <c r="E2083" t="inlineStr">
        <is>
          <t>1</t>
        </is>
      </c>
      <c r="F2083" t="inlineStr">
        <is>
          <t>36</t>
        </is>
      </c>
      <c r="G2083" t="inlineStr">
        <is>
          <t>0</t>
        </is>
      </c>
      <c r="H2083" t="inlineStr">
        <is>
          <t>0</t>
        </is>
      </c>
      <c r="I2083" t="inlineStr">
        <is>
          <t>4², 8², 20², 40²</t>
        </is>
      </c>
      <c r="J2083" t="n">
        <v>8</v>
      </c>
      <c r="K2083" t="inlineStr">
        <is>
          <t>1⁴, 2⁴, 4², 8²</t>
        </is>
      </c>
      <c r="L2083" t="inlineStr">
        <is>
          <t>20K³, 40H³, 40B⁵</t>
        </is>
      </c>
      <c r="M2083" t="inlineStr">
        <is>
          <t>40W¹⁷, 40Z¹⁷, 40AA¹⁷, 80R¹⁹, 80P¹⁹</t>
        </is>
      </c>
      <c r="N2083" t="inlineStr">
        <is>
          <t>20E¹, 40H³, 8D⁰, 4C⁰, 5B⁰, 10C⁰, 40B⁵, 2B⁰, 20K³, 1A⁰</t>
        </is>
      </c>
      <c r="O2083" t="inlineStr">
        <is>
          <t>80R¹⁹, 40AA¹⁷, 80P¹⁹, 40W¹⁷, 40Z¹⁷</t>
        </is>
      </c>
    </row>
    <row r="2084">
      <c r="A2084">
        <f>HYPERLINK("https://mathstats.uncg.edu/sites/pauli/congruence/csg9.html#group40O9", "40O⁹")</f>
        <v/>
      </c>
      <c r="B2084" t="n">
        <v>9</v>
      </c>
      <c r="C2084" t="inlineStr"/>
      <c r="D2084" t="inlineStr">
        <is>
          <t>144</t>
        </is>
      </c>
      <c r="E2084" t="inlineStr">
        <is>
          <t>1</t>
        </is>
      </c>
      <c r="F2084" t="inlineStr">
        <is>
          <t>36</t>
        </is>
      </c>
      <c r="G2084" t="inlineStr">
        <is>
          <t>0</t>
        </is>
      </c>
      <c r="H2084" t="inlineStr">
        <is>
          <t>0</t>
        </is>
      </c>
      <c r="I2084" t="inlineStr">
        <is>
          <t>4², 8², 20², 40²</t>
        </is>
      </c>
      <c r="J2084" t="n">
        <v>8</v>
      </c>
      <c r="K2084" t="inlineStr">
        <is>
          <t>1⁴, 2⁴, 4², 8²</t>
        </is>
      </c>
      <c r="L2084" t="inlineStr">
        <is>
          <t>20L³, 40G³, 40B⁵</t>
        </is>
      </c>
      <c r="M2084" t="inlineStr">
        <is>
          <t>40U¹⁷, 40Z¹⁷, 40AA¹⁷, 40F¹⁹, 40D¹⁹</t>
        </is>
      </c>
      <c r="N2084" t="inlineStr">
        <is>
          <t>20E¹, 4A⁰, 4C⁰, 5B⁰, 10C⁰, 1A⁰, 40B⁵, 2B⁰, 4F⁰, 20L³, 20B¹, 40G³</t>
        </is>
      </c>
      <c r="O2084" t="inlineStr">
        <is>
          <t>40U¹⁷, 40F¹⁹, 40AA¹⁷, 40Z¹⁷, 40D¹⁹</t>
        </is>
      </c>
    </row>
    <row r="2085">
      <c r="A2085">
        <f>HYPERLINK("https://mathstats.uncg.edu/sites/pauli/congruence/csg9.html#group40P9", "40P⁹")</f>
        <v/>
      </c>
      <c r="B2085" t="n">
        <v>9</v>
      </c>
      <c r="C2085" t="inlineStr"/>
      <c r="D2085" t="inlineStr">
        <is>
          <t>144</t>
        </is>
      </c>
      <c r="E2085" t="inlineStr">
        <is>
          <t>1</t>
        </is>
      </c>
      <c r="F2085" t="inlineStr">
        <is>
          <t>36</t>
        </is>
      </c>
      <c r="G2085" t="inlineStr">
        <is>
          <t>0</t>
        </is>
      </c>
      <c r="H2085" t="inlineStr">
        <is>
          <t>0</t>
        </is>
      </c>
      <c r="I2085" t="inlineStr">
        <is>
          <t>4², 8², 20², 40²</t>
        </is>
      </c>
      <c r="J2085" t="n">
        <v>8</v>
      </c>
      <c r="K2085" t="inlineStr">
        <is>
          <t>1⁴, 2⁴, 4², 8²</t>
        </is>
      </c>
      <c r="L2085" t="inlineStr">
        <is>
          <t>8C¹, 20L³, 40H³, 40C⁵</t>
        </is>
      </c>
      <c r="M2085" t="inlineStr">
        <is>
          <t>40X¹⁷, 40Z¹⁷, 40AB¹⁷, 40E¹⁹, 40G¹⁹, 80Q¹⁹, 80S¹⁹, 80S²¹, 80T²¹</t>
        </is>
      </c>
      <c r="N2085" t="inlineStr">
        <is>
          <t>20E¹, 8A¹, 40H³, 8D⁰, 4C⁰, 40C⁵, 5B⁰, 2B⁰, 1A⁰, 20B¹, 8C¹, 4A⁰, 10C⁰, 4F⁰, 20L³</t>
        </is>
      </c>
      <c r="O2085" t="inlineStr">
        <is>
          <t>40E¹⁹, 40AB¹⁷, 80S¹⁹, 40G¹⁹, 40Z¹⁷, 40X¹⁷, 80Q¹⁹, 80T²¹, 80S²¹</t>
        </is>
      </c>
    </row>
    <row r="2086">
      <c r="A2086">
        <f>HYPERLINK("https://mathstats.uncg.edu/sites/pauli/congruence/csg9.html#group40Q9", "40Q⁹")</f>
        <v/>
      </c>
      <c r="B2086" t="n">
        <v>9</v>
      </c>
      <c r="C2086" t="inlineStr"/>
      <c r="D2086" t="inlineStr">
        <is>
          <t>144</t>
        </is>
      </c>
      <c r="E2086" t="inlineStr">
        <is>
          <t>1</t>
        </is>
      </c>
      <c r="F2086" t="inlineStr">
        <is>
          <t>72</t>
        </is>
      </c>
      <c r="G2086" t="inlineStr">
        <is>
          <t>4</t>
        </is>
      </c>
      <c r="H2086" t="inlineStr">
        <is>
          <t>0</t>
        </is>
      </c>
      <c r="I2086" t="inlineStr">
        <is>
          <t>8³, 40³</t>
        </is>
      </c>
      <c r="J2086" t="n">
        <v>6</v>
      </c>
      <c r="K2086" t="inlineStr">
        <is>
          <t>2⁴, 4⁴, 8², 16²</t>
        </is>
      </c>
      <c r="L2086" t="inlineStr">
        <is>
          <t>20L³, 40A³</t>
        </is>
      </c>
      <c r="M2086" t="inlineStr">
        <is>
          <t>40AK¹⁷, 40AL¹⁷, 40AN¹⁷, 40A¹⁹, 40F¹⁹, 40E¹⁹, 40H¹⁹</t>
        </is>
      </c>
      <c r="N2086" t="inlineStr">
        <is>
          <t>20E¹, 40A³, 4A⁰, 4C⁰, 5B⁰, 10C⁰, 1A⁰, 2B⁰, 4F⁰, 20L³, 20B¹</t>
        </is>
      </c>
      <c r="O2086" t="inlineStr">
        <is>
          <t>40E¹⁹, 40AL¹⁷, 40F¹⁹, 40AK¹⁷, 40A¹⁹, 40H¹⁹, 40AN¹⁷</t>
        </is>
      </c>
    </row>
    <row r="2087">
      <c r="A2087">
        <f>HYPERLINK("https://mathstats.uncg.edu/sites/pauli/congruence/csg9.html#group40R9", "40R⁹")</f>
        <v/>
      </c>
      <c r="B2087" t="n">
        <v>9</v>
      </c>
      <c r="C2087" t="inlineStr"/>
      <c r="D2087" t="inlineStr">
        <is>
          <t>144</t>
        </is>
      </c>
      <c r="E2087" t="inlineStr">
        <is>
          <t>1</t>
        </is>
      </c>
      <c r="F2087" t="inlineStr">
        <is>
          <t>72</t>
        </is>
      </c>
      <c r="G2087" t="inlineStr">
        <is>
          <t>4</t>
        </is>
      </c>
      <c r="H2087" t="inlineStr">
        <is>
          <t>0</t>
        </is>
      </c>
      <c r="I2087" t="inlineStr">
        <is>
          <t>8³, 40³</t>
        </is>
      </c>
      <c r="J2087" t="n">
        <v>6</v>
      </c>
      <c r="K2087" t="inlineStr">
        <is>
          <t>2⁴, 4⁴, 8², 16²</t>
        </is>
      </c>
      <c r="L2087" t="inlineStr">
        <is>
          <t>8D¹, 20L³, 40B³</t>
        </is>
      </c>
      <c r="M2087" t="inlineStr">
        <is>
          <t>40AJ¹⁷, 40AM¹⁷, 40AN¹⁷, 40B¹⁹, 40D¹⁹, 40G¹⁹, 40H¹⁹, 80AF²¹, 80AG²¹</t>
        </is>
      </c>
      <c r="N2087" t="inlineStr">
        <is>
          <t>20E¹, 4A⁰, 40B³, 4C⁰, 5B⁰, 10C⁰, 8A⁰, 1A⁰, 2B⁰, 4F⁰, 20L³, 8D¹, 20B¹</t>
        </is>
      </c>
      <c r="O2087" t="inlineStr">
        <is>
          <t>40D¹⁹, 40H¹⁹, 40G¹⁹, 80AG²¹, 80AF²¹, 40AJ¹⁷, 40AM¹⁷, 40B¹⁹, 40AN¹⁷</t>
        </is>
      </c>
    </row>
    <row r="2088">
      <c r="A2088">
        <f>HYPERLINK("https://mathstats.uncg.edu/sites/pauli/congruence/csg9.html#group40S9", "40S⁹")</f>
        <v/>
      </c>
      <c r="B2088" t="n">
        <v>9</v>
      </c>
      <c r="C2088" t="inlineStr"/>
      <c r="D2088" t="inlineStr">
        <is>
          <t>160</t>
        </is>
      </c>
      <c r="E2088" t="inlineStr">
        <is>
          <t>1</t>
        </is>
      </c>
      <c r="F2088" t="inlineStr">
        <is>
          <t>40</t>
        </is>
      </c>
      <c r="G2088" t="inlineStr">
        <is>
          <t>8</t>
        </is>
      </c>
      <c r="H2088" t="inlineStr">
        <is>
          <t>4</t>
        </is>
      </c>
      <c r="I2088" t="inlineStr">
        <is>
          <t>40⁴</t>
        </is>
      </c>
      <c r="J2088" t="n">
        <v>4</v>
      </c>
      <c r="K2088" t="inlineStr">
        <is>
          <t>8², 16⁴</t>
        </is>
      </c>
      <c r="L2088" t="inlineStr">
        <is>
          <t>20O³</t>
        </is>
      </c>
      <c r="M2088" t="inlineStr">
        <is>
          <t>40J¹⁹, 40A²¹</t>
        </is>
      </c>
      <c r="N2088" t="inlineStr">
        <is>
          <t>20E², 20O³, 1A⁰, 4A⁰, 10D⁰, 5C⁰</t>
        </is>
      </c>
      <c r="O2088" t="inlineStr">
        <is>
          <t>40A²¹, 40J¹⁹</t>
        </is>
      </c>
    </row>
    <row r="2089">
      <c r="A2089">
        <f>HYPERLINK("https://mathstats.uncg.edu/sites/pauli/congruence/csg9.html#group40T9", "40T⁹")</f>
        <v/>
      </c>
      <c r="B2089" t="n">
        <v>9</v>
      </c>
      <c r="C2089" t="inlineStr"/>
      <c r="D2089" t="inlineStr">
        <is>
          <t>160</t>
        </is>
      </c>
      <c r="E2089" t="inlineStr">
        <is>
          <t>1</t>
        </is>
      </c>
      <c r="F2089" t="inlineStr">
        <is>
          <t>40</t>
        </is>
      </c>
      <c r="G2089" t="inlineStr">
        <is>
          <t>8</t>
        </is>
      </c>
      <c r="H2089" t="inlineStr">
        <is>
          <t>4</t>
        </is>
      </c>
      <c r="I2089" t="inlineStr">
        <is>
          <t>40⁴</t>
        </is>
      </c>
      <c r="J2089" t="n">
        <v>4</v>
      </c>
      <c r="K2089" t="inlineStr">
        <is>
          <t>8², 16⁴</t>
        </is>
      </c>
      <c r="L2089" t="inlineStr">
        <is>
          <t>20O³</t>
        </is>
      </c>
      <c r="M2089" t="inlineStr">
        <is>
          <t>40K¹⁹, 40A²¹</t>
        </is>
      </c>
      <c r="N2089" t="inlineStr">
        <is>
          <t>20E², 20O³, 1A⁰, 4A⁰, 10D⁰, 5C⁰</t>
        </is>
      </c>
      <c r="O2089" t="inlineStr">
        <is>
          <t>40K¹⁹, 40A²¹</t>
        </is>
      </c>
    </row>
    <row r="2090">
      <c r="A2090">
        <f>HYPERLINK("https://mathstats.uncg.edu/sites/pauli/congruence/csg9.html#group40U9", "40U⁹")</f>
        <v/>
      </c>
      <c r="B2090" t="n">
        <v>9</v>
      </c>
      <c r="C2090" t="inlineStr"/>
      <c r="D2090" t="inlineStr">
        <is>
          <t>160</t>
        </is>
      </c>
      <c r="E2090" t="inlineStr">
        <is>
          <t>2</t>
        </is>
      </c>
      <c r="F2090" t="inlineStr">
        <is>
          <t>40</t>
        </is>
      </c>
      <c r="G2090" t="inlineStr">
        <is>
          <t>8</t>
        </is>
      </c>
      <c r="H2090" t="inlineStr">
        <is>
          <t>4</t>
        </is>
      </c>
      <c r="I2090" t="inlineStr">
        <is>
          <t>40⁴</t>
        </is>
      </c>
      <c r="J2090" t="n">
        <v>4</v>
      </c>
      <c r="K2090" t="inlineStr">
        <is>
          <t>8², 16⁴</t>
        </is>
      </c>
      <c r="L2090" t="inlineStr">
        <is>
          <t>20O³, 40E⁵, 40F⁵</t>
        </is>
      </c>
      <c r="M2090" t="inlineStr">
        <is>
          <t>40J¹⁹, 40K¹⁹, 40B²¹, 80AH²¹, 80AI²¹</t>
        </is>
      </c>
      <c r="N2090" t="inlineStr">
        <is>
          <t>40F⁵, 40E⁵, 20O³, 4A⁰, 10D⁰, 5C⁰, 8A⁰, 1A⁰, 20E²</t>
        </is>
      </c>
      <c r="O2090" t="inlineStr">
        <is>
          <t>40B²¹, 40K¹⁹, 40J¹⁹, 80AI²¹, 80AH²¹</t>
        </is>
      </c>
    </row>
    <row r="2091">
      <c r="A2091">
        <f>HYPERLINK("https://mathstats.uncg.edu/sites/pauli/congruence/csg9.html#group40V9", "40V⁹")</f>
        <v/>
      </c>
      <c r="B2091" t="n">
        <v>9</v>
      </c>
      <c r="C2091" t="inlineStr"/>
      <c r="D2091" t="inlineStr">
        <is>
          <t>192</t>
        </is>
      </c>
      <c r="E2091" t="inlineStr">
        <is>
          <t>1</t>
        </is>
      </c>
      <c r="F2091" t="inlineStr">
        <is>
          <t>96</t>
        </is>
      </c>
      <c r="G2091" t="inlineStr">
        <is>
          <t>16</t>
        </is>
      </c>
      <c r="H2091" t="inlineStr">
        <is>
          <t>0</t>
        </is>
      </c>
      <c r="I2091" t="inlineStr">
        <is>
          <t>8⁴, 40⁴</t>
        </is>
      </c>
      <c r="J2091" t="n">
        <v>8</v>
      </c>
      <c r="K2091" t="inlineStr">
        <is>
          <t>4⁸, 16⁴</t>
        </is>
      </c>
      <c r="L2091" t="inlineStr">
        <is>
          <t>20G¹, 40I⁵</t>
        </is>
      </c>
      <c r="M2091" t="inlineStr">
        <is>
          <t>40J²¹, 40K²¹, 40L²¹, 40M²¹</t>
        </is>
      </c>
      <c r="N2091" t="inlineStr">
        <is>
          <t>40I⁵, 8F⁰, 4A⁰, 20G¹, 5B⁰, 1A⁰, 20B¹, 10B⁰</t>
        </is>
      </c>
      <c r="O2091" t="inlineStr">
        <is>
          <t>40K²¹, 40L²¹, 40M²¹, 40J²¹</t>
        </is>
      </c>
    </row>
    <row r="2092">
      <c r="A2092">
        <f>HYPERLINK("https://mathstats.uncg.edu/sites/pauli/congruence/csg9.html#group40W9", "40W⁹")</f>
        <v/>
      </c>
      <c r="B2092" t="n">
        <v>9</v>
      </c>
      <c r="C2092" t="inlineStr"/>
      <c r="D2092" t="inlineStr">
        <is>
          <t>288</t>
        </is>
      </c>
      <c r="E2092" t="inlineStr">
        <is>
          <t>1</t>
        </is>
      </c>
      <c r="F2092" t="inlineStr">
        <is>
          <t>36</t>
        </is>
      </c>
      <c r="G2092" t="inlineStr">
        <is>
          <t>0</t>
        </is>
      </c>
      <c r="H2092" t="inlineStr">
        <is>
          <t>0</t>
        </is>
      </c>
      <c r="I2092" t="inlineStr">
        <is>
          <t>1⁸, 2⁴, 5⁸, 8⁴, 10⁴, 40⁴</t>
        </is>
      </c>
      <c r="J2092" t="n">
        <v>32</v>
      </c>
      <c r="K2092" t="inlineStr">
        <is>
          <t>1⁸, 2², 4⁴, 8¹</t>
        </is>
      </c>
      <c r="L2092" t="inlineStr">
        <is>
          <t>20S³, 40J³, 40M⁵</t>
        </is>
      </c>
      <c r="M2092" t="inlineStr"/>
      <c r="N2092" t="inlineStr">
        <is>
          <t>40A¹, 5B⁰, 5D⁰, 20D¹, 8C⁰, 20H¹, 40J³, 2B⁰, 4B⁰, 1A⁰, 10F⁰, 20S³, 20A⁰, 40F³, 40M⁵, 10C⁰, 40E³</t>
        </is>
      </c>
      <c r="O2092" t="inlineStr"/>
    </row>
    <row r="2093">
      <c r="A2093">
        <f>HYPERLINK("https://mathstats.uncg.edu/sites/pauli/congruence/csg9.html#group42A9", "42A⁹")</f>
        <v/>
      </c>
      <c r="B2093" t="n">
        <v>9</v>
      </c>
      <c r="C2093" t="inlineStr"/>
      <c r="D2093" t="inlineStr">
        <is>
          <t>144</t>
        </is>
      </c>
      <c r="E2093" t="inlineStr">
        <is>
          <t>1</t>
        </is>
      </c>
      <c r="F2093" t="inlineStr">
        <is>
          <t>72</t>
        </is>
      </c>
      <c r="G2093" t="inlineStr">
        <is>
          <t>0</t>
        </is>
      </c>
      <c r="H2093" t="inlineStr">
        <is>
          <t>0</t>
        </is>
      </c>
      <c r="I2093" t="inlineStr">
        <is>
          <t>3², 6², 21², 42²</t>
        </is>
      </c>
      <c r="J2093" t="n">
        <v>8</v>
      </c>
      <c r="K2093" t="inlineStr">
        <is>
          <t>1⁶, 2⁶, 6³, 12³</t>
        </is>
      </c>
      <c r="L2093" t="inlineStr">
        <is>
          <t>6G⁰, 21A³, 42A⁵</t>
        </is>
      </c>
      <c r="M2093" t="inlineStr">
        <is>
          <t>42I¹⁷, 42P¹⁹, 42R¹⁹, 84J¹⁹, 84K¹⁹, 84B²¹, 84D²¹</t>
        </is>
      </c>
      <c r="N2093" t="inlineStr">
        <is>
          <t>21A², 42A⁵, 7B⁰, 14C¹, 6G⁰, 3C⁰, 2B⁰, 3A⁰, 1A⁰, 21A³, 6D⁰</t>
        </is>
      </c>
      <c r="O2093" t="inlineStr">
        <is>
          <t>84K¹⁹, 42P¹⁹, 42R¹⁹, 42I¹⁷, 84D²¹, 84J¹⁹, 84B²¹</t>
        </is>
      </c>
    </row>
    <row r="2094">
      <c r="A2094">
        <f>HYPERLINK("https://mathstats.uncg.edu/sites/pauli/congruence/csg9.html#group42B9", "42B⁹")</f>
        <v/>
      </c>
      <c r="B2094" t="n">
        <v>9</v>
      </c>
      <c r="C2094" t="inlineStr"/>
      <c r="D2094" t="inlineStr">
        <is>
          <t>168</t>
        </is>
      </c>
      <c r="E2094" t="inlineStr">
        <is>
          <t>1</t>
        </is>
      </c>
      <c r="F2094" t="inlineStr">
        <is>
          <t>84</t>
        </is>
      </c>
      <c r="G2094" t="inlineStr">
        <is>
          <t>16</t>
        </is>
      </c>
      <c r="H2094" t="inlineStr">
        <is>
          <t>0</t>
        </is>
      </c>
      <c r="I2094" t="inlineStr">
        <is>
          <t>42⁴</t>
        </is>
      </c>
      <c r="J2094" t="n">
        <v>4</v>
      </c>
      <c r="K2094" t="inlineStr">
        <is>
          <t>1¹, 2¹, 3¹, 6⁵, 12⁴</t>
        </is>
      </c>
      <c r="L2094" t="inlineStr">
        <is>
          <t>42B¹, 21C³</t>
        </is>
      </c>
      <c r="M2094" t="inlineStr">
        <is>
          <t>42K¹⁷, 42A²¹, 42E²¹</t>
        </is>
      </c>
      <c r="N2094" t="inlineStr">
        <is>
          <t>6B⁰, 7F⁰, 21A⁰, 42B¹, 3A⁰, 1A⁰, 21C³, 7A⁰</t>
        </is>
      </c>
      <c r="O2094" t="inlineStr">
        <is>
          <t>42A²¹, 42K¹⁷, 42E²¹</t>
        </is>
      </c>
    </row>
    <row r="2095">
      <c r="A2095">
        <f>HYPERLINK("https://mathstats.uncg.edu/sites/pauli/congruence/csg9.html#group42C9", "42C⁹")</f>
        <v/>
      </c>
      <c r="B2095" t="n">
        <v>9</v>
      </c>
      <c r="C2095" t="inlineStr"/>
      <c r="D2095" t="inlineStr">
        <is>
          <t>168</t>
        </is>
      </c>
      <c r="E2095" t="inlineStr">
        <is>
          <t>2</t>
        </is>
      </c>
      <c r="F2095" t="inlineStr">
        <is>
          <t>21</t>
        </is>
      </c>
      <c r="G2095" t="inlineStr">
        <is>
          <t>16</t>
        </is>
      </c>
      <c r="H2095" t="inlineStr">
        <is>
          <t>0</t>
        </is>
      </c>
      <c r="I2095" t="inlineStr">
        <is>
          <t>42⁴</t>
        </is>
      </c>
      <c r="J2095" t="n">
        <v>4</v>
      </c>
      <c r="K2095" t="inlineStr">
        <is>
          <t>2¹, 4¹, 6², 12²</t>
        </is>
      </c>
      <c r="L2095" t="inlineStr">
        <is>
          <t>42F³, 21B⁴, 42F⁴, 42G⁴, 42H⁴, 42E⁵</t>
        </is>
      </c>
      <c r="M2095" t="inlineStr">
        <is>
          <t>84A²³</t>
        </is>
      </c>
      <c r="N2095" t="inlineStr">
        <is>
          <t>14A⁰, 21D², 6B⁰, 42F⁴, 42A¹, 42H⁴, 21D¹, 21A⁰, 1A⁰, 42A², 6E⁰, 42E⁵, 42G⁴, 3C⁰, 21B⁴, 42B¹, 3A⁰, 42F³, 7A⁰</t>
        </is>
      </c>
      <c r="O2095" t="inlineStr">
        <is>
          <t>84A²³</t>
        </is>
      </c>
    </row>
    <row r="2096">
      <c r="A2096">
        <f>HYPERLINK("https://mathstats.uncg.edu/sites/pauli/congruence/csg9.html#group42D9", "42D⁹")</f>
        <v/>
      </c>
      <c r="B2096" t="n">
        <v>9</v>
      </c>
      <c r="C2096" t="inlineStr"/>
      <c r="D2096" t="inlineStr">
        <is>
          <t>192</t>
        </is>
      </c>
      <c r="E2096" t="inlineStr">
        <is>
          <t>1</t>
        </is>
      </c>
      <c r="F2096" t="inlineStr">
        <is>
          <t>64</t>
        </is>
      </c>
      <c r="G2096" t="inlineStr">
        <is>
          <t>0</t>
        </is>
      </c>
      <c r="H2096" t="inlineStr">
        <is>
          <t>6</t>
        </is>
      </c>
      <c r="I2096" t="inlineStr">
        <is>
          <t>2³, 6³, 14³, 42³</t>
        </is>
      </c>
      <c r="J2096" t="n">
        <v>12</v>
      </c>
      <c r="K2096" t="inlineStr">
        <is>
          <t>1⁸, 2⁴, 6⁴, 12²</t>
        </is>
      </c>
      <c r="L2096" t="inlineStr">
        <is>
          <t>14C⁰, 42E³</t>
        </is>
      </c>
      <c r="M2096" t="inlineStr">
        <is>
          <t>42L¹⁷, 84G²³, 84H²³</t>
        </is>
      </c>
      <c r="N2096" t="inlineStr">
        <is>
          <t>2A⁰, 3B⁰, 21B¹, 7B⁰, 42E³, 6C⁰, 14B⁰, 14C⁰, 1A⁰</t>
        </is>
      </c>
      <c r="O2096" t="inlineStr">
        <is>
          <t>84G²³, 84H²³, 42L¹⁷</t>
        </is>
      </c>
    </row>
    <row r="2097">
      <c r="A2097">
        <f>HYPERLINK("https://mathstats.uncg.edu/sites/pauli/congruence/csg9.html#group42E9", "42E⁹")</f>
        <v/>
      </c>
      <c r="B2097" t="n">
        <v>9</v>
      </c>
      <c r="C2097" t="inlineStr"/>
      <c r="D2097" t="inlineStr">
        <is>
          <t>192</t>
        </is>
      </c>
      <c r="E2097" t="inlineStr">
        <is>
          <t>1</t>
        </is>
      </c>
      <c r="F2097" t="inlineStr">
        <is>
          <t>96</t>
        </is>
      </c>
      <c r="G2097" t="inlineStr">
        <is>
          <t>0</t>
        </is>
      </c>
      <c r="H2097" t="inlineStr">
        <is>
          <t>0</t>
        </is>
      </c>
      <c r="I2097" t="inlineStr">
        <is>
          <t>1², 2², 3², 6², 7², 14², 21², 42²</t>
        </is>
      </c>
      <c r="J2097" t="n">
        <v>16</v>
      </c>
      <c r="K2097" t="inlineStr">
        <is>
          <t>1¹², 2⁶, 6⁶, 12³</t>
        </is>
      </c>
      <c r="L2097" t="inlineStr">
        <is>
          <t>21F¹, 42G⁵</t>
        </is>
      </c>
      <c r="M2097" t="inlineStr">
        <is>
          <t>42H²¹, 84Q²¹</t>
        </is>
      </c>
      <c r="N2097" t="inlineStr">
        <is>
          <t>3B⁰, 21B¹, 7B⁰, 14C¹, 1A⁰, 2B⁰, 42G⁵, 6F⁰, 21F¹</t>
        </is>
      </c>
      <c r="O2097" t="inlineStr">
        <is>
          <t>42H²¹, 84Q²¹</t>
        </is>
      </c>
    </row>
    <row r="2098">
      <c r="A2098">
        <f>HYPERLINK("https://mathstats.uncg.edu/sites/pauli/congruence/csg9.html#group43A9", "43A⁹")</f>
        <v/>
      </c>
      <c r="B2098" t="n">
        <v>9</v>
      </c>
      <c r="C2098" t="inlineStr"/>
      <c r="D2098" t="inlineStr">
        <is>
          <t>132</t>
        </is>
      </c>
      <c r="E2098" t="inlineStr">
        <is>
          <t>1</t>
        </is>
      </c>
      <c r="F2098" t="inlineStr">
        <is>
          <t>44</t>
        </is>
      </c>
      <c r="G2098" t="inlineStr">
        <is>
          <t>0</t>
        </is>
      </c>
      <c r="H2098" t="inlineStr">
        <is>
          <t>0</t>
        </is>
      </c>
      <c r="I2098" t="inlineStr">
        <is>
          <t>1³, 43³</t>
        </is>
      </c>
      <c r="J2098" t="n">
        <v>6</v>
      </c>
      <c r="K2098" t="inlineStr">
        <is>
          <t>1², 42¹</t>
        </is>
      </c>
      <c r="L2098" t="inlineStr">
        <is>
          <t>43A³</t>
        </is>
      </c>
      <c r="M2098" t="inlineStr">
        <is>
          <t>86A²⁰</t>
        </is>
      </c>
      <c r="N2098" t="inlineStr">
        <is>
          <t>1A⁰, 43A³</t>
        </is>
      </c>
      <c r="O2098" t="inlineStr">
        <is>
          <t>86A²⁰</t>
        </is>
      </c>
    </row>
    <row r="2099">
      <c r="A2099">
        <f>HYPERLINK("https://mathstats.uncg.edu/sites/pauli/congruence/csg9.html#group44A9", "44A⁹")</f>
        <v/>
      </c>
      <c r="B2099" t="n">
        <v>9</v>
      </c>
      <c r="C2099" t="inlineStr"/>
      <c r="D2099" t="inlineStr">
        <is>
          <t>132</t>
        </is>
      </c>
      <c r="E2099" t="inlineStr">
        <is>
          <t>2</t>
        </is>
      </c>
      <c r="F2099" t="inlineStr">
        <is>
          <t>66</t>
        </is>
      </c>
      <c r="G2099" t="inlineStr">
        <is>
          <t>6</t>
        </is>
      </c>
      <c r="H2099" t="inlineStr">
        <is>
          <t>0</t>
        </is>
      </c>
      <c r="I2099" t="inlineStr">
        <is>
          <t>44³</t>
        </is>
      </c>
      <c r="J2099" t="n">
        <v>3</v>
      </c>
      <c r="K2099" t="inlineStr">
        <is>
          <t>2², 4², 10⁴, 20⁴</t>
        </is>
      </c>
      <c r="L2099" t="inlineStr">
        <is>
          <t>4F⁰, 44A², 44C⁴</t>
        </is>
      </c>
      <c r="M2099" t="inlineStr">
        <is>
          <t>88A¹⁸, 88A¹⁹, 44A²⁰, 88D²⁰, 88B²¹</t>
        </is>
      </c>
      <c r="N2099" t="inlineStr">
        <is>
          <t>11A⁰, 44A², 44C⁴, 4A⁰, 4C⁰, 2B⁰, 4F⁰, 22B², 1A⁰</t>
        </is>
      </c>
      <c r="O2099" t="inlineStr">
        <is>
          <t>88D²⁰, 88A¹⁹, 88A¹⁸, 44A²⁰, 88B²¹</t>
        </is>
      </c>
    </row>
    <row r="2100">
      <c r="A2100">
        <f>HYPERLINK("https://mathstats.uncg.edu/sites/pauli/congruence/csg9.html#group44B9", "44B⁹")</f>
        <v/>
      </c>
      <c r="B2100" t="n">
        <v>9</v>
      </c>
      <c r="C2100" t="inlineStr"/>
      <c r="D2100" t="inlineStr">
        <is>
          <t>144</t>
        </is>
      </c>
      <c r="E2100" t="inlineStr">
        <is>
          <t>1</t>
        </is>
      </c>
      <c r="F2100" t="inlineStr">
        <is>
          <t>36</t>
        </is>
      </c>
      <c r="G2100" t="inlineStr">
        <is>
          <t>0</t>
        </is>
      </c>
      <c r="H2100" t="inlineStr">
        <is>
          <t>0</t>
        </is>
      </c>
      <c r="I2100" t="inlineStr">
        <is>
          <t>2², 4², 22², 44²</t>
        </is>
      </c>
      <c r="J2100" t="n">
        <v>8</v>
      </c>
      <c r="K2100" t="inlineStr">
        <is>
          <t>1⁶, 10³</t>
        </is>
      </c>
      <c r="L2100" t="inlineStr">
        <is>
          <t>4E⁰, 22A⁴, 44D⁴, 44B⁵</t>
        </is>
      </c>
      <c r="M2100" t="inlineStr">
        <is>
          <t>44D¹⁷, 44A¹⁹, 44B¹⁹, 88B¹⁹, 88C¹⁹, 88G¹⁹, 88H¹⁹, 88C²¹, 88D²¹</t>
        </is>
      </c>
      <c r="N2100" t="inlineStr">
        <is>
          <t>2A⁰, 11A¹, 2C⁰, 22A², 4C⁰, 44B⁵, 2B⁰, 4E⁰, 4B⁰, 22C², 1A⁰, 22A⁴, 44D⁴</t>
        </is>
      </c>
      <c r="O2100" t="inlineStr">
        <is>
          <t>88B¹⁹, 44B¹⁹, 44A¹⁹, 88G¹⁹, 88D²¹, 88C¹⁹, 88H¹⁹, 88C²¹, 44D¹⁷</t>
        </is>
      </c>
    </row>
    <row r="2101">
      <c r="A2101">
        <f>HYPERLINK("https://mathstats.uncg.edu/sites/pauli/congruence/csg9.html#group45A9", "45A⁹")</f>
        <v/>
      </c>
      <c r="B2101" t="n">
        <v>9</v>
      </c>
      <c r="C2101" t="inlineStr"/>
      <c r="D2101" t="inlineStr">
        <is>
          <t>120</t>
        </is>
      </c>
      <c r="E2101" t="inlineStr">
        <is>
          <t>1</t>
        </is>
      </c>
      <c r="F2101" t="inlineStr">
        <is>
          <t>40</t>
        </is>
      </c>
      <c r="G2101" t="inlineStr">
        <is>
          <t>0</t>
        </is>
      </c>
      <c r="H2101" t="inlineStr">
        <is>
          <t>0</t>
        </is>
      </c>
      <c r="I2101" t="inlineStr">
        <is>
          <t>15², 45²</t>
        </is>
      </c>
      <c r="J2101" t="n">
        <v>4</v>
      </c>
      <c r="K2101" t="inlineStr">
        <is>
          <t>2², 4⁵, 8²</t>
        </is>
      </c>
      <c r="L2101" t="inlineStr">
        <is>
          <t>9A¹, 15C²</t>
        </is>
      </c>
      <c r="M2101" t="inlineStr">
        <is>
          <t>45A¹⁷, 90A¹⁹, 90B¹⁹</t>
        </is>
      </c>
      <c r="N2101" t="inlineStr">
        <is>
          <t>3B⁰, 1A⁰, 15C², 5C⁰, 9A¹</t>
        </is>
      </c>
      <c r="O2101" t="inlineStr">
        <is>
          <t>90B¹⁹, 90A¹⁹, 45A¹⁷</t>
        </is>
      </c>
    </row>
    <row r="2102">
      <c r="A2102">
        <f>HYPERLINK("https://mathstats.uncg.edu/sites/pauli/congruence/csg9.html#group45B9", "45B⁹")</f>
        <v/>
      </c>
      <c r="B2102" t="n">
        <v>9</v>
      </c>
      <c r="C2102" t="inlineStr"/>
      <c r="D2102" t="inlineStr">
        <is>
          <t>135</t>
        </is>
      </c>
      <c r="E2102" t="inlineStr">
        <is>
          <t>1</t>
        </is>
      </c>
      <c r="F2102" t="inlineStr">
        <is>
          <t>135</t>
        </is>
      </c>
      <c r="G2102" t="inlineStr">
        <is>
          <t>7</t>
        </is>
      </c>
      <c r="H2102" t="inlineStr">
        <is>
          <t>0</t>
        </is>
      </c>
      <c r="I2102" t="inlineStr">
        <is>
          <t>45³</t>
        </is>
      </c>
      <c r="J2102" t="n">
        <v>3</v>
      </c>
      <c r="K2102" t="inlineStr">
        <is>
          <t>3¹, 6⁴, 12¹, 24⁴</t>
        </is>
      </c>
      <c r="L2102" t="inlineStr">
        <is>
          <t>9G⁰, 45A³</t>
        </is>
      </c>
      <c r="M2102" t="inlineStr">
        <is>
          <t>45C¹⁹, 90F¹⁹, 45A²⁰, 90C²⁰, 90D²²</t>
        </is>
      </c>
      <c r="N2102" t="inlineStr">
        <is>
          <t>5A⁰, 9A⁰, 9G⁰, 3A⁰, 1A⁰, 15A¹, 45A³</t>
        </is>
      </c>
      <c r="O2102" t="inlineStr">
        <is>
          <t>45A²⁰, 90D²², 90F¹⁹, 45C¹⁹, 90C²⁰</t>
        </is>
      </c>
    </row>
    <row r="2103">
      <c r="A2103">
        <f>HYPERLINK("https://mathstats.uncg.edu/sites/pauli/congruence/csg9.html#group45C9", "45C⁹")</f>
        <v/>
      </c>
      <c r="B2103" t="n">
        <v>9</v>
      </c>
      <c r="C2103" t="inlineStr"/>
      <c r="D2103" t="inlineStr">
        <is>
          <t>144</t>
        </is>
      </c>
      <c r="E2103" t="inlineStr">
        <is>
          <t>1</t>
        </is>
      </c>
      <c r="F2103" t="inlineStr">
        <is>
          <t>24</t>
        </is>
      </c>
      <c r="G2103" t="inlineStr">
        <is>
          <t>0</t>
        </is>
      </c>
      <c r="H2103" t="inlineStr">
        <is>
          <t>0</t>
        </is>
      </c>
      <c r="I2103" t="inlineStr">
        <is>
          <t>3², 9², 15², 45²</t>
        </is>
      </c>
      <c r="J2103" t="n">
        <v>8</v>
      </c>
      <c r="K2103" t="inlineStr">
        <is>
          <t>1⁴, 2², 4², 8¹</t>
        </is>
      </c>
      <c r="L2103" t="inlineStr">
        <is>
          <t>15G¹, 45C⁵</t>
        </is>
      </c>
      <c r="M2103" t="inlineStr">
        <is>
          <t>45E¹⁷, 90C²¹, 90E²¹</t>
        </is>
      </c>
      <c r="N2103" t="inlineStr">
        <is>
          <t>45C⁵, 15C¹, 3B⁰, 5B⁰, 15G¹, 5D⁰, 9C⁰, 1A⁰</t>
        </is>
      </c>
      <c r="O2103" t="inlineStr">
        <is>
          <t>90E²¹, 45E¹⁷, 90C²¹</t>
        </is>
      </c>
    </row>
    <row r="2104">
      <c r="A2104">
        <f>HYPERLINK("https://mathstats.uncg.edu/sites/pauli/congruence/csg9.html#group45D9", "45D⁹")</f>
        <v/>
      </c>
      <c r="B2104" t="n">
        <v>9</v>
      </c>
      <c r="C2104" t="inlineStr"/>
      <c r="D2104" t="inlineStr">
        <is>
          <t>144</t>
        </is>
      </c>
      <c r="E2104" t="inlineStr">
        <is>
          <t>1</t>
        </is>
      </c>
      <c r="F2104" t="inlineStr">
        <is>
          <t>24</t>
        </is>
      </c>
      <c r="G2104" t="inlineStr">
        <is>
          <t>0</t>
        </is>
      </c>
      <c r="H2104" t="inlineStr">
        <is>
          <t>0</t>
        </is>
      </c>
      <c r="I2104" t="inlineStr">
        <is>
          <t>3², 9², 15², 45²</t>
        </is>
      </c>
      <c r="J2104" t="n">
        <v>8</v>
      </c>
      <c r="K2104" t="inlineStr">
        <is>
          <t>1⁴, 2², 4², 8¹</t>
        </is>
      </c>
      <c r="L2104" t="inlineStr">
        <is>
          <t>15G¹, 45D⁵</t>
        </is>
      </c>
      <c r="M2104" t="inlineStr">
        <is>
          <t>45F¹⁷, 90D²¹, 90F²¹</t>
        </is>
      </c>
      <c r="N2104" t="inlineStr">
        <is>
          <t>15C¹, 3B⁰, 9A¹, 5B⁰, 15G¹, 5D⁰, 1A⁰, 45D⁵</t>
        </is>
      </c>
      <c r="O2104" t="inlineStr">
        <is>
          <t>90D²¹, 90F²¹, 45F¹⁷</t>
        </is>
      </c>
    </row>
    <row r="2105">
      <c r="A2105">
        <f>HYPERLINK("https://mathstats.uncg.edu/sites/pauli/congruence/csg9.html#group45E9", "45E⁹")</f>
        <v/>
      </c>
      <c r="B2105" t="n">
        <v>9</v>
      </c>
      <c r="C2105" t="inlineStr"/>
      <c r="D2105" t="inlineStr">
        <is>
          <t>216</t>
        </is>
      </c>
      <c r="E2105" t="inlineStr">
        <is>
          <t>1</t>
        </is>
      </c>
      <c r="F2105" t="inlineStr">
        <is>
          <t>18</t>
        </is>
      </c>
      <c r="G2105" t="inlineStr">
        <is>
          <t>24</t>
        </is>
      </c>
      <c r="H2105" t="inlineStr">
        <is>
          <t>0</t>
        </is>
      </c>
      <c r="I2105" t="inlineStr">
        <is>
          <t>9⁴, 45⁴</t>
        </is>
      </c>
      <c r="J2105" t="n">
        <v>8</v>
      </c>
      <c r="K2105" t="inlineStr">
        <is>
          <t>1², 2², 4¹, 8¹</t>
        </is>
      </c>
      <c r="L2105" t="inlineStr">
        <is>
          <t>15H¹, 45C⁴, 45F⁵</t>
        </is>
      </c>
      <c r="M2105" t="inlineStr">
        <is>
          <t>90N²¹, 45D²³</t>
        </is>
      </c>
      <c r="N2105" t="inlineStr">
        <is>
          <t>45A², 15B⁰, 45F⁵, 9D⁰, 15E¹, 9A⁰, 45C⁴, 5B⁰, 3C⁰, 3A⁰, 15H¹, 1A⁰, 15C⁰</t>
        </is>
      </c>
      <c r="O2105" t="inlineStr">
        <is>
          <t>45D²³, 90N²¹</t>
        </is>
      </c>
    </row>
    <row r="2106">
      <c r="A2106">
        <f>HYPERLINK("https://mathstats.uncg.edu/sites/pauli/congruence/csg9.html#group45F9", "45F⁹")</f>
        <v/>
      </c>
      <c r="B2106" t="n">
        <v>9</v>
      </c>
      <c r="C2106" t="inlineStr"/>
      <c r="D2106" t="inlineStr">
        <is>
          <t>216</t>
        </is>
      </c>
      <c r="E2106" t="inlineStr">
        <is>
          <t>1</t>
        </is>
      </c>
      <c r="F2106" t="inlineStr">
        <is>
          <t>108</t>
        </is>
      </c>
      <c r="G2106" t="inlineStr">
        <is>
          <t>8</t>
        </is>
      </c>
      <c r="H2106" t="inlineStr">
        <is>
          <t>0</t>
        </is>
      </c>
      <c r="I2106" t="inlineStr">
        <is>
          <t>3⁶, 9², 15⁶, 45²</t>
        </is>
      </c>
      <c r="J2106" t="n">
        <v>16</v>
      </c>
      <c r="K2106" t="inlineStr">
        <is>
          <t>1², 2², 3², 4¹, 6⁴, 8¹, 12¹, 24²</t>
        </is>
      </c>
      <c r="L2106" t="inlineStr">
        <is>
          <t>15H¹, 45G⁵</t>
        </is>
      </c>
      <c r="M2106" t="inlineStr">
        <is>
          <t>45I¹⁹, 45E²¹</t>
        </is>
      </c>
      <c r="N2106" t="inlineStr">
        <is>
          <t>15B⁰, 15E¹, 45G⁵, 5B⁰, 3C⁰, 9E⁰, 3A⁰, 15H¹, 1A⁰, 15C⁰</t>
        </is>
      </c>
      <c r="O2106" t="inlineStr">
        <is>
          <t>45I¹⁹, 45E²¹</t>
        </is>
      </c>
    </row>
    <row r="2107">
      <c r="A2107">
        <f>HYPERLINK("https://mathstats.uncg.edu/sites/pauli/congruence/csg9.html#group45G9", "45G⁹")</f>
        <v/>
      </c>
      <c r="B2107" t="n">
        <v>9</v>
      </c>
      <c r="C2107" t="inlineStr"/>
      <c r="D2107" t="inlineStr">
        <is>
          <t>288</t>
        </is>
      </c>
      <c r="E2107" t="inlineStr">
        <is>
          <t>1</t>
        </is>
      </c>
      <c r="F2107" t="inlineStr">
        <is>
          <t>24</t>
        </is>
      </c>
      <c r="G2107" t="inlineStr">
        <is>
          <t>0</t>
        </is>
      </c>
      <c r="H2107" t="inlineStr">
        <is>
          <t>0</t>
        </is>
      </c>
      <c r="I2107" t="inlineStr">
        <is>
          <t>1¹², 5¹², 9⁴, 45⁴</t>
        </is>
      </c>
      <c r="J2107" t="n">
        <v>32</v>
      </c>
      <c r="K2107" t="inlineStr">
        <is>
          <t>1⁴, 2², 4², 8¹</t>
        </is>
      </c>
      <c r="L2107" t="inlineStr">
        <is>
          <t>15I¹, 45H⁵</t>
        </is>
      </c>
      <c r="M2107" t="inlineStr"/>
      <c r="N2107" t="inlineStr">
        <is>
          <t>15C¹, 3B⁰, 15I¹, 5B⁰, 45H⁵, 15G¹, 5D⁰, 45D³, 9B⁰, 1A⁰</t>
        </is>
      </c>
      <c r="O2107" t="inlineStr"/>
    </row>
    <row r="2108">
      <c r="A2108">
        <f>HYPERLINK("https://mathstats.uncg.edu/sites/pauli/congruence/csg9.html#group48A9", "48A⁹")</f>
        <v/>
      </c>
      <c r="B2108" t="n">
        <v>9</v>
      </c>
      <c r="C2108" t="inlineStr"/>
      <c r="D2108" t="inlineStr">
        <is>
          <t>144</t>
        </is>
      </c>
      <c r="E2108" t="inlineStr">
        <is>
          <t>1</t>
        </is>
      </c>
      <c r="F2108" t="inlineStr">
        <is>
          <t>6</t>
        </is>
      </c>
      <c r="G2108" t="inlineStr">
        <is>
          <t>0</t>
        </is>
      </c>
      <c r="H2108" t="inlineStr">
        <is>
          <t>0</t>
        </is>
      </c>
      <c r="I2108" t="inlineStr">
        <is>
          <t>6⁴, 12², 48²</t>
        </is>
      </c>
      <c r="J2108" t="n">
        <v>8</v>
      </c>
      <c r="K2108" t="inlineStr">
        <is>
          <t>1⁴, 2¹</t>
        </is>
      </c>
      <c r="L2108" t="inlineStr">
        <is>
          <t>16E¹, 24D⁴, 48B⁴, 48A⁵</t>
        </is>
      </c>
      <c r="M2108" t="inlineStr">
        <is>
          <t>48D¹⁷, 48J¹⁷, 48K¹⁷, 48A¹⁹, 48C¹⁹, 48N¹⁹, 48P¹⁹, 96A¹⁹, 96B¹⁹, 96E¹⁹, 96H¹⁹, 96A²¹, 96B²¹, 96E²¹, 96H²¹</t>
        </is>
      </c>
      <c r="N2108" t="inlineStr">
        <is>
          <t>2A⁰, 48A⁵, 12C⁰, 8D⁰, 16E¹, 4C⁰, 6C¹, 12B², 16A¹, 8C⁰, 2B⁰, 4E⁰, 4B⁰, 1A⁰, 24D⁴, 48B⁴, 24B², 6A⁰, 8G⁰, 16C⁰, 24C¹, 12B¹, 6A¹, 3A⁰, 2C⁰, 6D⁰</t>
        </is>
      </c>
      <c r="O2108" t="inlineStr">
        <is>
          <t>48P¹⁹, 48J¹⁷, 96A²¹, 48K¹⁷, 96B²¹, 96E²¹, 96E¹⁹, 48D¹⁷, 96H²¹, 48C¹⁹, 96A¹⁹, 96B¹⁹, 48N¹⁹, 96H¹⁹, 48A¹⁹</t>
        </is>
      </c>
    </row>
    <row r="2109">
      <c r="A2109">
        <f>HYPERLINK("https://mathstats.uncg.edu/sites/pauli/congruence/csg9.html#group48B9", "48B⁹")</f>
        <v/>
      </c>
      <c r="B2109" t="n">
        <v>9</v>
      </c>
      <c r="C2109" t="inlineStr"/>
      <c r="D2109" t="inlineStr">
        <is>
          <t>144</t>
        </is>
      </c>
      <c r="E2109" t="inlineStr">
        <is>
          <t>1</t>
        </is>
      </c>
      <c r="F2109" t="inlineStr">
        <is>
          <t>12</t>
        </is>
      </c>
      <c r="G2109" t="inlineStr">
        <is>
          <t>0</t>
        </is>
      </c>
      <c r="H2109" t="inlineStr">
        <is>
          <t>0</t>
        </is>
      </c>
      <c r="I2109" t="inlineStr">
        <is>
          <t>6⁴, 12², 48²</t>
        </is>
      </c>
      <c r="J2109" t="n">
        <v>8</v>
      </c>
      <c r="K2109" t="inlineStr">
        <is>
          <t>1⁴, 2², 4¹</t>
        </is>
      </c>
      <c r="L2109" t="inlineStr">
        <is>
          <t>16G¹, 24F⁴, 48D⁴, 48A⁵</t>
        </is>
      </c>
      <c r="M2109" t="inlineStr">
        <is>
          <t>48D¹⁷, 48AB¹⁷, 48AD¹⁷, 48Q¹⁹, 48AP¹⁹, 96K¹⁹, 96Z¹⁹, 96C²¹, 96D²¹, 96Q²¹, 96R²¹</t>
        </is>
      </c>
      <c r="N2109" t="inlineStr">
        <is>
          <t>48A⁵, 24F⁴, 16A¹, 8C⁰, 2B⁰, 8I⁰, 4B⁰, 1A⁰, 24B², 16G¹, 16D⁰, 12B¹, 3A⁰, 6D⁰, 48D⁴</t>
        </is>
      </c>
      <c r="O2109" t="inlineStr">
        <is>
          <t>96Z¹⁹, 96D²¹, 48AB¹⁷, 48AD¹⁷, 48AP¹⁹, 96K¹⁹, 96C²¹, 48D¹⁷, 96R²¹, 96Q²¹, 48Q¹⁹</t>
        </is>
      </c>
    </row>
    <row r="2110">
      <c r="A2110">
        <f>HYPERLINK("https://mathstats.uncg.edu/sites/pauli/congruence/csg9.html#group48C9", "48C⁹")</f>
        <v/>
      </c>
      <c r="B2110" t="n">
        <v>9</v>
      </c>
      <c r="C2110" t="inlineStr"/>
      <c r="D2110" t="inlineStr">
        <is>
          <t>144</t>
        </is>
      </c>
      <c r="E2110" t="inlineStr">
        <is>
          <t>1</t>
        </is>
      </c>
      <c r="F2110" t="inlineStr">
        <is>
          <t>18</t>
        </is>
      </c>
      <c r="G2110" t="inlineStr">
        <is>
          <t>0</t>
        </is>
      </c>
      <c r="H2110" t="inlineStr">
        <is>
          <t>0</t>
        </is>
      </c>
      <c r="I2110" t="inlineStr">
        <is>
          <t>6⁴, 12², 48²</t>
        </is>
      </c>
      <c r="J2110" t="n">
        <v>8</v>
      </c>
      <c r="K2110" t="inlineStr">
        <is>
          <t>1⁴, 2⁵, 4¹</t>
        </is>
      </c>
      <c r="L2110" t="inlineStr">
        <is>
          <t>24L³, 48B⁵</t>
        </is>
      </c>
      <c r="M2110" t="inlineStr">
        <is>
          <t>48C¹⁷, 48E¹⁷, 48G¹⁷, 48AA¹⁷, 48Z¹⁷, 96M²¹, 96N²¹, 96AB²¹</t>
        </is>
      </c>
      <c r="N2110" t="inlineStr">
        <is>
          <t>24B², 12K¹, 3A⁰, 24D², 6G⁰, 3C⁰, 12B¹, 2B⁰, 8C⁰, 12D⁰, 4B⁰, 24L³, 1A⁰, 6D⁰, 48B⁵</t>
        </is>
      </c>
      <c r="O2110" t="inlineStr">
        <is>
          <t>96M²¹, 48C¹⁷, 48Z¹⁷, 96AB²¹, 96N²¹, 48G¹⁷, 48AA¹⁷, 48E¹⁷</t>
        </is>
      </c>
    </row>
    <row r="2111">
      <c r="A2111">
        <f>HYPERLINK("https://mathstats.uncg.edu/sites/pauli/congruence/csg9.html#group48D9", "48D⁹")</f>
        <v/>
      </c>
      <c r="B2111" t="n">
        <v>9</v>
      </c>
      <c r="C2111" t="inlineStr"/>
      <c r="D2111" t="inlineStr">
        <is>
          <t>144</t>
        </is>
      </c>
      <c r="E2111" t="inlineStr">
        <is>
          <t>1</t>
        </is>
      </c>
      <c r="F2111" t="inlineStr">
        <is>
          <t>18</t>
        </is>
      </c>
      <c r="G2111" t="inlineStr">
        <is>
          <t>0</t>
        </is>
      </c>
      <c r="H2111" t="inlineStr">
        <is>
          <t>0</t>
        </is>
      </c>
      <c r="I2111" t="inlineStr">
        <is>
          <t>6⁴, 12², 48²</t>
        </is>
      </c>
      <c r="J2111" t="n">
        <v>8</v>
      </c>
      <c r="K2111" t="inlineStr">
        <is>
          <t>1⁴, 2⁵, 4¹</t>
        </is>
      </c>
      <c r="L2111" t="inlineStr">
        <is>
          <t>24L³, 48A⁵, 48B⁵</t>
        </is>
      </c>
      <c r="M2111" t="inlineStr">
        <is>
          <t>48C¹⁷, 48F¹⁷, 48K¹⁷, 48Y¹⁷, 48AB¹⁷, 96F²¹, 96G²¹, 96I²¹, 96J²¹, 96P²¹, 96S²¹</t>
        </is>
      </c>
      <c r="N2111" t="inlineStr">
        <is>
          <t>48A⁵, 12K¹, 6G⁰, 16A¹, 2B⁰, 8C⁰, 4B⁰, 1A⁰, 24B², 24D², 3C⁰, 12B¹, 12D⁰, 3A⁰, 24L³, 6D⁰, 48B⁵</t>
        </is>
      </c>
      <c r="O2111" t="inlineStr">
        <is>
          <t>96G²¹, 48AB¹⁷, 96J²¹, 48C¹⁷, 48K¹⁷, 96S²¹, 48Y¹⁷, 96F²¹, 96I²¹, 48F¹⁷, 96P²¹</t>
        </is>
      </c>
    </row>
    <row r="2112">
      <c r="A2112">
        <f>HYPERLINK("https://mathstats.uncg.edu/sites/pauli/congruence/csg9.html#group48E9", "48E⁹")</f>
        <v/>
      </c>
      <c r="B2112" t="n">
        <v>9</v>
      </c>
      <c r="C2112" t="inlineStr"/>
      <c r="D2112" t="inlineStr">
        <is>
          <t>144</t>
        </is>
      </c>
      <c r="E2112" t="inlineStr">
        <is>
          <t>1</t>
        </is>
      </c>
      <c r="F2112" t="inlineStr">
        <is>
          <t>18</t>
        </is>
      </c>
      <c r="G2112" t="inlineStr">
        <is>
          <t>0</t>
        </is>
      </c>
      <c r="H2112" t="inlineStr">
        <is>
          <t>0</t>
        </is>
      </c>
      <c r="I2112" t="inlineStr">
        <is>
          <t>6⁴, 12², 48²</t>
        </is>
      </c>
      <c r="J2112" t="n">
        <v>8</v>
      </c>
      <c r="K2112" t="inlineStr">
        <is>
          <t>1⁴, 2⁵, 4¹</t>
        </is>
      </c>
      <c r="L2112" t="inlineStr">
        <is>
          <t>24D⁴, 48F⁴, 48B⁵</t>
        </is>
      </c>
      <c r="M2112" t="inlineStr">
        <is>
          <t>48E¹⁷, 48H¹⁷, 48I¹⁷, 48K¹⁷, 48BP¹⁷, 48D¹⁹, 48L¹⁹, 48M¹⁹, 48O¹⁹, 48P¹⁹, 48AX¹⁹</t>
        </is>
      </c>
      <c r="N2112" t="inlineStr">
        <is>
          <t>2A⁰, 12C⁰, 8D⁰, 6C¹, 4C⁰, 48F⁴, 12B², 8C⁰, 2B⁰, 4E⁰, 4B⁰, 1A⁰, 24D⁴, 24B², 6A⁰, 8G⁰, 24C¹, 12B¹, 6A¹, 3A⁰, 2C⁰, 6D⁰, 48B⁵</t>
        </is>
      </c>
      <c r="O2112" t="inlineStr">
        <is>
          <t>48H¹⁷, 48M¹⁹, 48O¹⁹, 48P¹⁹, 48AX¹⁹, 48BP¹⁷, 48K¹⁷, 48D¹⁹, 48L¹⁹, 48I¹⁷, 48E¹⁷</t>
        </is>
      </c>
    </row>
    <row r="2113">
      <c r="A2113">
        <f>HYPERLINK("https://mathstats.uncg.edu/sites/pauli/congruence/csg9.html#group48F9", "48F⁹")</f>
        <v/>
      </c>
      <c r="B2113" t="n">
        <v>9</v>
      </c>
      <c r="C2113" t="inlineStr"/>
      <c r="D2113" t="inlineStr">
        <is>
          <t>144</t>
        </is>
      </c>
      <c r="E2113" t="inlineStr">
        <is>
          <t>1</t>
        </is>
      </c>
      <c r="F2113" t="inlineStr">
        <is>
          <t>18</t>
        </is>
      </c>
      <c r="G2113" t="inlineStr">
        <is>
          <t>0</t>
        </is>
      </c>
      <c r="H2113" t="inlineStr">
        <is>
          <t>0</t>
        </is>
      </c>
      <c r="I2113" t="inlineStr">
        <is>
          <t>6⁴, 12², 48²</t>
        </is>
      </c>
      <c r="J2113" t="n">
        <v>8</v>
      </c>
      <c r="K2113" t="inlineStr">
        <is>
          <t>1⁴, 2⁵, 4¹</t>
        </is>
      </c>
      <c r="L2113" t="inlineStr">
        <is>
          <t>24J⁴, 48B⁴, 48B⁵</t>
        </is>
      </c>
      <c r="M2113" t="inlineStr">
        <is>
          <t>48G¹⁷, 48K¹⁷, 48W¹⁷, 48AC¹⁷, 96G¹⁹, 96I¹⁹, 96O¹⁹, 96S¹⁹, 96AW¹⁹</t>
        </is>
      </c>
      <c r="N2113" t="inlineStr">
        <is>
          <t>6B⁰, 12D², 24J⁴, 8C⁰, 2B⁰, 4B⁰, 1A⁰, 48B⁴, 24B², 12C¹, 16C⁰, 24D², 12B¹, 6H⁰, 3A⁰, 6D⁰, 48B⁵</t>
        </is>
      </c>
      <c r="O2113" t="inlineStr">
        <is>
          <t>48W¹⁷, 48AC¹⁷, 96O¹⁹, 96G¹⁹, 48K¹⁷, 48G¹⁷, 96I¹⁹, 96AW¹⁹, 96S¹⁹</t>
        </is>
      </c>
    </row>
    <row r="2114">
      <c r="A2114">
        <f>HYPERLINK("https://mathstats.uncg.edu/sites/pauli/congruence/csg9.html#group48G9", "48G⁹")</f>
        <v/>
      </c>
      <c r="B2114" t="n">
        <v>9</v>
      </c>
      <c r="C2114" t="inlineStr"/>
      <c r="D2114" t="inlineStr">
        <is>
          <t>144</t>
        </is>
      </c>
      <c r="E2114" t="inlineStr">
        <is>
          <t>1</t>
        </is>
      </c>
      <c r="F2114" t="inlineStr">
        <is>
          <t>18</t>
        </is>
      </c>
      <c r="G2114" t="inlineStr">
        <is>
          <t>0</t>
        </is>
      </c>
      <c r="H2114" t="inlineStr">
        <is>
          <t>0</t>
        </is>
      </c>
      <c r="I2114" t="inlineStr">
        <is>
          <t>6⁴, 12², 48²</t>
        </is>
      </c>
      <c r="J2114" t="n">
        <v>8</v>
      </c>
      <c r="K2114" t="inlineStr">
        <is>
          <t>1⁴, 2⁵, 4¹</t>
        </is>
      </c>
      <c r="L2114" t="inlineStr">
        <is>
          <t>24J⁴, 48F⁴, 48A⁵</t>
        </is>
      </c>
      <c r="M2114" t="inlineStr">
        <is>
          <t>48F¹⁷, 48K¹⁷, 48X¹⁷, 48AD¹⁷, 96K²¹, 96L²¹, 96O²¹, 96T²¹, 96AQ²¹</t>
        </is>
      </c>
      <c r="N2114" t="inlineStr">
        <is>
          <t>48A⁵, 6B⁰, 12D², 24J⁴, 48F⁴, 16A¹, 8C⁰, 2B⁰, 4B⁰, 1A⁰, 24B², 12C¹, 24D², 12B¹, 6H⁰, 3A⁰, 6D⁰</t>
        </is>
      </c>
      <c r="O2114" t="inlineStr">
        <is>
          <t>96K²¹, 96O²¹, 96T²¹, 48AD¹⁷, 48X¹⁷, 96AQ²¹, 96L²¹, 48K¹⁷, 48F¹⁷</t>
        </is>
      </c>
    </row>
    <row r="2115">
      <c r="A2115">
        <f>HYPERLINK("https://mathstats.uncg.edu/sites/pauli/congruence/csg9.html#group48H9", "48H⁹")</f>
        <v/>
      </c>
      <c r="B2115" t="n">
        <v>9</v>
      </c>
      <c r="C2115" t="inlineStr"/>
      <c r="D2115" t="inlineStr">
        <is>
          <t>144</t>
        </is>
      </c>
      <c r="E2115" t="inlineStr">
        <is>
          <t>1</t>
        </is>
      </c>
      <c r="F2115" t="inlineStr">
        <is>
          <t>18</t>
        </is>
      </c>
      <c r="G2115" t="inlineStr">
        <is>
          <t>8</t>
        </is>
      </c>
      <c r="H2115" t="inlineStr">
        <is>
          <t>0</t>
        </is>
      </c>
      <c r="I2115" t="inlineStr">
        <is>
          <t>24², 48²</t>
        </is>
      </c>
      <c r="J2115" t="n">
        <v>4</v>
      </c>
      <c r="K2115" t="inlineStr">
        <is>
          <t>2³, 4³</t>
        </is>
      </c>
      <c r="L2115" t="inlineStr">
        <is>
          <t>24H³</t>
        </is>
      </c>
      <c r="M2115" t="inlineStr">
        <is>
          <t>48L¹⁷, 48AH¹⁹, 48AF¹⁹, 48A²¹, 48Z²¹</t>
        </is>
      </c>
      <c r="N2115" t="inlineStr">
        <is>
          <t>12C⁰, 12C¹, 24H³, 12L¹, 4C⁰, 24D¹, 6G⁰, 3C⁰, 2B⁰, 3A⁰, 1A⁰, 6D⁰</t>
        </is>
      </c>
      <c r="O2115" t="inlineStr">
        <is>
          <t>48AH¹⁹, 48Z²¹, 48AF¹⁹, 48L¹⁷, 48A²¹</t>
        </is>
      </c>
    </row>
    <row r="2116">
      <c r="A2116">
        <f>HYPERLINK("https://mathstats.uncg.edu/sites/pauli/congruence/csg9.html#group48I9", "48I⁹")</f>
        <v/>
      </c>
      <c r="B2116" t="n">
        <v>9</v>
      </c>
      <c r="C2116" t="inlineStr"/>
      <c r="D2116" t="inlineStr">
        <is>
          <t>144</t>
        </is>
      </c>
      <c r="E2116" t="inlineStr">
        <is>
          <t>1</t>
        </is>
      </c>
      <c r="F2116" t="inlineStr">
        <is>
          <t>18</t>
        </is>
      </c>
      <c r="G2116" t="inlineStr">
        <is>
          <t>8</t>
        </is>
      </c>
      <c r="H2116" t="inlineStr">
        <is>
          <t>0</t>
        </is>
      </c>
      <c r="I2116" t="inlineStr">
        <is>
          <t>24², 48²</t>
        </is>
      </c>
      <c r="J2116" t="n">
        <v>4</v>
      </c>
      <c r="K2116" t="inlineStr">
        <is>
          <t>2³, 4³</t>
        </is>
      </c>
      <c r="L2116" t="inlineStr">
        <is>
          <t>24H³</t>
        </is>
      </c>
      <c r="M2116" t="inlineStr">
        <is>
          <t>48L¹⁷, 48AI¹⁹, 48AG¹⁹, 48B²¹, 48Z²¹</t>
        </is>
      </c>
      <c r="N2116" t="inlineStr">
        <is>
          <t>12C⁰, 12C¹, 24H³, 12L¹, 4C⁰, 24D¹, 6G⁰, 3C⁰, 2B⁰, 3A⁰, 1A⁰, 6D⁰</t>
        </is>
      </c>
      <c r="O2116" t="inlineStr">
        <is>
          <t>48B²¹, 48AI¹⁹, 48Z²¹, 48L¹⁷, 48AG¹⁹</t>
        </is>
      </c>
    </row>
    <row r="2117">
      <c r="A2117">
        <f>HYPERLINK("https://mathstats.uncg.edu/sites/pauli/congruence/csg9.html#group48J9", "48J⁹")</f>
        <v/>
      </c>
      <c r="B2117" t="n">
        <v>9</v>
      </c>
      <c r="C2117" t="inlineStr"/>
      <c r="D2117" t="inlineStr">
        <is>
          <t>144</t>
        </is>
      </c>
      <c r="E2117" t="inlineStr">
        <is>
          <t>1</t>
        </is>
      </c>
      <c r="F2117" t="inlineStr">
        <is>
          <t>18</t>
        </is>
      </c>
      <c r="G2117" t="inlineStr">
        <is>
          <t>8</t>
        </is>
      </c>
      <c r="H2117" t="inlineStr">
        <is>
          <t>0</t>
        </is>
      </c>
      <c r="I2117" t="inlineStr">
        <is>
          <t>24², 48²</t>
        </is>
      </c>
      <c r="J2117" t="n">
        <v>4</v>
      </c>
      <c r="K2117" t="inlineStr">
        <is>
          <t>1², 2⁴, 4²</t>
        </is>
      </c>
      <c r="L2117" t="inlineStr">
        <is>
          <t>24I³, 48F³</t>
        </is>
      </c>
      <c r="M2117" t="inlineStr">
        <is>
          <t>48M¹⁷, 48N¹⁷, 48P¹⁷, 48BE¹⁹, 48BD¹⁹, 48H²¹, 48K²¹, 48AB²¹, 48AD²¹</t>
        </is>
      </c>
      <c r="N2117" t="inlineStr">
        <is>
          <t>12C⁰, 12C¹, 24A⁰, 12L¹, 4C⁰, 24I³, 8B⁰, 6G⁰, 3C⁰, 2B⁰, 24C², 48F³, 3A⁰, 1A⁰, 6D⁰</t>
        </is>
      </c>
      <c r="O2117" t="inlineStr">
        <is>
          <t>48AD²¹, 48BE¹⁹, 48BD¹⁹, 48M¹⁷, 48N¹⁷, 48K²¹, 48H²¹, 48P¹⁷, 48AB²¹</t>
        </is>
      </c>
    </row>
    <row r="2118">
      <c r="A2118">
        <f>HYPERLINK("https://mathstats.uncg.edu/sites/pauli/congruence/csg9.html#group48K9", "48K⁹")</f>
        <v/>
      </c>
      <c r="B2118" t="n">
        <v>9</v>
      </c>
      <c r="C2118" t="inlineStr"/>
      <c r="D2118" t="inlineStr">
        <is>
          <t>144</t>
        </is>
      </c>
      <c r="E2118" t="inlineStr">
        <is>
          <t>1</t>
        </is>
      </c>
      <c r="F2118" t="inlineStr">
        <is>
          <t>18</t>
        </is>
      </c>
      <c r="G2118" t="inlineStr">
        <is>
          <t>8</t>
        </is>
      </c>
      <c r="H2118" t="inlineStr">
        <is>
          <t>0</t>
        </is>
      </c>
      <c r="I2118" t="inlineStr">
        <is>
          <t>24², 48²</t>
        </is>
      </c>
      <c r="J2118" t="n">
        <v>4</v>
      </c>
      <c r="K2118" t="inlineStr">
        <is>
          <t>1², 2⁴, 4²</t>
        </is>
      </c>
      <c r="L2118" t="inlineStr">
        <is>
          <t>24L², 48F³, 48C⁴</t>
        </is>
      </c>
      <c r="M2118" t="inlineStr">
        <is>
          <t>48Q¹⁷, 48BR¹⁷, 48AB¹⁹, 48AC¹⁹, 48AD¹⁹, 48AE¹⁹, 48AJ¹⁹, 48AK¹⁹, 48AY¹⁹, 48AZ¹⁹, 48BA¹⁹, 48Q²¹, 48AD²¹, 48AE²¹</t>
        </is>
      </c>
      <c r="N2118" t="inlineStr">
        <is>
          <t>12C⁰, 8D⁰, 4C⁰, 8B⁰, 2B⁰, 24L², 1A⁰, 48C⁴, 8H⁰, 12A⁰, 24A⁰, 4A⁰, 24C¹, 12J¹, 4F⁰, 48F³, 3A⁰, 6D⁰</t>
        </is>
      </c>
      <c r="O2118" t="inlineStr">
        <is>
          <t>48AD¹⁹, 48AK¹⁹, 48AD²¹, 48AE²¹, 48BR¹⁷, 48BA¹⁹, 48AJ¹⁹, 48AY¹⁹, 48AE¹⁹, 48AB¹⁹, 48Q²¹, 48Q¹⁷, 48AC¹⁹, 48AZ¹⁹</t>
        </is>
      </c>
    </row>
    <row r="2119">
      <c r="A2119">
        <f>HYPERLINK("https://mathstats.uncg.edu/sites/pauli/congruence/csg9.html#group48L9", "48L⁹")</f>
        <v/>
      </c>
      <c r="B2119" t="n">
        <v>9</v>
      </c>
      <c r="C2119" t="inlineStr"/>
      <c r="D2119" t="inlineStr">
        <is>
          <t>144</t>
        </is>
      </c>
      <c r="E2119" t="inlineStr">
        <is>
          <t>1</t>
        </is>
      </c>
      <c r="F2119" t="inlineStr">
        <is>
          <t>18</t>
        </is>
      </c>
      <c r="G2119" t="inlineStr">
        <is>
          <t>8</t>
        </is>
      </c>
      <c r="H2119" t="inlineStr">
        <is>
          <t>0</t>
        </is>
      </c>
      <c r="I2119" t="inlineStr">
        <is>
          <t>24², 48²</t>
        </is>
      </c>
      <c r="J2119" t="n">
        <v>4</v>
      </c>
      <c r="K2119" t="inlineStr">
        <is>
          <t>1², 2⁴, 4²</t>
        </is>
      </c>
      <c r="L2119" t="inlineStr">
        <is>
          <t>24P², 48C³, 48C⁴</t>
        </is>
      </c>
      <c r="M2119" t="inlineStr">
        <is>
          <t>48Q¹⁷, 48BQ¹⁷, 48AN¹⁹, 48AO¹⁹, 48BF¹⁹, 48R²¹, 48AC²¹, 48AE²¹</t>
        </is>
      </c>
      <c r="N2119" t="inlineStr">
        <is>
          <t>48C³, 24E¹, 12C⁰, 24A⁰, 4C⁰, 8B⁰, 24P², 16B¹, 2B⁰, 12M¹, 3A⁰, 1A⁰, 6D⁰, 48C⁴</t>
        </is>
      </c>
      <c r="O2119" t="inlineStr">
        <is>
          <t>48BQ¹⁷, 48AC²¹, 48AE²¹, 48BF¹⁹, 48AO¹⁹, 48R²¹, 48Q¹⁷, 48AN¹⁹</t>
        </is>
      </c>
    </row>
    <row r="2120">
      <c r="A2120">
        <f>HYPERLINK("https://mathstats.uncg.edu/sites/pauli/congruence/csg9.html#group48M9", "48M⁹")</f>
        <v/>
      </c>
      <c r="B2120" t="n">
        <v>9</v>
      </c>
      <c r="C2120" t="inlineStr"/>
      <c r="D2120" t="inlineStr">
        <is>
          <t>144</t>
        </is>
      </c>
      <c r="E2120" t="inlineStr">
        <is>
          <t>1</t>
        </is>
      </c>
      <c r="F2120" t="inlineStr">
        <is>
          <t>18</t>
        </is>
      </c>
      <c r="G2120" t="inlineStr">
        <is>
          <t>8</t>
        </is>
      </c>
      <c r="H2120" t="inlineStr">
        <is>
          <t>0</t>
        </is>
      </c>
      <c r="I2120" t="inlineStr">
        <is>
          <t>24², 48²</t>
        </is>
      </c>
      <c r="J2120" t="n">
        <v>4</v>
      </c>
      <c r="K2120" t="inlineStr">
        <is>
          <t>1², 2⁴, 4²</t>
        </is>
      </c>
      <c r="L2120" t="inlineStr">
        <is>
          <t>24I³, 48C³, 48F³</t>
        </is>
      </c>
      <c r="M2120" t="inlineStr">
        <is>
          <t>48M¹⁷, 48O¹⁷, 48Q¹⁷, 48BC¹⁹, 48BG¹⁹, 48H²¹, 48P²¹, 48AC²¹, 48AF²¹</t>
        </is>
      </c>
      <c r="N2120" t="inlineStr">
        <is>
          <t>12C⁰, 4C⁰, 24I³, 8B⁰, 6G⁰, 16B¹, 2B⁰, 24C², 1A⁰, 12L¹, 48C³, 12C¹, 24A⁰, 3C⁰, 48F³, 3A⁰, 6D⁰</t>
        </is>
      </c>
      <c r="O2120" t="inlineStr">
        <is>
          <t>48AC²¹, 48AF²¹, 48P²¹, 48BC¹⁹, 48O¹⁷, 48M¹⁷, 48BG¹⁹, 48H²¹, 48Q¹⁷</t>
        </is>
      </c>
    </row>
    <row r="2121">
      <c r="A2121">
        <f>HYPERLINK("https://mathstats.uncg.edu/sites/pauli/congruence/csg9.html#group48N9", "48N⁹")</f>
        <v/>
      </c>
      <c r="B2121" t="n">
        <v>9</v>
      </c>
      <c r="C2121" t="inlineStr"/>
      <c r="D2121" t="inlineStr">
        <is>
          <t>144</t>
        </is>
      </c>
      <c r="E2121" t="inlineStr">
        <is>
          <t>1</t>
        </is>
      </c>
      <c r="F2121" t="inlineStr">
        <is>
          <t>36</t>
        </is>
      </c>
      <c r="G2121" t="inlineStr">
        <is>
          <t>0</t>
        </is>
      </c>
      <c r="H2121" t="inlineStr">
        <is>
          <t>0</t>
        </is>
      </c>
      <c r="I2121" t="inlineStr">
        <is>
          <t>6⁴, 12², 48²</t>
        </is>
      </c>
      <c r="J2121" t="n">
        <v>8</v>
      </c>
      <c r="K2121" t="inlineStr">
        <is>
          <t>2⁴, 4⁷</t>
        </is>
      </c>
      <c r="L2121" t="inlineStr">
        <is>
          <t>24K³</t>
        </is>
      </c>
      <c r="M2121" t="inlineStr">
        <is>
          <t>48B¹⁷, 48U¹⁷, 48V¹⁷</t>
        </is>
      </c>
      <c r="N2121" t="inlineStr">
        <is>
          <t>12K¹, 3A⁰, 24D², 6G⁰, 3C⁰, 12B¹, 24K³, 2B⁰, 12D⁰, 4B⁰, 1A⁰, 6D⁰</t>
        </is>
      </c>
      <c r="O2121" t="inlineStr">
        <is>
          <t>48V¹⁷, 48U¹⁷, 48B¹⁷</t>
        </is>
      </c>
    </row>
    <row r="2122">
      <c r="A2122">
        <f>HYPERLINK("https://mathstats.uncg.edu/sites/pauli/congruence/csg9.html#group48O9", "48O⁹")</f>
        <v/>
      </c>
      <c r="B2122" t="n">
        <v>9</v>
      </c>
      <c r="C2122" t="inlineStr"/>
      <c r="D2122" t="inlineStr">
        <is>
          <t>144</t>
        </is>
      </c>
      <c r="E2122" t="inlineStr">
        <is>
          <t>1</t>
        </is>
      </c>
      <c r="F2122" t="inlineStr">
        <is>
          <t>36</t>
        </is>
      </c>
      <c r="G2122" t="inlineStr">
        <is>
          <t>0</t>
        </is>
      </c>
      <c r="H2122" t="inlineStr">
        <is>
          <t>0</t>
        </is>
      </c>
      <c r="I2122" t="inlineStr">
        <is>
          <t>6⁴, 12², 48²</t>
        </is>
      </c>
      <c r="J2122" t="n">
        <v>8</v>
      </c>
      <c r="K2122" t="inlineStr">
        <is>
          <t>1⁴, 2⁶, 4³, 8¹</t>
        </is>
      </c>
      <c r="L2122" t="inlineStr">
        <is>
          <t>24F⁴, 48G⁴, 48B⁵</t>
        </is>
      </c>
      <c r="M2122" t="inlineStr">
        <is>
          <t>48H¹⁷, 48AA¹⁷, 48AB¹⁷, 48AC¹⁷, 48BT¹⁷</t>
        </is>
      </c>
      <c r="N2122" t="inlineStr">
        <is>
          <t>24B², 24F⁴, 3A⁰, 8C⁰, 12B¹, 8I⁰, 2B⁰, 4B⁰, 1A⁰, 48G⁴, 6D⁰, 48B⁵</t>
        </is>
      </c>
      <c r="O2122" t="inlineStr">
        <is>
          <t>48H¹⁷, 48AC¹⁷, 48AB¹⁷, 48BT¹⁷, 48AA¹⁷</t>
        </is>
      </c>
    </row>
    <row r="2123">
      <c r="A2123">
        <f>HYPERLINK("https://mathstats.uncg.edu/sites/pauli/congruence/csg9.html#group48P9", "48P⁹")</f>
        <v/>
      </c>
      <c r="B2123" t="n">
        <v>9</v>
      </c>
      <c r="C2123" t="inlineStr"/>
      <c r="D2123" t="inlineStr">
        <is>
          <t>144</t>
        </is>
      </c>
      <c r="E2123" t="inlineStr">
        <is>
          <t>1</t>
        </is>
      </c>
      <c r="F2123" t="inlineStr">
        <is>
          <t>36</t>
        </is>
      </c>
      <c r="G2123" t="inlineStr">
        <is>
          <t>0</t>
        </is>
      </c>
      <c r="H2123" t="inlineStr">
        <is>
          <t>0</t>
        </is>
      </c>
      <c r="I2123" t="inlineStr">
        <is>
          <t>6⁴, 12², 48²</t>
        </is>
      </c>
      <c r="J2123" t="n">
        <v>8</v>
      </c>
      <c r="K2123" t="inlineStr">
        <is>
          <t>1⁴, 2⁶, 4³, 8¹</t>
        </is>
      </c>
      <c r="L2123" t="inlineStr">
        <is>
          <t>24M⁴, 48D⁴, 48B⁵</t>
        </is>
      </c>
      <c r="M2123" t="inlineStr">
        <is>
          <t>48I¹⁷, 48Z¹⁷, 48AB¹⁷, 48AC¹⁷, 48BS¹⁷</t>
        </is>
      </c>
      <c r="N2123" t="inlineStr">
        <is>
          <t>24B², 3A⁰, 16D⁰, 24M⁴, 8C⁰, 12B¹, 2B⁰, 4B⁰, 1A⁰, 6D⁰, 48D⁴, 48B⁵</t>
        </is>
      </c>
      <c r="O2123" t="inlineStr">
        <is>
          <t>48AC¹⁷, 48AB¹⁷, 48BS¹⁷, 48Z¹⁷, 48I¹⁷</t>
        </is>
      </c>
    </row>
    <row r="2124">
      <c r="A2124">
        <f>HYPERLINK("https://mathstats.uncg.edu/sites/pauli/congruence/csg9.html#group48Q9", "48Q⁹")</f>
        <v/>
      </c>
      <c r="B2124" t="n">
        <v>9</v>
      </c>
      <c r="C2124" t="inlineStr"/>
      <c r="D2124" t="inlineStr">
        <is>
          <t>144</t>
        </is>
      </c>
      <c r="E2124" t="inlineStr">
        <is>
          <t>1</t>
        </is>
      </c>
      <c r="F2124" t="inlineStr">
        <is>
          <t>36</t>
        </is>
      </c>
      <c r="G2124" t="inlineStr">
        <is>
          <t>0</t>
        </is>
      </c>
      <c r="H2124" t="inlineStr">
        <is>
          <t>0</t>
        </is>
      </c>
      <c r="I2124" t="inlineStr">
        <is>
          <t>6⁴, 12², 48²</t>
        </is>
      </c>
      <c r="J2124" t="n">
        <v>8</v>
      </c>
      <c r="K2124" t="inlineStr">
        <is>
          <t>1⁴, 2⁶, 4³, 8¹</t>
        </is>
      </c>
      <c r="L2124" t="inlineStr">
        <is>
          <t>24M⁴, 48G⁴, 48A⁵</t>
        </is>
      </c>
      <c r="M2124" t="inlineStr">
        <is>
          <t>48J¹⁷, 48X¹⁷, 48Y¹⁷, 48AB¹⁷, 48AD¹⁷, 96U²¹, 96V²¹, 96W²¹, 96X²¹, 96AR²¹, 96AS²¹</t>
        </is>
      </c>
      <c r="N2124" t="inlineStr">
        <is>
          <t>48A⁵, 24B², 3A⁰, 24M⁴, 16A¹, 8C⁰, 12B¹, 2B⁰, 4B⁰, 1A⁰, 48G⁴, 6D⁰</t>
        </is>
      </c>
      <c r="O2124" t="inlineStr">
        <is>
          <t>96V²¹, 96X²¹, 48AB¹⁷, 48AD¹⁷, 48X¹⁷, 48J¹⁷, 96W²¹, 96AR²¹, 96U²¹, 48Y¹⁷, 96AS²¹</t>
        </is>
      </c>
    </row>
    <row r="2125">
      <c r="A2125">
        <f>HYPERLINK("https://mathstats.uncg.edu/sites/pauli/congruence/csg9.html#group48R9", "48R⁹")</f>
        <v/>
      </c>
      <c r="B2125" t="n">
        <v>9</v>
      </c>
      <c r="C2125" t="inlineStr"/>
      <c r="D2125" t="inlineStr">
        <is>
          <t>144</t>
        </is>
      </c>
      <c r="E2125" t="inlineStr">
        <is>
          <t>1</t>
        </is>
      </c>
      <c r="F2125" t="inlineStr">
        <is>
          <t>36</t>
        </is>
      </c>
      <c r="G2125" t="inlineStr">
        <is>
          <t>4</t>
        </is>
      </c>
      <c r="H2125" t="inlineStr">
        <is>
          <t>0</t>
        </is>
      </c>
      <c r="I2125" t="inlineStr">
        <is>
          <t>12⁴, 48²</t>
        </is>
      </c>
      <c r="J2125" t="n">
        <v>6</v>
      </c>
      <c r="K2125" t="inlineStr">
        <is>
          <t>1², 2³, 4³, 8²</t>
        </is>
      </c>
      <c r="L2125" t="inlineStr">
        <is>
          <t>24O³, 48H⁴</t>
        </is>
      </c>
      <c r="M2125" t="inlineStr">
        <is>
          <t>48AH¹⁷, 48AJ¹⁷, 48AK¹⁷, 48E¹⁹, 48J¹⁹, 48X¹⁹, 48V¹⁹</t>
        </is>
      </c>
      <c r="N2125" t="inlineStr">
        <is>
          <t>24E¹, 12C⁰, 48H⁴, 8D⁰, 4C⁰, 6G⁰, 2B⁰, 1A⁰, 24O³, 12L¹, 12C¹, 24C¹, 3C⁰, 3A⁰, 6D⁰</t>
        </is>
      </c>
      <c r="O2125" t="inlineStr">
        <is>
          <t>48AH¹⁷, 48J¹⁹, 48AK¹⁷, 48V¹⁹, 48X¹⁹, 48E¹⁹, 48AJ¹⁷</t>
        </is>
      </c>
    </row>
    <row r="2126">
      <c r="A2126">
        <f>HYPERLINK("https://mathstats.uncg.edu/sites/pauli/congruence/csg9.html#group48S9", "48S⁹")</f>
        <v/>
      </c>
      <c r="B2126" t="n">
        <v>9</v>
      </c>
      <c r="C2126" t="inlineStr"/>
      <c r="D2126" t="inlineStr">
        <is>
          <t>144</t>
        </is>
      </c>
      <c r="E2126" t="inlineStr">
        <is>
          <t>1</t>
        </is>
      </c>
      <c r="F2126" t="inlineStr">
        <is>
          <t>36</t>
        </is>
      </c>
      <c r="G2126" t="inlineStr">
        <is>
          <t>4</t>
        </is>
      </c>
      <c r="H2126" t="inlineStr">
        <is>
          <t>0</t>
        </is>
      </c>
      <c r="I2126" t="inlineStr">
        <is>
          <t>12⁴, 48²</t>
        </is>
      </c>
      <c r="J2126" t="n">
        <v>6</v>
      </c>
      <c r="K2126" t="inlineStr">
        <is>
          <t>1², 2³, 4³, 8²</t>
        </is>
      </c>
      <c r="L2126" t="inlineStr">
        <is>
          <t>24O³, 48E⁴, 48H⁴</t>
        </is>
      </c>
      <c r="M2126" t="inlineStr">
        <is>
          <t>48AH¹⁷, 48AI¹⁷, 48AL¹⁷, 48F¹⁹, 48J¹⁹, 48W¹⁹, 48Z¹⁹, 96AU²¹, 96AV²¹</t>
        </is>
      </c>
      <c r="N2126" t="inlineStr">
        <is>
          <t>24E¹, 12C⁰, 48H⁴, 8D⁰, 4C⁰, 6G⁰, 2B⁰, 1A⁰, 24O³, 12L¹, 48E⁴, 12C¹, 16C¹, 24C¹, 3C⁰, 3A⁰, 6D⁰</t>
        </is>
      </c>
      <c r="O2126" t="inlineStr">
        <is>
          <t>96AV²¹, 48J¹⁹, 48F¹⁹, 48Z¹⁹, 48AI¹⁷, 48AH¹⁷, 48AL¹⁷, 96AU²¹, 48W¹⁹</t>
        </is>
      </c>
    </row>
    <row r="2127">
      <c r="A2127">
        <f>HYPERLINK("https://mathstats.uncg.edu/sites/pauli/congruence/csg9.html#group48T9", "48T⁹")</f>
        <v/>
      </c>
      <c r="B2127" t="n">
        <v>9</v>
      </c>
      <c r="C2127" t="inlineStr"/>
      <c r="D2127" t="inlineStr">
        <is>
          <t>144</t>
        </is>
      </c>
      <c r="E2127" t="inlineStr">
        <is>
          <t>1</t>
        </is>
      </c>
      <c r="F2127" t="inlineStr">
        <is>
          <t>36</t>
        </is>
      </c>
      <c r="G2127" t="inlineStr">
        <is>
          <t>4</t>
        </is>
      </c>
      <c r="H2127" t="inlineStr">
        <is>
          <t>0</t>
        </is>
      </c>
      <c r="I2127" t="inlineStr">
        <is>
          <t>12⁴, 48²</t>
        </is>
      </c>
      <c r="J2127" t="n">
        <v>6</v>
      </c>
      <c r="K2127" t="inlineStr">
        <is>
          <t>1², 2³, 4³, 8²</t>
        </is>
      </c>
      <c r="L2127" t="inlineStr">
        <is>
          <t>48D³, 24L⁴, 48H⁴</t>
        </is>
      </c>
      <c r="M2127" t="inlineStr">
        <is>
          <t>48AL¹⁷, 48BV¹⁷, 48H¹⁹, 48X¹⁹, 48Y¹⁹, 96AA¹⁹, 96AB¹⁹, 96AZ¹⁹</t>
        </is>
      </c>
      <c r="N2127" t="inlineStr">
        <is>
          <t>16E⁰, 12C⁰, 48H⁴, 8D⁰, 4C⁰, 24C¹, 2B⁰, 12M¹, 48D³, 24C², 3A⁰, 1A⁰, 24L⁴, 6D⁰</t>
        </is>
      </c>
      <c r="O2127" t="inlineStr">
        <is>
          <t>48BV¹⁷, 48X¹⁹, 48Y¹⁹, 96AA¹⁹, 48AL¹⁷, 96AZ¹⁹, 96AB¹⁹, 48H¹⁹</t>
        </is>
      </c>
    </row>
    <row r="2128">
      <c r="A2128">
        <f>HYPERLINK("https://mathstats.uncg.edu/sites/pauli/congruence/csg9.html#group48U9", "48U⁹")</f>
        <v/>
      </c>
      <c r="B2128" t="n">
        <v>9</v>
      </c>
      <c r="C2128" t="inlineStr"/>
      <c r="D2128" t="inlineStr">
        <is>
          <t>144</t>
        </is>
      </c>
      <c r="E2128" t="inlineStr">
        <is>
          <t>1</t>
        </is>
      </c>
      <c r="F2128" t="inlineStr">
        <is>
          <t>36</t>
        </is>
      </c>
      <c r="G2128" t="inlineStr">
        <is>
          <t>4</t>
        </is>
      </c>
      <c r="H2128" t="inlineStr">
        <is>
          <t>0</t>
        </is>
      </c>
      <c r="I2128" t="inlineStr">
        <is>
          <t>12⁴, 48²</t>
        </is>
      </c>
      <c r="J2128" t="n">
        <v>6</v>
      </c>
      <c r="K2128" t="inlineStr">
        <is>
          <t>1², 2³, 4³, 8²</t>
        </is>
      </c>
      <c r="L2128" t="inlineStr">
        <is>
          <t>48G³, 24L⁴, 48E⁴</t>
        </is>
      </c>
      <c r="M2128" t="inlineStr">
        <is>
          <t>48AL¹⁷, 48BU¹⁷, 48I¹⁹, 48W¹⁹, 48Y¹⁹, 96AC²¹, 96AD²¹, 96AW²¹</t>
        </is>
      </c>
      <c r="N2128" t="inlineStr">
        <is>
          <t>48E⁴, 48G³, 12C⁰, 8D⁰, 16C¹, 4C⁰, 24C¹, 12M¹, 2B⁰, 24C², 3A⁰, 1A⁰, 24L⁴, 6D⁰</t>
        </is>
      </c>
      <c r="O2128" t="inlineStr">
        <is>
          <t>96AC²¹, 96AW²¹, 48Y¹⁹, 48I¹⁹, 96AD²¹, 48AL¹⁷, 48BU¹⁷, 48W¹⁹</t>
        </is>
      </c>
    </row>
    <row r="2129">
      <c r="A2129">
        <f>HYPERLINK("https://mathstats.uncg.edu/sites/pauli/congruence/csg9.html#group48V9", "48V⁹")</f>
        <v/>
      </c>
      <c r="B2129" t="n">
        <v>9</v>
      </c>
      <c r="C2129" t="inlineStr"/>
      <c r="D2129" t="inlineStr">
        <is>
          <t>144</t>
        </is>
      </c>
      <c r="E2129" t="inlineStr">
        <is>
          <t>1</t>
        </is>
      </c>
      <c r="F2129" t="inlineStr">
        <is>
          <t>36</t>
        </is>
      </c>
      <c r="G2129" t="inlineStr">
        <is>
          <t>8</t>
        </is>
      </c>
      <c r="H2129" t="inlineStr">
        <is>
          <t>0</t>
        </is>
      </c>
      <c r="I2129" t="inlineStr">
        <is>
          <t>24², 48²</t>
        </is>
      </c>
      <c r="J2129" t="n">
        <v>4</v>
      </c>
      <c r="K2129" t="inlineStr">
        <is>
          <t>2², 4⁸</t>
        </is>
      </c>
      <c r="L2129" t="inlineStr">
        <is>
          <t>24H³</t>
        </is>
      </c>
      <c r="M2129" t="inlineStr">
        <is>
          <t>48R¹⁷, 48AH¹⁹, 48AI¹⁹, 48AF¹⁹, 48AG¹⁹, 48G²¹, 48Y²¹</t>
        </is>
      </c>
      <c r="N2129" t="inlineStr">
        <is>
          <t>12C⁰, 12C¹, 24H³, 12L¹, 4C⁰, 24D¹, 6G⁰, 3C⁰, 2B⁰, 3A⁰, 1A⁰, 6D⁰</t>
        </is>
      </c>
      <c r="O2129" t="inlineStr">
        <is>
          <t>48AI¹⁹, 48AF¹⁹, 48R¹⁷, 48Y²¹, 48AG¹⁹, 48AH¹⁹, 48G²¹</t>
        </is>
      </c>
    </row>
    <row r="2130">
      <c r="A2130">
        <f>HYPERLINK("https://mathstats.uncg.edu/sites/pauli/congruence/csg9.html#group48W9", "48W⁹")</f>
        <v/>
      </c>
      <c r="B2130" t="n">
        <v>9</v>
      </c>
      <c r="C2130" t="inlineStr"/>
      <c r="D2130" t="inlineStr">
        <is>
          <t>144</t>
        </is>
      </c>
      <c r="E2130" t="inlineStr">
        <is>
          <t>1</t>
        </is>
      </c>
      <c r="F2130" t="inlineStr">
        <is>
          <t>36</t>
        </is>
      </c>
      <c r="G2130" t="inlineStr">
        <is>
          <t>8</t>
        </is>
      </c>
      <c r="H2130" t="inlineStr">
        <is>
          <t>0</t>
        </is>
      </c>
      <c r="I2130" t="inlineStr">
        <is>
          <t>24², 48²</t>
        </is>
      </c>
      <c r="J2130" t="n">
        <v>4</v>
      </c>
      <c r="K2130" t="inlineStr">
        <is>
          <t>1⁴, 2⁶, 4³, 8¹</t>
        </is>
      </c>
      <c r="L2130" t="inlineStr">
        <is>
          <t>24I³, 48H³</t>
        </is>
      </c>
      <c r="M2130" t="inlineStr">
        <is>
          <t>48AV¹⁷, 48AW¹⁷, 48AY¹⁷, 48AM¹⁹, 48BB¹⁹, 48BE¹⁹, 48BC¹⁹, 48W²¹, 48AO²¹, 48BD²¹, 48BB²¹</t>
        </is>
      </c>
      <c r="N2130" t="inlineStr">
        <is>
          <t>12C⁰, 12C¹, 24A⁰, 12L¹, 4C⁰, 24I³, 8B⁰, 6G⁰, 3C⁰, 2B⁰, 24C², 3A⁰, 1A⁰, 48H³, 6D⁰</t>
        </is>
      </c>
      <c r="O2130" t="inlineStr">
        <is>
          <t>48AO²¹, 48W²¹, 48BD²¹, 48AW¹⁷, 48BE¹⁹, 48BC¹⁹, 48BB²¹, 48AM¹⁹, 48BB¹⁹, 48AY¹⁷, 48AV¹⁷</t>
        </is>
      </c>
    </row>
    <row r="2131">
      <c r="A2131">
        <f>HYPERLINK("https://mathstats.uncg.edu/sites/pauli/congruence/csg9.html#group48X9", "48X⁹")</f>
        <v/>
      </c>
      <c r="B2131" t="n">
        <v>9</v>
      </c>
      <c r="C2131" t="inlineStr"/>
      <c r="D2131" t="inlineStr">
        <is>
          <t>144</t>
        </is>
      </c>
      <c r="E2131" t="inlineStr">
        <is>
          <t>1</t>
        </is>
      </c>
      <c r="F2131" t="inlineStr">
        <is>
          <t>36</t>
        </is>
      </c>
      <c r="G2131" t="inlineStr">
        <is>
          <t>8</t>
        </is>
      </c>
      <c r="H2131" t="inlineStr">
        <is>
          <t>0</t>
        </is>
      </c>
      <c r="I2131" t="inlineStr">
        <is>
          <t>24², 48²</t>
        </is>
      </c>
      <c r="J2131" t="n">
        <v>4</v>
      </c>
      <c r="K2131" t="inlineStr">
        <is>
          <t>1⁴, 2⁶, 4³, 8¹</t>
        </is>
      </c>
      <c r="L2131" t="inlineStr">
        <is>
          <t>24M², 48H³, 48C⁴</t>
        </is>
      </c>
      <c r="M2131" t="inlineStr">
        <is>
          <t>48AZ¹⁷, 48CD¹⁷, 48AJ¹⁹, 48BF¹⁹, 48BJ¹⁹, 48BK¹⁹, 48AL²¹, 48BD²¹, 48BF²¹</t>
        </is>
      </c>
      <c r="N2131" t="inlineStr">
        <is>
          <t>12C⁰, 24A⁰, 24M², 4C⁰, 8B⁰, 8L⁰, 2B⁰, 3A⁰, 1A⁰, 48H³, 6D⁰, 48C⁴</t>
        </is>
      </c>
      <c r="O2131" t="inlineStr">
        <is>
          <t>48CD¹⁷, 48BF²¹, 48AJ¹⁹, 48BJ¹⁹, 48AZ¹⁷, 48BF¹⁹, 48BK¹⁹, 48BD²¹, 48AL²¹</t>
        </is>
      </c>
    </row>
    <row r="2132">
      <c r="A2132">
        <f>HYPERLINK("https://mathstats.uncg.edu/sites/pauli/congruence/csg9.html#group48Y9", "48Y⁹")</f>
        <v/>
      </c>
      <c r="B2132" t="n">
        <v>9</v>
      </c>
      <c r="C2132" t="inlineStr"/>
      <c r="D2132" t="inlineStr">
        <is>
          <t>144</t>
        </is>
      </c>
      <c r="E2132" t="inlineStr">
        <is>
          <t>1</t>
        </is>
      </c>
      <c r="F2132" t="inlineStr">
        <is>
          <t>36</t>
        </is>
      </c>
      <c r="G2132" t="inlineStr">
        <is>
          <t>8</t>
        </is>
      </c>
      <c r="H2132" t="inlineStr">
        <is>
          <t>0</t>
        </is>
      </c>
      <c r="I2132" t="inlineStr">
        <is>
          <t>24², 48²</t>
        </is>
      </c>
      <c r="J2132" t="n">
        <v>4</v>
      </c>
      <c r="K2132" t="inlineStr">
        <is>
          <t>1⁴, 2⁶, 4³, 8¹</t>
        </is>
      </c>
      <c r="L2132" t="inlineStr">
        <is>
          <t>24Q², 48E³, 48C⁴</t>
        </is>
      </c>
      <c r="M2132" t="inlineStr">
        <is>
          <t>48AZ¹⁷, 48CC¹⁷, 48AK¹⁹, 48BF¹⁹, 48BH¹⁹, 48BI¹⁹, 48AM²¹, 48BC²¹, 48BF²¹, 96AI²¹, 96AL²¹, 96AK²¹, 96AJ²¹, 96AX²¹, 96AY²¹</t>
        </is>
      </c>
      <c r="N2132" t="inlineStr">
        <is>
          <t>16D¹, 12C⁰, 48E³, 24A⁰, 4C⁰, 8B⁰, 24Q², 2B⁰, 3A⁰, 1A⁰, 6D⁰, 48C⁴</t>
        </is>
      </c>
      <c r="O2132" t="inlineStr">
        <is>
          <t>96AL²¹, 96AX²¹, 48AK¹⁹, 96AY²¹, 48BF²¹, 96AI²¹, 96AK²¹, 48AM²¹, 48BH¹⁹, 48AZ¹⁷, 96AJ²¹, 48BF¹⁹, 48BI¹⁹, 48BC²¹, 48CC¹⁷</t>
        </is>
      </c>
    </row>
    <row r="2133">
      <c r="A2133">
        <f>HYPERLINK("https://mathstats.uncg.edu/sites/pauli/congruence/csg9.html#group48Z9", "48Z⁹")</f>
        <v/>
      </c>
      <c r="B2133" t="n">
        <v>9</v>
      </c>
      <c r="C2133" t="inlineStr"/>
      <c r="D2133" t="inlineStr">
        <is>
          <t>144</t>
        </is>
      </c>
      <c r="E2133" t="inlineStr">
        <is>
          <t>1</t>
        </is>
      </c>
      <c r="F2133" t="inlineStr">
        <is>
          <t>36</t>
        </is>
      </c>
      <c r="G2133" t="inlineStr">
        <is>
          <t>8</t>
        </is>
      </c>
      <c r="H2133" t="inlineStr">
        <is>
          <t>0</t>
        </is>
      </c>
      <c r="I2133" t="inlineStr">
        <is>
          <t>24², 48²</t>
        </is>
      </c>
      <c r="J2133" t="n">
        <v>4</v>
      </c>
      <c r="K2133" t="inlineStr">
        <is>
          <t>1⁴, 2⁶, 4³, 8¹</t>
        </is>
      </c>
      <c r="L2133" t="inlineStr">
        <is>
          <t>24I³, 48E³, 48H³</t>
        </is>
      </c>
      <c r="M2133" t="inlineStr">
        <is>
          <t>48AV¹⁷, 48AX¹⁷, 48AZ¹⁷, 48AL¹⁹, 48BB¹⁹, 48BD¹⁹, 48BG¹⁹, 48W²¹, 48AP²¹, 48BC²¹, 48BG²¹, 96AE²¹, 96AF²¹, 96AH²¹, 96AG²¹, 96AM²¹, 96AP²¹, 96AO²¹, 96AN²¹</t>
        </is>
      </c>
      <c r="N2133" t="inlineStr">
        <is>
          <t>12C⁰, 4C⁰, 24I³, 8B⁰, 6G⁰, 2B⁰, 24C², 1A⁰, 48H³, 12L¹, 16D¹, 12C¹, 48E³, 24A⁰, 3C⁰, 3A⁰, 6D⁰</t>
        </is>
      </c>
      <c r="O2133" t="inlineStr">
        <is>
          <t>96AH²¹, 48AL¹⁹, 48BG¹⁹, 96AG²¹, 96AF²¹, 96AN²¹, 48BB¹⁹, 48BC²¹, 96AO²¹, 96AM²¹, 48AX¹⁷, 96AE²¹, 48W²¹, 48BG²¹, 48BD¹⁹, 96AP²¹, 48AZ¹⁷, 48AP²¹, 48AV¹⁷</t>
        </is>
      </c>
    </row>
    <row r="2134">
      <c r="A2134">
        <f>HYPERLINK("https://mathstats.uncg.edu/sites/pauli/congruence/csg9.html#group48AA9", "48AA⁹")</f>
        <v/>
      </c>
      <c r="B2134" t="n">
        <v>9</v>
      </c>
      <c r="C2134" t="inlineStr"/>
      <c r="D2134" t="inlineStr">
        <is>
          <t>144</t>
        </is>
      </c>
      <c r="E2134" t="inlineStr">
        <is>
          <t>2</t>
        </is>
      </c>
      <c r="F2134" t="inlineStr">
        <is>
          <t>18</t>
        </is>
      </c>
      <c r="G2134" t="inlineStr">
        <is>
          <t>0</t>
        </is>
      </c>
      <c r="H2134" t="inlineStr">
        <is>
          <t>0</t>
        </is>
      </c>
      <c r="I2134" t="inlineStr">
        <is>
          <t>6⁴, 12², 48²</t>
        </is>
      </c>
      <c r="J2134" t="n">
        <v>8</v>
      </c>
      <c r="K2134" t="inlineStr">
        <is>
          <t>2¹², 4³</t>
        </is>
      </c>
      <c r="L2134" t="inlineStr">
        <is>
          <t>24J⁴, 48F⁴, 48B⁵</t>
        </is>
      </c>
      <c r="M2134" t="inlineStr">
        <is>
          <t>48E¹⁷, 48G¹⁷, 48F¹⁷, 48BT¹⁷, 48BS¹⁷</t>
        </is>
      </c>
      <c r="N2134" t="inlineStr">
        <is>
          <t>6B⁰, 12D², 24J⁴, 48F⁴, 8C⁰, 2B⁰, 4B⁰, 1A⁰, 24B², 12C¹, 24D², 12B¹, 6H⁰, 3A⁰, 6D⁰, 48B⁵</t>
        </is>
      </c>
      <c r="O2134" t="inlineStr">
        <is>
          <t>48G¹⁷, 48BS¹⁷, 48BT¹⁷, 48F¹⁷, 48E¹⁷</t>
        </is>
      </c>
    </row>
    <row r="2135">
      <c r="A2135">
        <f>HYPERLINK("https://mathstats.uncg.edu/sites/pauli/congruence/csg9.html#group48AB9", "48AB⁹")</f>
        <v/>
      </c>
      <c r="B2135" t="n">
        <v>9</v>
      </c>
      <c r="C2135" t="inlineStr"/>
      <c r="D2135" t="inlineStr">
        <is>
          <t>144</t>
        </is>
      </c>
      <c r="E2135" t="inlineStr">
        <is>
          <t>2</t>
        </is>
      </c>
      <c r="F2135" t="inlineStr">
        <is>
          <t>18</t>
        </is>
      </c>
      <c r="G2135" t="inlineStr">
        <is>
          <t>8</t>
        </is>
      </c>
      <c r="H2135" t="inlineStr">
        <is>
          <t>0</t>
        </is>
      </c>
      <c r="I2135" t="inlineStr">
        <is>
          <t>24², 48²</t>
        </is>
      </c>
      <c r="J2135" t="n">
        <v>4</v>
      </c>
      <c r="K2135" t="inlineStr">
        <is>
          <t>2⁶, 4⁶</t>
        </is>
      </c>
      <c r="L2135" t="inlineStr">
        <is>
          <t>24P², 48F³, 48C⁴</t>
        </is>
      </c>
      <c r="M2135" t="inlineStr">
        <is>
          <t>48N¹⁷, 48BR¹⁷, 48BQ¹⁷, 48BH¹⁹, 48BI¹⁹, 48BJ¹⁹, 48BK¹⁹, 48AA²¹, 48AC²¹, 48AD²¹, 48BQ²¹</t>
        </is>
      </c>
      <c r="N2135" t="inlineStr">
        <is>
          <t>24E¹, 12C⁰, 24A⁰, 4C⁰, 8B⁰, 24P², 12M¹, 2B⁰, 48F³, 3A⁰, 1A⁰, 6D⁰, 48C⁴</t>
        </is>
      </c>
      <c r="O2135" t="inlineStr">
        <is>
          <t>48AA²¹, 48BQ¹⁷, 48AC²¹, 48AD²¹, 48BR¹⁷, 48N¹⁷, 48BJ¹⁹, 48BH¹⁹, 48BQ²¹, 48BI¹⁹, 48BK¹⁹</t>
        </is>
      </c>
    </row>
    <row r="2136">
      <c r="A2136">
        <f>HYPERLINK("https://mathstats.uncg.edu/sites/pauli/congruence/csg9.html#group48AC9", "48AC⁹")</f>
        <v/>
      </c>
      <c r="B2136" t="n">
        <v>9</v>
      </c>
      <c r="C2136" t="inlineStr"/>
      <c r="D2136" t="inlineStr">
        <is>
          <t>144</t>
        </is>
      </c>
      <c r="E2136" t="inlineStr">
        <is>
          <t>2</t>
        </is>
      </c>
      <c r="F2136" t="inlineStr">
        <is>
          <t>36</t>
        </is>
      </c>
      <c r="G2136" t="inlineStr">
        <is>
          <t>0</t>
        </is>
      </c>
      <c r="H2136" t="inlineStr">
        <is>
          <t>0</t>
        </is>
      </c>
      <c r="I2136" t="inlineStr">
        <is>
          <t>6⁴, 12², 48²</t>
        </is>
      </c>
      <c r="J2136" t="n">
        <v>8</v>
      </c>
      <c r="K2136" t="inlineStr">
        <is>
          <t>2¹², 4⁶, 8³</t>
        </is>
      </c>
      <c r="L2136" t="inlineStr">
        <is>
          <t>24M⁴, 48G⁴, 48B⁵</t>
        </is>
      </c>
      <c r="M2136" t="inlineStr">
        <is>
          <t>48W¹⁷, 48AA¹⁷, 48Z¹⁷, 48Y¹⁷, 48BP¹⁷, 48BT¹⁷, 48BS¹⁷</t>
        </is>
      </c>
      <c r="N2136" t="inlineStr">
        <is>
          <t>24B², 3A⁰, 24M⁴, 8C⁰, 12B¹, 2B⁰, 4B⁰, 1A⁰, 48G⁴, 6D⁰, 48B⁵</t>
        </is>
      </c>
      <c r="O2136" t="inlineStr">
        <is>
          <t>48BT¹⁷, 48AA¹⁷, 48W¹⁷, 48Y¹⁷, 48BS¹⁷, 48BP¹⁷, 48Z¹⁷</t>
        </is>
      </c>
    </row>
    <row r="2137">
      <c r="A2137">
        <f>HYPERLINK("https://mathstats.uncg.edu/sites/pauli/congruence/csg9.html#group48AD9", "48AD⁹")</f>
        <v/>
      </c>
      <c r="B2137" t="n">
        <v>9</v>
      </c>
      <c r="C2137" t="inlineStr"/>
      <c r="D2137" t="inlineStr">
        <is>
          <t>144</t>
        </is>
      </c>
      <c r="E2137" t="inlineStr">
        <is>
          <t>2</t>
        </is>
      </c>
      <c r="F2137" t="inlineStr">
        <is>
          <t>36</t>
        </is>
      </c>
      <c r="G2137" t="inlineStr">
        <is>
          <t>4</t>
        </is>
      </c>
      <c r="H2137" t="inlineStr">
        <is>
          <t>0</t>
        </is>
      </c>
      <c r="I2137" t="inlineStr">
        <is>
          <t>12⁴, 48²</t>
        </is>
      </c>
      <c r="J2137" t="n">
        <v>6</v>
      </c>
      <c r="K2137" t="inlineStr">
        <is>
          <t>2⁶, 4³, 8⁶</t>
        </is>
      </c>
      <c r="L2137" t="inlineStr">
        <is>
          <t>48G³, 24L⁴, 48H⁴</t>
        </is>
      </c>
      <c r="M2137" t="inlineStr">
        <is>
          <t>48AK¹⁷, 48BV¹⁷, 48BU¹⁷, 48U¹⁹, 48X¹⁹, 48W¹⁹, 48AW¹⁹</t>
        </is>
      </c>
      <c r="N2137" t="inlineStr">
        <is>
          <t>12C⁰, 48G³, 48H⁴, 8D⁰, 4C⁰, 24C¹, 2B⁰, 12M¹, 24C², 3A⁰, 1A⁰, 24L⁴, 6D⁰</t>
        </is>
      </c>
      <c r="O2137" t="inlineStr">
        <is>
          <t>48U¹⁹, 48AW¹⁹, 48BV¹⁷, 48BU¹⁷, 48AK¹⁷, 48X¹⁹, 48W¹⁹</t>
        </is>
      </c>
    </row>
    <row r="2138">
      <c r="A2138">
        <f>HYPERLINK("https://mathstats.uncg.edu/sites/pauli/congruence/csg9.html#group48AE9", "48AE⁹")</f>
        <v/>
      </c>
      <c r="B2138" t="n">
        <v>9</v>
      </c>
      <c r="C2138" t="inlineStr"/>
      <c r="D2138" t="inlineStr">
        <is>
          <t>144</t>
        </is>
      </c>
      <c r="E2138" t="inlineStr">
        <is>
          <t>2</t>
        </is>
      </c>
      <c r="F2138" t="inlineStr">
        <is>
          <t>36</t>
        </is>
      </c>
      <c r="G2138" t="inlineStr">
        <is>
          <t>8</t>
        </is>
      </c>
      <c r="H2138" t="inlineStr">
        <is>
          <t>0</t>
        </is>
      </c>
      <c r="I2138" t="inlineStr">
        <is>
          <t>24², 48²</t>
        </is>
      </c>
      <c r="J2138" t="n">
        <v>4</v>
      </c>
      <c r="K2138" t="inlineStr">
        <is>
          <t>2¹², 4⁶, 8³</t>
        </is>
      </c>
      <c r="L2138" t="inlineStr">
        <is>
          <t>24Q², 48H³, 48C⁴</t>
        </is>
      </c>
      <c r="M2138" t="inlineStr">
        <is>
          <t>48AW¹⁷, 48CD¹⁷, 48CC¹⁷, 48AN¹⁹, 48AO¹⁹, 48BA¹⁹, 48BH¹⁹, 48BI¹⁹, 48BJ¹⁹, 48BK¹⁹, 48AW²¹, 48BD²¹, 48BC²¹, 48BR²¹</t>
        </is>
      </c>
      <c r="N2138" t="inlineStr">
        <is>
          <t>12C⁰, 24A⁰, 4C⁰, 8B⁰, 24Q², 2B⁰, 3A⁰, 1A⁰, 48H³, 6D⁰, 48C⁴</t>
        </is>
      </c>
      <c r="O2138" t="inlineStr">
        <is>
          <t>48AW²¹, 48AW¹⁷, 48BR²¹, 48BA¹⁹, 48CD¹⁷, 48BJ¹⁹, 48AO¹⁹, 48BH¹⁹, 48BI¹⁹, 48BC²¹, 48BD²¹, 48CC¹⁷, 48AN¹⁹, 48BK¹⁹</t>
        </is>
      </c>
    </row>
    <row r="2139">
      <c r="A2139">
        <f>HYPERLINK("https://mathstats.uncg.edu/sites/pauli/congruence/csg9.html#group48AF9", "48AF⁹")</f>
        <v/>
      </c>
      <c r="B2139" t="n">
        <v>9</v>
      </c>
      <c r="C2139" t="inlineStr"/>
      <c r="D2139" t="inlineStr">
        <is>
          <t>144</t>
        </is>
      </c>
      <c r="E2139" t="inlineStr">
        <is>
          <t>2</t>
        </is>
      </c>
      <c r="F2139" t="inlineStr">
        <is>
          <t>72</t>
        </is>
      </c>
      <c r="G2139" t="inlineStr">
        <is>
          <t>8</t>
        </is>
      </c>
      <c r="H2139" t="inlineStr">
        <is>
          <t>0</t>
        </is>
      </c>
      <c r="I2139" t="inlineStr">
        <is>
          <t>24², 48²</t>
        </is>
      </c>
      <c r="J2139" t="n">
        <v>4</v>
      </c>
      <c r="K2139" t="inlineStr">
        <is>
          <t>4²⁴, 8⁶</t>
        </is>
      </c>
      <c r="L2139" t="inlineStr">
        <is>
          <t>24S³</t>
        </is>
      </c>
      <c r="M2139" t="inlineStr">
        <is>
          <t>48AR¹⁷, 48BM¹⁹, 48BN¹⁹, 48AU²¹, 48AV²¹</t>
        </is>
      </c>
      <c r="N2139" t="inlineStr">
        <is>
          <t>6B⁰, 12C⁰, 24S³, 4C⁰, 24D¹, 2B⁰, 12D⁰, 24C², 6H⁰, 3A⁰, 12H⁰, 1A⁰, 6D⁰</t>
        </is>
      </c>
      <c r="O2139" t="inlineStr">
        <is>
          <t>48BM¹⁹, 48AU²¹, 48AV²¹, 48BN¹⁹, 48AR¹⁷</t>
        </is>
      </c>
    </row>
    <row r="2140">
      <c r="A2140">
        <f>HYPERLINK("https://mathstats.uncg.edu/sites/pauli/congruence/csg9.html#group48AG9", "48AG⁹")</f>
        <v/>
      </c>
      <c r="B2140" t="n">
        <v>9</v>
      </c>
      <c r="C2140" t="inlineStr"/>
      <c r="D2140" t="inlineStr">
        <is>
          <t>192</t>
        </is>
      </c>
      <c r="E2140" t="inlineStr">
        <is>
          <t>1</t>
        </is>
      </c>
      <c r="F2140" t="inlineStr">
        <is>
          <t>24</t>
        </is>
      </c>
      <c r="G2140" t="inlineStr">
        <is>
          <t>0</t>
        </is>
      </c>
      <c r="H2140" t="inlineStr">
        <is>
          <t>0</t>
        </is>
      </c>
      <c r="I2140" t="inlineStr">
        <is>
          <t>2⁴, 4², 6⁴, 12², 16², 48²</t>
        </is>
      </c>
      <c r="J2140" t="n">
        <v>16</v>
      </c>
      <c r="K2140" t="inlineStr">
        <is>
          <t>1⁸, 2⁶, 4¹</t>
        </is>
      </c>
      <c r="L2140" t="inlineStr">
        <is>
          <t>24J¹, 48C⁵, 48D⁵</t>
        </is>
      </c>
      <c r="M2140" t="inlineStr">
        <is>
          <t>48CN¹⁷, 48CO¹⁷</t>
        </is>
      </c>
      <c r="N2140" t="inlineStr">
        <is>
          <t>48C⁵, 24J¹, 3B⁰, 24B⁰, 24G¹, 6F⁰, 12J⁰, 16A¹, 8C⁰, 2B⁰, 4B⁰, 48D⁵, 1A⁰, 12E⁰</t>
        </is>
      </c>
      <c r="O2140" t="inlineStr">
        <is>
          <t>48CN¹⁷, 48CO¹⁷</t>
        </is>
      </c>
    </row>
    <row r="2141">
      <c r="A2141">
        <f>HYPERLINK("https://mathstats.uncg.edu/sites/pauli/congruence/csg9.html#group48AH9", "48AH⁹")</f>
        <v/>
      </c>
      <c r="B2141" t="n">
        <v>9</v>
      </c>
      <c r="C2141" t="inlineStr"/>
      <c r="D2141" t="inlineStr">
        <is>
          <t>192</t>
        </is>
      </c>
      <c r="E2141" t="inlineStr">
        <is>
          <t>1</t>
        </is>
      </c>
      <c r="F2141" t="inlineStr">
        <is>
          <t>24</t>
        </is>
      </c>
      <c r="G2141" t="inlineStr">
        <is>
          <t>0</t>
        </is>
      </c>
      <c r="H2141" t="inlineStr">
        <is>
          <t>0</t>
        </is>
      </c>
      <c r="I2141" t="inlineStr">
        <is>
          <t>2⁴, 4², 6⁴, 12², 16², 48²</t>
        </is>
      </c>
      <c r="J2141" t="n">
        <v>16</v>
      </c>
      <c r="K2141" t="inlineStr">
        <is>
          <t>1⁸, 2⁶, 4¹</t>
        </is>
      </c>
      <c r="L2141" t="inlineStr">
        <is>
          <t>24V³, 48I³, 48C⁵</t>
        </is>
      </c>
      <c r="M2141" t="inlineStr">
        <is>
          <t>48CL¹⁷, 48CK¹⁷, 48CN¹⁷, 48CD²¹, 48CI²¹, 48CG²¹, 48CJ²¹</t>
        </is>
      </c>
      <c r="N2141" t="inlineStr">
        <is>
          <t>48C⁵, 3B⁰, 2A⁰, 24V³, 8D⁰, 12F¹, 6I⁰, 24G¹, 4C⁰, 6C⁰, 8C⁰, 2B⁰, 4E⁰, 12P¹, 4B⁰, 1A⁰, 24I², 8G⁰, 48I³, 6F⁰, 2C⁰, 12E⁰</t>
        </is>
      </c>
      <c r="O2141" t="inlineStr">
        <is>
          <t>48CD²¹, 48CI²¹, 48CL¹⁷, 48CN¹⁷, 48CK¹⁷, 48CJ²¹, 48CG²¹</t>
        </is>
      </c>
    </row>
    <row r="2142">
      <c r="A2142">
        <f>HYPERLINK("https://mathstats.uncg.edu/sites/pauli/congruence/csg9.html#group48AI9", "48AI⁹")</f>
        <v/>
      </c>
      <c r="B2142" t="n">
        <v>9</v>
      </c>
      <c r="C2142" t="inlineStr"/>
      <c r="D2142" t="inlineStr">
        <is>
          <t>192</t>
        </is>
      </c>
      <c r="E2142" t="inlineStr">
        <is>
          <t>1</t>
        </is>
      </c>
      <c r="F2142" t="inlineStr">
        <is>
          <t>24</t>
        </is>
      </c>
      <c r="G2142" t="inlineStr">
        <is>
          <t>0</t>
        </is>
      </c>
      <c r="H2142" t="inlineStr">
        <is>
          <t>0</t>
        </is>
      </c>
      <c r="I2142" t="inlineStr">
        <is>
          <t>2⁴, 4², 6⁴, 12², 16², 48²</t>
        </is>
      </c>
      <c r="J2142" t="n">
        <v>16</v>
      </c>
      <c r="K2142" t="inlineStr">
        <is>
          <t>1⁸, 2⁶, 4¹</t>
        </is>
      </c>
      <c r="L2142" t="inlineStr">
        <is>
          <t>24W³, 48I³, 48D⁵</t>
        </is>
      </c>
      <c r="M2142" t="inlineStr">
        <is>
          <t>48CN¹⁷, 48CQ¹⁷</t>
        </is>
      </c>
      <c r="N2142" t="inlineStr">
        <is>
          <t>24F², 3B⁰, 24G¹, 12J⁰, 24W³, 16A¹, 8C⁰, 48I³, 2B⁰, 1A⁰, 4B⁰, 48D⁵, 6F⁰, 12E⁰</t>
        </is>
      </c>
      <c r="O2142" t="inlineStr">
        <is>
          <t>48CQ¹⁷, 48CN¹⁷</t>
        </is>
      </c>
    </row>
    <row r="2143">
      <c r="A2143">
        <f>HYPERLINK("https://mathstats.uncg.edu/sites/pauli/congruence/csg9.html#group48AJ9", "48AJ⁹")</f>
        <v/>
      </c>
      <c r="B2143" t="n">
        <v>9</v>
      </c>
      <c r="C2143" t="inlineStr"/>
      <c r="D2143" t="inlineStr">
        <is>
          <t>192</t>
        </is>
      </c>
      <c r="E2143" t="inlineStr">
        <is>
          <t>1</t>
        </is>
      </c>
      <c r="F2143" t="inlineStr">
        <is>
          <t>24</t>
        </is>
      </c>
      <c r="G2143" t="inlineStr">
        <is>
          <t>0</t>
        </is>
      </c>
      <c r="H2143" t="inlineStr">
        <is>
          <t>0</t>
        </is>
      </c>
      <c r="I2143" t="inlineStr">
        <is>
          <t>2⁴, 4², 6⁴, 12², 16², 48²</t>
        </is>
      </c>
      <c r="J2143" t="n">
        <v>16</v>
      </c>
      <c r="K2143" t="inlineStr">
        <is>
          <t>1⁸, 2⁶, 4¹</t>
        </is>
      </c>
      <c r="L2143" t="inlineStr">
        <is>
          <t>24W³, 48J³, 48C⁵</t>
        </is>
      </c>
      <c r="M2143" t="inlineStr">
        <is>
          <t>48CN¹⁷, 48CP¹⁷, 96BE²¹, 96BC²¹, 96BJ²¹</t>
        </is>
      </c>
      <c r="N2143" t="inlineStr">
        <is>
          <t>48C⁵, 3B⁰, 24F², 48J³, 16C⁰, 24G¹, 6F⁰, 12J⁰, 24W³, 8C⁰, 2B⁰, 4B⁰, 1A⁰, 12E⁰</t>
        </is>
      </c>
      <c r="O2143" t="inlineStr">
        <is>
          <t>96BE²¹, 48CN¹⁷, 48CP¹⁷, 96BC²¹, 96BJ²¹</t>
        </is>
      </c>
    </row>
    <row r="2144">
      <c r="A2144">
        <f>HYPERLINK("https://mathstats.uncg.edu/sites/pauli/congruence/csg9.html#group48AK9", "48AK⁹")</f>
        <v/>
      </c>
      <c r="B2144" t="n">
        <v>9</v>
      </c>
      <c r="C2144" t="inlineStr"/>
      <c r="D2144" t="inlineStr">
        <is>
          <t>192</t>
        </is>
      </c>
      <c r="E2144" t="inlineStr">
        <is>
          <t>1</t>
        </is>
      </c>
      <c r="F2144" t="inlineStr">
        <is>
          <t>24</t>
        </is>
      </c>
      <c r="G2144" t="inlineStr">
        <is>
          <t>0</t>
        </is>
      </c>
      <c r="H2144" t="inlineStr">
        <is>
          <t>0</t>
        </is>
      </c>
      <c r="I2144" t="inlineStr">
        <is>
          <t>2⁴, 4², 6⁴, 12², 16², 48²</t>
        </is>
      </c>
      <c r="J2144" t="n">
        <v>16</v>
      </c>
      <c r="K2144" t="inlineStr">
        <is>
          <t>1⁸, 2⁶, 4¹</t>
        </is>
      </c>
      <c r="L2144" t="inlineStr">
        <is>
          <t>16E¹, 24V³, 48J³, 48D⁵</t>
        </is>
      </c>
      <c r="M2144" t="inlineStr">
        <is>
          <t>48CJ¹⁷, 48CM¹⁷, 48CN¹⁷, 48CE²¹, 48CH²¹, 48CJ²¹, 48CK²¹, 96AZ²¹, 96BA²¹, 96BD²¹, 96BF²¹</t>
        </is>
      </c>
      <c r="N2144" t="inlineStr">
        <is>
          <t>3B⁰, 2A⁰, 24V³, 8D⁰, 12F¹, 16E¹, 24G¹, 4C⁰, 6I⁰, 6C⁰, 16A¹, 8C⁰, 2B⁰, 4E⁰, 12P¹, 4B⁰, 1A⁰, 24I², 8G⁰, 48J³, 16C⁰, 48D⁵, 6F⁰, 2C⁰, 12E⁰</t>
        </is>
      </c>
      <c r="O2144" t="inlineStr">
        <is>
          <t>48CE²¹, 48CM¹⁷, 48CH²¹, 96BA²¹, 96BF²¹, 96AZ²¹, 48CJ¹⁷, 48CK²¹, 48CN¹⁷, 48CJ²¹, 96BD²¹</t>
        </is>
      </c>
    </row>
    <row r="2145">
      <c r="A2145">
        <f>HYPERLINK("https://mathstats.uncg.edu/sites/pauli/congruence/csg9.html#group48AL9", "48AL⁹")</f>
        <v/>
      </c>
      <c r="B2145" t="n">
        <v>9</v>
      </c>
      <c r="C2145" t="inlineStr"/>
      <c r="D2145" t="inlineStr">
        <is>
          <t>192</t>
        </is>
      </c>
      <c r="E2145" t="inlineStr">
        <is>
          <t>1</t>
        </is>
      </c>
      <c r="F2145" t="inlineStr">
        <is>
          <t>48</t>
        </is>
      </c>
      <c r="G2145" t="inlineStr">
        <is>
          <t>0</t>
        </is>
      </c>
      <c r="H2145" t="inlineStr">
        <is>
          <t>0</t>
        </is>
      </c>
      <c r="I2145" t="inlineStr">
        <is>
          <t>2⁴, 4², 6⁴, 12², 16², 48²</t>
        </is>
      </c>
      <c r="J2145" t="n">
        <v>16</v>
      </c>
      <c r="K2145" t="inlineStr">
        <is>
          <t>1⁸, 2⁸, 4⁴, 8¹</t>
        </is>
      </c>
      <c r="L2145" t="inlineStr">
        <is>
          <t>24X³, 48K³, 48D⁵</t>
        </is>
      </c>
      <c r="M2145" t="inlineStr">
        <is>
          <t>48CJ¹⁷, 48CO¹⁷, 48CQ¹⁷</t>
        </is>
      </c>
      <c r="N2145" t="inlineStr">
        <is>
          <t>3B⁰, 24X³, 48K³, 24G¹, 16A¹, 8C⁰, 2B⁰, 1A⁰, 4B⁰, 48D⁵, 6F⁰, 12E⁰</t>
        </is>
      </c>
      <c r="O2145" t="inlineStr">
        <is>
          <t>48CJ¹⁷, 48CQ¹⁷, 48CO¹⁷</t>
        </is>
      </c>
    </row>
    <row r="2146">
      <c r="A2146">
        <f>HYPERLINK("https://mathstats.uncg.edu/sites/pauli/congruence/csg9.html#group48AM9", "48AM⁹")</f>
        <v/>
      </c>
      <c r="B2146" t="n">
        <v>9</v>
      </c>
      <c r="C2146" t="inlineStr"/>
      <c r="D2146" t="inlineStr">
        <is>
          <t>192</t>
        </is>
      </c>
      <c r="E2146" t="inlineStr">
        <is>
          <t>1</t>
        </is>
      </c>
      <c r="F2146" t="inlineStr">
        <is>
          <t>48</t>
        </is>
      </c>
      <c r="G2146" t="inlineStr">
        <is>
          <t>0</t>
        </is>
      </c>
      <c r="H2146" t="inlineStr">
        <is>
          <t>0</t>
        </is>
      </c>
      <c r="I2146" t="inlineStr">
        <is>
          <t>2⁴, 4², 6⁴, 12², 16², 48²</t>
        </is>
      </c>
      <c r="J2146" t="n">
        <v>16</v>
      </c>
      <c r="K2146" t="inlineStr">
        <is>
          <t>1⁸, 2⁸, 4⁴, 8¹</t>
        </is>
      </c>
      <c r="L2146" t="inlineStr">
        <is>
          <t>24X³, 48L³, 48C⁵</t>
        </is>
      </c>
      <c r="M2146" t="inlineStr">
        <is>
          <t>48CK¹⁷, 48CO¹⁷, 48CP¹⁷</t>
        </is>
      </c>
      <c r="N2146" t="inlineStr">
        <is>
          <t>48C⁵, 3B⁰, 24X³, 24G¹, 16D⁰, 6F⁰, 8C⁰, 2B⁰, 4B⁰, 1A⁰, 12E⁰, 48L³</t>
        </is>
      </c>
      <c r="O2146" t="inlineStr">
        <is>
          <t>48CK¹⁷, 48CP¹⁷, 48CO¹⁷</t>
        </is>
      </c>
    </row>
    <row r="2147">
      <c r="A2147">
        <f>HYPERLINK("https://mathstats.uncg.edu/sites/pauli/congruence/csg9.html#group48AN9", "48AN⁹")</f>
        <v/>
      </c>
      <c r="B2147" t="n">
        <v>9</v>
      </c>
      <c r="C2147" t="inlineStr"/>
      <c r="D2147" t="inlineStr">
        <is>
          <t>192</t>
        </is>
      </c>
      <c r="E2147" t="inlineStr">
        <is>
          <t>1</t>
        </is>
      </c>
      <c r="F2147" t="inlineStr">
        <is>
          <t>48</t>
        </is>
      </c>
      <c r="G2147" t="inlineStr">
        <is>
          <t>0</t>
        </is>
      </c>
      <c r="H2147" t="inlineStr">
        <is>
          <t>0</t>
        </is>
      </c>
      <c r="I2147" t="inlineStr">
        <is>
          <t>2⁴, 4², 6⁴, 12², 16², 48²</t>
        </is>
      </c>
      <c r="J2147" t="n">
        <v>16</v>
      </c>
      <c r="K2147" t="inlineStr">
        <is>
          <t>1⁸, 2⁸, 4⁴, 8¹</t>
        </is>
      </c>
      <c r="L2147" t="inlineStr">
        <is>
          <t>24Y³, 48K³, 48C⁵</t>
        </is>
      </c>
      <c r="M2147" t="inlineStr">
        <is>
          <t>48CL¹⁷, 48CO¹⁷, 48CP¹⁷</t>
        </is>
      </c>
      <c r="N2147" t="inlineStr">
        <is>
          <t>48C⁵, 3B⁰, 48K³, 24G¹, 6F⁰, 8C⁰, 2B⁰, 24Y³, 8I⁰, 4B⁰, 1A⁰, 12E⁰</t>
        </is>
      </c>
      <c r="O2147" t="inlineStr">
        <is>
          <t>48CP¹⁷, 48CL¹⁷, 48CO¹⁷</t>
        </is>
      </c>
    </row>
    <row r="2148">
      <c r="A2148">
        <f>HYPERLINK("https://mathstats.uncg.edu/sites/pauli/congruence/csg9.html#group48AO9", "48AO⁹")</f>
        <v/>
      </c>
      <c r="B2148" t="n">
        <v>9</v>
      </c>
      <c r="C2148" t="inlineStr"/>
      <c r="D2148" t="inlineStr">
        <is>
          <t>192</t>
        </is>
      </c>
      <c r="E2148" t="inlineStr">
        <is>
          <t>1</t>
        </is>
      </c>
      <c r="F2148" t="inlineStr">
        <is>
          <t>48</t>
        </is>
      </c>
      <c r="G2148" t="inlineStr">
        <is>
          <t>0</t>
        </is>
      </c>
      <c r="H2148" t="inlineStr">
        <is>
          <t>0</t>
        </is>
      </c>
      <c r="I2148" t="inlineStr">
        <is>
          <t>2⁴, 4², 6⁴, 12², 16², 48²</t>
        </is>
      </c>
      <c r="J2148" t="n">
        <v>16</v>
      </c>
      <c r="K2148" t="inlineStr">
        <is>
          <t>1⁸, 2⁸, 4⁴, 8¹</t>
        </is>
      </c>
      <c r="L2148" t="inlineStr">
        <is>
          <t>16G¹, 24Y³, 48L³, 48D⁵</t>
        </is>
      </c>
      <c r="M2148" t="inlineStr">
        <is>
          <t>48CM¹⁷, 48CO¹⁷, 48CQ¹⁷, 48CL²¹, 48CM²¹, 96BL²¹, 96BM²¹</t>
        </is>
      </c>
      <c r="N2148" t="inlineStr">
        <is>
          <t>3B⁰, 24G¹, 16A¹, 8C⁰, 2B⁰, 8I⁰, 4B⁰, 1A⁰, 16G¹, 16D⁰, 24Y³, 48D⁵, 6F⁰, 12E⁰, 48L³</t>
        </is>
      </c>
      <c r="O2148" t="inlineStr">
        <is>
          <t>48CL²¹, 48CM²¹, 48CM¹⁷, 48CQ¹⁷, 96BL²¹, 48CO¹⁷, 96BM²¹</t>
        </is>
      </c>
    </row>
    <row r="2149">
      <c r="A2149">
        <f>HYPERLINK("https://mathstats.uncg.edu/sites/pauli/congruence/csg9.html#group48AP9", "48AP⁹")</f>
        <v/>
      </c>
      <c r="B2149" t="n">
        <v>9</v>
      </c>
      <c r="C2149" t="inlineStr"/>
      <c r="D2149" t="inlineStr">
        <is>
          <t>192</t>
        </is>
      </c>
      <c r="E2149" t="inlineStr">
        <is>
          <t>1</t>
        </is>
      </c>
      <c r="F2149" t="inlineStr">
        <is>
          <t>64</t>
        </is>
      </c>
      <c r="G2149" t="inlineStr">
        <is>
          <t>24</t>
        </is>
      </c>
      <c r="H2149" t="inlineStr">
        <is>
          <t>0</t>
        </is>
      </c>
      <c r="I2149" t="inlineStr">
        <is>
          <t>48⁴</t>
        </is>
      </c>
      <c r="J2149" t="n">
        <v>4</v>
      </c>
      <c r="K2149" t="inlineStr">
        <is>
          <t>8⁸</t>
        </is>
      </c>
      <c r="L2149" t="inlineStr">
        <is>
          <t>24F¹, 16G²</t>
        </is>
      </c>
      <c r="M2149" t="inlineStr">
        <is>
          <t>48CR²¹, 48E²³, 48F²³</t>
        </is>
      </c>
      <c r="N2149" t="inlineStr">
        <is>
          <t>24F¹, 16G², 12A⁰, 8F⁰, 3A⁰, 1A⁰, 4A⁰</t>
        </is>
      </c>
      <c r="O2149" t="inlineStr">
        <is>
          <t>48CR²¹, 48E²³, 48F²³</t>
        </is>
      </c>
    </row>
    <row r="2150">
      <c r="A2150">
        <f>HYPERLINK("https://mathstats.uncg.edu/sites/pauli/congruence/csg9.html#group49A9", "49A⁹")</f>
        <v/>
      </c>
      <c r="B2150" t="n">
        <v>9</v>
      </c>
      <c r="C2150" t="inlineStr"/>
      <c r="D2150" t="inlineStr">
        <is>
          <t>147</t>
        </is>
      </c>
      <c r="E2150" t="inlineStr">
        <is>
          <t>1</t>
        </is>
      </c>
      <c r="F2150" t="inlineStr">
        <is>
          <t>147</t>
        </is>
      </c>
      <c r="G2150" t="inlineStr">
        <is>
          <t>11</t>
        </is>
      </c>
      <c r="H2150" t="inlineStr">
        <is>
          <t>0</t>
        </is>
      </c>
      <c r="I2150" t="inlineStr">
        <is>
          <t>49³</t>
        </is>
      </c>
      <c r="J2150" t="n">
        <v>3</v>
      </c>
      <c r="K2150" t="inlineStr">
        <is>
          <t>3¹, 6³, 42³</t>
        </is>
      </c>
      <c r="L2150" t="inlineStr">
        <is>
          <t>7D⁰</t>
        </is>
      </c>
      <c r="M2150" t="inlineStr">
        <is>
          <t>49A¹⁸, 49A¹⁹, 98A²², 98A²³, 98A²⁴</t>
        </is>
      </c>
      <c r="N2150" t="inlineStr">
        <is>
          <t>7D⁰, 1A⁰, 7A⁰</t>
        </is>
      </c>
      <c r="O2150" t="inlineStr">
        <is>
          <t>98A²³, 98A²², 98A²⁴, 49A¹⁹, 49A¹⁸</t>
        </is>
      </c>
    </row>
    <row r="2151">
      <c r="A2151">
        <f>HYPERLINK("https://mathstats.uncg.edu/sites/pauli/congruence/csg9.html#group49B9", "49B⁹")</f>
        <v/>
      </c>
      <c r="B2151" t="n">
        <v>9</v>
      </c>
      <c r="C2151" t="inlineStr"/>
      <c r="D2151" t="inlineStr">
        <is>
          <t>196</t>
        </is>
      </c>
      <c r="E2151" t="inlineStr">
        <is>
          <t>1</t>
        </is>
      </c>
      <c r="F2151" t="inlineStr">
        <is>
          <t>196</t>
        </is>
      </c>
      <c r="G2151" t="inlineStr">
        <is>
          <t>4</t>
        </is>
      </c>
      <c r="H2151" t="inlineStr">
        <is>
          <t>7</t>
        </is>
      </c>
      <c r="I2151" t="inlineStr">
        <is>
          <t>7⁷, 49³</t>
        </is>
      </c>
      <c r="J2151" t="n">
        <v>10</v>
      </c>
      <c r="K2151" t="inlineStr">
        <is>
          <t>3¹, 6³, 7¹, 42⁴</t>
        </is>
      </c>
      <c r="L2151" t="inlineStr">
        <is>
          <t>7F⁰</t>
        </is>
      </c>
      <c r="M2151" t="inlineStr">
        <is>
          <t>49B¹⁹, 98B²², 98B²⁴</t>
        </is>
      </c>
      <c r="N2151" t="inlineStr">
        <is>
          <t>7F⁰, 1A⁰, 7A⁰</t>
        </is>
      </c>
      <c r="O2151" t="inlineStr">
        <is>
          <t>49B¹⁹, 98B²⁴, 98B²²</t>
        </is>
      </c>
    </row>
    <row r="2152">
      <c r="A2152">
        <f>HYPERLINK("https://mathstats.uncg.edu/sites/pauli/congruence/csg9.html#group50A9", "50A⁹")</f>
        <v/>
      </c>
      <c r="B2152" t="n">
        <v>9</v>
      </c>
      <c r="C2152" t="inlineStr"/>
      <c r="D2152" t="inlineStr">
        <is>
          <t>120</t>
        </is>
      </c>
      <c r="E2152" t="inlineStr">
        <is>
          <t>1</t>
        </is>
      </c>
      <c r="F2152" t="inlineStr">
        <is>
          <t>6</t>
        </is>
      </c>
      <c r="G2152" t="inlineStr">
        <is>
          <t>0</t>
        </is>
      </c>
      <c r="H2152" t="inlineStr">
        <is>
          <t>0</t>
        </is>
      </c>
      <c r="I2152" t="inlineStr">
        <is>
          <t>10², 50²</t>
        </is>
      </c>
      <c r="J2152" t="n">
        <v>4</v>
      </c>
      <c r="K2152" t="inlineStr">
        <is>
          <t>2², 4²</t>
        </is>
      </c>
      <c r="L2152" t="inlineStr">
        <is>
          <t>10D¹, 25A⁴, 50A⁴, 50A⁵</t>
        </is>
      </c>
      <c r="M2152" t="inlineStr">
        <is>
          <t>100A¹⁹</t>
        </is>
      </c>
      <c r="N2152" t="inlineStr">
        <is>
          <t>2A⁰, 25A², 50A⁵, 5B⁰, 10A¹, 5D⁰, 10D¹, 1A⁰, 50A⁴, 25A⁴, 10B⁰</t>
        </is>
      </c>
      <c r="O2152" t="inlineStr">
        <is>
          <t>100A¹⁹</t>
        </is>
      </c>
    </row>
    <row r="2153">
      <c r="A2153">
        <f>HYPERLINK("https://mathstats.uncg.edu/sites/pauli/congruence/csg9.html#group50B9", "50B⁹")</f>
        <v/>
      </c>
      <c r="B2153" t="n">
        <v>9</v>
      </c>
      <c r="C2153" t="inlineStr"/>
      <c r="D2153" t="inlineStr">
        <is>
          <t>120</t>
        </is>
      </c>
      <c r="E2153" t="inlineStr">
        <is>
          <t>1</t>
        </is>
      </c>
      <c r="F2153" t="inlineStr">
        <is>
          <t>6</t>
        </is>
      </c>
      <c r="G2153" t="inlineStr">
        <is>
          <t>0</t>
        </is>
      </c>
      <c r="H2153" t="inlineStr">
        <is>
          <t>0</t>
        </is>
      </c>
      <c r="I2153" t="inlineStr">
        <is>
          <t>10², 50²</t>
        </is>
      </c>
      <c r="J2153" t="n">
        <v>4</v>
      </c>
      <c r="K2153" t="inlineStr">
        <is>
          <t>2², 4²</t>
        </is>
      </c>
      <c r="L2153" t="inlineStr">
        <is>
          <t>10D¹, 25B⁴, 50B⁴, 50B⁵</t>
        </is>
      </c>
      <c r="M2153" t="inlineStr">
        <is>
          <t>100B¹⁹</t>
        </is>
      </c>
      <c r="N2153" t="inlineStr">
        <is>
          <t>2A⁰, 50B⁴, 50B⁵, 25B⁴, 5B⁰, 10A¹, 5D⁰, 10D¹, 1A⁰, 25B², 10B⁰</t>
        </is>
      </c>
      <c r="O2153" t="inlineStr">
        <is>
          <t>100B¹⁹</t>
        </is>
      </c>
    </row>
    <row r="2154">
      <c r="A2154">
        <f>HYPERLINK("https://mathstats.uncg.edu/sites/pauli/congruence/csg9.html#group50C9", "50C⁹")</f>
        <v/>
      </c>
      <c r="B2154" t="n">
        <v>9</v>
      </c>
      <c r="C2154" t="inlineStr"/>
      <c r="D2154" t="inlineStr">
        <is>
          <t>120</t>
        </is>
      </c>
      <c r="E2154" t="inlineStr">
        <is>
          <t>1</t>
        </is>
      </c>
      <c r="F2154" t="inlineStr">
        <is>
          <t>6</t>
        </is>
      </c>
      <c r="G2154" t="inlineStr">
        <is>
          <t>0</t>
        </is>
      </c>
      <c r="H2154" t="inlineStr">
        <is>
          <t>0</t>
        </is>
      </c>
      <c r="I2154" t="inlineStr">
        <is>
          <t>10², 50²</t>
        </is>
      </c>
      <c r="J2154" t="n">
        <v>4</v>
      </c>
      <c r="K2154" t="inlineStr">
        <is>
          <t>2², 4²</t>
        </is>
      </c>
      <c r="L2154" t="inlineStr">
        <is>
          <t>10D¹, 25C⁴, 50C⁴, 50C⁵</t>
        </is>
      </c>
      <c r="M2154" t="inlineStr">
        <is>
          <t>100C¹⁹</t>
        </is>
      </c>
      <c r="N2154" t="inlineStr">
        <is>
          <t>2A⁰, 5B⁰, 50C⁵, 5D⁰, 10A¹, 50C⁴, 10D¹, 1A⁰, 25C², 25C⁴, 10B⁰</t>
        </is>
      </c>
      <c r="O2154" t="inlineStr">
        <is>
          <t>100C¹⁹</t>
        </is>
      </c>
    </row>
    <row r="2155">
      <c r="A2155">
        <f>HYPERLINK("https://mathstats.uncg.edu/sites/pauli/congruence/csg9.html#group50D9", "50D⁹")</f>
        <v/>
      </c>
      <c r="B2155" t="n">
        <v>9</v>
      </c>
      <c r="C2155" t="inlineStr"/>
      <c r="D2155" t="inlineStr">
        <is>
          <t>120</t>
        </is>
      </c>
      <c r="E2155" t="inlineStr">
        <is>
          <t>1</t>
        </is>
      </c>
      <c r="F2155" t="inlineStr">
        <is>
          <t>6</t>
        </is>
      </c>
      <c r="G2155" t="inlineStr">
        <is>
          <t>0</t>
        </is>
      </c>
      <c r="H2155" t="inlineStr">
        <is>
          <t>0</t>
        </is>
      </c>
      <c r="I2155" t="inlineStr">
        <is>
          <t>10², 50²</t>
        </is>
      </c>
      <c r="J2155" t="n">
        <v>4</v>
      </c>
      <c r="K2155" t="inlineStr">
        <is>
          <t>2², 4²</t>
        </is>
      </c>
      <c r="L2155" t="inlineStr">
        <is>
          <t>10D¹, 25D⁴, 50D⁴, 50D⁵</t>
        </is>
      </c>
      <c r="M2155" t="inlineStr">
        <is>
          <t>100D¹⁹</t>
        </is>
      </c>
      <c r="N2155" t="inlineStr">
        <is>
          <t>2A⁰, 5B⁰, 50D⁵, 5D⁰, 10A¹, 50D⁴, 25D⁴, 10D¹, 1A⁰, 25D², 10B⁰</t>
        </is>
      </c>
      <c r="O2155" t="inlineStr">
        <is>
          <t>100D¹⁹</t>
        </is>
      </c>
    </row>
    <row r="2156">
      <c r="A2156">
        <f>HYPERLINK("https://mathstats.uncg.edu/sites/pauli/congruence/csg9.html#group50E9", "50E⁹")</f>
        <v/>
      </c>
      <c r="B2156" t="n">
        <v>9</v>
      </c>
      <c r="C2156" t="inlineStr"/>
      <c r="D2156" t="inlineStr">
        <is>
          <t>150</t>
        </is>
      </c>
      <c r="E2156" t="inlineStr">
        <is>
          <t>1</t>
        </is>
      </c>
      <c r="F2156" t="inlineStr">
        <is>
          <t>75</t>
        </is>
      </c>
      <c r="G2156" t="inlineStr">
        <is>
          <t>4</t>
        </is>
      </c>
      <c r="H2156" t="inlineStr">
        <is>
          <t>0</t>
        </is>
      </c>
      <c r="I2156" t="inlineStr">
        <is>
          <t>10⁵, 50²</t>
        </is>
      </c>
      <c r="J2156" t="n">
        <v>7</v>
      </c>
      <c r="K2156" t="inlineStr">
        <is>
          <t>2¹, 4², 5¹, 20³</t>
        </is>
      </c>
      <c r="L2156" t="inlineStr">
        <is>
          <t>10E¹, 25F²</t>
        </is>
      </c>
      <c r="M2156" t="inlineStr">
        <is>
          <t>50A¹⁸, 50B¹⁸, 50A¹⁹</t>
        </is>
      </c>
      <c r="N2156" t="inlineStr">
        <is>
          <t>25F², 5E⁰, 5A⁰, 10E¹, 1A⁰</t>
        </is>
      </c>
      <c r="O2156" t="inlineStr">
        <is>
          <t>50A¹⁸, 50B¹⁸, 50A¹⁹</t>
        </is>
      </c>
    </row>
    <row r="2157">
      <c r="A2157">
        <f>HYPERLINK("https://mathstats.uncg.edu/sites/pauli/congruence/csg9.html#group50F9", "50F⁹")</f>
        <v/>
      </c>
      <c r="B2157" t="n">
        <v>9</v>
      </c>
      <c r="C2157" t="inlineStr"/>
      <c r="D2157" t="inlineStr">
        <is>
          <t>200</t>
        </is>
      </c>
      <c r="E2157" t="inlineStr">
        <is>
          <t>1</t>
        </is>
      </c>
      <c r="F2157" t="inlineStr">
        <is>
          <t>10</t>
        </is>
      </c>
      <c r="G2157" t="inlineStr">
        <is>
          <t>0</t>
        </is>
      </c>
      <c r="H2157" t="inlineStr">
        <is>
          <t>20</t>
        </is>
      </c>
      <c r="I2157" t="inlineStr">
        <is>
          <t>50⁴</t>
        </is>
      </c>
      <c r="J2157" t="n">
        <v>4</v>
      </c>
      <c r="K2157" t="inlineStr">
        <is>
          <t>2¹, 4²</t>
        </is>
      </c>
      <c r="L2157" t="inlineStr">
        <is>
          <t>10H¹, 25E⁴, 50E⁴, 50E⁵</t>
        </is>
      </c>
      <c r="M2157" t="inlineStr">
        <is>
          <t>100R¹⁹</t>
        </is>
      </c>
      <c r="N2157" t="inlineStr">
        <is>
          <t>10H¹, 2A⁰, 5A⁰, 10A⁰, 50E⁵, 25E⁴, 10D⁰, 25E², 5F⁰, 50E⁴, 10C¹, 1A⁰, 5C⁰</t>
        </is>
      </c>
      <c r="O2157" t="inlineStr">
        <is>
          <t>100R¹⁹</t>
        </is>
      </c>
    </row>
    <row r="2158">
      <c r="A2158">
        <f>HYPERLINK("https://mathstats.uncg.edu/sites/pauli/congruence/csg9.html#group51A9", "51A⁹")</f>
        <v/>
      </c>
      <c r="B2158" t="n">
        <v>9</v>
      </c>
      <c r="C2158" t="inlineStr"/>
      <c r="D2158" t="inlineStr">
        <is>
          <t>144</t>
        </is>
      </c>
      <c r="E2158" t="inlineStr">
        <is>
          <t>1</t>
        </is>
      </c>
      <c r="F2158" t="inlineStr">
        <is>
          <t>72</t>
        </is>
      </c>
      <c r="G2158" t="inlineStr">
        <is>
          <t>0</t>
        </is>
      </c>
      <c r="H2158" t="inlineStr">
        <is>
          <t>0</t>
        </is>
      </c>
      <c r="I2158" t="inlineStr">
        <is>
          <t>1², 3², 17², 51²</t>
        </is>
      </c>
      <c r="J2158" t="n">
        <v>8</v>
      </c>
      <c r="K2158" t="inlineStr">
        <is>
          <t>1⁴, 2², 16², 32¹</t>
        </is>
      </c>
      <c r="L2158" t="inlineStr">
        <is>
          <t>17B¹, 51A⁵</t>
        </is>
      </c>
      <c r="M2158" t="inlineStr">
        <is>
          <t>51A¹⁷, 102A²¹, 102B²¹</t>
        </is>
      </c>
      <c r="N2158" t="inlineStr">
        <is>
          <t>3B⁰, 17A¹, 51A⁵, 1A⁰, 17B¹</t>
        </is>
      </c>
      <c r="O2158" t="inlineStr">
        <is>
          <t>102B²¹, 51A¹⁷, 102A²¹</t>
        </is>
      </c>
    </row>
    <row r="2159">
      <c r="A2159">
        <f>HYPERLINK("https://mathstats.uncg.edu/sites/pauli/congruence/csg9.html#group51B9", "51B⁹")</f>
        <v/>
      </c>
      <c r="B2159" t="n">
        <v>9</v>
      </c>
      <c r="C2159" t="inlineStr"/>
      <c r="D2159" t="inlineStr">
        <is>
          <t>216</t>
        </is>
      </c>
      <c r="E2159" t="inlineStr">
        <is>
          <t>1</t>
        </is>
      </c>
      <c r="F2159" t="inlineStr">
        <is>
          <t>18</t>
        </is>
      </c>
      <c r="G2159" t="inlineStr">
        <is>
          <t>24</t>
        </is>
      </c>
      <c r="H2159" t="inlineStr">
        <is>
          <t>0</t>
        </is>
      </c>
      <c r="I2159" t="inlineStr">
        <is>
          <t>3⁴, 51⁴</t>
        </is>
      </c>
      <c r="J2159" t="n">
        <v>8</v>
      </c>
      <c r="K2159" t="inlineStr">
        <is>
          <t>1², 16¹</t>
        </is>
      </c>
      <c r="L2159" t="inlineStr">
        <is>
          <t>17C¹, 51B⁵</t>
        </is>
      </c>
      <c r="M2159" t="inlineStr">
        <is>
          <t>51A²¹, 102D²¹</t>
        </is>
      </c>
      <c r="N2159" t="inlineStr">
        <is>
          <t>51A³, 17B¹, 17C¹, 17A¹, 51B⁵, 3A⁰, 1A⁰</t>
        </is>
      </c>
      <c r="O2159" t="inlineStr">
        <is>
          <t>51A²¹, 102D²¹</t>
        </is>
      </c>
    </row>
    <row r="2160">
      <c r="A2160">
        <f>HYPERLINK("https://mathstats.uncg.edu/sites/pauli/congruence/csg9.html#group52A9", "52A⁹")</f>
        <v/>
      </c>
      <c r="B2160" t="n">
        <v>9</v>
      </c>
      <c r="C2160" t="inlineStr"/>
      <c r="D2160" t="inlineStr">
        <is>
          <t>168</t>
        </is>
      </c>
      <c r="E2160" t="inlineStr">
        <is>
          <t>1</t>
        </is>
      </c>
      <c r="F2160" t="inlineStr">
        <is>
          <t>42</t>
        </is>
      </c>
      <c r="G2160" t="inlineStr">
        <is>
          <t>0</t>
        </is>
      </c>
      <c r="H2160" t="inlineStr">
        <is>
          <t>0</t>
        </is>
      </c>
      <c r="I2160" t="inlineStr">
        <is>
          <t>1⁴, 4², 13⁴, 52²</t>
        </is>
      </c>
      <c r="J2160" t="n">
        <v>12</v>
      </c>
      <c r="K2160" t="inlineStr">
        <is>
          <t>1⁶, 12³</t>
        </is>
      </c>
      <c r="L2160" t="inlineStr">
        <is>
          <t>26A⁴, 52A⁴, 52A⁵</t>
        </is>
      </c>
      <c r="M2160" t="inlineStr">
        <is>
          <t>52B¹⁹, 104A¹⁹, 52C²¹, 104B²¹, 104A²³</t>
        </is>
      </c>
      <c r="N2160" t="inlineStr">
        <is>
          <t>52A⁵, 13A⁰, 2B⁰, 13B⁰, 52A⁴, 4B⁰, 1A⁰, 26A², 26A⁴</t>
        </is>
      </c>
      <c r="O2160" t="inlineStr">
        <is>
          <t>52C²¹, 104A²³, 104B²¹, 52B¹⁹, 104A¹⁹</t>
        </is>
      </c>
    </row>
    <row r="2161">
      <c r="A2161">
        <f>HYPERLINK("https://mathstats.uncg.edu/sites/pauli/congruence/csg9.html#group52B9", "52B⁹")</f>
        <v/>
      </c>
      <c r="B2161" t="n">
        <v>9</v>
      </c>
      <c r="C2161" t="inlineStr"/>
      <c r="D2161" t="inlineStr">
        <is>
          <t>168</t>
        </is>
      </c>
      <c r="E2161" t="inlineStr">
        <is>
          <t>1</t>
        </is>
      </c>
      <c r="F2161" t="inlineStr">
        <is>
          <t>42</t>
        </is>
      </c>
      <c r="G2161" t="inlineStr">
        <is>
          <t>8</t>
        </is>
      </c>
      <c r="H2161" t="inlineStr">
        <is>
          <t>0</t>
        </is>
      </c>
      <c r="I2161" t="inlineStr">
        <is>
          <t>2², 4², 26², 52²</t>
        </is>
      </c>
      <c r="J2161" t="n">
        <v>8</v>
      </c>
      <c r="K2161" t="inlineStr">
        <is>
          <t>1⁶, 12³</t>
        </is>
      </c>
      <c r="L2161" t="inlineStr">
        <is>
          <t>26B⁴, 52A⁴, 52B⁵</t>
        </is>
      </c>
      <c r="M2161" t="inlineStr">
        <is>
          <t>52C¹⁹, 52C²¹, 52D²¹, 52F²¹, 104A²¹, 104C²¹, 104D²¹, 104J²³</t>
        </is>
      </c>
      <c r="N2161" t="inlineStr">
        <is>
          <t>4C⁰, 13A⁰, 26B⁴, 52B⁵, 2B⁰, 26A⁰, 52A⁴, 1A⁰, 26A²</t>
        </is>
      </c>
      <c r="O2161" t="inlineStr">
        <is>
          <t>52D²¹, 104D²¹, 104A²¹, 104C²¹, 104J²³, 52C²¹, 52C¹⁹, 52F²¹</t>
        </is>
      </c>
    </row>
    <row r="2162">
      <c r="A2162">
        <f>HYPERLINK("https://mathstats.uncg.edu/sites/pauli/congruence/csg9.html#group52C9", "52C⁹")</f>
        <v/>
      </c>
      <c r="B2162" t="n">
        <v>9</v>
      </c>
      <c r="C2162" t="inlineStr"/>
      <c r="D2162" t="inlineStr">
        <is>
          <t>168</t>
        </is>
      </c>
      <c r="E2162" t="inlineStr">
        <is>
          <t>1</t>
        </is>
      </c>
      <c r="F2162" t="inlineStr">
        <is>
          <t>56</t>
        </is>
      </c>
      <c r="G2162" t="inlineStr">
        <is>
          <t>12</t>
        </is>
      </c>
      <c r="H2162" t="inlineStr">
        <is>
          <t>0</t>
        </is>
      </c>
      <c r="I2162" t="inlineStr">
        <is>
          <t>4³, 52³</t>
        </is>
      </c>
      <c r="J2162" t="n">
        <v>6</v>
      </c>
      <c r="K2162" t="inlineStr">
        <is>
          <t>2⁴, 24²</t>
        </is>
      </c>
      <c r="L2162" t="inlineStr">
        <is>
          <t>13C⁰, 52A³</t>
        </is>
      </c>
      <c r="M2162" t="inlineStr">
        <is>
          <t>52A¹⁷, 52E²³, 52F²³, 104U²³, 104T²³</t>
        </is>
      </c>
      <c r="N2162" t="inlineStr">
        <is>
          <t>13A⁰, 13C⁰, 52A³, 1A⁰, 4A⁰</t>
        </is>
      </c>
      <c r="O2162" t="inlineStr">
        <is>
          <t>104T²³, 104U²³, 52F²³, 52A¹⁷, 52E²³</t>
        </is>
      </c>
    </row>
    <row r="2163">
      <c r="A2163">
        <f>HYPERLINK("https://mathstats.uncg.edu/sites/pauli/congruence/csg9.html#group52D9", "52D⁹")</f>
        <v/>
      </c>
      <c r="B2163" t="n">
        <v>9</v>
      </c>
      <c r="C2163" t="inlineStr"/>
      <c r="D2163" t="inlineStr">
        <is>
          <t>168</t>
        </is>
      </c>
      <c r="E2163" t="inlineStr">
        <is>
          <t>2</t>
        </is>
      </c>
      <c r="F2163" t="inlineStr">
        <is>
          <t>14</t>
        </is>
      </c>
      <c r="G2163" t="inlineStr">
        <is>
          <t>12</t>
        </is>
      </c>
      <c r="H2163" t="inlineStr">
        <is>
          <t>0</t>
        </is>
      </c>
      <c r="I2163" t="inlineStr">
        <is>
          <t>4³, 52³</t>
        </is>
      </c>
      <c r="J2163" t="n">
        <v>6</v>
      </c>
      <c r="K2163" t="inlineStr">
        <is>
          <t>2², 24¹</t>
        </is>
      </c>
      <c r="L2163" t="inlineStr">
        <is>
          <t>52A¹, 26B²</t>
        </is>
      </c>
      <c r="M2163" t="inlineStr">
        <is>
          <t>52A²³</t>
        </is>
      </c>
      <c r="N2163" t="inlineStr">
        <is>
          <t>13A⁰, 13C⁰, 26A⁰, 26B², 52A¹, 1A⁰</t>
        </is>
      </c>
      <c r="O2163" t="inlineStr">
        <is>
          <t>52A²³</t>
        </is>
      </c>
    </row>
    <row r="2164">
      <c r="A2164">
        <f>HYPERLINK("https://mathstats.uncg.edu/sites/pauli/congruence/csg9.html#group52E9", "52E⁹")</f>
        <v/>
      </c>
      <c r="B2164" t="n">
        <v>9</v>
      </c>
      <c r="C2164" t="inlineStr"/>
      <c r="D2164" t="inlineStr">
        <is>
          <t>168</t>
        </is>
      </c>
      <c r="E2164" t="inlineStr">
        <is>
          <t>2</t>
        </is>
      </c>
      <c r="F2164" t="inlineStr">
        <is>
          <t>42</t>
        </is>
      </c>
      <c r="G2164" t="inlineStr">
        <is>
          <t>4</t>
        </is>
      </c>
      <c r="H2164" t="inlineStr">
        <is>
          <t>0</t>
        </is>
      </c>
      <c r="I2164" t="inlineStr">
        <is>
          <t>2⁴, 4¹, 26⁴, 52¹</t>
        </is>
      </c>
      <c r="J2164" t="n">
        <v>10</v>
      </c>
      <c r="K2164" t="inlineStr">
        <is>
          <t>2⁶, 24³</t>
        </is>
      </c>
      <c r="L2164" t="inlineStr">
        <is>
          <t>26B⁴</t>
        </is>
      </c>
      <c r="M2164" t="inlineStr">
        <is>
          <t>52A¹⁹, 52F²¹, 52H²³</t>
        </is>
      </c>
      <c r="N2164" t="inlineStr">
        <is>
          <t>13A⁰, 26B⁴, 2B⁰, 26A⁰, 1A⁰, 26A²</t>
        </is>
      </c>
      <c r="O2164" t="inlineStr">
        <is>
          <t>52A¹⁹, 52F²¹, 52H²³</t>
        </is>
      </c>
    </row>
    <row r="2165">
      <c r="A2165">
        <f>HYPERLINK("https://mathstats.uncg.edu/sites/pauli/congruence/csg9.html#group55A9", "55A⁹")</f>
        <v/>
      </c>
      <c r="B2165" t="n">
        <v>9</v>
      </c>
      <c r="C2165" t="inlineStr"/>
      <c r="D2165" t="inlineStr">
        <is>
          <t>120</t>
        </is>
      </c>
      <c r="E2165" t="inlineStr">
        <is>
          <t>1</t>
        </is>
      </c>
      <c r="F2165" t="inlineStr">
        <is>
          <t>120</t>
        </is>
      </c>
      <c r="G2165" t="inlineStr">
        <is>
          <t>0</t>
        </is>
      </c>
      <c r="H2165" t="inlineStr">
        <is>
          <t>0</t>
        </is>
      </c>
      <c r="I2165" t="inlineStr">
        <is>
          <t>5², 55²</t>
        </is>
      </c>
      <c r="J2165" t="n">
        <v>4</v>
      </c>
      <c r="K2165" t="inlineStr">
        <is>
          <t>2², 4⁴, 20¹, 40²</t>
        </is>
      </c>
      <c r="L2165" t="inlineStr">
        <is>
          <t>5C⁰, 11A¹</t>
        </is>
      </c>
      <c r="M2165" t="inlineStr">
        <is>
          <t>55A¹⁷, 110A¹⁹, 110B¹⁹</t>
        </is>
      </c>
      <c r="N2165" t="inlineStr">
        <is>
          <t>5C⁰, 11A¹, 1A⁰</t>
        </is>
      </c>
      <c r="O2165" t="inlineStr">
        <is>
          <t>55A¹⁷, 110A¹⁹, 110B¹⁹</t>
        </is>
      </c>
    </row>
    <row r="2166">
      <c r="A2166">
        <f>HYPERLINK("https://mathstats.uncg.edu/sites/pauli/congruence/csg9.html#group55B9", "55B⁹")</f>
        <v/>
      </c>
      <c r="B2166" t="n">
        <v>9</v>
      </c>
      <c r="C2166" t="inlineStr"/>
      <c r="D2166" t="inlineStr">
        <is>
          <t>144</t>
        </is>
      </c>
      <c r="E2166" t="inlineStr">
        <is>
          <t>1</t>
        </is>
      </c>
      <c r="F2166" t="inlineStr">
        <is>
          <t>72</t>
        </is>
      </c>
      <c r="G2166" t="inlineStr">
        <is>
          <t>0</t>
        </is>
      </c>
      <c r="H2166" t="inlineStr">
        <is>
          <t>0</t>
        </is>
      </c>
      <c r="I2166" t="inlineStr">
        <is>
          <t>1², 5², 11², 55²</t>
        </is>
      </c>
      <c r="J2166" t="n">
        <v>8</v>
      </c>
      <c r="K2166" t="inlineStr">
        <is>
          <t>1⁴, 4², 10², 40¹</t>
        </is>
      </c>
      <c r="L2166" t="inlineStr">
        <is>
          <t>5D⁰, 55B⁵</t>
        </is>
      </c>
      <c r="M2166" t="inlineStr">
        <is>
          <t>55B¹⁷, 110B²¹, 110C²¹</t>
        </is>
      </c>
      <c r="N2166" t="inlineStr">
        <is>
          <t>5B⁰, 5D⁰, 55B⁵, 1A⁰, 11A¹</t>
        </is>
      </c>
      <c r="O2166" t="inlineStr">
        <is>
          <t>110B²¹, 55B¹⁷, 110C²¹</t>
        </is>
      </c>
    </row>
    <row r="2167">
      <c r="A2167">
        <f>HYPERLINK("https://mathstats.uncg.edu/sites/pauli/congruence/csg9.html#group56A9", "56A⁹")</f>
        <v/>
      </c>
      <c r="B2167" t="n">
        <v>9</v>
      </c>
      <c r="C2167" t="inlineStr"/>
      <c r="D2167" t="inlineStr">
        <is>
          <t>128</t>
        </is>
      </c>
      <c r="E2167" t="inlineStr">
        <is>
          <t>1</t>
        </is>
      </c>
      <c r="F2167" t="inlineStr">
        <is>
          <t>128</t>
        </is>
      </c>
      <c r="G2167" t="inlineStr">
        <is>
          <t>0</t>
        </is>
      </c>
      <c r="H2167" t="inlineStr">
        <is>
          <t>2</t>
        </is>
      </c>
      <c r="I2167" t="inlineStr">
        <is>
          <t>8², 56²</t>
        </is>
      </c>
      <c r="J2167" t="n">
        <v>4</v>
      </c>
      <c r="K2167" t="inlineStr">
        <is>
          <t>4⁸, 24⁴</t>
        </is>
      </c>
      <c r="L2167" t="inlineStr">
        <is>
          <t>8F⁰, 28A²</t>
        </is>
      </c>
      <c r="M2167" t="inlineStr">
        <is>
          <t>56C¹⁷, 56D¹⁷</t>
        </is>
      </c>
      <c r="N2167" t="inlineStr">
        <is>
          <t>7B⁰, 8F⁰, 1A⁰, 4A⁰, 28A²</t>
        </is>
      </c>
      <c r="O2167" t="inlineStr">
        <is>
          <t>56C¹⁷, 56D¹⁷</t>
        </is>
      </c>
    </row>
    <row r="2168">
      <c r="A2168">
        <f>HYPERLINK("https://mathstats.uncg.edu/sites/pauli/congruence/csg9.html#group56B9", "56B⁹")</f>
        <v/>
      </c>
      <c r="B2168" t="n">
        <v>9</v>
      </c>
      <c r="C2168" t="inlineStr"/>
      <c r="D2168" t="inlineStr">
        <is>
          <t>168</t>
        </is>
      </c>
      <c r="E2168" t="inlineStr">
        <is>
          <t>2</t>
        </is>
      </c>
      <c r="F2168" t="inlineStr">
        <is>
          <t>21</t>
        </is>
      </c>
      <c r="G2168" t="inlineStr">
        <is>
          <t>16</t>
        </is>
      </c>
      <c r="H2168" t="inlineStr">
        <is>
          <t>0</t>
        </is>
      </c>
      <c r="I2168" t="inlineStr">
        <is>
          <t>28², 56²</t>
        </is>
      </c>
      <c r="J2168" t="n">
        <v>4</v>
      </c>
      <c r="K2168" t="inlineStr">
        <is>
          <t>2³, 6⁶</t>
        </is>
      </c>
      <c r="L2168" t="inlineStr">
        <is>
          <t>28C⁴, 56B⁴, 56A⁵</t>
        </is>
      </c>
      <c r="M2168" t="inlineStr">
        <is>
          <t>112A¹⁹, 56J²¹, 56K²¹, 112C²³, 112L²³</t>
        </is>
      </c>
      <c r="N2168" t="inlineStr">
        <is>
          <t>28C², 14A⁰, 28C⁴, 14B¹, 14C², 4C⁰, 8B⁰, 2B⁰, 56A⁵, 1A⁰, 28B², 7A⁰, 56B⁴</t>
        </is>
      </c>
      <c r="O2168" t="inlineStr">
        <is>
          <t>112A¹⁹, 56J²¹, 56K²¹, 112C²³, 112L²³</t>
        </is>
      </c>
    </row>
    <row r="2169">
      <c r="A2169">
        <f>HYPERLINK("https://mathstats.uncg.edu/sites/pauli/congruence/csg9.html#group56C9", "56C⁹")</f>
        <v/>
      </c>
      <c r="B2169" t="n">
        <v>9</v>
      </c>
      <c r="C2169" t="inlineStr"/>
      <c r="D2169" t="inlineStr">
        <is>
          <t>192</t>
        </is>
      </c>
      <c r="E2169" t="inlineStr">
        <is>
          <t>1</t>
        </is>
      </c>
      <c r="F2169" t="inlineStr">
        <is>
          <t>48</t>
        </is>
      </c>
      <c r="G2169" t="inlineStr">
        <is>
          <t>0</t>
        </is>
      </c>
      <c r="H2169" t="inlineStr">
        <is>
          <t>0</t>
        </is>
      </c>
      <c r="I2169" t="inlineStr">
        <is>
          <t>1⁴, 2², 7⁴, 8², 14², 56²</t>
        </is>
      </c>
      <c r="J2169" t="n">
        <v>16</v>
      </c>
      <c r="K2169" t="inlineStr">
        <is>
          <t>1⁸, 2², 6⁴, 12¹</t>
        </is>
      </c>
      <c r="L2169" t="inlineStr">
        <is>
          <t>28E⁴, 56C⁴, 56D⁵</t>
        </is>
      </c>
      <c r="M2169" t="inlineStr">
        <is>
          <t>56L²¹, 56M²¹, 112E²¹, 112F²¹</t>
        </is>
      </c>
      <c r="N2169" t="inlineStr">
        <is>
          <t>28E⁴, 56C⁴, 7B⁰, 28D², 14C¹, 8C⁰, 2B⁰, 4B⁰, 56D⁵, 1A⁰</t>
        </is>
      </c>
      <c r="O2169" t="inlineStr">
        <is>
          <t>56L²¹, 112F²¹, 112E²¹, 56M²¹</t>
        </is>
      </c>
    </row>
    <row r="2170">
      <c r="A2170">
        <f>HYPERLINK("https://mathstats.uncg.edu/sites/pauli/congruence/csg9.html#group57A9", "57A⁹")</f>
        <v/>
      </c>
      <c r="B2170" t="n">
        <v>9</v>
      </c>
      <c r="C2170" t="inlineStr"/>
      <c r="D2170" t="inlineStr">
        <is>
          <t>120</t>
        </is>
      </c>
      <c r="E2170" t="inlineStr">
        <is>
          <t>1</t>
        </is>
      </c>
      <c r="F2170" t="inlineStr">
        <is>
          <t>60</t>
        </is>
      </c>
      <c r="G2170" t="inlineStr">
        <is>
          <t>0</t>
        </is>
      </c>
      <c r="H2170" t="inlineStr">
        <is>
          <t>0</t>
        </is>
      </c>
      <c r="I2170" t="inlineStr">
        <is>
          <t>3², 57²</t>
        </is>
      </c>
      <c r="J2170" t="n">
        <v>4</v>
      </c>
      <c r="K2170" t="inlineStr">
        <is>
          <t>1², 2², 18¹, 36¹</t>
        </is>
      </c>
      <c r="L2170" t="inlineStr">
        <is>
          <t>3C⁰, 57A⁵</t>
        </is>
      </c>
      <c r="M2170" t="inlineStr">
        <is>
          <t>57A¹⁷, 114A¹⁹, 114B¹⁹</t>
        </is>
      </c>
      <c r="N2170" t="inlineStr">
        <is>
          <t>19A¹, 3C⁰, 57A⁵, 3A⁰, 1A⁰</t>
        </is>
      </c>
      <c r="O2170" t="inlineStr">
        <is>
          <t>114A¹⁹, 57A¹⁷, 114B¹⁹</t>
        </is>
      </c>
    </row>
    <row r="2171">
      <c r="A2171">
        <f>HYPERLINK("https://mathstats.uncg.edu/sites/pauli/congruence/csg9.html#group57B9", "57B⁹")</f>
        <v/>
      </c>
      <c r="B2171" t="n">
        <v>9</v>
      </c>
      <c r="C2171" t="inlineStr"/>
      <c r="D2171" t="inlineStr">
        <is>
          <t>160</t>
        </is>
      </c>
      <c r="E2171" t="inlineStr">
        <is>
          <t>1</t>
        </is>
      </c>
      <c r="F2171" t="inlineStr">
        <is>
          <t>80</t>
        </is>
      </c>
      <c r="G2171" t="inlineStr">
        <is>
          <t>0</t>
        </is>
      </c>
      <c r="H2171" t="inlineStr">
        <is>
          <t>4</t>
        </is>
      </c>
      <c r="I2171" t="inlineStr">
        <is>
          <t>1², 3², 19², 57²</t>
        </is>
      </c>
      <c r="J2171" t="n">
        <v>8</v>
      </c>
      <c r="K2171" t="inlineStr">
        <is>
          <t>1⁴, 2², 18², 36¹</t>
        </is>
      </c>
      <c r="L2171" t="inlineStr">
        <is>
          <t>57C⁵</t>
        </is>
      </c>
      <c r="M2171" t="inlineStr">
        <is>
          <t>114A²¹</t>
        </is>
      </c>
      <c r="N2171" t="inlineStr">
        <is>
          <t>3B⁰, 1A⁰, 19A¹, 57C⁵</t>
        </is>
      </c>
      <c r="O2171" t="inlineStr">
        <is>
          <t>114A²¹</t>
        </is>
      </c>
    </row>
    <row r="2172">
      <c r="A2172">
        <f>HYPERLINK("https://mathstats.uncg.edu/sites/pauli/congruence/csg9.html#group58A9", "58A⁹")</f>
        <v/>
      </c>
      <c r="B2172" t="n">
        <v>9</v>
      </c>
      <c r="C2172" t="inlineStr"/>
      <c r="D2172" t="inlineStr">
        <is>
          <t>120</t>
        </is>
      </c>
      <c r="E2172" t="inlineStr">
        <is>
          <t>1</t>
        </is>
      </c>
      <c r="F2172" t="inlineStr">
        <is>
          <t>30</t>
        </is>
      </c>
      <c r="G2172" t="inlineStr">
        <is>
          <t>0</t>
        </is>
      </c>
      <c r="H2172" t="inlineStr">
        <is>
          <t>0</t>
        </is>
      </c>
      <c r="I2172" t="inlineStr">
        <is>
          <t>2², 58²</t>
        </is>
      </c>
      <c r="J2172" t="n">
        <v>4</v>
      </c>
      <c r="K2172" t="inlineStr">
        <is>
          <t>1², 28¹</t>
        </is>
      </c>
      <c r="L2172" t="inlineStr">
        <is>
          <t>29A⁴, 58A⁴, 58A⁵</t>
        </is>
      </c>
      <c r="M2172" t="inlineStr">
        <is>
          <t>116A¹⁹</t>
        </is>
      </c>
      <c r="N2172" t="inlineStr">
        <is>
          <t>2A⁰, 58A⁴, 58A⁵, 29A⁴, 1A⁰, 29A²</t>
        </is>
      </c>
      <c r="O2172" t="inlineStr">
        <is>
          <t>116A¹⁹</t>
        </is>
      </c>
    </row>
    <row r="2173">
      <c r="A2173">
        <f>HYPERLINK("https://mathstats.uncg.edu/sites/pauli/congruence/csg9.html#group60A9", "60A⁹")</f>
        <v/>
      </c>
      <c r="B2173" t="n">
        <v>9</v>
      </c>
      <c r="C2173" t="inlineStr"/>
      <c r="D2173" t="inlineStr">
        <is>
          <t>120</t>
        </is>
      </c>
      <c r="E2173" t="inlineStr">
        <is>
          <t>1</t>
        </is>
      </c>
      <c r="F2173" t="inlineStr">
        <is>
          <t>30</t>
        </is>
      </c>
      <c r="G2173" t="inlineStr">
        <is>
          <t>4</t>
        </is>
      </c>
      <c r="H2173" t="inlineStr">
        <is>
          <t>0</t>
        </is>
      </c>
      <c r="I2173" t="inlineStr">
        <is>
          <t>60²</t>
        </is>
      </c>
      <c r="J2173" t="n">
        <v>2</v>
      </c>
      <c r="K2173" t="inlineStr">
        <is>
          <t>2¹, 4¹, 8¹, 16¹</t>
        </is>
      </c>
      <c r="L2173" t="inlineStr">
        <is>
          <t>12D¹, 30A⁴</t>
        </is>
      </c>
      <c r="M2173" t="inlineStr">
        <is>
          <t>60A¹⁹</t>
        </is>
      </c>
      <c r="N2173" t="inlineStr">
        <is>
          <t>5A⁰, 12D¹, 6B⁰, 30A⁴, 1A⁰, 30A², 15A², 6E⁰, 3C⁰, 3A⁰, 15A¹</t>
        </is>
      </c>
      <c r="O2173" t="inlineStr">
        <is>
          <t>60A¹⁹</t>
        </is>
      </c>
    </row>
    <row r="2174">
      <c r="A2174">
        <f>HYPERLINK("https://mathstats.uncg.edu/sites/pauli/congruence/csg9.html#group60B9", "60B⁹")</f>
        <v/>
      </c>
      <c r="B2174" t="n">
        <v>9</v>
      </c>
      <c r="C2174" t="inlineStr"/>
      <c r="D2174" t="inlineStr">
        <is>
          <t>120</t>
        </is>
      </c>
      <c r="E2174" t="inlineStr">
        <is>
          <t>1</t>
        </is>
      </c>
      <c r="F2174" t="inlineStr">
        <is>
          <t>60</t>
        </is>
      </c>
      <c r="G2174" t="inlineStr">
        <is>
          <t>0</t>
        </is>
      </c>
      <c r="H2174" t="inlineStr">
        <is>
          <t>0</t>
        </is>
      </c>
      <c r="I2174" t="inlineStr">
        <is>
          <t>10¹, 20¹, 30¹, 60¹</t>
        </is>
      </c>
      <c r="J2174" t="n">
        <v>4</v>
      </c>
      <c r="K2174" t="inlineStr">
        <is>
          <t>1⁶, 2³, 4⁶, 8³</t>
        </is>
      </c>
      <c r="L2174" t="inlineStr">
        <is>
          <t>12F¹, 20B², 30D⁴</t>
        </is>
      </c>
      <c r="M2174" t="inlineStr">
        <is>
          <t>60B¹⁷, 60G¹⁸, 120D¹⁸, 120A¹⁹, 120B¹⁹</t>
        </is>
      </c>
      <c r="N2174" t="inlineStr">
        <is>
          <t>3B⁰, 5A⁰, 30D⁴, 12F¹, 10B¹, 20B², 4C⁰, 15B¹, 1A⁰, 2B⁰, 6F⁰</t>
        </is>
      </c>
      <c r="O2174" t="inlineStr">
        <is>
          <t>120A¹⁹, 120D¹⁸, 60B¹⁷, 60G¹⁸, 120B¹⁹</t>
        </is>
      </c>
    </row>
    <row r="2175">
      <c r="A2175">
        <f>HYPERLINK("https://mathstats.uncg.edu/sites/pauli/congruence/csg9.html#group60C9", "60C⁹")</f>
        <v/>
      </c>
      <c r="B2175" t="n">
        <v>9</v>
      </c>
      <c r="C2175" t="inlineStr"/>
      <c r="D2175" t="inlineStr">
        <is>
          <t>120</t>
        </is>
      </c>
      <c r="E2175" t="inlineStr">
        <is>
          <t>1</t>
        </is>
      </c>
      <c r="F2175" t="inlineStr">
        <is>
          <t>60</t>
        </is>
      </c>
      <c r="G2175" t="inlineStr">
        <is>
          <t>4</t>
        </is>
      </c>
      <c r="H2175" t="inlineStr">
        <is>
          <t>0</t>
        </is>
      </c>
      <c r="I2175" t="inlineStr">
        <is>
          <t>60²</t>
        </is>
      </c>
      <c r="J2175" t="n">
        <v>2</v>
      </c>
      <c r="K2175" t="inlineStr">
        <is>
          <t>2², 4², 8², 16²</t>
        </is>
      </c>
      <c r="L2175" t="inlineStr">
        <is>
          <t>12G¹, 15A², 60A⁴</t>
        </is>
      </c>
      <c r="M2175" t="inlineStr">
        <is>
          <t>60E¹⁷, 60C¹⁹, 60G¹⁹, 120C¹⁹, 120D¹⁹</t>
        </is>
      </c>
      <c r="N2175" t="inlineStr">
        <is>
          <t>12G¹, 5A⁰, 12A⁰, 15A², 4A⁰, 60A⁴, 3C⁰, 20A¹, 3A⁰, 1A⁰, 15A¹</t>
        </is>
      </c>
      <c r="O2175" t="inlineStr">
        <is>
          <t>120D¹⁹, 60G¹⁹, 60E¹⁷, 60C¹⁹, 120C¹⁹</t>
        </is>
      </c>
    </row>
    <row r="2176">
      <c r="A2176">
        <f>HYPERLINK("https://mathstats.uncg.edu/sites/pauli/congruence/csg9.html#group60D9", "60D⁹")</f>
        <v/>
      </c>
      <c r="B2176" t="n">
        <v>9</v>
      </c>
      <c r="C2176" t="inlineStr"/>
      <c r="D2176" t="inlineStr">
        <is>
          <t>120</t>
        </is>
      </c>
      <c r="E2176" t="inlineStr">
        <is>
          <t>2</t>
        </is>
      </c>
      <c r="F2176" t="inlineStr">
        <is>
          <t>40</t>
        </is>
      </c>
      <c r="G2176" t="inlineStr">
        <is>
          <t>0</t>
        </is>
      </c>
      <c r="H2176" t="inlineStr">
        <is>
          <t>3</t>
        </is>
      </c>
      <c r="I2176" t="inlineStr">
        <is>
          <t>60²</t>
        </is>
      </c>
      <c r="J2176" t="n">
        <v>2</v>
      </c>
      <c r="K2176" t="inlineStr">
        <is>
          <t>8², 16⁴</t>
        </is>
      </c>
      <c r="L2176" t="inlineStr">
        <is>
          <t>20D², 30B²</t>
        </is>
      </c>
      <c r="M2176" t="inlineStr">
        <is>
          <t>120E¹⁸</t>
        </is>
      </c>
      <c r="N2176" t="inlineStr">
        <is>
          <t>2A⁰, 30B², 5A⁰, 10A⁰, 20D², 4A⁰, 4D⁰, 20A¹, 1A⁰</t>
        </is>
      </c>
      <c r="O2176" t="inlineStr">
        <is>
          <t>120E¹⁸</t>
        </is>
      </c>
    </row>
    <row r="2177">
      <c r="A2177">
        <f>HYPERLINK("https://mathstats.uncg.edu/sites/pauli/congruence/csg9.html#group60E9", "60E⁹")</f>
        <v/>
      </c>
      <c r="B2177" t="n">
        <v>9</v>
      </c>
      <c r="C2177" t="inlineStr"/>
      <c r="D2177" t="inlineStr">
        <is>
          <t>144</t>
        </is>
      </c>
      <c r="E2177" t="inlineStr">
        <is>
          <t>1</t>
        </is>
      </c>
      <c r="F2177" t="inlineStr">
        <is>
          <t>36</t>
        </is>
      </c>
      <c r="G2177" t="inlineStr">
        <is>
          <t>8</t>
        </is>
      </c>
      <c r="H2177" t="inlineStr">
        <is>
          <t>0</t>
        </is>
      </c>
      <c r="I2177" t="inlineStr">
        <is>
          <t>12², 60²</t>
        </is>
      </c>
      <c r="J2177" t="n">
        <v>4</v>
      </c>
      <c r="K2177" t="inlineStr">
        <is>
          <t>2², 4², 8¹, 16¹</t>
        </is>
      </c>
      <c r="L2177" t="inlineStr">
        <is>
          <t>30I³</t>
        </is>
      </c>
      <c r="M2177" t="inlineStr">
        <is>
          <t>60N¹⁷, 60A²¹, 60G²¹</t>
        </is>
      </c>
      <c r="N2177" t="inlineStr">
        <is>
          <t>15B⁰, 6B⁰, 30I³, 6E⁰, 15E¹, 5B⁰, 3C⁰, 3A⁰, 1A⁰, 30C¹</t>
        </is>
      </c>
      <c r="O2177" t="inlineStr">
        <is>
          <t>60G²¹, 60A²¹, 60N¹⁷</t>
        </is>
      </c>
    </row>
    <row r="2178">
      <c r="A2178">
        <f>HYPERLINK("https://mathstats.uncg.edu/sites/pauli/congruence/csg9.html#group60F9", "60F⁹")</f>
        <v/>
      </c>
      <c r="B2178" t="n">
        <v>9</v>
      </c>
      <c r="C2178" t="inlineStr"/>
      <c r="D2178" t="inlineStr">
        <is>
          <t>144</t>
        </is>
      </c>
      <c r="E2178" t="inlineStr">
        <is>
          <t>1</t>
        </is>
      </c>
      <c r="F2178" t="inlineStr">
        <is>
          <t>36</t>
        </is>
      </c>
      <c r="G2178" t="inlineStr">
        <is>
          <t>8</t>
        </is>
      </c>
      <c r="H2178" t="inlineStr">
        <is>
          <t>0</t>
        </is>
      </c>
      <c r="I2178" t="inlineStr">
        <is>
          <t>12², 60²</t>
        </is>
      </c>
      <c r="J2178" t="n">
        <v>4</v>
      </c>
      <c r="K2178" t="inlineStr">
        <is>
          <t>2², 4², 8¹, 16¹</t>
        </is>
      </c>
      <c r="L2178" t="inlineStr">
        <is>
          <t>12D¹, 30I³</t>
        </is>
      </c>
      <c r="M2178" t="inlineStr">
        <is>
          <t>60N¹⁷, 60B²¹, 60G²¹</t>
        </is>
      </c>
      <c r="N2178" t="inlineStr">
        <is>
          <t>12D¹, 6B⁰, 30I³, 30C¹, 5B⁰, 1A⁰, 15B⁰, 6E⁰, 3C⁰, 3A⁰, 15E¹</t>
        </is>
      </c>
      <c r="O2178" t="inlineStr">
        <is>
          <t>60G²¹, 60B²¹, 60N¹⁷</t>
        </is>
      </c>
    </row>
    <row r="2179">
      <c r="A2179">
        <f>HYPERLINK("https://mathstats.uncg.edu/sites/pauli/congruence/csg9.html#group60G9", "60G⁹")</f>
        <v/>
      </c>
      <c r="B2179" t="n">
        <v>9</v>
      </c>
      <c r="C2179" t="inlineStr"/>
      <c r="D2179" t="inlineStr">
        <is>
          <t>144</t>
        </is>
      </c>
      <c r="E2179" t="inlineStr">
        <is>
          <t>1</t>
        </is>
      </c>
      <c r="F2179" t="inlineStr">
        <is>
          <t>72</t>
        </is>
      </c>
      <c r="G2179" t="inlineStr">
        <is>
          <t>0</t>
        </is>
      </c>
      <c r="H2179" t="inlineStr">
        <is>
          <t>0</t>
        </is>
      </c>
      <c r="I2179" t="inlineStr">
        <is>
          <t>2¹, 4¹, 6¹, 10¹, 12¹, 20¹, 30¹, 60¹</t>
        </is>
      </c>
      <c r="J2179" t="n">
        <v>8</v>
      </c>
      <c r="K2179" t="inlineStr">
        <is>
          <t>1¹², 2⁶, 4⁶, 8³</t>
        </is>
      </c>
      <c r="L2179" t="inlineStr">
        <is>
          <t>20C², 30K³</t>
        </is>
      </c>
      <c r="M2179" t="inlineStr">
        <is>
          <t>60Q¹⁷, 60R¹⁷, 60S¹⁷, 120E²¹, 120F²¹</t>
        </is>
      </c>
      <c r="N2179" t="inlineStr">
        <is>
          <t>15C¹, 3B⁰, 5B⁰, 10C⁰, 6F⁰, 2B⁰, 30K³, 1A⁰, 20C²</t>
        </is>
      </c>
      <c r="O2179" t="inlineStr">
        <is>
          <t>60R¹⁷, 60Q¹⁷, 120E²¹, 60S¹⁷, 120F²¹</t>
        </is>
      </c>
    </row>
    <row r="2180">
      <c r="A2180">
        <f>HYPERLINK("https://mathstats.uncg.edu/sites/pauli/congruence/csg9.html#group60H9", "60H⁹")</f>
        <v/>
      </c>
      <c r="B2180" t="n">
        <v>9</v>
      </c>
      <c r="C2180" t="inlineStr"/>
      <c r="D2180" t="inlineStr">
        <is>
          <t>144</t>
        </is>
      </c>
      <c r="E2180" t="inlineStr">
        <is>
          <t>1</t>
        </is>
      </c>
      <c r="F2180" t="inlineStr">
        <is>
          <t>72</t>
        </is>
      </c>
      <c r="G2180" t="inlineStr">
        <is>
          <t>0</t>
        </is>
      </c>
      <c r="H2180" t="inlineStr">
        <is>
          <t>0</t>
        </is>
      </c>
      <c r="I2180" t="inlineStr">
        <is>
          <t>2¹, 4¹, 6¹, 10¹, 12¹, 20¹, 30¹, 60¹</t>
        </is>
      </c>
      <c r="J2180" t="n">
        <v>8</v>
      </c>
      <c r="K2180" t="inlineStr">
        <is>
          <t>1¹², 2⁶, 4⁶, 8³</t>
        </is>
      </c>
      <c r="L2180" t="inlineStr">
        <is>
          <t>12F¹, 20E¹, 30K³</t>
        </is>
      </c>
      <c r="M2180" t="inlineStr">
        <is>
          <t>60P¹⁷, 60Q¹⁷, 60T¹⁷, 60M¹⁹, 60N¹⁹, 120K¹⁹, 120L¹⁹, 120A²¹, 120B²¹, 120C²¹, 120D²¹</t>
        </is>
      </c>
      <c r="N2180" t="inlineStr">
        <is>
          <t>20E¹, 3B⁰, 15C¹, 12F¹, 4C⁰, 5B⁰, 10C⁰, 6F⁰, 2B⁰, 30K³, 1A⁰</t>
        </is>
      </c>
      <c r="O2180" t="inlineStr">
        <is>
          <t>60T¹⁷, 120B²¹, 120K¹⁹, 60M¹⁹, 60N¹⁹, 60Q¹⁷, 60P¹⁷, 120C²¹, 120D²¹, 120A²¹, 120L¹⁹</t>
        </is>
      </c>
    </row>
    <row r="2181">
      <c r="A2181">
        <f>HYPERLINK("https://mathstats.uncg.edu/sites/pauli/congruence/csg9.html#group60I9", "60I⁹")</f>
        <v/>
      </c>
      <c r="B2181" t="n">
        <v>9</v>
      </c>
      <c r="C2181" t="inlineStr"/>
      <c r="D2181" t="inlineStr">
        <is>
          <t>144</t>
        </is>
      </c>
      <c r="E2181" t="inlineStr">
        <is>
          <t>1</t>
        </is>
      </c>
      <c r="F2181" t="inlineStr">
        <is>
          <t>72</t>
        </is>
      </c>
      <c r="G2181" t="inlineStr">
        <is>
          <t>8</t>
        </is>
      </c>
      <c r="H2181" t="inlineStr">
        <is>
          <t>0</t>
        </is>
      </c>
      <c r="I2181" t="inlineStr">
        <is>
          <t>12², 60²</t>
        </is>
      </c>
      <c r="J2181" t="n">
        <v>4</v>
      </c>
      <c r="K2181" t="inlineStr">
        <is>
          <t>2⁴, 4⁴, 8², 16²</t>
        </is>
      </c>
      <c r="L2181" t="inlineStr">
        <is>
          <t>30C², 60B³</t>
        </is>
      </c>
      <c r="M2181" t="inlineStr">
        <is>
          <t>60W¹⁷, 60Y¹⁷, 60K²¹, 60N²¹, 60M²¹, 120J²¹, 120I²¹, 120M²¹, 120N²¹</t>
        </is>
      </c>
      <c r="N2181" t="inlineStr">
        <is>
          <t>15B⁰, 12A⁰, 4A⁰, 5B⁰, 60B³, 3A⁰, 1A⁰, 20B¹, 30C²</t>
        </is>
      </c>
      <c r="O2181" t="inlineStr">
        <is>
          <t>120M²¹, 60W¹⁷, 60N²¹, 60K²¹, 120N²¹, 60Y¹⁷, 60M²¹, 120J²¹, 120I²¹</t>
        </is>
      </c>
    </row>
    <row r="2182">
      <c r="A2182">
        <f>HYPERLINK("https://mathstats.uncg.edu/sites/pauli/congruence/csg9.html#group60J9", "60J⁹")</f>
        <v/>
      </c>
      <c r="B2182" t="n">
        <v>9</v>
      </c>
      <c r="C2182" t="inlineStr"/>
      <c r="D2182" t="inlineStr">
        <is>
          <t>144</t>
        </is>
      </c>
      <c r="E2182" t="inlineStr">
        <is>
          <t>1</t>
        </is>
      </c>
      <c r="F2182" t="inlineStr">
        <is>
          <t>72</t>
        </is>
      </c>
      <c r="G2182" t="inlineStr">
        <is>
          <t>8</t>
        </is>
      </c>
      <c r="H2182" t="inlineStr">
        <is>
          <t>0</t>
        </is>
      </c>
      <c r="I2182" t="inlineStr">
        <is>
          <t>12², 60²</t>
        </is>
      </c>
      <c r="J2182" t="n">
        <v>4</v>
      </c>
      <c r="K2182" t="inlineStr">
        <is>
          <t>2⁴, 4⁴, 8², 16²</t>
        </is>
      </c>
      <c r="L2182" t="inlineStr">
        <is>
          <t>12G¹, 15E¹, 60B³</t>
        </is>
      </c>
      <c r="M2182" t="inlineStr">
        <is>
          <t>60U¹⁷, 60V¹⁷, 60W¹⁷, 60E²¹, 60K²¹, 60L²¹, 60O²¹, 120G²¹, 120H²¹, 120K²¹, 120L²¹</t>
        </is>
      </c>
      <c r="N2182" t="inlineStr">
        <is>
          <t>12G¹, 15B⁰, 12A⁰, 4A⁰, 5B⁰, 3C⁰, 60B³, 3A⁰, 1A⁰, 20B¹, 15E¹</t>
        </is>
      </c>
      <c r="O2182" t="inlineStr">
        <is>
          <t>60W¹⁷, 120H²¹, 60K²¹, 60U¹⁷, 60E²¹, 60L²¹, 60V¹⁷, 120L²¹, 120K²¹, 60O²¹, 120G²¹</t>
        </is>
      </c>
    </row>
    <row r="2183">
      <c r="A2183">
        <f>HYPERLINK("https://mathstats.uncg.edu/sites/pauli/congruence/csg9.html#group60K9", "60K⁹")</f>
        <v/>
      </c>
      <c r="B2183" t="n">
        <v>9</v>
      </c>
      <c r="C2183" t="inlineStr"/>
      <c r="D2183" t="inlineStr">
        <is>
          <t>144</t>
        </is>
      </c>
      <c r="E2183" t="inlineStr">
        <is>
          <t>2</t>
        </is>
      </c>
      <c r="F2183" t="inlineStr">
        <is>
          <t>18</t>
        </is>
      </c>
      <c r="G2183" t="inlineStr">
        <is>
          <t>8</t>
        </is>
      </c>
      <c r="H2183" t="inlineStr">
        <is>
          <t>0</t>
        </is>
      </c>
      <c r="I2183" t="inlineStr">
        <is>
          <t>12², 60²</t>
        </is>
      </c>
      <c r="J2183" t="n">
        <v>4</v>
      </c>
      <c r="K2183" t="inlineStr">
        <is>
          <t>2², 4², 8¹, 16¹</t>
        </is>
      </c>
      <c r="L2183" t="inlineStr">
        <is>
          <t>30J³, 60D³</t>
        </is>
      </c>
      <c r="M2183" t="inlineStr">
        <is>
          <t>60X¹⁷, 60C²¹, 60Q²¹</t>
        </is>
      </c>
      <c r="N2183" t="inlineStr">
        <is>
          <t>30A⁰, 15B⁰, 30J³, 5B⁰, 3C⁰, 30C², 60D³, 3A⁰, 1A⁰, 15E¹, 10B⁰</t>
        </is>
      </c>
      <c r="O2183" t="inlineStr">
        <is>
          <t>60X¹⁷, 60C²¹, 60Q²¹</t>
        </is>
      </c>
    </row>
    <row r="2184">
      <c r="A2184">
        <f>HYPERLINK("https://mathstats.uncg.edu/sites/pauli/congruence/csg9.html#group60L9", "60L⁹")</f>
        <v/>
      </c>
      <c r="B2184" t="n">
        <v>9</v>
      </c>
      <c r="C2184" t="inlineStr"/>
      <c r="D2184" t="inlineStr">
        <is>
          <t>144</t>
        </is>
      </c>
      <c r="E2184" t="inlineStr">
        <is>
          <t>2</t>
        </is>
      </c>
      <c r="F2184" t="inlineStr">
        <is>
          <t>18</t>
        </is>
      </c>
      <c r="G2184" t="inlineStr">
        <is>
          <t>8</t>
        </is>
      </c>
      <c r="H2184" t="inlineStr">
        <is>
          <t>0</t>
        </is>
      </c>
      <c r="I2184" t="inlineStr">
        <is>
          <t>12², 60²</t>
        </is>
      </c>
      <c r="J2184" t="n">
        <v>4</v>
      </c>
      <c r="K2184" t="inlineStr">
        <is>
          <t>2², 4², 8¹, 16¹</t>
        </is>
      </c>
      <c r="L2184" t="inlineStr">
        <is>
          <t>30J³, 60C³, 60D³</t>
        </is>
      </c>
      <c r="M2184" t="inlineStr">
        <is>
          <t>60X¹⁷, 60D²¹, 60Q²¹</t>
        </is>
      </c>
      <c r="N2184" t="inlineStr">
        <is>
          <t>30A⁰, 20C¹, 15B⁰, 60C³, 30J³, 5B⁰, 3C⁰, 30C², 60D³, 3A⁰, 1A⁰, 15E¹, 10B⁰</t>
        </is>
      </c>
      <c r="O2184" t="inlineStr">
        <is>
          <t>60X¹⁷, 60D²¹, 60Q²¹</t>
        </is>
      </c>
    </row>
    <row r="2185">
      <c r="A2185">
        <f>HYPERLINK("https://mathstats.uncg.edu/sites/pauli/congruence/csg9.html#group60M9", "60M⁹")</f>
        <v/>
      </c>
      <c r="B2185" t="n">
        <v>9</v>
      </c>
      <c r="C2185" t="inlineStr"/>
      <c r="D2185" t="inlineStr">
        <is>
          <t>216</t>
        </is>
      </c>
      <c r="E2185" t="inlineStr">
        <is>
          <t>1</t>
        </is>
      </c>
      <c r="F2185" t="inlineStr">
        <is>
          <t>18</t>
        </is>
      </c>
      <c r="G2185" t="inlineStr">
        <is>
          <t>24</t>
        </is>
      </c>
      <c r="H2185" t="inlineStr">
        <is>
          <t>0</t>
        </is>
      </c>
      <c r="I2185" t="inlineStr">
        <is>
          <t>6², 12², 30², 60²</t>
        </is>
      </c>
      <c r="J2185" t="n">
        <v>8</v>
      </c>
      <c r="K2185" t="inlineStr">
        <is>
          <t>1⁶, 4³</t>
        </is>
      </c>
      <c r="L2185" t="inlineStr">
        <is>
          <t>20I¹, 30H⁴, 60C⁴, 60A⁵</t>
        </is>
      </c>
      <c r="M2185" t="inlineStr">
        <is>
          <t>60X²¹, 120O²¹, 60N²³, 60R²³</t>
        </is>
      </c>
      <c r="N2185" t="inlineStr">
        <is>
          <t>30A⁰, 20E¹, 10G⁰, 12C⁰, 4C⁰, 5B⁰, 60C⁴, 2B⁰, 1A⁰, 10B⁰, 20A⁰, 15B⁰, 30E², 20I¹, 60A⁵, 10C⁰, 30H⁴, 3A⁰, 6D⁰</t>
        </is>
      </c>
      <c r="O2185" t="inlineStr">
        <is>
          <t>60R²³, 60X²¹, 120O²¹, 60N²³</t>
        </is>
      </c>
    </row>
    <row r="2186">
      <c r="A2186">
        <f>HYPERLINK("https://mathstats.uncg.edu/sites/pauli/congruence/csg9.html#group60N9", "60N⁹")</f>
        <v/>
      </c>
      <c r="B2186" t="n">
        <v>9</v>
      </c>
      <c r="C2186" t="inlineStr"/>
      <c r="D2186" t="inlineStr">
        <is>
          <t>216</t>
        </is>
      </c>
      <c r="E2186" t="inlineStr">
        <is>
          <t>1</t>
        </is>
      </c>
      <c r="F2186" t="inlineStr">
        <is>
          <t>54</t>
        </is>
      </c>
      <c r="G2186" t="inlineStr">
        <is>
          <t>16</t>
        </is>
      </c>
      <c r="H2186" t="inlineStr">
        <is>
          <t>0</t>
        </is>
      </c>
      <c r="I2186" t="inlineStr">
        <is>
          <t>3⁴, 12², 15⁴, 60²</t>
        </is>
      </c>
      <c r="J2186" t="n">
        <v>12</v>
      </c>
      <c r="K2186" t="inlineStr">
        <is>
          <t>1⁶, 2⁶, 4³, 8³</t>
        </is>
      </c>
      <c r="L2186" t="inlineStr">
        <is>
          <t>30I⁴, 60C⁴, 60B⁵</t>
        </is>
      </c>
      <c r="M2186" t="inlineStr">
        <is>
          <t>60W²¹, 60X²¹, 120Q²³, 120R²³, 120S²³</t>
        </is>
      </c>
      <c r="N2186" t="inlineStr">
        <is>
          <t>20A⁰, 15B⁰, 30E², 30I⁴, 5B⁰, 10C⁰, 60C⁴, 2B⁰, 12D⁰, 15C⁰, 3A⁰, 1A⁰, 6D⁰, 60B⁵</t>
        </is>
      </c>
      <c r="O2186" t="inlineStr">
        <is>
          <t>120R²³, 60X²¹, 120Q²³, 120S²³, 60W²¹</t>
        </is>
      </c>
    </row>
    <row r="2187">
      <c r="A2187">
        <f>HYPERLINK("https://mathstats.uncg.edu/sites/pauli/congruence/csg9.html#group63A9", "63A⁹")</f>
        <v/>
      </c>
      <c r="B2187" t="n">
        <v>9</v>
      </c>
      <c r="C2187" t="inlineStr"/>
      <c r="D2187" t="inlineStr">
        <is>
          <t>126</t>
        </is>
      </c>
      <c r="E2187" t="inlineStr">
        <is>
          <t>2</t>
        </is>
      </c>
      <c r="F2187" t="inlineStr">
        <is>
          <t>63</t>
        </is>
      </c>
      <c r="G2187" t="inlineStr">
        <is>
          <t>6</t>
        </is>
      </c>
      <c r="H2187" t="inlineStr">
        <is>
          <t>0</t>
        </is>
      </c>
      <c r="I2187" t="inlineStr">
        <is>
          <t>63²</t>
        </is>
      </c>
      <c r="J2187" t="n">
        <v>2</v>
      </c>
      <c r="K2187" t="inlineStr">
        <is>
          <t>4³, 12⁸, 36⁴</t>
        </is>
      </c>
      <c r="L2187" t="inlineStr">
        <is>
          <t>9B¹, 21D², 63A²</t>
        </is>
      </c>
      <c r="M2187" t="inlineStr">
        <is>
          <t>63B¹⁸, 126D¹⁸, 63E¹⁹, 126B¹⁹, 63A²⁰, 126B²⁰, 126H²¹</t>
        </is>
      </c>
      <c r="N2187" t="inlineStr">
        <is>
          <t>21D², 9A⁰, 21A⁰, 3C⁰, 7A⁰, 3A⁰, 1A⁰, 9B¹, 63A²</t>
        </is>
      </c>
      <c r="O2187" t="inlineStr">
        <is>
          <t>126B¹⁹, 63B¹⁸, 63A²⁰, 126B²⁰, 126H²¹, 63E¹⁹, 126D¹⁸</t>
        </is>
      </c>
    </row>
    <row r="2188">
      <c r="A2188">
        <f>HYPERLINK("https://mathstats.uncg.edu/sites/pauli/congruence/csg9.html#group63B9", "63B⁹")</f>
        <v/>
      </c>
      <c r="B2188" t="n">
        <v>9</v>
      </c>
      <c r="C2188" t="inlineStr"/>
      <c r="D2188" t="inlineStr">
        <is>
          <t>126</t>
        </is>
      </c>
      <c r="E2188" t="inlineStr">
        <is>
          <t>2</t>
        </is>
      </c>
      <c r="F2188" t="inlineStr">
        <is>
          <t>63</t>
        </is>
      </c>
      <c r="G2188" t="inlineStr">
        <is>
          <t>6</t>
        </is>
      </c>
      <c r="H2188" t="inlineStr">
        <is>
          <t>0</t>
        </is>
      </c>
      <c r="I2188" t="inlineStr">
        <is>
          <t>63²</t>
        </is>
      </c>
      <c r="J2188" t="n">
        <v>2</v>
      </c>
      <c r="K2188" t="inlineStr">
        <is>
          <t>4³, 12⁸, 36⁴</t>
        </is>
      </c>
      <c r="L2188" t="inlineStr">
        <is>
          <t>9B¹, 21D², 63A²</t>
        </is>
      </c>
      <c r="M2188" t="inlineStr">
        <is>
          <t>63C¹⁸, 126E¹⁸, 63D¹⁹, 126C¹⁹, 63A²⁰, 126A²⁰, 126G²¹</t>
        </is>
      </c>
      <c r="N2188" t="inlineStr">
        <is>
          <t>21D², 9A⁰, 21A⁰, 3C⁰, 7A⁰, 3A⁰, 1A⁰, 9B¹, 63A²</t>
        </is>
      </c>
      <c r="O2188" t="inlineStr">
        <is>
          <t>126C¹⁹, 126A²⁰, 63A²⁰, 126G²¹, 63C¹⁸, 126E¹⁸, 63D¹⁹</t>
        </is>
      </c>
    </row>
    <row r="2189">
      <c r="A2189">
        <f>HYPERLINK("https://mathstats.uncg.edu/sites/pauli/congruence/csg9.html#group63C9", "63C⁹")</f>
        <v/>
      </c>
      <c r="B2189" t="n">
        <v>9</v>
      </c>
      <c r="C2189" t="inlineStr"/>
      <c r="D2189" t="inlineStr">
        <is>
          <t>144</t>
        </is>
      </c>
      <c r="E2189" t="inlineStr">
        <is>
          <t>1</t>
        </is>
      </c>
      <c r="F2189" t="inlineStr">
        <is>
          <t>144</t>
        </is>
      </c>
      <c r="G2189" t="inlineStr">
        <is>
          <t>0</t>
        </is>
      </c>
      <c r="H2189" t="inlineStr">
        <is>
          <t>0</t>
        </is>
      </c>
      <c r="I2189" t="inlineStr">
        <is>
          <t>3³, 9¹, 21³, 63¹</t>
        </is>
      </c>
      <c r="J2189" t="n">
        <v>8</v>
      </c>
      <c r="K2189" t="inlineStr">
        <is>
          <t>1², 2², 3², 6⁵, 12¹, 18¹, 36²</t>
        </is>
      </c>
      <c r="L2189" t="inlineStr">
        <is>
          <t>9E⁰, 21A³</t>
        </is>
      </c>
      <c r="M2189" t="inlineStr">
        <is>
          <t>63D¹⁷, 126L²¹, 126M²¹</t>
        </is>
      </c>
      <c r="N2189" t="inlineStr">
        <is>
          <t>3C⁰, 9E⁰, 3A⁰, 1A⁰, 7B⁰, 21A³, 21A²</t>
        </is>
      </c>
      <c r="O2189" t="inlineStr">
        <is>
          <t>126L²¹, 63D¹⁷, 126M²¹</t>
        </is>
      </c>
    </row>
    <row r="2190">
      <c r="A2190">
        <f>HYPERLINK("https://mathstats.uncg.edu/sites/pauli/congruence/csg9.html#group63D9", "63D⁹")</f>
        <v/>
      </c>
      <c r="B2190" t="n">
        <v>9</v>
      </c>
      <c r="C2190" t="inlineStr"/>
      <c r="D2190" t="inlineStr">
        <is>
          <t>189</t>
        </is>
      </c>
      <c r="E2190" t="inlineStr">
        <is>
          <t>1</t>
        </is>
      </c>
      <c r="F2190" t="inlineStr">
        <is>
          <t>189</t>
        </is>
      </c>
      <c r="G2190" t="inlineStr">
        <is>
          <t>25</t>
        </is>
      </c>
      <c r="H2190" t="inlineStr">
        <is>
          <t>0</t>
        </is>
      </c>
      <c r="I2190" t="inlineStr">
        <is>
          <t>63³</t>
        </is>
      </c>
      <c r="J2190" t="n">
        <v>3</v>
      </c>
      <c r="K2190" t="inlineStr">
        <is>
          <t>3¹, 6⁴, 12³, 18¹, 36³</t>
        </is>
      </c>
      <c r="L2190" t="inlineStr">
        <is>
          <t>21E¹, 63A²</t>
        </is>
      </c>
      <c r="M2190" t="inlineStr">
        <is>
          <t>63D²¹, 126Q²¹, 126R²¹, 63A²², 63B²², 63B²³, 63B²⁴, 63G²⁴, 63F²⁴, 126B²⁴, 126E²⁴, 126D²⁴</t>
        </is>
      </c>
      <c r="N2190" t="inlineStr">
        <is>
          <t>7D⁰, 21E¹, 9A⁰, 63A², 21A⁰, 3A⁰, 1A⁰, 7A⁰</t>
        </is>
      </c>
      <c r="O2190" t="inlineStr">
        <is>
          <t>126R²¹, 126E²⁴, 126Q²¹, 63B²², 63G²⁴, 126D²⁴, 63F²⁴, 63A²², 63B²⁴, 63D²¹, 126B²⁴, 63B²³</t>
        </is>
      </c>
    </row>
    <row r="2191">
      <c r="A2191">
        <f>HYPERLINK("https://mathstats.uncg.edu/sites/pauli/congruence/csg9.html#group63E9", "63E⁹")</f>
        <v/>
      </c>
      <c r="B2191" t="n">
        <v>9</v>
      </c>
      <c r="C2191" t="inlineStr"/>
      <c r="D2191" t="inlineStr">
        <is>
          <t>192</t>
        </is>
      </c>
      <c r="E2191" t="inlineStr">
        <is>
          <t>1</t>
        </is>
      </c>
      <c r="F2191" t="inlineStr">
        <is>
          <t>32</t>
        </is>
      </c>
      <c r="G2191" t="inlineStr">
        <is>
          <t>0</t>
        </is>
      </c>
      <c r="H2191" t="inlineStr">
        <is>
          <t>0</t>
        </is>
      </c>
      <c r="I2191" t="inlineStr">
        <is>
          <t>1⁶, 7⁶, 9², 63²</t>
        </is>
      </c>
      <c r="J2191" t="n">
        <v>16</v>
      </c>
      <c r="K2191" t="inlineStr">
        <is>
          <t>1⁴, 2², 6², 12¹</t>
        </is>
      </c>
      <c r="L2191" t="inlineStr">
        <is>
          <t>21F¹, 63A⁵</t>
        </is>
      </c>
      <c r="M2191" t="inlineStr"/>
      <c r="N2191" t="inlineStr">
        <is>
          <t>63A⁵, 3B⁰, 9B⁰, 21B¹, 1A⁰, 7B⁰, 21F¹</t>
        </is>
      </c>
      <c r="O2191" t="inlineStr"/>
    </row>
    <row r="2192">
      <c r="A2192">
        <f>HYPERLINK("https://mathstats.uncg.edu/sites/pauli/congruence/csg9.html#group63F9", "63F⁹")</f>
        <v/>
      </c>
      <c r="B2192" t="n">
        <v>9</v>
      </c>
      <c r="C2192" t="inlineStr"/>
      <c r="D2192" t="inlineStr">
        <is>
          <t>192</t>
        </is>
      </c>
      <c r="E2192" t="inlineStr">
        <is>
          <t>1</t>
        </is>
      </c>
      <c r="F2192" t="inlineStr">
        <is>
          <t>32</t>
        </is>
      </c>
      <c r="G2192" t="inlineStr">
        <is>
          <t>0</t>
        </is>
      </c>
      <c r="H2192" t="inlineStr">
        <is>
          <t>12</t>
        </is>
      </c>
      <c r="I2192" t="inlineStr">
        <is>
          <t>3², 9², 21², 63²</t>
        </is>
      </c>
      <c r="J2192" t="n">
        <v>8</v>
      </c>
      <c r="K2192" t="inlineStr">
        <is>
          <t>1⁴, 2², 6², 12¹</t>
        </is>
      </c>
      <c r="L2192" t="inlineStr">
        <is>
          <t>21F¹, 63B⁵</t>
        </is>
      </c>
      <c r="M2192" t="inlineStr">
        <is>
          <t>126S²¹</t>
        </is>
      </c>
      <c r="N2192" t="inlineStr">
        <is>
          <t>3B⁰, 63B⁵, 21B¹, 9C⁰, 1A⁰, 7B⁰, 21F¹</t>
        </is>
      </c>
      <c r="O2192" t="inlineStr">
        <is>
          <t>126S²¹</t>
        </is>
      </c>
    </row>
    <row r="2193">
      <c r="A2193">
        <f>HYPERLINK("https://mathstats.uncg.edu/sites/pauli/congruence/csg9.html#group64A9", "64A⁹")</f>
        <v/>
      </c>
      <c r="B2193" t="n">
        <v>9</v>
      </c>
      <c r="C2193" t="inlineStr"/>
      <c r="D2193" t="inlineStr">
        <is>
          <t>192</t>
        </is>
      </c>
      <c r="E2193" t="inlineStr">
        <is>
          <t>1</t>
        </is>
      </c>
      <c r="F2193" t="inlineStr">
        <is>
          <t>12</t>
        </is>
      </c>
      <c r="G2193" t="inlineStr">
        <is>
          <t>0</t>
        </is>
      </c>
      <c r="H2193" t="inlineStr">
        <is>
          <t>0</t>
        </is>
      </c>
      <c r="I2193" t="inlineStr">
        <is>
          <t>2⁸, 4⁴, 16², 64²</t>
        </is>
      </c>
      <c r="J2193" t="n">
        <v>16</v>
      </c>
      <c r="K2193" t="inlineStr">
        <is>
          <t>1⁴, 2², 4¹</t>
        </is>
      </c>
      <c r="L2193" t="inlineStr">
        <is>
          <t>32E¹, 64B⁵, 64A⁵</t>
        </is>
      </c>
      <c r="M2193" t="inlineStr">
        <is>
          <t>64A¹⁷, 64B¹⁷</t>
        </is>
      </c>
      <c r="N2193" t="inlineStr">
        <is>
          <t>32A¹, 16H⁰, 16C⁰, 16D⁰, 32A⁰, 1A⁰, 8C⁰, 2B⁰, 8I⁰, 4B⁰, 32E¹, 64B⁵, 64A⁵</t>
        </is>
      </c>
      <c r="O2193" t="inlineStr">
        <is>
          <t>64A¹⁷, 64B¹⁷</t>
        </is>
      </c>
    </row>
    <row r="2194">
      <c r="A2194">
        <f>HYPERLINK("https://mathstats.uncg.edu/sites/pauli/congruence/csg9.html#group64B9", "64B⁹")</f>
        <v/>
      </c>
      <c r="B2194" t="n">
        <v>9</v>
      </c>
      <c r="C2194" t="inlineStr"/>
      <c r="D2194" t="inlineStr">
        <is>
          <t>192</t>
        </is>
      </c>
      <c r="E2194" t="inlineStr">
        <is>
          <t>1</t>
        </is>
      </c>
      <c r="F2194" t="inlineStr">
        <is>
          <t>12</t>
        </is>
      </c>
      <c r="G2194" t="inlineStr">
        <is>
          <t>0</t>
        </is>
      </c>
      <c r="H2194" t="inlineStr">
        <is>
          <t>0</t>
        </is>
      </c>
      <c r="I2194" t="inlineStr">
        <is>
          <t>2⁸, 4⁴, 16², 64²</t>
        </is>
      </c>
      <c r="J2194" t="n">
        <v>16</v>
      </c>
      <c r="K2194" t="inlineStr">
        <is>
          <t>1⁴, 2², 4¹</t>
        </is>
      </c>
      <c r="L2194" t="inlineStr">
        <is>
          <t>32J³, 64A³, 64A⁵</t>
        </is>
      </c>
      <c r="M2194" t="inlineStr">
        <is>
          <t>64A¹⁷, 64A²¹, 64F²¹, 128D²¹</t>
        </is>
      </c>
      <c r="N2194" t="inlineStr">
        <is>
          <t>2A⁰, 8D⁰, 16E¹, 4C⁰, 16A¹, 8C⁰, 2B⁰, 4E⁰, 4B⁰, 1A⁰, 32J³, 32A¹, 8G⁰, 16C⁰, 64A³, 2C⁰, 64A⁵</t>
        </is>
      </c>
      <c r="O2194" t="inlineStr">
        <is>
          <t>128D²¹, 64A¹⁷, 64F²¹, 64A²¹</t>
        </is>
      </c>
    </row>
    <row r="2195">
      <c r="A2195">
        <f>HYPERLINK("https://mathstats.uncg.edu/sites/pauli/congruence/csg9.html#group64C9", "64C⁹")</f>
        <v/>
      </c>
      <c r="B2195" t="n">
        <v>9</v>
      </c>
      <c r="C2195" t="inlineStr"/>
      <c r="D2195" t="inlineStr">
        <is>
          <t>192</t>
        </is>
      </c>
      <c r="E2195" t="inlineStr">
        <is>
          <t>1</t>
        </is>
      </c>
      <c r="F2195" t="inlineStr">
        <is>
          <t>12</t>
        </is>
      </c>
      <c r="G2195" t="inlineStr">
        <is>
          <t>0</t>
        </is>
      </c>
      <c r="H2195" t="inlineStr">
        <is>
          <t>0</t>
        </is>
      </c>
      <c r="I2195" t="inlineStr">
        <is>
          <t>2⁸, 4⁴, 16², 64²</t>
        </is>
      </c>
      <c r="J2195" t="n">
        <v>16</v>
      </c>
      <c r="K2195" t="inlineStr">
        <is>
          <t>1⁴, 2², 4¹</t>
        </is>
      </c>
      <c r="L2195" t="inlineStr">
        <is>
          <t>32J³, 64B³, 64B⁵</t>
        </is>
      </c>
      <c r="M2195" t="inlineStr">
        <is>
          <t>64A¹⁷, 64B²¹, 64F²¹, 128F²¹</t>
        </is>
      </c>
      <c r="N2195" t="inlineStr">
        <is>
          <t>2A⁰, 8D⁰, 16E¹, 4C⁰, 64B³, 16A¹, 8C⁰, 2B⁰, 4E⁰, 4B⁰, 1A⁰, 32J³, 64B⁵, 32A¹, 8G⁰, 16C⁰, 2C⁰</t>
        </is>
      </c>
      <c r="O2195" t="inlineStr">
        <is>
          <t>128F²¹, 64A¹⁷, 64F²¹, 64B²¹</t>
        </is>
      </c>
    </row>
    <row r="2196">
      <c r="A2196">
        <f>HYPERLINK("https://mathstats.uncg.edu/sites/pauli/congruence/csg9.html#group64D9", "64D⁹")</f>
        <v/>
      </c>
      <c r="B2196" t="n">
        <v>9</v>
      </c>
      <c r="C2196" t="inlineStr"/>
      <c r="D2196" t="inlineStr">
        <is>
          <t>192</t>
        </is>
      </c>
      <c r="E2196" t="inlineStr">
        <is>
          <t>1</t>
        </is>
      </c>
      <c r="F2196" t="inlineStr">
        <is>
          <t>12</t>
        </is>
      </c>
      <c r="G2196" t="inlineStr">
        <is>
          <t>0</t>
        </is>
      </c>
      <c r="H2196" t="inlineStr">
        <is>
          <t>0</t>
        </is>
      </c>
      <c r="I2196" t="inlineStr">
        <is>
          <t>2⁸, 4⁴, 16², 64²</t>
        </is>
      </c>
      <c r="J2196" t="n">
        <v>16</v>
      </c>
      <c r="K2196" t="inlineStr">
        <is>
          <t>1⁴, 2², 4¹</t>
        </is>
      </c>
      <c r="L2196" t="inlineStr">
        <is>
          <t>32M³, 64A³, 64B⁵</t>
        </is>
      </c>
      <c r="M2196" t="inlineStr">
        <is>
          <t>64A¹⁷, 64J²¹, 128E²¹</t>
        </is>
      </c>
      <c r="N2196" t="inlineStr">
        <is>
          <t>32A¹, 16H⁰, 4B⁰, 16C⁰, 16D⁰, 32M³, 8C⁰, 2B⁰, 32A², 8I⁰, 64A³, 1A⁰, 64B⁵</t>
        </is>
      </c>
      <c r="O2196" t="inlineStr">
        <is>
          <t>64A¹⁷, 64J²¹, 128E²¹</t>
        </is>
      </c>
    </row>
    <row r="2197">
      <c r="A2197">
        <f>HYPERLINK("https://mathstats.uncg.edu/sites/pauli/congruence/csg9.html#group64E9", "64E⁹")</f>
        <v/>
      </c>
      <c r="B2197" t="n">
        <v>9</v>
      </c>
      <c r="C2197" t="inlineStr"/>
      <c r="D2197" t="inlineStr">
        <is>
          <t>192</t>
        </is>
      </c>
      <c r="E2197" t="inlineStr">
        <is>
          <t>1</t>
        </is>
      </c>
      <c r="F2197" t="inlineStr">
        <is>
          <t>12</t>
        </is>
      </c>
      <c r="G2197" t="inlineStr">
        <is>
          <t>0</t>
        </is>
      </c>
      <c r="H2197" t="inlineStr">
        <is>
          <t>0</t>
        </is>
      </c>
      <c r="I2197" t="inlineStr">
        <is>
          <t>2⁸, 4⁴, 16², 64²</t>
        </is>
      </c>
      <c r="J2197" t="n">
        <v>16</v>
      </c>
      <c r="K2197" t="inlineStr">
        <is>
          <t>1⁴, 2², 4¹</t>
        </is>
      </c>
      <c r="L2197" t="inlineStr">
        <is>
          <t>32M³, 64B³, 64A⁵</t>
        </is>
      </c>
      <c r="M2197" t="inlineStr">
        <is>
          <t>64A¹⁷, 64K²¹, 128B²¹, 128C²¹</t>
        </is>
      </c>
      <c r="N2197" t="inlineStr">
        <is>
          <t>32A¹, 16H⁰, 16C⁰, 16D⁰, 32M³, 64B³, 8C⁰, 2B⁰, 32A², 8I⁰, 4B⁰, 1A⁰, 64A⁵</t>
        </is>
      </c>
      <c r="O2197" t="inlineStr">
        <is>
          <t>64K²¹, 64A¹⁷, 128C²¹, 128B²¹</t>
        </is>
      </c>
    </row>
    <row r="2198">
      <c r="A2198">
        <f>HYPERLINK("https://mathstats.uncg.edu/sites/pauli/congruence/csg9.html#group64F9", "64F⁹")</f>
        <v/>
      </c>
      <c r="B2198" t="n">
        <v>9</v>
      </c>
      <c r="C2198" t="inlineStr"/>
      <c r="D2198" t="inlineStr">
        <is>
          <t>192</t>
        </is>
      </c>
      <c r="E2198" t="inlineStr">
        <is>
          <t>1</t>
        </is>
      </c>
      <c r="F2198" t="inlineStr">
        <is>
          <t>24</t>
        </is>
      </c>
      <c r="G2198" t="inlineStr">
        <is>
          <t>24</t>
        </is>
      </c>
      <c r="H2198" t="inlineStr">
        <is>
          <t>0</t>
        </is>
      </c>
      <c r="I2198" t="inlineStr">
        <is>
          <t>32², 64²</t>
        </is>
      </c>
      <c r="J2198" t="n">
        <v>4</v>
      </c>
      <c r="K2198" t="inlineStr">
        <is>
          <t>2², 4⁵</t>
        </is>
      </c>
      <c r="L2198" t="inlineStr">
        <is>
          <t>32L³</t>
        </is>
      </c>
      <c r="M2198" t="inlineStr">
        <is>
          <t>64G²¹, 64H²¹, 64I²¹</t>
        </is>
      </c>
      <c r="N2198" t="inlineStr">
        <is>
          <t>16B⁰, 8H⁰, 8D⁰, 4A⁰, 4C⁰, 8B⁰, 16B¹, 1A⁰, 2B⁰, 32B¹, 4F⁰, 16F¹, 32L³</t>
        </is>
      </c>
      <c r="O2198" t="inlineStr">
        <is>
          <t>64G²¹, 64I²¹, 64H²¹</t>
        </is>
      </c>
    </row>
    <row r="2199">
      <c r="A2199">
        <f>HYPERLINK("https://mathstats.uncg.edu/sites/pauli/congruence/csg9.html#group64G9", "64G⁹")</f>
        <v/>
      </c>
      <c r="B2199" t="n">
        <v>9</v>
      </c>
      <c r="C2199" t="inlineStr"/>
      <c r="D2199" t="inlineStr">
        <is>
          <t>192</t>
        </is>
      </c>
      <c r="E2199" t="inlineStr">
        <is>
          <t>1</t>
        </is>
      </c>
      <c r="F2199" t="inlineStr">
        <is>
          <t>96</t>
        </is>
      </c>
      <c r="G2199" t="inlineStr">
        <is>
          <t>4</t>
        </is>
      </c>
      <c r="H2199" t="inlineStr">
        <is>
          <t>0</t>
        </is>
      </c>
      <c r="I2199" t="inlineStr">
        <is>
          <t>4⁸, 8⁴, 64²</t>
        </is>
      </c>
      <c r="J2199" t="n">
        <v>14</v>
      </c>
      <c r="K2199" t="inlineStr">
        <is>
          <t>2⁴, 4⁶, 8⁴, 16⁸</t>
        </is>
      </c>
      <c r="L2199" t="inlineStr">
        <is>
          <t>32P³</t>
        </is>
      </c>
      <c r="M2199" t="inlineStr">
        <is>
          <t>64A¹⁸, 64A¹⁹, 64Q²¹, 64A²², 64B²², 64B²³</t>
        </is>
      </c>
      <c r="N2199" t="inlineStr">
        <is>
          <t>8H⁰, 16E⁰, 16I¹, 8D⁰, 4A⁰, 16C¹, 4C⁰, 8B⁰, 1A⁰, 2B⁰, 4F⁰, 32P³</t>
        </is>
      </c>
      <c r="O2199" t="inlineStr">
        <is>
          <t>64B²³, 64A²², 64B²², 64A¹⁸, 64Q²¹, 64A¹⁹</t>
        </is>
      </c>
    </row>
    <row r="2200">
      <c r="A2200">
        <f>HYPERLINK("https://mathstats.uncg.edu/sites/pauli/congruence/csg9.html#group64H9", "64H⁹")</f>
        <v/>
      </c>
      <c r="B2200" t="n">
        <v>9</v>
      </c>
      <c r="C2200" t="inlineStr"/>
      <c r="D2200" t="inlineStr">
        <is>
          <t>192</t>
        </is>
      </c>
      <c r="E2200" t="inlineStr">
        <is>
          <t>1</t>
        </is>
      </c>
      <c r="F2200" t="inlineStr">
        <is>
          <t>96</t>
        </is>
      </c>
      <c r="G2200" t="inlineStr">
        <is>
          <t>4</t>
        </is>
      </c>
      <c r="H2200" t="inlineStr">
        <is>
          <t>0</t>
        </is>
      </c>
      <c r="I2200" t="inlineStr">
        <is>
          <t>4⁸, 8⁴, 64²</t>
        </is>
      </c>
      <c r="J2200" t="n">
        <v>14</v>
      </c>
      <c r="K2200" t="inlineStr">
        <is>
          <t>2⁴, 4⁶, 8⁴, 16⁸</t>
        </is>
      </c>
      <c r="L2200" t="inlineStr">
        <is>
          <t>32P³</t>
        </is>
      </c>
      <c r="M2200" t="inlineStr">
        <is>
          <t>64B¹⁸, 64A¹⁹, 64Q²¹, 64A²², 64B²², 64B²³</t>
        </is>
      </c>
      <c r="N2200" t="inlineStr">
        <is>
          <t>8H⁰, 16E⁰, 16I¹, 8D⁰, 4A⁰, 16C¹, 4C⁰, 8B⁰, 1A⁰, 2B⁰, 4F⁰, 32P³</t>
        </is>
      </c>
      <c r="O2200" t="inlineStr">
        <is>
          <t>64B²³, 64A²², 64B²², 64B¹⁸, 64Q²¹, 64A¹⁹</t>
        </is>
      </c>
    </row>
    <row r="2201">
      <c r="A2201">
        <f>HYPERLINK("https://mathstats.uncg.edu/sites/pauli/congruence/csg9.html#group64I9", "64I⁹")</f>
        <v/>
      </c>
      <c r="B2201" t="n">
        <v>9</v>
      </c>
      <c r="C2201" t="inlineStr"/>
      <c r="D2201" t="inlineStr">
        <is>
          <t>192</t>
        </is>
      </c>
      <c r="E2201" t="inlineStr">
        <is>
          <t>2</t>
        </is>
      </c>
      <c r="F2201" t="inlineStr">
        <is>
          <t>24</t>
        </is>
      </c>
      <c r="G2201" t="inlineStr">
        <is>
          <t>24</t>
        </is>
      </c>
      <c r="H2201" t="inlineStr">
        <is>
          <t>0</t>
        </is>
      </c>
      <c r="I2201" t="inlineStr">
        <is>
          <t>32², 64²</t>
        </is>
      </c>
      <c r="J2201" t="n">
        <v>4</v>
      </c>
      <c r="K2201" t="inlineStr">
        <is>
          <t>2⁸, 4⁴, 8²</t>
        </is>
      </c>
      <c r="L2201" t="inlineStr">
        <is>
          <t>32N³</t>
        </is>
      </c>
      <c r="M2201" t="inlineStr">
        <is>
          <t>64I²¹, 64L²¹, 64M²¹</t>
        </is>
      </c>
      <c r="N2201" t="inlineStr">
        <is>
          <t>16B⁰, 16D¹, 4C⁰, 8B⁰, 8L⁰, 32B¹, 2B⁰, 16J¹, 1A⁰, 32N³</t>
        </is>
      </c>
      <c r="O2201" t="inlineStr">
        <is>
          <t>64M²¹, 64I²¹, 64L²¹</t>
        </is>
      </c>
    </row>
    <row r="2202">
      <c r="A2202">
        <f>HYPERLINK("https://mathstats.uncg.edu/sites/pauli/congruence/csg9.html#group65A9", "65A⁹")</f>
        <v/>
      </c>
      <c r="B2202" t="n">
        <v>9</v>
      </c>
      <c r="C2202" t="inlineStr"/>
      <c r="D2202" t="inlineStr">
        <is>
          <t>140</t>
        </is>
      </c>
      <c r="E2202" t="inlineStr">
        <is>
          <t>1</t>
        </is>
      </c>
      <c r="F2202" t="inlineStr">
        <is>
          <t>140</t>
        </is>
      </c>
      <c r="G2202" t="inlineStr">
        <is>
          <t>4</t>
        </is>
      </c>
      <c r="H2202" t="inlineStr">
        <is>
          <t>2</t>
        </is>
      </c>
      <c r="I2202" t="inlineStr">
        <is>
          <t>5², 65²</t>
        </is>
      </c>
      <c r="J2202" t="n">
        <v>4</v>
      </c>
      <c r="K2202" t="inlineStr">
        <is>
          <t>2², 4⁴, 24¹, 48²</t>
        </is>
      </c>
      <c r="L2202" t="inlineStr">
        <is>
          <t>5C⁰, 13A⁰</t>
        </is>
      </c>
      <c r="M2202" t="inlineStr">
        <is>
          <t>65A¹⁷, 65A¹⁹, 65B¹⁹, 130A¹⁹, 130B¹⁹, 130A²¹, 130B²¹</t>
        </is>
      </c>
      <c r="N2202" t="inlineStr">
        <is>
          <t>13A⁰, 5C⁰, 1A⁰</t>
        </is>
      </c>
      <c r="O2202" t="inlineStr">
        <is>
          <t>65A¹⁷, 130B¹⁹, 65A¹⁹, 65B¹⁹, 130B²¹, 130A¹⁹, 130A²¹</t>
        </is>
      </c>
    </row>
    <row r="2203">
      <c r="A2203">
        <f>HYPERLINK("https://mathstats.uncg.edu/sites/pauli/congruence/csg9.html#group65B9", "65B⁹")</f>
        <v/>
      </c>
      <c r="B2203" t="n">
        <v>9</v>
      </c>
      <c r="C2203" t="inlineStr"/>
      <c r="D2203" t="inlineStr">
        <is>
          <t>168</t>
        </is>
      </c>
      <c r="E2203" t="inlineStr">
        <is>
          <t>1</t>
        </is>
      </c>
      <c r="F2203" t="inlineStr">
        <is>
          <t>84</t>
        </is>
      </c>
      <c r="G2203" t="inlineStr">
        <is>
          <t>8</t>
        </is>
      </c>
      <c r="H2203" t="inlineStr">
        <is>
          <t>0</t>
        </is>
      </c>
      <c r="I2203" t="inlineStr">
        <is>
          <t>1², 5², 13², 65²</t>
        </is>
      </c>
      <c r="J2203" t="n">
        <v>8</v>
      </c>
      <c r="K2203" t="inlineStr">
        <is>
          <t>1⁴, 4², 12², 48¹</t>
        </is>
      </c>
      <c r="L2203" t="inlineStr">
        <is>
          <t>65A⁵</t>
        </is>
      </c>
      <c r="M2203" t="inlineStr">
        <is>
          <t>65C¹⁹, 65D¹⁹, 65A²¹, 130C²¹, 130A²³, 130B²³</t>
        </is>
      </c>
      <c r="N2203" t="inlineStr">
        <is>
          <t>5B⁰, 13A⁰, 1A⁰, 65A⁵</t>
        </is>
      </c>
      <c r="O2203" t="inlineStr">
        <is>
          <t>65C¹⁹, 130A²³, 65D¹⁹, 65A²¹, 130B²³, 130C²¹</t>
        </is>
      </c>
    </row>
    <row r="2204">
      <c r="A2204">
        <f>HYPERLINK("https://mathstats.uncg.edu/sites/pauli/congruence/csg9.html#group66A9", "66A⁹")</f>
        <v/>
      </c>
      <c r="B2204" t="n">
        <v>9</v>
      </c>
      <c r="C2204" t="inlineStr">
        <is>
          <t>Γ₀(66)</t>
        </is>
      </c>
      <c r="D2204" t="inlineStr">
        <is>
          <t>144</t>
        </is>
      </c>
      <c r="E2204" t="inlineStr">
        <is>
          <t>1</t>
        </is>
      </c>
      <c r="F2204" t="inlineStr">
        <is>
          <t>144</t>
        </is>
      </c>
      <c r="G2204" t="inlineStr">
        <is>
          <t>0</t>
        </is>
      </c>
      <c r="H2204" t="inlineStr">
        <is>
          <t>0</t>
        </is>
      </c>
      <c r="I2204" t="inlineStr">
        <is>
          <t>1¹, 2¹, 3¹, 6¹, 11¹, 22¹, 33¹, 66¹</t>
        </is>
      </c>
      <c r="J2204" t="n">
        <v>8</v>
      </c>
      <c r="K2204" t="inlineStr">
        <is>
          <t>1¹², 2⁶, 10⁶, 20³</t>
        </is>
      </c>
      <c r="L2204" t="inlineStr">
        <is>
          <t>6F⁰, 22C², 33C³</t>
        </is>
      </c>
      <c r="M2204" t="inlineStr">
        <is>
          <t>66A¹⁷, 66B¹⁹, 66C¹⁹, 132C¹⁹, 132D¹⁹, 132B²¹, 132C²¹</t>
        </is>
      </c>
      <c r="N2204" t="inlineStr">
        <is>
          <t>3B⁰, 11A¹, 6F⁰, 2B⁰, 22C², 1A⁰, 33C³</t>
        </is>
      </c>
      <c r="O2204" t="inlineStr">
        <is>
          <t>66C¹⁹, 132B²¹, 66A¹⁷, 132C¹⁹, 66B¹⁹, 132D¹⁹, 132C²¹</t>
        </is>
      </c>
    </row>
    <row r="2205">
      <c r="A2205">
        <f>HYPERLINK("https://mathstats.uncg.edu/sites/pauli/congruence/csg9.html#group68A9", "68A⁹")</f>
        <v/>
      </c>
      <c r="B2205" t="n">
        <v>9</v>
      </c>
      <c r="C2205" t="inlineStr"/>
      <c r="D2205" t="inlineStr">
        <is>
          <t>144</t>
        </is>
      </c>
      <c r="E2205" t="inlineStr">
        <is>
          <t>1</t>
        </is>
      </c>
      <c r="F2205" t="inlineStr">
        <is>
          <t>72</t>
        </is>
      </c>
      <c r="G2205" t="inlineStr">
        <is>
          <t>8</t>
        </is>
      </c>
      <c r="H2205" t="inlineStr">
        <is>
          <t>0</t>
        </is>
      </c>
      <c r="I2205" t="inlineStr">
        <is>
          <t>4², 68²</t>
        </is>
      </c>
      <c r="J2205" t="n">
        <v>4</v>
      </c>
      <c r="K2205" t="inlineStr">
        <is>
          <t>2⁴, 32²</t>
        </is>
      </c>
      <c r="L2205" t="inlineStr">
        <is>
          <t>17B¹, 68A⁵</t>
        </is>
      </c>
      <c r="M2205" t="inlineStr">
        <is>
          <t>68A¹⁷, 68A²¹, 68B²¹, 136B²¹, 136C²¹</t>
        </is>
      </c>
      <c r="N2205" t="inlineStr">
        <is>
          <t>68A⁵, 17A¹, 1A⁰, 4A⁰, 17B¹</t>
        </is>
      </c>
      <c r="O2205" t="inlineStr">
        <is>
          <t>68A¹⁷, 136B²¹, 68B²¹, 136C²¹, 68A²¹</t>
        </is>
      </c>
    </row>
    <row r="2206">
      <c r="A2206">
        <f>HYPERLINK("https://mathstats.uncg.edu/sites/pauli/congruence/csg9.html#group70A9", "70A⁹")</f>
        <v/>
      </c>
      <c r="B2206" t="n">
        <v>9</v>
      </c>
      <c r="C2206" t="inlineStr"/>
      <c r="D2206" t="inlineStr">
        <is>
          <t>120</t>
        </is>
      </c>
      <c r="E2206" t="inlineStr">
        <is>
          <t>1</t>
        </is>
      </c>
      <c r="F2206" t="inlineStr">
        <is>
          <t>120</t>
        </is>
      </c>
      <c r="G2206" t="inlineStr">
        <is>
          <t>0</t>
        </is>
      </c>
      <c r="H2206" t="inlineStr">
        <is>
          <t>0</t>
        </is>
      </c>
      <c r="I2206" t="inlineStr">
        <is>
          <t>5¹, 10¹, 35¹, 70¹</t>
        </is>
      </c>
      <c r="J2206" t="n">
        <v>4</v>
      </c>
      <c r="K2206" t="inlineStr">
        <is>
          <t>1⁶, 4⁶, 6³, 24³</t>
        </is>
      </c>
      <c r="L2206" t="inlineStr">
        <is>
          <t>10B¹, 14C¹, 35B²</t>
        </is>
      </c>
      <c r="M2206" t="inlineStr">
        <is>
          <t>70C¹⁸, 140A¹⁸, 140A¹⁹</t>
        </is>
      </c>
      <c r="N2206" t="inlineStr">
        <is>
          <t>5A⁰, 7B⁰, 10B¹, 14C¹, 2B⁰, 35B², 1A⁰</t>
        </is>
      </c>
      <c r="O2206" t="inlineStr">
        <is>
          <t>140A¹⁸, 140A¹⁹, 70C¹⁸</t>
        </is>
      </c>
    </row>
    <row r="2207">
      <c r="A2207">
        <f>HYPERLINK("https://mathstats.uncg.edu/sites/pauli/congruence/csg9.html#group70B9", "70B⁹")</f>
        <v/>
      </c>
      <c r="B2207" t="n">
        <v>9</v>
      </c>
      <c r="C2207" t="inlineStr"/>
      <c r="D2207" t="inlineStr">
        <is>
          <t>140</t>
        </is>
      </c>
      <c r="E2207" t="inlineStr">
        <is>
          <t>2</t>
        </is>
      </c>
      <c r="F2207" t="inlineStr">
        <is>
          <t>35</t>
        </is>
      </c>
      <c r="G2207" t="inlineStr">
        <is>
          <t>0</t>
        </is>
      </c>
      <c r="H2207" t="inlineStr">
        <is>
          <t>8</t>
        </is>
      </c>
      <c r="I2207" t="inlineStr">
        <is>
          <t>70²</t>
        </is>
      </c>
      <c r="J2207" t="n">
        <v>2</v>
      </c>
      <c r="K2207" t="inlineStr">
        <is>
          <t>2¹, 6², 8¹, 24²</t>
        </is>
      </c>
      <c r="L2207" t="inlineStr">
        <is>
          <t>14D¹, 35A⁴, 70A⁴, 70A⁵</t>
        </is>
      </c>
      <c r="M2207" t="inlineStr"/>
      <c r="N2207" t="inlineStr">
        <is>
          <t>2A⁰, 14A⁰, 5A⁰, 10A⁰, 70A⁴, 35A⁴, 14A¹, 70A⁵, 7C⁰, 1A⁰, 14D¹, 35A², 7A⁰</t>
        </is>
      </c>
      <c r="O2207" t="inlineStr"/>
    </row>
    <row r="2208">
      <c r="A2208">
        <f>HYPERLINK("https://mathstats.uncg.edu/sites/pauli/congruence/csg9.html#group70C9", "70C⁹")</f>
        <v/>
      </c>
      <c r="B2208" t="n">
        <v>9</v>
      </c>
      <c r="C2208" t="inlineStr"/>
      <c r="D2208" t="inlineStr">
        <is>
          <t>140</t>
        </is>
      </c>
      <c r="E2208" t="inlineStr">
        <is>
          <t>2</t>
        </is>
      </c>
      <c r="F2208" t="inlineStr">
        <is>
          <t>70</t>
        </is>
      </c>
      <c r="G2208" t="inlineStr">
        <is>
          <t>8</t>
        </is>
      </c>
      <c r="H2208" t="inlineStr">
        <is>
          <t>2</t>
        </is>
      </c>
      <c r="I2208" t="inlineStr">
        <is>
          <t>70²</t>
        </is>
      </c>
      <c r="J2208" t="n">
        <v>2</v>
      </c>
      <c r="K2208" t="inlineStr">
        <is>
          <t>4¹, 8², 12², 24⁴</t>
        </is>
      </c>
      <c r="L2208" t="inlineStr">
        <is>
          <t>14A⁰, 35B⁴</t>
        </is>
      </c>
      <c r="M2208" t="inlineStr">
        <is>
          <t>70I¹⁷, 70C²¹, 70D²¹</t>
        </is>
      </c>
      <c r="N2208" t="inlineStr">
        <is>
          <t>14A⁰, 5C⁰, 1A⁰, 35B⁴, 7A⁰</t>
        </is>
      </c>
      <c r="O2208" t="inlineStr">
        <is>
          <t>70C²¹, 70I¹⁷, 70D²¹</t>
        </is>
      </c>
    </row>
    <row r="2209">
      <c r="A2209">
        <f>HYPERLINK("https://mathstats.uncg.edu/sites/pauli/congruence/csg9.html#group70D9", "70D⁹")</f>
        <v/>
      </c>
      <c r="B2209" t="n">
        <v>9</v>
      </c>
      <c r="C2209" t="inlineStr">
        <is>
          <t>Γ₀(70)</t>
        </is>
      </c>
      <c r="D2209" t="inlineStr">
        <is>
          <t>144</t>
        </is>
      </c>
      <c r="E2209" t="inlineStr">
        <is>
          <t>1</t>
        </is>
      </c>
      <c r="F2209" t="inlineStr">
        <is>
          <t>144</t>
        </is>
      </c>
      <c r="G2209" t="inlineStr">
        <is>
          <t>0</t>
        </is>
      </c>
      <c r="H2209" t="inlineStr">
        <is>
          <t>0</t>
        </is>
      </c>
      <c r="I2209" t="inlineStr">
        <is>
          <t>1¹, 2¹, 5¹, 7¹, 10¹, 14¹, 35¹, 70¹</t>
        </is>
      </c>
      <c r="J2209" t="n">
        <v>8</v>
      </c>
      <c r="K2209" t="inlineStr">
        <is>
          <t>1¹², 4⁶, 6⁶, 24³</t>
        </is>
      </c>
      <c r="L2209" t="inlineStr">
        <is>
          <t>10C⁰, 14C¹, 35A³</t>
        </is>
      </c>
      <c r="M2209" t="inlineStr">
        <is>
          <t>70J¹⁷, 70G¹⁹, 70I¹⁹, 140H¹⁹, 140I¹⁹, 140B²¹, 140C²¹</t>
        </is>
      </c>
      <c r="N2209" t="inlineStr">
        <is>
          <t>7B⁰, 14C¹, 5B⁰, 10C⁰, 2B⁰, 1A⁰, 35A³</t>
        </is>
      </c>
      <c r="O2209" t="inlineStr">
        <is>
          <t>140C²¹, 70I¹⁹, 140B²¹, 140H¹⁹, 70J¹⁷, 70G¹⁹, 140I¹⁹</t>
        </is>
      </c>
    </row>
    <row r="2210">
      <c r="A2210">
        <f>HYPERLINK("https://mathstats.uncg.edu/sites/pauli/congruence/csg9.html#group70E9", "70E⁹")</f>
        <v/>
      </c>
      <c r="B2210" t="n">
        <v>9</v>
      </c>
      <c r="C2210" t="inlineStr"/>
      <c r="D2210" t="inlineStr">
        <is>
          <t>168</t>
        </is>
      </c>
      <c r="E2210" t="inlineStr">
        <is>
          <t>2</t>
        </is>
      </c>
      <c r="F2210" t="inlineStr">
        <is>
          <t>42</t>
        </is>
      </c>
      <c r="G2210" t="inlineStr">
        <is>
          <t>16</t>
        </is>
      </c>
      <c r="H2210" t="inlineStr">
        <is>
          <t>0</t>
        </is>
      </c>
      <c r="I2210" t="inlineStr">
        <is>
          <t>14², 70²</t>
        </is>
      </c>
      <c r="J2210" t="n">
        <v>4</v>
      </c>
      <c r="K2210" t="inlineStr">
        <is>
          <t>2², 6⁴, 8¹, 24²</t>
        </is>
      </c>
      <c r="L2210" t="inlineStr">
        <is>
          <t>35C⁴, 70C⁴, 70B⁵</t>
        </is>
      </c>
      <c r="M2210" t="inlineStr">
        <is>
          <t>140E²³, 140F²³</t>
        </is>
      </c>
      <c r="N2210" t="inlineStr">
        <is>
          <t>35C², 14A⁰, 35C⁴, 70C⁴, 5B⁰, 70B⁵, 1A⁰, 7A⁰, 10B⁰</t>
        </is>
      </c>
      <c r="O2210" t="inlineStr">
        <is>
          <t>140F²³, 140E²³</t>
        </is>
      </c>
    </row>
    <row r="2211">
      <c r="A2211">
        <f>HYPERLINK("https://mathstats.uncg.edu/sites/pauli/congruence/csg9.html#group72A9", "72A⁹")</f>
        <v/>
      </c>
      <c r="B2211" t="n">
        <v>9</v>
      </c>
      <c r="C2211" t="inlineStr"/>
      <c r="D2211" t="inlineStr">
        <is>
          <t>108</t>
        </is>
      </c>
      <c r="E2211" t="inlineStr">
        <is>
          <t>1</t>
        </is>
      </c>
      <c r="F2211" t="inlineStr">
        <is>
          <t>27</t>
        </is>
      </c>
      <c r="G2211" t="inlineStr">
        <is>
          <t>0</t>
        </is>
      </c>
      <c r="H2211" t="inlineStr">
        <is>
          <t>0</t>
        </is>
      </c>
      <c r="I2211" t="inlineStr">
        <is>
          <t>36¹, 72¹</t>
        </is>
      </c>
      <c r="J2211" t="n">
        <v>2</v>
      </c>
      <c r="K2211" t="inlineStr">
        <is>
          <t>1³, 2³, 6³</t>
        </is>
      </c>
      <c r="L2211" t="inlineStr">
        <is>
          <t>36B², 24A³</t>
        </is>
      </c>
      <c r="M2211" t="inlineStr">
        <is>
          <t>72B¹⁷, 72C¹⁷, 72D¹⁷, 72F¹⁷, 72G¹⁷, 72H¹⁷, 72J¹⁷, 72L¹⁷, 144B¹⁸, 144C¹⁸, 144D¹⁸</t>
        </is>
      </c>
      <c r="N2211" t="inlineStr">
        <is>
          <t>24A³, 8A¹, 12C⁰, 9A⁰, 36B², 4C⁰, 2B⁰, 18E¹, 3A⁰, 1A⁰, 6D⁰</t>
        </is>
      </c>
      <c r="O2211" t="inlineStr">
        <is>
          <t>72H¹⁷, 72C¹⁷, 72D¹⁷, 72L¹⁷, 72F¹⁷, 72J¹⁷, 144C¹⁸, 72G¹⁷, 72B¹⁷, 144D¹⁸, 144B¹⁸</t>
        </is>
      </c>
    </row>
    <row r="2212">
      <c r="A2212">
        <f>HYPERLINK("https://mathstats.uncg.edu/sites/pauli/congruence/csg9.html#group72B9", "72B⁹")</f>
        <v/>
      </c>
      <c r="B2212" t="n">
        <v>9</v>
      </c>
      <c r="C2212" t="inlineStr"/>
      <c r="D2212" t="inlineStr">
        <is>
          <t>144</t>
        </is>
      </c>
      <c r="E2212" t="inlineStr">
        <is>
          <t>1</t>
        </is>
      </c>
      <c r="F2212" t="inlineStr">
        <is>
          <t>12</t>
        </is>
      </c>
      <c r="G2212" t="inlineStr">
        <is>
          <t>0</t>
        </is>
      </c>
      <c r="H2212" t="inlineStr">
        <is>
          <t>0</t>
        </is>
      </c>
      <c r="I2212" t="inlineStr">
        <is>
          <t>4³, 8³, 36¹, 72¹</t>
        </is>
      </c>
      <c r="J2212" t="n">
        <v>8</v>
      </c>
      <c r="K2212" t="inlineStr">
        <is>
          <t>1⁶, 2³</t>
        </is>
      </c>
      <c r="L2212" t="inlineStr">
        <is>
          <t>24B³, 36G³</t>
        </is>
      </c>
      <c r="M2212" t="inlineStr">
        <is>
          <t>72N¹⁷, 72Q¹⁷, 72U¹⁷, 144D²¹, 144C²¹, 144J²¹, 144K²¹</t>
        </is>
      </c>
      <c r="N2212" t="inlineStr">
        <is>
          <t>3B⁰, 18E⁰, 24B³, 12F¹, 4C⁰, 8B⁰, 9B⁰, 1A⁰, 2B⁰, 6F⁰, 36G³</t>
        </is>
      </c>
      <c r="O2212" t="inlineStr">
        <is>
          <t>72U¹⁷, 144J²¹, 72Q¹⁷, 144K²¹, 144C²¹, 72N¹⁷, 144D²¹</t>
        </is>
      </c>
    </row>
    <row r="2213">
      <c r="A2213">
        <f>HYPERLINK("https://mathstats.uncg.edu/sites/pauli/congruence/csg9.html#group72C9", "72C⁹")</f>
        <v/>
      </c>
      <c r="B2213" t="n">
        <v>9</v>
      </c>
      <c r="C2213" t="inlineStr"/>
      <c r="D2213" t="inlineStr">
        <is>
          <t>144</t>
        </is>
      </c>
      <c r="E2213" t="inlineStr">
        <is>
          <t>1</t>
        </is>
      </c>
      <c r="F2213" t="inlineStr">
        <is>
          <t>12</t>
        </is>
      </c>
      <c r="G2213" t="inlineStr">
        <is>
          <t>0</t>
        </is>
      </c>
      <c r="H2213" t="inlineStr">
        <is>
          <t>0</t>
        </is>
      </c>
      <c r="I2213" t="inlineStr">
        <is>
          <t>4³, 8³, 36¹, 72¹</t>
        </is>
      </c>
      <c r="J2213" t="n">
        <v>8</v>
      </c>
      <c r="K2213" t="inlineStr">
        <is>
          <t>1⁶, 2³</t>
        </is>
      </c>
      <c r="L2213" t="inlineStr">
        <is>
          <t>24C³, 36G³</t>
        </is>
      </c>
      <c r="M2213" t="inlineStr">
        <is>
          <t>72N¹⁷, 72R¹⁷, 72T¹⁷, 144A²¹, 144B²¹, 144I²¹, 144L²¹</t>
        </is>
      </c>
      <c r="N2213" t="inlineStr">
        <is>
          <t>24C³, 3B⁰, 8A¹, 18E⁰, 12F¹, 4C⁰, 9B⁰, 1A⁰, 2B⁰, 6F⁰, 36G³</t>
        </is>
      </c>
      <c r="O2213" t="inlineStr">
        <is>
          <t>72R¹⁷, 144A²¹, 144B²¹, 144L²¹, 144I²¹, 72N¹⁷, 72T¹⁷</t>
        </is>
      </c>
    </row>
    <row r="2214">
      <c r="A2214">
        <f>HYPERLINK("https://mathstats.uncg.edu/sites/pauli/congruence/csg9.html#group72D9", "72D⁹")</f>
        <v/>
      </c>
      <c r="B2214" t="n">
        <v>9</v>
      </c>
      <c r="C2214" t="inlineStr"/>
      <c r="D2214" t="inlineStr">
        <is>
          <t>144</t>
        </is>
      </c>
      <c r="E2214" t="inlineStr">
        <is>
          <t>1</t>
        </is>
      </c>
      <c r="F2214" t="inlineStr">
        <is>
          <t>24</t>
        </is>
      </c>
      <c r="G2214" t="inlineStr">
        <is>
          <t>0</t>
        </is>
      </c>
      <c r="H2214" t="inlineStr">
        <is>
          <t>0</t>
        </is>
      </c>
      <c r="I2214" t="inlineStr">
        <is>
          <t>3², 6¹, 9², 18¹, 24¹, 72¹</t>
        </is>
      </c>
      <c r="J2214" t="n">
        <v>8</v>
      </c>
      <c r="K2214" t="inlineStr">
        <is>
          <t>1⁸, 2⁶, 4¹</t>
        </is>
      </c>
      <c r="L2214" t="inlineStr">
        <is>
          <t>24G¹, 36F⁴</t>
        </is>
      </c>
      <c r="M2214" t="inlineStr">
        <is>
          <t>72O¹⁷, 72C¹⁹, 72E¹⁹, 72I¹⁹, 72G¹⁹, 144C¹⁹, 144A¹⁹, 144G¹⁹, 144E¹⁹, 144G²¹, 144E²¹</t>
        </is>
      </c>
      <c r="N2214" t="inlineStr">
        <is>
          <t>3B⁰, 24G¹, 6F⁰, 18D², 36F⁴, 2B⁰, 8C⁰, 9C⁰, 4B⁰, 1A⁰, 12E⁰</t>
        </is>
      </c>
      <c r="O2214" t="inlineStr">
        <is>
          <t>144A¹⁹, 144C¹⁹, 144G²¹, 144E²¹, 72O¹⁷, 144G¹⁹, 72E¹⁹, 72C¹⁹, 144E¹⁹, 72I¹⁹, 72G¹⁹</t>
        </is>
      </c>
    </row>
    <row r="2215">
      <c r="A2215">
        <f>HYPERLINK("https://mathstats.uncg.edu/sites/pauli/congruence/csg9.html#group72E9", "72E⁹")</f>
        <v/>
      </c>
      <c r="B2215" t="n">
        <v>9</v>
      </c>
      <c r="C2215" t="inlineStr"/>
      <c r="D2215" t="inlineStr">
        <is>
          <t>144</t>
        </is>
      </c>
      <c r="E2215" t="inlineStr">
        <is>
          <t>1</t>
        </is>
      </c>
      <c r="F2215" t="inlineStr">
        <is>
          <t>24</t>
        </is>
      </c>
      <c r="G2215" t="inlineStr">
        <is>
          <t>0</t>
        </is>
      </c>
      <c r="H2215" t="inlineStr">
        <is>
          <t>0</t>
        </is>
      </c>
      <c r="I2215" t="inlineStr">
        <is>
          <t>3², 6¹, 9², 18¹, 24¹, 72¹</t>
        </is>
      </c>
      <c r="J2215" t="n">
        <v>8</v>
      </c>
      <c r="K2215" t="inlineStr">
        <is>
          <t>1⁸, 2⁶, 4¹</t>
        </is>
      </c>
      <c r="L2215" t="inlineStr">
        <is>
          <t>24G¹, 36G⁴</t>
        </is>
      </c>
      <c r="M2215" t="inlineStr">
        <is>
          <t>72P¹⁷, 72D¹⁹, 72F¹⁹, 72J¹⁹, 72H¹⁹, 144D¹⁹, 144B¹⁹, 144H¹⁹, 144F¹⁹, 144H²¹, 144F²¹</t>
        </is>
      </c>
      <c r="N2215" t="inlineStr">
        <is>
          <t>3B⁰, 24G¹, 9A¹, 18E², 6F⁰, 36G⁴, 2B⁰, 8C⁰, 4B⁰, 1A⁰, 12E⁰</t>
        </is>
      </c>
      <c r="O2215" t="inlineStr">
        <is>
          <t>72P¹⁷, 72H¹⁹, 144F²¹, 144H²¹, 144H¹⁹, 72F¹⁹, 144F¹⁹, 144B¹⁹, 72J¹⁹, 72D¹⁹, 144D¹⁹</t>
        </is>
      </c>
    </row>
    <row r="2216">
      <c r="A2216">
        <f>HYPERLINK("https://mathstats.uncg.edu/sites/pauli/congruence/csg9.html#group72F9", "72F⁹")</f>
        <v/>
      </c>
      <c r="B2216" t="n">
        <v>9</v>
      </c>
      <c r="C2216" t="inlineStr"/>
      <c r="D2216" t="inlineStr">
        <is>
          <t>144</t>
        </is>
      </c>
      <c r="E2216" t="inlineStr">
        <is>
          <t>2</t>
        </is>
      </c>
      <c r="F2216" t="inlineStr">
        <is>
          <t>12</t>
        </is>
      </c>
      <c r="G2216" t="inlineStr">
        <is>
          <t>12</t>
        </is>
      </c>
      <c r="H2216" t="inlineStr">
        <is>
          <t>0</t>
        </is>
      </c>
      <c r="I2216" t="inlineStr">
        <is>
          <t>72²</t>
        </is>
      </c>
      <c r="J2216" t="n">
        <v>2</v>
      </c>
      <c r="K2216" t="inlineStr">
        <is>
          <t>4², 8²</t>
        </is>
      </c>
      <c r="L2216" t="inlineStr">
        <is>
          <t>24D³, 36H³, 72C⁴, 72D⁴</t>
        </is>
      </c>
      <c r="M2216" t="inlineStr">
        <is>
          <t>72W¹⁷, 72A²³, 72F²³</t>
        </is>
      </c>
      <c r="N2216" t="inlineStr">
        <is>
          <t>36A¹, 12G¹, 12A⁰, 24D³, 9D⁰, 4A⁰, 9A⁰, 36H³, 72C⁴, 3C⁰, 24B¹, 72D⁴, 3A⁰, 1A⁰</t>
        </is>
      </c>
      <c r="O2216" t="inlineStr">
        <is>
          <t>72A²³, 72F²³, 72W¹⁷</t>
        </is>
      </c>
    </row>
    <row r="2217">
      <c r="A2217">
        <f>HYPERLINK("https://mathstats.uncg.edu/sites/pauli/congruence/csg9.html#group72G9", "72G⁹")</f>
        <v/>
      </c>
      <c r="B2217" t="n">
        <v>9</v>
      </c>
      <c r="C2217" t="inlineStr"/>
      <c r="D2217" t="inlineStr">
        <is>
          <t>144</t>
        </is>
      </c>
      <c r="E2217" t="inlineStr">
        <is>
          <t>2</t>
        </is>
      </c>
      <c r="F2217" t="inlineStr">
        <is>
          <t>12</t>
        </is>
      </c>
      <c r="G2217" t="inlineStr">
        <is>
          <t>12</t>
        </is>
      </c>
      <c r="H2217" t="inlineStr">
        <is>
          <t>0</t>
        </is>
      </c>
      <c r="I2217" t="inlineStr">
        <is>
          <t>72²</t>
        </is>
      </c>
      <c r="J2217" t="n">
        <v>2</v>
      </c>
      <c r="K2217" t="inlineStr">
        <is>
          <t>4², 8²</t>
        </is>
      </c>
      <c r="L2217" t="inlineStr">
        <is>
          <t>24E³, 36H³, 72A⁴, 72B⁴</t>
        </is>
      </c>
      <c r="M2217" t="inlineStr">
        <is>
          <t>72W¹⁷, 144N²¹, 144M²¹, 72B²³, 72F²³</t>
        </is>
      </c>
      <c r="N2217" t="inlineStr">
        <is>
          <t>12G¹, 72B⁴, 36H³, 8A⁰, 24B¹, 1A⁰, 72A⁴, 36A¹, 24E³, 12A⁰, 24A¹, 9D⁰, 4A⁰, 9A⁰, 3C⁰, 3A⁰</t>
        </is>
      </c>
      <c r="O2217" t="inlineStr">
        <is>
          <t>144M²¹, 144N²¹, 72B²³, 72F²³, 72W¹⁷</t>
        </is>
      </c>
    </row>
    <row r="2218">
      <c r="A2218">
        <f>HYPERLINK("https://mathstats.uncg.edu/sites/pauli/congruence/csg9.html#group72H9", "72H⁹")</f>
        <v/>
      </c>
      <c r="B2218" t="n">
        <v>9</v>
      </c>
      <c r="C2218" t="inlineStr"/>
      <c r="D2218" t="inlineStr">
        <is>
          <t>216</t>
        </is>
      </c>
      <c r="E2218" t="inlineStr">
        <is>
          <t>2</t>
        </is>
      </c>
      <c r="F2218" t="inlineStr">
        <is>
          <t>27</t>
        </is>
      </c>
      <c r="G2218" t="inlineStr">
        <is>
          <t>32</t>
        </is>
      </c>
      <c r="H2218" t="inlineStr">
        <is>
          <t>0</t>
        </is>
      </c>
      <c r="I2218" t="inlineStr">
        <is>
          <t>36², 72²</t>
        </is>
      </c>
      <c r="J2218" t="n">
        <v>4</v>
      </c>
      <c r="K2218" t="inlineStr">
        <is>
          <t>2⁹, 6⁶</t>
        </is>
      </c>
      <c r="L2218" t="inlineStr">
        <is>
          <t>24H¹, 36R⁴, 72E⁴, 72A⁵</t>
        </is>
      </c>
      <c r="M2218" t="inlineStr">
        <is>
          <t>144J¹⁹, 72AA²¹, 144Y²³</t>
        </is>
      </c>
      <c r="N2218" t="inlineStr">
        <is>
          <t>6B⁰, 12C⁰, 72E⁴, 4C⁰, 24D¹, 8B⁰, 36R⁴, 36B², 72A⁵, 2B⁰, 12H⁰, 1A⁰, 18A⁰, 18L², 24A⁰, 9A⁰, 18E¹, 12D⁰, 6H⁰, 3A⁰, 24H¹, 6D⁰, 36C²</t>
        </is>
      </c>
      <c r="O2218" t="inlineStr">
        <is>
          <t>72AA²¹, 144Y²³, 144J¹⁹</t>
        </is>
      </c>
    </row>
    <row r="2219">
      <c r="A2219">
        <f>HYPERLINK("https://mathstats.uncg.edu/sites/pauli/congruence/csg9.html#group72I9", "72I⁹")</f>
        <v/>
      </c>
      <c r="B2219" t="n">
        <v>9</v>
      </c>
      <c r="C2219" t="inlineStr"/>
      <c r="D2219" t="inlineStr">
        <is>
          <t>288</t>
        </is>
      </c>
      <c r="E2219" t="inlineStr">
        <is>
          <t>1</t>
        </is>
      </c>
      <c r="F2219" t="inlineStr">
        <is>
          <t>24</t>
        </is>
      </c>
      <c r="G2219" t="inlineStr">
        <is>
          <t>0</t>
        </is>
      </c>
      <c r="H2219" t="inlineStr">
        <is>
          <t>0</t>
        </is>
      </c>
      <c r="I2219" t="inlineStr">
        <is>
          <t>1¹², 2⁶, 8⁶, 9⁴, 18², 72²</t>
        </is>
      </c>
      <c r="J2219" t="n">
        <v>32</v>
      </c>
      <c r="K2219" t="inlineStr">
        <is>
          <t>1⁸, 2⁶, 4¹</t>
        </is>
      </c>
      <c r="L2219" t="inlineStr">
        <is>
          <t>24J¹, 36K³, 72A³, 72B⁵</t>
        </is>
      </c>
      <c r="M2219" t="inlineStr"/>
      <c r="N2219" t="inlineStr">
        <is>
          <t>3B⁰, 24G¹, 9B⁰, 12J⁰, 2B⁰, 8C⁰, 4B⁰, 1A⁰, 72A³, 24J¹, 18E⁰, 24B⁰, 72B⁵, 36K³, 36C¹, 6F⁰, 12E⁰</t>
        </is>
      </c>
      <c r="O2219" t="inlineStr"/>
    </row>
    <row r="2220">
      <c r="A2220">
        <f>HYPERLINK("https://mathstats.uncg.edu/sites/pauli/congruence/csg9.html#group73A9", "73A⁹")</f>
        <v/>
      </c>
      <c r="B2220" t="n">
        <v>9</v>
      </c>
      <c r="C2220" t="inlineStr"/>
      <c r="D2220" t="inlineStr">
        <is>
          <t>148</t>
        </is>
      </c>
      <c r="E2220" t="inlineStr">
        <is>
          <t>1</t>
        </is>
      </c>
      <c r="F2220" t="inlineStr">
        <is>
          <t>74</t>
        </is>
      </c>
      <c r="G2220" t="inlineStr">
        <is>
          <t>4</t>
        </is>
      </c>
      <c r="H2220" t="inlineStr">
        <is>
          <t>4</t>
        </is>
      </c>
      <c r="I2220" t="inlineStr">
        <is>
          <t>1², 73²</t>
        </is>
      </c>
      <c r="J2220" t="n">
        <v>4</v>
      </c>
      <c r="K2220" t="inlineStr">
        <is>
          <t>1², 72¹</t>
        </is>
      </c>
      <c r="L2220" t="inlineStr">
        <is>
          <t>73A⁵</t>
        </is>
      </c>
      <c r="M2220" t="inlineStr">
        <is>
          <t>73A¹⁹, 146A¹⁹, 146A²¹</t>
        </is>
      </c>
      <c r="N2220" t="inlineStr">
        <is>
          <t>1A⁰, 73A⁵</t>
        </is>
      </c>
      <c r="O2220" t="inlineStr">
        <is>
          <t>73A¹⁹, 146A²¹, 146A¹⁹</t>
        </is>
      </c>
    </row>
    <row r="2221">
      <c r="A2221">
        <f>HYPERLINK("https://mathstats.uncg.edu/sites/pauli/congruence/csg9.html#group74A9", "74A⁹")</f>
        <v/>
      </c>
      <c r="B2221" t="n">
        <v>9</v>
      </c>
      <c r="C2221" t="inlineStr"/>
      <c r="D2221" t="inlineStr">
        <is>
          <t>152</t>
        </is>
      </c>
      <c r="E2221" t="inlineStr">
        <is>
          <t>1</t>
        </is>
      </c>
      <c r="F2221" t="inlineStr">
        <is>
          <t>38</t>
        </is>
      </c>
      <c r="G2221" t="inlineStr">
        <is>
          <t>0</t>
        </is>
      </c>
      <c r="H2221" t="inlineStr">
        <is>
          <t>8</t>
        </is>
      </c>
      <c r="I2221" t="inlineStr">
        <is>
          <t>2², 74²</t>
        </is>
      </c>
      <c r="J2221" t="n">
        <v>4</v>
      </c>
      <c r="K2221" t="inlineStr">
        <is>
          <t>1², 36¹</t>
        </is>
      </c>
      <c r="L2221" t="inlineStr">
        <is>
          <t>37A⁴, 74A⁴, 74A⁵</t>
        </is>
      </c>
      <c r="M2221" t="inlineStr">
        <is>
          <t>148A¹⁹</t>
        </is>
      </c>
      <c r="N2221" t="inlineStr">
        <is>
          <t>37A², 74A⁵, 2A⁰, 37A⁴, 1A⁰, 74A⁴</t>
        </is>
      </c>
      <c r="O2221" t="inlineStr">
        <is>
          <t>148A¹⁹</t>
        </is>
      </c>
    </row>
    <row r="2222">
      <c r="A2222">
        <f>HYPERLINK("https://mathstats.uncg.edu/sites/pauli/congruence/csg9.html#group75A9", "75A⁹")</f>
        <v/>
      </c>
      <c r="B2222" t="n">
        <v>9</v>
      </c>
      <c r="C2222" t="inlineStr"/>
      <c r="D2222" t="inlineStr">
        <is>
          <t>120</t>
        </is>
      </c>
      <c r="E2222" t="inlineStr">
        <is>
          <t>1</t>
        </is>
      </c>
      <c r="F2222" t="inlineStr">
        <is>
          <t>120</t>
        </is>
      </c>
      <c r="G2222" t="inlineStr">
        <is>
          <t>0</t>
        </is>
      </c>
      <c r="H2222" t="inlineStr">
        <is>
          <t>0</t>
        </is>
      </c>
      <c r="I2222" t="inlineStr">
        <is>
          <t>5¹, 15¹, 25¹, 75¹</t>
        </is>
      </c>
      <c r="J2222" t="n">
        <v>4</v>
      </c>
      <c r="K2222" t="inlineStr">
        <is>
          <t>2⁴, 4¹⁰, 8⁴, 20⁴, 40²</t>
        </is>
      </c>
      <c r="L2222" t="inlineStr">
        <is>
          <t>15C¹, 25A²</t>
        </is>
      </c>
      <c r="M2222" t="inlineStr">
        <is>
          <t>75A¹⁷, 150E¹⁹, 150A¹⁹</t>
        </is>
      </c>
      <c r="N2222" t="inlineStr">
        <is>
          <t>5B⁰, 15C¹, 3B⁰, 25A², 1A⁰</t>
        </is>
      </c>
      <c r="O2222" t="inlineStr">
        <is>
          <t>150A¹⁹, 150E¹⁹, 75A¹⁷</t>
        </is>
      </c>
    </row>
    <row r="2223">
      <c r="A2223">
        <f>HYPERLINK("https://mathstats.uncg.edu/sites/pauli/congruence/csg9.html#group75B9", "75B⁹")</f>
        <v/>
      </c>
      <c r="B2223" t="n">
        <v>9</v>
      </c>
      <c r="C2223" t="inlineStr"/>
      <c r="D2223" t="inlineStr">
        <is>
          <t>120</t>
        </is>
      </c>
      <c r="E2223" t="inlineStr">
        <is>
          <t>1</t>
        </is>
      </c>
      <c r="F2223" t="inlineStr">
        <is>
          <t>120</t>
        </is>
      </c>
      <c r="G2223" t="inlineStr">
        <is>
          <t>0</t>
        </is>
      </c>
      <c r="H2223" t="inlineStr">
        <is>
          <t>0</t>
        </is>
      </c>
      <c r="I2223" t="inlineStr">
        <is>
          <t>5¹, 15¹, 25¹, 75¹</t>
        </is>
      </c>
      <c r="J2223" t="n">
        <v>4</v>
      </c>
      <c r="K2223" t="inlineStr">
        <is>
          <t>2⁴, 4¹⁰, 8⁴, 20⁴, 40²</t>
        </is>
      </c>
      <c r="L2223" t="inlineStr">
        <is>
          <t>15C¹, 25B²</t>
        </is>
      </c>
      <c r="M2223" t="inlineStr">
        <is>
          <t>75B¹⁷, 150F¹⁹, 150B¹⁹</t>
        </is>
      </c>
      <c r="N2223" t="inlineStr">
        <is>
          <t>5B⁰, 15C¹, 3B⁰, 1A⁰, 25B²</t>
        </is>
      </c>
      <c r="O2223" t="inlineStr">
        <is>
          <t>150B¹⁹, 150F¹⁹, 75B¹⁷</t>
        </is>
      </c>
    </row>
    <row r="2224">
      <c r="A2224">
        <f>HYPERLINK("https://mathstats.uncg.edu/sites/pauli/congruence/csg9.html#group75C9", "75C⁹")</f>
        <v/>
      </c>
      <c r="B2224" t="n">
        <v>9</v>
      </c>
      <c r="C2224" t="inlineStr"/>
      <c r="D2224" t="inlineStr">
        <is>
          <t>120</t>
        </is>
      </c>
      <c r="E2224" t="inlineStr">
        <is>
          <t>1</t>
        </is>
      </c>
      <c r="F2224" t="inlineStr">
        <is>
          <t>120</t>
        </is>
      </c>
      <c r="G2224" t="inlineStr">
        <is>
          <t>0</t>
        </is>
      </c>
      <c r="H2224" t="inlineStr">
        <is>
          <t>0</t>
        </is>
      </c>
      <c r="I2224" t="inlineStr">
        <is>
          <t>5¹, 15¹, 25¹, 75¹</t>
        </is>
      </c>
      <c r="J2224" t="n">
        <v>4</v>
      </c>
      <c r="K2224" t="inlineStr">
        <is>
          <t>2⁴, 4¹⁰, 8⁴, 20⁴, 40²</t>
        </is>
      </c>
      <c r="L2224" t="inlineStr">
        <is>
          <t>15C¹, 25C²</t>
        </is>
      </c>
      <c r="M2224" t="inlineStr">
        <is>
          <t>75C¹⁷, 150G¹⁹, 150C¹⁹</t>
        </is>
      </c>
      <c r="N2224" t="inlineStr">
        <is>
          <t>5B⁰, 15C¹, 3B⁰, 1A⁰, 25C²</t>
        </is>
      </c>
      <c r="O2224" t="inlineStr">
        <is>
          <t>150G¹⁹, 150C¹⁹, 75C¹⁷</t>
        </is>
      </c>
    </row>
    <row r="2225">
      <c r="A2225">
        <f>HYPERLINK("https://mathstats.uncg.edu/sites/pauli/congruence/csg9.html#group75D9", "75D⁹")</f>
        <v/>
      </c>
      <c r="B2225" t="n">
        <v>9</v>
      </c>
      <c r="C2225" t="inlineStr"/>
      <c r="D2225" t="inlineStr">
        <is>
          <t>120</t>
        </is>
      </c>
      <c r="E2225" t="inlineStr">
        <is>
          <t>1</t>
        </is>
      </c>
      <c r="F2225" t="inlineStr">
        <is>
          <t>120</t>
        </is>
      </c>
      <c r="G2225" t="inlineStr">
        <is>
          <t>0</t>
        </is>
      </c>
      <c r="H2225" t="inlineStr">
        <is>
          <t>0</t>
        </is>
      </c>
      <c r="I2225" t="inlineStr">
        <is>
          <t>5¹, 15¹, 25¹, 75¹</t>
        </is>
      </c>
      <c r="J2225" t="n">
        <v>4</v>
      </c>
      <c r="K2225" t="inlineStr">
        <is>
          <t>2⁴, 4¹⁰, 8⁴, 20⁴, 40²</t>
        </is>
      </c>
      <c r="L2225" t="inlineStr">
        <is>
          <t>15C¹, 25D²</t>
        </is>
      </c>
      <c r="M2225" t="inlineStr">
        <is>
          <t>75D¹⁷, 150H¹⁹, 150D¹⁹</t>
        </is>
      </c>
      <c r="N2225" t="inlineStr">
        <is>
          <t>5B⁰, 15C¹, 3B⁰, 1A⁰, 25D²</t>
        </is>
      </c>
      <c r="O2225" t="inlineStr">
        <is>
          <t>150D¹⁹, 150H¹⁹, 75D¹⁷</t>
        </is>
      </c>
    </row>
    <row r="2226">
      <c r="A2226">
        <f>HYPERLINK("https://mathstats.uncg.edu/sites/pauli/congruence/csg9.html#group75E9", "75E⁹")</f>
        <v/>
      </c>
      <c r="B2226" t="n">
        <v>9</v>
      </c>
      <c r="C2226" t="inlineStr"/>
      <c r="D2226" t="inlineStr">
        <is>
          <t>180</t>
        </is>
      </c>
      <c r="E2226" t="inlineStr">
        <is>
          <t>1</t>
        </is>
      </c>
      <c r="F2226" t="inlineStr">
        <is>
          <t>90</t>
        </is>
      </c>
      <c r="G2226" t="inlineStr">
        <is>
          <t>4</t>
        </is>
      </c>
      <c r="H2226" t="inlineStr">
        <is>
          <t>0</t>
        </is>
      </c>
      <c r="I2226" t="inlineStr">
        <is>
          <t>3¹⁰, 75²</t>
        </is>
      </c>
      <c r="J2226" t="n">
        <v>12</v>
      </c>
      <c r="K2226" t="inlineStr">
        <is>
          <t>1², 2², 4², 8², 20¹, 40¹</t>
        </is>
      </c>
      <c r="L2226" t="inlineStr">
        <is>
          <t>15E¹, 75A⁴</t>
        </is>
      </c>
      <c r="M2226" t="inlineStr">
        <is>
          <t>75E¹⁷, 75C¹⁹, 75D¹⁹, 150B²³, 150C²³</t>
        </is>
      </c>
      <c r="N2226" t="inlineStr">
        <is>
          <t>15B⁰, 5B⁰, 25A⁰, 3C⁰, 75A⁴, 3A⁰, 1A⁰, 15E¹</t>
        </is>
      </c>
      <c r="O2226" t="inlineStr">
        <is>
          <t>75D¹⁹, 150C²³, 75C¹⁹, 150B²³, 75E¹⁷</t>
        </is>
      </c>
    </row>
    <row r="2227">
      <c r="A2227">
        <f>HYPERLINK("https://mathstats.uncg.edu/sites/pauli/congruence/csg9.html#group75F9", "75F⁹")</f>
        <v/>
      </c>
      <c r="B2227" t="n">
        <v>9</v>
      </c>
      <c r="C2227" t="inlineStr"/>
      <c r="D2227" t="inlineStr">
        <is>
          <t>240</t>
        </is>
      </c>
      <c r="E2227" t="inlineStr">
        <is>
          <t>1</t>
        </is>
      </c>
      <c r="F2227" t="inlineStr">
        <is>
          <t>24</t>
        </is>
      </c>
      <c r="G2227" t="inlineStr">
        <is>
          <t>0</t>
        </is>
      </c>
      <c r="H2227" t="inlineStr">
        <is>
          <t>0</t>
        </is>
      </c>
      <c r="I2227" t="inlineStr">
        <is>
          <t>1¹⁰, 3¹⁰, 25², 75²</t>
        </is>
      </c>
      <c r="J2227" t="n">
        <v>24</v>
      </c>
      <c r="K2227" t="inlineStr">
        <is>
          <t>1⁴, 2², 4², 8¹</t>
        </is>
      </c>
      <c r="L2227" t="inlineStr">
        <is>
          <t>25B⁰, 15G¹, 75A⁵</t>
        </is>
      </c>
      <c r="M2227" t="inlineStr">
        <is>
          <t>75F¹⁷</t>
        </is>
      </c>
      <c r="N2227" t="inlineStr">
        <is>
          <t>15C¹, 3B⁰, 75A⁵, 5B⁰, 25A⁰, 15G¹, 5D⁰, 1A⁰, 25B⁰</t>
        </is>
      </c>
      <c r="O2227" t="inlineStr">
        <is>
          <t>75F¹⁷</t>
        </is>
      </c>
    </row>
    <row r="2228">
      <c r="A2228">
        <f>HYPERLINK("https://mathstats.uncg.edu/sites/pauli/congruence/csg9.html#group76A9", "76A⁹")</f>
        <v/>
      </c>
      <c r="B2228" t="n">
        <v>9</v>
      </c>
      <c r="C2228" t="inlineStr"/>
      <c r="D2228" t="inlineStr">
        <is>
          <t>120</t>
        </is>
      </c>
      <c r="E2228" t="inlineStr">
        <is>
          <t>1</t>
        </is>
      </c>
      <c r="F2228" t="inlineStr">
        <is>
          <t>60</t>
        </is>
      </c>
      <c r="G2228" t="inlineStr">
        <is>
          <t>0</t>
        </is>
      </c>
      <c r="H2228" t="inlineStr">
        <is>
          <t>0</t>
        </is>
      </c>
      <c r="I2228" t="inlineStr">
        <is>
          <t>2¹, 4¹, 38¹, 76¹</t>
        </is>
      </c>
      <c r="J2228" t="n">
        <v>4</v>
      </c>
      <c r="K2228" t="inlineStr">
        <is>
          <t>1⁶, 18³</t>
        </is>
      </c>
      <c r="L2228" t="inlineStr">
        <is>
          <t>4C⁰, 38A⁴</t>
        </is>
      </c>
      <c r="M2228" t="inlineStr">
        <is>
          <t>76A¹⁷, 76C¹⁸, 152B¹⁸, 152A¹⁹, 152B¹⁹</t>
        </is>
      </c>
      <c r="N2228" t="inlineStr">
        <is>
          <t>19A¹, 2B⁰, 1A⁰, 4C⁰, 38A⁴</t>
        </is>
      </c>
      <c r="O2228" t="inlineStr">
        <is>
          <t>152B¹⁹, 76C¹⁸, 152A¹⁹, 76A¹⁷, 152B¹⁸</t>
        </is>
      </c>
    </row>
    <row r="2229">
      <c r="A2229">
        <f>HYPERLINK("https://mathstats.uncg.edu/sites/pauli/congruence/csg9.html#group78A9", "78A⁹")</f>
        <v/>
      </c>
      <c r="B2229" t="n">
        <v>9</v>
      </c>
      <c r="C2229" t="inlineStr"/>
      <c r="D2229" t="inlineStr">
        <is>
          <t>168</t>
        </is>
      </c>
      <c r="E2229" t="inlineStr">
        <is>
          <t>1</t>
        </is>
      </c>
      <c r="F2229" t="inlineStr">
        <is>
          <t>28</t>
        </is>
      </c>
      <c r="G2229" t="inlineStr">
        <is>
          <t>0</t>
        </is>
      </c>
      <c r="H2229" t="inlineStr">
        <is>
          <t>12</t>
        </is>
      </c>
      <c r="I2229" t="inlineStr">
        <is>
          <t>6², 78²</t>
        </is>
      </c>
      <c r="J2229" t="n">
        <v>4</v>
      </c>
      <c r="K2229" t="inlineStr">
        <is>
          <t>2², 24¹</t>
        </is>
      </c>
      <c r="L2229" t="inlineStr">
        <is>
          <t>26B¹, 78A⁵</t>
        </is>
      </c>
      <c r="M2229" t="inlineStr">
        <is>
          <t>156D¹⁹</t>
        </is>
      </c>
      <c r="N2229" t="inlineStr">
        <is>
          <t>2A⁰, 26B¹, 26A¹, 6A⁰, 13A⁰, 26A⁰, 13B⁰, 78A⁵, 1A⁰</t>
        </is>
      </c>
      <c r="O2229" t="inlineStr">
        <is>
          <t>156D¹⁹</t>
        </is>
      </c>
    </row>
    <row r="2230">
      <c r="A2230">
        <f>HYPERLINK("https://mathstats.uncg.edu/sites/pauli/congruence/csg9.html#group78B9", "78B⁹")</f>
        <v/>
      </c>
      <c r="B2230" t="n">
        <v>9</v>
      </c>
      <c r="C2230" t="inlineStr"/>
      <c r="D2230" t="inlineStr">
        <is>
          <t>168</t>
        </is>
      </c>
      <c r="E2230" t="inlineStr">
        <is>
          <t>1</t>
        </is>
      </c>
      <c r="F2230" t="inlineStr">
        <is>
          <t>42</t>
        </is>
      </c>
      <c r="G2230" t="inlineStr">
        <is>
          <t>16</t>
        </is>
      </c>
      <c r="H2230" t="inlineStr">
        <is>
          <t>0</t>
        </is>
      </c>
      <c r="I2230" t="inlineStr">
        <is>
          <t>6², 78²</t>
        </is>
      </c>
      <c r="J2230" t="n">
        <v>4</v>
      </c>
      <c r="K2230" t="inlineStr">
        <is>
          <t>1², 2², 12¹, 24¹</t>
        </is>
      </c>
      <c r="L2230" t="inlineStr">
        <is>
          <t>39A⁴, 78A⁴, 78B⁵</t>
        </is>
      </c>
      <c r="M2230" t="inlineStr">
        <is>
          <t>78A²¹, 156A²³, 156B²³, 156H²³</t>
        </is>
      </c>
      <c r="N2230" t="inlineStr">
        <is>
          <t>39A², 78A⁴, 6B⁰, 78B⁵, 13A⁰, 26A⁰, 39A⁴, 3A⁰, 1A⁰</t>
        </is>
      </c>
      <c r="O2230" t="inlineStr">
        <is>
          <t>156B²³, 156A²³, 78A²¹, 156H²³</t>
        </is>
      </c>
    </row>
    <row r="2231">
      <c r="A2231">
        <f>HYPERLINK("https://mathstats.uncg.edu/sites/pauli/congruence/csg9.html#group78C9", "78C⁹")</f>
        <v/>
      </c>
      <c r="B2231" t="n">
        <v>9</v>
      </c>
      <c r="C2231" t="inlineStr"/>
      <c r="D2231" t="inlineStr">
        <is>
          <t>168</t>
        </is>
      </c>
      <c r="E2231" t="inlineStr">
        <is>
          <t>2</t>
        </is>
      </c>
      <c r="F2231" t="inlineStr">
        <is>
          <t>14</t>
        </is>
      </c>
      <c r="G2231" t="inlineStr">
        <is>
          <t>0</t>
        </is>
      </c>
      <c r="H2231" t="inlineStr">
        <is>
          <t>12</t>
        </is>
      </c>
      <c r="I2231" t="inlineStr">
        <is>
          <t>6², 78²</t>
        </is>
      </c>
      <c r="J2231" t="n">
        <v>4</v>
      </c>
      <c r="K2231" t="inlineStr">
        <is>
          <t>2², 24¹</t>
        </is>
      </c>
      <c r="L2231" t="inlineStr">
        <is>
          <t>26B¹, 78A², 39B⁴, 78C⁵</t>
        </is>
      </c>
      <c r="M2231" t="inlineStr">
        <is>
          <t>156E¹⁹</t>
        </is>
      </c>
      <c r="N2231" t="inlineStr">
        <is>
          <t>39B⁴, 2A⁰, 26B¹, 26A¹, 78A², 13A⁰, 13B⁰, 26A⁰, 39A¹, 1A⁰, 78C⁵</t>
        </is>
      </c>
      <c r="O2231" t="inlineStr">
        <is>
          <t>156E¹⁹</t>
        </is>
      </c>
    </row>
    <row r="2232">
      <c r="A2232">
        <f>HYPERLINK("https://mathstats.uncg.edu/sites/pauli/congruence/csg9.html#group80A9", "80A⁹")</f>
        <v/>
      </c>
      <c r="B2232" t="n">
        <v>9</v>
      </c>
      <c r="C2232" t="inlineStr"/>
      <c r="D2232" t="inlineStr">
        <is>
          <t>120</t>
        </is>
      </c>
      <c r="E2232" t="inlineStr">
        <is>
          <t>1</t>
        </is>
      </c>
      <c r="F2232" t="inlineStr">
        <is>
          <t>30</t>
        </is>
      </c>
      <c r="G2232" t="inlineStr">
        <is>
          <t>0</t>
        </is>
      </c>
      <c r="H2232" t="inlineStr">
        <is>
          <t>0</t>
        </is>
      </c>
      <c r="I2232" t="inlineStr">
        <is>
          <t>10², 20¹, 80¹</t>
        </is>
      </c>
      <c r="J2232" t="n">
        <v>4</v>
      </c>
      <c r="K2232" t="inlineStr">
        <is>
          <t>1⁴, 2¹, 4⁴, 8¹</t>
        </is>
      </c>
      <c r="L2232" t="inlineStr">
        <is>
          <t>16A¹, 40B⁴</t>
        </is>
      </c>
      <c r="M2232" t="inlineStr">
        <is>
          <t>80A¹⁷, 80C¹⁷, 160A¹⁹, 160B¹⁹, 160C¹⁹</t>
        </is>
      </c>
      <c r="N2232" t="inlineStr">
        <is>
          <t>20A², 5A⁰, 10B¹, 16A¹, 8C⁰, 2B⁰, 4B⁰, 40B⁴, 1A⁰</t>
        </is>
      </c>
      <c r="O2232" t="inlineStr">
        <is>
          <t>160A¹⁹, 160C¹⁹, 160B¹⁹, 80A¹⁷, 80C¹⁷</t>
        </is>
      </c>
    </row>
    <row r="2233">
      <c r="A2233">
        <f>HYPERLINK("https://mathstats.uncg.edu/sites/pauli/congruence/csg9.html#group80B9", "80B⁹")</f>
        <v/>
      </c>
      <c r="B2233" t="n">
        <v>9</v>
      </c>
      <c r="C2233" t="inlineStr"/>
      <c r="D2233" t="inlineStr">
        <is>
          <t>120</t>
        </is>
      </c>
      <c r="E2233" t="inlineStr">
        <is>
          <t>1</t>
        </is>
      </c>
      <c r="F2233" t="inlineStr">
        <is>
          <t>30</t>
        </is>
      </c>
      <c r="G2233" t="inlineStr">
        <is>
          <t>4</t>
        </is>
      </c>
      <c r="H2233" t="inlineStr">
        <is>
          <t>0</t>
        </is>
      </c>
      <c r="I2233" t="inlineStr">
        <is>
          <t>40¹, 80¹</t>
        </is>
      </c>
      <c r="J2233" t="n">
        <v>2</v>
      </c>
      <c r="K2233" t="inlineStr">
        <is>
          <t>1², 2², 4², 8²</t>
        </is>
      </c>
      <c r="L2233" t="inlineStr">
        <is>
          <t>16B¹, 40A⁴</t>
        </is>
      </c>
      <c r="M2233" t="inlineStr">
        <is>
          <t>80B¹⁷, 80E¹⁸, 80A¹⁹, 80C¹⁹</t>
        </is>
      </c>
      <c r="N2233" t="inlineStr">
        <is>
          <t>5A⁰, 40A⁴, 10B¹, 20B², 4C⁰, 8B⁰, 16B¹, 2B⁰, 1A⁰</t>
        </is>
      </c>
      <c r="O2233" t="inlineStr">
        <is>
          <t>80C¹⁹, 80E¹⁸, 80A¹⁹, 80B¹⁷</t>
        </is>
      </c>
    </row>
    <row r="2234">
      <c r="A2234">
        <f>HYPERLINK("https://mathstats.uncg.edu/sites/pauli/congruence/csg9.html#group80C9", "80C⁹")</f>
        <v/>
      </c>
      <c r="B2234" t="n">
        <v>9</v>
      </c>
      <c r="C2234" t="inlineStr"/>
      <c r="D2234" t="inlineStr">
        <is>
          <t>120</t>
        </is>
      </c>
      <c r="E2234" t="inlineStr">
        <is>
          <t>1</t>
        </is>
      </c>
      <c r="F2234" t="inlineStr">
        <is>
          <t>60</t>
        </is>
      </c>
      <c r="G2234" t="inlineStr">
        <is>
          <t>2</t>
        </is>
      </c>
      <c r="H2234" t="inlineStr">
        <is>
          <t>0</t>
        </is>
      </c>
      <c r="I2234" t="inlineStr">
        <is>
          <t>20², 80¹</t>
        </is>
      </c>
      <c r="J2234" t="n">
        <v>3</v>
      </c>
      <c r="K2234" t="inlineStr">
        <is>
          <t>1², 2¹, 4⁴, 8¹, 16²</t>
        </is>
      </c>
      <c r="L2234" t="inlineStr">
        <is>
          <t>16C¹, 40C⁴</t>
        </is>
      </c>
      <c r="M2234" t="inlineStr">
        <is>
          <t>80G¹⁷, 80A¹⁸, 80B¹⁸, 160I¹⁹</t>
        </is>
      </c>
      <c r="N2234" t="inlineStr">
        <is>
          <t>40C⁴, 5A⁰, 8D⁰, 10B¹, 16C¹, 20B², 4C⁰, 2B⁰, 1A⁰</t>
        </is>
      </c>
      <c r="O2234" t="inlineStr">
        <is>
          <t>80B¹⁸, 80G¹⁷, 160I¹⁹, 80A¹⁸</t>
        </is>
      </c>
    </row>
    <row r="2235">
      <c r="A2235">
        <f>HYPERLINK("https://mathstats.uncg.edu/sites/pauli/congruence/csg9.html#group80D9", "80D⁹")</f>
        <v/>
      </c>
      <c r="B2235" t="n">
        <v>9</v>
      </c>
      <c r="C2235" t="inlineStr"/>
      <c r="D2235" t="inlineStr">
        <is>
          <t>120</t>
        </is>
      </c>
      <c r="E2235" t="inlineStr">
        <is>
          <t>1</t>
        </is>
      </c>
      <c r="F2235" t="inlineStr">
        <is>
          <t>60</t>
        </is>
      </c>
      <c r="G2235" t="inlineStr">
        <is>
          <t>4</t>
        </is>
      </c>
      <c r="H2235" t="inlineStr">
        <is>
          <t>0</t>
        </is>
      </c>
      <c r="I2235" t="inlineStr">
        <is>
          <t>40¹, 80¹</t>
        </is>
      </c>
      <c r="J2235" t="n">
        <v>2</v>
      </c>
      <c r="K2235" t="inlineStr">
        <is>
          <t>1⁴, 2², 4⁵, 8², 16¹</t>
        </is>
      </c>
      <c r="L2235" t="inlineStr">
        <is>
          <t>16D¹, 40A⁴</t>
        </is>
      </c>
      <c r="M2235" t="inlineStr">
        <is>
          <t>80J¹⁷, 80C¹⁸, 80E¹⁸, 80F¹⁹, 80H¹⁹, 160E¹⁹, 160H¹⁹, 160G¹⁹, 160F¹⁹</t>
        </is>
      </c>
      <c r="N2235" t="inlineStr">
        <is>
          <t>5A⁰, 16D¹, 40A⁴, 10B¹, 20B², 4C⁰, 8B⁰, 2B⁰, 1A⁰</t>
        </is>
      </c>
      <c r="O2235" t="inlineStr">
        <is>
          <t>160H¹⁹, 80E¹⁸, 80H¹⁹, 80F¹⁹, 80C¹⁸, 160F¹⁹, 160E¹⁹, 80J¹⁷, 160G¹⁹</t>
        </is>
      </c>
    </row>
    <row r="2236">
      <c r="A2236">
        <f>HYPERLINK("https://mathstats.uncg.edu/sites/pauli/congruence/csg9.html#group80E9", "80E⁹")</f>
        <v/>
      </c>
      <c r="B2236" t="n">
        <v>9</v>
      </c>
      <c r="C2236" t="inlineStr"/>
      <c r="D2236" t="inlineStr">
        <is>
          <t>144</t>
        </is>
      </c>
      <c r="E2236" t="inlineStr">
        <is>
          <t>1</t>
        </is>
      </c>
      <c r="F2236" t="inlineStr">
        <is>
          <t>36</t>
        </is>
      </c>
      <c r="G2236" t="inlineStr">
        <is>
          <t>0</t>
        </is>
      </c>
      <c r="H2236" t="inlineStr">
        <is>
          <t>0</t>
        </is>
      </c>
      <c r="I2236" t="inlineStr">
        <is>
          <t>2², 4¹, 10², 16¹, 20¹, 80¹</t>
        </is>
      </c>
      <c r="J2236" t="n">
        <v>8</v>
      </c>
      <c r="K2236" t="inlineStr">
        <is>
          <t>1⁸, 2², 4⁴, 8¹</t>
        </is>
      </c>
      <c r="L2236" t="inlineStr">
        <is>
          <t>40F³</t>
        </is>
      </c>
      <c r="M2236" t="inlineStr">
        <is>
          <t>80V¹⁷, 80W¹⁷, 80Y¹⁷, 80AI¹⁷, 80AH¹⁷, 160Q²¹, 160R²¹, 160S²¹</t>
        </is>
      </c>
      <c r="N2236" t="inlineStr">
        <is>
          <t>40F³, 5B⁰, 10C⁰, 20D¹, 8C⁰, 2B⁰, 4B⁰, 1A⁰</t>
        </is>
      </c>
      <c r="O2236" t="inlineStr">
        <is>
          <t>160S²¹, 160R²¹, 80AI¹⁷, 80V¹⁷, 80W¹⁷, 160Q²¹, 80Y¹⁷, 80AH¹⁷</t>
        </is>
      </c>
    </row>
    <row r="2237">
      <c r="A2237">
        <f>HYPERLINK("https://mathstats.uncg.edu/sites/pauli/congruence/csg9.html#group80F9", "80F⁹")</f>
        <v/>
      </c>
      <c r="B2237" t="n">
        <v>9</v>
      </c>
      <c r="C2237" t="inlineStr"/>
      <c r="D2237" t="inlineStr">
        <is>
          <t>144</t>
        </is>
      </c>
      <c r="E2237" t="inlineStr">
        <is>
          <t>1</t>
        </is>
      </c>
      <c r="F2237" t="inlineStr">
        <is>
          <t>36</t>
        </is>
      </c>
      <c r="G2237" t="inlineStr">
        <is>
          <t>0</t>
        </is>
      </c>
      <c r="H2237" t="inlineStr">
        <is>
          <t>0</t>
        </is>
      </c>
      <c r="I2237" t="inlineStr">
        <is>
          <t>2², 4¹, 10², 16¹, 20¹, 80¹</t>
        </is>
      </c>
      <c r="J2237" t="n">
        <v>8</v>
      </c>
      <c r="K2237" t="inlineStr">
        <is>
          <t>1⁸, 2², 4⁴, 8¹</t>
        </is>
      </c>
      <c r="L2237" t="inlineStr">
        <is>
          <t>16A¹, 40F³</t>
        </is>
      </c>
      <c r="M2237" t="inlineStr">
        <is>
          <t>80V¹⁷, 80X¹⁷, 80Z¹⁷, 80AG¹⁷, 80AJ¹⁷, 160A²¹, 160B²¹, 160C²¹, 160D²¹, 160E²¹, 160F²¹</t>
        </is>
      </c>
      <c r="N2237" t="inlineStr">
        <is>
          <t>40F³, 5B⁰, 10C⁰, 16A¹, 20D¹, 8C⁰, 2B⁰, 4B⁰, 1A⁰</t>
        </is>
      </c>
      <c r="O2237" t="inlineStr">
        <is>
          <t>160E²¹, 160B²¹, 80AJ¹⁷, 160D²¹, 80V¹⁷, 160C²¹, 80AG¹⁷, 160F²¹, 80Z¹⁷, 160A²¹, 80X¹⁷</t>
        </is>
      </c>
    </row>
    <row r="2238">
      <c r="A2238">
        <f>HYPERLINK("https://mathstats.uncg.edu/sites/pauli/congruence/csg9.html#group80G9", "80G⁹")</f>
        <v/>
      </c>
      <c r="B2238" t="n">
        <v>9</v>
      </c>
      <c r="C2238" t="inlineStr"/>
      <c r="D2238" t="inlineStr">
        <is>
          <t>144</t>
        </is>
      </c>
      <c r="E2238" t="inlineStr">
        <is>
          <t>1</t>
        </is>
      </c>
      <c r="F2238" t="inlineStr">
        <is>
          <t>36</t>
        </is>
      </c>
      <c r="G2238" t="inlineStr">
        <is>
          <t>8</t>
        </is>
      </c>
      <c r="H2238" t="inlineStr">
        <is>
          <t>0</t>
        </is>
      </c>
      <c r="I2238" t="inlineStr">
        <is>
          <t>8¹, 16¹, 40¹, 80¹</t>
        </is>
      </c>
      <c r="J2238" t="n">
        <v>4</v>
      </c>
      <c r="K2238" t="inlineStr">
        <is>
          <t>1⁴, 2⁴, 4², 8²</t>
        </is>
      </c>
      <c r="L2238" t="inlineStr">
        <is>
          <t>40D³</t>
        </is>
      </c>
      <c r="M2238" t="inlineStr">
        <is>
          <t>80AA¹⁷, 80AC¹⁷, 80AD¹⁷, 80AD¹⁹, 80AB¹⁹, 80C²¹, 80K²¹, 80M²¹, 80N²¹</t>
        </is>
      </c>
      <c r="N2238" t="inlineStr">
        <is>
          <t>20E¹, 4C⁰, 8B⁰, 5B⁰, 10C⁰, 1A⁰, 2B⁰, 40D³</t>
        </is>
      </c>
      <c r="O2238" t="inlineStr">
        <is>
          <t>80AA¹⁷, 80N²¹, 80M²¹, 80AD¹⁹, 80AC¹⁷, 80AD¹⁷, 80AB¹⁹, 80C²¹, 80K²¹</t>
        </is>
      </c>
    </row>
    <row r="2239">
      <c r="A2239">
        <f>HYPERLINK("https://mathstats.uncg.edu/sites/pauli/congruence/csg9.html#group80H9", "80H⁹")</f>
        <v/>
      </c>
      <c r="B2239" t="n">
        <v>9</v>
      </c>
      <c r="C2239" t="inlineStr"/>
      <c r="D2239" t="inlineStr">
        <is>
          <t>144</t>
        </is>
      </c>
      <c r="E2239" t="inlineStr">
        <is>
          <t>1</t>
        </is>
      </c>
      <c r="F2239" t="inlineStr">
        <is>
          <t>36</t>
        </is>
      </c>
      <c r="G2239" t="inlineStr">
        <is>
          <t>8</t>
        </is>
      </c>
      <c r="H2239" t="inlineStr">
        <is>
          <t>0</t>
        </is>
      </c>
      <c r="I2239" t="inlineStr">
        <is>
          <t>8¹, 16¹, 40¹, 80¹</t>
        </is>
      </c>
      <c r="J2239" t="n">
        <v>4</v>
      </c>
      <c r="K2239" t="inlineStr">
        <is>
          <t>1⁴, 2⁴, 4², 8²</t>
        </is>
      </c>
      <c r="L2239" t="inlineStr">
        <is>
          <t>16B¹, 40D³</t>
        </is>
      </c>
      <c r="M2239" t="inlineStr">
        <is>
          <t>80AA¹⁷, 80AB¹⁷, 80AE¹⁷, 80AC¹⁹, 80AE¹⁹, 80D²¹, 80L²¹, 80N²¹, 80O²¹</t>
        </is>
      </c>
      <c r="N2239" t="inlineStr">
        <is>
          <t>20E¹, 40D³, 4C⁰, 8B⁰, 5B⁰, 16B¹, 10C⁰, 2B⁰, 1A⁰</t>
        </is>
      </c>
      <c r="O2239" t="inlineStr">
        <is>
          <t>80AA¹⁷, 80N²¹, 80AE¹⁷, 80AC¹⁹, 80AB¹⁷, 80AE¹⁹, 80O²¹, 80D²¹, 80L²¹</t>
        </is>
      </c>
    </row>
    <row r="2240">
      <c r="A2240">
        <f>HYPERLINK("https://mathstats.uncg.edu/sites/pauli/congruence/csg9.html#group80I9", "80I⁹")</f>
        <v/>
      </c>
      <c r="B2240" t="n">
        <v>9</v>
      </c>
      <c r="C2240" t="inlineStr"/>
      <c r="D2240" t="inlineStr">
        <is>
          <t>144</t>
        </is>
      </c>
      <c r="E2240" t="inlineStr">
        <is>
          <t>1</t>
        </is>
      </c>
      <c r="F2240" t="inlineStr">
        <is>
          <t>72</t>
        </is>
      </c>
      <c r="G2240" t="inlineStr">
        <is>
          <t>4</t>
        </is>
      </c>
      <c r="H2240" t="inlineStr">
        <is>
          <t>0</t>
        </is>
      </c>
      <c r="I2240" t="inlineStr">
        <is>
          <t>4², 16¹, 20², 80¹</t>
        </is>
      </c>
      <c r="J2240" t="n">
        <v>6</v>
      </c>
      <c r="K2240" t="inlineStr">
        <is>
          <t>1⁴, 2², 4⁶, 8¹, 16²</t>
        </is>
      </c>
      <c r="L2240" t="inlineStr">
        <is>
          <t>40H³</t>
        </is>
      </c>
      <c r="M2240" t="inlineStr">
        <is>
          <t>80AN¹⁷, 80AP¹⁷, 80AQ¹⁷, 80L¹⁹, 80O¹⁹, 80R¹⁹, 80Q¹⁹</t>
        </is>
      </c>
      <c r="N2240" t="inlineStr">
        <is>
          <t>20E¹, 40H³, 8D⁰, 4C⁰, 5B⁰, 10C⁰, 2B⁰, 1A⁰</t>
        </is>
      </c>
      <c r="O2240" t="inlineStr">
        <is>
          <t>80AN¹⁷, 80Q¹⁹, 80AQ¹⁷, 80L¹⁹, 80R¹⁹, 80O¹⁹, 80AP¹⁷</t>
        </is>
      </c>
    </row>
    <row r="2241">
      <c r="A2241">
        <f>HYPERLINK("https://mathstats.uncg.edu/sites/pauli/congruence/csg9.html#group80J9", "80J⁹")</f>
        <v/>
      </c>
      <c r="B2241" t="n">
        <v>9</v>
      </c>
      <c r="C2241" t="inlineStr"/>
      <c r="D2241" t="inlineStr">
        <is>
          <t>144</t>
        </is>
      </c>
      <c r="E2241" t="inlineStr">
        <is>
          <t>1</t>
        </is>
      </c>
      <c r="F2241" t="inlineStr">
        <is>
          <t>72</t>
        </is>
      </c>
      <c r="G2241" t="inlineStr">
        <is>
          <t>4</t>
        </is>
      </c>
      <c r="H2241" t="inlineStr">
        <is>
          <t>0</t>
        </is>
      </c>
      <c r="I2241" t="inlineStr">
        <is>
          <t>4², 16¹, 20², 80¹</t>
        </is>
      </c>
      <c r="J2241" t="n">
        <v>6</v>
      </c>
      <c r="K2241" t="inlineStr">
        <is>
          <t>1⁴, 2², 4⁶, 8¹, 16²</t>
        </is>
      </c>
      <c r="L2241" t="inlineStr">
        <is>
          <t>16C¹, 40H³</t>
        </is>
      </c>
      <c r="M2241" t="inlineStr">
        <is>
          <t>80AN¹⁷, 80AO¹⁷, 80AR¹⁷, 80M¹⁹, 80O¹⁹, 80P¹⁹, 80S¹⁹, 160T²¹, 160U²¹</t>
        </is>
      </c>
      <c r="N2241" t="inlineStr">
        <is>
          <t>20E¹, 40H³, 8D⁰, 16C¹, 4C⁰, 5B⁰, 10C⁰, 2B⁰, 1A⁰</t>
        </is>
      </c>
      <c r="O2241" t="inlineStr">
        <is>
          <t>80AN¹⁷, 160T²¹, 80P¹⁹, 80S¹⁹, 160U²¹, 80M¹⁹, 80AO¹⁷, 80O¹⁹, 80AR¹⁷</t>
        </is>
      </c>
    </row>
    <row r="2242">
      <c r="A2242">
        <f>HYPERLINK("https://mathstats.uncg.edu/sites/pauli/congruence/csg9.html#group80K9", "80K⁹")</f>
        <v/>
      </c>
      <c r="B2242" t="n">
        <v>9</v>
      </c>
      <c r="C2242" t="inlineStr"/>
      <c r="D2242" t="inlineStr">
        <is>
          <t>144</t>
        </is>
      </c>
      <c r="E2242" t="inlineStr">
        <is>
          <t>1</t>
        </is>
      </c>
      <c r="F2242" t="inlineStr">
        <is>
          <t>72</t>
        </is>
      </c>
      <c r="G2242" t="inlineStr">
        <is>
          <t>8</t>
        </is>
      </c>
      <c r="H2242" t="inlineStr">
        <is>
          <t>0</t>
        </is>
      </c>
      <c r="I2242" t="inlineStr">
        <is>
          <t>8¹, 16¹, 40¹, 80¹</t>
        </is>
      </c>
      <c r="J2242" t="n">
        <v>4</v>
      </c>
      <c r="K2242" t="inlineStr">
        <is>
          <t>1⁸, 2⁴, 4⁶, 8², 16¹</t>
        </is>
      </c>
      <c r="L2242" t="inlineStr">
        <is>
          <t>40D³</t>
        </is>
      </c>
      <c r="M2242" t="inlineStr">
        <is>
          <t>80AT¹⁷, 80AW¹⁷, 80AV¹⁷, 80U¹⁹, 80AA¹⁹, 80AD¹⁹, 80AC¹⁹, 80P²¹, 80X²¹, 80V²¹, 80AA²¹</t>
        </is>
      </c>
      <c r="N2242" t="inlineStr">
        <is>
          <t>20E¹, 4C⁰, 8B⁰, 5B⁰, 10C⁰, 1A⁰, 2B⁰, 40D³</t>
        </is>
      </c>
      <c r="O2242" t="inlineStr">
        <is>
          <t>80AV¹⁷, 80AC¹⁹, 80AW¹⁷, 80P²¹, 80AD¹⁹, 80U¹⁹, 80AA¹⁹, 80AA²¹, 80AT¹⁷, 80V²¹, 80X²¹</t>
        </is>
      </c>
    </row>
    <row r="2243">
      <c r="A2243">
        <f>HYPERLINK("https://mathstats.uncg.edu/sites/pauli/congruence/csg9.html#group80L9", "80L⁹")</f>
        <v/>
      </c>
      <c r="B2243" t="n">
        <v>9</v>
      </c>
      <c r="C2243" t="inlineStr"/>
      <c r="D2243" t="inlineStr">
        <is>
          <t>144</t>
        </is>
      </c>
      <c r="E2243" t="inlineStr">
        <is>
          <t>1</t>
        </is>
      </c>
      <c r="F2243" t="inlineStr">
        <is>
          <t>72</t>
        </is>
      </c>
      <c r="G2243" t="inlineStr">
        <is>
          <t>8</t>
        </is>
      </c>
      <c r="H2243" t="inlineStr">
        <is>
          <t>0</t>
        </is>
      </c>
      <c r="I2243" t="inlineStr">
        <is>
          <t>8¹, 16¹, 40¹, 80¹</t>
        </is>
      </c>
      <c r="J2243" t="n">
        <v>4</v>
      </c>
      <c r="K2243" t="inlineStr">
        <is>
          <t>1⁸, 2⁴, 4⁶, 8², 16¹</t>
        </is>
      </c>
      <c r="L2243" t="inlineStr">
        <is>
          <t>16D¹, 40D³</t>
        </is>
      </c>
      <c r="M2243" t="inlineStr">
        <is>
          <t>80AT¹⁷, 80AU¹⁷, 80AX¹⁷, 80V¹⁹, 80AA¹⁹, 80AB¹⁹, 80AE¹⁹, 80Q²¹, 80W²¹, 80AA²¹, 80AB²¹, 160I²¹, 160J²¹, 160K²¹, 160L²¹, 160M²¹, 160P²¹, 160O²¹, 160N²¹</t>
        </is>
      </c>
      <c r="N2243" t="inlineStr">
        <is>
          <t>20E¹, 16D¹, 4C⁰, 8B⁰, 5B⁰, 10C⁰, 1A⁰, 2B⁰, 40D³</t>
        </is>
      </c>
      <c r="O2243" t="inlineStr">
        <is>
          <t>80AX¹⁷, 160O²¹, 80AE¹⁹, 160K²¹, 80AA¹⁹, 80AA²¹, 80AT¹⁷, 80AB²¹, 160I²¹, 80W²¹, 160J²¹, 160N²¹, 160M²¹, 80V¹⁹, 80AB¹⁹, 80AU¹⁷, 160L²¹, 80Q²¹, 160P²¹</t>
        </is>
      </c>
    </row>
    <row r="2244">
      <c r="A2244">
        <f>HYPERLINK("https://mathstats.uncg.edu/sites/pauli/congruence/csg9.html#group80M9", "80M⁹")</f>
        <v/>
      </c>
      <c r="B2244" t="n">
        <v>9</v>
      </c>
      <c r="C2244" t="inlineStr"/>
      <c r="D2244" t="inlineStr">
        <is>
          <t>144</t>
        </is>
      </c>
      <c r="E2244" t="inlineStr">
        <is>
          <t>2</t>
        </is>
      </c>
      <c r="F2244" t="inlineStr">
        <is>
          <t>18</t>
        </is>
      </c>
      <c r="G2244" t="inlineStr">
        <is>
          <t>8</t>
        </is>
      </c>
      <c r="H2244" t="inlineStr">
        <is>
          <t>0</t>
        </is>
      </c>
      <c r="I2244" t="inlineStr">
        <is>
          <t>8¹, 16¹, 40¹, 80¹</t>
        </is>
      </c>
      <c r="J2244" t="n">
        <v>4</v>
      </c>
      <c r="K2244" t="inlineStr">
        <is>
          <t>2⁶, 8³</t>
        </is>
      </c>
      <c r="L2244" t="inlineStr">
        <is>
          <t>40C³</t>
        </is>
      </c>
      <c r="M2244" t="inlineStr">
        <is>
          <t>80BC¹⁷, 80W¹⁹, 80Y¹⁹, 80A²¹, 80AD²¹</t>
        </is>
      </c>
      <c r="N2244" t="inlineStr">
        <is>
          <t>40C³, 5B⁰, 20E¹, 10C⁰, 2B⁰, 1A⁰, 4C⁰</t>
        </is>
      </c>
      <c r="O2244" t="inlineStr">
        <is>
          <t>80AD²¹, 80Y¹⁹, 80W¹⁹, 80A²¹, 80BC¹⁷</t>
        </is>
      </c>
    </row>
    <row r="2245">
      <c r="A2245">
        <f>HYPERLINK("https://mathstats.uncg.edu/sites/pauli/congruence/csg9.html#group80N9", "80N⁹")</f>
        <v/>
      </c>
      <c r="B2245" t="n">
        <v>9</v>
      </c>
      <c r="C2245" t="inlineStr"/>
      <c r="D2245" t="inlineStr">
        <is>
          <t>144</t>
        </is>
      </c>
      <c r="E2245" t="inlineStr">
        <is>
          <t>2</t>
        </is>
      </c>
      <c r="F2245" t="inlineStr">
        <is>
          <t>18</t>
        </is>
      </c>
      <c r="G2245" t="inlineStr">
        <is>
          <t>8</t>
        </is>
      </c>
      <c r="H2245" t="inlineStr">
        <is>
          <t>0</t>
        </is>
      </c>
      <c r="I2245" t="inlineStr">
        <is>
          <t>8¹, 16¹, 40¹, 80¹</t>
        </is>
      </c>
      <c r="J2245" t="n">
        <v>4</v>
      </c>
      <c r="K2245" t="inlineStr">
        <is>
          <t>2⁶, 8³</t>
        </is>
      </c>
      <c r="L2245" t="inlineStr">
        <is>
          <t>40C³</t>
        </is>
      </c>
      <c r="M2245" t="inlineStr">
        <is>
          <t>80BC¹⁷, 80X¹⁹, 80Z¹⁹, 80B²¹, 80AD²¹</t>
        </is>
      </c>
      <c r="N2245" t="inlineStr">
        <is>
          <t>40C³, 5B⁰, 20E¹, 10C⁰, 2B⁰, 1A⁰, 4C⁰</t>
        </is>
      </c>
      <c r="O2245" t="inlineStr">
        <is>
          <t>80AD²¹, 80B²¹, 80Z¹⁹, 80X¹⁹, 80BC¹⁷</t>
        </is>
      </c>
    </row>
    <row r="2246">
      <c r="A2246">
        <f>HYPERLINK("https://mathstats.uncg.edu/sites/pauli/congruence/csg9.html#group80O9", "80O⁹")</f>
        <v/>
      </c>
      <c r="B2246" t="n">
        <v>9</v>
      </c>
      <c r="C2246" t="inlineStr"/>
      <c r="D2246" t="inlineStr">
        <is>
          <t>144</t>
        </is>
      </c>
      <c r="E2246" t="inlineStr">
        <is>
          <t>2</t>
        </is>
      </c>
      <c r="F2246" t="inlineStr">
        <is>
          <t>36</t>
        </is>
      </c>
      <c r="G2246" t="inlineStr">
        <is>
          <t>0</t>
        </is>
      </c>
      <c r="H2246" t="inlineStr">
        <is>
          <t>0</t>
        </is>
      </c>
      <c r="I2246" t="inlineStr">
        <is>
          <t>2², 4¹, 10², 16¹, 20¹, 80¹</t>
        </is>
      </c>
      <c r="J2246" t="n">
        <v>8</v>
      </c>
      <c r="K2246" t="inlineStr">
        <is>
          <t>2¹², 8⁶</t>
        </is>
      </c>
      <c r="L2246" t="inlineStr">
        <is>
          <t>40E³</t>
        </is>
      </c>
      <c r="M2246" t="inlineStr">
        <is>
          <t>80U¹⁷, 80BD¹⁷, 80BE¹⁷</t>
        </is>
      </c>
      <c r="N2246" t="inlineStr">
        <is>
          <t>5B⁰, 10C⁰, 40E³, 20D¹, 2B⁰, 4B⁰, 1A⁰</t>
        </is>
      </c>
      <c r="O2246" t="inlineStr">
        <is>
          <t>80BE¹⁷, 80U¹⁷, 80BD¹⁷</t>
        </is>
      </c>
    </row>
    <row r="2247">
      <c r="A2247">
        <f>HYPERLINK("https://mathstats.uncg.edu/sites/pauli/congruence/csg9.html#group80P9", "80P⁹")</f>
        <v/>
      </c>
      <c r="B2247" t="n">
        <v>9</v>
      </c>
      <c r="C2247" t="inlineStr"/>
      <c r="D2247" t="inlineStr">
        <is>
          <t>144</t>
        </is>
      </c>
      <c r="E2247" t="inlineStr">
        <is>
          <t>2</t>
        </is>
      </c>
      <c r="F2247" t="inlineStr">
        <is>
          <t>36</t>
        </is>
      </c>
      <c r="G2247" t="inlineStr">
        <is>
          <t>8</t>
        </is>
      </c>
      <c r="H2247" t="inlineStr">
        <is>
          <t>0</t>
        </is>
      </c>
      <c r="I2247" t="inlineStr">
        <is>
          <t>8¹, 16¹, 40¹, 80¹</t>
        </is>
      </c>
      <c r="J2247" t="n">
        <v>4</v>
      </c>
      <c r="K2247" t="inlineStr">
        <is>
          <t>2¹², 8⁶</t>
        </is>
      </c>
      <c r="L2247" t="inlineStr">
        <is>
          <t>40C³</t>
        </is>
      </c>
      <c r="M2247" t="inlineStr">
        <is>
          <t>80AF¹⁷, 80W¹⁹, 80X¹⁹, 80Y¹⁹, 80Z¹⁹, 80J²¹, 80AC²¹</t>
        </is>
      </c>
      <c r="N2247" t="inlineStr">
        <is>
          <t>40C³, 5B⁰, 20E¹, 10C⁰, 2B⁰, 1A⁰, 4C⁰</t>
        </is>
      </c>
      <c r="O2247" t="inlineStr">
        <is>
          <t>80AC²¹, 80AF¹⁷, 80X¹⁹, 80Y¹⁹, 80Z¹⁹, 80W¹⁹, 80J²¹</t>
        </is>
      </c>
    </row>
    <row r="2248">
      <c r="A2248">
        <f>HYPERLINK("https://mathstats.uncg.edu/sites/pauli/congruence/csg9.html#group82A9", "82A⁹")</f>
        <v/>
      </c>
      <c r="B2248" t="n">
        <v>9</v>
      </c>
      <c r="C2248" t="inlineStr">
        <is>
          <t>Γ₀(82)</t>
        </is>
      </c>
      <c r="D2248" t="inlineStr">
        <is>
          <t>126</t>
        </is>
      </c>
      <c r="E2248" t="inlineStr">
        <is>
          <t>1</t>
        </is>
      </c>
      <c r="F2248" t="inlineStr">
        <is>
          <t>126</t>
        </is>
      </c>
      <c r="G2248" t="inlineStr">
        <is>
          <t>2</t>
        </is>
      </c>
      <c r="H2248" t="inlineStr">
        <is>
          <t>0</t>
        </is>
      </c>
      <c r="I2248" t="inlineStr">
        <is>
          <t>1¹, 2¹, 41¹, 82¹</t>
        </is>
      </c>
      <c r="J2248" t="n">
        <v>4</v>
      </c>
      <c r="K2248" t="inlineStr">
        <is>
          <t>1⁶, 40³</t>
        </is>
      </c>
      <c r="L2248" t="inlineStr">
        <is>
          <t>2B⁰, 41A³</t>
        </is>
      </c>
      <c r="M2248" t="inlineStr">
        <is>
          <t>82A¹⁷, 82A¹⁹, 82B¹⁹, 164A¹⁹, 164B¹⁹, 164C¹⁹, 164D¹⁹</t>
        </is>
      </c>
      <c r="N2248" t="inlineStr">
        <is>
          <t>1A⁰, 2B⁰, 41A³</t>
        </is>
      </c>
      <c r="O2248" t="inlineStr">
        <is>
          <t>82A¹⁹, 164C¹⁹, 164A¹⁹, 164B¹⁹, 164D¹⁹, 82A¹⁷, 82B¹⁹</t>
        </is>
      </c>
    </row>
    <row r="2249">
      <c r="A2249">
        <f>HYPERLINK("https://mathstats.uncg.edu/sites/pauli/congruence/csg9.html#group84A9", "84A⁹")</f>
        <v/>
      </c>
      <c r="B2249" t="n">
        <v>9</v>
      </c>
      <c r="C2249" t="inlineStr"/>
      <c r="D2249" t="inlineStr">
        <is>
          <t>112</t>
        </is>
      </c>
      <c r="E2249" t="inlineStr">
        <is>
          <t>2</t>
        </is>
      </c>
      <c r="F2249" t="inlineStr">
        <is>
          <t>112</t>
        </is>
      </c>
      <c r="G2249" t="inlineStr">
        <is>
          <t>0</t>
        </is>
      </c>
      <c r="H2249" t="inlineStr">
        <is>
          <t>1</t>
        </is>
      </c>
      <c r="I2249" t="inlineStr">
        <is>
          <t>28¹, 84¹</t>
        </is>
      </c>
      <c r="J2249" t="n">
        <v>2</v>
      </c>
      <c r="K2249" t="inlineStr">
        <is>
          <t>4⁴, 8², 12⁸, 24⁴</t>
        </is>
      </c>
      <c r="L2249" t="inlineStr">
        <is>
          <t>12A¹, 28A¹, 21B²</t>
        </is>
      </c>
      <c r="M2249" t="inlineStr">
        <is>
          <t>84A¹⁷, 84B¹⁷, 84C¹⁷, 168A¹⁸, 168B¹⁸, 168C¹⁸, 168D¹⁸</t>
        </is>
      </c>
      <c r="N2249" t="inlineStr">
        <is>
          <t>3B⁰, 21B², 4A⁰, 12A¹, 28A¹, 1A⁰, 7A⁰</t>
        </is>
      </c>
      <c r="O2249" t="inlineStr">
        <is>
          <t>84A¹⁷, 84B¹⁷, 168A¹⁸, 168C¹⁸, 84C¹⁷, 168D¹⁸, 168B¹⁸</t>
        </is>
      </c>
    </row>
    <row r="2250">
      <c r="A2250">
        <f>HYPERLINK("https://mathstats.uncg.edu/sites/pauli/congruence/csg9.html#group84B9", "84B⁹")</f>
        <v/>
      </c>
      <c r="B2250" t="n">
        <v>9</v>
      </c>
      <c r="C2250" t="inlineStr"/>
      <c r="D2250" t="inlineStr">
        <is>
          <t>126</t>
        </is>
      </c>
      <c r="E2250" t="inlineStr">
        <is>
          <t>2</t>
        </is>
      </c>
      <c r="F2250" t="inlineStr">
        <is>
          <t>21</t>
        </is>
      </c>
      <c r="G2250" t="inlineStr">
        <is>
          <t>6</t>
        </is>
      </c>
      <c r="H2250" t="inlineStr">
        <is>
          <t>0</t>
        </is>
      </c>
      <c r="I2250" t="inlineStr">
        <is>
          <t>42¹, 84¹</t>
        </is>
      </c>
      <c r="J2250" t="n">
        <v>2</v>
      </c>
      <c r="K2250" t="inlineStr">
        <is>
          <t>2³, 6⁶</t>
        </is>
      </c>
      <c r="L2250" t="inlineStr">
        <is>
          <t>28B³, 42C³</t>
        </is>
      </c>
      <c r="M2250" t="inlineStr">
        <is>
          <t>84D¹⁷, 84D¹⁸, 84F¹⁸, 84E¹⁹, 84G¹⁹, 84A²⁰, 84B²⁰</t>
        </is>
      </c>
      <c r="N2250" t="inlineStr">
        <is>
          <t>14B¹, 21A⁰, 2B⁰, 28B³, 3A⁰, 1A⁰, 42C³, 6D⁰, 7A⁰</t>
        </is>
      </c>
      <c r="O2250" t="inlineStr">
        <is>
          <t>84E¹⁹, 84D¹⁷, 84F¹⁸, 84G¹⁹, 84A²⁰, 84D¹⁸, 84B²⁰</t>
        </is>
      </c>
    </row>
    <row r="2251">
      <c r="A2251">
        <f>HYPERLINK("https://mathstats.uncg.edu/sites/pauli/congruence/csg9.html#group84C9", "84C⁹")</f>
        <v/>
      </c>
      <c r="B2251" t="n">
        <v>9</v>
      </c>
      <c r="C2251" t="inlineStr"/>
      <c r="D2251" t="inlineStr">
        <is>
          <t>126</t>
        </is>
      </c>
      <c r="E2251" t="inlineStr">
        <is>
          <t>2</t>
        </is>
      </c>
      <c r="F2251" t="inlineStr">
        <is>
          <t>63</t>
        </is>
      </c>
      <c r="G2251" t="inlineStr">
        <is>
          <t>6</t>
        </is>
      </c>
      <c r="H2251" t="inlineStr">
        <is>
          <t>0</t>
        </is>
      </c>
      <c r="I2251" t="inlineStr">
        <is>
          <t>42¹, 84¹</t>
        </is>
      </c>
      <c r="J2251" t="n">
        <v>2</v>
      </c>
      <c r="K2251" t="inlineStr">
        <is>
          <t>2³, 4³, 6⁶, 12⁶</t>
        </is>
      </c>
      <c r="L2251" t="inlineStr">
        <is>
          <t>12C¹, 42C³</t>
        </is>
      </c>
      <c r="M2251" t="inlineStr">
        <is>
          <t>84H¹⁷, 84M¹⁷, 84N¹⁷, 84C¹⁸, 84E¹⁸, 84G¹⁸, 84H¹⁸, 84E¹⁹, 84F¹⁹, 84H¹⁹, 84I¹⁹, 84D²⁰, 84G²⁰, 84H²⁰</t>
        </is>
      </c>
      <c r="N2251" t="inlineStr">
        <is>
          <t>12C¹, 14B¹, 21A⁰, 2B⁰, 3A⁰, 1A⁰, 42C³, 6D⁰, 7A⁰</t>
        </is>
      </c>
      <c r="O2251" t="inlineStr">
        <is>
          <t>84H¹⁸, 84G¹⁸, 84D²⁰, 84H²⁰, 84E¹⁸, 84E¹⁹, 84M¹⁷, 84F¹⁹, 84C¹⁸, 84N¹⁷, 84I¹⁹, 84H¹⁹, 84G²⁰, 84H¹⁷</t>
        </is>
      </c>
    </row>
    <row r="2252">
      <c r="A2252">
        <f>HYPERLINK("https://mathstats.uncg.edu/sites/pauli/congruence/csg9.html#group84D9", "84D⁹")</f>
        <v/>
      </c>
      <c r="B2252" t="n">
        <v>9</v>
      </c>
      <c r="C2252" t="inlineStr"/>
      <c r="D2252" t="inlineStr">
        <is>
          <t>128</t>
        </is>
      </c>
      <c r="E2252" t="inlineStr">
        <is>
          <t>1</t>
        </is>
      </c>
      <c r="F2252" t="inlineStr">
        <is>
          <t>128</t>
        </is>
      </c>
      <c r="G2252" t="inlineStr">
        <is>
          <t>0</t>
        </is>
      </c>
      <c r="H2252" t="inlineStr">
        <is>
          <t>2</t>
        </is>
      </c>
      <c r="I2252" t="inlineStr">
        <is>
          <t>4¹, 12¹, 28¹, 84¹</t>
        </is>
      </c>
      <c r="J2252" t="n">
        <v>4</v>
      </c>
      <c r="K2252" t="inlineStr">
        <is>
          <t>2⁸, 4⁴, 12⁴, 24²</t>
        </is>
      </c>
      <c r="L2252" t="inlineStr">
        <is>
          <t>12A¹, 21B¹, 28A²</t>
        </is>
      </c>
      <c r="M2252" t="inlineStr">
        <is>
          <t>84O¹⁷, 84P¹⁷, 84Q¹⁷, 168A¹⁹, 168B¹⁹</t>
        </is>
      </c>
      <c r="N2252" t="inlineStr">
        <is>
          <t>3B⁰, 21B¹, 4A⁰, 7B⁰, 12A¹, 1A⁰, 28A²</t>
        </is>
      </c>
      <c r="O2252" t="inlineStr">
        <is>
          <t>168B¹⁹, 84O¹⁷, 84Q¹⁷, 168A¹⁹, 84P¹⁷</t>
        </is>
      </c>
    </row>
    <row r="2253">
      <c r="A2253">
        <f>HYPERLINK("https://mathstats.uncg.edu/sites/pauli/congruence/csg9.html#group84E9", "84E⁹")</f>
        <v/>
      </c>
      <c r="B2253" t="n">
        <v>9</v>
      </c>
      <c r="C2253" t="inlineStr"/>
      <c r="D2253" t="inlineStr">
        <is>
          <t>168</t>
        </is>
      </c>
      <c r="E2253" t="inlineStr">
        <is>
          <t>2</t>
        </is>
      </c>
      <c r="F2253" t="inlineStr">
        <is>
          <t>84</t>
        </is>
      </c>
      <c r="G2253" t="inlineStr">
        <is>
          <t>20</t>
        </is>
      </c>
      <c r="H2253" t="inlineStr">
        <is>
          <t>0</t>
        </is>
      </c>
      <c r="I2253" t="inlineStr">
        <is>
          <t>84²</t>
        </is>
      </c>
      <c r="J2253" t="n">
        <v>2</v>
      </c>
      <c r="K2253" t="inlineStr">
        <is>
          <t>4², 8², 12⁴, 24⁴</t>
        </is>
      </c>
      <c r="L2253" t="inlineStr">
        <is>
          <t>21D¹, 84A³</t>
        </is>
      </c>
      <c r="M2253" t="inlineStr">
        <is>
          <t>84L¹⁹, 84O²¹, 84P²¹, 84C²³, 168K²³, 168L²³, 168I²³, 168J²³, 168M²³, 168N²³, 168O²³, 168P²³</t>
        </is>
      </c>
      <c r="N2253" t="inlineStr">
        <is>
          <t>84A³, 12A⁰, 4A⁰, 21D¹, 21A⁰, 3A⁰, 28A¹, 1A⁰, 7A⁰</t>
        </is>
      </c>
      <c r="O2253" t="inlineStr">
        <is>
          <t>168L²³, 168O²³, 84P²¹, 168I²³, 84O²¹, 168N²³, 84L¹⁹, 84C²³, 168P²³, 168M²³, 168J²³, 168K²³</t>
        </is>
      </c>
    </row>
    <row r="2254">
      <c r="A2254">
        <f>HYPERLINK("https://mathstats.uncg.edu/sites/pauli/congruence/csg9.html#group87A9", "87A⁹")</f>
        <v/>
      </c>
      <c r="B2254" t="n">
        <v>9</v>
      </c>
      <c r="C2254" t="inlineStr">
        <is>
          <t>Γ₀(87)</t>
        </is>
      </c>
      <c r="D2254" t="inlineStr">
        <is>
          <t>120</t>
        </is>
      </c>
      <c r="E2254" t="inlineStr">
        <is>
          <t>1</t>
        </is>
      </c>
      <c r="F2254" t="inlineStr">
        <is>
          <t>120</t>
        </is>
      </c>
      <c r="G2254" t="inlineStr">
        <is>
          <t>0</t>
        </is>
      </c>
      <c r="H2254" t="inlineStr">
        <is>
          <t>0</t>
        </is>
      </c>
      <c r="I2254" t="inlineStr">
        <is>
          <t>1¹, 3¹, 29¹, 87¹</t>
        </is>
      </c>
      <c r="J2254" t="n">
        <v>4</v>
      </c>
      <c r="K2254" t="inlineStr">
        <is>
          <t>1⁴, 2², 28², 56¹</t>
        </is>
      </c>
      <c r="L2254" t="inlineStr">
        <is>
          <t>3B⁰, 29A²</t>
        </is>
      </c>
      <c r="M2254" t="inlineStr">
        <is>
          <t>87A¹⁷, 174A¹⁹, 174B¹⁹</t>
        </is>
      </c>
      <c r="N2254" t="inlineStr">
        <is>
          <t>3B⁰, 1A⁰, 29A²</t>
        </is>
      </c>
      <c r="O2254" t="inlineStr">
        <is>
          <t>87A¹⁷, 174A¹⁹, 174B¹⁹</t>
        </is>
      </c>
    </row>
    <row r="2255">
      <c r="A2255">
        <f>HYPERLINK("https://mathstats.uncg.edu/sites/pauli/congruence/csg9.html#group88A9", "88A⁹")</f>
        <v/>
      </c>
      <c r="B2255" t="n">
        <v>9</v>
      </c>
      <c r="C2255" t="inlineStr"/>
      <c r="D2255" t="inlineStr">
        <is>
          <t>132</t>
        </is>
      </c>
      <c r="E2255" t="inlineStr">
        <is>
          <t>2</t>
        </is>
      </c>
      <c r="F2255" t="inlineStr">
        <is>
          <t>66</t>
        </is>
      </c>
      <c r="G2255" t="inlineStr">
        <is>
          <t>6</t>
        </is>
      </c>
      <c r="H2255" t="inlineStr">
        <is>
          <t>0</t>
        </is>
      </c>
      <c r="I2255" t="inlineStr">
        <is>
          <t>22², 88¹</t>
        </is>
      </c>
      <c r="J2255" t="n">
        <v>3</v>
      </c>
      <c r="K2255" t="inlineStr">
        <is>
          <t>2², 4², 10⁴, 20⁴</t>
        </is>
      </c>
      <c r="L2255" t="inlineStr">
        <is>
          <t>8D⁰, 44C⁴</t>
        </is>
      </c>
      <c r="M2255" t="inlineStr">
        <is>
          <t>88A¹⁸, 176B¹⁹, 88A²⁰, 176C²⁰, 88B²¹</t>
        </is>
      </c>
      <c r="N2255" t="inlineStr">
        <is>
          <t>11A⁰, 1A⁰, 2B⁰, 22B², 44C⁴, 8D⁰, 4C⁰</t>
        </is>
      </c>
      <c r="O2255" t="inlineStr">
        <is>
          <t>176B¹⁹, 88A²⁰, 88A¹⁸, 176C²⁰, 88B²¹</t>
        </is>
      </c>
    </row>
    <row r="2256">
      <c r="A2256">
        <f>HYPERLINK("https://mathstats.uncg.edu/sites/pauli/congruence/csg9.html#group88B9", "88B⁹")</f>
        <v/>
      </c>
      <c r="B2256" t="n">
        <v>9</v>
      </c>
      <c r="C2256" t="inlineStr">
        <is>
          <t>Γ₀(88)</t>
        </is>
      </c>
      <c r="D2256" t="inlineStr">
        <is>
          <t>144</t>
        </is>
      </c>
      <c r="E2256" t="inlineStr">
        <is>
          <t>1</t>
        </is>
      </c>
      <c r="F2256" t="inlineStr">
        <is>
          <t>72</t>
        </is>
      </c>
      <c r="G2256" t="inlineStr">
        <is>
          <t>0</t>
        </is>
      </c>
      <c r="H2256" t="inlineStr">
        <is>
          <t>0</t>
        </is>
      </c>
      <c r="I2256" t="inlineStr">
        <is>
          <t>1², 2¹, 8¹, 11², 22¹, 88¹</t>
        </is>
      </c>
      <c r="J2256" t="n">
        <v>8</v>
      </c>
      <c r="K2256" t="inlineStr">
        <is>
          <t>1⁸, 2², 10⁴, 20¹</t>
        </is>
      </c>
      <c r="L2256" t="inlineStr">
        <is>
          <t>8C⁰, 44D⁴</t>
        </is>
      </c>
      <c r="M2256" t="inlineStr">
        <is>
          <t>88A¹⁷, 88C¹⁹, 88D¹⁹, 88E¹⁹, 88F¹⁹, 176D¹⁹, 176E¹⁹, 176F¹⁹, 176G¹⁹, 176B²¹, 176C²¹</t>
        </is>
      </c>
      <c r="N2256" t="inlineStr">
        <is>
          <t>8C⁰, 2B⁰, 4B⁰, 22C², 1A⁰, 44D⁴, 11A¹</t>
        </is>
      </c>
      <c r="O2256" t="inlineStr">
        <is>
          <t>176C²¹, 176G¹⁹, 88A¹⁷, 88D¹⁹, 88C¹⁹, 176E¹⁹, 176D¹⁹, 176F¹⁹, 88E¹⁹, 176B²¹, 88F¹⁹</t>
        </is>
      </c>
    </row>
    <row r="2257">
      <c r="A2257">
        <f>HYPERLINK("https://mathstats.uncg.edu/sites/pauli/congruence/csg9.html#group90A9", "90A⁹")</f>
        <v/>
      </c>
      <c r="B2257" t="n">
        <v>9</v>
      </c>
      <c r="C2257" t="inlineStr"/>
      <c r="D2257" t="inlineStr">
        <is>
          <t>108</t>
        </is>
      </c>
      <c r="E2257" t="inlineStr">
        <is>
          <t>1</t>
        </is>
      </c>
      <c r="F2257" t="inlineStr">
        <is>
          <t>54</t>
        </is>
      </c>
      <c r="G2257" t="inlineStr">
        <is>
          <t>0</t>
        </is>
      </c>
      <c r="H2257" t="inlineStr">
        <is>
          <t>0</t>
        </is>
      </c>
      <c r="I2257" t="inlineStr">
        <is>
          <t>18¹, 90¹</t>
        </is>
      </c>
      <c r="J2257" t="n">
        <v>2</v>
      </c>
      <c r="K2257" t="inlineStr">
        <is>
          <t>1², 2², 4¹, 6², 8¹, 24¹</t>
        </is>
      </c>
      <c r="L2257" t="inlineStr">
        <is>
          <t>18A², 45A², 30B³</t>
        </is>
      </c>
      <c r="M2257" t="inlineStr">
        <is>
          <t>90B¹⁷, 90D¹⁷, 90E¹⁷, 90H¹⁷, 90K¹⁷</t>
        </is>
      </c>
      <c r="N2257" t="inlineStr">
        <is>
          <t>2A⁰, 45A², 15B⁰, 9A⁰, 5B⁰, 10A¹, 6A¹, 18A², 3A⁰, 1A⁰, 30B³</t>
        </is>
      </c>
      <c r="O2257" t="inlineStr">
        <is>
          <t>90E¹⁷, 90B¹⁷, 90K¹⁷, 90D¹⁷, 90H¹⁷</t>
        </is>
      </c>
    </row>
    <row r="2258">
      <c r="A2258">
        <f>HYPERLINK("https://mathstats.uncg.edu/sites/pauli/congruence/csg9.html#group90B9", "90B⁹")</f>
        <v/>
      </c>
      <c r="B2258" t="n">
        <v>9</v>
      </c>
      <c r="C2258" t="inlineStr"/>
      <c r="D2258" t="inlineStr">
        <is>
          <t>120</t>
        </is>
      </c>
      <c r="E2258" t="inlineStr">
        <is>
          <t>1</t>
        </is>
      </c>
      <c r="F2258" t="inlineStr">
        <is>
          <t>20</t>
        </is>
      </c>
      <c r="G2258" t="inlineStr">
        <is>
          <t>0</t>
        </is>
      </c>
      <c r="H2258" t="inlineStr">
        <is>
          <t>0</t>
        </is>
      </c>
      <c r="I2258" t="inlineStr">
        <is>
          <t>10³, 90¹</t>
        </is>
      </c>
      <c r="J2258" t="n">
        <v>4</v>
      </c>
      <c r="K2258" t="inlineStr">
        <is>
          <t>1², 2¹, 4², 8¹</t>
        </is>
      </c>
      <c r="L2258" t="inlineStr">
        <is>
          <t>18C¹, 30D², 45A⁴</t>
        </is>
      </c>
      <c r="M2258" t="inlineStr">
        <is>
          <t>180A¹⁹</t>
        </is>
      </c>
      <c r="N2258" t="inlineStr">
        <is>
          <t>3B⁰, 2A⁰, 5A⁰, 10A⁰, 18C¹, 30D², 6C⁰, 9B⁰, 15B¹, 45A⁴, 1A⁰</t>
        </is>
      </c>
      <c r="O2258" t="inlineStr">
        <is>
          <t>180A¹⁹</t>
        </is>
      </c>
    </row>
    <row r="2259">
      <c r="A2259">
        <f>HYPERLINK("https://mathstats.uncg.edu/sites/pauli/congruence/csg9.html#group90C9", "90C⁹")</f>
        <v/>
      </c>
      <c r="B2259" t="n">
        <v>9</v>
      </c>
      <c r="C2259" t="inlineStr"/>
      <c r="D2259" t="inlineStr">
        <is>
          <t>120</t>
        </is>
      </c>
      <c r="E2259" t="inlineStr">
        <is>
          <t>2</t>
        </is>
      </c>
      <c r="F2259" t="inlineStr">
        <is>
          <t>40</t>
        </is>
      </c>
      <c r="G2259" t="inlineStr">
        <is>
          <t>0</t>
        </is>
      </c>
      <c r="H2259" t="inlineStr">
        <is>
          <t>3</t>
        </is>
      </c>
      <c r="I2259" t="inlineStr">
        <is>
          <t>30¹, 90¹</t>
        </is>
      </c>
      <c r="J2259" t="n">
        <v>2</v>
      </c>
      <c r="K2259" t="inlineStr">
        <is>
          <t>4⁴, 8⁸</t>
        </is>
      </c>
      <c r="L2259" t="inlineStr">
        <is>
          <t>30D²</t>
        </is>
      </c>
      <c r="M2259" t="inlineStr">
        <is>
          <t>180B¹⁸</t>
        </is>
      </c>
      <c r="N2259" t="inlineStr">
        <is>
          <t>3B⁰, 2A⁰, 5A⁰, 10A⁰, 30D², 6C⁰, 15B¹, 1A⁰</t>
        </is>
      </c>
      <c r="O2259" t="inlineStr">
        <is>
          <t>180B¹⁸</t>
        </is>
      </c>
    </row>
    <row r="2260">
      <c r="A2260">
        <f>HYPERLINK("https://mathstats.uncg.edu/sites/pauli/congruence/csg9.html#group90D9", "90D⁹")</f>
        <v/>
      </c>
      <c r="B2260" t="n">
        <v>9</v>
      </c>
      <c r="C2260" t="inlineStr"/>
      <c r="D2260" t="inlineStr">
        <is>
          <t>144</t>
        </is>
      </c>
      <c r="E2260" t="inlineStr">
        <is>
          <t>1</t>
        </is>
      </c>
      <c r="F2260" t="inlineStr">
        <is>
          <t>24</t>
        </is>
      </c>
      <c r="G2260" t="inlineStr">
        <is>
          <t>0</t>
        </is>
      </c>
      <c r="H2260" t="inlineStr">
        <is>
          <t>0</t>
        </is>
      </c>
      <c r="I2260" t="inlineStr">
        <is>
          <t>2³, 10³, 18¹, 90¹</t>
        </is>
      </c>
      <c r="J2260" t="n">
        <v>8</v>
      </c>
      <c r="K2260" t="inlineStr">
        <is>
          <t>1⁴, 2², 4², 8¹</t>
        </is>
      </c>
      <c r="L2260" t="inlineStr">
        <is>
          <t>30F³, 45D³</t>
        </is>
      </c>
      <c r="M2260" t="inlineStr">
        <is>
          <t>90R¹⁷, 180H²¹</t>
        </is>
      </c>
      <c r="N2260" t="inlineStr">
        <is>
          <t>3B⁰, 15C¹, 30F³, 5B⁰, 9B⁰, 45D³, 1A⁰, 10B⁰</t>
        </is>
      </c>
      <c r="O2260" t="inlineStr">
        <is>
          <t>180H²¹, 90R¹⁷</t>
        </is>
      </c>
    </row>
    <row r="2261">
      <c r="A2261">
        <f>HYPERLINK("https://mathstats.uncg.edu/sites/pauli/congruence/csg9.html#group90E9", "90E⁹")</f>
        <v/>
      </c>
      <c r="B2261" t="n">
        <v>9</v>
      </c>
      <c r="C2261" t="inlineStr"/>
      <c r="D2261" t="inlineStr">
        <is>
          <t>144</t>
        </is>
      </c>
      <c r="E2261" t="inlineStr">
        <is>
          <t>1</t>
        </is>
      </c>
      <c r="F2261" t="inlineStr">
        <is>
          <t>24</t>
        </is>
      </c>
      <c r="G2261" t="inlineStr">
        <is>
          <t>0</t>
        </is>
      </c>
      <c r="H2261" t="inlineStr">
        <is>
          <t>0</t>
        </is>
      </c>
      <c r="I2261" t="inlineStr">
        <is>
          <t>2³, 10³, 18¹, 90¹</t>
        </is>
      </c>
      <c r="J2261" t="n">
        <v>8</v>
      </c>
      <c r="K2261" t="inlineStr">
        <is>
          <t>1⁴, 2², 4², 8¹</t>
        </is>
      </c>
      <c r="L2261" t="inlineStr">
        <is>
          <t>18C¹, 30G³, 45D³</t>
        </is>
      </c>
      <c r="M2261" t="inlineStr">
        <is>
          <t>90R¹⁷, 180C²¹, 180D²¹</t>
        </is>
      </c>
      <c r="N2261" t="inlineStr">
        <is>
          <t>3B⁰, 15C¹, 2A⁰, 18C¹, 6C⁰, 5B⁰, 9B⁰, 45D³, 10A¹, 30G³, 1A⁰</t>
        </is>
      </c>
      <c r="O2261" t="inlineStr">
        <is>
          <t>180D²¹, 90R¹⁷, 180C²¹</t>
        </is>
      </c>
    </row>
    <row r="2262">
      <c r="A2262">
        <f>HYPERLINK("https://mathstats.uncg.edu/sites/pauli/congruence/csg9.html#group90F9", "90F⁹")</f>
        <v/>
      </c>
      <c r="B2262" t="n">
        <v>9</v>
      </c>
      <c r="C2262" t="inlineStr"/>
      <c r="D2262" t="inlineStr">
        <is>
          <t>144</t>
        </is>
      </c>
      <c r="E2262" t="inlineStr">
        <is>
          <t>1</t>
        </is>
      </c>
      <c r="F2262" t="inlineStr">
        <is>
          <t>48</t>
        </is>
      </c>
      <c r="G2262" t="inlineStr">
        <is>
          <t>0</t>
        </is>
      </c>
      <c r="H2262" t="inlineStr">
        <is>
          <t>0</t>
        </is>
      </c>
      <c r="I2262" t="inlineStr">
        <is>
          <t>2³, 10³, 18¹, 90¹</t>
        </is>
      </c>
      <c r="J2262" t="n">
        <v>8</v>
      </c>
      <c r="K2262" t="inlineStr">
        <is>
          <t>2⁸, 8⁴</t>
        </is>
      </c>
      <c r="L2262" t="inlineStr">
        <is>
          <t>18C⁰, 30G³</t>
        </is>
      </c>
      <c r="M2262" t="inlineStr">
        <is>
          <t>90S¹⁷, 180E²¹, 180F²¹</t>
        </is>
      </c>
      <c r="N2262" t="inlineStr">
        <is>
          <t>18C⁰, 3B⁰, 2A⁰, 15C¹, 6C⁰, 5B⁰, 10A¹, 30G³, 1A⁰</t>
        </is>
      </c>
      <c r="O2262" t="inlineStr">
        <is>
          <t>90S¹⁷, 180E²¹, 180F²¹</t>
        </is>
      </c>
    </row>
    <row r="2263">
      <c r="A2263">
        <f>HYPERLINK("https://mathstats.uncg.edu/sites/pauli/congruence/csg9.html#group90G9", "90G⁹")</f>
        <v/>
      </c>
      <c r="B2263" t="n">
        <v>9</v>
      </c>
      <c r="C2263" t="inlineStr"/>
      <c r="D2263" t="inlineStr">
        <is>
          <t>216</t>
        </is>
      </c>
      <c r="E2263" t="inlineStr">
        <is>
          <t>2</t>
        </is>
      </c>
      <c r="F2263" t="inlineStr">
        <is>
          <t>54</t>
        </is>
      </c>
      <c r="G2263" t="inlineStr">
        <is>
          <t>32</t>
        </is>
      </c>
      <c r="H2263" t="inlineStr">
        <is>
          <t>0</t>
        </is>
      </c>
      <c r="I2263" t="inlineStr">
        <is>
          <t>18², 90²</t>
        </is>
      </c>
      <c r="J2263" t="n">
        <v>4</v>
      </c>
      <c r="K2263" t="inlineStr">
        <is>
          <t>2⁶, 6⁴, 8³, 24²</t>
        </is>
      </c>
      <c r="L2263" t="inlineStr">
        <is>
          <t>30D¹, 45C⁴, 90A⁴, 90A⁵</t>
        </is>
      </c>
      <c r="M2263" t="inlineStr">
        <is>
          <t>90N²¹</t>
        </is>
      </c>
      <c r="N2263" t="inlineStr">
        <is>
          <t>30A⁰, 45A², 90A⁴, 6B⁰, 5B⁰, 90A⁵, 1A⁰, 18A⁰, 30D¹, 10B⁰, 15B⁰, 9A⁰, 45C⁴, 15C⁰, 3A⁰, 30C¹</t>
        </is>
      </c>
      <c r="O2263" t="inlineStr">
        <is>
          <t>90N²¹</t>
        </is>
      </c>
    </row>
    <row r="2264">
      <c r="A2264">
        <f>HYPERLINK("https://mathstats.uncg.edu/sites/pauli/congruence/csg9.html#group93A9", "93A⁹")</f>
        <v/>
      </c>
      <c r="B2264" t="n">
        <v>9</v>
      </c>
      <c r="C2264" t="inlineStr">
        <is>
          <t>Γ₀(93)</t>
        </is>
      </c>
      <c r="D2264" t="inlineStr">
        <is>
          <t>128</t>
        </is>
      </c>
      <c r="E2264" t="inlineStr">
        <is>
          <t>1</t>
        </is>
      </c>
      <c r="F2264" t="inlineStr">
        <is>
          <t>128</t>
        </is>
      </c>
      <c r="G2264" t="inlineStr">
        <is>
          <t>0</t>
        </is>
      </c>
      <c r="H2264" t="inlineStr">
        <is>
          <t>2</t>
        </is>
      </c>
      <c r="I2264" t="inlineStr">
        <is>
          <t>1¹, 3¹, 31¹, 93¹</t>
        </is>
      </c>
      <c r="J2264" t="n">
        <v>4</v>
      </c>
      <c r="K2264" t="inlineStr">
        <is>
          <t>1⁴, 2², 30², 60¹</t>
        </is>
      </c>
      <c r="L2264" t="inlineStr">
        <is>
          <t>3B⁰, 31A²</t>
        </is>
      </c>
      <c r="M2264" t="inlineStr">
        <is>
          <t>93A¹⁷, 186A¹⁹, 186B¹⁹</t>
        </is>
      </c>
      <c r="N2264" t="inlineStr">
        <is>
          <t>3B⁰, 31A², 1A⁰</t>
        </is>
      </c>
      <c r="O2264" t="inlineStr">
        <is>
          <t>186B¹⁹, 93A¹⁷, 186A¹⁹</t>
        </is>
      </c>
    </row>
    <row r="2265">
      <c r="A2265">
        <f>HYPERLINK("https://mathstats.uncg.edu/sites/pauli/congruence/csg9.html#group95A9", "95A⁹")</f>
        <v/>
      </c>
      <c r="B2265" t="n">
        <v>9</v>
      </c>
      <c r="C2265" t="inlineStr">
        <is>
          <t>Γ₀(95)</t>
        </is>
      </c>
      <c r="D2265" t="inlineStr">
        <is>
          <t>120</t>
        </is>
      </c>
      <c r="E2265" t="inlineStr">
        <is>
          <t>1</t>
        </is>
      </c>
      <c r="F2265" t="inlineStr">
        <is>
          <t>120</t>
        </is>
      </c>
      <c r="G2265" t="inlineStr">
        <is>
          <t>0</t>
        </is>
      </c>
      <c r="H2265" t="inlineStr">
        <is>
          <t>0</t>
        </is>
      </c>
      <c r="I2265" t="inlineStr">
        <is>
          <t>1¹, 5¹, 19¹, 95¹</t>
        </is>
      </c>
      <c r="J2265" t="n">
        <v>4</v>
      </c>
      <c r="K2265" t="inlineStr">
        <is>
          <t>1⁴, 4², 18², 72¹</t>
        </is>
      </c>
      <c r="L2265" t="inlineStr">
        <is>
          <t>5B⁰, 19A¹</t>
        </is>
      </c>
      <c r="M2265" t="inlineStr">
        <is>
          <t>95A¹⁷, 190A¹⁹, 190B¹⁹</t>
        </is>
      </c>
      <c r="N2265" t="inlineStr">
        <is>
          <t>5B⁰, 19A¹, 1A⁰</t>
        </is>
      </c>
      <c r="O2265" t="inlineStr">
        <is>
          <t>190A¹⁹, 190B¹⁹, 95A¹⁷</t>
        </is>
      </c>
    </row>
    <row r="2266">
      <c r="A2266">
        <f>HYPERLINK("https://mathstats.uncg.edu/sites/pauli/congruence/csg9.html#group96A9", "96A⁹")</f>
        <v/>
      </c>
      <c r="B2266" t="n">
        <v>9</v>
      </c>
      <c r="C2266" t="inlineStr"/>
      <c r="D2266" t="inlineStr">
        <is>
          <t>144</t>
        </is>
      </c>
      <c r="E2266" t="inlineStr">
        <is>
          <t>1</t>
        </is>
      </c>
      <c r="F2266" t="inlineStr">
        <is>
          <t>12</t>
        </is>
      </c>
      <c r="G2266" t="inlineStr">
        <is>
          <t>0</t>
        </is>
      </c>
      <c r="H2266" t="inlineStr">
        <is>
          <t>0</t>
        </is>
      </c>
      <c r="I2266" t="inlineStr">
        <is>
          <t>3⁴, 6², 24¹, 96¹</t>
        </is>
      </c>
      <c r="J2266" t="n">
        <v>8</v>
      </c>
      <c r="K2266" t="inlineStr">
        <is>
          <t>1⁴, 2², 4¹</t>
        </is>
      </c>
      <c r="L2266" t="inlineStr">
        <is>
          <t>32A¹, 48B⁴</t>
        </is>
      </c>
      <c r="M2266" t="inlineStr">
        <is>
          <t>96A¹⁷, 96J¹⁷, 96M¹⁷, 96A¹⁹, 96C¹⁹, 96Q¹⁹, 96S¹⁹, 192B¹⁹, 192A¹⁹, 192C¹⁹, 192D¹⁹, 192A²¹, 192B²¹, 192C²¹, 192D²¹</t>
        </is>
      </c>
      <c r="N2266" t="inlineStr">
        <is>
          <t>24B², 3A⁰, 32A¹, 16C⁰, 8C⁰, 12B¹, 2B⁰, 4B⁰, 1A⁰, 6D⁰, 48B⁴</t>
        </is>
      </c>
      <c r="O2266" t="inlineStr">
        <is>
          <t>96C¹⁹, 192A¹⁹, 192C²¹, 96Q¹⁹, 192D¹⁹, 192B¹⁹, 192C¹⁹, 192D²¹, 96M¹⁷, 192B²¹, 96A¹⁹, 192A²¹, 96J¹⁷, 96S¹⁹, 96A¹⁷</t>
        </is>
      </c>
    </row>
    <row r="2267">
      <c r="A2267">
        <f>HYPERLINK("https://mathstats.uncg.edu/sites/pauli/congruence/csg9.html#group96B9", "96B⁹")</f>
        <v/>
      </c>
      <c r="B2267" t="n">
        <v>9</v>
      </c>
      <c r="C2267" t="inlineStr"/>
      <c r="D2267" t="inlineStr">
        <is>
          <t>144</t>
        </is>
      </c>
      <c r="E2267" t="inlineStr">
        <is>
          <t>1</t>
        </is>
      </c>
      <c r="F2267" t="inlineStr">
        <is>
          <t>12</t>
        </is>
      </c>
      <c r="G2267" t="inlineStr">
        <is>
          <t>12</t>
        </is>
      </c>
      <c r="H2267" t="inlineStr">
        <is>
          <t>0</t>
        </is>
      </c>
      <c r="I2267" t="inlineStr">
        <is>
          <t>48¹, 96¹</t>
        </is>
      </c>
      <c r="J2267" t="n">
        <v>2</v>
      </c>
      <c r="K2267" t="inlineStr">
        <is>
          <t>2⁶</t>
        </is>
      </c>
      <c r="L2267" t="inlineStr">
        <is>
          <t>48A⁰, 32D³</t>
        </is>
      </c>
      <c r="M2267" t="inlineStr">
        <is>
          <t>96D¹⁷, 96AB¹⁷, 96U¹⁹, 96V¹⁹, 96AY¹⁹, 96Z²¹, 96AA²¹, 96AT²¹, 96A²³, 96G²³, 96H²³</t>
        </is>
      </c>
      <c r="N2267" t="inlineStr">
        <is>
          <t>12C⁰, 4C⁰, 8B⁰, 48A⁰, 2B⁰, 1A⁰, 16B⁰, 24A⁰, 32D³, 3A⁰, 6D⁰</t>
        </is>
      </c>
      <c r="O2267" t="inlineStr">
        <is>
          <t>96U¹⁹, 96AA²¹, 96AY¹⁹, 96AT²¹, 96H²³, 96Z²¹, 96G²³, 96V¹⁹, 96D¹⁷, 96A²³, 96AB¹⁷</t>
        </is>
      </c>
    </row>
    <row r="2268">
      <c r="A2268">
        <f>HYPERLINK("https://mathstats.uncg.edu/sites/pauli/congruence/csg9.html#group96C9", "96C⁹")</f>
        <v/>
      </c>
      <c r="B2268" t="n">
        <v>9</v>
      </c>
      <c r="C2268" t="inlineStr"/>
      <c r="D2268" t="inlineStr">
        <is>
          <t>144</t>
        </is>
      </c>
      <c r="E2268" t="inlineStr">
        <is>
          <t>1</t>
        </is>
      </c>
      <c r="F2268" t="inlineStr">
        <is>
          <t>24</t>
        </is>
      </c>
      <c r="G2268" t="inlineStr">
        <is>
          <t>12</t>
        </is>
      </c>
      <c r="H2268" t="inlineStr">
        <is>
          <t>0</t>
        </is>
      </c>
      <c r="I2268" t="inlineStr">
        <is>
          <t>48¹, 96¹</t>
        </is>
      </c>
      <c r="J2268" t="n">
        <v>2</v>
      </c>
      <c r="K2268" t="inlineStr">
        <is>
          <t>2⁸, 8¹</t>
        </is>
      </c>
      <c r="L2268" t="inlineStr">
        <is>
          <t>32E³, 48E³</t>
        </is>
      </c>
      <c r="M2268" t="inlineStr">
        <is>
          <t>96G¹⁷, 96AO¹⁹, 96AK¹⁹, 96G²⁰, 96I²⁰, 96R²⁰, 96V²⁰, 96AM²¹, 96AI²¹, 192E²¹, 192F²¹, 192I²¹, 192J²¹, 96B²³, 96M²³</t>
        </is>
      </c>
      <c r="N2268" t="inlineStr">
        <is>
          <t>16D¹, 12C⁰, 48E³, 24A⁰, 4C⁰, 8B⁰, 32E³, 2B⁰, 3A⁰, 1A⁰, 6D⁰</t>
        </is>
      </c>
      <c r="O2268" t="inlineStr">
        <is>
          <t>192J²¹, 96R²⁰, 96I²⁰, 96G²⁰, 192I²¹, 96AM²¹, 96AI²¹, 96M²³, 192F²¹, 96AK¹⁹, 96V²⁰, 96B²³, 96G¹⁷, 192E²¹, 96AO¹⁹</t>
        </is>
      </c>
    </row>
    <row r="2269">
      <c r="A2269">
        <f>HYPERLINK("https://mathstats.uncg.edu/sites/pauli/congruence/csg9.html#group96D9", "96D⁹")</f>
        <v/>
      </c>
      <c r="B2269" t="n">
        <v>9</v>
      </c>
      <c r="C2269" t="inlineStr"/>
      <c r="D2269" t="inlineStr">
        <is>
          <t>144</t>
        </is>
      </c>
      <c r="E2269" t="inlineStr">
        <is>
          <t>1</t>
        </is>
      </c>
      <c r="F2269" t="inlineStr">
        <is>
          <t>24</t>
        </is>
      </c>
      <c r="G2269" t="inlineStr">
        <is>
          <t>12</t>
        </is>
      </c>
      <c r="H2269" t="inlineStr">
        <is>
          <t>0</t>
        </is>
      </c>
      <c r="I2269" t="inlineStr">
        <is>
          <t>48¹, 96¹</t>
        </is>
      </c>
      <c r="J2269" t="n">
        <v>2</v>
      </c>
      <c r="K2269" t="inlineStr">
        <is>
          <t>2⁸, 8¹</t>
        </is>
      </c>
      <c r="L2269" t="inlineStr">
        <is>
          <t>32F³, 48E³</t>
        </is>
      </c>
      <c r="M2269" t="inlineStr">
        <is>
          <t>96G¹⁷, 96AP¹⁹, 96AL¹⁹, 96H²⁰, 96J²⁰, 96S²⁰, 96W²⁰, 96AN²¹, 96AJ²¹, 96D²³, 96M²³</t>
        </is>
      </c>
      <c r="N2269" t="inlineStr">
        <is>
          <t>16D¹, 12C⁰, 48E³, 24A⁰, 4C⁰, 8B⁰, 2B⁰, 32F³, 3A⁰, 1A⁰, 6D⁰</t>
        </is>
      </c>
      <c r="O2269" t="inlineStr">
        <is>
          <t>96H²⁰, 96AL¹⁹, 96M²³, 96D²³, 96AN²¹, 96S²⁰, 96AP¹⁹, 96W²⁰, 96G¹⁷, 96AJ²¹, 96J²⁰</t>
        </is>
      </c>
    </row>
    <row r="2270">
      <c r="A2270">
        <f>HYPERLINK("https://mathstats.uncg.edu/sites/pauli/congruence/csg9.html#group96E9", "96E⁹")</f>
        <v/>
      </c>
      <c r="B2270" t="n">
        <v>9</v>
      </c>
      <c r="C2270" t="inlineStr"/>
      <c r="D2270" t="inlineStr">
        <is>
          <t>144</t>
        </is>
      </c>
      <c r="E2270" t="inlineStr">
        <is>
          <t>1</t>
        </is>
      </c>
      <c r="F2270" t="inlineStr">
        <is>
          <t>24</t>
        </is>
      </c>
      <c r="G2270" t="inlineStr">
        <is>
          <t>12</t>
        </is>
      </c>
      <c r="H2270" t="inlineStr">
        <is>
          <t>0</t>
        </is>
      </c>
      <c r="I2270" t="inlineStr">
        <is>
          <t>48¹, 96¹</t>
        </is>
      </c>
      <c r="J2270" t="n">
        <v>2</v>
      </c>
      <c r="K2270" t="inlineStr">
        <is>
          <t>2⁸, 8¹</t>
        </is>
      </c>
      <c r="L2270" t="inlineStr">
        <is>
          <t>32G³, 48E³</t>
        </is>
      </c>
      <c r="M2270" t="inlineStr">
        <is>
          <t>96H¹⁷, 96AQ¹⁹, 96AM¹⁹, 96G²⁰, 96J²⁰, 96T²⁰, 96X²⁰, 96AO²¹, 96AK²¹, 192H²¹, 192G²¹, 192K²¹, 192L²¹, 96C²³, 96N²³</t>
        </is>
      </c>
      <c r="N2270" t="inlineStr">
        <is>
          <t>16D¹, 12C⁰, 48E³, 24A⁰, 4C⁰, 8B⁰, 2B⁰, 32G³, 3A⁰, 1A⁰, 6D⁰</t>
        </is>
      </c>
      <c r="O2270" t="inlineStr">
        <is>
          <t>96N²³, 96AQ¹⁹, 192K²¹, 96T²⁰, 96G²⁰, 96AK²¹, 96H¹⁷, 96AM¹⁹, 192H²¹, 192G²¹, 192L²¹, 96C²³, 96AO²¹, 96J²⁰, 96X²⁰</t>
        </is>
      </c>
    </row>
    <row r="2271">
      <c r="A2271">
        <f>HYPERLINK("https://mathstats.uncg.edu/sites/pauli/congruence/csg9.html#group96F9", "96F⁹")</f>
        <v/>
      </c>
      <c r="B2271" t="n">
        <v>9</v>
      </c>
      <c r="C2271" t="inlineStr"/>
      <c r="D2271" t="inlineStr">
        <is>
          <t>144</t>
        </is>
      </c>
      <c r="E2271" t="inlineStr">
        <is>
          <t>1</t>
        </is>
      </c>
      <c r="F2271" t="inlineStr">
        <is>
          <t>24</t>
        </is>
      </c>
      <c r="G2271" t="inlineStr">
        <is>
          <t>12</t>
        </is>
      </c>
      <c r="H2271" t="inlineStr">
        <is>
          <t>0</t>
        </is>
      </c>
      <c r="I2271" t="inlineStr">
        <is>
          <t>48¹, 96¹</t>
        </is>
      </c>
      <c r="J2271" t="n">
        <v>2</v>
      </c>
      <c r="K2271" t="inlineStr">
        <is>
          <t>2⁸, 8¹</t>
        </is>
      </c>
      <c r="L2271" t="inlineStr">
        <is>
          <t>32H³, 48E³</t>
        </is>
      </c>
      <c r="M2271" t="inlineStr">
        <is>
          <t>96H¹⁷, 96AR¹⁹, 96AN¹⁹, 96H²⁰, 96I²⁰, 96U²⁰, 96Y²⁰, 96AP²¹, 96AL²¹, 96E²³, 96N²³</t>
        </is>
      </c>
      <c r="N2271" t="inlineStr">
        <is>
          <t>16D¹, 12C⁰, 48E³, 24A⁰, 6D⁰, 4C⁰, 8B⁰, 2B⁰, 3A⁰, 1A⁰, 32H³</t>
        </is>
      </c>
      <c r="O2271" t="inlineStr">
        <is>
          <t>96AL²¹, 96N²³, 96H²⁰, 96I²⁰, 96U²⁰, 96AP²¹, 96H¹⁷, 96E²³, 96Y²⁰, 96AN¹⁹, 96AR¹⁹</t>
        </is>
      </c>
    </row>
    <row r="2272">
      <c r="A2272">
        <f>HYPERLINK("https://mathstats.uncg.edu/sites/pauli/congruence/csg9.html#group96G9", "96G⁹")</f>
        <v/>
      </c>
      <c r="B2272" t="n">
        <v>9</v>
      </c>
      <c r="C2272" t="inlineStr"/>
      <c r="D2272" t="inlineStr">
        <is>
          <t>144</t>
        </is>
      </c>
      <c r="E2272" t="inlineStr">
        <is>
          <t>1</t>
        </is>
      </c>
      <c r="F2272" t="inlineStr">
        <is>
          <t>36</t>
        </is>
      </c>
      <c r="G2272" t="inlineStr">
        <is>
          <t>0</t>
        </is>
      </c>
      <c r="H2272" t="inlineStr">
        <is>
          <t>0</t>
        </is>
      </c>
      <c r="I2272" t="inlineStr">
        <is>
          <t>3⁴, 6², 24¹, 96¹</t>
        </is>
      </c>
      <c r="J2272" t="n">
        <v>8</v>
      </c>
      <c r="K2272" t="inlineStr">
        <is>
          <t>1⁴, 2⁶, 4³, 8¹</t>
        </is>
      </c>
      <c r="L2272" t="inlineStr">
        <is>
          <t>48B⁴</t>
        </is>
      </c>
      <c r="M2272" t="inlineStr">
        <is>
          <t>96I¹⁷, 96J¹⁷, 96K¹⁷, 96L¹⁷, 96AC¹⁷, 96E¹⁹, 96O¹⁹, 96P¹⁹, 96R¹⁹, 96S¹⁹, 96AX¹⁹</t>
        </is>
      </c>
      <c r="N2272" t="inlineStr">
        <is>
          <t>24B², 3A⁰, 16C⁰, 8C⁰, 12B¹, 2B⁰, 4B⁰, 1A⁰, 6D⁰, 48B⁴</t>
        </is>
      </c>
      <c r="O2272" t="inlineStr">
        <is>
          <t>96I¹⁷, 96O¹⁹, 96L¹⁷, 96AX¹⁹, 96E¹⁹, 96K¹⁷, 96P¹⁹, 96AC¹⁷, 96J¹⁷, 96S¹⁹, 96R¹⁹</t>
        </is>
      </c>
    </row>
    <row r="2273">
      <c r="A2273">
        <f>HYPERLINK("https://mathstats.uncg.edu/sites/pauli/congruence/csg9.html#group96H9", "96H⁹")</f>
        <v/>
      </c>
      <c r="B2273" t="n">
        <v>9</v>
      </c>
      <c r="C2273" t="inlineStr"/>
      <c r="D2273" t="inlineStr">
        <is>
          <t>144</t>
        </is>
      </c>
      <c r="E2273" t="inlineStr">
        <is>
          <t>1</t>
        </is>
      </c>
      <c r="F2273" t="inlineStr">
        <is>
          <t>72</t>
        </is>
      </c>
      <c r="G2273" t="inlineStr">
        <is>
          <t>12</t>
        </is>
      </c>
      <c r="H2273" t="inlineStr">
        <is>
          <t>0</t>
        </is>
      </c>
      <c r="I2273" t="inlineStr">
        <is>
          <t>48¹, 96¹</t>
        </is>
      </c>
      <c r="J2273" t="n">
        <v>2</v>
      </c>
      <c r="K2273" t="inlineStr">
        <is>
          <t>2⁸, 4⁸, 8¹, 16¹</t>
        </is>
      </c>
      <c r="L2273" t="inlineStr">
        <is>
          <t>48E³</t>
        </is>
      </c>
      <c r="M2273" t="inlineStr">
        <is>
          <t>96Z¹⁷, 96AE¹⁹, 96AO¹⁹, 96AL¹⁹, 96BA¹⁹, 96N²⁰, 96P²⁰, 96U²⁰, 96X²⁰, 96Z²⁰, 96AA²⁰, 96AD²⁰, 96AE²⁰, 96AE²¹, 96AN²¹, 96AI²¹, 96AX²¹, 96K²³, 96U²³</t>
        </is>
      </c>
      <c r="N2273" t="inlineStr">
        <is>
          <t>16D¹, 12C⁰, 48E³, 24A⁰, 4C⁰, 8B⁰, 2B⁰, 3A⁰, 1A⁰, 6D⁰</t>
        </is>
      </c>
      <c r="O2273" t="inlineStr">
        <is>
          <t>96AE¹⁹, 96N²⁰, 96AI²¹, 96AD²⁰, 96AN²¹, 96K²³, 96Z²⁰, 96P²⁰, 96Z¹⁷, 96X²⁰, 96AE²¹, 96AX²¹, 96BA¹⁹, 96U²⁰, 96AL¹⁹, 96AA²⁰, 96AE²⁰, 96U²³, 96AO¹⁹</t>
        </is>
      </c>
    </row>
    <row r="2274">
      <c r="A2274">
        <f>HYPERLINK("https://mathstats.uncg.edu/sites/pauli/congruence/csg9.html#group96I9", "96I⁹")</f>
        <v/>
      </c>
      <c r="B2274" t="n">
        <v>9</v>
      </c>
      <c r="C2274" t="inlineStr"/>
      <c r="D2274" t="inlineStr">
        <is>
          <t>144</t>
        </is>
      </c>
      <c r="E2274" t="inlineStr">
        <is>
          <t>1</t>
        </is>
      </c>
      <c r="F2274" t="inlineStr">
        <is>
          <t>72</t>
        </is>
      </c>
      <c r="G2274" t="inlineStr">
        <is>
          <t>12</t>
        </is>
      </c>
      <c r="H2274" t="inlineStr">
        <is>
          <t>0</t>
        </is>
      </c>
      <c r="I2274" t="inlineStr">
        <is>
          <t>48¹, 96¹</t>
        </is>
      </c>
      <c r="J2274" t="n">
        <v>2</v>
      </c>
      <c r="K2274" t="inlineStr">
        <is>
          <t>2⁸, 4⁸, 8¹, 16¹</t>
        </is>
      </c>
      <c r="L2274" t="inlineStr">
        <is>
          <t>48E³</t>
        </is>
      </c>
      <c r="M2274" t="inlineStr">
        <is>
          <t>96Z¹⁷, 96AF¹⁹, 96AP¹⁹, 96AK¹⁹, 96BA¹⁹, 96O²⁰, 96Q²⁰, 96T²⁰, 96Y²⁰, 96AB²⁰, 96AC²⁰, 96AF²⁰, 96AG²⁰, 96AF²¹, 96AM²¹, 96AJ²¹, 96AX²¹, 96I²³, 96U²³</t>
        </is>
      </c>
      <c r="N2274" t="inlineStr">
        <is>
          <t>16D¹, 12C⁰, 48E³, 24A⁰, 4C⁰, 8B⁰, 2B⁰, 3A⁰, 1A⁰, 6D⁰</t>
        </is>
      </c>
      <c r="O2274" t="inlineStr">
        <is>
          <t>96I²³, 96Q²⁰, 96AG²⁰, 96AF²¹, 96AP¹⁹, 96Y²⁰, 96AC²⁰, 96AJ²¹, 96AM²¹, 96Z¹⁷, 96AX²¹, 96BA¹⁹, 96AB²⁰, 96AK¹⁹, 96AF¹⁹, 96U²³, 96O²⁰, 96T²⁰, 96AF²⁰</t>
        </is>
      </c>
    </row>
    <row r="2275">
      <c r="A2275">
        <f>HYPERLINK("https://mathstats.uncg.edu/sites/pauli/congruence/csg9.html#group96J9", "96J⁹")</f>
        <v/>
      </c>
      <c r="B2275" t="n">
        <v>9</v>
      </c>
      <c r="C2275" t="inlineStr"/>
      <c r="D2275" t="inlineStr">
        <is>
          <t>144</t>
        </is>
      </c>
      <c r="E2275" t="inlineStr">
        <is>
          <t>1</t>
        </is>
      </c>
      <c r="F2275" t="inlineStr">
        <is>
          <t>72</t>
        </is>
      </c>
      <c r="G2275" t="inlineStr">
        <is>
          <t>12</t>
        </is>
      </c>
      <c r="H2275" t="inlineStr">
        <is>
          <t>0</t>
        </is>
      </c>
      <c r="I2275" t="inlineStr">
        <is>
          <t>48¹, 96¹</t>
        </is>
      </c>
      <c r="J2275" t="n">
        <v>2</v>
      </c>
      <c r="K2275" t="inlineStr">
        <is>
          <t>2⁸, 4⁸, 8¹, 16¹</t>
        </is>
      </c>
      <c r="L2275" t="inlineStr">
        <is>
          <t>48E³</t>
        </is>
      </c>
      <c r="M2275" t="inlineStr">
        <is>
          <t>96AA¹⁷, 96AG¹⁹, 96AR¹⁹, 96AM¹⁹, 96BB¹⁹, 96O²⁰, 96P²⁰, 96R²⁰, 96W²⁰, 96AB²⁰, 96AC²⁰, 96AD²⁰, 96AE²⁰, 96AG²¹, 96AO²¹, 96AL²¹, 96AY²¹, 96J²³, 96V²³</t>
        </is>
      </c>
      <c r="N2275" t="inlineStr">
        <is>
          <t>16D¹, 12C⁰, 48E³, 24A⁰, 4C⁰, 8B⁰, 2B⁰, 3A⁰, 1A⁰, 6D⁰</t>
        </is>
      </c>
      <c r="O2275" t="inlineStr">
        <is>
          <t>96J²³, 96AA¹⁷, 96AM¹⁹, 96AG²¹, 96AD²⁰, 96W²⁰, 96P²⁰, 96AC²⁰, 96AO²¹, 96AL²¹, 96BB¹⁹, 96R²⁰, 96AG¹⁹, 96AY²¹, 96AB²⁰, 96AE²⁰, 96V²³, 96O²⁰, 96AR¹⁹</t>
        </is>
      </c>
    </row>
    <row r="2276">
      <c r="A2276">
        <f>HYPERLINK("https://mathstats.uncg.edu/sites/pauli/congruence/csg9.html#group96K9", "96K⁹")</f>
        <v/>
      </c>
      <c r="B2276" t="n">
        <v>9</v>
      </c>
      <c r="C2276" t="inlineStr"/>
      <c r="D2276" t="inlineStr">
        <is>
          <t>144</t>
        </is>
      </c>
      <c r="E2276" t="inlineStr">
        <is>
          <t>1</t>
        </is>
      </c>
      <c r="F2276" t="inlineStr">
        <is>
          <t>72</t>
        </is>
      </c>
      <c r="G2276" t="inlineStr">
        <is>
          <t>12</t>
        </is>
      </c>
      <c r="H2276" t="inlineStr">
        <is>
          <t>0</t>
        </is>
      </c>
      <c r="I2276" t="inlineStr">
        <is>
          <t>48¹, 96¹</t>
        </is>
      </c>
      <c r="J2276" t="n">
        <v>2</v>
      </c>
      <c r="K2276" t="inlineStr">
        <is>
          <t>2⁸, 4⁸, 8¹, 16¹</t>
        </is>
      </c>
      <c r="L2276" t="inlineStr">
        <is>
          <t>48E³</t>
        </is>
      </c>
      <c r="M2276" t="inlineStr">
        <is>
          <t>96AA¹⁷, 96AH¹⁹, 96AQ¹⁹, 96AN¹⁹, 96BB¹⁹, 96N²⁰, 96Q²⁰, 96S²⁰, 96V²⁰, 96Z²⁰, 96AA²⁰, 96AF²⁰, 96AG²⁰, 96AH²¹, 96AP²¹, 96AK²¹, 96AY²¹, 96L²³, 96V²³</t>
        </is>
      </c>
      <c r="N2276" t="inlineStr">
        <is>
          <t>16D¹, 12C⁰, 48E³, 24A⁰, 4C⁰, 8B⁰, 2B⁰, 3A⁰, 1A⁰, 6D⁰</t>
        </is>
      </c>
      <c r="O2276" t="inlineStr">
        <is>
          <t>96AH¹⁹, 96Q²⁰, 96AH²¹, 96N²⁰, 96AA¹⁷, 96AG²⁰, 96Z²⁰, 96AN¹⁹, 96BB¹⁹, 96AQ¹⁹, 96AY²¹, 96AA²⁰, 96AK²¹, 96AP²¹, 96S²⁰, 96V²³, 96V²⁰, 96L²³, 96AF²⁰</t>
        </is>
      </c>
    </row>
    <row r="2277">
      <c r="A2277">
        <f>HYPERLINK("https://mathstats.uncg.edu/sites/pauli/congruence/csg9.html#group96L9", "96L⁹")</f>
        <v/>
      </c>
      <c r="B2277" t="n">
        <v>9</v>
      </c>
      <c r="C2277" t="inlineStr"/>
      <c r="D2277" t="inlineStr">
        <is>
          <t>192</t>
        </is>
      </c>
      <c r="E2277" t="inlineStr">
        <is>
          <t>1</t>
        </is>
      </c>
      <c r="F2277" t="inlineStr">
        <is>
          <t>48</t>
        </is>
      </c>
      <c r="G2277" t="inlineStr">
        <is>
          <t>0</t>
        </is>
      </c>
      <c r="H2277" t="inlineStr">
        <is>
          <t>0</t>
        </is>
      </c>
      <c r="I2277" t="inlineStr">
        <is>
          <t>1⁴, 2², 3⁴, 6², 8¹, 24¹, 32¹, 96¹</t>
        </is>
      </c>
      <c r="J2277" t="n">
        <v>16</v>
      </c>
      <c r="K2277" t="inlineStr">
        <is>
          <t>1⁸, 2⁸, 4⁴, 8¹</t>
        </is>
      </c>
      <c r="L2277" t="inlineStr">
        <is>
          <t>48J³</t>
        </is>
      </c>
      <c r="M2277" t="inlineStr">
        <is>
          <t>96AH¹⁷, 96AJ¹⁷, 96AK¹⁷, 96AZ²¹, 96BG²¹, 96BI²¹, 96BJ²¹</t>
        </is>
      </c>
      <c r="N2277" t="inlineStr">
        <is>
          <t>3B⁰, 48J³, 16C⁰, 24G¹, 1A⁰, 8C⁰, 2B⁰, 4B⁰, 6F⁰, 12E⁰</t>
        </is>
      </c>
      <c r="O2277" t="inlineStr">
        <is>
          <t>96AK¹⁷, 96AH¹⁷, 96AJ¹⁷, 96BG²¹, 96BJ²¹, 96BI²¹, 96AZ²¹</t>
        </is>
      </c>
    </row>
    <row r="2278">
      <c r="A2278">
        <f>HYPERLINK("https://mathstats.uncg.edu/sites/pauli/congruence/csg9.html#group96M9", "96M⁹")</f>
        <v/>
      </c>
      <c r="B2278" t="n">
        <v>9</v>
      </c>
      <c r="C2278" t="inlineStr">
        <is>
          <t>Γ₀(96)</t>
        </is>
      </c>
      <c r="D2278" t="inlineStr">
        <is>
          <t>192</t>
        </is>
      </c>
      <c r="E2278" t="inlineStr">
        <is>
          <t>1</t>
        </is>
      </c>
      <c r="F2278" t="inlineStr">
        <is>
          <t>48</t>
        </is>
      </c>
      <c r="G2278" t="inlineStr">
        <is>
          <t>0</t>
        </is>
      </c>
      <c r="H2278" t="inlineStr">
        <is>
          <t>0</t>
        </is>
      </c>
      <c r="I2278" t="inlineStr">
        <is>
          <t>1⁴, 2², 3⁴, 6², 8¹, 24¹, 32¹, 96¹</t>
        </is>
      </c>
      <c r="J2278" t="n">
        <v>16</v>
      </c>
      <c r="K2278" t="inlineStr">
        <is>
          <t>1⁸, 2⁸, 4⁴, 8¹</t>
        </is>
      </c>
      <c r="L2278" t="inlineStr">
        <is>
          <t>32A¹, 48J³</t>
        </is>
      </c>
      <c r="M2278" t="inlineStr">
        <is>
          <t>96AH¹⁷, 96AI¹⁷, 96AL¹⁷, 96BA²¹, 96BH²¹, 96BJ²¹, 96BK²¹, 192M²¹, 192N²¹, 192P²¹, 192O²¹</t>
        </is>
      </c>
      <c r="N2278" t="inlineStr">
        <is>
          <t>3B⁰, 32A¹, 48J³, 16C⁰, 24G¹, 1A⁰, 8C⁰, 2B⁰, 4B⁰, 6F⁰, 12E⁰</t>
        </is>
      </c>
      <c r="O2278" t="inlineStr">
        <is>
          <t>192P²¹, 96AI¹⁷, 96BK²¹, 96BH²¹, 96BA²¹, 96BJ²¹, 192N²¹, 192O²¹, 192M²¹, 96AL¹⁷, 96AH¹⁷</t>
        </is>
      </c>
    </row>
    <row r="2279">
      <c r="A2279">
        <f>HYPERLINK("https://mathstats.uncg.edu/sites/pauli/congruence/csg9.html#group99A9", "99A⁹")</f>
        <v/>
      </c>
      <c r="B2279" t="n">
        <v>9</v>
      </c>
      <c r="C2279" t="inlineStr"/>
      <c r="D2279" t="inlineStr">
        <is>
          <t>108</t>
        </is>
      </c>
      <c r="E2279" t="inlineStr">
        <is>
          <t>1</t>
        </is>
      </c>
      <c r="F2279" t="inlineStr">
        <is>
          <t>108</t>
        </is>
      </c>
      <c r="G2279" t="inlineStr">
        <is>
          <t>0</t>
        </is>
      </c>
      <c r="H2279" t="inlineStr">
        <is>
          <t>0</t>
        </is>
      </c>
      <c r="I2279" t="inlineStr">
        <is>
          <t>9¹, 99¹</t>
        </is>
      </c>
      <c r="J2279" t="n">
        <v>2</v>
      </c>
      <c r="K2279" t="inlineStr">
        <is>
          <t>1², 2², 6², 10¹, 20¹, 60¹</t>
        </is>
      </c>
      <c r="L2279" t="inlineStr">
        <is>
          <t>9A⁰, 33A³</t>
        </is>
      </c>
      <c r="M2279" t="inlineStr">
        <is>
          <t>99A¹⁷, 99B¹⁷, 198A¹⁸, 198B¹⁸, 198D¹⁸</t>
        </is>
      </c>
      <c r="N2279" t="inlineStr">
        <is>
          <t>3A⁰, 33A³, 1A⁰, 11A¹, 9A⁰</t>
        </is>
      </c>
      <c r="O2279" t="inlineStr">
        <is>
          <t>198A¹⁸, 99A¹⁷, 99B¹⁷, 198B¹⁸, 198D¹⁸</t>
        </is>
      </c>
    </row>
    <row r="2280">
      <c r="A2280">
        <f>HYPERLINK("https://mathstats.uncg.edu/sites/pauli/congruence/csg9.html#group99B9", "99B⁹")</f>
        <v/>
      </c>
      <c r="B2280" t="n">
        <v>9</v>
      </c>
      <c r="C2280" t="inlineStr"/>
      <c r="D2280" t="inlineStr">
        <is>
          <t>132</t>
        </is>
      </c>
      <c r="E2280" t="inlineStr">
        <is>
          <t>2</t>
        </is>
      </c>
      <c r="F2280" t="inlineStr">
        <is>
          <t>44</t>
        </is>
      </c>
      <c r="G2280" t="inlineStr">
        <is>
          <t>0</t>
        </is>
      </c>
      <c r="H2280" t="inlineStr">
        <is>
          <t>6</t>
        </is>
      </c>
      <c r="I2280" t="inlineStr">
        <is>
          <t>33¹, 99¹</t>
        </is>
      </c>
      <c r="J2280" t="n">
        <v>2</v>
      </c>
      <c r="K2280" t="inlineStr">
        <is>
          <t>2², 4¹, 10⁴, 20²</t>
        </is>
      </c>
      <c r="L2280" t="inlineStr">
        <is>
          <t>9C⁰, 33B³</t>
        </is>
      </c>
      <c r="M2280" t="inlineStr">
        <is>
          <t>198E¹⁸</t>
        </is>
      </c>
      <c r="N2280" t="inlineStr">
        <is>
          <t>11A⁰, 3B⁰, 1A⁰, 9C⁰, 33B³</t>
        </is>
      </c>
      <c r="O2280" t="inlineStr">
        <is>
          <t>198E¹⁸</t>
        </is>
      </c>
    </row>
    <row r="2281">
      <c r="A2281">
        <f>HYPERLINK("https://mathstats.uncg.edu/sites/pauli/congruence/csg9.html#group99C9", "99C⁹")</f>
        <v/>
      </c>
      <c r="B2281" t="n">
        <v>9</v>
      </c>
      <c r="C2281" t="inlineStr">
        <is>
          <t>Γ₀(99)</t>
        </is>
      </c>
      <c r="D2281" t="inlineStr">
        <is>
          <t>144</t>
        </is>
      </c>
      <c r="E2281" t="inlineStr">
        <is>
          <t>1</t>
        </is>
      </c>
      <c r="F2281" t="inlineStr">
        <is>
          <t>48</t>
        </is>
      </c>
      <c r="G2281" t="inlineStr">
        <is>
          <t>0</t>
        </is>
      </c>
      <c r="H2281" t="inlineStr">
        <is>
          <t>0</t>
        </is>
      </c>
      <c r="I2281" t="inlineStr">
        <is>
          <t>1³, 9¹, 11³, 99¹</t>
        </is>
      </c>
      <c r="J2281" t="n">
        <v>8</v>
      </c>
      <c r="K2281" t="inlineStr">
        <is>
          <t>1⁴, 2², 10², 20¹</t>
        </is>
      </c>
      <c r="L2281" t="inlineStr">
        <is>
          <t>9B⁰, 33C³</t>
        </is>
      </c>
      <c r="M2281" t="inlineStr">
        <is>
          <t>99C¹⁷, 198B²¹, 198C²¹</t>
        </is>
      </c>
      <c r="N2281" t="inlineStr">
        <is>
          <t>3B⁰, 9B⁰, 1A⁰, 11A¹, 33C³</t>
        </is>
      </c>
      <c r="O2281" t="inlineStr">
        <is>
          <t>198C²¹, 99C¹⁷, 198B²¹</t>
        </is>
      </c>
    </row>
    <row r="2282">
      <c r="A2282">
        <f>HYPERLINK("https://mathstats.uncg.edu/sites/pauli/congruence/csg9.html#group100A9", "100A⁹")</f>
        <v/>
      </c>
      <c r="B2282" t="n">
        <v>9</v>
      </c>
      <c r="C2282" t="inlineStr"/>
      <c r="D2282" t="inlineStr">
        <is>
          <t>120</t>
        </is>
      </c>
      <c r="E2282" t="inlineStr">
        <is>
          <t>1</t>
        </is>
      </c>
      <c r="F2282" t="inlineStr">
        <is>
          <t>120</t>
        </is>
      </c>
      <c r="G2282" t="inlineStr">
        <is>
          <t>4</t>
        </is>
      </c>
      <c r="H2282" t="inlineStr">
        <is>
          <t>0</t>
        </is>
      </c>
      <c r="I2282" t="inlineStr">
        <is>
          <t>20¹, 100¹</t>
        </is>
      </c>
      <c r="J2282" t="n">
        <v>2</v>
      </c>
      <c r="K2282" t="inlineStr">
        <is>
          <t>4⁴, 8⁸, 40⁴</t>
        </is>
      </c>
      <c r="L2282" t="inlineStr">
        <is>
          <t>20B¹, 25A²</t>
        </is>
      </c>
      <c r="M2282" t="inlineStr">
        <is>
          <t>100A¹⁷, 100E¹⁹, 100I¹⁹, 200E¹⁹, 200A¹⁹</t>
        </is>
      </c>
      <c r="N2282" t="inlineStr">
        <is>
          <t>5B⁰, 25A², 1A⁰, 4A⁰, 20B¹</t>
        </is>
      </c>
      <c r="O2282" t="inlineStr">
        <is>
          <t>200A¹⁹, 100E¹⁹, 100I¹⁹, 100A¹⁷, 200E¹⁹</t>
        </is>
      </c>
    </row>
    <row r="2283">
      <c r="A2283">
        <f>HYPERLINK("https://mathstats.uncg.edu/sites/pauli/congruence/csg9.html#group100B9", "100B⁹")</f>
        <v/>
      </c>
      <c r="B2283" t="n">
        <v>9</v>
      </c>
      <c r="C2283" t="inlineStr"/>
      <c r="D2283" t="inlineStr">
        <is>
          <t>120</t>
        </is>
      </c>
      <c r="E2283" t="inlineStr">
        <is>
          <t>1</t>
        </is>
      </c>
      <c r="F2283" t="inlineStr">
        <is>
          <t>120</t>
        </is>
      </c>
      <c r="G2283" t="inlineStr">
        <is>
          <t>4</t>
        </is>
      </c>
      <c r="H2283" t="inlineStr">
        <is>
          <t>0</t>
        </is>
      </c>
      <c r="I2283" t="inlineStr">
        <is>
          <t>20¹, 100¹</t>
        </is>
      </c>
      <c r="J2283" t="n">
        <v>2</v>
      </c>
      <c r="K2283" t="inlineStr">
        <is>
          <t>4⁴, 8⁸, 40⁴</t>
        </is>
      </c>
      <c r="L2283" t="inlineStr">
        <is>
          <t>20B¹, 25B²</t>
        </is>
      </c>
      <c r="M2283" t="inlineStr">
        <is>
          <t>100B¹⁷, 100F¹⁹, 100J¹⁹, 200F¹⁹, 200B¹⁹</t>
        </is>
      </c>
      <c r="N2283" t="inlineStr">
        <is>
          <t>5B⁰, 1A⁰, 4A⁰, 20B¹, 25B²</t>
        </is>
      </c>
      <c r="O2283" t="inlineStr">
        <is>
          <t>100F¹⁹, 200B¹⁹, 100B¹⁷, 200F¹⁹, 100J¹⁹</t>
        </is>
      </c>
    </row>
    <row r="2284">
      <c r="A2284">
        <f>HYPERLINK("https://mathstats.uncg.edu/sites/pauli/congruence/csg9.html#group100C9", "100C⁹")</f>
        <v/>
      </c>
      <c r="B2284" t="n">
        <v>9</v>
      </c>
      <c r="C2284" t="inlineStr"/>
      <c r="D2284" t="inlineStr">
        <is>
          <t>120</t>
        </is>
      </c>
      <c r="E2284" t="inlineStr">
        <is>
          <t>1</t>
        </is>
      </c>
      <c r="F2284" t="inlineStr">
        <is>
          <t>120</t>
        </is>
      </c>
      <c r="G2284" t="inlineStr">
        <is>
          <t>4</t>
        </is>
      </c>
      <c r="H2284" t="inlineStr">
        <is>
          <t>0</t>
        </is>
      </c>
      <c r="I2284" t="inlineStr">
        <is>
          <t>20¹, 100¹</t>
        </is>
      </c>
      <c r="J2284" t="n">
        <v>2</v>
      </c>
      <c r="K2284" t="inlineStr">
        <is>
          <t>4⁴, 8⁸, 40⁴</t>
        </is>
      </c>
      <c r="L2284" t="inlineStr">
        <is>
          <t>20B¹, 25C²</t>
        </is>
      </c>
      <c r="M2284" t="inlineStr">
        <is>
          <t>100C¹⁷, 100G¹⁹, 100K¹⁹, 200G¹⁹, 200C¹⁹</t>
        </is>
      </c>
      <c r="N2284" t="inlineStr">
        <is>
          <t>5B⁰, 4A⁰, 1A⁰, 25C², 20B¹</t>
        </is>
      </c>
      <c r="O2284" t="inlineStr">
        <is>
          <t>200G¹⁹, 100C¹⁷, 100G¹⁹, 200C¹⁹, 100K¹⁹</t>
        </is>
      </c>
    </row>
    <row r="2285">
      <c r="A2285">
        <f>HYPERLINK("https://mathstats.uncg.edu/sites/pauli/congruence/csg9.html#group100D9", "100D⁹")</f>
        <v/>
      </c>
      <c r="B2285" t="n">
        <v>9</v>
      </c>
      <c r="C2285" t="inlineStr"/>
      <c r="D2285" t="inlineStr">
        <is>
          <t>120</t>
        </is>
      </c>
      <c r="E2285" t="inlineStr">
        <is>
          <t>1</t>
        </is>
      </c>
      <c r="F2285" t="inlineStr">
        <is>
          <t>120</t>
        </is>
      </c>
      <c r="G2285" t="inlineStr">
        <is>
          <t>4</t>
        </is>
      </c>
      <c r="H2285" t="inlineStr">
        <is>
          <t>0</t>
        </is>
      </c>
      <c r="I2285" t="inlineStr">
        <is>
          <t>20¹, 100¹</t>
        </is>
      </c>
      <c r="J2285" t="n">
        <v>2</v>
      </c>
      <c r="K2285" t="inlineStr">
        <is>
          <t>4⁴, 8⁸, 40⁴</t>
        </is>
      </c>
      <c r="L2285" t="inlineStr">
        <is>
          <t>20B¹, 25D²</t>
        </is>
      </c>
      <c r="M2285" t="inlineStr">
        <is>
          <t>100D¹⁷, 100H¹⁹, 100L¹⁹, 200H¹⁹, 200D¹⁹</t>
        </is>
      </c>
      <c r="N2285" t="inlineStr">
        <is>
          <t>5B⁰, 1A⁰, 4A⁰, 20B¹, 25D²</t>
        </is>
      </c>
      <c r="O2285" t="inlineStr">
        <is>
          <t>200H¹⁹, 200D¹⁹, 100L¹⁹, 100H¹⁹, 100D¹⁷</t>
        </is>
      </c>
    </row>
    <row r="2286">
      <c r="A2286">
        <f>HYPERLINK("https://mathstats.uncg.edu/sites/pauli/congruence/csg9.html#group100E9", "100E⁹")</f>
        <v/>
      </c>
      <c r="B2286" t="n">
        <v>9</v>
      </c>
      <c r="C2286" t="inlineStr"/>
      <c r="D2286" t="inlineStr">
        <is>
          <t>120</t>
        </is>
      </c>
      <c r="E2286" t="inlineStr">
        <is>
          <t>2</t>
        </is>
      </c>
      <c r="F2286" t="inlineStr">
        <is>
          <t>30</t>
        </is>
      </c>
      <c r="G2286" t="inlineStr">
        <is>
          <t>4</t>
        </is>
      </c>
      <c r="H2286" t="inlineStr">
        <is>
          <t>0</t>
        </is>
      </c>
      <c r="I2286" t="inlineStr">
        <is>
          <t>20¹, 100¹</t>
        </is>
      </c>
      <c r="J2286" t="n">
        <v>2</v>
      </c>
      <c r="K2286" t="inlineStr">
        <is>
          <t>4², 8⁴, 40²</t>
        </is>
      </c>
      <c r="L2286" t="inlineStr">
        <is>
          <t>20C¹, 50A⁴</t>
        </is>
      </c>
      <c r="M2286" t="inlineStr">
        <is>
          <t>100A¹⁹</t>
        </is>
      </c>
      <c r="N2286" t="inlineStr">
        <is>
          <t>5B⁰, 20C¹, 25A², 1A⁰, 50A⁴, 10B⁰</t>
        </is>
      </c>
      <c r="O2286" t="inlineStr">
        <is>
          <t>100A¹⁹</t>
        </is>
      </c>
    </row>
    <row r="2287">
      <c r="A2287">
        <f>HYPERLINK("https://mathstats.uncg.edu/sites/pauli/congruence/csg9.html#group100F9", "100F⁹")</f>
        <v/>
      </c>
      <c r="B2287" t="n">
        <v>9</v>
      </c>
      <c r="C2287" t="inlineStr"/>
      <c r="D2287" t="inlineStr">
        <is>
          <t>120</t>
        </is>
      </c>
      <c r="E2287" t="inlineStr">
        <is>
          <t>2</t>
        </is>
      </c>
      <c r="F2287" t="inlineStr">
        <is>
          <t>30</t>
        </is>
      </c>
      <c r="G2287" t="inlineStr">
        <is>
          <t>4</t>
        </is>
      </c>
      <c r="H2287" t="inlineStr">
        <is>
          <t>0</t>
        </is>
      </c>
      <c r="I2287" t="inlineStr">
        <is>
          <t>20¹, 100¹</t>
        </is>
      </c>
      <c r="J2287" t="n">
        <v>2</v>
      </c>
      <c r="K2287" t="inlineStr">
        <is>
          <t>4², 8⁴, 40²</t>
        </is>
      </c>
      <c r="L2287" t="inlineStr">
        <is>
          <t>20C¹, 50B⁴</t>
        </is>
      </c>
      <c r="M2287" t="inlineStr">
        <is>
          <t>100B¹⁹</t>
        </is>
      </c>
      <c r="N2287" t="inlineStr">
        <is>
          <t>5B⁰, 20C¹, 50B⁴, 1A⁰, 25B², 10B⁰</t>
        </is>
      </c>
      <c r="O2287" t="inlineStr">
        <is>
          <t>100B¹⁹</t>
        </is>
      </c>
    </row>
    <row r="2288">
      <c r="A2288">
        <f>HYPERLINK("https://mathstats.uncg.edu/sites/pauli/congruence/csg9.html#group100G9", "100G⁹")</f>
        <v/>
      </c>
      <c r="B2288" t="n">
        <v>9</v>
      </c>
      <c r="C2288" t="inlineStr"/>
      <c r="D2288" t="inlineStr">
        <is>
          <t>120</t>
        </is>
      </c>
      <c r="E2288" t="inlineStr">
        <is>
          <t>2</t>
        </is>
      </c>
      <c r="F2288" t="inlineStr">
        <is>
          <t>30</t>
        </is>
      </c>
      <c r="G2288" t="inlineStr">
        <is>
          <t>4</t>
        </is>
      </c>
      <c r="H2288" t="inlineStr">
        <is>
          <t>0</t>
        </is>
      </c>
      <c r="I2288" t="inlineStr">
        <is>
          <t>20¹, 100¹</t>
        </is>
      </c>
      <c r="J2288" t="n">
        <v>2</v>
      </c>
      <c r="K2288" t="inlineStr">
        <is>
          <t>4², 8⁴, 40²</t>
        </is>
      </c>
      <c r="L2288" t="inlineStr">
        <is>
          <t>20C¹, 50C⁴</t>
        </is>
      </c>
      <c r="M2288" t="inlineStr">
        <is>
          <t>100C¹⁹</t>
        </is>
      </c>
      <c r="N2288" t="inlineStr">
        <is>
          <t>5B⁰, 20C¹, 50C⁴, 1A⁰, 25C², 10B⁰</t>
        </is>
      </c>
      <c r="O2288" t="inlineStr">
        <is>
          <t>100C¹⁹</t>
        </is>
      </c>
    </row>
    <row r="2289">
      <c r="A2289">
        <f>HYPERLINK("https://mathstats.uncg.edu/sites/pauli/congruence/csg9.html#group100H9", "100H⁹")</f>
        <v/>
      </c>
      <c r="B2289" t="n">
        <v>9</v>
      </c>
      <c r="C2289" t="inlineStr"/>
      <c r="D2289" t="inlineStr">
        <is>
          <t>120</t>
        </is>
      </c>
      <c r="E2289" t="inlineStr">
        <is>
          <t>2</t>
        </is>
      </c>
      <c r="F2289" t="inlineStr">
        <is>
          <t>30</t>
        </is>
      </c>
      <c r="G2289" t="inlineStr">
        <is>
          <t>4</t>
        </is>
      </c>
      <c r="H2289" t="inlineStr">
        <is>
          <t>0</t>
        </is>
      </c>
      <c r="I2289" t="inlineStr">
        <is>
          <t>20¹, 100¹</t>
        </is>
      </c>
      <c r="J2289" t="n">
        <v>2</v>
      </c>
      <c r="K2289" t="inlineStr">
        <is>
          <t>4², 8⁴, 40²</t>
        </is>
      </c>
      <c r="L2289" t="inlineStr">
        <is>
          <t>20C¹, 50D⁴</t>
        </is>
      </c>
      <c r="M2289" t="inlineStr">
        <is>
          <t>100D¹⁹</t>
        </is>
      </c>
      <c r="N2289" t="inlineStr">
        <is>
          <t>5B⁰, 20C¹, 50D⁴, 1A⁰, 25D², 10B⁰</t>
        </is>
      </c>
      <c r="O2289" t="inlineStr">
        <is>
          <t>100D¹⁹</t>
        </is>
      </c>
    </row>
    <row r="2290">
      <c r="A2290">
        <f>HYPERLINK("https://mathstats.uncg.edu/sites/pauli/congruence/csg9.html#group100I9", "100I⁹")</f>
        <v/>
      </c>
      <c r="B2290" t="n">
        <v>9</v>
      </c>
      <c r="C2290" t="inlineStr"/>
      <c r="D2290" t="inlineStr">
        <is>
          <t>180</t>
        </is>
      </c>
      <c r="E2290" t="inlineStr">
        <is>
          <t>1</t>
        </is>
      </c>
      <c r="F2290" t="inlineStr">
        <is>
          <t>90</t>
        </is>
      </c>
      <c r="G2290" t="inlineStr">
        <is>
          <t>4</t>
        </is>
      </c>
      <c r="H2290" t="inlineStr">
        <is>
          <t>0</t>
        </is>
      </c>
      <c r="I2290" t="inlineStr">
        <is>
          <t>2⁵, 4⁵, 50¹, 100¹</t>
        </is>
      </c>
      <c r="J2290" t="n">
        <v>12</v>
      </c>
      <c r="K2290" t="inlineStr">
        <is>
          <t>1⁶, 4⁶, 20³</t>
        </is>
      </c>
      <c r="L2290" t="inlineStr">
        <is>
          <t>20E¹, 50B²</t>
        </is>
      </c>
      <c r="M2290" t="inlineStr">
        <is>
          <t>100E¹⁷, 100N¹⁹, 100Q¹⁹, 100A²¹, 100B²¹, 200B²¹, 200A²¹, 200B²³, 200A²³</t>
        </is>
      </c>
      <c r="N2290" t="inlineStr">
        <is>
          <t>20E¹, 4C⁰, 5B⁰, 10C⁰, 25A⁰, 2B⁰, 50B², 1A⁰</t>
        </is>
      </c>
      <c r="O2290" t="inlineStr">
        <is>
          <t>100B²¹, 200A²³, 200B²³, 100A²¹, 200B²¹, 100E¹⁷, 200A²¹, 100Q¹⁹, 100N¹⁹</t>
        </is>
      </c>
    </row>
    <row r="2291">
      <c r="A2291">
        <f>HYPERLINK("https://mathstats.uncg.edu/sites/pauli/congruence/csg9.html#group100J9", "100J⁹")</f>
        <v/>
      </c>
      <c r="B2291" t="n">
        <v>9</v>
      </c>
      <c r="C2291" t="inlineStr"/>
      <c r="D2291" t="inlineStr">
        <is>
          <t>200</t>
        </is>
      </c>
      <c r="E2291" t="inlineStr">
        <is>
          <t>2</t>
        </is>
      </c>
      <c r="F2291" t="inlineStr">
        <is>
          <t>50</t>
        </is>
      </c>
      <c r="G2291" t="inlineStr">
        <is>
          <t>4</t>
        </is>
      </c>
      <c r="H2291" t="inlineStr">
        <is>
          <t>20</t>
        </is>
      </c>
      <c r="I2291" t="inlineStr">
        <is>
          <t>100²</t>
        </is>
      </c>
      <c r="J2291" t="n">
        <v>2</v>
      </c>
      <c r="K2291" t="inlineStr">
        <is>
          <t>4¹, 8², 40²</t>
        </is>
      </c>
      <c r="L2291" t="inlineStr">
        <is>
          <t>20F¹, 50E⁴</t>
        </is>
      </c>
      <c r="M2291" t="inlineStr">
        <is>
          <t>100R¹⁹</t>
        </is>
      </c>
      <c r="N2291" t="inlineStr">
        <is>
          <t>50E⁴, 1A⁰, 10D⁰, 25E², 5C⁰, 20F¹</t>
        </is>
      </c>
      <c r="O2291" t="inlineStr">
        <is>
          <t>100R¹⁹</t>
        </is>
      </c>
    </row>
    <row r="2292">
      <c r="A2292">
        <f>HYPERLINK("https://mathstats.uncg.edu/sites/pauli/congruence/csg9.html#group102A9", "102A⁹")</f>
        <v/>
      </c>
      <c r="B2292" t="n">
        <v>9</v>
      </c>
      <c r="C2292" t="inlineStr"/>
      <c r="D2292" t="inlineStr">
        <is>
          <t>108</t>
        </is>
      </c>
      <c r="E2292" t="inlineStr">
        <is>
          <t>1</t>
        </is>
      </c>
      <c r="F2292" t="inlineStr">
        <is>
          <t>18</t>
        </is>
      </c>
      <c r="G2292" t="inlineStr">
        <is>
          <t>0</t>
        </is>
      </c>
      <c r="H2292" t="inlineStr">
        <is>
          <t>0</t>
        </is>
      </c>
      <c r="I2292" t="inlineStr">
        <is>
          <t>6¹, 102¹</t>
        </is>
      </c>
      <c r="J2292" t="n">
        <v>2</v>
      </c>
      <c r="K2292" t="inlineStr">
        <is>
          <t>1², 16¹</t>
        </is>
      </c>
      <c r="L2292" t="inlineStr">
        <is>
          <t>34A³, 51A³</t>
        </is>
      </c>
      <c r="M2292" t="inlineStr">
        <is>
          <t>102B¹⁷, 102F¹⁷, 102E¹⁷</t>
        </is>
      </c>
      <c r="N2292" t="inlineStr">
        <is>
          <t>1A⁰, 17A¹, 3A⁰, 51A³, 34A³</t>
        </is>
      </c>
      <c r="O2292" t="inlineStr">
        <is>
          <t>102E¹⁷, 102F¹⁷, 102B¹⁷</t>
        </is>
      </c>
    </row>
    <row r="2293">
      <c r="A2293">
        <f>HYPERLINK("https://mathstats.uncg.edu/sites/pauli/congruence/csg9.html#group102B9", "102B⁹")</f>
        <v/>
      </c>
      <c r="B2293" t="n">
        <v>9</v>
      </c>
      <c r="C2293" t="inlineStr"/>
      <c r="D2293" t="inlineStr">
        <is>
          <t>108</t>
        </is>
      </c>
      <c r="E2293" t="inlineStr">
        <is>
          <t>1</t>
        </is>
      </c>
      <c r="F2293" t="inlineStr">
        <is>
          <t>18</t>
        </is>
      </c>
      <c r="G2293" t="inlineStr">
        <is>
          <t>0</t>
        </is>
      </c>
      <c r="H2293" t="inlineStr">
        <is>
          <t>0</t>
        </is>
      </c>
      <c r="I2293" t="inlineStr">
        <is>
          <t>6¹, 102¹</t>
        </is>
      </c>
      <c r="J2293" t="n">
        <v>2</v>
      </c>
      <c r="K2293" t="inlineStr">
        <is>
          <t>1², 16¹</t>
        </is>
      </c>
      <c r="L2293" t="inlineStr">
        <is>
          <t>6A¹, 34B³, 51A³</t>
        </is>
      </c>
      <c r="M2293" t="inlineStr">
        <is>
          <t>102B¹⁷, 102D¹⁷, 102G¹⁷</t>
        </is>
      </c>
      <c r="N2293" t="inlineStr">
        <is>
          <t>2A⁰, 51A³, 17A¹, 6A¹, 3A⁰, 34B³, 1A⁰</t>
        </is>
      </c>
      <c r="O2293" t="inlineStr">
        <is>
          <t>102G¹⁷, 102D¹⁷, 102B¹⁷</t>
        </is>
      </c>
    </row>
    <row r="2294">
      <c r="A2294">
        <f>HYPERLINK("https://mathstats.uncg.edu/sites/pauli/congruence/csg9.html#group102C9", "102C⁹")</f>
        <v/>
      </c>
      <c r="B2294" t="n">
        <v>9</v>
      </c>
      <c r="C2294" t="inlineStr"/>
      <c r="D2294" t="inlineStr">
        <is>
          <t>108</t>
        </is>
      </c>
      <c r="E2294" t="inlineStr">
        <is>
          <t>1</t>
        </is>
      </c>
      <c r="F2294" t="inlineStr">
        <is>
          <t>36</t>
        </is>
      </c>
      <c r="G2294" t="inlineStr">
        <is>
          <t>0</t>
        </is>
      </c>
      <c r="H2294" t="inlineStr">
        <is>
          <t>0</t>
        </is>
      </c>
      <c r="I2294" t="inlineStr">
        <is>
          <t>6¹, 102¹</t>
        </is>
      </c>
      <c r="J2294" t="n">
        <v>2</v>
      </c>
      <c r="K2294" t="inlineStr">
        <is>
          <t>2², 32¹</t>
        </is>
      </c>
      <c r="L2294" t="inlineStr">
        <is>
          <t>6A⁰, 34B³</t>
        </is>
      </c>
      <c r="M2294" t="inlineStr">
        <is>
          <t>102C¹⁷</t>
        </is>
      </c>
      <c r="N2294" t="inlineStr">
        <is>
          <t>2A⁰, 17A¹, 6A⁰, 34B³, 1A⁰</t>
        </is>
      </c>
      <c r="O2294" t="inlineStr">
        <is>
          <t>102C¹⁷</t>
        </is>
      </c>
    </row>
    <row r="2295">
      <c r="A2295">
        <f>HYPERLINK("https://mathstats.uncg.edu/sites/pauli/congruence/csg9.html#group104A9", "104A⁹")</f>
        <v/>
      </c>
      <c r="B2295" t="n">
        <v>9</v>
      </c>
      <c r="C2295" t="inlineStr"/>
      <c r="D2295" t="inlineStr">
        <is>
          <t>168</t>
        </is>
      </c>
      <c r="E2295" t="inlineStr">
        <is>
          <t>2</t>
        </is>
      </c>
      <c r="F2295" t="inlineStr">
        <is>
          <t>42</t>
        </is>
      </c>
      <c r="G2295" t="inlineStr">
        <is>
          <t>4</t>
        </is>
      </c>
      <c r="H2295" t="inlineStr">
        <is>
          <t>0</t>
        </is>
      </c>
      <c r="I2295" t="inlineStr">
        <is>
          <t>1⁴, 8¹, 13⁴, 104¹</t>
        </is>
      </c>
      <c r="J2295" t="n">
        <v>10</v>
      </c>
      <c r="K2295" t="inlineStr">
        <is>
          <t>2⁶, 24³</t>
        </is>
      </c>
      <c r="L2295" t="inlineStr">
        <is>
          <t>52A⁴</t>
        </is>
      </c>
      <c r="M2295" t="inlineStr">
        <is>
          <t>104A¹⁹, 104D²¹, 104S²³</t>
        </is>
      </c>
      <c r="N2295" t="inlineStr">
        <is>
          <t>13A⁰, 2B⁰, 52A⁴, 1A⁰, 26A²</t>
        </is>
      </c>
      <c r="O2295" t="inlineStr">
        <is>
          <t>104D²¹, 104A¹⁹, 104S²³</t>
        </is>
      </c>
    </row>
    <row r="2296">
      <c r="A2296">
        <f>HYPERLINK("https://mathstats.uncg.edu/sites/pauli/congruence/csg9.html#group105A9", "105A⁹")</f>
        <v/>
      </c>
      <c r="B2296" t="n">
        <v>9</v>
      </c>
      <c r="C2296" t="inlineStr"/>
      <c r="D2296" t="inlineStr">
        <is>
          <t>120</t>
        </is>
      </c>
      <c r="E2296" t="inlineStr">
        <is>
          <t>2</t>
        </is>
      </c>
      <c r="F2296" t="inlineStr">
        <is>
          <t>40</t>
        </is>
      </c>
      <c r="G2296" t="inlineStr">
        <is>
          <t>0</t>
        </is>
      </c>
      <c r="H2296" t="inlineStr">
        <is>
          <t>3</t>
        </is>
      </c>
      <c r="I2296" t="inlineStr">
        <is>
          <t>15¹, 105¹</t>
        </is>
      </c>
      <c r="J2296" t="n">
        <v>2</v>
      </c>
      <c r="K2296" t="inlineStr">
        <is>
          <t>4², 8⁴, 24¹, 48²</t>
        </is>
      </c>
      <c r="L2296" t="inlineStr">
        <is>
          <t>35B²</t>
        </is>
      </c>
      <c r="M2296" t="inlineStr">
        <is>
          <t>210B¹⁸</t>
        </is>
      </c>
      <c r="N2296" t="inlineStr">
        <is>
          <t>5A⁰, 1A⁰, 7B⁰, 35B²</t>
        </is>
      </c>
      <c r="O2296" t="inlineStr">
        <is>
          <t>210B¹⁸</t>
        </is>
      </c>
    </row>
    <row r="2297">
      <c r="A2297">
        <f>HYPERLINK("https://mathstats.uncg.edu/sites/pauli/congruence/csg9.html#group105B9", "105B⁹")</f>
        <v/>
      </c>
      <c r="B2297" t="n">
        <v>9</v>
      </c>
      <c r="C2297" t="inlineStr"/>
      <c r="D2297" t="inlineStr">
        <is>
          <t>120</t>
        </is>
      </c>
      <c r="E2297" t="inlineStr">
        <is>
          <t>2</t>
        </is>
      </c>
      <c r="F2297" t="inlineStr">
        <is>
          <t>40</t>
        </is>
      </c>
      <c r="G2297" t="inlineStr">
        <is>
          <t>0</t>
        </is>
      </c>
      <c r="H2297" t="inlineStr">
        <is>
          <t>3</t>
        </is>
      </c>
      <c r="I2297" t="inlineStr">
        <is>
          <t>15¹, 105¹</t>
        </is>
      </c>
      <c r="J2297" t="n">
        <v>2</v>
      </c>
      <c r="K2297" t="inlineStr">
        <is>
          <t>4², 8⁴, 24¹, 48²</t>
        </is>
      </c>
      <c r="L2297" t="inlineStr">
        <is>
          <t>35B²</t>
        </is>
      </c>
      <c r="M2297" t="inlineStr">
        <is>
          <t>210C¹⁸</t>
        </is>
      </c>
      <c r="N2297" t="inlineStr">
        <is>
          <t>5A⁰, 1A⁰, 7B⁰, 35B²</t>
        </is>
      </c>
      <c r="O2297" t="inlineStr">
        <is>
          <t>210C¹⁸</t>
        </is>
      </c>
    </row>
    <row r="2298">
      <c r="A2298">
        <f>HYPERLINK("https://mathstats.uncg.edu/sites/pauli/congruence/csg9.html#group106A9", "106A⁹")</f>
        <v/>
      </c>
      <c r="B2298" t="n">
        <v>9</v>
      </c>
      <c r="C2298" t="inlineStr"/>
      <c r="D2298" t="inlineStr">
        <is>
          <t>108</t>
        </is>
      </c>
      <c r="E2298" t="inlineStr">
        <is>
          <t>1</t>
        </is>
      </c>
      <c r="F2298" t="inlineStr">
        <is>
          <t>54</t>
        </is>
      </c>
      <c r="G2298" t="inlineStr">
        <is>
          <t>0</t>
        </is>
      </c>
      <c r="H2298" t="inlineStr">
        <is>
          <t>0</t>
        </is>
      </c>
      <c r="I2298" t="inlineStr">
        <is>
          <t>2¹, 106¹</t>
        </is>
      </c>
      <c r="J2298" t="n">
        <v>2</v>
      </c>
      <c r="K2298" t="inlineStr">
        <is>
          <t>1², 52¹</t>
        </is>
      </c>
      <c r="L2298" t="inlineStr">
        <is>
          <t>2A⁰, 53A⁴</t>
        </is>
      </c>
      <c r="M2298" t="inlineStr">
        <is>
          <t>106A¹⁷</t>
        </is>
      </c>
      <c r="N2298" t="inlineStr">
        <is>
          <t>2A⁰, 1A⁰, 53A⁴</t>
        </is>
      </c>
      <c r="O2298" t="inlineStr">
        <is>
          <t>106A¹⁷</t>
        </is>
      </c>
    </row>
    <row r="2299">
      <c r="A2299">
        <f>HYPERLINK("https://mathstats.uncg.edu/sites/pauli/congruence/csg9.html#group107A9", "107A⁹")</f>
        <v/>
      </c>
      <c r="B2299" t="n">
        <v>9</v>
      </c>
      <c r="C2299" t="inlineStr">
        <is>
          <t>Γ₀(107)</t>
        </is>
      </c>
      <c r="D2299" t="inlineStr">
        <is>
          <t>108</t>
        </is>
      </c>
      <c r="E2299" t="inlineStr">
        <is>
          <t>1</t>
        </is>
      </c>
      <c r="F2299" t="inlineStr">
        <is>
          <t>108</t>
        </is>
      </c>
      <c r="G2299" t="inlineStr">
        <is>
          <t>0</t>
        </is>
      </c>
      <c r="H2299" t="inlineStr">
        <is>
          <t>0</t>
        </is>
      </c>
      <c r="I2299" t="inlineStr">
        <is>
          <t>1¹, 107¹</t>
        </is>
      </c>
      <c r="J2299" t="n">
        <v>2</v>
      </c>
      <c r="K2299" t="inlineStr">
        <is>
          <t>1², 106¹</t>
        </is>
      </c>
      <c r="L2299" t="inlineStr">
        <is>
          <t>1A⁰</t>
        </is>
      </c>
      <c r="M2299" t="inlineStr">
        <is>
          <t>214A¹⁸</t>
        </is>
      </c>
      <c r="N2299" t="inlineStr">
        <is>
          <t>1A⁰</t>
        </is>
      </c>
      <c r="O2299" t="inlineStr">
        <is>
          <t>214A¹⁸</t>
        </is>
      </c>
    </row>
    <row r="2300">
      <c r="A2300">
        <f>HYPERLINK("https://mathstats.uncg.edu/sites/pauli/congruence/csg9.html#group108A9", "108A⁹")</f>
        <v/>
      </c>
      <c r="B2300" t="n">
        <v>9</v>
      </c>
      <c r="C2300" t="inlineStr"/>
      <c r="D2300" t="inlineStr">
        <is>
          <t>144</t>
        </is>
      </c>
      <c r="E2300" t="inlineStr">
        <is>
          <t>1</t>
        </is>
      </c>
      <c r="F2300" t="inlineStr">
        <is>
          <t>12</t>
        </is>
      </c>
      <c r="G2300" t="inlineStr">
        <is>
          <t>0</t>
        </is>
      </c>
      <c r="H2300" t="inlineStr">
        <is>
          <t>0</t>
        </is>
      </c>
      <c r="I2300" t="inlineStr">
        <is>
          <t>4⁶, 12¹, 108¹</t>
        </is>
      </c>
      <c r="J2300" t="n">
        <v>8</v>
      </c>
      <c r="K2300" t="inlineStr">
        <is>
          <t>1², 2², 6¹</t>
        </is>
      </c>
      <c r="L2300" t="inlineStr">
        <is>
          <t>36A³, 54A³</t>
        </is>
      </c>
      <c r="M2300" t="inlineStr"/>
      <c r="N2300" t="inlineStr">
        <is>
          <t>3B⁰, 2A⁰, 18C¹, 6C⁰, 27A⁰, 9B⁰, 54A³, 1A⁰, 36A³, 12B⁰</t>
        </is>
      </c>
      <c r="O2300" t="inlineStr"/>
    </row>
    <row r="2301">
      <c r="A2301">
        <f>HYPERLINK("https://mathstats.uncg.edu/sites/pauli/congruence/csg9.html#group108B9", "108B⁹")</f>
        <v/>
      </c>
      <c r="B2301" t="n">
        <v>9</v>
      </c>
      <c r="C2301" t="inlineStr"/>
      <c r="D2301" t="inlineStr">
        <is>
          <t>144</t>
        </is>
      </c>
      <c r="E2301" t="inlineStr">
        <is>
          <t>1</t>
        </is>
      </c>
      <c r="F2301" t="inlineStr">
        <is>
          <t>24</t>
        </is>
      </c>
      <c r="G2301" t="inlineStr">
        <is>
          <t>0</t>
        </is>
      </c>
      <c r="H2301" t="inlineStr">
        <is>
          <t>0</t>
        </is>
      </c>
      <c r="I2301" t="inlineStr">
        <is>
          <t>4⁶, 12¹, 108¹</t>
        </is>
      </c>
      <c r="J2301" t="n">
        <v>8</v>
      </c>
      <c r="K2301" t="inlineStr">
        <is>
          <t>2⁶, 6²</t>
        </is>
      </c>
      <c r="L2301" t="inlineStr">
        <is>
          <t>36A³, 54B³</t>
        </is>
      </c>
      <c r="M2301" t="inlineStr"/>
      <c r="N2301" t="inlineStr">
        <is>
          <t>3B⁰, 2A⁰, 54B³, 18C¹, 6C⁰, 9B⁰, 1A⁰, 36A³, 12B⁰</t>
        </is>
      </c>
      <c r="O2301" t="inlineStr"/>
    </row>
    <row r="2302">
      <c r="A2302">
        <f>HYPERLINK("https://mathstats.uncg.edu/sites/pauli/congruence/csg9.html#group108C9", "108C⁹")</f>
        <v/>
      </c>
      <c r="B2302" t="n">
        <v>9</v>
      </c>
      <c r="C2302" t="inlineStr"/>
      <c r="D2302" t="inlineStr">
        <is>
          <t>144</t>
        </is>
      </c>
      <c r="E2302" t="inlineStr">
        <is>
          <t>1</t>
        </is>
      </c>
      <c r="F2302" t="inlineStr">
        <is>
          <t>48</t>
        </is>
      </c>
      <c r="G2302" t="inlineStr">
        <is>
          <t>0</t>
        </is>
      </c>
      <c r="H2302" t="inlineStr">
        <is>
          <t>0</t>
        </is>
      </c>
      <c r="I2302" t="inlineStr">
        <is>
          <t>4⁶, 12¹, 108¹</t>
        </is>
      </c>
      <c r="J2302" t="n">
        <v>8</v>
      </c>
      <c r="K2302" t="inlineStr">
        <is>
          <t>2⁴, 4⁴, 12²</t>
        </is>
      </c>
      <c r="L2302" t="inlineStr">
        <is>
          <t>27A⁰, 36B³</t>
        </is>
      </c>
      <c r="M2302" t="inlineStr">
        <is>
          <t>108D¹⁷, 216A²¹</t>
        </is>
      </c>
      <c r="N2302" t="inlineStr">
        <is>
          <t>3B⁰, 4A⁰, 12A¹, 27A⁰, 9B⁰, 36B³, 1A⁰</t>
        </is>
      </c>
      <c r="O2302" t="inlineStr">
        <is>
          <t>108D¹⁷, 216A²¹</t>
        </is>
      </c>
    </row>
    <row r="2303">
      <c r="A2303">
        <f>HYPERLINK("https://mathstats.uncg.edu/sites/pauli/congruence/csg9.html#group113A9", "113A⁹")</f>
        <v/>
      </c>
      <c r="B2303" t="n">
        <v>9</v>
      </c>
      <c r="C2303" t="inlineStr">
        <is>
          <t>Γ₀(113)</t>
        </is>
      </c>
      <c r="D2303" t="inlineStr">
        <is>
          <t>114</t>
        </is>
      </c>
      <c r="E2303" t="inlineStr">
        <is>
          <t>1</t>
        </is>
      </c>
      <c r="F2303" t="inlineStr">
        <is>
          <t>114</t>
        </is>
      </c>
      <c r="G2303" t="inlineStr">
        <is>
          <t>2</t>
        </is>
      </c>
      <c r="H2303" t="inlineStr">
        <is>
          <t>0</t>
        </is>
      </c>
      <c r="I2303" t="inlineStr">
        <is>
          <t>1¹, 113¹</t>
        </is>
      </c>
      <c r="J2303" t="n">
        <v>2</v>
      </c>
      <c r="K2303" t="inlineStr">
        <is>
          <t>1², 112¹</t>
        </is>
      </c>
      <c r="L2303" t="inlineStr">
        <is>
          <t>1A⁰</t>
        </is>
      </c>
      <c r="M2303" t="inlineStr">
        <is>
          <t>113A¹⁷, 226A¹⁹, 226B¹⁹</t>
        </is>
      </c>
      <c r="N2303" t="inlineStr">
        <is>
          <t>1A⁰</t>
        </is>
      </c>
      <c r="O2303" t="inlineStr">
        <is>
          <t>113A¹⁷, 226A¹⁹, 226B¹⁹</t>
        </is>
      </c>
    </row>
    <row r="2304">
      <c r="A2304">
        <f>HYPERLINK("https://mathstats.uncg.edu/sites/pauli/congruence/csg9.html#group116A9", "116A⁹")</f>
        <v/>
      </c>
      <c r="B2304" t="n">
        <v>9</v>
      </c>
      <c r="C2304" t="inlineStr"/>
      <c r="D2304" t="inlineStr">
        <is>
          <t>120</t>
        </is>
      </c>
      <c r="E2304" t="inlineStr">
        <is>
          <t>1</t>
        </is>
      </c>
      <c r="F2304" t="inlineStr">
        <is>
          <t>120</t>
        </is>
      </c>
      <c r="G2304" t="inlineStr">
        <is>
          <t>4</t>
        </is>
      </c>
      <c r="H2304" t="inlineStr">
        <is>
          <t>0</t>
        </is>
      </c>
      <c r="I2304" t="inlineStr">
        <is>
          <t>4¹, 116¹</t>
        </is>
      </c>
      <c r="J2304" t="n">
        <v>2</v>
      </c>
      <c r="K2304" t="inlineStr">
        <is>
          <t>2⁴, 56²</t>
        </is>
      </c>
      <c r="L2304" t="inlineStr">
        <is>
          <t>4A⁰, 29A²</t>
        </is>
      </c>
      <c r="M2304" t="inlineStr">
        <is>
          <t>116A¹⁷, 116B¹⁹, 116C¹⁹, 232A¹⁹, 232B¹⁹</t>
        </is>
      </c>
      <c r="N2304" t="inlineStr">
        <is>
          <t>1A⁰, 4A⁰, 29A²</t>
        </is>
      </c>
      <c r="O2304" t="inlineStr">
        <is>
          <t>116C¹⁹, 116B¹⁹, 232A¹⁹, 116A¹⁷, 232B¹⁹</t>
        </is>
      </c>
    </row>
    <row r="2305">
      <c r="A2305">
        <f>HYPERLINK("https://mathstats.uncg.edu/sites/pauli/congruence/csg9.html#group116B9", "116B⁹")</f>
        <v/>
      </c>
      <c r="B2305" t="n">
        <v>9</v>
      </c>
      <c r="C2305" t="inlineStr"/>
      <c r="D2305" t="inlineStr">
        <is>
          <t>120</t>
        </is>
      </c>
      <c r="E2305" t="inlineStr">
        <is>
          <t>2</t>
        </is>
      </c>
      <c r="F2305" t="inlineStr">
        <is>
          <t>30</t>
        </is>
      </c>
      <c r="G2305" t="inlineStr">
        <is>
          <t>4</t>
        </is>
      </c>
      <c r="H2305" t="inlineStr">
        <is>
          <t>0</t>
        </is>
      </c>
      <c r="I2305" t="inlineStr">
        <is>
          <t>4¹, 116¹</t>
        </is>
      </c>
      <c r="J2305" t="n">
        <v>2</v>
      </c>
      <c r="K2305" t="inlineStr">
        <is>
          <t>2², 56¹</t>
        </is>
      </c>
      <c r="L2305" t="inlineStr">
        <is>
          <t>58A⁴</t>
        </is>
      </c>
      <c r="M2305" t="inlineStr">
        <is>
          <t>116A¹⁹</t>
        </is>
      </c>
      <c r="N2305" t="inlineStr">
        <is>
          <t>58A⁴, 1A⁰, 29A²</t>
        </is>
      </c>
      <c r="O2305" t="inlineStr">
        <is>
          <t>116A¹⁹</t>
        </is>
      </c>
    </row>
    <row r="2306">
      <c r="A2306">
        <f>HYPERLINK("https://mathstats.uncg.edu/sites/pauli/congruence/csg9.html#group119A9", "119A⁹")</f>
        <v/>
      </c>
      <c r="B2306" t="n">
        <v>9</v>
      </c>
      <c r="C2306" t="inlineStr"/>
      <c r="D2306" t="inlineStr">
        <is>
          <t>126</t>
        </is>
      </c>
      <c r="E2306" t="inlineStr">
        <is>
          <t>2</t>
        </is>
      </c>
      <c r="F2306" t="inlineStr">
        <is>
          <t>126</t>
        </is>
      </c>
      <c r="G2306" t="inlineStr">
        <is>
          <t>6</t>
        </is>
      </c>
      <c r="H2306" t="inlineStr">
        <is>
          <t>0</t>
        </is>
      </c>
      <c r="I2306" t="inlineStr">
        <is>
          <t>7¹, 119¹</t>
        </is>
      </c>
      <c r="J2306" t="n">
        <v>2</v>
      </c>
      <c r="K2306" t="inlineStr">
        <is>
          <t>2², 6⁴, 32¹, 96²</t>
        </is>
      </c>
      <c r="L2306" t="inlineStr">
        <is>
          <t>7A⁰, 17A¹</t>
        </is>
      </c>
      <c r="M2306" t="inlineStr">
        <is>
          <t>119A¹⁷, 119A¹⁹, 119B¹⁹, 238A¹⁹, 238B¹⁹, 238A²¹, 238B²¹</t>
        </is>
      </c>
      <c r="N2306" t="inlineStr">
        <is>
          <t>1A⁰, 17A¹, 7A⁰</t>
        </is>
      </c>
      <c r="O2306" t="inlineStr">
        <is>
          <t>119A¹⁹, 238B¹⁹, 238B²¹, 238A²¹, 119A¹⁷, 238A¹⁹, 119B¹⁹</t>
        </is>
      </c>
    </row>
    <row r="2307">
      <c r="A2307">
        <f>HYPERLINK("https://mathstats.uncg.edu/sites/pauli/congruence/csg9.html#group120A9", "120A⁹")</f>
        <v/>
      </c>
      <c r="B2307" t="n">
        <v>9</v>
      </c>
      <c r="C2307" t="inlineStr"/>
      <c r="D2307" t="inlineStr">
        <is>
          <t>120</t>
        </is>
      </c>
      <c r="E2307" t="inlineStr">
        <is>
          <t>2</t>
        </is>
      </c>
      <c r="F2307" t="inlineStr">
        <is>
          <t>20</t>
        </is>
      </c>
      <c r="G2307" t="inlineStr">
        <is>
          <t>6</t>
        </is>
      </c>
      <c r="H2307" t="inlineStr">
        <is>
          <t>0</t>
        </is>
      </c>
      <c r="I2307" t="inlineStr">
        <is>
          <t>120¹</t>
        </is>
      </c>
      <c r="J2307" t="n">
        <v>1</v>
      </c>
      <c r="K2307" t="inlineStr">
        <is>
          <t>4², 16²</t>
        </is>
      </c>
      <c r="L2307" t="inlineStr">
        <is>
          <t>24A¹, 40A², 60A⁴</t>
        </is>
      </c>
      <c r="M2307" t="inlineStr">
        <is>
          <t>120F¹⁸, 120D¹⁹, 240A¹⁹, 240B¹⁹, 120A²⁰</t>
        </is>
      </c>
      <c r="N2307" t="inlineStr">
        <is>
          <t>5A⁰, 12A⁰, 24A¹, 4A⁰, 60A⁴, 8A⁰, 20A¹, 1A⁰, 3A⁰, 40A², 15A¹</t>
        </is>
      </c>
      <c r="O2307" t="inlineStr">
        <is>
          <t>120D¹⁹, 240B¹⁹, 120A²⁰, 120F¹⁸, 240A¹⁹</t>
        </is>
      </c>
    </row>
    <row r="2308">
      <c r="A2308">
        <f>HYPERLINK("https://mathstats.uncg.edu/sites/pauli/congruence/csg9.html#group120B9", "120B⁹")</f>
        <v/>
      </c>
      <c r="B2308" t="n">
        <v>9</v>
      </c>
      <c r="C2308" t="inlineStr"/>
      <c r="D2308" t="inlineStr">
        <is>
          <t>120</t>
        </is>
      </c>
      <c r="E2308" t="inlineStr">
        <is>
          <t>2</t>
        </is>
      </c>
      <c r="F2308" t="inlineStr">
        <is>
          <t>60</t>
        </is>
      </c>
      <c r="G2308" t="inlineStr">
        <is>
          <t>6</t>
        </is>
      </c>
      <c r="H2308" t="inlineStr">
        <is>
          <t>0</t>
        </is>
      </c>
      <c r="I2308" t="inlineStr">
        <is>
          <t>120¹</t>
        </is>
      </c>
      <c r="J2308" t="n">
        <v>1</v>
      </c>
      <c r="K2308" t="inlineStr">
        <is>
          <t>4², 8², 16², 32²</t>
        </is>
      </c>
      <c r="L2308" t="inlineStr">
        <is>
          <t>24B¹, 60A⁴</t>
        </is>
      </c>
      <c r="M2308" t="inlineStr">
        <is>
          <t>120B¹⁸, 120C¹⁸, 120F¹⁸, 120C¹⁹, 120D¹⁹, 120B²⁰</t>
        </is>
      </c>
      <c r="N2308" t="inlineStr">
        <is>
          <t>5A⁰, 12A⁰, 4A⁰, 60A⁴, 20A¹, 24B¹, 3A⁰, 1A⁰, 15A¹</t>
        </is>
      </c>
      <c r="O2308" t="inlineStr">
        <is>
          <t>120D¹⁹, 120F¹⁸, 120B¹⁸, 120C¹⁸, 120B²⁰, 120C¹⁹</t>
        </is>
      </c>
    </row>
    <row r="2309">
      <c r="A2309">
        <f>HYPERLINK("https://mathstats.uncg.edu/sites/pauli/congruence/csg9.html#group120C9", "120C⁹")</f>
        <v/>
      </c>
      <c r="B2309" t="n">
        <v>9</v>
      </c>
      <c r="C2309" t="inlineStr"/>
      <c r="D2309" t="inlineStr">
        <is>
          <t>144</t>
        </is>
      </c>
      <c r="E2309" t="inlineStr">
        <is>
          <t>2</t>
        </is>
      </c>
      <c r="F2309" t="inlineStr">
        <is>
          <t>24</t>
        </is>
      </c>
      <c r="G2309" t="inlineStr">
        <is>
          <t>12</t>
        </is>
      </c>
      <c r="H2309" t="inlineStr">
        <is>
          <t>0</t>
        </is>
      </c>
      <c r="I2309" t="inlineStr">
        <is>
          <t>24¹, 120¹</t>
        </is>
      </c>
      <c r="J2309" t="n">
        <v>2</v>
      </c>
      <c r="K2309" t="inlineStr">
        <is>
          <t>4⁴, 16²</t>
        </is>
      </c>
      <c r="L2309" t="inlineStr">
        <is>
          <t>40A³, 60B³</t>
        </is>
      </c>
      <c r="M2309" t="inlineStr">
        <is>
          <t>120P¹⁷, 120P¹⁹, 120N¹⁹, 120K²¹, 120I²¹, 120A²³, 120I²³</t>
        </is>
      </c>
      <c r="N2309" t="inlineStr">
        <is>
          <t>40A³, 15B⁰, 12A⁰, 4A⁰, 5B⁰, 60B³, 3A⁰, 1A⁰, 20B¹</t>
        </is>
      </c>
      <c r="O2309" t="inlineStr">
        <is>
          <t>120I²³, 120K²¹, 120P¹⁷, 120P¹⁹, 120N¹⁹, 120I²¹, 120A²³</t>
        </is>
      </c>
    </row>
    <row r="2310">
      <c r="A2310">
        <f>HYPERLINK("https://mathstats.uncg.edu/sites/pauli/congruence/csg9.html#group120D9", "120D⁹")</f>
        <v/>
      </c>
      <c r="B2310" t="n">
        <v>9</v>
      </c>
      <c r="C2310" t="inlineStr"/>
      <c r="D2310" t="inlineStr">
        <is>
          <t>144</t>
        </is>
      </c>
      <c r="E2310" t="inlineStr">
        <is>
          <t>2</t>
        </is>
      </c>
      <c r="F2310" t="inlineStr">
        <is>
          <t>24</t>
        </is>
      </c>
      <c r="G2310" t="inlineStr">
        <is>
          <t>12</t>
        </is>
      </c>
      <c r="H2310" t="inlineStr">
        <is>
          <t>0</t>
        </is>
      </c>
      <c r="I2310" t="inlineStr">
        <is>
          <t>24¹, 120¹</t>
        </is>
      </c>
      <c r="J2310" t="n">
        <v>2</v>
      </c>
      <c r="K2310" t="inlineStr">
        <is>
          <t>4⁴, 16²</t>
        </is>
      </c>
      <c r="L2310" t="inlineStr">
        <is>
          <t>24A¹, 40B³, 60B³</t>
        </is>
      </c>
      <c r="M2310" t="inlineStr">
        <is>
          <t>120P¹⁷, 120O¹⁹, 120Q¹⁹, 120J²¹, 120L²¹, 240A²¹, 240B²¹, 240C²¹, 240D²¹, 120B²³, 120I²³</t>
        </is>
      </c>
      <c r="N2310" t="inlineStr">
        <is>
          <t>15B⁰, 12A⁰, 24A¹, 4A⁰, 40B³, 8A⁰, 5B⁰, 60B³, 3A⁰, 1A⁰, 20B¹</t>
        </is>
      </c>
      <c r="O2310" t="inlineStr">
        <is>
          <t>120P¹⁷, 240D²¹, 240B²¹, 240C²¹, 120I²³, 120Q¹⁹, 240A²¹, 120J²¹, 120L²¹, 120O¹⁹, 120B²³</t>
        </is>
      </c>
    </row>
    <row r="2311">
      <c r="A2311">
        <f>HYPERLINK("https://mathstats.uncg.edu/sites/pauli/congruence/csg9.html#group120E9", "120E⁹")</f>
        <v/>
      </c>
      <c r="B2311" t="n">
        <v>9</v>
      </c>
      <c r="C2311" t="inlineStr"/>
      <c r="D2311" t="inlineStr">
        <is>
          <t>144</t>
        </is>
      </c>
      <c r="E2311" t="inlineStr">
        <is>
          <t>2</t>
        </is>
      </c>
      <c r="F2311" t="inlineStr">
        <is>
          <t>72</t>
        </is>
      </c>
      <c r="G2311" t="inlineStr">
        <is>
          <t>12</t>
        </is>
      </c>
      <c r="H2311" t="inlineStr">
        <is>
          <t>0</t>
        </is>
      </c>
      <c r="I2311" t="inlineStr">
        <is>
          <t>24¹, 120¹</t>
        </is>
      </c>
      <c r="J2311" t="n">
        <v>2</v>
      </c>
      <c r="K2311" t="inlineStr">
        <is>
          <t>4⁴, 8⁴, 16², 32²</t>
        </is>
      </c>
      <c r="L2311" t="inlineStr">
        <is>
          <t>60B³</t>
        </is>
      </c>
      <c r="M2311" t="inlineStr">
        <is>
          <t>120Q¹⁷, 120G¹⁹, 120H¹⁹, 120P¹⁹, 120O¹⁹, 120R¹⁹, 120S¹⁹, 120G²¹, 120K²¹, 120J²¹, 120M²¹, 120N²¹, 120E²³, 120J²³</t>
        </is>
      </c>
      <c r="N2311" t="inlineStr">
        <is>
          <t>15B⁰, 12A⁰, 4A⁰, 5B⁰, 60B³, 3A⁰, 1A⁰, 20B¹</t>
        </is>
      </c>
      <c r="O2311" t="inlineStr">
        <is>
          <t>120M²¹, 120H¹⁹, 120J²³, 120S¹⁹, 120J²¹, 120N²¹, 120E²³, 120R¹⁹, 120P¹⁹, 120G¹⁹, 120K²¹, 120O¹⁹, 120G²¹, 120Q¹⁷</t>
        </is>
      </c>
    </row>
    <row r="2312">
      <c r="A2312">
        <f>HYPERLINK("https://mathstats.uncg.edu/sites/pauli/congruence/csg9.html#group120F9", "120F⁹")</f>
        <v/>
      </c>
      <c r="B2312" t="n">
        <v>9</v>
      </c>
      <c r="C2312" t="inlineStr"/>
      <c r="D2312" t="inlineStr">
        <is>
          <t>144</t>
        </is>
      </c>
      <c r="E2312" t="inlineStr">
        <is>
          <t>2</t>
        </is>
      </c>
      <c r="F2312" t="inlineStr">
        <is>
          <t>72</t>
        </is>
      </c>
      <c r="G2312" t="inlineStr">
        <is>
          <t>12</t>
        </is>
      </c>
      <c r="H2312" t="inlineStr">
        <is>
          <t>0</t>
        </is>
      </c>
      <c r="I2312" t="inlineStr">
        <is>
          <t>24¹, 120¹</t>
        </is>
      </c>
      <c r="J2312" t="n">
        <v>2</v>
      </c>
      <c r="K2312" t="inlineStr">
        <is>
          <t>4⁴, 8⁴, 16², 32²</t>
        </is>
      </c>
      <c r="L2312" t="inlineStr">
        <is>
          <t>24B¹, 60B³</t>
        </is>
      </c>
      <c r="M2312" t="inlineStr">
        <is>
          <t>120Q¹⁷, 120I¹⁹, 120J¹⁹, 120N¹⁹, 120Q¹⁹, 120R¹⁹, 120S¹⁹, 120H²¹, 120I²¹, 120L²¹, 120M²¹, 120N²¹, 120F²³, 120J²³</t>
        </is>
      </c>
      <c r="N2312" t="inlineStr">
        <is>
          <t>15B⁰, 12A⁰, 4A⁰, 5B⁰, 60B³, 24B¹, 3A⁰, 1A⁰, 20B¹</t>
        </is>
      </c>
      <c r="O2312" t="inlineStr">
        <is>
          <t>120I¹⁹, 120M²¹, 120N¹⁹, 120S¹⁹, 120H²¹, 120F²³, 120J²³, 120N²¹, 120Q¹⁹, 120J¹⁹, 120R¹⁹, 120L²¹, 120I²¹, 120Q¹⁷</t>
        </is>
      </c>
    </row>
    <row r="2313">
      <c r="A2313">
        <f>HYPERLINK("https://mathstats.uncg.edu/sites/pauli/congruence/csg9.html#group122A9", "122A⁹")</f>
        <v/>
      </c>
      <c r="B2313" t="n">
        <v>9</v>
      </c>
      <c r="C2313" t="inlineStr"/>
      <c r="D2313" t="inlineStr">
        <is>
          <t>124</t>
        </is>
      </c>
      <c r="E2313" t="inlineStr">
        <is>
          <t>1</t>
        </is>
      </c>
      <c r="F2313" t="inlineStr">
        <is>
          <t>62</t>
        </is>
      </c>
      <c r="G2313" t="inlineStr">
        <is>
          <t>0</t>
        </is>
      </c>
      <c r="H2313" t="inlineStr">
        <is>
          <t>4</t>
        </is>
      </c>
      <c r="I2313" t="inlineStr">
        <is>
          <t>2¹, 122¹</t>
        </is>
      </c>
      <c r="J2313" t="n">
        <v>2</v>
      </c>
      <c r="K2313" t="inlineStr">
        <is>
          <t>1², 60¹</t>
        </is>
      </c>
      <c r="L2313" t="inlineStr">
        <is>
          <t>2A⁰, 61A⁴</t>
        </is>
      </c>
      <c r="M2313" t="inlineStr">
        <is>
          <t>122A¹⁷</t>
        </is>
      </c>
      <c r="N2313" t="inlineStr">
        <is>
          <t>2A⁰, 1A⁰, 61A⁴</t>
        </is>
      </c>
      <c r="O2313" t="inlineStr">
        <is>
          <t>122A¹⁷</t>
        </is>
      </c>
    </row>
    <row r="2314">
      <c r="A2314">
        <f>HYPERLINK("https://mathstats.uncg.edu/sites/pauli/congruence/csg9.html#group123A9", "123A⁹")</f>
        <v/>
      </c>
      <c r="B2314" t="n">
        <v>9</v>
      </c>
      <c r="C2314" t="inlineStr"/>
      <c r="D2314" t="inlineStr">
        <is>
          <t>126</t>
        </is>
      </c>
      <c r="E2314" t="inlineStr">
        <is>
          <t>1</t>
        </is>
      </c>
      <c r="F2314" t="inlineStr">
        <is>
          <t>42</t>
        </is>
      </c>
      <c r="G2314" t="inlineStr">
        <is>
          <t>6</t>
        </is>
      </c>
      <c r="H2314" t="inlineStr">
        <is>
          <t>0</t>
        </is>
      </c>
      <c r="I2314" t="inlineStr">
        <is>
          <t>3¹, 123¹</t>
        </is>
      </c>
      <c r="J2314" t="n">
        <v>2</v>
      </c>
      <c r="K2314" t="inlineStr">
        <is>
          <t>1², 40¹</t>
        </is>
      </c>
      <c r="L2314" t="inlineStr">
        <is>
          <t>3A⁰, 41A³</t>
        </is>
      </c>
      <c r="M2314" t="inlineStr">
        <is>
          <t>123A¹⁷, 123A¹⁹, 123B¹⁹, 246A¹⁹, 246B¹⁹, 246A²¹, 246B²¹</t>
        </is>
      </c>
      <c r="N2314" t="inlineStr">
        <is>
          <t>3A⁰, 1A⁰, 41A³</t>
        </is>
      </c>
      <c r="O2314" t="inlineStr">
        <is>
          <t>123B¹⁹, 123A¹⁷, 246A¹⁹, 246B¹⁹, 123A¹⁹, 246B²¹, 246A²¹</t>
        </is>
      </c>
    </row>
    <row r="2315">
      <c r="A2315">
        <f>HYPERLINK("https://mathstats.uncg.edu/sites/pauli/congruence/csg9.html#group128A9", "128A⁹")</f>
        <v/>
      </c>
      <c r="B2315" t="n">
        <v>9</v>
      </c>
      <c r="C2315" t="inlineStr">
        <is>
          <t>Γ₀(128)</t>
        </is>
      </c>
      <c r="D2315" t="inlineStr">
        <is>
          <t>192</t>
        </is>
      </c>
      <c r="E2315" t="inlineStr">
        <is>
          <t>1</t>
        </is>
      </c>
      <c r="F2315" t="inlineStr">
        <is>
          <t>24</t>
        </is>
      </c>
      <c r="G2315" t="inlineStr">
        <is>
          <t>0</t>
        </is>
      </c>
      <c r="H2315" t="inlineStr">
        <is>
          <t>0</t>
        </is>
      </c>
      <c r="I2315" t="inlineStr">
        <is>
          <t>1⁸, 2⁴, 8², 32¹, 128¹</t>
        </is>
      </c>
      <c r="J2315" t="n">
        <v>16</v>
      </c>
      <c r="K2315" t="inlineStr">
        <is>
          <t>1⁴, 2², 4², 8¹</t>
        </is>
      </c>
      <c r="L2315" t="inlineStr">
        <is>
          <t>64B³</t>
        </is>
      </c>
      <c r="M2315" t="inlineStr">
        <is>
          <t>128A¹⁷, 128B²¹, 128F²¹, 256A²¹</t>
        </is>
      </c>
      <c r="N2315" t="inlineStr">
        <is>
          <t>64B³, 8C⁰, 2B⁰, 32A¹, 4B⁰, 1A⁰, 16C⁰</t>
        </is>
      </c>
      <c r="O2315" t="inlineStr">
        <is>
          <t>128A¹⁷, 128F²¹, 256A²¹, 128B²¹</t>
        </is>
      </c>
    </row>
    <row r="2316">
      <c r="A2316">
        <f>HYPERLINK("https://mathstats.uncg.edu/sites/pauli/congruence/csg9.html#group128B9", "128B⁹")</f>
        <v/>
      </c>
      <c r="B2316" t="n">
        <v>9</v>
      </c>
      <c r="C2316" t="inlineStr"/>
      <c r="D2316" t="inlineStr">
        <is>
          <t>192</t>
        </is>
      </c>
      <c r="E2316" t="inlineStr">
        <is>
          <t>1</t>
        </is>
      </c>
      <c r="F2316" t="inlineStr">
        <is>
          <t>24</t>
        </is>
      </c>
      <c r="G2316" t="inlineStr">
        <is>
          <t>0</t>
        </is>
      </c>
      <c r="H2316" t="inlineStr">
        <is>
          <t>0</t>
        </is>
      </c>
      <c r="I2316" t="inlineStr">
        <is>
          <t>1⁸, 2⁴, 8², 32¹, 128¹</t>
        </is>
      </c>
      <c r="J2316" t="n">
        <v>16</v>
      </c>
      <c r="K2316" t="inlineStr">
        <is>
          <t>1⁴, 2², 4², 8¹</t>
        </is>
      </c>
      <c r="L2316" t="inlineStr">
        <is>
          <t>64B³</t>
        </is>
      </c>
      <c r="M2316" t="inlineStr">
        <is>
          <t>128A¹⁷, 128C²¹, 128F²¹, 256B²¹</t>
        </is>
      </c>
      <c r="N2316" t="inlineStr">
        <is>
          <t>64B³, 8C⁰, 2B⁰, 32A¹, 4B⁰, 1A⁰, 16C⁰</t>
        </is>
      </c>
      <c r="O2316" t="inlineStr">
        <is>
          <t>128A¹⁷, 128F²¹, 256B²¹, 128C²¹</t>
        </is>
      </c>
    </row>
    <row r="2317">
      <c r="A2317">
        <f>HYPERLINK("https://mathstats.uncg.edu/sites/pauli/congruence/csg9.html#group130A9", "130A⁹")</f>
        <v/>
      </c>
      <c r="B2317" t="n">
        <v>9</v>
      </c>
      <c r="C2317" t="inlineStr"/>
      <c r="D2317" t="inlineStr">
        <is>
          <t>140</t>
        </is>
      </c>
      <c r="E2317" t="inlineStr">
        <is>
          <t>1</t>
        </is>
      </c>
      <c r="F2317" t="inlineStr">
        <is>
          <t>70</t>
        </is>
      </c>
      <c r="G2317" t="inlineStr">
        <is>
          <t>0</t>
        </is>
      </c>
      <c r="H2317" t="inlineStr">
        <is>
          <t>8</t>
        </is>
      </c>
      <c r="I2317" t="inlineStr">
        <is>
          <t>10¹, 130¹</t>
        </is>
      </c>
      <c r="J2317" t="n">
        <v>2</v>
      </c>
      <c r="K2317" t="inlineStr">
        <is>
          <t>1², 4², 12¹, 48¹</t>
        </is>
      </c>
      <c r="L2317" t="inlineStr">
        <is>
          <t>10A⁰, 26A¹, 65A⁴</t>
        </is>
      </c>
      <c r="M2317" t="inlineStr">
        <is>
          <t>130B¹⁷</t>
        </is>
      </c>
      <c r="N2317" t="inlineStr">
        <is>
          <t>2A⁰, 26A¹, 5A⁰, 10A⁰, 13A⁰, 1A⁰, 65A⁴</t>
        </is>
      </c>
      <c r="O2317" t="inlineStr">
        <is>
          <t>130B¹⁷</t>
        </is>
      </c>
    </row>
    <row r="2318">
      <c r="A2318">
        <f>HYPERLINK("https://mathstats.uncg.edu/sites/pauli/congruence/csg9.html#group148A9", "148A⁹")</f>
        <v/>
      </c>
      <c r="B2318" t="n">
        <v>9</v>
      </c>
      <c r="C2318" t="inlineStr"/>
      <c r="D2318" t="inlineStr">
        <is>
          <t>152</t>
        </is>
      </c>
      <c r="E2318" t="inlineStr">
        <is>
          <t>2</t>
        </is>
      </c>
      <c r="F2318" t="inlineStr">
        <is>
          <t>38</t>
        </is>
      </c>
      <c r="G2318" t="inlineStr">
        <is>
          <t>4</t>
        </is>
      </c>
      <c r="H2318" t="inlineStr">
        <is>
          <t>8</t>
        </is>
      </c>
      <c r="I2318" t="inlineStr">
        <is>
          <t>4¹, 148¹</t>
        </is>
      </c>
      <c r="J2318" t="n">
        <v>2</v>
      </c>
      <c r="K2318" t="inlineStr">
        <is>
          <t>2², 72¹</t>
        </is>
      </c>
      <c r="L2318" t="inlineStr">
        <is>
          <t>74A⁴</t>
        </is>
      </c>
      <c r="M2318" t="inlineStr">
        <is>
          <t>148A¹⁹</t>
        </is>
      </c>
      <c r="N2318" t="inlineStr">
        <is>
          <t>37A², 1A⁰, 74A⁴</t>
        </is>
      </c>
      <c r="O2318" t="inlineStr">
        <is>
          <t>148A¹⁹</t>
        </is>
      </c>
    </row>
    <row r="2319">
      <c r="A2319">
        <f>HYPERLINK("https://mathstats.uncg.edu/sites/pauli/congruence/csg9.html#group154A9", "154A⁹")</f>
        <v/>
      </c>
      <c r="B2319" t="n">
        <v>9</v>
      </c>
      <c r="C2319" t="inlineStr"/>
      <c r="D2319" t="inlineStr">
        <is>
          <t>154</t>
        </is>
      </c>
      <c r="E2319" t="inlineStr">
        <is>
          <t>2</t>
        </is>
      </c>
      <c r="F2319" t="inlineStr">
        <is>
          <t>77</t>
        </is>
      </c>
      <c r="G2319" t="inlineStr">
        <is>
          <t>12</t>
        </is>
      </c>
      <c r="H2319" t="inlineStr">
        <is>
          <t>4</t>
        </is>
      </c>
      <c r="I2319" t="inlineStr">
        <is>
          <t>154¹</t>
        </is>
      </c>
      <c r="J2319" t="n">
        <v>1</v>
      </c>
      <c r="K2319" t="inlineStr">
        <is>
          <t>4¹, 12², 20², 60⁴</t>
        </is>
      </c>
      <c r="L2319" t="inlineStr">
        <is>
          <t>77A⁴</t>
        </is>
      </c>
      <c r="M2319" t="inlineStr">
        <is>
          <t>154A²³</t>
        </is>
      </c>
      <c r="N2319" t="inlineStr">
        <is>
          <t>11A⁰, 1A⁰, 7A⁰, 77A⁴</t>
        </is>
      </c>
      <c r="O2319" t="inlineStr">
        <is>
          <t>154A²³</t>
        </is>
      </c>
    </row>
    <row r="2320">
      <c r="A2320">
        <f>HYPERLINK("https://mathstats.uncg.edu/sites/pauli/congruence/csg9.html#group154B9", "154B⁹")</f>
        <v/>
      </c>
      <c r="B2320" t="n">
        <v>9</v>
      </c>
      <c r="C2320" t="inlineStr"/>
      <c r="D2320" t="inlineStr">
        <is>
          <t>154</t>
        </is>
      </c>
      <c r="E2320" t="inlineStr">
        <is>
          <t>2</t>
        </is>
      </c>
      <c r="F2320" t="inlineStr">
        <is>
          <t>77</t>
        </is>
      </c>
      <c r="G2320" t="inlineStr">
        <is>
          <t>12</t>
        </is>
      </c>
      <c r="H2320" t="inlineStr">
        <is>
          <t>4</t>
        </is>
      </c>
      <c r="I2320" t="inlineStr">
        <is>
          <t>154¹</t>
        </is>
      </c>
      <c r="J2320" t="n">
        <v>1</v>
      </c>
      <c r="K2320" t="inlineStr">
        <is>
          <t>4¹, 12², 20², 60⁴</t>
        </is>
      </c>
      <c r="L2320" t="inlineStr">
        <is>
          <t>77B⁴</t>
        </is>
      </c>
      <c r="M2320" t="inlineStr">
        <is>
          <t>154B²³</t>
        </is>
      </c>
      <c r="N2320" t="inlineStr">
        <is>
          <t>77B⁴, 11A⁰, 1A⁰, 7A⁰</t>
        </is>
      </c>
      <c r="O2320" t="inlineStr">
        <is>
          <t>154B²³</t>
        </is>
      </c>
    </row>
    <row r="2321">
      <c r="A2321">
        <f>HYPERLINK("https://mathstats.uncg.edu/sites/pauli/congruence/csg10.html#group9A10", "9A¹⁰")</f>
        <v/>
      </c>
      <c r="B2321" t="n">
        <v>10</v>
      </c>
      <c r="C2321" t="inlineStr">
        <is>
          <t>Γ(9)</t>
        </is>
      </c>
      <c r="D2321" t="inlineStr">
        <is>
          <t>324</t>
        </is>
      </c>
      <c r="E2321" t="inlineStr">
        <is>
          <t>1</t>
        </is>
      </c>
      <c r="F2321" t="inlineStr">
        <is>
          <t>1</t>
        </is>
      </c>
      <c r="G2321" t="inlineStr">
        <is>
          <t>0</t>
        </is>
      </c>
      <c r="H2321" t="inlineStr">
        <is>
          <t>0</t>
        </is>
      </c>
      <c r="I2321" t="inlineStr">
        <is>
          <t>9³⁶</t>
        </is>
      </c>
      <c r="J2321" t="n">
        <v>36</v>
      </c>
      <c r="K2321" t="inlineStr">
        <is>
          <t>1¹</t>
        </is>
      </c>
      <c r="L2321" t="inlineStr">
        <is>
          <t>9H¹, 9A³, 9A⁴, 9B⁴, 9C⁴</t>
        </is>
      </c>
      <c r="M2321" t="inlineStr"/>
      <c r="N2321" t="inlineStr">
        <is>
          <t>3B⁰, 9J⁰, 9D¹, 9G⁰, 9H¹, 9A³, 9B⁰, 9E¹, 9B², 9E⁰, 9C⁰, 1A⁰, 9B¹, 9D⁰, 9C⁴, 9B⁴, 9A², 9A⁰, 9A¹, 9I⁰, 3C⁰, 9G¹, 9C¹, 9H⁰, 9A⁴, 3A⁰, 9F⁰, 3D⁰, 9F¹</t>
        </is>
      </c>
      <c r="O2321" t="inlineStr"/>
    </row>
    <row r="2322">
      <c r="A2322">
        <f>HYPERLINK("https://mathstats.uncg.edu/sites/pauli/congruence/csg10.html#group15A10", "15A¹⁰")</f>
        <v/>
      </c>
      <c r="B2322" t="n">
        <v>10</v>
      </c>
      <c r="C2322" t="inlineStr"/>
      <c r="D2322" t="inlineStr">
        <is>
          <t>180</t>
        </is>
      </c>
      <c r="E2322" t="inlineStr">
        <is>
          <t>1</t>
        </is>
      </c>
      <c r="F2322" t="inlineStr">
        <is>
          <t>1</t>
        </is>
      </c>
      <c r="G2322" t="inlineStr">
        <is>
          <t>0</t>
        </is>
      </c>
      <c r="H2322" t="inlineStr">
        <is>
          <t>0</t>
        </is>
      </c>
      <c r="I2322" t="inlineStr">
        <is>
          <t>15¹²</t>
        </is>
      </c>
      <c r="J2322" t="n">
        <v>12</v>
      </c>
      <c r="K2322" t="inlineStr">
        <is>
          <t>1¹</t>
        </is>
      </c>
      <c r="L2322" t="inlineStr">
        <is>
          <t>5H⁰, 15B², 15B³, 15B⁴, 15D⁴</t>
        </is>
      </c>
      <c r="M2322" t="inlineStr">
        <is>
          <t>15A¹⁹</t>
        </is>
      </c>
      <c r="N2322" t="inlineStr">
        <is>
          <t>5A⁰, 15D⁴, 15B⁴, 15F¹, 5B⁰, 5F⁰, 5D⁰, 1A⁰, 5H⁰, 15D¹, 15B⁰, 15B², 5E⁰, 15B³, 3A⁰, 5C⁰, 5G⁰, 15A¹, 15A⁰</t>
        </is>
      </c>
      <c r="O2322" t="inlineStr">
        <is>
          <t>15A¹⁹</t>
        </is>
      </c>
    </row>
    <row r="2323">
      <c r="A2323">
        <f>HYPERLINK("https://mathstats.uncg.edu/sites/pauli/congruence/csg10.html#group15B10", "15B¹⁰")</f>
        <v/>
      </c>
      <c r="B2323" t="n">
        <v>10</v>
      </c>
      <c r="C2323" t="inlineStr"/>
      <c r="D2323" t="inlineStr">
        <is>
          <t>180</t>
        </is>
      </c>
      <c r="E2323" t="inlineStr">
        <is>
          <t>1</t>
        </is>
      </c>
      <c r="F2323" t="inlineStr">
        <is>
          <t>5</t>
        </is>
      </c>
      <c r="G2323" t="inlineStr">
        <is>
          <t>0</t>
        </is>
      </c>
      <c r="H2323" t="inlineStr">
        <is>
          <t>0</t>
        </is>
      </c>
      <c r="I2323" t="inlineStr">
        <is>
          <t>15¹²</t>
        </is>
      </c>
      <c r="J2323" t="n">
        <v>12</v>
      </c>
      <c r="K2323" t="inlineStr">
        <is>
          <t>1¹, 4¹</t>
        </is>
      </c>
      <c r="L2323" t="inlineStr">
        <is>
          <t>15A³, 15D³, 15A⁴, 15C⁴</t>
        </is>
      </c>
      <c r="M2323" t="inlineStr">
        <is>
          <t>15B¹⁹</t>
        </is>
      </c>
      <c r="N2323" t="inlineStr">
        <is>
          <t>3B⁰, 5A⁰, 15A⁴, 15D³, 15F¹, 1A⁰, 15C⁴, 15A³, 15A², 15B¹, 5E⁰, 3C⁰, 3A⁰, 3D⁰, 15A¹, 15A⁰</t>
        </is>
      </c>
      <c r="O2323" t="inlineStr">
        <is>
          <t>15B¹⁹</t>
        </is>
      </c>
    </row>
    <row r="2324">
      <c r="A2324">
        <f>HYPERLINK("https://mathstats.uncg.edu/sites/pauli/congruence/csg10.html#group16A10", "16A¹⁰")</f>
        <v/>
      </c>
      <c r="B2324" t="n">
        <v>10</v>
      </c>
      <c r="C2324" t="inlineStr"/>
      <c r="D2324" t="inlineStr">
        <is>
          <t>192</t>
        </is>
      </c>
      <c r="E2324" t="inlineStr">
        <is>
          <t>1</t>
        </is>
      </c>
      <c r="F2324" t="inlineStr">
        <is>
          <t>48</t>
        </is>
      </c>
      <c r="G2324" t="inlineStr">
        <is>
          <t>4</t>
        </is>
      </c>
      <c r="H2324" t="inlineStr">
        <is>
          <t>0</t>
        </is>
      </c>
      <c r="I2324" t="inlineStr">
        <is>
          <t>16¹²</t>
        </is>
      </c>
      <c r="J2324" t="n">
        <v>12</v>
      </c>
      <c r="K2324" t="inlineStr">
        <is>
          <t>4², 8⁵</t>
        </is>
      </c>
      <c r="L2324" t="inlineStr">
        <is>
          <t>16P³, 16B⁴, 16I⁵</t>
        </is>
      </c>
      <c r="M2324" t="inlineStr">
        <is>
          <t>16A¹⁹, 16D²¹, 16F²¹, 32A²², 32B²², 32A²⁴, 32B²⁴</t>
        </is>
      </c>
      <c r="N2324" t="inlineStr">
        <is>
          <t>16I¹, 8D⁰, 4C⁰, 8B⁰, 16P³, 8A⁰, 2B⁰, 1A⁰, 8K⁰, 8D¹, 8H¹, 16E², 8H⁰, 16E⁰, 16B⁴, 16D¹, 4A⁰, 16I⁵, 16C¹, 4F⁰</t>
        </is>
      </c>
      <c r="O2324" t="inlineStr">
        <is>
          <t>32B²⁴, 32A²², 16F²¹, 16A¹⁹, 32B²², 32A²⁴, 16D²¹</t>
        </is>
      </c>
    </row>
    <row r="2325">
      <c r="A2325">
        <f>HYPERLINK("https://mathstats.uncg.edu/sites/pauli/congruence/csg10.html#group16B10", "16B¹⁰")</f>
        <v/>
      </c>
      <c r="B2325" t="n">
        <v>10</v>
      </c>
      <c r="C2325" t="inlineStr"/>
      <c r="D2325" t="inlineStr">
        <is>
          <t>192</t>
        </is>
      </c>
      <c r="E2325" t="inlineStr">
        <is>
          <t>1</t>
        </is>
      </c>
      <c r="F2325" t="inlineStr">
        <is>
          <t>48</t>
        </is>
      </c>
      <c r="G2325" t="inlineStr">
        <is>
          <t>4</t>
        </is>
      </c>
      <c r="H2325" t="inlineStr">
        <is>
          <t>0</t>
        </is>
      </c>
      <c r="I2325" t="inlineStr">
        <is>
          <t>16¹²</t>
        </is>
      </c>
      <c r="J2325" t="n">
        <v>12</v>
      </c>
      <c r="K2325" t="inlineStr">
        <is>
          <t>4², 8⁵</t>
        </is>
      </c>
      <c r="L2325" t="inlineStr">
        <is>
          <t>16Q³, 16B⁴, 16J⁵</t>
        </is>
      </c>
      <c r="M2325" t="inlineStr">
        <is>
          <t>16A¹⁹, 16D²¹, 16F²¹, 32C²⁴, 32D²⁴</t>
        </is>
      </c>
      <c r="N2325" t="inlineStr">
        <is>
          <t>16A⁰, 16I¹, 8D⁰, 4C⁰, 8B⁰, 8A⁰, 16G³, 2B⁰, 8K⁰, 1A⁰, 8H¹, 8D¹, 16E², 8H⁰, 16L¹, 16E⁰, 16B⁴, 16D¹, 4A⁰, 16C¹, 4F⁰, 16Q³, 16J⁵, 16K¹</t>
        </is>
      </c>
      <c r="O2325" t="inlineStr">
        <is>
          <t>16F²¹, 16A¹⁹, 32D²⁴, 32C²⁴, 16D²¹</t>
        </is>
      </c>
    </row>
    <row r="2326">
      <c r="A2326">
        <f>HYPERLINK("https://mathstats.uncg.edu/sites/pauli/congruence/csg10.html#group16C10", "16C¹⁰")</f>
        <v/>
      </c>
      <c r="B2326" t="n">
        <v>10</v>
      </c>
      <c r="C2326" t="inlineStr"/>
      <c r="D2326" t="inlineStr">
        <is>
          <t>192</t>
        </is>
      </c>
      <c r="E2326" t="inlineStr">
        <is>
          <t>1</t>
        </is>
      </c>
      <c r="F2326" t="inlineStr">
        <is>
          <t>48</t>
        </is>
      </c>
      <c r="G2326" t="inlineStr">
        <is>
          <t>4</t>
        </is>
      </c>
      <c r="H2326" t="inlineStr">
        <is>
          <t>0</t>
        </is>
      </c>
      <c r="I2326" t="inlineStr">
        <is>
          <t>16¹²</t>
        </is>
      </c>
      <c r="J2326" t="n">
        <v>12</v>
      </c>
      <c r="K2326" t="inlineStr">
        <is>
          <t>4², 8⁵</t>
        </is>
      </c>
      <c r="L2326" t="inlineStr">
        <is>
          <t>8C², 16H², 16I⁵, 16J⁵</t>
        </is>
      </c>
      <c r="M2326" t="inlineStr">
        <is>
          <t>16A¹⁹, 16B²¹, 16F²¹</t>
        </is>
      </c>
      <c r="N2326" t="inlineStr">
        <is>
          <t>16A⁰, 8D⁰, 4C⁰, 8C², 8A⁰, 8B⁰, 16G³, 2B⁰, 8L⁰, 8K⁰, 1A⁰, 8D¹, 8H¹, 8H⁰, 8F⁰, 16H², 16I⁵, 4A⁰, 8I¹, 4F⁰, 8M⁰, 8P⁰, 16J⁵</t>
        </is>
      </c>
      <c r="O2326" t="inlineStr">
        <is>
          <t>16B²¹, 16F²¹, 16A¹⁹</t>
        </is>
      </c>
    </row>
    <row r="2327">
      <c r="A2327">
        <f>HYPERLINK("https://mathstats.uncg.edu/sites/pauli/congruence/csg10.html#group18A10", "18A¹⁰")</f>
        <v/>
      </c>
      <c r="B2327" t="n">
        <v>10</v>
      </c>
      <c r="C2327" t="inlineStr"/>
      <c r="D2327" t="inlineStr">
        <is>
          <t>162</t>
        </is>
      </c>
      <c r="E2327" t="inlineStr">
        <is>
          <t>1</t>
        </is>
      </c>
      <c r="F2327" t="inlineStr">
        <is>
          <t>27</t>
        </is>
      </c>
      <c r="G2327" t="inlineStr">
        <is>
          <t>0</t>
        </is>
      </c>
      <c r="H2327" t="inlineStr">
        <is>
          <t>0</t>
        </is>
      </c>
      <c r="I2327" t="inlineStr">
        <is>
          <t>18⁹</t>
        </is>
      </c>
      <c r="J2327" t="n">
        <v>9</v>
      </c>
      <c r="K2327" t="inlineStr">
        <is>
          <t>3¹, 6⁴</t>
        </is>
      </c>
      <c r="L2327" t="inlineStr">
        <is>
          <t>2C⁰, 18J², 18K⁴</t>
        </is>
      </c>
      <c r="M2327" t="inlineStr">
        <is>
          <t>36B²²</t>
        </is>
      </c>
      <c r="N2327" t="inlineStr">
        <is>
          <t>2A⁰, 18K⁴, 18J², 2B⁰, 9F⁰, 1A⁰, 2C⁰</t>
        </is>
      </c>
      <c r="O2327" t="inlineStr">
        <is>
          <t>36B²²</t>
        </is>
      </c>
    </row>
    <row r="2328">
      <c r="A2328">
        <f>HYPERLINK("https://mathstats.uncg.edu/sites/pauli/congruence/csg10.html#group18B10", "18B¹⁰")</f>
        <v/>
      </c>
      <c r="B2328" t="n">
        <v>10</v>
      </c>
      <c r="C2328" t="inlineStr"/>
      <c r="D2328" t="inlineStr">
        <is>
          <t>162</t>
        </is>
      </c>
      <c r="E2328" t="inlineStr">
        <is>
          <t>1</t>
        </is>
      </c>
      <c r="F2328" t="inlineStr">
        <is>
          <t>27</t>
        </is>
      </c>
      <c r="G2328" t="inlineStr">
        <is>
          <t>0</t>
        </is>
      </c>
      <c r="H2328" t="inlineStr">
        <is>
          <t>0</t>
        </is>
      </c>
      <c r="I2328" t="inlineStr">
        <is>
          <t>18⁹</t>
        </is>
      </c>
      <c r="J2328" t="n">
        <v>9</v>
      </c>
      <c r="K2328" t="inlineStr">
        <is>
          <t>3¹, 6⁴</t>
        </is>
      </c>
      <c r="L2328" t="inlineStr">
        <is>
          <t>9G¹, 18J², 18B⁴</t>
        </is>
      </c>
      <c r="M2328" t="inlineStr">
        <is>
          <t>18B¹⁹</t>
        </is>
      </c>
      <c r="N2328" t="inlineStr">
        <is>
          <t>2A⁰, 18B⁴, 9A⁰, 9G⁰, 9G¹, 18J², 6A¹, 18A², 3A⁰, 9F⁰, 1A⁰</t>
        </is>
      </c>
      <c r="O2328" t="inlineStr">
        <is>
          <t>18B¹⁹</t>
        </is>
      </c>
    </row>
    <row r="2329">
      <c r="A2329">
        <f>HYPERLINK("https://mathstats.uncg.edu/sites/pauli/congruence/csg10.html#group18C10", "18C¹⁰")</f>
        <v/>
      </c>
      <c r="B2329" t="n">
        <v>10</v>
      </c>
      <c r="C2329" t="inlineStr"/>
      <c r="D2329" t="inlineStr">
        <is>
          <t>162</t>
        </is>
      </c>
      <c r="E2329" t="inlineStr">
        <is>
          <t>1</t>
        </is>
      </c>
      <c r="F2329" t="inlineStr">
        <is>
          <t>27</t>
        </is>
      </c>
      <c r="G2329" t="inlineStr">
        <is>
          <t>0</t>
        </is>
      </c>
      <c r="H2329" t="inlineStr">
        <is>
          <t>0</t>
        </is>
      </c>
      <c r="I2329" t="inlineStr">
        <is>
          <t>18⁹</t>
        </is>
      </c>
      <c r="J2329" t="n">
        <v>9</v>
      </c>
      <c r="K2329" t="inlineStr">
        <is>
          <t>3¹, 6⁴</t>
        </is>
      </c>
      <c r="L2329" t="inlineStr">
        <is>
          <t>18J³, 18A⁴, 18B⁴</t>
        </is>
      </c>
      <c r="M2329" t="inlineStr">
        <is>
          <t>18C¹⁹, 18E¹⁹, 36E²², 36F²², 36J²²</t>
        </is>
      </c>
      <c r="N2329" t="inlineStr">
        <is>
          <t>2A⁰, 18B⁴, 6A⁰, 18A⁴, 18J³, 9A⁰, 6C¹, 9G⁰, 6A¹, 18A², 2B⁰, 18E¹, 3A⁰, 1A⁰, 2C⁰, 6D⁰</t>
        </is>
      </c>
      <c r="O2329" t="inlineStr">
        <is>
          <t>18E¹⁹, 18C¹⁹, 36J²², 36E²², 36F²²</t>
        </is>
      </c>
    </row>
    <row r="2330">
      <c r="A2330">
        <f>HYPERLINK("https://mathstats.uncg.edu/sites/pauli/congruence/csg10.html#group18D10", "18D¹⁰")</f>
        <v/>
      </c>
      <c r="B2330" t="n">
        <v>10</v>
      </c>
      <c r="C2330" t="inlineStr"/>
      <c r="D2330" t="inlineStr">
        <is>
          <t>216</t>
        </is>
      </c>
      <c r="E2330" t="inlineStr">
        <is>
          <t>1</t>
        </is>
      </c>
      <c r="F2330" t="inlineStr">
        <is>
          <t>4</t>
        </is>
      </c>
      <c r="G2330" t="inlineStr">
        <is>
          <t>0</t>
        </is>
      </c>
      <c r="H2330" t="inlineStr">
        <is>
          <t>0</t>
        </is>
      </c>
      <c r="I2330" t="inlineStr">
        <is>
          <t>6⁹, 18⁹</t>
        </is>
      </c>
      <c r="J2330" t="n">
        <v>18</v>
      </c>
      <c r="K2330" t="inlineStr">
        <is>
          <t>1², 2¹</t>
        </is>
      </c>
      <c r="L2330" t="inlineStr">
        <is>
          <t>9H¹, 18N², 18F³, 18G³, 18E⁴, 18I⁴</t>
        </is>
      </c>
      <c r="M2330" t="inlineStr"/>
      <c r="N2330" t="inlineStr">
        <is>
          <t>2A⁰, 9H¹, 9E⁰, 9C⁰, 1A⁰, 18F³, 6B¹, 18C¹, 18N², 9I⁰, 3C⁰, 6A¹, 18E⁴, 18I⁴, 3A⁰, 9D¹, 18F², 3B⁰, 9J⁰, 6B⁰, 18B⁰, 6C⁰, 9B⁰, 18B², 6D¹, 18G³, 6E⁰, 9A¹, 9C¹, 18F¹, 9H⁰, 3D⁰</t>
        </is>
      </c>
      <c r="O2330" t="inlineStr"/>
    </row>
    <row r="2331">
      <c r="A2331">
        <f>HYPERLINK("https://mathstats.uncg.edu/sites/pauli/congruence/csg10.html#group18E10", "18E¹⁰")</f>
        <v/>
      </c>
      <c r="B2331" t="n">
        <v>10</v>
      </c>
      <c r="C2331" t="inlineStr"/>
      <c r="D2331" t="inlineStr">
        <is>
          <t>216</t>
        </is>
      </c>
      <c r="E2331" t="inlineStr">
        <is>
          <t>1</t>
        </is>
      </c>
      <c r="F2331" t="inlineStr">
        <is>
          <t>4</t>
        </is>
      </c>
      <c r="G2331" t="inlineStr">
        <is>
          <t>0</t>
        </is>
      </c>
      <c r="H2331" t="inlineStr">
        <is>
          <t>0</t>
        </is>
      </c>
      <c r="I2331" t="inlineStr">
        <is>
          <t>6⁹, 18⁹</t>
        </is>
      </c>
      <c r="J2331" t="n">
        <v>18</v>
      </c>
      <c r="K2331" t="inlineStr">
        <is>
          <t>1², 2¹</t>
        </is>
      </c>
      <c r="L2331" t="inlineStr">
        <is>
          <t>6F¹, 18J¹, 18K¹, 18C⁴, 18D⁴, 18E⁴, 18F⁴, 18G⁴, 18H⁴, 18M⁴</t>
        </is>
      </c>
      <c r="M2331" t="inlineStr">
        <is>
          <t>36K²²</t>
        </is>
      </c>
      <c r="N2331" t="inlineStr">
        <is>
          <t>2A⁰, 18D¹, 6C¹, 18E², 6G⁰, 18D², 18F⁴, 2B⁰, 9C⁰, 1A⁰, 18G⁴, 18C⁰, 6B¹, 18C², 18C¹, 3C⁰, 6K⁰, 6A¹, 18E⁴, 6H⁰, 3A⁰, 6F⁰, 6E¹, 3B⁰, 6B⁰, 18K¹, 18B⁰, 6F¹, 6C⁰, 6I⁰, 9B⁰, 18J¹, 18H⁴, 18B², 18E⁰, 6A⁰, 6D¹, 6E⁰, 6L⁰, 9A¹, 6J⁰, 9C¹, 18D⁴, 18M⁴, 3D⁰, 2C⁰, 6D⁰, 18C⁴</t>
        </is>
      </c>
      <c r="O2331" t="inlineStr">
        <is>
          <t>36K²²</t>
        </is>
      </c>
    </row>
    <row r="2332">
      <c r="A2332">
        <f>HYPERLINK("https://mathstats.uncg.edu/sites/pauli/congruence/csg10.html#group18F10", "18F¹⁰")</f>
        <v/>
      </c>
      <c r="B2332" t="n">
        <v>10</v>
      </c>
      <c r="C2332" t="inlineStr"/>
      <c r="D2332" t="inlineStr">
        <is>
          <t>216</t>
        </is>
      </c>
      <c r="E2332" t="inlineStr">
        <is>
          <t>1</t>
        </is>
      </c>
      <c r="F2332" t="inlineStr">
        <is>
          <t>8</t>
        </is>
      </c>
      <c r="G2332" t="inlineStr">
        <is>
          <t>0</t>
        </is>
      </c>
      <c r="H2332" t="inlineStr">
        <is>
          <t>0</t>
        </is>
      </c>
      <c r="I2332" t="inlineStr">
        <is>
          <t>6⁹, 18⁹</t>
        </is>
      </c>
      <c r="J2332" t="n">
        <v>18</v>
      </c>
      <c r="K2332" t="inlineStr">
        <is>
          <t>1⁴, 2²</t>
        </is>
      </c>
      <c r="L2332" t="inlineStr">
        <is>
          <t>18O², 18H³, 18I³, 18E⁴, 18J⁴</t>
        </is>
      </c>
      <c r="M2332" t="inlineStr"/>
      <c r="N2332" t="inlineStr">
        <is>
          <t>3B⁰, 2A⁰, 6B⁰, 18B⁰, 6C⁰, 9B⁰, 18O², 9C⁰, 1A⁰, 18B², 18J⁴, 6D¹, 6E⁰, 6B¹, 18H³, 18C¹, 9A¹, 3C⁰, 9C¹, 6A¹, 18G¹, 18E⁴, 3A⁰, 18I³, 3D⁰</t>
        </is>
      </c>
      <c r="O2332" t="inlineStr"/>
    </row>
    <row r="2333">
      <c r="A2333">
        <f>HYPERLINK("https://mathstats.uncg.edu/sites/pauli/congruence/csg10.html#group18G10", "18G¹⁰")</f>
        <v/>
      </c>
      <c r="B2333" t="n">
        <v>10</v>
      </c>
      <c r="C2333" t="inlineStr"/>
      <c r="D2333" t="inlineStr">
        <is>
          <t>216</t>
        </is>
      </c>
      <c r="E2333" t="inlineStr">
        <is>
          <t>1</t>
        </is>
      </c>
      <c r="F2333" t="inlineStr">
        <is>
          <t>12</t>
        </is>
      </c>
      <c r="G2333" t="inlineStr">
        <is>
          <t>0</t>
        </is>
      </c>
      <c r="H2333" t="inlineStr">
        <is>
          <t>0</t>
        </is>
      </c>
      <c r="I2333" t="inlineStr">
        <is>
          <t>6⁹, 18⁹</t>
        </is>
      </c>
      <c r="J2333" t="n">
        <v>18</v>
      </c>
      <c r="K2333" t="inlineStr">
        <is>
          <t>1², 2², 6¹</t>
        </is>
      </c>
      <c r="L2333" t="inlineStr">
        <is>
          <t>18N², 18O², 18C⁴, 18P⁴</t>
        </is>
      </c>
      <c r="M2333" t="inlineStr">
        <is>
          <t>36N²²</t>
        </is>
      </c>
      <c r="N2333" t="inlineStr">
        <is>
          <t>3B⁰, 2A⁰, 9J⁰, 18B⁰, 6I⁰, 6C⁰, 18D², 2B⁰, 9C⁰, 18O², 1A⁰, 18P⁴, 18C², 18N², 6F⁰, 2C⁰, 18C⁴</t>
        </is>
      </c>
      <c r="O2333" t="inlineStr">
        <is>
          <t>36N²²</t>
        </is>
      </c>
    </row>
    <row r="2334">
      <c r="A2334">
        <f>HYPERLINK("https://mathstats.uncg.edu/sites/pauli/congruence/csg10.html#group18H10", "18H¹⁰")</f>
        <v/>
      </c>
      <c r="B2334" t="n">
        <v>10</v>
      </c>
      <c r="C2334" t="inlineStr"/>
      <c r="D2334" t="inlineStr">
        <is>
          <t>216</t>
        </is>
      </c>
      <c r="E2334" t="inlineStr">
        <is>
          <t>1</t>
        </is>
      </c>
      <c r="F2334" t="inlineStr">
        <is>
          <t>12</t>
        </is>
      </c>
      <c r="G2334" t="inlineStr">
        <is>
          <t>0</t>
        </is>
      </c>
      <c r="H2334" t="inlineStr">
        <is>
          <t>0</t>
        </is>
      </c>
      <c r="I2334" t="inlineStr">
        <is>
          <t>6⁹, 18⁹</t>
        </is>
      </c>
      <c r="J2334" t="n">
        <v>18</v>
      </c>
      <c r="K2334" t="inlineStr">
        <is>
          <t>1², 2², 6¹</t>
        </is>
      </c>
      <c r="L2334" t="inlineStr">
        <is>
          <t>18D⁴, 18I⁴, 18J⁴, 18Q⁴</t>
        </is>
      </c>
      <c r="M2334" t="inlineStr">
        <is>
          <t>36O²²</t>
        </is>
      </c>
      <c r="N2334" t="inlineStr">
        <is>
          <t>3B⁰, 2A⁰, 6I⁰, 6C⁰, 18E², 2B⁰, 1A⁰, 18B², 18J⁴, 9A¹, 18Q⁴, 18D⁴, 18I⁴, 9D¹, 6F⁰, 2C⁰, 18D¹</t>
        </is>
      </c>
      <c r="O2334" t="inlineStr">
        <is>
          <t>36O²²</t>
        </is>
      </c>
    </row>
    <row r="2335">
      <c r="A2335">
        <f>HYPERLINK("https://mathstats.uncg.edu/sites/pauli/congruence/csg10.html#group18I10", "18I¹⁰")</f>
        <v/>
      </c>
      <c r="B2335" t="n">
        <v>10</v>
      </c>
      <c r="C2335" t="inlineStr"/>
      <c r="D2335" t="inlineStr">
        <is>
          <t>216</t>
        </is>
      </c>
      <c r="E2335" t="inlineStr">
        <is>
          <t>1</t>
        </is>
      </c>
      <c r="F2335" t="inlineStr">
        <is>
          <t>24</t>
        </is>
      </c>
      <c r="G2335" t="inlineStr">
        <is>
          <t>0</t>
        </is>
      </c>
      <c r="H2335" t="inlineStr">
        <is>
          <t>0</t>
        </is>
      </c>
      <c r="I2335" t="inlineStr">
        <is>
          <t>6⁹, 18⁹</t>
        </is>
      </c>
      <c r="J2335" t="n">
        <v>18</v>
      </c>
      <c r="K2335" t="inlineStr">
        <is>
          <t>2⁶, 6²</t>
        </is>
      </c>
      <c r="L2335" t="inlineStr">
        <is>
          <t>18G³, 18I³, 18G⁴</t>
        </is>
      </c>
      <c r="M2335" t="inlineStr"/>
      <c r="N2335" t="inlineStr">
        <is>
          <t>3B⁰, 2A⁰, 6A⁰, 18G³, 18D¹, 18C¹, 18C², 6C⁰, 6J⁰, 9I⁰, 9B⁰, 18I³, 1A⁰, 18G⁴</t>
        </is>
      </c>
      <c r="O2335" t="inlineStr"/>
    </row>
    <row r="2336">
      <c r="A2336">
        <f>HYPERLINK("https://mathstats.uncg.edu/sites/pauli/congruence/csg10.html#group18J10", "18J¹⁰")</f>
        <v/>
      </c>
      <c r="B2336" t="n">
        <v>10</v>
      </c>
      <c r="C2336" t="inlineStr"/>
      <c r="D2336" t="inlineStr">
        <is>
          <t>216</t>
        </is>
      </c>
      <c r="E2336" t="inlineStr">
        <is>
          <t>1</t>
        </is>
      </c>
      <c r="F2336" t="inlineStr">
        <is>
          <t>24</t>
        </is>
      </c>
      <c r="G2336" t="inlineStr">
        <is>
          <t>0</t>
        </is>
      </c>
      <c r="H2336" t="inlineStr">
        <is>
          <t>0</t>
        </is>
      </c>
      <c r="I2336" t="inlineStr">
        <is>
          <t>6⁹, 18⁹</t>
        </is>
      </c>
      <c r="J2336" t="n">
        <v>18</v>
      </c>
      <c r="K2336" t="inlineStr">
        <is>
          <t>2⁶, 6²</t>
        </is>
      </c>
      <c r="L2336" t="inlineStr">
        <is>
          <t>18F⁴, 18I⁴, 18J⁴</t>
        </is>
      </c>
      <c r="M2336" t="inlineStr"/>
      <c r="N2336" t="inlineStr">
        <is>
          <t>3B⁰, 2A⁰, 18B², 18C⁰, 18J⁴, 6A⁰, 9A¹, 6C⁰, 6J⁰, 18F⁴, 18I⁴, 9D¹, 1A⁰, 18C²</t>
        </is>
      </c>
      <c r="O2336" t="inlineStr"/>
    </row>
    <row r="2337">
      <c r="A2337">
        <f>HYPERLINK("https://mathstats.uncg.edu/sites/pauli/congruence/csg10.html#group18K10", "18K¹⁰")</f>
        <v/>
      </c>
      <c r="B2337" t="n">
        <v>10</v>
      </c>
      <c r="C2337" t="inlineStr"/>
      <c r="D2337" t="inlineStr">
        <is>
          <t>216</t>
        </is>
      </c>
      <c r="E2337" t="inlineStr">
        <is>
          <t>1</t>
        </is>
      </c>
      <c r="F2337" t="inlineStr">
        <is>
          <t>24</t>
        </is>
      </c>
      <c r="G2337" t="inlineStr">
        <is>
          <t>0</t>
        </is>
      </c>
      <c r="H2337" t="inlineStr">
        <is>
          <t>0</t>
        </is>
      </c>
      <c r="I2337" t="inlineStr">
        <is>
          <t>6⁹, 18⁹</t>
        </is>
      </c>
      <c r="J2337" t="n">
        <v>18</v>
      </c>
      <c r="K2337" t="inlineStr">
        <is>
          <t>2¹²</t>
        </is>
      </c>
      <c r="L2337" t="inlineStr">
        <is>
          <t>18F³, 18H³, 18H⁴</t>
        </is>
      </c>
      <c r="M2337" t="inlineStr"/>
      <c r="N2337" t="inlineStr">
        <is>
          <t>3B⁰, 2A⁰, 18F², 6B⁰, 6C⁰, 9E⁰, 1A⁰, 18H⁴, 18C⁰, 18F³, 6D¹, 6E⁰, 6B¹, 18C², 18H³, 3C⁰, 6A¹, 18G¹, 18F¹, 9H⁰, 3A⁰, 3D⁰, 18D¹</t>
        </is>
      </c>
      <c r="O2337" t="inlineStr"/>
    </row>
    <row r="2338">
      <c r="A2338">
        <f>HYPERLINK("https://mathstats.uncg.edu/sites/pauli/congruence/csg10.html#group18L10", "18L¹⁰")</f>
        <v/>
      </c>
      <c r="B2338" t="n">
        <v>10</v>
      </c>
      <c r="C2338" t="inlineStr"/>
      <c r="D2338" t="inlineStr">
        <is>
          <t>243</t>
        </is>
      </c>
      <c r="E2338" t="inlineStr">
        <is>
          <t>1</t>
        </is>
      </c>
      <c r="F2338" t="inlineStr">
        <is>
          <t>81</t>
        </is>
      </c>
      <c r="G2338" t="inlineStr">
        <is>
          <t>9</t>
        </is>
      </c>
      <c r="H2338" t="inlineStr">
        <is>
          <t>0</t>
        </is>
      </c>
      <c r="I2338" t="inlineStr">
        <is>
          <t>9⁹, 18⁹</t>
        </is>
      </c>
      <c r="J2338" t="n">
        <v>18</v>
      </c>
      <c r="K2338" t="inlineStr">
        <is>
          <t>3³, 6¹²</t>
        </is>
      </c>
      <c r="L2338" t="inlineStr">
        <is>
          <t>9G¹, 18J³, 18K⁴</t>
        </is>
      </c>
      <c r="M2338" t="inlineStr">
        <is>
          <t>18A²²</t>
        </is>
      </c>
      <c r="N2338" t="inlineStr">
        <is>
          <t>18J³, 9A⁰, 18K⁴, 9G⁰, 9G¹, 2B⁰, 18E¹, 3A⁰, 9F⁰, 1A⁰, 6D⁰</t>
        </is>
      </c>
      <c r="O2338" t="inlineStr">
        <is>
          <t>18A²²</t>
        </is>
      </c>
    </row>
    <row r="2339">
      <c r="A2339">
        <f>HYPERLINK("https://mathstats.uncg.edu/sites/pauli/congruence/csg10.html#group18M10", "18M¹⁰")</f>
        <v/>
      </c>
      <c r="B2339" t="n">
        <v>10</v>
      </c>
      <c r="C2339" t="inlineStr"/>
      <c r="D2339" t="inlineStr">
        <is>
          <t>324</t>
        </is>
      </c>
      <c r="E2339" t="inlineStr">
        <is>
          <t>1</t>
        </is>
      </c>
      <c r="F2339" t="inlineStr">
        <is>
          <t>12</t>
        </is>
      </c>
      <c r="G2339" t="inlineStr">
        <is>
          <t>0</t>
        </is>
      </c>
      <c r="H2339" t="inlineStr">
        <is>
          <t>0</t>
        </is>
      </c>
      <c r="I2339" t="inlineStr">
        <is>
          <t>3⁹, 6⁹, 9⁹, 18⁹</t>
        </is>
      </c>
      <c r="J2339" t="n">
        <v>36</v>
      </c>
      <c r="K2339" t="inlineStr">
        <is>
          <t>1⁶, 2³</t>
        </is>
      </c>
      <c r="L2339" t="inlineStr">
        <is>
          <t>9H¹, 18P², 18Q², 18M⁴, 18P⁴, 18Q⁴</t>
        </is>
      </c>
      <c r="M2339" t="inlineStr"/>
      <c r="N2339" t="inlineStr">
        <is>
          <t>3B⁰, 9J⁰, 18I¹, 18E², 9H¹, 9B⁰, 18D², 6G⁰, 2B⁰, 9C⁰, 9E⁰, 1A⁰, 3D⁰, 18P⁴, 18E⁰, 18Q², 9A¹, 18Q⁴, 18P², 9I⁰, 9C¹, 3C⁰, 9H⁰, 18M⁴, 3A⁰, 9D¹, 6F⁰, 6K⁰, 6D⁰</t>
        </is>
      </c>
      <c r="O2339" t="inlineStr"/>
    </row>
    <row r="2340">
      <c r="A2340">
        <f>HYPERLINK("https://mathstats.uncg.edu/sites/pauli/congruence/csg10.html#group20A10", "20A¹⁰")</f>
        <v/>
      </c>
      <c r="B2340" t="n">
        <v>10</v>
      </c>
      <c r="C2340" t="inlineStr"/>
      <c r="D2340" t="inlineStr">
        <is>
          <t>180</t>
        </is>
      </c>
      <c r="E2340" t="inlineStr">
        <is>
          <t>1</t>
        </is>
      </c>
      <c r="F2340" t="inlineStr">
        <is>
          <t>15</t>
        </is>
      </c>
      <c r="G2340" t="inlineStr">
        <is>
          <t>0</t>
        </is>
      </c>
      <c r="H2340" t="inlineStr">
        <is>
          <t>0</t>
        </is>
      </c>
      <c r="I2340" t="inlineStr">
        <is>
          <t>10⁶, 20⁶</t>
        </is>
      </c>
      <c r="J2340" t="n">
        <v>12</v>
      </c>
      <c r="K2340" t="inlineStr">
        <is>
          <t>1³, 4³</t>
        </is>
      </c>
      <c r="L2340" t="inlineStr">
        <is>
          <t>10A⁴, 20A⁴, 20D⁴, 20E⁴</t>
        </is>
      </c>
      <c r="M2340" t="inlineStr">
        <is>
          <t>20D¹⁹, 20A²², 20C²², 40A²², 40C²², 40E²², 40L²²</t>
        </is>
      </c>
      <c r="N2340" t="inlineStr">
        <is>
          <t>20A², 20D⁴, 2A⁰, 5A⁰, 10A⁴, 10A², 20E⁴, 10B¹, 20B², 4C⁰, 2B⁰, 4E⁰, 10B², 4B⁰, 1A⁰, 10A⁰, 10I¹, 10E⁰, 20A⁴, 5E⁰, 2C⁰</t>
        </is>
      </c>
      <c r="O2340" t="inlineStr">
        <is>
          <t>20A²², 40C²², 40L²², 20D¹⁹, 40E²², 20C²², 40A²²</t>
        </is>
      </c>
    </row>
    <row r="2341">
      <c r="A2341">
        <f>HYPERLINK("https://mathstats.uncg.edu/sites/pauli/congruence/csg10.html#group20B10", "20B¹⁰")</f>
        <v/>
      </c>
      <c r="B2341" t="n">
        <v>10</v>
      </c>
      <c r="C2341" t="inlineStr"/>
      <c r="D2341" t="inlineStr">
        <is>
          <t>180</t>
        </is>
      </c>
      <c r="E2341" t="inlineStr">
        <is>
          <t>1</t>
        </is>
      </c>
      <c r="F2341" t="inlineStr">
        <is>
          <t>30</t>
        </is>
      </c>
      <c r="G2341" t="inlineStr">
        <is>
          <t>6</t>
        </is>
      </c>
      <c r="H2341" t="inlineStr">
        <is>
          <t>0</t>
        </is>
      </c>
      <c r="I2341" t="inlineStr">
        <is>
          <t>20⁹</t>
        </is>
      </c>
      <c r="J2341" t="n">
        <v>9</v>
      </c>
      <c r="K2341" t="inlineStr">
        <is>
          <t>1², 2², 4², 8²</t>
        </is>
      </c>
      <c r="L2341" t="inlineStr">
        <is>
          <t>20D³, 20C⁴, 20E⁴</t>
        </is>
      </c>
      <c r="M2341" t="inlineStr">
        <is>
          <t>20B²⁰, 20C²¹, 20A²², 40B²², 40F²², 40M²², 40G²³, 40A²⁴</t>
        </is>
      </c>
      <c r="N2341" t="inlineStr">
        <is>
          <t>5A⁰, 10I¹, 20E⁴, 4A⁰, 10B¹, 20B², 4C⁰, 5E⁰, 20A¹, 20C⁴, 2B⁰, 4F⁰, 1A⁰, 20D³</t>
        </is>
      </c>
      <c r="O2341" t="inlineStr">
        <is>
          <t>20A²², 40F²², 40G²³, 40A²⁴, 20C²¹, 40M²², 20B²⁰, 40B²²</t>
        </is>
      </c>
    </row>
    <row r="2342">
      <c r="A2342">
        <f>HYPERLINK("https://mathstats.uncg.edu/sites/pauli/congruence/csg10.html#group20C10", "20C¹⁰")</f>
        <v/>
      </c>
      <c r="B2342" t="n">
        <v>10</v>
      </c>
      <c r="C2342" t="inlineStr"/>
      <c r="D2342" t="inlineStr">
        <is>
          <t>180</t>
        </is>
      </c>
      <c r="E2342" t="inlineStr">
        <is>
          <t>1</t>
        </is>
      </c>
      <c r="F2342" t="inlineStr">
        <is>
          <t>45</t>
        </is>
      </c>
      <c r="G2342" t="inlineStr">
        <is>
          <t>0</t>
        </is>
      </c>
      <c r="H2342" t="inlineStr">
        <is>
          <t>0</t>
        </is>
      </c>
      <c r="I2342" t="inlineStr">
        <is>
          <t>10⁶, 20⁶</t>
        </is>
      </c>
      <c r="J2342" t="n">
        <v>12</v>
      </c>
      <c r="K2342" t="inlineStr">
        <is>
          <t>1³, 2³, 4⁹</t>
        </is>
      </c>
      <c r="L2342" t="inlineStr">
        <is>
          <t>10C³, 20D⁴, 20C⁵</t>
        </is>
      </c>
      <c r="M2342" t="inlineStr">
        <is>
          <t>20B¹⁹, 20D¹⁹, 40H²², 40I²²</t>
        </is>
      </c>
      <c r="N2342" t="inlineStr">
        <is>
          <t>20A², 20D⁴, 10C³, 5A⁰, 10I¹, 10B¹, 20C⁵, 5E⁰, 2B⁰, 4B⁰, 10E¹, 1A⁰</t>
        </is>
      </c>
      <c r="O2342" t="inlineStr">
        <is>
          <t>20B¹⁹, 40I²², 40H²², 20D¹⁹</t>
        </is>
      </c>
    </row>
    <row r="2343">
      <c r="A2343">
        <f>HYPERLINK("https://mathstats.uncg.edu/sites/pauli/congruence/csg10.html#group20D10", "20D¹⁰")</f>
        <v/>
      </c>
      <c r="B2343" t="n">
        <v>10</v>
      </c>
      <c r="C2343" t="inlineStr"/>
      <c r="D2343" t="inlineStr">
        <is>
          <t>180</t>
        </is>
      </c>
      <c r="E2343" t="inlineStr">
        <is>
          <t>1</t>
        </is>
      </c>
      <c r="F2343" t="inlineStr">
        <is>
          <t>45</t>
        </is>
      </c>
      <c r="G2343" t="inlineStr">
        <is>
          <t>0</t>
        </is>
      </c>
      <c r="H2343" t="inlineStr">
        <is>
          <t>0</t>
        </is>
      </c>
      <c r="I2343" t="inlineStr">
        <is>
          <t>10⁶, 20⁶</t>
        </is>
      </c>
      <c r="J2343" t="n">
        <v>12</v>
      </c>
      <c r="K2343" t="inlineStr">
        <is>
          <t>1³, 2³, 4⁹</t>
        </is>
      </c>
      <c r="L2343" t="inlineStr">
        <is>
          <t>20P³, 10A⁴, 20C⁵</t>
        </is>
      </c>
      <c r="M2343" t="inlineStr">
        <is>
          <t>20C¹⁹, 20D¹⁹, 20B²², 20C²²</t>
        </is>
      </c>
      <c r="N2343" t="inlineStr">
        <is>
          <t>2A⁰, 5A⁰, 10A⁴, 10A², 10B¹, 2B⁰, 10B², 1A⁰, 10A⁰, 10I¹, 10E⁰, 20C⁵, 5E⁰, 20P³, 2C⁰</t>
        </is>
      </c>
      <c r="O2343" t="inlineStr">
        <is>
          <t>20B²², 20C¹⁹, 20C²², 20D¹⁹</t>
        </is>
      </c>
    </row>
    <row r="2344">
      <c r="A2344">
        <f>HYPERLINK("https://mathstats.uncg.edu/sites/pauli/congruence/csg10.html#group20E10", "20E¹⁰")</f>
        <v/>
      </c>
      <c r="B2344" t="n">
        <v>10</v>
      </c>
      <c r="C2344" t="inlineStr"/>
      <c r="D2344" t="inlineStr">
        <is>
          <t>180</t>
        </is>
      </c>
      <c r="E2344" t="inlineStr">
        <is>
          <t>1</t>
        </is>
      </c>
      <c r="F2344" t="inlineStr">
        <is>
          <t>45</t>
        </is>
      </c>
      <c r="G2344" t="inlineStr">
        <is>
          <t>0</t>
        </is>
      </c>
      <c r="H2344" t="inlineStr">
        <is>
          <t>0</t>
        </is>
      </c>
      <c r="I2344" t="inlineStr">
        <is>
          <t>10⁶, 20⁶</t>
        </is>
      </c>
      <c r="J2344" t="n">
        <v>12</v>
      </c>
      <c r="K2344" t="inlineStr">
        <is>
          <t>1³, 2³, 4⁹</t>
        </is>
      </c>
      <c r="L2344" t="inlineStr">
        <is>
          <t>10F², 20C², 20B⁴, 20C⁵</t>
        </is>
      </c>
      <c r="M2344" t="inlineStr">
        <is>
          <t>20A¹⁹, 20B¹⁹, 20C¹⁹</t>
        </is>
      </c>
      <c r="N2344" t="inlineStr">
        <is>
          <t>5A⁰, 10I¹, 10F², 10B¹, 20C⁵, 5B⁰, 10C⁰, 5E⁰, 20B⁴, 2B⁰, 1A⁰, 5G⁰, 5C⁰, 20C², 10F¹</t>
        </is>
      </c>
      <c r="O2344" t="inlineStr">
        <is>
          <t>20A¹⁹, 20B¹⁹, 20C¹⁹</t>
        </is>
      </c>
    </row>
    <row r="2345">
      <c r="A2345">
        <f>HYPERLINK("https://mathstats.uncg.edu/sites/pauli/congruence/csg10.html#group20F10", "20F¹⁰")</f>
        <v/>
      </c>
      <c r="B2345" t="n">
        <v>10</v>
      </c>
      <c r="C2345" t="inlineStr"/>
      <c r="D2345" t="inlineStr">
        <is>
          <t>180</t>
        </is>
      </c>
      <c r="E2345" t="inlineStr">
        <is>
          <t>1</t>
        </is>
      </c>
      <c r="F2345" t="inlineStr">
        <is>
          <t>90</t>
        </is>
      </c>
      <c r="G2345" t="inlineStr">
        <is>
          <t>6</t>
        </is>
      </c>
      <c r="H2345" t="inlineStr">
        <is>
          <t>0</t>
        </is>
      </c>
      <c r="I2345" t="inlineStr">
        <is>
          <t>20⁹</t>
        </is>
      </c>
      <c r="J2345" t="n">
        <v>9</v>
      </c>
      <c r="K2345" t="inlineStr">
        <is>
          <t>1², 2⁴, 4⁸, 8⁶</t>
        </is>
      </c>
      <c r="L2345" t="inlineStr">
        <is>
          <t>20E⁴</t>
        </is>
      </c>
      <c r="M2345" t="inlineStr">
        <is>
          <t>20A²⁰, 20B²⁰, 20B²¹, 20C²¹, 20C²², 40J²², 40H²³, 40I²³, 40J²³, 40B²⁴, 40C²⁴, 40D²⁴</t>
        </is>
      </c>
      <c r="N2345" t="inlineStr">
        <is>
          <t>5A⁰, 10I¹, 20E⁴, 10B¹, 20B², 4C⁰, 5E⁰, 2B⁰, 1A⁰</t>
        </is>
      </c>
      <c r="O2345" t="inlineStr">
        <is>
          <t>20B²¹, 40I²³, 40B²⁴, 20C²¹, 20C²², 40J²², 40J²³, 40C²⁴, 40H²³, 20A²⁰, 20B²⁰, 40D²⁴</t>
        </is>
      </c>
    </row>
    <row r="2346">
      <c r="A2346">
        <f>HYPERLINK("https://mathstats.uncg.edu/sites/pauli/congruence/csg10.html#group21A10", "21A¹⁰")</f>
        <v/>
      </c>
      <c r="B2346" t="n">
        <v>10</v>
      </c>
      <c r="C2346" t="inlineStr"/>
      <c r="D2346" t="inlineStr">
        <is>
          <t>168</t>
        </is>
      </c>
      <c r="E2346" t="inlineStr">
        <is>
          <t>1</t>
        </is>
      </c>
      <c r="F2346" t="inlineStr">
        <is>
          <t>56</t>
        </is>
      </c>
      <c r="G2346" t="inlineStr">
        <is>
          <t>0</t>
        </is>
      </c>
      <c r="H2346" t="inlineStr">
        <is>
          <t>3</t>
        </is>
      </c>
      <c r="I2346" t="inlineStr">
        <is>
          <t>21⁸</t>
        </is>
      </c>
      <c r="J2346" t="n">
        <v>8</v>
      </c>
      <c r="K2346" t="inlineStr">
        <is>
          <t>2¹, 6¹, 12⁴</t>
        </is>
      </c>
      <c r="L2346" t="inlineStr">
        <is>
          <t>7B¹, 21A¹, 21C¹</t>
        </is>
      </c>
      <c r="M2346" t="inlineStr">
        <is>
          <t>42B²³</t>
        </is>
      </c>
      <c r="N2346" t="inlineStr">
        <is>
          <t>7B⁰, 7C⁰, 21C¹, 7F⁰, 1A⁰, 7B¹, 7A⁰, 21A¹</t>
        </is>
      </c>
      <c r="O2346" t="inlineStr">
        <is>
          <t>42B²³</t>
        </is>
      </c>
    </row>
    <row r="2347">
      <c r="A2347">
        <f>HYPERLINK("https://mathstats.uncg.edu/sites/pauli/congruence/csg10.html#group21B10", "21B¹⁰")</f>
        <v/>
      </c>
      <c r="B2347" t="n">
        <v>10</v>
      </c>
      <c r="C2347" t="inlineStr"/>
      <c r="D2347" t="inlineStr">
        <is>
          <t>168</t>
        </is>
      </c>
      <c r="E2347" t="inlineStr">
        <is>
          <t>2</t>
        </is>
      </c>
      <c r="F2347" t="inlineStr">
        <is>
          <t>56</t>
        </is>
      </c>
      <c r="G2347" t="inlineStr">
        <is>
          <t>0</t>
        </is>
      </c>
      <c r="H2347" t="inlineStr">
        <is>
          <t>3</t>
        </is>
      </c>
      <c r="I2347" t="inlineStr">
        <is>
          <t>21⁸</t>
        </is>
      </c>
      <c r="J2347" t="n">
        <v>8</v>
      </c>
      <c r="K2347" t="inlineStr">
        <is>
          <t>4⁴, 12⁸</t>
        </is>
      </c>
      <c r="L2347" t="inlineStr">
        <is>
          <t>21C¹, 21B³</t>
        </is>
      </c>
      <c r="M2347" t="inlineStr">
        <is>
          <t>42G²³</t>
        </is>
      </c>
      <c r="N2347" t="inlineStr">
        <is>
          <t>21B³, 3B⁰, 21B², 1A⁰, 7C⁰, 7A⁰, 21C¹</t>
        </is>
      </c>
      <c r="O2347" t="inlineStr">
        <is>
          <t>42G²³</t>
        </is>
      </c>
    </row>
    <row r="2348">
      <c r="A2348">
        <f>HYPERLINK("https://mathstats.uncg.edu/sites/pauli/congruence/csg10.html#group22A10", "22A¹⁰")</f>
        <v/>
      </c>
      <c r="B2348" t="n">
        <v>10</v>
      </c>
      <c r="C2348" t="inlineStr"/>
      <c r="D2348" t="inlineStr">
        <is>
          <t>198</t>
        </is>
      </c>
      <c r="E2348" t="inlineStr">
        <is>
          <t>1</t>
        </is>
      </c>
      <c r="F2348" t="inlineStr">
        <is>
          <t>198</t>
        </is>
      </c>
      <c r="G2348" t="inlineStr">
        <is>
          <t>6</t>
        </is>
      </c>
      <c r="H2348" t="inlineStr">
        <is>
          <t>0</t>
        </is>
      </c>
      <c r="I2348" t="inlineStr">
        <is>
          <t>11⁶, 22⁶</t>
        </is>
      </c>
      <c r="J2348" t="n">
        <v>12</v>
      </c>
      <c r="K2348" t="inlineStr">
        <is>
          <t>1³, 5³, 10¹⁸</t>
        </is>
      </c>
      <c r="L2348" t="inlineStr">
        <is>
          <t>11A², 22B²</t>
        </is>
      </c>
      <c r="M2348" t="inlineStr">
        <is>
          <t>22A²², 22B²², 44C²²</t>
        </is>
      </c>
      <c r="N2348" t="inlineStr">
        <is>
          <t>11A⁰, 2B⁰, 22B², 1A⁰, 11A²</t>
        </is>
      </c>
      <c r="O2348" t="inlineStr">
        <is>
          <t>22A²², 44C²², 22B²²</t>
        </is>
      </c>
    </row>
    <row r="2349">
      <c r="A2349">
        <f>HYPERLINK("https://mathstats.uncg.edu/sites/pauli/congruence/csg10.html#group22B10", "22B¹⁰")</f>
        <v/>
      </c>
      <c r="B2349" t="n">
        <v>10</v>
      </c>
      <c r="C2349" t="inlineStr"/>
      <c r="D2349" t="inlineStr">
        <is>
          <t>220</t>
        </is>
      </c>
      <c r="E2349" t="inlineStr">
        <is>
          <t>2</t>
        </is>
      </c>
      <c r="F2349" t="inlineStr">
        <is>
          <t>55</t>
        </is>
      </c>
      <c r="G2349" t="inlineStr">
        <is>
          <t>12</t>
        </is>
      </c>
      <c r="H2349" t="inlineStr">
        <is>
          <t>4</t>
        </is>
      </c>
      <c r="I2349" t="inlineStr">
        <is>
          <t>22¹⁰</t>
        </is>
      </c>
      <c r="J2349" t="n">
        <v>10</v>
      </c>
      <c r="K2349" t="inlineStr">
        <is>
          <t>10¹¹</t>
        </is>
      </c>
      <c r="L2349" t="inlineStr">
        <is>
          <t>11A³, 22B⁴, 22C⁵</t>
        </is>
      </c>
      <c r="M2349" t="inlineStr"/>
      <c r="N2349" t="inlineStr">
        <is>
          <t>11A⁰, 11C¹, 22C⁵, 1A⁰, 11A³, 22B⁴</t>
        </is>
      </c>
      <c r="O2349" t="inlineStr"/>
    </row>
    <row r="2350">
      <c r="A2350">
        <f>HYPERLINK("https://mathstats.uncg.edu/sites/pauli/congruence/csg10.html#group24A10", "24A¹⁰")</f>
        <v/>
      </c>
      <c r="B2350" t="n">
        <v>10</v>
      </c>
      <c r="C2350" t="inlineStr"/>
      <c r="D2350" t="inlineStr">
        <is>
          <t>144</t>
        </is>
      </c>
      <c r="E2350" t="inlineStr">
        <is>
          <t>1</t>
        </is>
      </c>
      <c r="F2350" t="inlineStr">
        <is>
          <t>1</t>
        </is>
      </c>
      <c r="G2350" t="inlineStr">
        <is>
          <t>0</t>
        </is>
      </c>
      <c r="H2350" t="inlineStr">
        <is>
          <t>0</t>
        </is>
      </c>
      <c r="I2350" t="inlineStr">
        <is>
          <t>24⁶</t>
        </is>
      </c>
      <c r="J2350" t="n">
        <v>6</v>
      </c>
      <c r="K2350" t="inlineStr">
        <is>
          <t>1¹</t>
        </is>
      </c>
      <c r="L2350" t="inlineStr">
        <is>
          <t>8A², 24E², 12A⁴, 24A⁴, 24H⁴</t>
        </is>
      </c>
      <c r="M2350" t="inlineStr">
        <is>
          <t>24C¹⁹, 24D¹⁹, 24I¹⁹, 48A²², 48B²²</t>
        </is>
      </c>
      <c r="N2350" t="inlineStr">
        <is>
          <t>2A⁰, 12C⁰, 24E², 6C¹, 12E¹, 12B², 24A⁴, 4C⁰, 4G⁰, 2B⁰, 4E⁰, 8A⁰, 8E⁰, 4B⁰, 1A⁰, 8D¹, 12A⁴, 8A², 24H⁴, 12A⁰, 6A⁰, 24A¹, 4A⁰, 4D⁰, 12A², 12J¹, 6A¹, 12B¹, 4F⁰, 3A⁰, 2C⁰, 6D⁰</t>
        </is>
      </c>
      <c r="O2350" t="inlineStr">
        <is>
          <t>24I¹⁹, 48A²², 48B²², 24D¹⁹, 24C¹⁹</t>
        </is>
      </c>
    </row>
    <row r="2351">
      <c r="A2351">
        <f>HYPERLINK("https://mathstats.uncg.edu/sites/pauli/congruence/csg10.html#group24B10", "24B¹⁰")</f>
        <v/>
      </c>
      <c r="B2351" t="n">
        <v>10</v>
      </c>
      <c r="C2351" t="inlineStr"/>
      <c r="D2351" t="inlineStr">
        <is>
          <t>144</t>
        </is>
      </c>
      <c r="E2351" t="inlineStr">
        <is>
          <t>1</t>
        </is>
      </c>
      <c r="F2351" t="inlineStr">
        <is>
          <t>3</t>
        </is>
      </c>
      <c r="G2351" t="inlineStr">
        <is>
          <t>0</t>
        </is>
      </c>
      <c r="H2351" t="inlineStr">
        <is>
          <t>0</t>
        </is>
      </c>
      <c r="I2351" t="inlineStr">
        <is>
          <t>24⁶</t>
        </is>
      </c>
      <c r="J2351" t="n">
        <v>6</v>
      </c>
      <c r="K2351" t="inlineStr">
        <is>
          <t>1¹, 2¹</t>
        </is>
      </c>
      <c r="L2351" t="inlineStr">
        <is>
          <t>12A⁴, 24B⁴, 24O⁴</t>
        </is>
      </c>
      <c r="M2351" t="inlineStr">
        <is>
          <t>24B¹⁹, 24C¹⁹, 24G¹⁹, 24H¹⁹, 24S¹⁹</t>
        </is>
      </c>
      <c r="N2351" t="inlineStr">
        <is>
          <t>24O⁴, 2A⁰, 12C⁰, 6C¹, 12E¹, 12B², 4C⁰, 4G⁰, 2B⁰, 4E⁰, 24B¹, 4B⁰, 1A⁰, 12A⁴, 12A⁰, 6A⁰, 4A⁰, 4D⁰, 24B⁴, 12A², 12J¹, 6A¹, 12B¹, 4F⁰, 3A⁰, 2C⁰, 6D⁰</t>
        </is>
      </c>
      <c r="O2351" t="inlineStr">
        <is>
          <t>24H¹⁹, 24S¹⁹, 24G¹⁹, 24B¹⁹, 24C¹⁹</t>
        </is>
      </c>
    </row>
    <row r="2352">
      <c r="A2352">
        <f>HYPERLINK("https://mathstats.uncg.edu/sites/pauli/congruence/csg10.html#group24C10", "24C¹⁰")</f>
        <v/>
      </c>
      <c r="B2352" t="n">
        <v>10</v>
      </c>
      <c r="C2352" t="inlineStr"/>
      <c r="D2352" t="inlineStr">
        <is>
          <t>144</t>
        </is>
      </c>
      <c r="E2352" t="inlineStr">
        <is>
          <t>1</t>
        </is>
      </c>
      <c r="F2352" t="inlineStr">
        <is>
          <t>12</t>
        </is>
      </c>
      <c r="G2352" t="inlineStr">
        <is>
          <t>0</t>
        </is>
      </c>
      <c r="H2352" t="inlineStr">
        <is>
          <t>0</t>
        </is>
      </c>
      <c r="I2352" t="inlineStr">
        <is>
          <t>24⁶</t>
        </is>
      </c>
      <c r="J2352" t="n">
        <v>6</v>
      </c>
      <c r="K2352" t="inlineStr">
        <is>
          <t>2², 4²</t>
        </is>
      </c>
      <c r="L2352" t="inlineStr">
        <is>
          <t>8B², 24J³, 24H⁴, 24B⁵</t>
        </is>
      </c>
      <c r="M2352" t="inlineStr">
        <is>
          <t>24D¹⁹, 24P¹⁹, 24Q¹⁹, 48A²⁰, 48B²⁰, 48AQ²¹, 48BL²¹, 48C²², 48D²²</t>
        </is>
      </c>
      <c r="N2352" t="inlineStr">
        <is>
          <t>24A³, 12C⁰, 8A¹, 8D⁰, 4C⁰, 8B², 8A⁰, 2B⁰, 1A⁰, 8D¹, 8K⁰, 24J³, 24H⁴, 12A⁰, 8C¹, 24A¹, 4A⁰, 24C¹, 12J¹, 4F⁰, 3A⁰, 6D⁰, 24B⁵</t>
        </is>
      </c>
      <c r="O2352" t="inlineStr">
        <is>
          <t>24P¹⁹, 48AQ²¹, 48C²², 48A²⁰, 24Q¹⁹, 48B²⁰, 48D²², 48BL²¹, 24D¹⁹</t>
        </is>
      </c>
    </row>
    <row r="2353">
      <c r="A2353">
        <f>HYPERLINK("https://mathstats.uncg.edu/sites/pauli/congruence/csg10.html#group24D10", "24D¹⁰")</f>
        <v/>
      </c>
      <c r="B2353" t="n">
        <v>10</v>
      </c>
      <c r="C2353" t="inlineStr"/>
      <c r="D2353" t="inlineStr">
        <is>
          <t>144</t>
        </is>
      </c>
      <c r="E2353" t="inlineStr">
        <is>
          <t>1</t>
        </is>
      </c>
      <c r="F2353" t="inlineStr">
        <is>
          <t>24</t>
        </is>
      </c>
      <c r="G2353" t="inlineStr">
        <is>
          <t>0</t>
        </is>
      </c>
      <c r="H2353" t="inlineStr">
        <is>
          <t>0</t>
        </is>
      </c>
      <c r="I2353" t="inlineStr">
        <is>
          <t>24⁶</t>
        </is>
      </c>
      <c r="J2353" t="n">
        <v>6</v>
      </c>
      <c r="K2353" t="inlineStr">
        <is>
          <t>4⁶</t>
        </is>
      </c>
      <c r="L2353" t="inlineStr">
        <is>
          <t>24J², 12B⁴</t>
        </is>
      </c>
      <c r="M2353" t="inlineStr">
        <is>
          <t>24K¹⁹</t>
        </is>
      </c>
      <c r="N2353" t="inlineStr">
        <is>
          <t>2A⁰, 12H¹, 12C¹, 6A⁰, 6C¹, 12E², 12B⁴, 2B⁰, 12D⁰, 6A¹, 3A⁰, 1A⁰, 2C⁰, 24J², 6D⁰</t>
        </is>
      </c>
      <c r="O2353" t="inlineStr">
        <is>
          <t>24K¹⁹</t>
        </is>
      </c>
    </row>
    <row r="2354">
      <c r="A2354">
        <f>HYPERLINK("https://mathstats.uncg.edu/sites/pauli/congruence/csg10.html#group24E10", "24E¹⁰")</f>
        <v/>
      </c>
      <c r="B2354" t="n">
        <v>10</v>
      </c>
      <c r="C2354" t="inlineStr"/>
      <c r="D2354" t="inlineStr">
        <is>
          <t>144</t>
        </is>
      </c>
      <c r="E2354" t="inlineStr">
        <is>
          <t>1</t>
        </is>
      </c>
      <c r="F2354" t="inlineStr">
        <is>
          <t>36</t>
        </is>
      </c>
      <c r="G2354" t="inlineStr">
        <is>
          <t>0</t>
        </is>
      </c>
      <c r="H2354" t="inlineStr">
        <is>
          <t>0</t>
        </is>
      </c>
      <c r="I2354" t="inlineStr">
        <is>
          <t>24⁶</t>
        </is>
      </c>
      <c r="J2354" t="n">
        <v>6</v>
      </c>
      <c r="K2354" t="inlineStr">
        <is>
          <t>2², 4⁴, 8²</t>
        </is>
      </c>
      <c r="L2354" t="inlineStr">
        <is>
          <t>24R³, 24O⁴, 24B⁵</t>
        </is>
      </c>
      <c r="M2354" t="inlineStr">
        <is>
          <t>24G¹⁹, 24L¹⁹, 24M¹⁹, 24P¹⁹, 24Q¹⁹, 48BM²¹, 48BN²¹, 48BV²¹</t>
        </is>
      </c>
      <c r="N2354" t="inlineStr">
        <is>
          <t>24O⁴, 24A³, 12C⁰, 8A¹, 8D⁰, 4C⁰, 2B⁰, 24B¹, 1A⁰, 12A⁰, 8C¹, 4A⁰, 24C¹, 24R³, 12J¹, 4F⁰, 3A⁰, 6D⁰, 24B⁵</t>
        </is>
      </c>
      <c r="O2354" t="inlineStr">
        <is>
          <t>24P¹⁹, 48BN²¹, 24M¹⁹, 24Q¹⁹, 24G¹⁹, 48BV²¹, 48BM²¹, 24L¹⁹</t>
        </is>
      </c>
    </row>
    <row r="2355">
      <c r="A2355">
        <f>HYPERLINK("https://mathstats.uncg.edu/sites/pauli/congruence/csg10.html#group25A10", "25A¹⁰")</f>
        <v/>
      </c>
      <c r="B2355" t="n">
        <v>10</v>
      </c>
      <c r="C2355" t="inlineStr"/>
      <c r="D2355" t="inlineStr">
        <is>
          <t>150</t>
        </is>
      </c>
      <c r="E2355" t="inlineStr">
        <is>
          <t>1</t>
        </is>
      </c>
      <c r="F2355" t="inlineStr">
        <is>
          <t>150</t>
        </is>
      </c>
      <c r="G2355" t="inlineStr">
        <is>
          <t>2</t>
        </is>
      </c>
      <c r="H2355" t="inlineStr">
        <is>
          <t>0</t>
        </is>
      </c>
      <c r="I2355" t="inlineStr">
        <is>
          <t>25⁶</t>
        </is>
      </c>
      <c r="J2355" t="n">
        <v>6</v>
      </c>
      <c r="K2355" t="inlineStr">
        <is>
          <t>2¹, 4⁷, 20⁶</t>
        </is>
      </c>
      <c r="L2355" t="inlineStr">
        <is>
          <t>5G⁰, 25E²</t>
        </is>
      </c>
      <c r="M2355" t="inlineStr">
        <is>
          <t>25A²⁰, 50B²², 50B²³</t>
        </is>
      </c>
      <c r="N2355" t="inlineStr">
        <is>
          <t>5B⁰, 5E⁰, 5A⁰, 1A⁰, 5G⁰, 5C⁰, 25E²</t>
        </is>
      </c>
      <c r="O2355" t="inlineStr">
        <is>
          <t>25A²⁰, 50B²³, 50B²²</t>
        </is>
      </c>
    </row>
    <row r="2356">
      <c r="A2356">
        <f>HYPERLINK("https://mathstats.uncg.edu/sites/pauli/congruence/csg10.html#group26A10", "26A¹⁰")</f>
        <v/>
      </c>
      <c r="B2356" t="n">
        <v>10</v>
      </c>
      <c r="C2356" t="inlineStr"/>
      <c r="D2356" t="inlineStr">
        <is>
          <t>182</t>
        </is>
      </c>
      <c r="E2356" t="inlineStr">
        <is>
          <t>1</t>
        </is>
      </c>
      <c r="F2356" t="inlineStr">
        <is>
          <t>91</t>
        </is>
      </c>
      <c r="G2356" t="inlineStr">
        <is>
          <t>0</t>
        </is>
      </c>
      <c r="H2356" t="inlineStr">
        <is>
          <t>8</t>
        </is>
      </c>
      <c r="I2356" t="inlineStr">
        <is>
          <t>26⁷</t>
        </is>
      </c>
      <c r="J2356" t="n">
        <v>7</v>
      </c>
      <c r="K2356" t="inlineStr">
        <is>
          <t>3¹, 4¹, 12⁷</t>
        </is>
      </c>
      <c r="L2356" t="inlineStr">
        <is>
          <t>2A⁰, 13B³</t>
        </is>
      </c>
      <c r="M2356" t="inlineStr"/>
      <c r="N2356" t="inlineStr">
        <is>
          <t>2A⁰, 1A⁰, 13B³</t>
        </is>
      </c>
      <c r="O2356" t="inlineStr"/>
    </row>
    <row r="2357">
      <c r="A2357">
        <f>HYPERLINK("https://mathstats.uncg.edu/sites/pauli/congruence/csg10.html#group26B10", "26B¹⁰")</f>
        <v/>
      </c>
      <c r="B2357" t="n">
        <v>10</v>
      </c>
      <c r="C2357" t="inlineStr"/>
      <c r="D2357" t="inlineStr">
        <is>
          <t>182</t>
        </is>
      </c>
      <c r="E2357" t="inlineStr">
        <is>
          <t>1</t>
        </is>
      </c>
      <c r="F2357" t="inlineStr">
        <is>
          <t>91</t>
        </is>
      </c>
      <c r="G2357" t="inlineStr">
        <is>
          <t>8</t>
        </is>
      </c>
      <c r="H2357" t="inlineStr">
        <is>
          <t>2</t>
        </is>
      </c>
      <c r="I2357" t="inlineStr">
        <is>
          <t>26⁷</t>
        </is>
      </c>
      <c r="J2357" t="n">
        <v>7</v>
      </c>
      <c r="K2357" t="inlineStr">
        <is>
          <t>2¹, 6², 12¹⁴</t>
        </is>
      </c>
      <c r="L2357" t="inlineStr">
        <is>
          <t>13C³</t>
        </is>
      </c>
      <c r="M2357" t="inlineStr">
        <is>
          <t>26A²⁰, 26A²², 26C²³</t>
        </is>
      </c>
      <c r="N2357" t="inlineStr">
        <is>
          <t>13C³, 1A⁰</t>
        </is>
      </c>
      <c r="O2357" t="inlineStr">
        <is>
          <t>26A²⁰, 26C²³, 26A²²</t>
        </is>
      </c>
    </row>
    <row r="2358">
      <c r="A2358">
        <f>HYPERLINK("https://mathstats.uncg.edu/sites/pauli/congruence/csg10.html#group26C10", "26C¹⁰")</f>
        <v/>
      </c>
      <c r="B2358" t="n">
        <v>10</v>
      </c>
      <c r="C2358" t="inlineStr"/>
      <c r="D2358" t="inlineStr">
        <is>
          <t>182</t>
        </is>
      </c>
      <c r="E2358" t="inlineStr">
        <is>
          <t>1</t>
        </is>
      </c>
      <c r="F2358" t="inlineStr">
        <is>
          <t>91</t>
        </is>
      </c>
      <c r="G2358" t="inlineStr">
        <is>
          <t>8</t>
        </is>
      </c>
      <c r="H2358" t="inlineStr">
        <is>
          <t>2</t>
        </is>
      </c>
      <c r="I2358" t="inlineStr">
        <is>
          <t>26⁷</t>
        </is>
      </c>
      <c r="J2358" t="n">
        <v>7</v>
      </c>
      <c r="K2358" t="inlineStr">
        <is>
          <t>2¹, 6², 12¹⁴</t>
        </is>
      </c>
      <c r="L2358" t="inlineStr">
        <is>
          <t>13C³</t>
        </is>
      </c>
      <c r="M2358" t="inlineStr">
        <is>
          <t>26B²⁰, 26A²², 26B²³</t>
        </is>
      </c>
      <c r="N2358" t="inlineStr">
        <is>
          <t>13C³, 1A⁰</t>
        </is>
      </c>
      <c r="O2358" t="inlineStr">
        <is>
          <t>26A²², 26B²⁰, 26B²³</t>
        </is>
      </c>
    </row>
    <row r="2359">
      <c r="A2359">
        <f>HYPERLINK("https://mathstats.uncg.edu/sites/pauli/congruence/csg10.html#group26D10", "26D¹⁰")</f>
        <v/>
      </c>
      <c r="B2359" t="n">
        <v>10</v>
      </c>
      <c r="C2359" t="inlineStr">
        <is>
          <t>Γ₁(26)</t>
        </is>
      </c>
      <c r="D2359" t="inlineStr">
        <is>
          <t>252</t>
        </is>
      </c>
      <c r="E2359" t="inlineStr">
        <is>
          <t>1</t>
        </is>
      </c>
      <c r="F2359" t="inlineStr">
        <is>
          <t>42</t>
        </is>
      </c>
      <c r="G2359" t="inlineStr">
        <is>
          <t>0</t>
        </is>
      </c>
      <c r="H2359" t="inlineStr">
        <is>
          <t>0</t>
        </is>
      </c>
      <c r="I2359" t="inlineStr">
        <is>
          <t>1⁶, 2⁶, 13⁶, 26⁶</t>
        </is>
      </c>
      <c r="J2359" t="n">
        <v>24</v>
      </c>
      <c r="K2359" t="inlineStr">
        <is>
          <t>1⁶, 12³</t>
        </is>
      </c>
      <c r="L2359" t="inlineStr">
        <is>
          <t>13A², 26A⁴, 26C⁴</t>
        </is>
      </c>
      <c r="M2359" t="inlineStr"/>
      <c r="N2359" t="inlineStr">
        <is>
          <t>13A², 13A⁰, 26C⁴, 13C⁰, 2B⁰, 13B⁰, 1A⁰, 26A², 26A⁴</t>
        </is>
      </c>
      <c r="O2359" t="inlineStr"/>
    </row>
    <row r="2360">
      <c r="A2360">
        <f>HYPERLINK("https://mathstats.uncg.edu/sites/pauli/congruence/csg10.html#group26E10", "26E¹⁰")</f>
        <v/>
      </c>
      <c r="B2360" t="n">
        <v>10</v>
      </c>
      <c r="C2360" t="inlineStr"/>
      <c r="D2360" t="inlineStr">
        <is>
          <t>252</t>
        </is>
      </c>
      <c r="E2360" t="inlineStr">
        <is>
          <t>1</t>
        </is>
      </c>
      <c r="F2360" t="inlineStr">
        <is>
          <t>42</t>
        </is>
      </c>
      <c r="G2360" t="inlineStr">
        <is>
          <t>12</t>
        </is>
      </c>
      <c r="H2360" t="inlineStr">
        <is>
          <t>0</t>
        </is>
      </c>
      <c r="I2360" t="inlineStr">
        <is>
          <t>2⁹, 26⁹</t>
        </is>
      </c>
      <c r="J2360" t="n">
        <v>18</v>
      </c>
      <c r="K2360" t="inlineStr">
        <is>
          <t>1⁶, 12³</t>
        </is>
      </c>
      <c r="L2360" t="inlineStr">
        <is>
          <t>26B², 26B⁴, 26C⁴</t>
        </is>
      </c>
      <c r="M2360" t="inlineStr"/>
      <c r="N2360" t="inlineStr">
        <is>
          <t>13A⁰, 26C⁴, 26B⁴, 13C⁰, 2B⁰, 26B², 26A⁰, 1A⁰, 26A²</t>
        </is>
      </c>
      <c r="O2360" t="inlineStr"/>
    </row>
    <row r="2361">
      <c r="A2361">
        <f>HYPERLINK("https://mathstats.uncg.edu/sites/pauli/congruence/csg10.html#group27A10", "27A¹⁰")</f>
        <v/>
      </c>
      <c r="B2361" t="n">
        <v>10</v>
      </c>
      <c r="C2361" t="inlineStr"/>
      <c r="D2361" t="inlineStr">
        <is>
          <t>162</t>
        </is>
      </c>
      <c r="E2361" t="inlineStr">
        <is>
          <t>2</t>
        </is>
      </c>
      <c r="F2361" t="inlineStr">
        <is>
          <t>81</t>
        </is>
      </c>
      <c r="G2361" t="inlineStr">
        <is>
          <t>6</t>
        </is>
      </c>
      <c r="H2361" t="inlineStr">
        <is>
          <t>0</t>
        </is>
      </c>
      <c r="I2361" t="inlineStr">
        <is>
          <t>27⁶</t>
        </is>
      </c>
      <c r="J2361" t="n">
        <v>6</v>
      </c>
      <c r="K2361" t="inlineStr">
        <is>
          <t>6⁹, 18⁶</t>
        </is>
      </c>
      <c r="L2361" t="inlineStr">
        <is>
          <t>9F¹, 27B³</t>
        </is>
      </c>
      <c r="M2361" t="inlineStr">
        <is>
          <t>27B²², 54J²²</t>
        </is>
      </c>
      <c r="N2361" t="inlineStr">
        <is>
          <t>9D⁰, 9G⁰, 9A⁰, 27B³, 3C⁰, 3A⁰, 1A⁰, 9B¹, 9F¹</t>
        </is>
      </c>
      <c r="O2361" t="inlineStr">
        <is>
          <t>27B²², 54J²²</t>
        </is>
      </c>
    </row>
    <row r="2362">
      <c r="A2362">
        <f>HYPERLINK("https://mathstats.uncg.edu/sites/pauli/congruence/csg10.html#group27B10", "27B¹⁰")</f>
        <v/>
      </c>
      <c r="B2362" t="n">
        <v>10</v>
      </c>
      <c r="C2362" t="inlineStr"/>
      <c r="D2362" t="inlineStr">
        <is>
          <t>324</t>
        </is>
      </c>
      <c r="E2362" t="inlineStr">
        <is>
          <t>1</t>
        </is>
      </c>
      <c r="F2362" t="inlineStr">
        <is>
          <t>4</t>
        </is>
      </c>
      <c r="G2362" t="inlineStr">
        <is>
          <t>0</t>
        </is>
      </c>
      <c r="H2362" t="inlineStr">
        <is>
          <t>0</t>
        </is>
      </c>
      <c r="I2362" t="inlineStr">
        <is>
          <t>3²⁷, 27⁹</t>
        </is>
      </c>
      <c r="J2362" t="n">
        <v>36</v>
      </c>
      <c r="K2362" t="inlineStr">
        <is>
          <t>1², 2¹</t>
        </is>
      </c>
      <c r="L2362" t="inlineStr">
        <is>
          <t>9H¹, 27C¹, 27C³, 27A⁴, 27B⁴, 27C⁴</t>
        </is>
      </c>
      <c r="M2362" t="inlineStr"/>
      <c r="N2362" t="inlineStr">
        <is>
          <t>27B⁴, 3B⁰, 9J⁰, 27A², 27C⁴, 27C¹, 9H¹, 9B⁰, 9C⁰, 9E⁰, 1A⁰, 27A⁴, 27C³, 27A¹, 9A¹, 9I⁰, 27A⁰, 9C¹, 3C⁰, 9H⁰, 3A⁰, 9D¹, 3D⁰</t>
        </is>
      </c>
      <c r="O2362" t="inlineStr"/>
    </row>
    <row r="2363">
      <c r="A2363">
        <f>HYPERLINK("https://mathstats.uncg.edu/sites/pauli/congruence/csg10.html#group28A10", "28A¹⁰")</f>
        <v/>
      </c>
      <c r="B2363" t="n">
        <v>10</v>
      </c>
      <c r="C2363" t="inlineStr"/>
      <c r="D2363" t="inlineStr">
        <is>
          <t>168</t>
        </is>
      </c>
      <c r="E2363" t="inlineStr">
        <is>
          <t>2</t>
        </is>
      </c>
      <c r="F2363" t="inlineStr">
        <is>
          <t>42</t>
        </is>
      </c>
      <c r="G2363" t="inlineStr">
        <is>
          <t>8</t>
        </is>
      </c>
      <c r="H2363" t="inlineStr">
        <is>
          <t>0</t>
        </is>
      </c>
      <c r="I2363" t="inlineStr">
        <is>
          <t>28⁶</t>
        </is>
      </c>
      <c r="J2363" t="n">
        <v>6</v>
      </c>
      <c r="K2363" t="inlineStr">
        <is>
          <t>2², 4², 6⁴, 12⁴</t>
        </is>
      </c>
      <c r="L2363" t="inlineStr">
        <is>
          <t>28E², 28C⁴, 28C⁵, 28D⁵</t>
        </is>
      </c>
      <c r="M2363" t="inlineStr">
        <is>
          <t>56J²¹, 56C²², 28C²³, 56J²⁴</t>
        </is>
      </c>
      <c r="N2363" t="inlineStr">
        <is>
          <t>28E², 14A⁰, 28C⁴, 14B¹, 14C², 4C⁰, 28C⁵, 2B⁰, 1A⁰, 28C², 4A⁰, 28D⁵, 4F⁰, 28A¹, 28B², 7A⁰</t>
        </is>
      </c>
      <c r="O2363" t="inlineStr">
        <is>
          <t>56C²², 56J²¹, 28C²³, 56J²⁴</t>
        </is>
      </c>
    </row>
    <row r="2364">
      <c r="A2364">
        <f>HYPERLINK("https://mathstats.uncg.edu/sites/pauli/congruence/csg10.html#group28B10", "28B¹⁰")</f>
        <v/>
      </c>
      <c r="B2364" t="n">
        <v>10</v>
      </c>
      <c r="C2364" t="inlineStr"/>
      <c r="D2364" t="inlineStr">
        <is>
          <t>168</t>
        </is>
      </c>
      <c r="E2364" t="inlineStr">
        <is>
          <t>2</t>
        </is>
      </c>
      <c r="F2364" t="inlineStr">
        <is>
          <t>84</t>
        </is>
      </c>
      <c r="G2364" t="inlineStr">
        <is>
          <t>8</t>
        </is>
      </c>
      <c r="H2364" t="inlineStr">
        <is>
          <t>0</t>
        </is>
      </c>
      <c r="I2364" t="inlineStr">
        <is>
          <t>28⁶</t>
        </is>
      </c>
      <c r="J2364" t="n">
        <v>6</v>
      </c>
      <c r="K2364" t="inlineStr">
        <is>
          <t>12¹⁴</t>
        </is>
      </c>
      <c r="L2364" t="inlineStr">
        <is>
          <t>14B², 28E², 28B⁴</t>
        </is>
      </c>
      <c r="M2364" t="inlineStr">
        <is>
          <t>28C¹⁹, 28A²³, 28D²³, 56K²⁴, 56L²⁴, 56M²⁴, 56N²⁴</t>
        </is>
      </c>
      <c r="N2364" t="inlineStr">
        <is>
          <t>28E², 14A⁰, 14B², 7D⁰, 4A⁰, 28B⁴, 28A¹, 1A⁰, 7A⁰</t>
        </is>
      </c>
      <c r="O2364" t="inlineStr">
        <is>
          <t>56M²⁴, 56K²⁴, 28C¹⁹, 56N²⁴, 28D²³, 28A²³, 56L²⁴</t>
        </is>
      </c>
    </row>
    <row r="2365">
      <c r="A2365">
        <f>HYPERLINK("https://mathstats.uncg.edu/sites/pauli/congruence/csg10.html#group28C10", "28C¹⁰")</f>
        <v/>
      </c>
      <c r="B2365" t="n">
        <v>10</v>
      </c>
      <c r="C2365" t="inlineStr"/>
      <c r="D2365" t="inlineStr">
        <is>
          <t>288</t>
        </is>
      </c>
      <c r="E2365" t="inlineStr">
        <is>
          <t>1</t>
        </is>
      </c>
      <c r="F2365" t="inlineStr">
        <is>
          <t>24</t>
        </is>
      </c>
      <c r="G2365" t="inlineStr">
        <is>
          <t>0</t>
        </is>
      </c>
      <c r="H2365" t="inlineStr">
        <is>
          <t>0</t>
        </is>
      </c>
      <c r="I2365" t="inlineStr">
        <is>
          <t>2¹², 4³, 14¹², 28³</t>
        </is>
      </c>
      <c r="J2365" t="n">
        <v>30</v>
      </c>
      <c r="K2365" t="inlineStr">
        <is>
          <t>1⁶, 6³</t>
        </is>
      </c>
      <c r="L2365" t="inlineStr">
        <is>
          <t>14B⁴, 28D⁴</t>
        </is>
      </c>
      <c r="M2365" t="inlineStr"/>
      <c r="N2365" t="inlineStr">
        <is>
          <t>2A⁰, 7B⁰, 14H¹, 14D², 14B⁰, 14B⁴, 14C¹, 2B⁰, 7E⁰, 14E², 14C⁰, 1A⁰, 2C⁰, 28D⁴</t>
        </is>
      </c>
      <c r="O2365" t="inlineStr"/>
    </row>
    <row r="2366">
      <c r="A2366">
        <f>HYPERLINK("https://mathstats.uncg.edu/sites/pauli/congruence/csg10.html#group28D10", "28D¹⁰")</f>
        <v/>
      </c>
      <c r="B2366" t="n">
        <v>10</v>
      </c>
      <c r="C2366" t="inlineStr">
        <is>
          <t>Γ₁(28)</t>
        </is>
      </c>
      <c r="D2366" t="inlineStr">
        <is>
          <t>288</t>
        </is>
      </c>
      <c r="E2366" t="inlineStr">
        <is>
          <t>1</t>
        </is>
      </c>
      <c r="F2366" t="inlineStr">
        <is>
          <t>48</t>
        </is>
      </c>
      <c r="G2366" t="inlineStr">
        <is>
          <t>0</t>
        </is>
      </c>
      <c r="H2366" t="inlineStr">
        <is>
          <t>0</t>
        </is>
      </c>
      <c r="I2366" t="inlineStr">
        <is>
          <t>1⁶, 2³, 4⁶, 7⁶, 14³, 28⁶</t>
        </is>
      </c>
      <c r="J2366" t="n">
        <v>30</v>
      </c>
      <c r="K2366" t="inlineStr">
        <is>
          <t>1⁸, 2², 6⁴, 12¹</t>
        </is>
      </c>
      <c r="L2366" t="inlineStr">
        <is>
          <t>28E⁴, 28F⁴</t>
        </is>
      </c>
      <c r="M2366" t="inlineStr"/>
      <c r="N2366" t="inlineStr">
        <is>
          <t>28E⁴, 28F⁴, 7B⁰, 28D², 14C¹, 14H¹, 2B⁰, 7E⁰, 4B⁰, 1A⁰</t>
        </is>
      </c>
      <c r="O2366" t="inlineStr"/>
    </row>
    <row r="2367">
      <c r="A2367">
        <f>HYPERLINK("https://mathstats.uncg.edu/sites/pauli/congruence/csg10.html#group30A10", "30A¹⁰")</f>
        <v/>
      </c>
      <c r="B2367" t="n">
        <v>10</v>
      </c>
      <c r="C2367" t="inlineStr"/>
      <c r="D2367" t="inlineStr">
        <is>
          <t>180</t>
        </is>
      </c>
      <c r="E2367" t="inlineStr">
        <is>
          <t>1</t>
        </is>
      </c>
      <c r="F2367" t="inlineStr">
        <is>
          <t>15</t>
        </is>
      </c>
      <c r="G2367" t="inlineStr">
        <is>
          <t>12</t>
        </is>
      </c>
      <c r="H2367" t="inlineStr">
        <is>
          <t>0</t>
        </is>
      </c>
      <c r="I2367" t="inlineStr">
        <is>
          <t>30⁶</t>
        </is>
      </c>
      <c r="J2367" t="n">
        <v>6</v>
      </c>
      <c r="K2367" t="inlineStr">
        <is>
          <t>1¹, 2¹, 4¹, 8¹</t>
        </is>
      </c>
      <c r="L2367" t="inlineStr">
        <is>
          <t>15C⁴, 30A⁴, 30E⁴</t>
        </is>
      </c>
      <c r="M2367" t="inlineStr">
        <is>
          <t>30A²¹, 30B²³</t>
        </is>
      </c>
      <c r="N2367" t="inlineStr">
        <is>
          <t>5A⁰, 6B⁰, 15F¹, 30A⁴, 1A⁰, 15C⁴, 30A², 30E⁴, 15A², 6E⁰, 5E⁰, 3C⁰, 3A⁰, 15A¹, 15A⁰</t>
        </is>
      </c>
      <c r="O2367" t="inlineStr">
        <is>
          <t>30A²¹, 30B²³</t>
        </is>
      </c>
    </row>
    <row r="2368">
      <c r="A2368">
        <f>HYPERLINK("https://mathstats.uncg.edu/sites/pauli/congruence/csg10.html#group30B10", "30B¹⁰")</f>
        <v/>
      </c>
      <c r="B2368" t="n">
        <v>10</v>
      </c>
      <c r="C2368" t="inlineStr"/>
      <c r="D2368" t="inlineStr">
        <is>
          <t>180</t>
        </is>
      </c>
      <c r="E2368" t="inlineStr">
        <is>
          <t>1</t>
        </is>
      </c>
      <c r="F2368" t="inlineStr">
        <is>
          <t>15</t>
        </is>
      </c>
      <c r="G2368" t="inlineStr">
        <is>
          <t>12</t>
        </is>
      </c>
      <c r="H2368" t="inlineStr">
        <is>
          <t>0</t>
        </is>
      </c>
      <c r="I2368" t="inlineStr">
        <is>
          <t>30⁶</t>
        </is>
      </c>
      <c r="J2368" t="n">
        <v>6</v>
      </c>
      <c r="K2368" t="inlineStr">
        <is>
          <t>1¹, 2¹, 4³</t>
        </is>
      </c>
      <c r="L2368" t="inlineStr">
        <is>
          <t>30A⁰, 10C², 30F², 15D⁴, 30F⁴</t>
        </is>
      </c>
      <c r="M2368" t="inlineStr">
        <is>
          <t>30B²¹, 30C²³</t>
        </is>
      </c>
      <c r="N2368" t="inlineStr">
        <is>
          <t>30A⁰, 5A⁰, 15D⁴, 10D⁰, 5B⁰, 15F¹, 10E¹, 1A⁰, 30F², 10B⁰, 15D¹, 30F⁴, 15B⁰, 10C², 5E⁰, 3A⁰, 5C⁰, 5G⁰, 15A¹, 15A⁰</t>
        </is>
      </c>
      <c r="O2368" t="inlineStr">
        <is>
          <t>30C²³, 30B²¹</t>
        </is>
      </c>
    </row>
    <row r="2369">
      <c r="A2369">
        <f>HYPERLINK("https://mathstats.uncg.edu/sites/pauli/congruence/csg10.html#group30C10", "30C¹⁰")</f>
        <v/>
      </c>
      <c r="B2369" t="n">
        <v>10</v>
      </c>
      <c r="C2369" t="inlineStr"/>
      <c r="D2369" t="inlineStr">
        <is>
          <t>180</t>
        </is>
      </c>
      <c r="E2369" t="inlineStr">
        <is>
          <t>1</t>
        </is>
      </c>
      <c r="F2369" t="inlineStr">
        <is>
          <t>30</t>
        </is>
      </c>
      <c r="G2369" t="inlineStr">
        <is>
          <t>12</t>
        </is>
      </c>
      <c r="H2369" t="inlineStr">
        <is>
          <t>0</t>
        </is>
      </c>
      <c r="I2369" t="inlineStr">
        <is>
          <t>30⁶</t>
        </is>
      </c>
      <c r="J2369" t="n">
        <v>6</v>
      </c>
      <c r="K2369" t="inlineStr">
        <is>
          <t>2³, 4⁶</t>
        </is>
      </c>
      <c r="L2369" t="inlineStr">
        <is>
          <t>10E², 30F², 30K⁵</t>
        </is>
      </c>
      <c r="M2369" t="inlineStr">
        <is>
          <t>30D²¹, 60U²¹, 30H²³, 60F²³, 60K²³, 60M²³</t>
        </is>
      </c>
      <c r="N2369" t="inlineStr">
        <is>
          <t>30K⁵, 15D¹, 10E², 10D⁰, 5C⁰, 1A⁰, 2B⁰, 3A⁰, 30F², 6D⁰, 10F¹</t>
        </is>
      </c>
      <c r="O2369" t="inlineStr">
        <is>
          <t>30H²³, 60M²³, 30D²¹, 60F²³, 60K²³, 60U²¹</t>
        </is>
      </c>
    </row>
    <row r="2370">
      <c r="A2370">
        <f>HYPERLINK("https://mathstats.uncg.edu/sites/pauli/congruence/csg10.html#group30D10", "30D¹⁰")</f>
        <v/>
      </c>
      <c r="B2370" t="n">
        <v>10</v>
      </c>
      <c r="C2370" t="inlineStr"/>
      <c r="D2370" t="inlineStr">
        <is>
          <t>180</t>
        </is>
      </c>
      <c r="E2370" t="inlineStr">
        <is>
          <t>1</t>
        </is>
      </c>
      <c r="F2370" t="inlineStr">
        <is>
          <t>45</t>
        </is>
      </c>
      <c r="G2370" t="inlineStr">
        <is>
          <t>12</t>
        </is>
      </c>
      <c r="H2370" t="inlineStr">
        <is>
          <t>0</t>
        </is>
      </c>
      <c r="I2370" t="inlineStr">
        <is>
          <t>30⁶</t>
        </is>
      </c>
      <c r="J2370" t="n">
        <v>6</v>
      </c>
      <c r="K2370" t="inlineStr">
        <is>
          <t>2³, 4⁹, 8⁶</t>
        </is>
      </c>
      <c r="L2370" t="inlineStr">
        <is>
          <t>15H³, 30F⁴, 30L⁵</t>
        </is>
      </c>
      <c r="M2370" t="inlineStr">
        <is>
          <t>30B²¹, 30F²¹, 30C²³, 30D²³</t>
        </is>
      </c>
      <c r="N2370" t="inlineStr">
        <is>
          <t>5A⁰, 30F⁴, 30L⁵, 15A¹, 15F¹, 5E⁰, 3A⁰, 10E¹, 1A⁰, 15H³, 15A⁰</t>
        </is>
      </c>
      <c r="O2370" t="inlineStr">
        <is>
          <t>30F²¹, 30C²³, 30B²¹, 30D²³</t>
        </is>
      </c>
    </row>
    <row r="2371">
      <c r="A2371">
        <f>HYPERLINK("https://mathstats.uncg.edu/sites/pauli/congruence/csg10.html#group30E10", "30E¹⁰")</f>
        <v/>
      </c>
      <c r="B2371" t="n">
        <v>10</v>
      </c>
      <c r="C2371" t="inlineStr"/>
      <c r="D2371" t="inlineStr">
        <is>
          <t>180</t>
        </is>
      </c>
      <c r="E2371" t="inlineStr">
        <is>
          <t>1</t>
        </is>
      </c>
      <c r="F2371" t="inlineStr">
        <is>
          <t>45</t>
        </is>
      </c>
      <c r="G2371" t="inlineStr">
        <is>
          <t>12</t>
        </is>
      </c>
      <c r="H2371" t="inlineStr">
        <is>
          <t>0</t>
        </is>
      </c>
      <c r="I2371" t="inlineStr">
        <is>
          <t>30⁶</t>
        </is>
      </c>
      <c r="J2371" t="n">
        <v>6</v>
      </c>
      <c r="K2371" t="inlineStr">
        <is>
          <t>2³, 4⁹, 8⁶</t>
        </is>
      </c>
      <c r="L2371" t="inlineStr">
        <is>
          <t>15H³, 30F⁴, 30L⁵</t>
        </is>
      </c>
      <c r="M2371" t="inlineStr">
        <is>
          <t>30B²¹, 30F²¹, 30C²³, 30E²³</t>
        </is>
      </c>
      <c r="N2371" t="inlineStr">
        <is>
          <t>5A⁰, 30F⁴, 30L⁵, 15A¹, 15F¹, 5E⁰, 3A⁰, 10E¹, 1A⁰, 15H³, 15A⁰</t>
        </is>
      </c>
      <c r="O2371" t="inlineStr">
        <is>
          <t>30F²¹, 30C²³, 30B²¹, 30E²³</t>
        </is>
      </c>
    </row>
    <row r="2372">
      <c r="A2372">
        <f>HYPERLINK("https://mathstats.uncg.edu/sites/pauli/congruence/csg10.html#group30F10", "30F¹⁰")</f>
        <v/>
      </c>
      <c r="B2372" t="n">
        <v>10</v>
      </c>
      <c r="C2372" t="inlineStr"/>
      <c r="D2372" t="inlineStr">
        <is>
          <t>180</t>
        </is>
      </c>
      <c r="E2372" t="inlineStr">
        <is>
          <t>1</t>
        </is>
      </c>
      <c r="F2372" t="inlineStr">
        <is>
          <t>60</t>
        </is>
      </c>
      <c r="G2372" t="inlineStr">
        <is>
          <t>0</t>
        </is>
      </c>
      <c r="H2372" t="inlineStr">
        <is>
          <t>0</t>
        </is>
      </c>
      <c r="I2372" t="inlineStr">
        <is>
          <t>5³, 10³, 15³, 30³</t>
        </is>
      </c>
      <c r="J2372" t="n">
        <v>12</v>
      </c>
      <c r="K2372" t="inlineStr">
        <is>
          <t>1⁶, 2³, 4⁶, 8³</t>
        </is>
      </c>
      <c r="L2372" t="inlineStr">
        <is>
          <t>10I¹, 15A³, 30D⁴</t>
        </is>
      </c>
      <c r="M2372" t="inlineStr">
        <is>
          <t>30B¹⁹, 30A²², 30C²², 60A²², 60D²²</t>
        </is>
      </c>
      <c r="N2372" t="inlineStr">
        <is>
          <t>3B⁰, 15A³, 5A⁰, 10I¹, 30D⁴, 10B¹, 15B¹, 5E⁰, 1A⁰, 2B⁰, 6F⁰</t>
        </is>
      </c>
      <c r="O2372" t="inlineStr">
        <is>
          <t>30B¹⁹, 30A²², 60D²², 30C²², 60A²²</t>
        </is>
      </c>
    </row>
    <row r="2373">
      <c r="A2373">
        <f>HYPERLINK("https://mathstats.uncg.edu/sites/pauli/congruence/csg10.html#group30G10", "30G¹⁰")</f>
        <v/>
      </c>
      <c r="B2373" t="n">
        <v>10</v>
      </c>
      <c r="C2373" t="inlineStr"/>
      <c r="D2373" t="inlineStr">
        <is>
          <t>180</t>
        </is>
      </c>
      <c r="E2373" t="inlineStr">
        <is>
          <t>1</t>
        </is>
      </c>
      <c r="F2373" t="inlineStr">
        <is>
          <t>60</t>
        </is>
      </c>
      <c r="G2373" t="inlineStr">
        <is>
          <t>12</t>
        </is>
      </c>
      <c r="H2373" t="inlineStr">
        <is>
          <t>0</t>
        </is>
      </c>
      <c r="I2373" t="inlineStr">
        <is>
          <t>30⁶</t>
        </is>
      </c>
      <c r="J2373" t="n">
        <v>6</v>
      </c>
      <c r="K2373" t="inlineStr">
        <is>
          <t>4¹⁵</t>
        </is>
      </c>
      <c r="L2373" t="inlineStr">
        <is>
          <t>10J¹, 30F²</t>
        </is>
      </c>
      <c r="M2373" t="inlineStr">
        <is>
          <t>30E²¹, 30I²³</t>
        </is>
      </c>
      <c r="N2373" t="inlineStr">
        <is>
          <t>10J¹, 15D¹, 1A⁰, 3A⁰, 30F², 10D⁰, 5C⁰</t>
        </is>
      </c>
      <c r="O2373" t="inlineStr">
        <is>
          <t>30I²³, 30E²¹</t>
        </is>
      </c>
    </row>
    <row r="2374">
      <c r="A2374">
        <f>HYPERLINK("https://mathstats.uncg.edu/sites/pauli/congruence/csg10.html#group30H10", "30H¹⁰")</f>
        <v/>
      </c>
      <c r="B2374" t="n">
        <v>10</v>
      </c>
      <c r="C2374" t="inlineStr"/>
      <c r="D2374" t="inlineStr">
        <is>
          <t>180</t>
        </is>
      </c>
      <c r="E2374" t="inlineStr">
        <is>
          <t>1</t>
        </is>
      </c>
      <c r="F2374" t="inlineStr">
        <is>
          <t>90</t>
        </is>
      </c>
      <c r="G2374" t="inlineStr">
        <is>
          <t>8</t>
        </is>
      </c>
      <c r="H2374" t="inlineStr">
        <is>
          <t>0</t>
        </is>
      </c>
      <c r="I2374" t="inlineStr">
        <is>
          <t>15⁴, 30⁴</t>
        </is>
      </c>
      <c r="J2374" t="n">
        <v>8</v>
      </c>
      <c r="K2374" t="inlineStr">
        <is>
          <t>2³, 4⁹, 8⁶</t>
        </is>
      </c>
      <c r="L2374" t="inlineStr">
        <is>
          <t>15D², 30K⁵</t>
        </is>
      </c>
      <c r="M2374" t="inlineStr">
        <is>
          <t>30C²¹, 30D²¹, 60V²¹, 30F²³, 30K²³, 60G²³, 60L²³</t>
        </is>
      </c>
      <c r="N2374" t="inlineStr">
        <is>
          <t>30K⁵, 15D¹, 15D², 1A⁰, 2B⁰, 3A⁰, 5C⁰, 6D⁰, 10F¹</t>
        </is>
      </c>
      <c r="O2374" t="inlineStr">
        <is>
          <t>60G²³, 60V²¹, 30F²³, 30D²¹, 60L²³, 30K²³, 30C²¹</t>
        </is>
      </c>
    </row>
    <row r="2375">
      <c r="A2375">
        <f>HYPERLINK("https://mathstats.uncg.edu/sites/pauli/congruence/csg10.html#group30I10", "30I¹⁰")</f>
        <v/>
      </c>
      <c r="B2375" t="n">
        <v>10</v>
      </c>
      <c r="C2375" t="inlineStr"/>
      <c r="D2375" t="inlineStr">
        <is>
          <t>180</t>
        </is>
      </c>
      <c r="E2375" t="inlineStr">
        <is>
          <t>2</t>
        </is>
      </c>
      <c r="F2375" t="inlineStr">
        <is>
          <t>45</t>
        </is>
      </c>
      <c r="G2375" t="inlineStr">
        <is>
          <t>12</t>
        </is>
      </c>
      <c r="H2375" t="inlineStr">
        <is>
          <t>0</t>
        </is>
      </c>
      <c r="I2375" t="inlineStr">
        <is>
          <t>30⁶</t>
        </is>
      </c>
      <c r="J2375" t="n">
        <v>6</v>
      </c>
      <c r="K2375" t="inlineStr">
        <is>
          <t>2³, 4³, 8⁹</t>
        </is>
      </c>
      <c r="L2375" t="inlineStr">
        <is>
          <t>15H³, 30E⁴, 30L⁵</t>
        </is>
      </c>
      <c r="M2375" t="inlineStr">
        <is>
          <t>30A²¹, 30F²¹, 30B²³, 30J²³</t>
        </is>
      </c>
      <c r="N2375" t="inlineStr">
        <is>
          <t>5A⁰, 30A², 30L⁵, 30E⁴, 6B⁰, 15A¹, 15F¹, 5E⁰, 3A⁰, 1A⁰, 15H³, 15A⁰</t>
        </is>
      </c>
      <c r="O2375" t="inlineStr">
        <is>
          <t>30A²¹, 30F²¹, 30J²³, 30B²³</t>
        </is>
      </c>
    </row>
    <row r="2376">
      <c r="A2376">
        <f>HYPERLINK("https://mathstats.uncg.edu/sites/pauli/congruence/csg10.html#group32A10", "32A¹⁰")</f>
        <v/>
      </c>
      <c r="B2376" t="n">
        <v>10</v>
      </c>
      <c r="C2376" t="inlineStr"/>
      <c r="D2376" t="inlineStr">
        <is>
          <t>192</t>
        </is>
      </c>
      <c r="E2376" t="inlineStr">
        <is>
          <t>1</t>
        </is>
      </c>
      <c r="F2376" t="inlineStr">
        <is>
          <t>48</t>
        </is>
      </c>
      <c r="G2376" t="inlineStr">
        <is>
          <t>4</t>
        </is>
      </c>
      <c r="H2376" t="inlineStr">
        <is>
          <t>0</t>
        </is>
      </c>
      <c r="I2376" t="inlineStr">
        <is>
          <t>8⁸, 32⁴</t>
        </is>
      </c>
      <c r="J2376" t="n">
        <v>12</v>
      </c>
      <c r="K2376" t="inlineStr">
        <is>
          <t>2², 4³, 8⁴</t>
        </is>
      </c>
      <c r="L2376" t="inlineStr">
        <is>
          <t>16L², 32H⁵, 32I⁵</t>
        </is>
      </c>
      <c r="M2376" t="inlineStr">
        <is>
          <t>32E¹⁹, 32C²¹, 32P²¹</t>
        </is>
      </c>
      <c r="N2376" t="inlineStr">
        <is>
          <t>16I¹, 8D⁰, 4C⁰, 32H⁵, 8B⁰, 8L⁰, 2B⁰, 32I³, 16H¹, 16L², 1A⁰, 8H⁰, 16E⁰, 4A⁰, 16C¹, 4F⁰, 8P⁰, 32I⁵</t>
        </is>
      </c>
      <c r="O2376" t="inlineStr">
        <is>
          <t>32P²¹, 32E¹⁹, 32C²¹</t>
        </is>
      </c>
    </row>
    <row r="2377">
      <c r="A2377">
        <f>HYPERLINK("https://mathstats.uncg.edu/sites/pauli/congruence/csg10.html#group32B10", "32B¹⁰")</f>
        <v/>
      </c>
      <c r="B2377" t="n">
        <v>10</v>
      </c>
      <c r="C2377" t="inlineStr"/>
      <c r="D2377" t="inlineStr">
        <is>
          <t>192</t>
        </is>
      </c>
      <c r="E2377" t="inlineStr">
        <is>
          <t>1</t>
        </is>
      </c>
      <c r="F2377" t="inlineStr">
        <is>
          <t>48</t>
        </is>
      </c>
      <c r="G2377" t="inlineStr">
        <is>
          <t>4</t>
        </is>
      </c>
      <c r="H2377" t="inlineStr">
        <is>
          <t>0</t>
        </is>
      </c>
      <c r="I2377" t="inlineStr">
        <is>
          <t>8⁸, 32⁴</t>
        </is>
      </c>
      <c r="J2377" t="n">
        <v>12</v>
      </c>
      <c r="K2377" t="inlineStr">
        <is>
          <t>2², 4³, 8⁴</t>
        </is>
      </c>
      <c r="L2377" t="inlineStr">
        <is>
          <t>32P³, 16B⁴, 32I⁵</t>
        </is>
      </c>
      <c r="M2377" t="inlineStr">
        <is>
          <t>32E¹⁹, 32D²¹, 32P²¹, 64A²², 64B²², 32A²⁴, 32C²⁴</t>
        </is>
      </c>
      <c r="N2377" t="inlineStr">
        <is>
          <t>32I⁵, 16I¹, 8D⁰, 4C⁰, 8B⁰, 8A⁰, 2B⁰, 1A⁰, 8K⁰, 8D¹, 8H¹, 16E², 8H⁰, 16E⁰, 16B⁴, 16D¹, 4A⁰, 16C¹, 4F⁰, 32P³</t>
        </is>
      </c>
      <c r="O2377" t="inlineStr">
        <is>
          <t>64A²², 32A²⁴, 64B²², 32D²¹, 32C²⁴, 32P²¹, 32E¹⁹</t>
        </is>
      </c>
    </row>
    <row r="2378">
      <c r="A2378">
        <f>HYPERLINK("https://mathstats.uncg.edu/sites/pauli/congruence/csg10.html#group32C10", "32C¹⁰")</f>
        <v/>
      </c>
      <c r="B2378" t="n">
        <v>10</v>
      </c>
      <c r="C2378" t="inlineStr"/>
      <c r="D2378" t="inlineStr">
        <is>
          <t>192</t>
        </is>
      </c>
      <c r="E2378" t="inlineStr">
        <is>
          <t>1</t>
        </is>
      </c>
      <c r="F2378" t="inlineStr">
        <is>
          <t>48</t>
        </is>
      </c>
      <c r="G2378" t="inlineStr">
        <is>
          <t>4</t>
        </is>
      </c>
      <c r="H2378" t="inlineStr">
        <is>
          <t>0</t>
        </is>
      </c>
      <c r="I2378" t="inlineStr">
        <is>
          <t>8⁸, 32⁴</t>
        </is>
      </c>
      <c r="J2378" t="n">
        <v>12</v>
      </c>
      <c r="K2378" t="inlineStr">
        <is>
          <t>2², 4³, 8⁴</t>
        </is>
      </c>
      <c r="L2378" t="inlineStr">
        <is>
          <t>32Q³, 16B⁴, 32H⁵</t>
        </is>
      </c>
      <c r="M2378" t="inlineStr">
        <is>
          <t>32E¹⁹, 32D²¹, 32P²¹, 32B²⁴, 32D²⁴</t>
        </is>
      </c>
      <c r="N2378" t="inlineStr">
        <is>
          <t>16I¹, 8D⁰, 4C⁰, 32H⁵, 8B⁰, 8A⁰, 32D¹, 32I³, 2B⁰, 1A⁰, 8K⁰, 32Q³, 8D¹, 8H¹, 16E², 8H⁰, 16E⁰, 16B⁴, 16D¹, 32C¹, 4A⁰, 16C¹, 4F⁰</t>
        </is>
      </c>
      <c r="O2378" t="inlineStr">
        <is>
          <t>32B²⁴, 32D²⁴, 32D²¹, 32P²¹, 32E¹⁹</t>
        </is>
      </c>
    </row>
    <row r="2379">
      <c r="A2379">
        <f>HYPERLINK("https://mathstats.uncg.edu/sites/pauli/congruence/csg10.html#group33A10", "33A¹⁰")</f>
        <v/>
      </c>
      <c r="B2379" t="n">
        <v>10</v>
      </c>
      <c r="C2379" t="inlineStr"/>
      <c r="D2379" t="inlineStr">
        <is>
          <t>132</t>
        </is>
      </c>
      <c r="E2379" t="inlineStr">
        <is>
          <t>2</t>
        </is>
      </c>
      <c r="F2379" t="inlineStr">
        <is>
          <t>11</t>
        </is>
      </c>
      <c r="G2379" t="inlineStr">
        <is>
          <t>0</t>
        </is>
      </c>
      <c r="H2379" t="inlineStr">
        <is>
          <t>0</t>
        </is>
      </c>
      <c r="I2379" t="inlineStr">
        <is>
          <t>33⁴</t>
        </is>
      </c>
      <c r="J2379" t="n">
        <v>4</v>
      </c>
      <c r="K2379" t="inlineStr">
        <is>
          <t>2¹, 10²</t>
        </is>
      </c>
      <c r="L2379" t="inlineStr">
        <is>
          <t>3D⁰, 33B³, 33A⁴</t>
        </is>
      </c>
      <c r="M2379" t="inlineStr">
        <is>
          <t>66A²¹</t>
        </is>
      </c>
      <c r="N2379" t="inlineStr">
        <is>
          <t>11A⁰, 3B⁰, 33B³, 33A⁴, 33A¹, 3C⁰, 3A⁰, 1A⁰, 3D⁰</t>
        </is>
      </c>
      <c r="O2379" t="inlineStr">
        <is>
          <t>66A²¹</t>
        </is>
      </c>
    </row>
    <row r="2380">
      <c r="A2380">
        <f>HYPERLINK("https://mathstats.uncg.edu/sites/pauli/congruence/csg10.html#group33B10", "33B¹⁰")</f>
        <v/>
      </c>
      <c r="B2380" t="n">
        <v>10</v>
      </c>
      <c r="C2380" t="inlineStr"/>
      <c r="D2380" t="inlineStr">
        <is>
          <t>165</t>
        </is>
      </c>
      <c r="E2380" t="inlineStr">
        <is>
          <t>1</t>
        </is>
      </c>
      <c r="F2380" t="inlineStr">
        <is>
          <t>55</t>
        </is>
      </c>
      <c r="G2380" t="inlineStr">
        <is>
          <t>9</t>
        </is>
      </c>
      <c r="H2380" t="inlineStr">
        <is>
          <t>0</t>
        </is>
      </c>
      <c r="I2380" t="inlineStr">
        <is>
          <t>33⁵</t>
        </is>
      </c>
      <c r="J2380" t="n">
        <v>5</v>
      </c>
      <c r="K2380" t="inlineStr">
        <is>
          <t>5¹, 10⁵</t>
        </is>
      </c>
      <c r="L2380" t="inlineStr">
        <is>
          <t>11B¹, 33A¹</t>
        </is>
      </c>
      <c r="M2380" t="inlineStr">
        <is>
          <t>33B²², 66A²³</t>
        </is>
      </c>
      <c r="N2380" t="inlineStr">
        <is>
          <t>11A⁰, 11B¹, 3A⁰, 1A⁰, 33A¹</t>
        </is>
      </c>
      <c r="O2380" t="inlineStr">
        <is>
          <t>33B²², 66A²³</t>
        </is>
      </c>
    </row>
    <row r="2381">
      <c r="A2381">
        <f>HYPERLINK("https://mathstats.uncg.edu/sites/pauli/congruence/csg10.html#group33C10", "33C¹⁰")</f>
        <v/>
      </c>
      <c r="B2381" t="n">
        <v>10</v>
      </c>
      <c r="C2381" t="inlineStr"/>
      <c r="D2381" t="inlineStr">
        <is>
          <t>198</t>
        </is>
      </c>
      <c r="E2381" t="inlineStr">
        <is>
          <t>1</t>
        </is>
      </c>
      <c r="F2381" t="inlineStr">
        <is>
          <t>66</t>
        </is>
      </c>
      <c r="G2381" t="inlineStr">
        <is>
          <t>18</t>
        </is>
      </c>
      <c r="H2381" t="inlineStr">
        <is>
          <t>0</t>
        </is>
      </c>
      <c r="I2381" t="inlineStr">
        <is>
          <t>33⁶</t>
        </is>
      </c>
      <c r="J2381" t="n">
        <v>6</v>
      </c>
      <c r="K2381" t="inlineStr">
        <is>
          <t>1¹, 5¹, 10⁶</t>
        </is>
      </c>
      <c r="L2381" t="inlineStr">
        <is>
          <t>33A¹, 11A²</t>
        </is>
      </c>
      <c r="M2381" t="inlineStr">
        <is>
          <t>33C²², 66E²²</t>
        </is>
      </c>
      <c r="N2381" t="inlineStr">
        <is>
          <t>11A⁰, 33A¹, 3A⁰, 1A⁰, 11A²</t>
        </is>
      </c>
      <c r="O2381" t="inlineStr">
        <is>
          <t>66E²², 33C²²</t>
        </is>
      </c>
    </row>
    <row r="2382">
      <c r="A2382">
        <f>HYPERLINK("https://mathstats.uncg.edu/sites/pauli/congruence/csg10.html#group35A10", "35A¹⁰")</f>
        <v/>
      </c>
      <c r="B2382" t="n">
        <v>10</v>
      </c>
      <c r="C2382" t="inlineStr"/>
      <c r="D2382" t="inlineStr">
        <is>
          <t>140</t>
        </is>
      </c>
      <c r="E2382" t="inlineStr">
        <is>
          <t>2</t>
        </is>
      </c>
      <c r="F2382" t="inlineStr">
        <is>
          <t>70</t>
        </is>
      </c>
      <c r="G2382" t="inlineStr">
        <is>
          <t>0</t>
        </is>
      </c>
      <c r="H2382" t="inlineStr">
        <is>
          <t>2</t>
        </is>
      </c>
      <c r="I2382" t="inlineStr">
        <is>
          <t>35⁴</t>
        </is>
      </c>
      <c r="J2382" t="n">
        <v>4</v>
      </c>
      <c r="K2382" t="inlineStr">
        <is>
          <t>4¹, 8², 12², 24⁴</t>
        </is>
      </c>
      <c r="L2382" t="inlineStr">
        <is>
          <t>5F⁰, 35A², 35B⁴</t>
        </is>
      </c>
      <c r="M2382" t="inlineStr">
        <is>
          <t>35B¹⁹, 70D²¹, 70E²¹</t>
        </is>
      </c>
      <c r="N2382" t="inlineStr">
        <is>
          <t>5A⁰, 35B⁴, 5C⁰, 5F⁰, 1A⁰, 35A², 7A⁰</t>
        </is>
      </c>
      <c r="O2382" t="inlineStr">
        <is>
          <t>70E²¹, 70D²¹, 35B¹⁹</t>
        </is>
      </c>
    </row>
    <row r="2383">
      <c r="A2383">
        <f>HYPERLINK("https://mathstats.uncg.edu/sites/pauli/congruence/csg10.html#group36A10", "36A¹⁰")</f>
        <v/>
      </c>
      <c r="B2383" t="n">
        <v>10</v>
      </c>
      <c r="C2383" t="inlineStr"/>
      <c r="D2383" t="inlineStr">
        <is>
          <t>144</t>
        </is>
      </c>
      <c r="E2383" t="inlineStr">
        <is>
          <t>1</t>
        </is>
      </c>
      <c r="F2383" t="inlineStr">
        <is>
          <t>4</t>
        </is>
      </c>
      <c r="G2383" t="inlineStr">
        <is>
          <t>0</t>
        </is>
      </c>
      <c r="H2383" t="inlineStr">
        <is>
          <t>0</t>
        </is>
      </c>
      <c r="I2383" t="inlineStr">
        <is>
          <t>12³, 36³</t>
        </is>
      </c>
      <c r="J2383" t="n">
        <v>6</v>
      </c>
      <c r="K2383" t="inlineStr">
        <is>
          <t>1², 2¹</t>
        </is>
      </c>
      <c r="L2383" t="inlineStr">
        <is>
          <t>36A⁰, 12F², 18C⁴, 36B⁴</t>
        </is>
      </c>
      <c r="M2383" t="inlineStr">
        <is>
          <t>36C¹⁹</t>
        </is>
      </c>
      <c r="N2383" t="inlineStr">
        <is>
          <t>3B⁰, 2A⁰, 18C⁴, 6I⁰, 18B⁰, 6C⁰, 18D², 2B⁰, 12B⁰, 9C⁰, 1A⁰, 12F², 36B⁴, 6F⁰, 2C⁰, 36A⁰, 18C²</t>
        </is>
      </c>
      <c r="O2383" t="inlineStr">
        <is>
          <t>36C¹⁹</t>
        </is>
      </c>
    </row>
    <row r="2384">
      <c r="A2384">
        <f>HYPERLINK("https://mathstats.uncg.edu/sites/pauli/congruence/csg10.html#group36B10", "36B¹⁰")</f>
        <v/>
      </c>
      <c r="B2384" t="n">
        <v>10</v>
      </c>
      <c r="C2384" t="inlineStr"/>
      <c r="D2384" t="inlineStr">
        <is>
          <t>144</t>
        </is>
      </c>
      <c r="E2384" t="inlineStr">
        <is>
          <t>1</t>
        </is>
      </c>
      <c r="F2384" t="inlineStr">
        <is>
          <t>4</t>
        </is>
      </c>
      <c r="G2384" t="inlineStr">
        <is>
          <t>0</t>
        </is>
      </c>
      <c r="H2384" t="inlineStr">
        <is>
          <t>0</t>
        </is>
      </c>
      <c r="I2384" t="inlineStr">
        <is>
          <t>12³, 36³</t>
        </is>
      </c>
      <c r="J2384" t="n">
        <v>6</v>
      </c>
      <c r="K2384" t="inlineStr">
        <is>
          <t>1², 2¹</t>
        </is>
      </c>
      <c r="L2384" t="inlineStr">
        <is>
          <t>12F², 36A², 18D⁴, 36A⁴</t>
        </is>
      </c>
      <c r="M2384" t="inlineStr">
        <is>
          <t>36D¹⁹</t>
        </is>
      </c>
      <c r="N2384" t="inlineStr">
        <is>
          <t>3B⁰, 2A⁰, 6I⁰, 18D¹, 6C⁰, 18E², 2B⁰, 1A⁰, 12F², 18B², 9A¹, 36A⁴, 18D⁴, 36A², 6F⁰, 2C⁰, 12B⁰</t>
        </is>
      </c>
      <c r="O2384" t="inlineStr">
        <is>
          <t>36D¹⁹</t>
        </is>
      </c>
    </row>
    <row r="2385">
      <c r="A2385">
        <f>HYPERLINK("https://mathstats.uncg.edu/sites/pauli/congruence/csg10.html#group36C10", "36C¹⁰")</f>
        <v/>
      </c>
      <c r="B2385" t="n">
        <v>10</v>
      </c>
      <c r="C2385" t="inlineStr"/>
      <c r="D2385" t="inlineStr">
        <is>
          <t>144</t>
        </is>
      </c>
      <c r="E2385" t="inlineStr">
        <is>
          <t>1</t>
        </is>
      </c>
      <c r="F2385" t="inlineStr">
        <is>
          <t>4</t>
        </is>
      </c>
      <c r="G2385" t="inlineStr">
        <is>
          <t>0</t>
        </is>
      </c>
      <c r="H2385" t="inlineStr">
        <is>
          <t>0</t>
        </is>
      </c>
      <c r="I2385" t="inlineStr">
        <is>
          <t>12³, 36³</t>
        </is>
      </c>
      <c r="J2385" t="n">
        <v>6</v>
      </c>
      <c r="K2385" t="inlineStr">
        <is>
          <t>1², 2¹</t>
        </is>
      </c>
      <c r="L2385" t="inlineStr">
        <is>
          <t>36A⁰, 12A³, 36A³, 18E⁴, 36A⁴</t>
        </is>
      </c>
      <c r="M2385" t="inlineStr"/>
      <c r="N2385" t="inlineStr">
        <is>
          <t>3B⁰, 2A⁰, 12D¹, 6B⁰, 12A³, 18B⁰, 6C⁰, 9B⁰, 9C⁰, 1A⁰, 36A³, 18B², 6D¹, 6E⁰, 6B¹, 18C¹, 9A¹, 36A⁴, 3C⁰, 9C¹, 6A¹, 18E⁴, 3A⁰, 3D⁰, 36A⁰, 12B⁰</t>
        </is>
      </c>
      <c r="O2385" t="inlineStr"/>
    </row>
    <row r="2386">
      <c r="A2386">
        <f>HYPERLINK("https://mathstats.uncg.edu/sites/pauli/congruence/csg10.html#group36D10", "36D¹⁰")</f>
        <v/>
      </c>
      <c r="B2386" t="n">
        <v>10</v>
      </c>
      <c r="C2386" t="inlineStr"/>
      <c r="D2386" t="inlineStr">
        <is>
          <t>144</t>
        </is>
      </c>
      <c r="E2386" t="inlineStr">
        <is>
          <t>1</t>
        </is>
      </c>
      <c r="F2386" t="inlineStr">
        <is>
          <t>8</t>
        </is>
      </c>
      <c r="G2386" t="inlineStr">
        <is>
          <t>0</t>
        </is>
      </c>
      <c r="H2386" t="inlineStr">
        <is>
          <t>0</t>
        </is>
      </c>
      <c r="I2386" t="inlineStr">
        <is>
          <t>12³, 36³</t>
        </is>
      </c>
      <c r="J2386" t="n">
        <v>6</v>
      </c>
      <c r="K2386" t="inlineStr">
        <is>
          <t>2⁴</t>
        </is>
      </c>
      <c r="L2386" t="inlineStr">
        <is>
          <t>12O¹, 36B¹, 18F⁴, 36A⁴, 36B⁴</t>
        </is>
      </c>
      <c r="M2386" t="inlineStr"/>
      <c r="N2386" t="inlineStr">
        <is>
          <t>3B⁰, 2A⁰, 6C⁰, 18F⁴, 1A⁰, 18C⁰, 18B², 6A⁰, 18C², 9A¹, 36B¹, 36A⁴, 6J⁰, 36B⁴, 12O¹, 12B⁰</t>
        </is>
      </c>
      <c r="O2386" t="inlineStr"/>
    </row>
    <row r="2387">
      <c r="A2387">
        <f>HYPERLINK("https://mathstats.uncg.edu/sites/pauli/congruence/csg10.html#group36E10", "36E¹⁰")</f>
        <v/>
      </c>
      <c r="B2387" t="n">
        <v>10</v>
      </c>
      <c r="C2387" t="inlineStr"/>
      <c r="D2387" t="inlineStr">
        <is>
          <t>144</t>
        </is>
      </c>
      <c r="E2387" t="inlineStr">
        <is>
          <t>1</t>
        </is>
      </c>
      <c r="F2387" t="inlineStr">
        <is>
          <t>8</t>
        </is>
      </c>
      <c r="G2387" t="inlineStr">
        <is>
          <t>0</t>
        </is>
      </c>
      <c r="H2387" t="inlineStr">
        <is>
          <t>0</t>
        </is>
      </c>
      <c r="I2387" t="inlineStr">
        <is>
          <t>12³, 36³</t>
        </is>
      </c>
      <c r="J2387" t="n">
        <v>6</v>
      </c>
      <c r="K2387" t="inlineStr">
        <is>
          <t>2⁴</t>
        </is>
      </c>
      <c r="L2387" t="inlineStr">
        <is>
          <t>12O¹, 36A², 36A³, 18G⁴, 36B⁴</t>
        </is>
      </c>
      <c r="M2387" t="inlineStr"/>
      <c r="N2387" t="inlineStr">
        <is>
          <t>3B⁰, 2A⁰, 18D¹, 6C⁰, 9B⁰, 12B⁰, 1A⁰, 18G⁴, 36A³, 6A⁰, 18C¹, 6J⁰, 36B⁴, 36A², 12O¹, 18C²</t>
        </is>
      </c>
      <c r="O2387" t="inlineStr"/>
    </row>
    <row r="2388">
      <c r="A2388">
        <f>HYPERLINK("https://mathstats.uncg.edu/sites/pauli/congruence/csg10.html#group36F10", "36F¹⁰")</f>
        <v/>
      </c>
      <c r="B2388" t="n">
        <v>10</v>
      </c>
      <c r="C2388" t="inlineStr"/>
      <c r="D2388" t="inlineStr">
        <is>
          <t>144</t>
        </is>
      </c>
      <c r="E2388" t="inlineStr">
        <is>
          <t>1</t>
        </is>
      </c>
      <c r="F2388" t="inlineStr">
        <is>
          <t>8</t>
        </is>
      </c>
      <c r="G2388" t="inlineStr">
        <is>
          <t>0</t>
        </is>
      </c>
      <c r="H2388" t="inlineStr">
        <is>
          <t>0</t>
        </is>
      </c>
      <c r="I2388" t="inlineStr">
        <is>
          <t>12³, 36³</t>
        </is>
      </c>
      <c r="J2388" t="n">
        <v>6</v>
      </c>
      <c r="K2388" t="inlineStr">
        <is>
          <t>2⁴</t>
        </is>
      </c>
      <c r="L2388" t="inlineStr">
        <is>
          <t>36B¹, 36A², 12A³, 18H⁴, 36B⁴</t>
        </is>
      </c>
      <c r="M2388" t="inlineStr"/>
      <c r="N2388" t="inlineStr">
        <is>
          <t>3B⁰, 2A⁰, 12D¹, 6B⁰, 12A³, 18D¹, 6C⁰, 1A⁰, 18H⁴, 18C⁰, 6D¹, 6E⁰, 6B¹, 18C², 36B¹, 3C⁰, 6A¹, 36B⁴, 36A², 3A⁰, 3D⁰, 12B⁰</t>
        </is>
      </c>
      <c r="O2388" t="inlineStr"/>
    </row>
    <row r="2389">
      <c r="A2389">
        <f>HYPERLINK("https://mathstats.uncg.edu/sites/pauli/congruence/csg10.html#group36G10", "36G¹⁰")</f>
        <v/>
      </c>
      <c r="B2389" t="n">
        <v>10</v>
      </c>
      <c r="C2389" t="inlineStr"/>
      <c r="D2389" t="inlineStr">
        <is>
          <t>144</t>
        </is>
      </c>
      <c r="E2389" t="inlineStr">
        <is>
          <t>1</t>
        </is>
      </c>
      <c r="F2389" t="inlineStr">
        <is>
          <t>12</t>
        </is>
      </c>
      <c r="G2389" t="inlineStr">
        <is>
          <t>0</t>
        </is>
      </c>
      <c r="H2389" t="inlineStr">
        <is>
          <t>0</t>
        </is>
      </c>
      <c r="I2389" t="inlineStr">
        <is>
          <t>12³, 36³</t>
        </is>
      </c>
      <c r="J2389" t="n">
        <v>6</v>
      </c>
      <c r="K2389" t="inlineStr">
        <is>
          <t>1², 2², 6¹</t>
        </is>
      </c>
      <c r="L2389" t="inlineStr">
        <is>
          <t>18I⁴, 36A⁴</t>
        </is>
      </c>
      <c r="M2389" t="inlineStr"/>
      <c r="N2389" t="inlineStr">
        <is>
          <t>3B⁰, 2A⁰, 18B², 9A¹, 6C⁰, 36A⁴, 18I⁴, 9D¹, 1A⁰, 12B⁰</t>
        </is>
      </c>
      <c r="O2389" t="inlineStr"/>
    </row>
    <row r="2390">
      <c r="A2390">
        <f>HYPERLINK("https://mathstats.uncg.edu/sites/pauli/congruence/csg10.html#group36H10", "36H¹⁰")</f>
        <v/>
      </c>
      <c r="B2390" t="n">
        <v>10</v>
      </c>
      <c r="C2390" t="inlineStr"/>
      <c r="D2390" t="inlineStr">
        <is>
          <t>144</t>
        </is>
      </c>
      <c r="E2390" t="inlineStr">
        <is>
          <t>1</t>
        </is>
      </c>
      <c r="F2390" t="inlineStr">
        <is>
          <t>16</t>
        </is>
      </c>
      <c r="G2390" t="inlineStr">
        <is>
          <t>0</t>
        </is>
      </c>
      <c r="H2390" t="inlineStr">
        <is>
          <t>0</t>
        </is>
      </c>
      <c r="I2390" t="inlineStr">
        <is>
          <t>12³, 36³</t>
        </is>
      </c>
      <c r="J2390" t="n">
        <v>6</v>
      </c>
      <c r="K2390" t="inlineStr">
        <is>
          <t>2⁴, 4²</t>
        </is>
      </c>
      <c r="L2390" t="inlineStr">
        <is>
          <t>9C¹, 12B³, 36B³, 36C³, 36C⁴</t>
        </is>
      </c>
      <c r="M2390" t="inlineStr">
        <is>
          <t>36E¹⁹, 72C²²</t>
        </is>
      </c>
      <c r="N2390" t="inlineStr">
        <is>
          <t>12G¹, 3B⁰, 12B³, 9B⁰, 9C⁰, 1A⁰, 36C³, 12A⁰, 4A⁰, 12A¹, 9A¹, 3C⁰, 9C¹, 36C⁴, 3A⁰, 36B³, 3D⁰</t>
        </is>
      </c>
      <c r="O2390" t="inlineStr">
        <is>
          <t>72C²², 36E¹⁹</t>
        </is>
      </c>
    </row>
    <row r="2391">
      <c r="A2391">
        <f>HYPERLINK("https://mathstats.uncg.edu/sites/pauli/congruence/csg10.html#group36I10", "36I¹⁰")</f>
        <v/>
      </c>
      <c r="B2391" t="n">
        <v>10</v>
      </c>
      <c r="C2391" t="inlineStr"/>
      <c r="D2391" t="inlineStr">
        <is>
          <t>144</t>
        </is>
      </c>
      <c r="E2391" t="inlineStr">
        <is>
          <t>1</t>
        </is>
      </c>
      <c r="F2391" t="inlineStr">
        <is>
          <t>24</t>
        </is>
      </c>
      <c r="G2391" t="inlineStr">
        <is>
          <t>0</t>
        </is>
      </c>
      <c r="H2391" t="inlineStr">
        <is>
          <t>0</t>
        </is>
      </c>
      <c r="I2391" t="inlineStr">
        <is>
          <t>12³, 36³</t>
        </is>
      </c>
      <c r="J2391" t="n">
        <v>6</v>
      </c>
      <c r="K2391" t="inlineStr">
        <is>
          <t>1⁴, 2⁴, 6²</t>
        </is>
      </c>
      <c r="L2391" t="inlineStr">
        <is>
          <t>18J⁴, 36A⁴</t>
        </is>
      </c>
      <c r="M2391" t="inlineStr"/>
      <c r="N2391" t="inlineStr">
        <is>
          <t>3B⁰, 2A⁰, 18B², 18J⁴, 9A¹, 6C⁰, 36A⁴, 1A⁰, 12B⁰</t>
        </is>
      </c>
      <c r="O2391" t="inlineStr"/>
    </row>
    <row r="2392">
      <c r="A2392">
        <f>HYPERLINK("https://mathstats.uncg.edu/sites/pauli/congruence/csg10.html#group36J10", "36J¹⁰")</f>
        <v/>
      </c>
      <c r="B2392" t="n">
        <v>10</v>
      </c>
      <c r="C2392" t="inlineStr"/>
      <c r="D2392" t="inlineStr">
        <is>
          <t>144</t>
        </is>
      </c>
      <c r="E2392" t="inlineStr">
        <is>
          <t>1</t>
        </is>
      </c>
      <c r="F2392" t="inlineStr">
        <is>
          <t>24</t>
        </is>
      </c>
      <c r="G2392" t="inlineStr">
        <is>
          <t>0</t>
        </is>
      </c>
      <c r="H2392" t="inlineStr">
        <is>
          <t>0</t>
        </is>
      </c>
      <c r="I2392" t="inlineStr">
        <is>
          <t>12³, 36³</t>
        </is>
      </c>
      <c r="J2392" t="n">
        <v>6</v>
      </c>
      <c r="K2392" t="inlineStr">
        <is>
          <t>1⁴, 2⁶, 4²</t>
        </is>
      </c>
      <c r="L2392" t="inlineStr">
        <is>
          <t>12G², 36C³, 36A⁵</t>
        </is>
      </c>
      <c r="M2392" t="inlineStr">
        <is>
          <t>36A¹⁹, 72A²⁰, 72E²¹, 72G²¹, 72A²²</t>
        </is>
      </c>
      <c r="N2392" t="inlineStr">
        <is>
          <t>3B⁰, 12F¹, 4A⁰, 12A¹, 4C⁰, 9C⁰, 6F⁰, 18D², 12G², 2B⁰, 4F⁰, 36A⁵, 1A⁰, 36C³</t>
        </is>
      </c>
      <c r="O2392" t="inlineStr">
        <is>
          <t>36A¹⁹, 72E²¹, 72A²², 72G²¹, 72A²⁰</t>
        </is>
      </c>
    </row>
    <row r="2393">
      <c r="A2393">
        <f>HYPERLINK("https://mathstats.uncg.edu/sites/pauli/congruence/csg10.html#group36K10", "36K¹⁰")</f>
        <v/>
      </c>
      <c r="B2393" t="n">
        <v>10</v>
      </c>
      <c r="C2393" t="inlineStr"/>
      <c r="D2393" t="inlineStr">
        <is>
          <t>144</t>
        </is>
      </c>
      <c r="E2393" t="inlineStr">
        <is>
          <t>1</t>
        </is>
      </c>
      <c r="F2393" t="inlineStr">
        <is>
          <t>24</t>
        </is>
      </c>
      <c r="G2393" t="inlineStr">
        <is>
          <t>0</t>
        </is>
      </c>
      <c r="H2393" t="inlineStr">
        <is>
          <t>0</t>
        </is>
      </c>
      <c r="I2393" t="inlineStr">
        <is>
          <t>12³, 36³</t>
        </is>
      </c>
      <c r="J2393" t="n">
        <v>6</v>
      </c>
      <c r="K2393" t="inlineStr">
        <is>
          <t>1⁴, 2⁶, 4²</t>
        </is>
      </c>
      <c r="L2393" t="inlineStr">
        <is>
          <t>12G², 36C⁴, 36B⁵</t>
        </is>
      </c>
      <c r="M2393" t="inlineStr">
        <is>
          <t>36B¹⁹, 72B²⁰, 72F²¹, 72H²¹, 72B²²</t>
        </is>
      </c>
      <c r="N2393" t="inlineStr">
        <is>
          <t>3B⁰, 4A⁰, 12F¹, 12A¹, 9A¹, 4C⁰, 6F⁰, 18E², 36C⁴, 12G², 36B⁵, 2B⁰, 4F⁰, 1A⁰</t>
        </is>
      </c>
      <c r="O2393" t="inlineStr">
        <is>
          <t>72F²¹, 72B²², 36B¹⁹, 72H²¹, 72B²⁰</t>
        </is>
      </c>
    </row>
    <row r="2394">
      <c r="A2394">
        <f>HYPERLINK("https://mathstats.uncg.edu/sites/pauli/congruence/csg10.html#group36L10", "36L¹⁰")</f>
        <v/>
      </c>
      <c r="B2394" t="n">
        <v>10</v>
      </c>
      <c r="C2394" t="inlineStr"/>
      <c r="D2394" t="inlineStr">
        <is>
          <t>144</t>
        </is>
      </c>
      <c r="E2394" t="inlineStr">
        <is>
          <t>1</t>
        </is>
      </c>
      <c r="F2394" t="inlineStr">
        <is>
          <t>48</t>
        </is>
      </c>
      <c r="G2394" t="inlineStr">
        <is>
          <t>0</t>
        </is>
      </c>
      <c r="H2394" t="inlineStr">
        <is>
          <t>0</t>
        </is>
      </c>
      <c r="I2394" t="inlineStr">
        <is>
          <t>12³, 36³</t>
        </is>
      </c>
      <c r="J2394" t="n">
        <v>6</v>
      </c>
      <c r="K2394" t="inlineStr">
        <is>
          <t>2⁴, 4⁴, 12²</t>
        </is>
      </c>
      <c r="L2394" t="inlineStr">
        <is>
          <t>9D¹, 36C⁴</t>
        </is>
      </c>
      <c r="M2394" t="inlineStr">
        <is>
          <t>36I¹⁹, 72D²²</t>
        </is>
      </c>
      <c r="N2394" t="inlineStr">
        <is>
          <t>3B⁰, 4A⁰, 12A¹, 9A¹, 36C⁴, 9D¹, 1A⁰</t>
        </is>
      </c>
      <c r="O2394" t="inlineStr">
        <is>
          <t>72D²², 36I¹⁹</t>
        </is>
      </c>
    </row>
    <row r="2395">
      <c r="A2395">
        <f>HYPERLINK("https://mathstats.uncg.edu/sites/pauli/congruence/csg10.html#group36M10", "36M¹⁰")</f>
        <v/>
      </c>
      <c r="B2395" t="n">
        <v>10</v>
      </c>
      <c r="C2395" t="inlineStr"/>
      <c r="D2395" t="inlineStr">
        <is>
          <t>162</t>
        </is>
      </c>
      <c r="E2395" t="inlineStr">
        <is>
          <t>1</t>
        </is>
      </c>
      <c r="F2395" t="inlineStr">
        <is>
          <t>81</t>
        </is>
      </c>
      <c r="G2395" t="inlineStr">
        <is>
          <t>0</t>
        </is>
      </c>
      <c r="H2395" t="inlineStr">
        <is>
          <t>0</t>
        </is>
      </c>
      <c r="I2395" t="inlineStr">
        <is>
          <t>9⁶, 36³</t>
        </is>
      </c>
      <c r="J2395" t="n">
        <v>9</v>
      </c>
      <c r="K2395" t="inlineStr">
        <is>
          <t>3³, 6¹²</t>
        </is>
      </c>
      <c r="L2395" t="inlineStr">
        <is>
          <t>4B⁰, 18K⁴</t>
        </is>
      </c>
      <c r="M2395" t="inlineStr">
        <is>
          <t>36B²², 72F²²</t>
        </is>
      </c>
      <c r="N2395" t="inlineStr">
        <is>
          <t>1A⁰, 2B⁰, 4B⁰, 9F⁰, 18K⁴</t>
        </is>
      </c>
      <c r="O2395" t="inlineStr">
        <is>
          <t>36B²², 72F²²</t>
        </is>
      </c>
    </row>
    <row r="2396">
      <c r="A2396">
        <f>HYPERLINK("https://mathstats.uncg.edu/sites/pauli/congruence/csg10.html#group36N10", "36N¹⁰")</f>
        <v/>
      </c>
      <c r="B2396" t="n">
        <v>10</v>
      </c>
      <c r="C2396" t="inlineStr"/>
      <c r="D2396" t="inlineStr">
        <is>
          <t>162</t>
        </is>
      </c>
      <c r="E2396" t="inlineStr">
        <is>
          <t>1</t>
        </is>
      </c>
      <c r="F2396" t="inlineStr">
        <is>
          <t>81</t>
        </is>
      </c>
      <c r="G2396" t="inlineStr">
        <is>
          <t>0</t>
        </is>
      </c>
      <c r="H2396" t="inlineStr">
        <is>
          <t>0</t>
        </is>
      </c>
      <c r="I2396" t="inlineStr">
        <is>
          <t>9⁶, 36³</t>
        </is>
      </c>
      <c r="J2396" t="n">
        <v>9</v>
      </c>
      <c r="K2396" t="inlineStr">
        <is>
          <t>3³, 6¹²</t>
        </is>
      </c>
      <c r="L2396" t="inlineStr">
        <is>
          <t>18J³, 36D⁴</t>
        </is>
      </c>
      <c r="M2396" t="inlineStr">
        <is>
          <t>36O¹⁹, 36Q¹⁹, 36D²², 36F²², 36I²², 72G²², 72H²², 72K²²</t>
        </is>
      </c>
      <c r="N2396" t="inlineStr">
        <is>
          <t>3A⁰, 18J³, 9A⁰, 9G⁰, 36D⁴, 12B¹, 2B⁰, 18E¹, 4B⁰, 1A⁰, 6D⁰</t>
        </is>
      </c>
      <c r="O2396" t="inlineStr">
        <is>
          <t>36O¹⁹, 36Q¹⁹, 72K²², 36I²², 36F²², 72H²², 72G²², 36D²²</t>
        </is>
      </c>
    </row>
    <row r="2397">
      <c r="A2397">
        <f>HYPERLINK("https://mathstats.uncg.edu/sites/pauli/congruence/csg10.html#group36O10", "36O¹⁰")</f>
        <v/>
      </c>
      <c r="B2397" t="n">
        <v>10</v>
      </c>
      <c r="C2397" t="inlineStr"/>
      <c r="D2397" t="inlineStr">
        <is>
          <t>162</t>
        </is>
      </c>
      <c r="E2397" t="inlineStr">
        <is>
          <t>1</t>
        </is>
      </c>
      <c r="F2397" t="inlineStr">
        <is>
          <t>81</t>
        </is>
      </c>
      <c r="G2397" t="inlineStr">
        <is>
          <t>6</t>
        </is>
      </c>
      <c r="H2397" t="inlineStr">
        <is>
          <t>0</t>
        </is>
      </c>
      <c r="I2397" t="inlineStr">
        <is>
          <t>18³, 36³</t>
        </is>
      </c>
      <c r="J2397" t="n">
        <v>6</v>
      </c>
      <c r="K2397" t="inlineStr">
        <is>
          <t>3³, 6¹²</t>
        </is>
      </c>
      <c r="L2397" t="inlineStr">
        <is>
          <t>4C⁰, 18K⁴</t>
        </is>
      </c>
      <c r="M2397" t="inlineStr">
        <is>
          <t>36B²², 36G²², 72E²², 72I²²</t>
        </is>
      </c>
      <c r="N2397" t="inlineStr">
        <is>
          <t>1A⁰, 2B⁰, 9F⁰, 18K⁴, 4C⁰</t>
        </is>
      </c>
      <c r="O2397" t="inlineStr">
        <is>
          <t>36B²², 36G²², 72E²², 72I²²</t>
        </is>
      </c>
    </row>
    <row r="2398">
      <c r="A2398">
        <f>HYPERLINK("https://mathstats.uncg.edu/sites/pauli/congruence/csg10.html#group36P10", "36P¹⁰")</f>
        <v/>
      </c>
      <c r="B2398" t="n">
        <v>10</v>
      </c>
      <c r="C2398" t="inlineStr"/>
      <c r="D2398" t="inlineStr">
        <is>
          <t>162</t>
        </is>
      </c>
      <c r="E2398" t="inlineStr">
        <is>
          <t>2</t>
        </is>
      </c>
      <c r="F2398" t="inlineStr">
        <is>
          <t>81</t>
        </is>
      </c>
      <c r="G2398" t="inlineStr">
        <is>
          <t>6</t>
        </is>
      </c>
      <c r="H2398" t="inlineStr">
        <is>
          <t>0</t>
        </is>
      </c>
      <c r="I2398" t="inlineStr">
        <is>
          <t>18³, 36³</t>
        </is>
      </c>
      <c r="J2398" t="n">
        <v>6</v>
      </c>
      <c r="K2398" t="inlineStr">
        <is>
          <t>6²⁷</t>
        </is>
      </c>
      <c r="L2398" t="inlineStr">
        <is>
          <t>18J³, 36E³, 36E⁴</t>
        </is>
      </c>
      <c r="M2398" t="inlineStr">
        <is>
          <t>36R¹⁹, 36S¹⁹, 36T¹⁹, 36C²², 36H²², 36I²², 36J²²</t>
        </is>
      </c>
      <c r="N2398" t="inlineStr">
        <is>
          <t>36E³, 12C¹, 18J³, 9A⁰, 9G⁰, 36E⁴, 2B⁰, 18E¹, 3A⁰, 1A⁰, 6D⁰</t>
        </is>
      </c>
      <c r="O2398" t="inlineStr">
        <is>
          <t>36H²², 36T¹⁹, 36S¹⁹, 36J²², 36C²², 36R¹⁹, 36I²²</t>
        </is>
      </c>
    </row>
    <row r="2399">
      <c r="A2399">
        <f>HYPERLINK("https://mathstats.uncg.edu/sites/pauli/congruence/csg10.html#group36Q10", "36Q¹⁰")</f>
        <v/>
      </c>
      <c r="B2399" t="n">
        <v>10</v>
      </c>
      <c r="C2399" t="inlineStr"/>
      <c r="D2399" t="inlineStr">
        <is>
          <t>216</t>
        </is>
      </c>
      <c r="E2399" t="inlineStr">
        <is>
          <t>1</t>
        </is>
      </c>
      <c r="F2399" t="inlineStr">
        <is>
          <t>12</t>
        </is>
      </c>
      <c r="G2399" t="inlineStr">
        <is>
          <t>0</t>
        </is>
      </c>
      <c r="H2399" t="inlineStr">
        <is>
          <t>0</t>
        </is>
      </c>
      <c r="I2399" t="inlineStr">
        <is>
          <t>3⁶, 9⁶, 12³, 36³</t>
        </is>
      </c>
      <c r="J2399" t="n">
        <v>18</v>
      </c>
      <c r="K2399" t="inlineStr">
        <is>
          <t>1⁶, 2³</t>
        </is>
      </c>
      <c r="L2399" t="inlineStr">
        <is>
          <t>12S¹, 36C¹, 18M⁴, 36F⁴, 36G⁴</t>
        </is>
      </c>
      <c r="M2399" t="inlineStr">
        <is>
          <t>36L²², 72L²²</t>
        </is>
      </c>
      <c r="N2399" t="inlineStr">
        <is>
          <t>3B⁰, 12K¹, 18E², 36G⁴, 18D², 36F⁴, 12S¹, 2B⁰, 6G⁰, 9C⁰, 4B⁰, 9B⁰, 1A⁰, 3D⁰, 12G⁰, 18E⁰, 6D⁰, 9A¹, 3C⁰, 6K⁰, 12B¹, 12D⁰, 36C¹, 18M⁴, 3A⁰, 9C¹, 6F⁰, 12E⁰</t>
        </is>
      </c>
      <c r="O2399" t="inlineStr">
        <is>
          <t>36L²², 72L²²</t>
        </is>
      </c>
    </row>
    <row r="2400">
      <c r="A2400">
        <f>HYPERLINK("https://mathstats.uncg.edu/sites/pauli/congruence/csg10.html#group36R10", "36R¹⁰")</f>
        <v/>
      </c>
      <c r="B2400" t="n">
        <v>10</v>
      </c>
      <c r="C2400" t="inlineStr"/>
      <c r="D2400" t="inlineStr">
        <is>
          <t>216</t>
        </is>
      </c>
      <c r="E2400" t="inlineStr">
        <is>
          <t>1</t>
        </is>
      </c>
      <c r="F2400" t="inlineStr">
        <is>
          <t>36</t>
        </is>
      </c>
      <c r="G2400" t="inlineStr">
        <is>
          <t>0</t>
        </is>
      </c>
      <c r="H2400" t="inlineStr">
        <is>
          <t>0</t>
        </is>
      </c>
      <c r="I2400" t="inlineStr">
        <is>
          <t>3⁶, 9⁶, 12³, 36³</t>
        </is>
      </c>
      <c r="J2400" t="n">
        <v>18</v>
      </c>
      <c r="K2400" t="inlineStr">
        <is>
          <t>1⁶, 2⁶, 6³</t>
        </is>
      </c>
      <c r="L2400" t="inlineStr">
        <is>
          <t>18P⁴, 36F⁴</t>
        </is>
      </c>
      <c r="M2400" t="inlineStr">
        <is>
          <t>36P²², 72M²²</t>
        </is>
      </c>
      <c r="N2400" t="inlineStr">
        <is>
          <t>3B⁰, 18P⁴, 9J⁰, 18D², 36F⁴, 2B⁰, 1A⁰, 9C⁰, 4B⁰, 6F⁰, 12E⁰</t>
        </is>
      </c>
      <c r="O2400" t="inlineStr">
        <is>
          <t>72M²², 36P²²</t>
        </is>
      </c>
    </row>
    <row r="2401">
      <c r="A2401">
        <f>HYPERLINK("https://mathstats.uncg.edu/sites/pauli/congruence/csg10.html#group36S10", "36S¹⁰")</f>
        <v/>
      </c>
      <c r="B2401" t="n">
        <v>10</v>
      </c>
      <c r="C2401" t="inlineStr"/>
      <c r="D2401" t="inlineStr">
        <is>
          <t>216</t>
        </is>
      </c>
      <c r="E2401" t="inlineStr">
        <is>
          <t>1</t>
        </is>
      </c>
      <c r="F2401" t="inlineStr">
        <is>
          <t>36</t>
        </is>
      </c>
      <c r="G2401" t="inlineStr">
        <is>
          <t>0</t>
        </is>
      </c>
      <c r="H2401" t="inlineStr">
        <is>
          <t>0</t>
        </is>
      </c>
      <c r="I2401" t="inlineStr">
        <is>
          <t>3⁶, 9⁶, 12³, 36³</t>
        </is>
      </c>
      <c r="J2401" t="n">
        <v>18</v>
      </c>
      <c r="K2401" t="inlineStr">
        <is>
          <t>1⁶, 2⁶, 6³</t>
        </is>
      </c>
      <c r="L2401" t="inlineStr">
        <is>
          <t>18Q⁴, 36G⁴</t>
        </is>
      </c>
      <c r="M2401" t="inlineStr">
        <is>
          <t>36Q²², 72N²²</t>
        </is>
      </c>
      <c r="N2401" t="inlineStr">
        <is>
          <t>3B⁰, 9A¹, 18E², 18Q⁴, 36G⁴, 1A⁰, 2B⁰, 4B⁰, 9D¹, 6F⁰, 12E⁰</t>
        </is>
      </c>
      <c r="O2401" t="inlineStr">
        <is>
          <t>72N²², 36Q²²</t>
        </is>
      </c>
    </row>
    <row r="2402">
      <c r="A2402">
        <f>HYPERLINK("https://mathstats.uncg.edu/sites/pauli/congruence/csg10.html#group36T10", "36T¹⁰")</f>
        <v/>
      </c>
      <c r="B2402" t="n">
        <v>10</v>
      </c>
      <c r="C2402" t="inlineStr"/>
      <c r="D2402" t="inlineStr">
        <is>
          <t>216</t>
        </is>
      </c>
      <c r="E2402" t="inlineStr">
        <is>
          <t>1</t>
        </is>
      </c>
      <c r="F2402" t="inlineStr">
        <is>
          <t>108</t>
        </is>
      </c>
      <c r="G2402" t="inlineStr">
        <is>
          <t>24</t>
        </is>
      </c>
      <c r="H2402" t="inlineStr">
        <is>
          <t>0</t>
        </is>
      </c>
      <c r="I2402" t="inlineStr">
        <is>
          <t>36⁶</t>
        </is>
      </c>
      <c r="J2402" t="n">
        <v>6</v>
      </c>
      <c r="K2402" t="inlineStr">
        <is>
          <t>6², 12⁸</t>
        </is>
      </c>
      <c r="L2402" t="inlineStr">
        <is>
          <t>18H¹, 36D², 36J⁵</t>
        </is>
      </c>
      <c r="M2402" t="inlineStr"/>
      <c r="N2402" t="inlineStr">
        <is>
          <t>36A¹, 36J⁵, 36D², 6B⁰, 12A⁰, 18H¹, 4A⁰, 9A⁰, 9G⁰, 12F⁰, 3A⁰, 1A⁰, 18A⁰</t>
        </is>
      </c>
      <c r="O2402" t="inlineStr"/>
    </row>
    <row r="2403">
      <c r="A2403">
        <f>HYPERLINK("https://mathstats.uncg.edu/sites/pauli/congruence/csg10.html#group37A10", "37A¹⁰")</f>
        <v/>
      </c>
      <c r="B2403" t="n">
        <v>10</v>
      </c>
      <c r="C2403" t="inlineStr"/>
      <c r="D2403" t="inlineStr">
        <is>
          <t>228</t>
        </is>
      </c>
      <c r="E2403" t="inlineStr">
        <is>
          <t>1</t>
        </is>
      </c>
      <c r="F2403" t="inlineStr">
        <is>
          <t>38</t>
        </is>
      </c>
      <c r="G2403" t="inlineStr">
        <is>
          <t>0</t>
        </is>
      </c>
      <c r="H2403" t="inlineStr">
        <is>
          <t>12</t>
        </is>
      </c>
      <c r="I2403" t="inlineStr">
        <is>
          <t>1⁶, 37⁶</t>
        </is>
      </c>
      <c r="J2403" t="n">
        <v>12</v>
      </c>
      <c r="K2403" t="inlineStr">
        <is>
          <t>1², 36¹</t>
        </is>
      </c>
      <c r="L2403" t="inlineStr">
        <is>
          <t>37A⁴, 37B⁴</t>
        </is>
      </c>
      <c r="M2403" t="inlineStr"/>
      <c r="N2403" t="inlineStr">
        <is>
          <t>37A², 37B⁴, 37A⁴, 1A⁰</t>
        </is>
      </c>
      <c r="O2403" t="inlineStr"/>
    </row>
    <row r="2404">
      <c r="A2404">
        <f>HYPERLINK("https://mathstats.uncg.edu/sites/pauli/congruence/csg10.html#group38A10", "38A¹⁰")</f>
        <v/>
      </c>
      <c r="B2404" t="n">
        <v>10</v>
      </c>
      <c r="C2404" t="inlineStr"/>
      <c r="D2404" t="inlineStr">
        <is>
          <t>180</t>
        </is>
      </c>
      <c r="E2404" t="inlineStr">
        <is>
          <t>1</t>
        </is>
      </c>
      <c r="F2404" t="inlineStr">
        <is>
          <t>60</t>
        </is>
      </c>
      <c r="G2404" t="inlineStr">
        <is>
          <t>0</t>
        </is>
      </c>
      <c r="H2404" t="inlineStr">
        <is>
          <t>0</t>
        </is>
      </c>
      <c r="I2404" t="inlineStr">
        <is>
          <t>1³, 2³, 19³, 38³</t>
        </is>
      </c>
      <c r="J2404" t="n">
        <v>12</v>
      </c>
      <c r="K2404" t="inlineStr">
        <is>
          <t>1⁶, 18³</t>
        </is>
      </c>
      <c r="L2404" t="inlineStr">
        <is>
          <t>19B¹, 38A⁴</t>
        </is>
      </c>
      <c r="M2404" t="inlineStr">
        <is>
          <t>38C²², 76A²²</t>
        </is>
      </c>
      <c r="N2404" t="inlineStr">
        <is>
          <t>19A¹, 2B⁰, 19B¹, 1A⁰, 38A⁴</t>
        </is>
      </c>
      <c r="O2404" t="inlineStr">
        <is>
          <t>38C²², 76A²²</t>
        </is>
      </c>
    </row>
    <row r="2405">
      <c r="A2405">
        <f>HYPERLINK("https://mathstats.uncg.edu/sites/pauli/congruence/csg10.html#group39A10", "39A¹⁰")</f>
        <v/>
      </c>
      <c r="B2405" t="n">
        <v>10</v>
      </c>
      <c r="C2405" t="inlineStr"/>
      <c r="D2405" t="inlineStr">
        <is>
          <t>168</t>
        </is>
      </c>
      <c r="E2405" t="inlineStr">
        <is>
          <t>2</t>
        </is>
      </c>
      <c r="F2405" t="inlineStr">
        <is>
          <t>56</t>
        </is>
      </c>
      <c r="G2405" t="inlineStr">
        <is>
          <t>0</t>
        </is>
      </c>
      <c r="H2405" t="inlineStr">
        <is>
          <t>3</t>
        </is>
      </c>
      <c r="I2405" t="inlineStr">
        <is>
          <t>3⁴, 39⁴</t>
        </is>
      </c>
      <c r="J2405" t="n">
        <v>8</v>
      </c>
      <c r="K2405" t="inlineStr">
        <is>
          <t>2⁸, 24⁴</t>
        </is>
      </c>
      <c r="L2405" t="inlineStr">
        <is>
          <t>39A¹, 39A³</t>
        </is>
      </c>
      <c r="M2405" t="inlineStr">
        <is>
          <t>39B¹⁹, 78G²³, 78H²³</t>
        </is>
      </c>
      <c r="N2405" t="inlineStr">
        <is>
          <t>13A⁰, 3B⁰, 39A³, 39A¹, 1A⁰</t>
        </is>
      </c>
      <c r="O2405" t="inlineStr">
        <is>
          <t>78G²³, 78H²³, 39B¹⁹</t>
        </is>
      </c>
    </row>
    <row r="2406">
      <c r="A2406">
        <f>HYPERLINK("https://mathstats.uncg.edu/sites/pauli/congruence/csg10.html#group39B10", "39B¹⁰")</f>
        <v/>
      </c>
      <c r="B2406" t="n">
        <v>10</v>
      </c>
      <c r="C2406" t="inlineStr"/>
      <c r="D2406" t="inlineStr">
        <is>
          <t>252</t>
        </is>
      </c>
      <c r="E2406" t="inlineStr">
        <is>
          <t>1</t>
        </is>
      </c>
      <c r="F2406" t="inlineStr">
        <is>
          <t>42</t>
        </is>
      </c>
      <c r="G2406" t="inlineStr">
        <is>
          <t>24</t>
        </is>
      </c>
      <c r="H2406" t="inlineStr">
        <is>
          <t>0</t>
        </is>
      </c>
      <c r="I2406" t="inlineStr">
        <is>
          <t>3⁶, 39⁶</t>
        </is>
      </c>
      <c r="J2406" t="n">
        <v>12</v>
      </c>
      <c r="K2406" t="inlineStr">
        <is>
          <t>1², 2², 12¹, 24¹</t>
        </is>
      </c>
      <c r="L2406" t="inlineStr">
        <is>
          <t>39A⁴, 39C⁴</t>
        </is>
      </c>
      <c r="M2406" t="inlineStr"/>
      <c r="N2406" t="inlineStr">
        <is>
          <t>39A², 13A⁰, 39C⁴, 13C⁰, 39A⁴, 39A¹, 3A⁰, 1A⁰</t>
        </is>
      </c>
      <c r="O2406" t="inlineStr"/>
    </row>
    <row r="2407">
      <c r="A2407">
        <f>HYPERLINK("https://mathstats.uncg.edu/sites/pauli/congruence/csg10.html#group40A10", "40A¹⁰")</f>
        <v/>
      </c>
      <c r="B2407" t="n">
        <v>10</v>
      </c>
      <c r="C2407" t="inlineStr"/>
      <c r="D2407" t="inlineStr">
        <is>
          <t>160</t>
        </is>
      </c>
      <c r="E2407" t="inlineStr">
        <is>
          <t>1</t>
        </is>
      </c>
      <c r="F2407" t="inlineStr">
        <is>
          <t>160</t>
        </is>
      </c>
      <c r="G2407" t="inlineStr">
        <is>
          <t>8</t>
        </is>
      </c>
      <c r="H2407" t="inlineStr">
        <is>
          <t>1</t>
        </is>
      </c>
      <c r="I2407" t="inlineStr">
        <is>
          <t>40⁴</t>
        </is>
      </c>
      <c r="J2407" t="n">
        <v>4</v>
      </c>
      <c r="K2407" t="inlineStr">
        <is>
          <t>8⁴, 16⁸</t>
        </is>
      </c>
      <c r="L2407" t="inlineStr">
        <is>
          <t>8F⁰, 20E²</t>
        </is>
      </c>
      <c r="M2407" t="inlineStr">
        <is>
          <t>40I¹⁹, 40D²¹, 40E²¹, 40A²³, 40B²³</t>
        </is>
      </c>
      <c r="N2407" t="inlineStr">
        <is>
          <t>1A⁰, 8F⁰, 4A⁰, 5C⁰, 20E²</t>
        </is>
      </c>
      <c r="O2407" t="inlineStr">
        <is>
          <t>40A²³, 40D²¹, 40E²¹, 40B²³, 40I¹⁹</t>
        </is>
      </c>
    </row>
    <row r="2408">
      <c r="A2408">
        <f>HYPERLINK("https://mathstats.uncg.edu/sites/pauli/congruence/csg10.html#group40B10", "40B¹⁰")</f>
        <v/>
      </c>
      <c r="B2408" t="n">
        <v>10</v>
      </c>
      <c r="C2408" t="inlineStr"/>
      <c r="D2408" t="inlineStr">
        <is>
          <t>160</t>
        </is>
      </c>
      <c r="E2408" t="inlineStr">
        <is>
          <t>2</t>
        </is>
      </c>
      <c r="F2408" t="inlineStr">
        <is>
          <t>80</t>
        </is>
      </c>
      <c r="G2408" t="inlineStr">
        <is>
          <t>4</t>
        </is>
      </c>
      <c r="H2408" t="inlineStr">
        <is>
          <t>4</t>
        </is>
      </c>
      <c r="I2408" t="inlineStr">
        <is>
          <t>40⁴</t>
        </is>
      </c>
      <c r="J2408" t="n">
        <v>4</v>
      </c>
      <c r="K2408" t="inlineStr">
        <is>
          <t>4⁸, 16⁸</t>
        </is>
      </c>
      <c r="L2408" t="inlineStr">
        <is>
          <t>8M⁰, 40A², 40D⁵</t>
        </is>
      </c>
      <c r="M2408" t="inlineStr">
        <is>
          <t>40C²¹, 80A²²</t>
        </is>
      </c>
      <c r="N2408" t="inlineStr">
        <is>
          <t>5A⁰, 8F⁰, 4A⁰, 8A⁰, 20A¹, 8M⁰, 1A⁰, 40D⁵, 40A²</t>
        </is>
      </c>
      <c r="O2408" t="inlineStr">
        <is>
          <t>80A²², 40C²¹</t>
        </is>
      </c>
    </row>
    <row r="2409">
      <c r="A2409">
        <f>HYPERLINK("https://mathstats.uncg.edu/sites/pauli/congruence/csg10.html#group40C10", "40C¹⁰")</f>
        <v/>
      </c>
      <c r="B2409" t="n">
        <v>10</v>
      </c>
      <c r="C2409" t="inlineStr"/>
      <c r="D2409" t="inlineStr">
        <is>
          <t>180</t>
        </is>
      </c>
      <c r="E2409" t="inlineStr">
        <is>
          <t>1</t>
        </is>
      </c>
      <c r="F2409" t="inlineStr">
        <is>
          <t>15</t>
        </is>
      </c>
      <c r="G2409" t="inlineStr">
        <is>
          <t>12</t>
        </is>
      </c>
      <c r="H2409" t="inlineStr">
        <is>
          <t>0</t>
        </is>
      </c>
      <c r="I2409" t="inlineStr">
        <is>
          <t>20³, 40³</t>
        </is>
      </c>
      <c r="J2409" t="n">
        <v>6</v>
      </c>
      <c r="K2409" t="inlineStr">
        <is>
          <t>1³, 4³</t>
        </is>
      </c>
      <c r="L2409" t="inlineStr">
        <is>
          <t>20E⁴, 40A⁴</t>
        </is>
      </c>
      <c r="M2409" t="inlineStr">
        <is>
          <t>40F²¹, 40B²², 40G²², 40J²², 40N²², 80B²², 40D²³, 80A²⁴</t>
        </is>
      </c>
      <c r="N2409" t="inlineStr">
        <is>
          <t>5A⁰, 40A⁴, 20E⁴, 10I¹, 10B¹, 20B², 4C⁰, 8B⁰, 5E⁰, 2B⁰, 1A⁰</t>
        </is>
      </c>
      <c r="O2409" t="inlineStr">
        <is>
          <t>80B²², 40J²², 40N²², 80A²⁴, 40G²², 40D²³, 40F²¹, 40B²²</t>
        </is>
      </c>
    </row>
    <row r="2410">
      <c r="A2410">
        <f>HYPERLINK("https://mathstats.uncg.edu/sites/pauli/congruence/csg10.html#group40D10", "40D¹⁰")</f>
        <v/>
      </c>
      <c r="B2410" t="n">
        <v>10</v>
      </c>
      <c r="C2410" t="inlineStr"/>
      <c r="D2410" t="inlineStr">
        <is>
          <t>180</t>
        </is>
      </c>
      <c r="E2410" t="inlineStr">
        <is>
          <t>1</t>
        </is>
      </c>
      <c r="F2410" t="inlineStr">
        <is>
          <t>30</t>
        </is>
      </c>
      <c r="G2410" t="inlineStr">
        <is>
          <t>0</t>
        </is>
      </c>
      <c r="H2410" t="inlineStr">
        <is>
          <t>0</t>
        </is>
      </c>
      <c r="I2410" t="inlineStr">
        <is>
          <t>5⁶, 10³, 40³</t>
        </is>
      </c>
      <c r="J2410" t="n">
        <v>12</v>
      </c>
      <c r="K2410" t="inlineStr">
        <is>
          <t>1⁴, 2¹, 4⁴, 8¹</t>
        </is>
      </c>
      <c r="L2410" t="inlineStr">
        <is>
          <t>20D⁴, 40B⁴</t>
        </is>
      </c>
      <c r="M2410" t="inlineStr">
        <is>
          <t>40M¹⁹, 40A²², 40D²², 40I²², 40K²², 80C²², 80D²², 80F²², 80G²²</t>
        </is>
      </c>
      <c r="N2410" t="inlineStr">
        <is>
          <t>20A², 20D⁴, 5A⁰, 10I¹, 10B¹, 5E⁰, 2B⁰, 8C⁰, 4B⁰, 40B⁴, 1A⁰</t>
        </is>
      </c>
      <c r="O2410" t="inlineStr">
        <is>
          <t>40M¹⁹, 80C²², 40I²², 40K²², 80D²², 40A²², 80G²², 80F²², 40D²²</t>
        </is>
      </c>
    </row>
    <row r="2411">
      <c r="A2411">
        <f>HYPERLINK("https://mathstats.uncg.edu/sites/pauli/congruence/csg10.html#group40E10", "40E¹⁰")</f>
        <v/>
      </c>
      <c r="B2411" t="n">
        <v>10</v>
      </c>
      <c r="C2411" t="inlineStr"/>
      <c r="D2411" t="inlineStr">
        <is>
          <t>180</t>
        </is>
      </c>
      <c r="E2411" t="inlineStr">
        <is>
          <t>1</t>
        </is>
      </c>
      <c r="F2411" t="inlineStr">
        <is>
          <t>30</t>
        </is>
      </c>
      <c r="G2411" t="inlineStr">
        <is>
          <t>6</t>
        </is>
      </c>
      <c r="H2411" t="inlineStr">
        <is>
          <t>0</t>
        </is>
      </c>
      <c r="I2411" t="inlineStr">
        <is>
          <t>10⁶, 40³</t>
        </is>
      </c>
      <c r="J2411" t="n">
        <v>9</v>
      </c>
      <c r="K2411" t="inlineStr">
        <is>
          <t>1², 2², 4², 8²</t>
        </is>
      </c>
      <c r="L2411" t="inlineStr">
        <is>
          <t>20E⁴, 40C⁴</t>
        </is>
      </c>
      <c r="M2411" t="inlineStr">
        <is>
          <t>40B²⁰, 40I²¹, 40A²², 40B²², 80E²², 80H²², 40H²³, 40B²⁴</t>
        </is>
      </c>
      <c r="N2411" t="inlineStr">
        <is>
          <t>40C⁴, 5A⁰, 10I¹, 20E⁴, 8D⁰, 10B¹, 20B², 4C⁰, 5E⁰, 2B⁰, 1A⁰</t>
        </is>
      </c>
      <c r="O2411" t="inlineStr">
        <is>
          <t>40B²⁴, 40A²², 40B²⁰, 40H²³, 40I²¹, 80H²², 80E²², 40B²²</t>
        </is>
      </c>
    </row>
    <row r="2412">
      <c r="A2412">
        <f>HYPERLINK("https://mathstats.uncg.edu/sites/pauli/congruence/csg10.html#group40F10", "40F¹⁰")</f>
        <v/>
      </c>
      <c r="B2412" t="n">
        <v>10</v>
      </c>
      <c r="C2412" t="inlineStr"/>
      <c r="D2412" t="inlineStr">
        <is>
          <t>180</t>
        </is>
      </c>
      <c r="E2412" t="inlineStr">
        <is>
          <t>1</t>
        </is>
      </c>
      <c r="F2412" t="inlineStr">
        <is>
          <t>90</t>
        </is>
      </c>
      <c r="G2412" t="inlineStr">
        <is>
          <t>0</t>
        </is>
      </c>
      <c r="H2412" t="inlineStr">
        <is>
          <t>0</t>
        </is>
      </c>
      <c r="I2412" t="inlineStr">
        <is>
          <t>5⁶, 10³, 40³</t>
        </is>
      </c>
      <c r="J2412" t="n">
        <v>12</v>
      </c>
      <c r="K2412" t="inlineStr">
        <is>
          <t>1⁴, 2⁵, 4¹³, 8³</t>
        </is>
      </c>
      <c r="L2412" t="inlineStr">
        <is>
          <t>20D⁴</t>
        </is>
      </c>
      <c r="M2412" t="inlineStr">
        <is>
          <t>40L¹⁹, 40M¹⁹, 40C²², 40H²², 40I²²</t>
        </is>
      </c>
      <c r="N2412" t="inlineStr">
        <is>
          <t>20A², 20D⁴, 5A⁰, 10I¹, 10B¹, 5E⁰, 2B⁰, 4B⁰, 1A⁰</t>
        </is>
      </c>
      <c r="O2412" t="inlineStr">
        <is>
          <t>40M¹⁹, 40C²², 40I²², 40L¹⁹, 40H²²</t>
        </is>
      </c>
    </row>
    <row r="2413">
      <c r="A2413">
        <f>HYPERLINK("https://mathstats.uncg.edu/sites/pauli/congruence/csg10.html#group40G10", "40G¹⁰")</f>
        <v/>
      </c>
      <c r="B2413" t="n">
        <v>10</v>
      </c>
      <c r="C2413" t="inlineStr"/>
      <c r="D2413" t="inlineStr">
        <is>
          <t>180</t>
        </is>
      </c>
      <c r="E2413" t="inlineStr">
        <is>
          <t>1</t>
        </is>
      </c>
      <c r="F2413" t="inlineStr">
        <is>
          <t>90</t>
        </is>
      </c>
      <c r="G2413" t="inlineStr">
        <is>
          <t>6</t>
        </is>
      </c>
      <c r="H2413" t="inlineStr">
        <is>
          <t>0</t>
        </is>
      </c>
      <c r="I2413" t="inlineStr">
        <is>
          <t>10⁶, 40³</t>
        </is>
      </c>
      <c r="J2413" t="n">
        <v>9</v>
      </c>
      <c r="K2413" t="inlineStr">
        <is>
          <t>1², 2⁴, 4⁸, 8⁶</t>
        </is>
      </c>
      <c r="L2413" t="inlineStr">
        <is>
          <t>20E⁴</t>
        </is>
      </c>
      <c r="M2413" t="inlineStr">
        <is>
          <t>40A²⁰, 40B²⁰, 40H²¹, 40I²¹, 40C²², 40J²², 40G²³, 40I²³, 40J²³, 40A²⁴, 40C²⁴, 40D²⁴</t>
        </is>
      </c>
      <c r="N2413" t="inlineStr">
        <is>
          <t>5A⁰, 10I¹, 20E⁴, 10B¹, 20B², 4C⁰, 5E⁰, 2B⁰, 1A⁰</t>
        </is>
      </c>
      <c r="O2413" t="inlineStr">
        <is>
          <t>40I²³, 40C²², 40A²⁰, 40G²³, 40A²⁴, 40J²², 40J²³, 40C²⁴, 40B²⁰, 40I²¹, 40H²¹, 40D²⁴</t>
        </is>
      </c>
    </row>
    <row r="2414">
      <c r="A2414">
        <f>HYPERLINK("https://mathstats.uncg.edu/sites/pauli/congruence/csg10.html#group42A10", "42A¹⁰")</f>
        <v/>
      </c>
      <c r="B2414" t="n">
        <v>10</v>
      </c>
      <c r="C2414" t="inlineStr"/>
      <c r="D2414" t="inlineStr">
        <is>
          <t>126</t>
        </is>
      </c>
      <c r="E2414" t="inlineStr">
        <is>
          <t>1</t>
        </is>
      </c>
      <c r="F2414" t="inlineStr">
        <is>
          <t>21</t>
        </is>
      </c>
      <c r="G2414" t="inlineStr">
        <is>
          <t>0</t>
        </is>
      </c>
      <c r="H2414" t="inlineStr">
        <is>
          <t>0</t>
        </is>
      </c>
      <c r="I2414" t="inlineStr">
        <is>
          <t>42³</t>
        </is>
      </c>
      <c r="J2414" t="n">
        <v>3</v>
      </c>
      <c r="K2414" t="inlineStr">
        <is>
          <t>3¹, 6³</t>
        </is>
      </c>
      <c r="L2414" t="inlineStr">
        <is>
          <t>21E¹, 14A³, 42A⁴</t>
        </is>
      </c>
      <c r="M2414" t="inlineStr">
        <is>
          <t>42B¹⁹, 42D¹⁹, 42E¹⁹, 42F¹⁹, 42M¹⁹</t>
        </is>
      </c>
      <c r="N2414" t="inlineStr">
        <is>
          <t>2A⁰, 7D⁰, 21E¹, 14A³, 14A¹, 21A⁰, 6A¹, 42A⁴, 3A⁰, 1A⁰, 7A⁰</t>
        </is>
      </c>
      <c r="O2414" t="inlineStr">
        <is>
          <t>42F¹⁹, 42B¹⁹, 42D¹⁹, 42M¹⁹, 42E¹⁹</t>
        </is>
      </c>
    </row>
    <row r="2415">
      <c r="A2415">
        <f>HYPERLINK("https://mathstats.uncg.edu/sites/pauli/congruence/csg10.html#group42B10", "42B¹⁰")</f>
        <v/>
      </c>
      <c r="B2415" t="n">
        <v>10</v>
      </c>
      <c r="C2415" t="inlineStr"/>
      <c r="D2415" t="inlineStr">
        <is>
          <t>126</t>
        </is>
      </c>
      <c r="E2415" t="inlineStr">
        <is>
          <t>1</t>
        </is>
      </c>
      <c r="F2415" t="inlineStr">
        <is>
          <t>42</t>
        </is>
      </c>
      <c r="G2415" t="inlineStr">
        <is>
          <t>0</t>
        </is>
      </c>
      <c r="H2415" t="inlineStr">
        <is>
          <t>0</t>
        </is>
      </c>
      <c r="I2415" t="inlineStr">
        <is>
          <t>42³</t>
        </is>
      </c>
      <c r="J2415" t="n">
        <v>3</v>
      </c>
      <c r="K2415" t="inlineStr">
        <is>
          <t>6¹, 12³</t>
        </is>
      </c>
      <c r="L2415" t="inlineStr">
        <is>
          <t>14A³, 42A³</t>
        </is>
      </c>
      <c r="M2415" t="inlineStr">
        <is>
          <t>42C¹⁹, 42H¹⁹</t>
        </is>
      </c>
      <c r="N2415" t="inlineStr">
        <is>
          <t>2A⁰, 6A⁰, 7D⁰, 14A³, 42A³, 14A¹, 1A⁰, 7A⁰</t>
        </is>
      </c>
      <c r="O2415" t="inlineStr">
        <is>
          <t>42C¹⁹, 42H¹⁹</t>
        </is>
      </c>
    </row>
    <row r="2416">
      <c r="A2416">
        <f>HYPERLINK("https://mathstats.uncg.edu/sites/pauli/congruence/csg10.html#group42C10", "42C¹⁰")</f>
        <v/>
      </c>
      <c r="B2416" t="n">
        <v>10</v>
      </c>
      <c r="C2416" t="inlineStr"/>
      <c r="D2416" t="inlineStr">
        <is>
          <t>126</t>
        </is>
      </c>
      <c r="E2416" t="inlineStr">
        <is>
          <t>2</t>
        </is>
      </c>
      <c r="F2416" t="inlineStr">
        <is>
          <t>7</t>
        </is>
      </c>
      <c r="G2416" t="inlineStr">
        <is>
          <t>0</t>
        </is>
      </c>
      <c r="H2416" t="inlineStr">
        <is>
          <t>0</t>
        </is>
      </c>
      <c r="I2416" t="inlineStr">
        <is>
          <t>42³</t>
        </is>
      </c>
      <c r="J2416" t="n">
        <v>3</v>
      </c>
      <c r="K2416" t="inlineStr">
        <is>
          <t>2¹, 6²</t>
        </is>
      </c>
      <c r="L2416" t="inlineStr">
        <is>
          <t>6C¹, 14B³, 42A³, 42C³, 42A⁴</t>
        </is>
      </c>
      <c r="M2416" t="inlineStr">
        <is>
          <t>42G¹⁹, 42K¹⁹, 42L¹⁹, 84B²⁰, 84C²⁰, 84F²⁰, 84H²⁰</t>
        </is>
      </c>
      <c r="N2416" t="inlineStr">
        <is>
          <t>2A⁰, 14B³, 14B¹, 6C¹, 14A¹, 21A⁰, 2B⁰, 42A⁴, 1A⁰, 6A⁰, 42A³, 6A¹, 3A⁰, 2C⁰, 6D⁰, 7A⁰, 42C³</t>
        </is>
      </c>
      <c r="O2416" t="inlineStr">
        <is>
          <t>42L¹⁹, 84H²⁰, 84C²⁰, 42G¹⁹, 42K¹⁹, 84B²⁰, 84F²⁰</t>
        </is>
      </c>
    </row>
    <row r="2417">
      <c r="A2417">
        <f>HYPERLINK("https://mathstats.uncg.edu/sites/pauli/congruence/csg10.html#group42D10", "42D¹⁰")</f>
        <v/>
      </c>
      <c r="B2417" t="n">
        <v>10</v>
      </c>
      <c r="C2417" t="inlineStr"/>
      <c r="D2417" t="inlineStr">
        <is>
          <t>144</t>
        </is>
      </c>
      <c r="E2417" t="inlineStr">
        <is>
          <t>1</t>
        </is>
      </c>
      <c r="F2417" t="inlineStr">
        <is>
          <t>8</t>
        </is>
      </c>
      <c r="G2417" t="inlineStr">
        <is>
          <t>0</t>
        </is>
      </c>
      <c r="H2417" t="inlineStr">
        <is>
          <t>0</t>
        </is>
      </c>
      <c r="I2417" t="inlineStr">
        <is>
          <t>6³, 42³</t>
        </is>
      </c>
      <c r="J2417" t="n">
        <v>6</v>
      </c>
      <c r="K2417" t="inlineStr">
        <is>
          <t>1², 6¹</t>
        </is>
      </c>
      <c r="L2417" t="inlineStr">
        <is>
          <t>14D², 42C², 21A⁴, 42B⁴</t>
        </is>
      </c>
      <c r="M2417" t="inlineStr">
        <is>
          <t>42O¹⁹, 84B²², 84E²²</t>
        </is>
      </c>
      <c r="N2417" t="inlineStr">
        <is>
          <t>2A⁰, 21A², 42B⁴, 7B⁰, 14D², 42C², 14B⁰, 21A⁴, 6A¹, 7E⁰, 3A⁰, 1A⁰, 21A¹</t>
        </is>
      </c>
      <c r="O2417" t="inlineStr">
        <is>
          <t>84B²², 42O¹⁹, 84E²²</t>
        </is>
      </c>
    </row>
    <row r="2418">
      <c r="A2418">
        <f>HYPERLINK("https://mathstats.uncg.edu/sites/pauli/congruence/csg10.html#group42E10", "42E¹⁰")</f>
        <v/>
      </c>
      <c r="B2418" t="n">
        <v>10</v>
      </c>
      <c r="C2418" t="inlineStr"/>
      <c r="D2418" t="inlineStr">
        <is>
          <t>144</t>
        </is>
      </c>
      <c r="E2418" t="inlineStr">
        <is>
          <t>1</t>
        </is>
      </c>
      <c r="F2418" t="inlineStr">
        <is>
          <t>8</t>
        </is>
      </c>
      <c r="G2418" t="inlineStr">
        <is>
          <t>0</t>
        </is>
      </c>
      <c r="H2418" t="inlineStr">
        <is>
          <t>0</t>
        </is>
      </c>
      <c r="I2418" t="inlineStr">
        <is>
          <t>6³, 42³</t>
        </is>
      </c>
      <c r="J2418" t="n">
        <v>6</v>
      </c>
      <c r="K2418" t="inlineStr">
        <is>
          <t>1², 6¹</t>
        </is>
      </c>
      <c r="L2418" t="inlineStr">
        <is>
          <t>6C¹, 14E², 42B², 42B⁴, 42A⁵</t>
        </is>
      </c>
      <c r="M2418" t="inlineStr">
        <is>
          <t>42P¹⁹, 84I²⁰, 84K²⁰, 84A²¹, 84F²¹, 84A²², 84F²²</t>
        </is>
      </c>
      <c r="N2418" t="inlineStr">
        <is>
          <t>2A⁰, 6C¹, 2B⁰, 14E², 1A⁰, 42B², 6A⁰, 42B⁴, 21A², 42A⁵, 7B⁰, 14B⁰, 14C¹, 6A¹, 3A⁰, 2C⁰, 6D⁰</t>
        </is>
      </c>
      <c r="O2418" t="inlineStr">
        <is>
          <t>84I²⁰, 42P¹⁹, 84F²¹, 84A²¹, 84A²², 84F²², 84K²⁰</t>
        </is>
      </c>
    </row>
    <row r="2419">
      <c r="A2419">
        <f>HYPERLINK("https://mathstats.uncg.edu/sites/pauli/congruence/csg10.html#group42F10", "42F¹⁰")</f>
        <v/>
      </c>
      <c r="B2419" t="n">
        <v>10</v>
      </c>
      <c r="C2419" t="inlineStr"/>
      <c r="D2419" t="inlineStr">
        <is>
          <t>144</t>
        </is>
      </c>
      <c r="E2419" t="inlineStr">
        <is>
          <t>1</t>
        </is>
      </c>
      <c r="F2419" t="inlineStr">
        <is>
          <t>16</t>
        </is>
      </c>
      <c r="G2419" t="inlineStr">
        <is>
          <t>0</t>
        </is>
      </c>
      <c r="H2419" t="inlineStr">
        <is>
          <t>0</t>
        </is>
      </c>
      <c r="I2419" t="inlineStr">
        <is>
          <t>6³, 42³</t>
        </is>
      </c>
      <c r="J2419" t="n">
        <v>6</v>
      </c>
      <c r="K2419" t="inlineStr">
        <is>
          <t>2², 12¹</t>
        </is>
      </c>
      <c r="L2419" t="inlineStr">
        <is>
          <t>14D², 42B², 42B³</t>
        </is>
      </c>
      <c r="M2419" t="inlineStr">
        <is>
          <t>84C²²</t>
        </is>
      </c>
      <c r="N2419" t="inlineStr">
        <is>
          <t>42B², 2A⁰, 6A⁰, 7B⁰, 14D², 14B⁰, 7E⁰, 1A⁰, 42B³</t>
        </is>
      </c>
      <c r="O2419" t="inlineStr">
        <is>
          <t>84C²²</t>
        </is>
      </c>
    </row>
    <row r="2420">
      <c r="A2420">
        <f>HYPERLINK("https://mathstats.uncg.edu/sites/pauli/congruence/csg10.html#group42G10", "42G¹⁰")</f>
        <v/>
      </c>
      <c r="B2420" t="n">
        <v>10</v>
      </c>
      <c r="C2420" t="inlineStr"/>
      <c r="D2420" t="inlineStr">
        <is>
          <t>144</t>
        </is>
      </c>
      <c r="E2420" t="inlineStr">
        <is>
          <t>1</t>
        </is>
      </c>
      <c r="F2420" t="inlineStr">
        <is>
          <t>16</t>
        </is>
      </c>
      <c r="G2420" t="inlineStr">
        <is>
          <t>0</t>
        </is>
      </c>
      <c r="H2420" t="inlineStr">
        <is>
          <t>0</t>
        </is>
      </c>
      <c r="I2420" t="inlineStr">
        <is>
          <t>6³, 42³</t>
        </is>
      </c>
      <c r="J2420" t="n">
        <v>6</v>
      </c>
      <c r="K2420" t="inlineStr">
        <is>
          <t>1⁴, 6²</t>
        </is>
      </c>
      <c r="L2420" t="inlineStr">
        <is>
          <t>14C⁰, 42B³, 42B⁴</t>
        </is>
      </c>
      <c r="M2420" t="inlineStr">
        <is>
          <t>42Q¹⁹, 84D²², 84H²²</t>
        </is>
      </c>
      <c r="N2420" t="inlineStr">
        <is>
          <t>2A⁰, 3A⁰, 21A², 42B⁴, 7B⁰, 14B⁰, 6A¹, 14C⁰, 1A⁰, 42B³</t>
        </is>
      </c>
      <c r="O2420" t="inlineStr">
        <is>
          <t>84D²², 42Q¹⁹, 84H²²</t>
        </is>
      </c>
    </row>
    <row r="2421">
      <c r="A2421">
        <f>HYPERLINK("https://mathstats.uncg.edu/sites/pauli/congruence/csg10.html#group42H10", "42H¹⁰")</f>
        <v/>
      </c>
      <c r="B2421" t="n">
        <v>10</v>
      </c>
      <c r="C2421" t="inlineStr"/>
      <c r="D2421" t="inlineStr">
        <is>
          <t>144</t>
        </is>
      </c>
      <c r="E2421" t="inlineStr">
        <is>
          <t>1</t>
        </is>
      </c>
      <c r="F2421" t="inlineStr">
        <is>
          <t>24</t>
        </is>
      </c>
      <c r="G2421" t="inlineStr">
        <is>
          <t>0</t>
        </is>
      </c>
      <c r="H2421" t="inlineStr">
        <is>
          <t>0</t>
        </is>
      </c>
      <c r="I2421" t="inlineStr">
        <is>
          <t>6³, 42³</t>
        </is>
      </c>
      <c r="J2421" t="n">
        <v>6</v>
      </c>
      <c r="K2421" t="inlineStr">
        <is>
          <t>1², 2², 6¹, 12¹</t>
        </is>
      </c>
      <c r="L2421" t="inlineStr">
        <is>
          <t>21A⁴, 42C⁴</t>
        </is>
      </c>
      <c r="M2421" t="inlineStr">
        <is>
          <t>42N¹⁹, 42O¹⁹</t>
        </is>
      </c>
      <c r="N2421" t="inlineStr">
        <is>
          <t>6B⁰, 21A², 7B⁰, 21A⁴, 7E⁰, 42C⁴, 3A⁰, 1A⁰, 21A¹</t>
        </is>
      </c>
      <c r="O2421" t="inlineStr">
        <is>
          <t>42O¹⁹, 42N¹⁹</t>
        </is>
      </c>
    </row>
    <row r="2422">
      <c r="A2422">
        <f>HYPERLINK("https://mathstats.uncg.edu/sites/pauli/congruence/csg10.html#group42I10", "42I¹⁰")</f>
        <v/>
      </c>
      <c r="B2422" t="n">
        <v>10</v>
      </c>
      <c r="C2422" t="inlineStr"/>
      <c r="D2422" t="inlineStr">
        <is>
          <t>144</t>
        </is>
      </c>
      <c r="E2422" t="inlineStr">
        <is>
          <t>1</t>
        </is>
      </c>
      <c r="F2422" t="inlineStr">
        <is>
          <t>72</t>
        </is>
      </c>
      <c r="G2422" t="inlineStr">
        <is>
          <t>0</t>
        </is>
      </c>
      <c r="H2422" t="inlineStr">
        <is>
          <t>0</t>
        </is>
      </c>
      <c r="I2422" t="inlineStr">
        <is>
          <t>6³, 42³</t>
        </is>
      </c>
      <c r="J2422" t="n">
        <v>6</v>
      </c>
      <c r="K2422" t="inlineStr">
        <is>
          <t>1⁶, 2⁶, 6³, 12³</t>
        </is>
      </c>
      <c r="L2422" t="inlineStr">
        <is>
          <t>6H⁰, 42C⁴, 42A⁵</t>
        </is>
      </c>
      <c r="M2422" t="inlineStr">
        <is>
          <t>42P¹⁹, 42R¹⁹, 84C²¹, 84E²¹, 84H²¹</t>
        </is>
      </c>
      <c r="N2422" t="inlineStr">
        <is>
          <t>6B⁰, 21A², 42A⁵, 7B⁰, 6H⁰, 14C¹, 2B⁰, 42C⁴, 3A⁰, 1A⁰, 6D⁰</t>
        </is>
      </c>
      <c r="O2422" t="inlineStr">
        <is>
          <t>84C²¹, 42P¹⁹, 42R¹⁹, 84E²¹, 84H²¹</t>
        </is>
      </c>
    </row>
    <row r="2423">
      <c r="A2423">
        <f>HYPERLINK("https://mathstats.uncg.edu/sites/pauli/congruence/csg10.html#group42J10", "42J¹⁰")</f>
        <v/>
      </c>
      <c r="B2423" t="n">
        <v>10</v>
      </c>
      <c r="C2423" t="inlineStr"/>
      <c r="D2423" t="inlineStr">
        <is>
          <t>144</t>
        </is>
      </c>
      <c r="E2423" t="inlineStr">
        <is>
          <t>2</t>
        </is>
      </c>
      <c r="F2423" t="inlineStr">
        <is>
          <t>8</t>
        </is>
      </c>
      <c r="G2423" t="inlineStr">
        <is>
          <t>0</t>
        </is>
      </c>
      <c r="H2423" t="inlineStr">
        <is>
          <t>0</t>
        </is>
      </c>
      <c r="I2423" t="inlineStr">
        <is>
          <t>6³, 42³</t>
        </is>
      </c>
      <c r="J2423" t="n">
        <v>6</v>
      </c>
      <c r="K2423" t="inlineStr">
        <is>
          <t>2², 12¹</t>
        </is>
      </c>
      <c r="L2423" t="inlineStr">
        <is>
          <t>14E², 42C², 42B³, 42B⁵</t>
        </is>
      </c>
      <c r="M2423" t="inlineStr">
        <is>
          <t>84M²⁰, 84G²¹, 84K²²</t>
        </is>
      </c>
      <c r="N2423" t="inlineStr">
        <is>
          <t>2A⁰, 42B⁵, 7B⁰, 14B⁰, 42C², 14C¹, 2B⁰, 14E², 1A⁰, 2C⁰, 42B³, 21A¹</t>
        </is>
      </c>
      <c r="O2423" t="inlineStr">
        <is>
          <t>84M²⁰, 84K²², 84G²¹</t>
        </is>
      </c>
    </row>
    <row r="2424">
      <c r="A2424">
        <f>HYPERLINK("https://mathstats.uncg.edu/sites/pauli/congruence/csg10.html#group42K10", "42K¹⁰")</f>
        <v/>
      </c>
      <c r="B2424" t="n">
        <v>10</v>
      </c>
      <c r="C2424" t="inlineStr"/>
      <c r="D2424" t="inlineStr">
        <is>
          <t>189</t>
        </is>
      </c>
      <c r="E2424" t="inlineStr">
        <is>
          <t>1</t>
        </is>
      </c>
      <c r="F2424" t="inlineStr">
        <is>
          <t>63</t>
        </is>
      </c>
      <c r="G2424" t="inlineStr">
        <is>
          <t>15</t>
        </is>
      </c>
      <c r="H2424" t="inlineStr">
        <is>
          <t>0</t>
        </is>
      </c>
      <c r="I2424" t="inlineStr">
        <is>
          <t>21³, 42³</t>
        </is>
      </c>
      <c r="J2424" t="n">
        <v>6</v>
      </c>
      <c r="K2424" t="inlineStr">
        <is>
          <t>3³, 6⁹</t>
        </is>
      </c>
      <c r="L2424" t="inlineStr">
        <is>
          <t>21E¹, 14F², 42C³</t>
        </is>
      </c>
      <c r="M2424" t="inlineStr">
        <is>
          <t>42A²², 42B²², 42C²², 84M²², 84N²², 42K²³, 42L²³, 84F²³, 42C²⁴, 42D²⁴, 84E²⁴</t>
        </is>
      </c>
      <c r="N2424" t="inlineStr">
        <is>
          <t>7D⁰, 14B¹, 21E¹, 21A⁰, 14F², 2B⁰, 3A⁰, 1A⁰, 42C³, 6D⁰, 7A⁰</t>
        </is>
      </c>
      <c r="O2424" t="inlineStr">
        <is>
          <t>84M²², 42A²², 42C²², 42K²³, 84E²⁴, 84F²³, 42D²⁴, 84N²², 42L²³, 42C²⁴, 42B²²</t>
        </is>
      </c>
    </row>
    <row r="2425">
      <c r="A2425">
        <f>HYPERLINK("https://mathstats.uncg.edu/sites/pauli/congruence/csg10.html#group44A10", "44A¹⁰")</f>
        <v/>
      </c>
      <c r="B2425" t="n">
        <v>10</v>
      </c>
      <c r="C2425" t="inlineStr"/>
      <c r="D2425" t="inlineStr">
        <is>
          <t>132</t>
        </is>
      </c>
      <c r="E2425" t="inlineStr">
        <is>
          <t>2</t>
        </is>
      </c>
      <c r="F2425" t="inlineStr">
        <is>
          <t>33</t>
        </is>
      </c>
      <c r="G2425" t="inlineStr">
        <is>
          <t>0</t>
        </is>
      </c>
      <c r="H2425" t="inlineStr">
        <is>
          <t>0</t>
        </is>
      </c>
      <c r="I2425" t="inlineStr">
        <is>
          <t>22², 44²</t>
        </is>
      </c>
      <c r="J2425" t="n">
        <v>4</v>
      </c>
      <c r="K2425" t="inlineStr">
        <is>
          <t>2³, 10⁶</t>
        </is>
      </c>
      <c r="L2425" t="inlineStr">
        <is>
          <t>4E⁰, 44C⁴, 22A⁵, 44A⁵</t>
        </is>
      </c>
      <c r="M2425" t="inlineStr">
        <is>
          <t>44A²⁰, 88A²⁰, 88C²⁰, 88A²¹</t>
        </is>
      </c>
      <c r="N2425" t="inlineStr">
        <is>
          <t>11A⁰, 2A⁰, 22A¹, 4B⁰, 44C⁴, 22A⁵, 4C⁰, 2B⁰, 4E⁰, 22B², 44A⁵, 1A⁰, 2C⁰</t>
        </is>
      </c>
      <c r="O2425" t="inlineStr">
        <is>
          <t>88A²⁰, 88C²⁰, 88A²¹, 44A²⁰</t>
        </is>
      </c>
    </row>
    <row r="2426">
      <c r="A2426">
        <f>HYPERLINK("https://mathstats.uncg.edu/sites/pauli/congruence/csg10.html#group44B10", "44B¹⁰")</f>
        <v/>
      </c>
      <c r="B2426" t="n">
        <v>10</v>
      </c>
      <c r="C2426" t="inlineStr"/>
      <c r="D2426" t="inlineStr">
        <is>
          <t>144</t>
        </is>
      </c>
      <c r="E2426" t="inlineStr">
        <is>
          <t>1</t>
        </is>
      </c>
      <c r="F2426" t="inlineStr">
        <is>
          <t>12</t>
        </is>
      </c>
      <c r="G2426" t="inlineStr">
        <is>
          <t>0</t>
        </is>
      </c>
      <c r="H2426" t="inlineStr">
        <is>
          <t>0</t>
        </is>
      </c>
      <c r="I2426" t="inlineStr">
        <is>
          <t>4³, 44³</t>
        </is>
      </c>
      <c r="J2426" t="n">
        <v>6</v>
      </c>
      <c r="K2426" t="inlineStr">
        <is>
          <t>1², 10¹</t>
        </is>
      </c>
      <c r="L2426" t="inlineStr">
        <is>
          <t>22A⁴, 44A⁴</t>
        </is>
      </c>
      <c r="M2426" t="inlineStr">
        <is>
          <t>44B¹⁹</t>
        </is>
      </c>
      <c r="N2426" t="inlineStr">
        <is>
          <t>2A⁰, 44A⁴, 11A¹, 22A², 2C⁰, 2B⁰, 22C², 1A⁰, 22A⁴</t>
        </is>
      </c>
      <c r="O2426" t="inlineStr">
        <is>
          <t>44B¹⁹</t>
        </is>
      </c>
    </row>
    <row r="2427">
      <c r="A2427">
        <f>HYPERLINK("https://mathstats.uncg.edu/sites/pauli/congruence/csg10.html#group44C10", "44C¹⁰")</f>
        <v/>
      </c>
      <c r="B2427" t="n">
        <v>10</v>
      </c>
      <c r="C2427" t="inlineStr"/>
      <c r="D2427" t="inlineStr">
        <is>
          <t>144</t>
        </is>
      </c>
      <c r="E2427" t="inlineStr">
        <is>
          <t>1</t>
        </is>
      </c>
      <c r="F2427" t="inlineStr">
        <is>
          <t>72</t>
        </is>
      </c>
      <c r="G2427" t="inlineStr">
        <is>
          <t>0</t>
        </is>
      </c>
      <c r="H2427" t="inlineStr">
        <is>
          <t>0</t>
        </is>
      </c>
      <c r="I2427" t="inlineStr">
        <is>
          <t>4³, 44³</t>
        </is>
      </c>
      <c r="J2427" t="n">
        <v>6</v>
      </c>
      <c r="K2427" t="inlineStr">
        <is>
          <t>1⁴, 2⁴, 10², 20²</t>
        </is>
      </c>
      <c r="L2427" t="inlineStr">
        <is>
          <t>4F⁰, 44B⁴, 44B⁵</t>
        </is>
      </c>
      <c r="M2427" t="inlineStr">
        <is>
          <t>44A¹⁹, 88E²⁰, 88E²¹, 88F²¹, 88A²²</t>
        </is>
      </c>
      <c r="N2427" t="inlineStr">
        <is>
          <t>11A¹, 4A⁰, 44B⁴, 4C⁰, 44B⁵, 2B⁰, 4F⁰, 22C², 1A⁰</t>
        </is>
      </c>
      <c r="O2427" t="inlineStr">
        <is>
          <t>88E²⁰, 88F²¹, 44A¹⁹, 88E²¹, 88A²²</t>
        </is>
      </c>
    </row>
    <row r="2428">
      <c r="A2428">
        <f>HYPERLINK("https://mathstats.uncg.edu/sites/pauli/congruence/csg10.html#group45A10", "45A¹⁰")</f>
        <v/>
      </c>
      <c r="B2428" t="n">
        <v>10</v>
      </c>
      <c r="C2428" t="inlineStr"/>
      <c r="D2428" t="inlineStr">
        <is>
          <t>162</t>
        </is>
      </c>
      <c r="E2428" t="inlineStr">
        <is>
          <t>1</t>
        </is>
      </c>
      <c r="F2428" t="inlineStr">
        <is>
          <t>162</t>
        </is>
      </c>
      <c r="G2428" t="inlineStr">
        <is>
          <t>6</t>
        </is>
      </c>
      <c r="H2428" t="inlineStr">
        <is>
          <t>0</t>
        </is>
      </c>
      <c r="I2428" t="inlineStr">
        <is>
          <t>9³, 45³</t>
        </is>
      </c>
      <c r="J2428" t="n">
        <v>6</v>
      </c>
      <c r="K2428" t="inlineStr">
        <is>
          <t>3², 6⁸, 12¹, 24⁴</t>
        </is>
      </c>
      <c r="L2428" t="inlineStr">
        <is>
          <t>5B⁰, 9F⁰</t>
        </is>
      </c>
      <c r="M2428" t="inlineStr">
        <is>
          <t>45A²², 90F²²</t>
        </is>
      </c>
      <c r="N2428" t="inlineStr">
        <is>
          <t>5B⁰, 9F⁰, 1A⁰</t>
        </is>
      </c>
      <c r="O2428" t="inlineStr">
        <is>
          <t>45A²², 90F²²</t>
        </is>
      </c>
    </row>
    <row r="2429">
      <c r="A2429">
        <f>HYPERLINK("https://mathstats.uncg.edu/sites/pauli/congruence/csg10.html#group45B10", "45B¹⁰")</f>
        <v/>
      </c>
      <c r="B2429" t="n">
        <v>10</v>
      </c>
      <c r="C2429" t="inlineStr"/>
      <c r="D2429" t="inlineStr">
        <is>
          <t>180</t>
        </is>
      </c>
      <c r="E2429" t="inlineStr">
        <is>
          <t>1</t>
        </is>
      </c>
      <c r="F2429" t="inlineStr">
        <is>
          <t>20</t>
        </is>
      </c>
      <c r="G2429" t="inlineStr">
        <is>
          <t>0</t>
        </is>
      </c>
      <c r="H2429" t="inlineStr">
        <is>
          <t>0</t>
        </is>
      </c>
      <c r="I2429" t="inlineStr">
        <is>
          <t>5⁹, 45³</t>
        </is>
      </c>
      <c r="J2429" t="n">
        <v>12</v>
      </c>
      <c r="K2429" t="inlineStr">
        <is>
          <t>1², 2¹, 4², 8¹</t>
        </is>
      </c>
      <c r="L2429" t="inlineStr">
        <is>
          <t>15A³, 45C³, 45A⁴</t>
        </is>
      </c>
      <c r="M2429" t="inlineStr">
        <is>
          <t>45H¹⁹</t>
        </is>
      </c>
      <c r="N2429" t="inlineStr">
        <is>
          <t>3B⁰, 15A³, 45C³, 5A⁰, 9B⁰, 15B¹, 5E⁰, 45A⁴, 1A⁰</t>
        </is>
      </c>
      <c r="O2429" t="inlineStr">
        <is>
          <t>45H¹⁹</t>
        </is>
      </c>
    </row>
    <row r="2430">
      <c r="A2430">
        <f>HYPERLINK("https://mathstats.uncg.edu/sites/pauli/congruence/csg10.html#group45C10", "45C¹⁰")</f>
        <v/>
      </c>
      <c r="B2430" t="n">
        <v>10</v>
      </c>
      <c r="C2430" t="inlineStr"/>
      <c r="D2430" t="inlineStr">
        <is>
          <t>180</t>
        </is>
      </c>
      <c r="E2430" t="inlineStr">
        <is>
          <t>2</t>
        </is>
      </c>
      <c r="F2430" t="inlineStr">
        <is>
          <t>20</t>
        </is>
      </c>
      <c r="G2430" t="inlineStr">
        <is>
          <t>0</t>
        </is>
      </c>
      <c r="H2430" t="inlineStr">
        <is>
          <t>9</t>
        </is>
      </c>
      <c r="I2430" t="inlineStr">
        <is>
          <t>15³, 45³</t>
        </is>
      </c>
      <c r="J2430" t="n">
        <v>6</v>
      </c>
      <c r="K2430" t="inlineStr">
        <is>
          <t>2², 4¹, 8⁴</t>
        </is>
      </c>
      <c r="L2430" t="inlineStr">
        <is>
          <t>15D³, 45B³, 45C³, 45B⁴</t>
        </is>
      </c>
      <c r="M2430" t="inlineStr">
        <is>
          <t>90K²²</t>
        </is>
      </c>
      <c r="N2430" t="inlineStr">
        <is>
          <t>3B⁰, 45C³, 45B³, 5A⁰, 15D³, 45B⁴, 15B¹, 9C⁰, 1A⁰, 15A⁰</t>
        </is>
      </c>
      <c r="O2430" t="inlineStr">
        <is>
          <t>90K²²</t>
        </is>
      </c>
    </row>
    <row r="2431">
      <c r="A2431">
        <f>HYPERLINK("https://mathstats.uncg.edu/sites/pauli/congruence/csg10.html#group45D10", "45D¹⁰")</f>
        <v/>
      </c>
      <c r="B2431" t="n">
        <v>10</v>
      </c>
      <c r="C2431" t="inlineStr"/>
      <c r="D2431" t="inlineStr">
        <is>
          <t>180</t>
        </is>
      </c>
      <c r="E2431" t="inlineStr">
        <is>
          <t>2</t>
        </is>
      </c>
      <c r="F2431" t="inlineStr">
        <is>
          <t>90</t>
        </is>
      </c>
      <c r="G2431" t="inlineStr">
        <is>
          <t>16</t>
        </is>
      </c>
      <c r="H2431" t="inlineStr">
        <is>
          <t>0</t>
        </is>
      </c>
      <c r="I2431" t="inlineStr">
        <is>
          <t>45⁴</t>
        </is>
      </c>
      <c r="J2431" t="n">
        <v>4</v>
      </c>
      <c r="K2431" t="inlineStr">
        <is>
          <t>4³, 8⁶, 12², 24⁴</t>
        </is>
      </c>
      <c r="L2431" t="inlineStr">
        <is>
          <t>15D², 45E⁵</t>
        </is>
      </c>
      <c r="M2431" t="inlineStr">
        <is>
          <t>45B²¹, 90M²¹, 90F²³</t>
        </is>
      </c>
      <c r="N2431" t="inlineStr">
        <is>
          <t>15D¹, 45E⁵, 9A⁰, 5C⁰, 15D², 3A⁰, 1A⁰</t>
        </is>
      </c>
      <c r="O2431" t="inlineStr">
        <is>
          <t>90M²¹, 90F²³, 45B²¹</t>
        </is>
      </c>
    </row>
    <row r="2432">
      <c r="A2432">
        <f>HYPERLINK("https://mathstats.uncg.edu/sites/pauli/congruence/csg10.html#group46A10", "46A¹⁰")</f>
        <v/>
      </c>
      <c r="B2432" t="n">
        <v>10</v>
      </c>
      <c r="C2432" t="inlineStr"/>
      <c r="D2432" t="inlineStr">
        <is>
          <t>144</t>
        </is>
      </c>
      <c r="E2432" t="inlineStr">
        <is>
          <t>1</t>
        </is>
      </c>
      <c r="F2432" t="inlineStr">
        <is>
          <t>24</t>
        </is>
      </c>
      <c r="G2432" t="inlineStr">
        <is>
          <t>0</t>
        </is>
      </c>
      <c r="H2432" t="inlineStr">
        <is>
          <t>0</t>
        </is>
      </c>
      <c r="I2432" t="inlineStr">
        <is>
          <t>2³, 46³</t>
        </is>
      </c>
      <c r="J2432" t="n">
        <v>6</v>
      </c>
      <c r="K2432" t="inlineStr">
        <is>
          <t>1², 22¹</t>
        </is>
      </c>
      <c r="L2432" t="inlineStr">
        <is>
          <t>2C⁰, 46A⁴, 46A⁵</t>
        </is>
      </c>
      <c r="M2432" t="inlineStr">
        <is>
          <t>92A²⁰, 92A²¹, 92A²²</t>
        </is>
      </c>
      <c r="N2432" t="inlineStr">
        <is>
          <t>2A⁰, 46A⁵, 23A², 2B⁰, 1A⁰, 2C⁰, 46A⁴</t>
        </is>
      </c>
      <c r="O2432" t="inlineStr">
        <is>
          <t>92A²¹, 92A²⁰, 92A²²</t>
        </is>
      </c>
    </row>
    <row r="2433">
      <c r="A2433">
        <f>HYPERLINK("https://mathstats.uncg.edu/sites/pauli/congruence/csg10.html#group48A10", "48A¹⁰")</f>
        <v/>
      </c>
      <c r="B2433" t="n">
        <v>10</v>
      </c>
      <c r="C2433" t="inlineStr"/>
      <c r="D2433" t="inlineStr">
        <is>
          <t>144</t>
        </is>
      </c>
      <c r="E2433" t="inlineStr">
        <is>
          <t>1</t>
        </is>
      </c>
      <c r="F2433" t="inlineStr">
        <is>
          <t>3</t>
        </is>
      </c>
      <c r="G2433" t="inlineStr">
        <is>
          <t>0</t>
        </is>
      </c>
      <c r="H2433" t="inlineStr">
        <is>
          <t>0</t>
        </is>
      </c>
      <c r="I2433" t="inlineStr">
        <is>
          <t>12⁴, 48²</t>
        </is>
      </c>
      <c r="J2433" t="n">
        <v>6</v>
      </c>
      <c r="K2433" t="inlineStr">
        <is>
          <t>1³</t>
        </is>
      </c>
      <c r="L2433" t="inlineStr">
        <is>
          <t>16C², 24D⁴, 48E⁴</t>
        </is>
      </c>
      <c r="M2433" t="inlineStr">
        <is>
          <t>48B¹⁹, 48C¹⁹, 48F¹⁹, 48I¹⁹, 48O¹⁹, 96A²², 96C²²</t>
        </is>
      </c>
      <c r="N2433" t="inlineStr">
        <is>
          <t>2A⁰, 12C⁰, 16C², 8D⁰, 6C¹, 4C⁰, 12B², 2B⁰, 4E⁰, 8C⁰, 4B⁰, 1A⁰, 24D⁴, 24B², 48E⁴, 6A⁰, 8G⁰, 16C¹, 24C¹, 12B¹, 6A¹, 3A⁰, 2C⁰, 6D⁰</t>
        </is>
      </c>
      <c r="O2433" t="inlineStr">
        <is>
          <t>48O¹⁹, 48I¹⁹, 48C¹⁹, 96A²², 48F¹⁹, 48B¹⁹, 96C²²</t>
        </is>
      </c>
    </row>
    <row r="2434">
      <c r="A2434">
        <f>HYPERLINK("https://mathstats.uncg.edu/sites/pauli/congruence/csg10.html#group48B10", "48B¹⁰")</f>
        <v/>
      </c>
      <c r="B2434" t="n">
        <v>10</v>
      </c>
      <c r="C2434" t="inlineStr"/>
      <c r="D2434" t="inlineStr">
        <is>
          <t>144</t>
        </is>
      </c>
      <c r="E2434" t="inlineStr">
        <is>
          <t>1</t>
        </is>
      </c>
      <c r="F2434" t="inlineStr">
        <is>
          <t>9</t>
        </is>
      </c>
      <c r="G2434" t="inlineStr">
        <is>
          <t>0</t>
        </is>
      </c>
      <c r="H2434" t="inlineStr">
        <is>
          <t>0</t>
        </is>
      </c>
      <c r="I2434" t="inlineStr">
        <is>
          <t>12⁴, 48²</t>
        </is>
      </c>
      <c r="J2434" t="n">
        <v>6</v>
      </c>
      <c r="K2434" t="inlineStr">
        <is>
          <t>1³, 2³</t>
        </is>
      </c>
      <c r="L2434" t="inlineStr">
        <is>
          <t>24D⁴, 48H⁴</t>
        </is>
      </c>
      <c r="M2434" t="inlineStr">
        <is>
          <t>48E¹⁹, 48F¹⁹, 48G¹⁹, 48H¹⁹, 48M¹⁹, 48N¹⁹, 48AW¹⁹, 48AX¹⁹</t>
        </is>
      </c>
      <c r="N2434" t="inlineStr">
        <is>
          <t>2A⁰, 12C⁰, 48H⁴, 8D⁰, 4C⁰, 6C¹, 12B², 2B⁰, 4E⁰, 8C⁰, 4B⁰, 1A⁰, 24D⁴, 24B², 6A⁰, 8G⁰, 24C¹, 12B¹, 6A¹, 3A⁰, 2C⁰, 6D⁰</t>
        </is>
      </c>
      <c r="O2434" t="inlineStr">
        <is>
          <t>48M¹⁹, 48G¹⁹, 48AW¹⁹, 48AX¹⁹, 48F¹⁹, 48E¹⁹, 48N¹⁹, 48H¹⁹</t>
        </is>
      </c>
    </row>
    <row r="2435">
      <c r="A2435">
        <f>HYPERLINK("https://mathstats.uncg.edu/sites/pauli/congruence/csg10.html#group48C10", "48C¹⁰")</f>
        <v/>
      </c>
      <c r="B2435" t="n">
        <v>10</v>
      </c>
      <c r="C2435" t="inlineStr"/>
      <c r="D2435" t="inlineStr">
        <is>
          <t>144</t>
        </is>
      </c>
      <c r="E2435" t="inlineStr">
        <is>
          <t>1</t>
        </is>
      </c>
      <c r="F2435" t="inlineStr">
        <is>
          <t>12</t>
        </is>
      </c>
      <c r="G2435" t="inlineStr">
        <is>
          <t>0</t>
        </is>
      </c>
      <c r="H2435" t="inlineStr">
        <is>
          <t>0</t>
        </is>
      </c>
      <c r="I2435" t="inlineStr">
        <is>
          <t>12⁴, 48²</t>
        </is>
      </c>
      <c r="J2435" t="n">
        <v>6</v>
      </c>
      <c r="K2435" t="inlineStr">
        <is>
          <t>1², 2¹, 4²</t>
        </is>
      </c>
      <c r="L2435" t="inlineStr">
        <is>
          <t>16D², 48D³, 48E⁴, 24B⁵</t>
        </is>
      </c>
      <c r="M2435" t="inlineStr">
        <is>
          <t>48B¹⁹, 48Y¹⁹, 48Z¹⁹, 96A²⁰, 96B²⁰, 48AQ²¹, 48BM²¹, 96B²², 96D²²</t>
        </is>
      </c>
      <c r="N2435" t="inlineStr">
        <is>
          <t>16D², 24A³, 8A¹, 12C⁰, 8D⁰, 4C⁰, 2B⁰, 1A⁰, 16E⁰, 12A⁰, 48E⁴, 8C¹, 4A⁰, 16C¹, 24C¹, 12J¹, 48D³, 4F⁰, 3A⁰, 6D⁰, 24B⁵</t>
        </is>
      </c>
      <c r="O2435" t="inlineStr">
        <is>
          <t>96B²⁰, 96A²⁰, 48Z¹⁹, 48B¹⁹, 48AQ²¹, 48Y¹⁹, 48BM²¹, 96D²², 96B²²</t>
        </is>
      </c>
    </row>
    <row r="2436">
      <c r="A2436">
        <f>HYPERLINK("https://mathstats.uncg.edu/sites/pauli/congruence/csg10.html#group48D10", "48D¹⁰")</f>
        <v/>
      </c>
      <c r="B2436" t="n">
        <v>10</v>
      </c>
      <c r="C2436" t="inlineStr"/>
      <c r="D2436" t="inlineStr">
        <is>
          <t>144</t>
        </is>
      </c>
      <c r="E2436" t="inlineStr">
        <is>
          <t>1</t>
        </is>
      </c>
      <c r="F2436" t="inlineStr">
        <is>
          <t>36</t>
        </is>
      </c>
      <c r="G2436" t="inlineStr">
        <is>
          <t>0</t>
        </is>
      </c>
      <c r="H2436" t="inlineStr">
        <is>
          <t>0</t>
        </is>
      </c>
      <c r="I2436" t="inlineStr">
        <is>
          <t>12⁴, 48²</t>
        </is>
      </c>
      <c r="J2436" t="n">
        <v>6</v>
      </c>
      <c r="K2436" t="inlineStr">
        <is>
          <t>1², 2³, 4³, 8²</t>
        </is>
      </c>
      <c r="L2436" t="inlineStr">
        <is>
          <t>48G³, 48H⁴, 24B⁵</t>
        </is>
      </c>
      <c r="M2436" t="inlineStr">
        <is>
          <t>48G¹⁹, 48U¹⁹, 48V¹⁹, 48Y¹⁹, 48Z¹⁹, 48BL²¹, 48BN²¹, 48BV²¹</t>
        </is>
      </c>
      <c r="N2436" t="inlineStr">
        <is>
          <t>24A³, 12C⁰, 48G³, 8A¹, 48H⁴, 8D⁰, 4C⁰, 2B⁰, 1A⁰, 12A⁰, 8C¹, 4A⁰, 24C¹, 12J¹, 4F⁰, 3A⁰, 6D⁰, 24B⁵</t>
        </is>
      </c>
      <c r="O2436" t="inlineStr">
        <is>
          <t>48G¹⁹, 48V¹⁹, 48Z¹⁹, 48Y¹⁹, 48BN²¹, 48BV²¹, 48U¹⁹, 48BL²¹</t>
        </is>
      </c>
    </row>
    <row r="2437">
      <c r="A2437">
        <f>HYPERLINK("https://mathstats.uncg.edu/sites/pauli/congruence/csg10.html#group48E10", "48E¹⁰")</f>
        <v/>
      </c>
      <c r="B2437" t="n">
        <v>10</v>
      </c>
      <c r="C2437" t="inlineStr"/>
      <c r="D2437" t="inlineStr">
        <is>
          <t>144</t>
        </is>
      </c>
      <c r="E2437" t="inlineStr">
        <is>
          <t>1</t>
        </is>
      </c>
      <c r="F2437" t="inlineStr">
        <is>
          <t>72</t>
        </is>
      </c>
      <c r="G2437" t="inlineStr">
        <is>
          <t>0</t>
        </is>
      </c>
      <c r="H2437" t="inlineStr">
        <is>
          <t>0</t>
        </is>
      </c>
      <c r="I2437" t="inlineStr">
        <is>
          <t>12⁴, 48²</t>
        </is>
      </c>
      <c r="J2437" t="n">
        <v>6</v>
      </c>
      <c r="K2437" t="inlineStr">
        <is>
          <t>4¹⁴, 8²</t>
        </is>
      </c>
      <c r="L2437" t="inlineStr">
        <is>
          <t>24I⁴</t>
        </is>
      </c>
      <c r="M2437" t="inlineStr">
        <is>
          <t>48K¹⁹, 48AA¹⁹</t>
        </is>
      </c>
      <c r="N2437" t="inlineStr">
        <is>
          <t>24I⁴, 6B⁰, 3A⁰, 12C¹, 12D², 24D², 12B¹, 2B⁰, 6H⁰, 4B⁰, 1A⁰, 6D⁰</t>
        </is>
      </c>
      <c r="O2437" t="inlineStr">
        <is>
          <t>48K¹⁹, 48AA¹⁹</t>
        </is>
      </c>
    </row>
    <row r="2438">
      <c r="A2438">
        <f>HYPERLINK("https://mathstats.uncg.edu/sites/pauli/congruence/csg10.html#group48F10", "48F¹⁰")</f>
        <v/>
      </c>
      <c r="B2438" t="n">
        <v>10</v>
      </c>
      <c r="C2438" t="inlineStr"/>
      <c r="D2438" t="inlineStr">
        <is>
          <t>144</t>
        </is>
      </c>
      <c r="E2438" t="inlineStr">
        <is>
          <t>2</t>
        </is>
      </c>
      <c r="F2438" t="inlineStr">
        <is>
          <t>24</t>
        </is>
      </c>
      <c r="G2438" t="inlineStr">
        <is>
          <t>6</t>
        </is>
      </c>
      <c r="H2438" t="inlineStr">
        <is>
          <t>0</t>
        </is>
      </c>
      <c r="I2438" t="inlineStr">
        <is>
          <t>48³</t>
        </is>
      </c>
      <c r="J2438" t="n">
        <v>3</v>
      </c>
      <c r="K2438" t="inlineStr">
        <is>
          <t>8⁶</t>
        </is>
      </c>
      <c r="L2438" t="inlineStr">
        <is>
          <t>16G³, 48A³, 24H⁴</t>
        </is>
      </c>
      <c r="M2438" t="inlineStr">
        <is>
          <t>48T¹⁹, 48H²⁰, 48I²⁰, 48BX²¹, 48BY²¹, 48A²², 48C²²</t>
        </is>
      </c>
      <c r="N2438" t="inlineStr">
        <is>
          <t>16A⁰, 12C⁰, 4C⁰, 8A⁰, 16G³, 2B⁰, 1A⁰, 8D¹, 24H⁴, 48A³, 12A⁰, 24A¹, 4A⁰, 12J¹, 4F⁰, 3A⁰, 6D⁰</t>
        </is>
      </c>
      <c r="O2438" t="inlineStr">
        <is>
          <t>48I²⁰, 48BX²¹, 48A²², 48BY²¹, 48T¹⁹, 48H²⁰, 48C²²</t>
        </is>
      </c>
    </row>
    <row r="2439">
      <c r="A2439">
        <f>HYPERLINK("https://mathstats.uncg.edu/sites/pauli/congruence/csg10.html#group48G10", "48G¹⁰")</f>
        <v/>
      </c>
      <c r="B2439" t="n">
        <v>10</v>
      </c>
      <c r="C2439" t="inlineStr"/>
      <c r="D2439" t="inlineStr">
        <is>
          <t>144</t>
        </is>
      </c>
      <c r="E2439" t="inlineStr">
        <is>
          <t>2</t>
        </is>
      </c>
      <c r="F2439" t="inlineStr">
        <is>
          <t>72</t>
        </is>
      </c>
      <c r="G2439" t="inlineStr">
        <is>
          <t>6</t>
        </is>
      </c>
      <c r="H2439" t="inlineStr">
        <is>
          <t>0</t>
        </is>
      </c>
      <c r="I2439" t="inlineStr">
        <is>
          <t>48³</t>
        </is>
      </c>
      <c r="J2439" t="n">
        <v>3</v>
      </c>
      <c r="K2439" t="inlineStr">
        <is>
          <t>8⁶, 16⁶</t>
        </is>
      </c>
      <c r="L2439" t="inlineStr">
        <is>
          <t>48B³, 24H⁴</t>
        </is>
      </c>
      <c r="M2439" t="inlineStr">
        <is>
          <t>48AV¹⁹, 48C²⁰, 48D²⁰, 48G²⁰, 48H²⁰, 48I²⁰, 48BO²¹, 48BP²¹, 48BW²¹, 48BX²¹, 48BY²¹, 48B²², 48D²²</t>
        </is>
      </c>
      <c r="N2439" t="inlineStr">
        <is>
          <t>24H⁴, 12A⁰, 24A¹, 12C⁰, 4A⁰, 4C⁰, 8A⁰, 12J¹, 2B⁰, 4F⁰, 3A⁰, 1A⁰, 8D¹, 6D⁰, 48B³</t>
        </is>
      </c>
      <c r="O2439" t="inlineStr">
        <is>
          <t>48I²⁰, 48BX²¹, 48BP²¹, 48H²⁰, 48G²⁰, 48BO²¹, 48D²², 48B²², 48BY²¹, 48D²⁰, 48BW²¹, 48C²⁰, 48AV¹⁹</t>
        </is>
      </c>
    </row>
    <row r="2440">
      <c r="A2440">
        <f>HYPERLINK("https://mathstats.uncg.edu/sites/pauli/congruence/csg10.html#group48H10", "48H¹⁰")</f>
        <v/>
      </c>
      <c r="B2440" t="n">
        <v>10</v>
      </c>
      <c r="C2440" t="inlineStr"/>
      <c r="D2440" t="inlineStr">
        <is>
          <t>192</t>
        </is>
      </c>
      <c r="E2440" t="inlineStr">
        <is>
          <t>1</t>
        </is>
      </c>
      <c r="F2440" t="inlineStr">
        <is>
          <t>96</t>
        </is>
      </c>
      <c r="G2440" t="inlineStr">
        <is>
          <t>0</t>
        </is>
      </c>
      <c r="H2440" t="inlineStr">
        <is>
          <t>0</t>
        </is>
      </c>
      <c r="I2440" t="inlineStr">
        <is>
          <t>4⁴, 8², 12⁴, 16¹, 24², 48¹</t>
        </is>
      </c>
      <c r="J2440" t="n">
        <v>14</v>
      </c>
      <c r="K2440" t="inlineStr">
        <is>
          <t>4⁸, 8¹², 16⁴</t>
        </is>
      </c>
      <c r="L2440" t="inlineStr">
        <is>
          <t>16K¹, 24R⁴</t>
        </is>
      </c>
      <c r="M2440" t="inlineStr">
        <is>
          <t>48BP¹⁹, 48C²³, 48D²³</t>
        </is>
      </c>
      <c r="N2440" t="inlineStr">
        <is>
          <t>3B⁰, 12F¹, 4C⁰, 2B⁰, 8K⁰, 1A⁰, 4A⁰, 12A¹, 24R⁴, 12G², 4F⁰, 6F⁰, 16K¹</t>
        </is>
      </c>
      <c r="O2440" t="inlineStr">
        <is>
          <t>48D²³, 48BP¹⁹, 48C²³</t>
        </is>
      </c>
    </row>
    <row r="2441">
      <c r="A2441">
        <f>HYPERLINK("https://mathstats.uncg.edu/sites/pauli/congruence/csg10.html#group48I10", "48I¹⁰")</f>
        <v/>
      </c>
      <c r="B2441" t="n">
        <v>10</v>
      </c>
      <c r="C2441" t="inlineStr"/>
      <c r="D2441" t="inlineStr">
        <is>
          <t>192</t>
        </is>
      </c>
      <c r="E2441" t="inlineStr">
        <is>
          <t>1</t>
        </is>
      </c>
      <c r="F2441" t="inlineStr">
        <is>
          <t>96</t>
        </is>
      </c>
      <c r="G2441" t="inlineStr">
        <is>
          <t>0</t>
        </is>
      </c>
      <c r="H2441" t="inlineStr">
        <is>
          <t>0</t>
        </is>
      </c>
      <c r="I2441" t="inlineStr">
        <is>
          <t>4⁴, 8², 12⁴, 16¹, 24², 48¹</t>
        </is>
      </c>
      <c r="J2441" t="n">
        <v>14</v>
      </c>
      <c r="K2441" t="inlineStr">
        <is>
          <t>4⁸, 8¹², 16⁴</t>
        </is>
      </c>
      <c r="L2441" t="inlineStr">
        <is>
          <t>16L¹, 24R⁴</t>
        </is>
      </c>
      <c r="M2441" t="inlineStr">
        <is>
          <t>48BP¹⁹, 48C²³, 48D²³</t>
        </is>
      </c>
      <c r="N2441" t="inlineStr">
        <is>
          <t>3B⁰, 12F¹, 4C⁰, 2B⁰, 8K⁰, 1A⁰, 16L¹, 4A⁰, 12A¹, 24R⁴, 12G², 4F⁰, 6F⁰</t>
        </is>
      </c>
      <c r="O2441" t="inlineStr">
        <is>
          <t>48D²³, 48BP¹⁹, 48C²³</t>
        </is>
      </c>
    </row>
    <row r="2442">
      <c r="A2442">
        <f>HYPERLINK("https://mathstats.uncg.edu/sites/pauli/congruence/csg10.html#group50A10", "50A¹⁰")</f>
        <v/>
      </c>
      <c r="B2442" t="n">
        <v>10</v>
      </c>
      <c r="C2442" t="inlineStr"/>
      <c r="D2442" t="inlineStr">
        <is>
          <t>150</t>
        </is>
      </c>
      <c r="E2442" t="inlineStr">
        <is>
          <t>1</t>
        </is>
      </c>
      <c r="F2442" t="inlineStr">
        <is>
          <t>75</t>
        </is>
      </c>
      <c r="G2442" t="inlineStr">
        <is>
          <t>0</t>
        </is>
      </c>
      <c r="H2442" t="inlineStr">
        <is>
          <t>0</t>
        </is>
      </c>
      <c r="I2442" t="inlineStr">
        <is>
          <t>10⁵, 50²</t>
        </is>
      </c>
      <c r="J2442" t="n">
        <v>7</v>
      </c>
      <c r="K2442" t="inlineStr">
        <is>
          <t>2¹, 4², 5¹, 20³</t>
        </is>
      </c>
      <c r="L2442" t="inlineStr">
        <is>
          <t>10A², 25F²</t>
        </is>
      </c>
      <c r="M2442" t="inlineStr">
        <is>
          <t>50A¹⁹, 50C¹⁹, 50D¹⁹</t>
        </is>
      </c>
      <c r="N2442" t="inlineStr">
        <is>
          <t>25F², 2A⁰, 5A⁰, 10A², 10A⁰, 5E⁰, 1A⁰</t>
        </is>
      </c>
      <c r="O2442" t="inlineStr">
        <is>
          <t>50A¹⁹, 50C¹⁹, 50D¹⁹</t>
        </is>
      </c>
    </row>
    <row r="2443">
      <c r="A2443">
        <f>HYPERLINK("https://mathstats.uncg.edu/sites/pauli/congruence/csg10.html#group52A10", "52A¹⁰")</f>
        <v/>
      </c>
      <c r="B2443" t="n">
        <v>10</v>
      </c>
      <c r="C2443" t="inlineStr"/>
      <c r="D2443" t="inlineStr">
        <is>
          <t>252</t>
        </is>
      </c>
      <c r="E2443" t="inlineStr">
        <is>
          <t>1</t>
        </is>
      </c>
      <c r="F2443" t="inlineStr">
        <is>
          <t>42</t>
        </is>
      </c>
      <c r="G2443" t="inlineStr">
        <is>
          <t>12</t>
        </is>
      </c>
      <c r="H2443" t="inlineStr">
        <is>
          <t>0</t>
        </is>
      </c>
      <c r="I2443" t="inlineStr">
        <is>
          <t>1⁶, 4³, 13⁶, 52³</t>
        </is>
      </c>
      <c r="J2443" t="n">
        <v>18</v>
      </c>
      <c r="K2443" t="inlineStr">
        <is>
          <t>1⁶, 12³</t>
        </is>
      </c>
      <c r="L2443" t="inlineStr">
        <is>
          <t>26C⁴, 52A⁴</t>
        </is>
      </c>
      <c r="M2443" t="inlineStr"/>
      <c r="N2443" t="inlineStr">
        <is>
          <t>13A⁰, 26C⁴, 13C⁰, 2B⁰, 52A⁴, 1A⁰, 26A²</t>
        </is>
      </c>
      <c r="O2443" t="inlineStr"/>
    </row>
    <row r="2444">
      <c r="A2444">
        <f>HYPERLINK("https://mathstats.uncg.edu/sites/pauli/congruence/csg10.html#group54A10", "54A¹⁰")</f>
        <v/>
      </c>
      <c r="B2444" t="n">
        <v>10</v>
      </c>
      <c r="C2444" t="inlineStr"/>
      <c r="D2444" t="inlineStr">
        <is>
          <t>216</t>
        </is>
      </c>
      <c r="E2444" t="inlineStr">
        <is>
          <t>1</t>
        </is>
      </c>
      <c r="F2444" t="inlineStr">
        <is>
          <t>12</t>
        </is>
      </c>
      <c r="G2444" t="inlineStr">
        <is>
          <t>0</t>
        </is>
      </c>
      <c r="H2444" t="inlineStr">
        <is>
          <t>0</t>
        </is>
      </c>
      <c r="I2444" t="inlineStr">
        <is>
          <t>2⁹, 6⁶, 54³</t>
        </is>
      </c>
      <c r="J2444" t="n">
        <v>18</v>
      </c>
      <c r="K2444" t="inlineStr">
        <is>
          <t>1², 2², 6¹</t>
        </is>
      </c>
      <c r="L2444" t="inlineStr">
        <is>
          <t>18J¹, 54A⁴, 54C⁴, 54E⁴</t>
        </is>
      </c>
      <c r="M2444" t="inlineStr">
        <is>
          <t>108E²²</t>
        </is>
      </c>
      <c r="N2444" t="inlineStr">
        <is>
          <t>3B⁰, 2A⁰, 6I⁰, 6C⁰, 9B⁰, 2B⁰, 18J¹, 1A⁰, 18C⁰, 18E⁰, 27A¹, 18C¹, 54C⁴, 54A⁴, 6F⁰, 2C⁰, 54E⁴</t>
        </is>
      </c>
      <c r="O2444" t="inlineStr">
        <is>
          <t>108E²²</t>
        </is>
      </c>
    </row>
    <row r="2445">
      <c r="A2445">
        <f>HYPERLINK("https://mathstats.uncg.edu/sites/pauli/congruence/csg10.html#group54B10", "54B¹⁰")</f>
        <v/>
      </c>
      <c r="B2445" t="n">
        <v>10</v>
      </c>
      <c r="C2445" t="inlineStr"/>
      <c r="D2445" t="inlineStr">
        <is>
          <t>216</t>
        </is>
      </c>
      <c r="E2445" t="inlineStr">
        <is>
          <t>1</t>
        </is>
      </c>
      <c r="F2445" t="inlineStr">
        <is>
          <t>12</t>
        </is>
      </c>
      <c r="G2445" t="inlineStr">
        <is>
          <t>0</t>
        </is>
      </c>
      <c r="H2445" t="inlineStr">
        <is>
          <t>0</t>
        </is>
      </c>
      <c r="I2445" t="inlineStr">
        <is>
          <t>2⁹, 6⁶, 54³</t>
        </is>
      </c>
      <c r="J2445" t="n">
        <v>18</v>
      </c>
      <c r="K2445" t="inlineStr">
        <is>
          <t>1², 2², 6¹</t>
        </is>
      </c>
      <c r="L2445" t="inlineStr">
        <is>
          <t>27C¹, 18G³, 54A³, 54A⁴</t>
        </is>
      </c>
      <c r="M2445" t="inlineStr"/>
      <c r="N2445" t="inlineStr">
        <is>
          <t>3B⁰, 2A⁰, 27A¹, 27C¹, 18G³, 18C¹, 6C⁰, 9I⁰, 9B⁰, 54A³, 27A⁰, 54A⁴, 1A⁰</t>
        </is>
      </c>
      <c r="O2445" t="inlineStr"/>
    </row>
    <row r="2446">
      <c r="A2446">
        <f>HYPERLINK("https://mathstats.uncg.edu/sites/pauli/congruence/csg10.html#group54C10", "54C¹⁰")</f>
        <v/>
      </c>
      <c r="B2446" t="n">
        <v>10</v>
      </c>
      <c r="C2446" t="inlineStr"/>
      <c r="D2446" t="inlineStr">
        <is>
          <t>216</t>
        </is>
      </c>
      <c r="E2446" t="inlineStr">
        <is>
          <t>1</t>
        </is>
      </c>
      <c r="F2446" t="inlineStr">
        <is>
          <t>12</t>
        </is>
      </c>
      <c r="G2446" t="inlineStr">
        <is>
          <t>0</t>
        </is>
      </c>
      <c r="H2446" t="inlineStr">
        <is>
          <t>18</t>
        </is>
      </c>
      <c r="I2446" t="inlineStr">
        <is>
          <t>18³, 54³</t>
        </is>
      </c>
      <c r="J2446" t="n">
        <v>6</v>
      </c>
      <c r="K2446" t="inlineStr">
        <is>
          <t>1², 2², 6¹</t>
        </is>
      </c>
      <c r="L2446" t="inlineStr">
        <is>
          <t>18N², 54A², 27D⁴, 54B⁴</t>
        </is>
      </c>
      <c r="M2446" t="inlineStr">
        <is>
          <t>108B²²</t>
        </is>
      </c>
      <c r="N2446" t="inlineStr">
        <is>
          <t>3B⁰, 2A⁰, 9J⁰, 27D⁴, 27B², 18B⁰, 18N², 54B⁴, 6C⁰, 27B¹, 54A², 9C⁰, 1A⁰</t>
        </is>
      </c>
      <c r="O2446" t="inlineStr">
        <is>
          <t>108B²²</t>
        </is>
      </c>
    </row>
    <row r="2447">
      <c r="A2447">
        <f>HYPERLINK("https://mathstats.uncg.edu/sites/pauli/congruence/csg10.html#group54D10", "54D¹⁰")</f>
        <v/>
      </c>
      <c r="B2447" t="n">
        <v>10</v>
      </c>
      <c r="C2447" t="inlineStr"/>
      <c r="D2447" t="inlineStr">
        <is>
          <t>216</t>
        </is>
      </c>
      <c r="E2447" t="inlineStr">
        <is>
          <t>1</t>
        </is>
      </c>
      <c r="F2447" t="inlineStr">
        <is>
          <t>24</t>
        </is>
      </c>
      <c r="G2447" t="inlineStr">
        <is>
          <t>0</t>
        </is>
      </c>
      <c r="H2447" t="inlineStr">
        <is>
          <t>0</t>
        </is>
      </c>
      <c r="I2447" t="inlineStr">
        <is>
          <t>2⁹, 6⁶, 54³</t>
        </is>
      </c>
      <c r="J2447" t="n">
        <v>18</v>
      </c>
      <c r="K2447" t="inlineStr">
        <is>
          <t>2⁶, 6²</t>
        </is>
      </c>
      <c r="L2447" t="inlineStr">
        <is>
          <t>18G³, 54B³, 54C⁴</t>
        </is>
      </c>
      <c r="M2447" t="inlineStr"/>
      <c r="N2447" t="inlineStr">
        <is>
          <t>3B⁰, 2A⁰, 18G³, 54B³, 18C¹, 6C⁰, 9B⁰, 9I⁰, 54C⁴, 1A⁰</t>
        </is>
      </c>
      <c r="O2447" t="inlineStr"/>
    </row>
    <row r="2448">
      <c r="A2448">
        <f>HYPERLINK("https://mathstats.uncg.edu/sites/pauli/congruence/csg10.html#group54E10", "54E¹⁰")</f>
        <v/>
      </c>
      <c r="B2448" t="n">
        <v>10</v>
      </c>
      <c r="C2448" t="inlineStr"/>
      <c r="D2448" t="inlineStr">
        <is>
          <t>216</t>
        </is>
      </c>
      <c r="E2448" t="inlineStr">
        <is>
          <t>1</t>
        </is>
      </c>
      <c r="F2448" t="inlineStr">
        <is>
          <t>24</t>
        </is>
      </c>
      <c r="G2448" t="inlineStr">
        <is>
          <t>0</t>
        </is>
      </c>
      <c r="H2448" t="inlineStr">
        <is>
          <t>0</t>
        </is>
      </c>
      <c r="I2448" t="inlineStr">
        <is>
          <t>2⁹, 6⁶, 54³</t>
        </is>
      </c>
      <c r="J2448" t="n">
        <v>18</v>
      </c>
      <c r="K2448" t="inlineStr">
        <is>
          <t>1⁴, 2⁴, 6²</t>
        </is>
      </c>
      <c r="L2448" t="inlineStr">
        <is>
          <t>18I³, 54B³, 54A⁴</t>
        </is>
      </c>
      <c r="M2448" t="inlineStr"/>
      <c r="N2448" t="inlineStr">
        <is>
          <t>3B⁰, 2A⁰, 27A¹, 54B³, 18C¹, 6C⁰, 9B⁰, 54A⁴, 18I³, 1A⁰</t>
        </is>
      </c>
      <c r="O2448" t="inlineStr"/>
    </row>
    <row r="2449">
      <c r="A2449">
        <f>HYPERLINK("https://mathstats.uncg.edu/sites/pauli/congruence/csg10.html#group54F10", "54F¹⁰")</f>
        <v/>
      </c>
      <c r="B2449" t="n">
        <v>10</v>
      </c>
      <c r="C2449" t="inlineStr"/>
      <c r="D2449" t="inlineStr">
        <is>
          <t>216</t>
        </is>
      </c>
      <c r="E2449" t="inlineStr">
        <is>
          <t>1</t>
        </is>
      </c>
      <c r="F2449" t="inlineStr">
        <is>
          <t>24</t>
        </is>
      </c>
      <c r="G2449" t="inlineStr">
        <is>
          <t>0</t>
        </is>
      </c>
      <c r="H2449" t="inlineStr">
        <is>
          <t>18</t>
        </is>
      </c>
      <c r="I2449" t="inlineStr">
        <is>
          <t>18³, 54³</t>
        </is>
      </c>
      <c r="J2449" t="n">
        <v>6</v>
      </c>
      <c r="K2449" t="inlineStr">
        <is>
          <t>2⁶, 6²</t>
        </is>
      </c>
      <c r="L2449" t="inlineStr">
        <is>
          <t>18K¹, 54A², 54C³, 54D⁴</t>
        </is>
      </c>
      <c r="M2449" t="inlineStr">
        <is>
          <t>108C²²</t>
        </is>
      </c>
      <c r="N2449" t="inlineStr">
        <is>
          <t>3B⁰, 2A⁰, 18C⁰, 6A⁰, 18K¹, 18B⁰, 6C⁰, 6J⁰, 54D⁴, 27B¹, 54A², 9C⁰, 1A⁰, 54C³, 18D¹</t>
        </is>
      </c>
      <c r="O2449" t="inlineStr">
        <is>
          <t>108C²²</t>
        </is>
      </c>
    </row>
    <row r="2450">
      <c r="A2450">
        <f>HYPERLINK("https://mathstats.uncg.edu/sites/pauli/congruence/csg10.html#group54G10", "54G¹⁰")</f>
        <v/>
      </c>
      <c r="B2450" t="n">
        <v>10</v>
      </c>
      <c r="C2450" t="inlineStr"/>
      <c r="D2450" t="inlineStr">
        <is>
          <t>216</t>
        </is>
      </c>
      <c r="E2450" t="inlineStr">
        <is>
          <t>1</t>
        </is>
      </c>
      <c r="F2450" t="inlineStr">
        <is>
          <t>24</t>
        </is>
      </c>
      <c r="G2450" t="inlineStr">
        <is>
          <t>0</t>
        </is>
      </c>
      <c r="H2450" t="inlineStr">
        <is>
          <t>18</t>
        </is>
      </c>
      <c r="I2450" t="inlineStr">
        <is>
          <t>18³, 54³</t>
        </is>
      </c>
      <c r="J2450" t="n">
        <v>6</v>
      </c>
      <c r="K2450" t="inlineStr">
        <is>
          <t>1⁴, 2⁴, 6²</t>
        </is>
      </c>
      <c r="L2450" t="inlineStr">
        <is>
          <t>18O², 54A², 54C³</t>
        </is>
      </c>
      <c r="M2450" t="inlineStr">
        <is>
          <t>108D²²</t>
        </is>
      </c>
      <c r="N2450" t="inlineStr">
        <is>
          <t>3B⁰, 2A⁰, 18B⁰, 6C⁰, 9C⁰, 27B¹, 54A², 18O², 1A⁰, 54C³</t>
        </is>
      </c>
      <c r="O2450" t="inlineStr">
        <is>
          <t>108D²²</t>
        </is>
      </c>
    </row>
    <row r="2451">
      <c r="A2451">
        <f>HYPERLINK("https://mathstats.uncg.edu/sites/pauli/congruence/csg10.html#group54H10", "54H¹⁰")</f>
        <v/>
      </c>
      <c r="B2451" t="n">
        <v>10</v>
      </c>
      <c r="C2451" t="inlineStr"/>
      <c r="D2451" t="inlineStr">
        <is>
          <t>216</t>
        </is>
      </c>
      <c r="E2451" t="inlineStr">
        <is>
          <t>2</t>
        </is>
      </c>
      <c r="F2451" t="inlineStr">
        <is>
          <t>24</t>
        </is>
      </c>
      <c r="G2451" t="inlineStr">
        <is>
          <t>0</t>
        </is>
      </c>
      <c r="H2451" t="inlineStr">
        <is>
          <t>0</t>
        </is>
      </c>
      <c r="I2451" t="inlineStr">
        <is>
          <t>2⁹, 6⁶, 54³</t>
        </is>
      </c>
      <c r="J2451" t="n">
        <v>18</v>
      </c>
      <c r="K2451" t="inlineStr">
        <is>
          <t>2¹², 6⁴</t>
        </is>
      </c>
      <c r="L2451" t="inlineStr">
        <is>
          <t>18I³, 54A³, 54B³, 54C⁴</t>
        </is>
      </c>
      <c r="M2451" t="inlineStr"/>
      <c r="N2451" t="inlineStr">
        <is>
          <t>3B⁰, 2A⁰, 54B³, 18C¹, 6C⁰, 9B⁰, 27A⁰, 54A³, 54C⁴, 18I³, 1A⁰</t>
        </is>
      </c>
      <c r="O2451" t="inlineStr"/>
    </row>
    <row r="2452">
      <c r="A2452">
        <f>HYPERLINK("https://mathstats.uncg.edu/sites/pauli/congruence/csg10.html#group54I10", "54I¹⁰")</f>
        <v/>
      </c>
      <c r="B2452" t="n">
        <v>10</v>
      </c>
      <c r="C2452" t="inlineStr"/>
      <c r="D2452" t="inlineStr">
        <is>
          <t>324</t>
        </is>
      </c>
      <c r="E2452" t="inlineStr">
        <is>
          <t>1</t>
        </is>
      </c>
      <c r="F2452" t="inlineStr">
        <is>
          <t>36</t>
        </is>
      </c>
      <c r="G2452" t="inlineStr">
        <is>
          <t>0</t>
        </is>
      </c>
      <c r="H2452" t="inlineStr">
        <is>
          <t>0</t>
        </is>
      </c>
      <c r="I2452" t="inlineStr">
        <is>
          <t>1⁹, 2⁹, 3⁶, 6⁶, 27³, 54³</t>
        </is>
      </c>
      <c r="J2452" t="n">
        <v>36</v>
      </c>
      <c r="K2452" t="inlineStr">
        <is>
          <t>1⁶, 2⁶, 6³</t>
        </is>
      </c>
      <c r="L2452" t="inlineStr">
        <is>
          <t>27C¹, 18Q², 54B², 54E⁴</t>
        </is>
      </c>
      <c r="M2452" t="inlineStr"/>
      <c r="N2452" t="inlineStr">
        <is>
          <t>3B⁰, 54B², 18Q², 27C¹, 27A¹, 18E⁰, 9B⁰, 9I⁰, 1A⁰, 2B⁰, 27A⁰, 6F⁰, 54E⁴</t>
        </is>
      </c>
      <c r="O2452" t="inlineStr"/>
    </row>
    <row r="2453">
      <c r="A2453">
        <f>HYPERLINK("https://mathstats.uncg.edu/sites/pauli/congruence/csg10.html#group55A10", "55A¹⁰")</f>
        <v/>
      </c>
      <c r="B2453" t="n">
        <v>10</v>
      </c>
      <c r="C2453" t="inlineStr"/>
      <c r="D2453" t="inlineStr">
        <is>
          <t>132</t>
        </is>
      </c>
      <c r="E2453" t="inlineStr">
        <is>
          <t>2</t>
        </is>
      </c>
      <c r="F2453" t="inlineStr">
        <is>
          <t>66</t>
        </is>
      </c>
      <c r="G2453" t="inlineStr">
        <is>
          <t>0</t>
        </is>
      </c>
      <c r="H2453" t="inlineStr">
        <is>
          <t>0</t>
        </is>
      </c>
      <c r="I2453" t="inlineStr">
        <is>
          <t>11², 55²</t>
        </is>
      </c>
      <c r="J2453" t="n">
        <v>4</v>
      </c>
      <c r="K2453" t="inlineStr">
        <is>
          <t>2², 8¹, 10⁴, 40²</t>
        </is>
      </c>
      <c r="L2453" t="inlineStr">
        <is>
          <t>5D⁰, 55A⁴</t>
        </is>
      </c>
      <c r="M2453" t="inlineStr">
        <is>
          <t>110A²¹</t>
        </is>
      </c>
      <c r="N2453" t="inlineStr">
        <is>
          <t>5B⁰, 11A⁰, 5D⁰, 55A⁴, 1A⁰</t>
        </is>
      </c>
      <c r="O2453" t="inlineStr">
        <is>
          <t>110A²¹</t>
        </is>
      </c>
    </row>
    <row r="2454">
      <c r="A2454">
        <f>HYPERLINK("https://mathstats.uncg.edu/sites/pauli/congruence/csg10.html#group56A10", "56A¹⁰")</f>
        <v/>
      </c>
      <c r="B2454" t="n">
        <v>10</v>
      </c>
      <c r="C2454" t="inlineStr"/>
      <c r="D2454" t="inlineStr">
        <is>
          <t>168</t>
        </is>
      </c>
      <c r="E2454" t="inlineStr">
        <is>
          <t>2</t>
        </is>
      </c>
      <c r="F2454" t="inlineStr">
        <is>
          <t>42</t>
        </is>
      </c>
      <c r="G2454" t="inlineStr">
        <is>
          <t>8</t>
        </is>
      </c>
      <c r="H2454" t="inlineStr">
        <is>
          <t>0</t>
        </is>
      </c>
      <c r="I2454" t="inlineStr">
        <is>
          <t>14⁴, 56²</t>
        </is>
      </c>
      <c r="J2454" t="n">
        <v>6</v>
      </c>
      <c r="K2454" t="inlineStr">
        <is>
          <t>2², 4², 6⁴, 12⁴</t>
        </is>
      </c>
      <c r="L2454" t="inlineStr">
        <is>
          <t>28C⁴, 56B⁵, 56C⁵</t>
        </is>
      </c>
      <c r="M2454" t="inlineStr">
        <is>
          <t>56J²¹, 112A²², 56A²³, 112H²⁴</t>
        </is>
      </c>
      <c r="N2454" t="inlineStr">
        <is>
          <t>28C², 56B⁵, 14A⁰, 56C⁵, 28C⁴, 14B¹, 8D⁰, 14C², 4C⁰, 2B⁰, 1A⁰, 28B², 7A⁰</t>
        </is>
      </c>
      <c r="O2454" t="inlineStr">
        <is>
          <t>56J²¹, 56A²³, 112H²⁴, 112A²²</t>
        </is>
      </c>
    </row>
    <row r="2455">
      <c r="A2455">
        <f>HYPERLINK("https://mathstats.uncg.edu/sites/pauli/congruence/csg10.html#group56B10", "56B¹⁰")</f>
        <v/>
      </c>
      <c r="B2455" t="n">
        <v>10</v>
      </c>
      <c r="C2455" t="inlineStr"/>
      <c r="D2455" t="inlineStr">
        <is>
          <t>168</t>
        </is>
      </c>
      <c r="E2455" t="inlineStr">
        <is>
          <t>2</t>
        </is>
      </c>
      <c r="F2455" t="inlineStr">
        <is>
          <t>42</t>
        </is>
      </c>
      <c r="G2455" t="inlineStr">
        <is>
          <t>12</t>
        </is>
      </c>
      <c r="H2455" t="inlineStr">
        <is>
          <t>0</t>
        </is>
      </c>
      <c r="I2455" t="inlineStr">
        <is>
          <t>28², 56²</t>
        </is>
      </c>
      <c r="J2455" t="n">
        <v>4</v>
      </c>
      <c r="K2455" t="inlineStr">
        <is>
          <t>2², 4², 6⁴, 12⁴</t>
        </is>
      </c>
      <c r="L2455" t="inlineStr">
        <is>
          <t>56B⁴, 28C⁵, 56B⁵</t>
        </is>
      </c>
      <c r="M2455" t="inlineStr">
        <is>
          <t>56J²¹, 112A²¹, 56F²², 56G²², 56D²³, 112D²³, 112M²⁴, 112N²⁴</t>
        </is>
      </c>
      <c r="N2455" t="inlineStr">
        <is>
          <t>28C², 56B⁵, 14B¹, 4C⁰, 8B⁰, 28C⁵, 2B⁰, 1A⁰, 7A⁰, 56B⁴</t>
        </is>
      </c>
      <c r="O2455" t="inlineStr">
        <is>
          <t>112D²³, 56J²¹, 112A²¹, 56G²², 56D²³, 112N²⁴, 112M²⁴, 56F²²</t>
        </is>
      </c>
    </row>
    <row r="2456">
      <c r="A2456">
        <f>HYPERLINK("https://mathstats.uncg.edu/sites/pauli/congruence/csg10.html#group56C10", "56C¹⁰")</f>
        <v/>
      </c>
      <c r="B2456" t="n">
        <v>10</v>
      </c>
      <c r="C2456" t="inlineStr"/>
      <c r="D2456" t="inlineStr">
        <is>
          <t>168</t>
        </is>
      </c>
      <c r="E2456" t="inlineStr">
        <is>
          <t>2</t>
        </is>
      </c>
      <c r="F2456" t="inlineStr">
        <is>
          <t>42</t>
        </is>
      </c>
      <c r="G2456" t="inlineStr">
        <is>
          <t>12</t>
        </is>
      </c>
      <c r="H2456" t="inlineStr">
        <is>
          <t>0</t>
        </is>
      </c>
      <c r="I2456" t="inlineStr">
        <is>
          <t>28², 56²</t>
        </is>
      </c>
      <c r="J2456" t="n">
        <v>4</v>
      </c>
      <c r="K2456" t="inlineStr">
        <is>
          <t>2², 4², 6⁴, 12⁴</t>
        </is>
      </c>
      <c r="L2456" t="inlineStr">
        <is>
          <t>8H⁰, 56B⁴, 28D⁵, 56C⁵</t>
        </is>
      </c>
      <c r="M2456" t="inlineStr">
        <is>
          <t>56J²¹, 112B²¹, 56D²², 56E²², 56D²³, 56I²³, 56J²³, 56M²³, 56N²³, 112E²³, 112H²³, 112I²³, 112J²³, 112K²³, 112K²⁴, 112L²⁴</t>
        </is>
      </c>
      <c r="N2456" t="inlineStr">
        <is>
          <t>56C⁵, 14B¹, 8D⁰, 4C⁰, 8B⁰, 2B⁰, 1A⁰, 8H⁰, 28C², 4A⁰, 28D⁵, 4F⁰, 28A¹, 7A⁰, 56B⁴</t>
        </is>
      </c>
      <c r="O2456" t="inlineStr">
        <is>
          <t>56J²¹, 112B²¹, 112L²⁴, 56J²³, 112K²³, 56D²³, 112I²³, 56I²³, 112E²³, 56N²³, 112H²³, 56E²², 56M²³, 112J²³, 56D²², 112K²⁴</t>
        </is>
      </c>
    </row>
    <row r="2457">
      <c r="A2457">
        <f>HYPERLINK("https://mathstats.uncg.edu/sites/pauli/congruence/csg10.html#group56D10", "56D¹⁰")</f>
        <v/>
      </c>
      <c r="B2457" t="n">
        <v>10</v>
      </c>
      <c r="C2457" t="inlineStr"/>
      <c r="D2457" t="inlineStr">
        <is>
          <t>168</t>
        </is>
      </c>
      <c r="E2457" t="inlineStr">
        <is>
          <t>2</t>
        </is>
      </c>
      <c r="F2457" t="inlineStr">
        <is>
          <t>84</t>
        </is>
      </c>
      <c r="G2457" t="inlineStr">
        <is>
          <t>12</t>
        </is>
      </c>
      <c r="H2457" t="inlineStr">
        <is>
          <t>0</t>
        </is>
      </c>
      <c r="I2457" t="inlineStr">
        <is>
          <t>28², 56²</t>
        </is>
      </c>
      <c r="J2457" t="n">
        <v>4</v>
      </c>
      <c r="K2457" t="inlineStr">
        <is>
          <t>2⁴, 4², 6⁸, 8¹, 12⁴, 24²</t>
        </is>
      </c>
      <c r="L2457" t="inlineStr">
        <is>
          <t>56B⁴</t>
        </is>
      </c>
      <c r="M2457" t="inlineStr">
        <is>
          <t>56K²¹, 112C²¹, 56D²², 56F²², 56G²², 56H²³, 112M²³, 112Q²⁴, 112R²⁴, 112O²⁴, 112P²⁴</t>
        </is>
      </c>
      <c r="N2457" t="inlineStr">
        <is>
          <t>28C², 14B¹, 4C⁰, 8B⁰, 2B⁰, 1A⁰, 7A⁰, 56B⁴</t>
        </is>
      </c>
      <c r="O2457" t="inlineStr">
        <is>
          <t>112C²¹, 56H²³, 112Q²⁴, 112P²⁴, 112R²⁴, 112M²³, 56D²², 56G²², 56K²¹, 112O²⁴, 56F²²</t>
        </is>
      </c>
    </row>
    <row r="2458">
      <c r="A2458">
        <f>HYPERLINK("https://mathstats.uncg.edu/sites/pauli/congruence/csg10.html#group56E10", "56E¹⁰")</f>
        <v/>
      </c>
      <c r="B2458" t="n">
        <v>10</v>
      </c>
      <c r="C2458" t="inlineStr"/>
      <c r="D2458" t="inlineStr">
        <is>
          <t>168</t>
        </is>
      </c>
      <c r="E2458" t="inlineStr">
        <is>
          <t>2</t>
        </is>
      </c>
      <c r="F2458" t="inlineStr">
        <is>
          <t>84</t>
        </is>
      </c>
      <c r="G2458" t="inlineStr">
        <is>
          <t>12</t>
        </is>
      </c>
      <c r="H2458" t="inlineStr">
        <is>
          <t>0</t>
        </is>
      </c>
      <c r="I2458" t="inlineStr">
        <is>
          <t>28², 56²</t>
        </is>
      </c>
      <c r="J2458" t="n">
        <v>4</v>
      </c>
      <c r="K2458" t="inlineStr">
        <is>
          <t>2⁴, 4², 6⁸, 8¹, 12⁴, 24²</t>
        </is>
      </c>
      <c r="L2458" t="inlineStr">
        <is>
          <t>8L⁰, 56B⁴</t>
        </is>
      </c>
      <c r="M2458" t="inlineStr">
        <is>
          <t>56K²¹, 112D²¹, 56E²², 56F²², 56G²², 56H²³, 112N²³, 112S²⁴, 112T²⁴, 112U²⁴, 112V²⁴</t>
        </is>
      </c>
      <c r="N2458" t="inlineStr">
        <is>
          <t>28C², 14B¹, 4C⁰, 8B⁰, 8L⁰, 2B⁰, 1A⁰, 7A⁰, 56B⁴</t>
        </is>
      </c>
      <c r="O2458" t="inlineStr">
        <is>
          <t>56H²³, 56E²², 112S²⁴, 112N²³, 112D²¹, 112U²⁴, 112T²⁴, 56G²², 112V²⁴, 56K²¹, 56F²²</t>
        </is>
      </c>
    </row>
    <row r="2459">
      <c r="A2459">
        <f>HYPERLINK("https://mathstats.uncg.edu/sites/pauli/congruence/csg10.html#group56F10", "56F¹⁰")</f>
        <v/>
      </c>
      <c r="B2459" t="n">
        <v>10</v>
      </c>
      <c r="C2459" t="inlineStr"/>
      <c r="D2459" t="inlineStr">
        <is>
          <t>288</t>
        </is>
      </c>
      <c r="E2459" t="inlineStr">
        <is>
          <t>1</t>
        </is>
      </c>
      <c r="F2459" t="inlineStr">
        <is>
          <t>24</t>
        </is>
      </c>
      <c r="G2459" t="inlineStr">
        <is>
          <t>0</t>
        </is>
      </c>
      <c r="H2459" t="inlineStr">
        <is>
          <t>0</t>
        </is>
      </c>
      <c r="I2459" t="inlineStr">
        <is>
          <t>1¹², 7¹², 8³, 56³</t>
        </is>
      </c>
      <c r="J2459" t="n">
        <v>30</v>
      </c>
      <c r="K2459" t="inlineStr">
        <is>
          <t>1⁶, 6³</t>
        </is>
      </c>
      <c r="L2459" t="inlineStr">
        <is>
          <t>28F⁴, 56C⁴</t>
        </is>
      </c>
      <c r="M2459" t="inlineStr"/>
      <c r="N2459" t="inlineStr">
        <is>
          <t>56C⁴, 28F⁴, 7B⁰, 28D², 14C¹, 14H¹, 2B⁰, 7E⁰, 4B⁰, 1A⁰</t>
        </is>
      </c>
      <c r="O2459" t="inlineStr"/>
    </row>
    <row r="2460">
      <c r="A2460">
        <f>HYPERLINK("https://mathstats.uncg.edu/sites/pauli/congruence/csg10.html#group57A10", "57A¹⁰")</f>
        <v/>
      </c>
      <c r="B2460" t="n">
        <v>10</v>
      </c>
      <c r="C2460" t="inlineStr"/>
      <c r="D2460" t="inlineStr">
        <is>
          <t>171</t>
        </is>
      </c>
      <c r="E2460" t="inlineStr">
        <is>
          <t>2</t>
        </is>
      </c>
      <c r="F2460" t="inlineStr">
        <is>
          <t>57</t>
        </is>
      </c>
      <c r="G2460" t="inlineStr">
        <is>
          <t>15</t>
        </is>
      </c>
      <c r="H2460" t="inlineStr">
        <is>
          <t>0</t>
        </is>
      </c>
      <c r="I2460" t="inlineStr">
        <is>
          <t>57³</t>
        </is>
      </c>
      <c r="J2460" t="n">
        <v>3</v>
      </c>
      <c r="K2460" t="inlineStr">
        <is>
          <t>6¹, 18⁶</t>
        </is>
      </c>
      <c r="L2460" t="inlineStr">
        <is>
          <t>3A⁰, 19A²</t>
        </is>
      </c>
      <c r="M2460" t="inlineStr">
        <is>
          <t>114A²³, 57A²⁴</t>
        </is>
      </c>
      <c r="N2460" t="inlineStr">
        <is>
          <t>3A⁰, 1A⁰, 19A²</t>
        </is>
      </c>
      <c r="O2460" t="inlineStr">
        <is>
          <t>114A²³, 57A²⁴</t>
        </is>
      </c>
    </row>
    <row r="2461">
      <c r="A2461">
        <f>HYPERLINK("https://mathstats.uncg.edu/sites/pauli/congruence/csg10.html#group57B10", "57B¹⁰")</f>
        <v/>
      </c>
      <c r="B2461" t="n">
        <v>10</v>
      </c>
      <c r="C2461" t="inlineStr"/>
      <c r="D2461" t="inlineStr">
        <is>
          <t>180</t>
        </is>
      </c>
      <c r="E2461" t="inlineStr">
        <is>
          <t>2</t>
        </is>
      </c>
      <c r="F2461" t="inlineStr">
        <is>
          <t>20</t>
        </is>
      </c>
      <c r="G2461" t="inlineStr">
        <is>
          <t>0</t>
        </is>
      </c>
      <c r="H2461" t="inlineStr">
        <is>
          <t>9</t>
        </is>
      </c>
      <c r="I2461" t="inlineStr">
        <is>
          <t>3³, 57³</t>
        </is>
      </c>
      <c r="J2461" t="n">
        <v>6</v>
      </c>
      <c r="K2461" t="inlineStr">
        <is>
          <t>2², 36¹</t>
        </is>
      </c>
      <c r="L2461" t="inlineStr">
        <is>
          <t>19B¹</t>
        </is>
      </c>
      <c r="M2461" t="inlineStr">
        <is>
          <t>114B²²</t>
        </is>
      </c>
      <c r="N2461" t="inlineStr">
        <is>
          <t>19A¹, 1A⁰, 19B¹</t>
        </is>
      </c>
      <c r="O2461" t="inlineStr">
        <is>
          <t>114B²²</t>
        </is>
      </c>
    </row>
    <row r="2462">
      <c r="A2462">
        <f>HYPERLINK("https://mathstats.uncg.edu/sites/pauli/congruence/csg10.html#group60A10", "60A¹⁰")</f>
        <v/>
      </c>
      <c r="B2462" t="n">
        <v>10</v>
      </c>
      <c r="C2462" t="inlineStr"/>
      <c r="D2462" t="inlineStr">
        <is>
          <t>120</t>
        </is>
      </c>
      <c r="E2462" t="inlineStr">
        <is>
          <t>1</t>
        </is>
      </c>
      <c r="F2462" t="inlineStr">
        <is>
          <t>20</t>
        </is>
      </c>
      <c r="G2462" t="inlineStr">
        <is>
          <t>0</t>
        </is>
      </c>
      <c r="H2462" t="inlineStr">
        <is>
          <t>0</t>
        </is>
      </c>
      <c r="I2462" t="inlineStr">
        <is>
          <t>60²</t>
        </is>
      </c>
      <c r="J2462" t="n">
        <v>2</v>
      </c>
      <c r="K2462" t="inlineStr">
        <is>
          <t>2², 8²</t>
        </is>
      </c>
      <c r="L2462" t="inlineStr">
        <is>
          <t>12A², 20D², 30A³, 60A⁴</t>
        </is>
      </c>
      <c r="M2462" t="inlineStr">
        <is>
          <t>60G¹⁹, 120A²⁰, 120B²⁰</t>
        </is>
      </c>
      <c r="N2462" t="inlineStr">
        <is>
          <t>2A⁰, 30A³, 5A⁰, 20A¹, 1A⁰, 12A⁰, 20D², 10A⁰, 4A⁰, 4D⁰, 60A⁴, 12A², 6A¹, 3A⁰, 15A¹</t>
        </is>
      </c>
      <c r="O2462" t="inlineStr">
        <is>
          <t>60G¹⁹, 120A²⁰, 120B²⁰</t>
        </is>
      </c>
    </row>
    <row r="2463">
      <c r="A2463">
        <f>HYPERLINK("https://mathstats.uncg.edu/sites/pauli/congruence/csg10.html#group60B10", "60B¹⁰")</f>
        <v/>
      </c>
      <c r="B2463" t="n">
        <v>10</v>
      </c>
      <c r="C2463" t="inlineStr"/>
      <c r="D2463" t="inlineStr">
        <is>
          <t>180</t>
        </is>
      </c>
      <c r="E2463" t="inlineStr">
        <is>
          <t>1</t>
        </is>
      </c>
      <c r="F2463" t="inlineStr">
        <is>
          <t>20</t>
        </is>
      </c>
      <c r="G2463" t="inlineStr">
        <is>
          <t>18</t>
        </is>
      </c>
      <c r="H2463" t="inlineStr">
        <is>
          <t>0</t>
        </is>
      </c>
      <c r="I2463" t="inlineStr">
        <is>
          <t>60³</t>
        </is>
      </c>
      <c r="J2463" t="n">
        <v>3</v>
      </c>
      <c r="K2463" t="inlineStr">
        <is>
          <t>2², 8²</t>
        </is>
      </c>
      <c r="L2463" t="inlineStr">
        <is>
          <t>15F¹, 20D³, 60A³, 60A⁴</t>
        </is>
      </c>
      <c r="M2463" t="inlineStr">
        <is>
          <t>60B²², 60C²², 60J²³, 60A²⁴</t>
        </is>
      </c>
      <c r="N2463" t="inlineStr">
        <is>
          <t>5A⁰, 12A⁰, 4A⁰, 60A⁴, 15F¹, 20D³, 5E⁰, 20A¹, 15A⁰, 3A⁰, 1A⁰, 15A¹, 60A³</t>
        </is>
      </c>
      <c r="O2463" t="inlineStr">
        <is>
          <t>60B²², 60C²², 60J²³, 60A²⁴</t>
        </is>
      </c>
    </row>
    <row r="2464">
      <c r="A2464">
        <f>HYPERLINK("https://mathstats.uncg.edu/sites/pauli/congruence/csg10.html#group60C10", "60C¹⁰")</f>
        <v/>
      </c>
      <c r="B2464" t="n">
        <v>10</v>
      </c>
      <c r="C2464" t="inlineStr"/>
      <c r="D2464" t="inlineStr">
        <is>
          <t>180</t>
        </is>
      </c>
      <c r="E2464" t="inlineStr">
        <is>
          <t>1</t>
        </is>
      </c>
      <c r="F2464" t="inlineStr">
        <is>
          <t>30</t>
        </is>
      </c>
      <c r="G2464" t="inlineStr">
        <is>
          <t>12</t>
        </is>
      </c>
      <c r="H2464" t="inlineStr">
        <is>
          <t>0</t>
        </is>
      </c>
      <c r="I2464" t="inlineStr">
        <is>
          <t>15⁴, 60²</t>
        </is>
      </c>
      <c r="J2464" t="n">
        <v>6</v>
      </c>
      <c r="K2464" t="inlineStr">
        <is>
          <t>2³, 4⁶</t>
        </is>
      </c>
      <c r="L2464" t="inlineStr">
        <is>
          <t>20F², 30K⁵</t>
        </is>
      </c>
      <c r="M2464" t="inlineStr">
        <is>
          <t>60U²¹, 60V²¹, 60E²³, 60H²³, 120O²³, 120P²³</t>
        </is>
      </c>
      <c r="N2464" t="inlineStr">
        <is>
          <t>30K⁵, 15D¹, 1A⁰, 2B⁰, 20F², 3A⁰, 5C⁰, 6D⁰, 10F¹</t>
        </is>
      </c>
      <c r="O2464" t="inlineStr">
        <is>
          <t>60E²³, 60V²¹, 60H²³, 120O²³, 120P²³, 60U²¹</t>
        </is>
      </c>
    </row>
    <row r="2465">
      <c r="A2465">
        <f>HYPERLINK("https://mathstats.uncg.edu/sites/pauli/congruence/csg10.html#group63A10", "63A¹⁰")</f>
        <v/>
      </c>
      <c r="B2465" t="n">
        <v>10</v>
      </c>
      <c r="C2465" t="inlineStr"/>
      <c r="D2465" t="inlineStr">
        <is>
          <t>168</t>
        </is>
      </c>
      <c r="E2465" t="inlineStr">
        <is>
          <t>2</t>
        </is>
      </c>
      <c r="F2465" t="inlineStr">
        <is>
          <t>56</t>
        </is>
      </c>
      <c r="G2465" t="inlineStr">
        <is>
          <t>0</t>
        </is>
      </c>
      <c r="H2465" t="inlineStr">
        <is>
          <t>3</t>
        </is>
      </c>
      <c r="I2465" t="inlineStr">
        <is>
          <t>7⁶, 63²</t>
        </is>
      </c>
      <c r="J2465" t="n">
        <v>8</v>
      </c>
      <c r="K2465" t="inlineStr">
        <is>
          <t>4⁴, 12⁸</t>
        </is>
      </c>
      <c r="L2465" t="inlineStr">
        <is>
          <t>21B³</t>
        </is>
      </c>
      <c r="M2465" t="inlineStr">
        <is>
          <t>126K²³</t>
        </is>
      </c>
      <c r="N2465" t="inlineStr">
        <is>
          <t>21B³, 3B⁰, 21B², 1A⁰, 7C⁰, 7A⁰</t>
        </is>
      </c>
      <c r="O2465" t="inlineStr">
        <is>
          <t>126K²³</t>
        </is>
      </c>
    </row>
    <row r="2466">
      <c r="A2466">
        <f>HYPERLINK("https://mathstats.uncg.edu/sites/pauli/congruence/csg10.html#group63B10", "63B¹⁰")</f>
        <v/>
      </c>
      <c r="B2466" t="n">
        <v>10</v>
      </c>
      <c r="C2466" t="inlineStr"/>
      <c r="D2466" t="inlineStr">
        <is>
          <t>189</t>
        </is>
      </c>
      <c r="E2466" t="inlineStr">
        <is>
          <t>2</t>
        </is>
      </c>
      <c r="F2466" t="inlineStr">
        <is>
          <t>189</t>
        </is>
      </c>
      <c r="G2466" t="inlineStr">
        <is>
          <t>21</t>
        </is>
      </c>
      <c r="H2466" t="inlineStr">
        <is>
          <t>0</t>
        </is>
      </c>
      <c r="I2466" t="inlineStr">
        <is>
          <t>63³</t>
        </is>
      </c>
      <c r="J2466" t="n">
        <v>3</v>
      </c>
      <c r="K2466" t="inlineStr">
        <is>
          <t>6¹, 12⁴, 18², 36⁸</t>
        </is>
      </c>
      <c r="L2466" t="inlineStr">
        <is>
          <t>9G⁰, 63A²</t>
        </is>
      </c>
      <c r="M2466" t="inlineStr">
        <is>
          <t>126A²², 63A²³, 63E²⁴, 63D²⁴, 126C²⁴</t>
        </is>
      </c>
      <c r="N2466" t="inlineStr">
        <is>
          <t>9A⁰, 9G⁰, 21A⁰, 7A⁰, 3A⁰, 1A⁰, 63A²</t>
        </is>
      </c>
      <c r="O2466" t="inlineStr">
        <is>
          <t>126A²², 63A²³, 63D²⁴, 126C²⁴, 63E²⁴</t>
        </is>
      </c>
    </row>
    <row r="2467">
      <c r="A2467">
        <f>HYPERLINK("https://mathstats.uncg.edu/sites/pauli/congruence/csg10.html#group66A10", "66A¹⁰")</f>
        <v/>
      </c>
      <c r="B2467" t="n">
        <v>10</v>
      </c>
      <c r="C2467" t="inlineStr"/>
      <c r="D2467" t="inlineStr">
        <is>
          <t>132</t>
        </is>
      </c>
      <c r="E2467" t="inlineStr">
        <is>
          <t>2</t>
        </is>
      </c>
      <c r="F2467" t="inlineStr">
        <is>
          <t>132</t>
        </is>
      </c>
      <c r="G2467" t="inlineStr">
        <is>
          <t>0</t>
        </is>
      </c>
      <c r="H2467" t="inlineStr">
        <is>
          <t>0</t>
        </is>
      </c>
      <c r="I2467" t="inlineStr">
        <is>
          <t>11¹, 22¹, 33¹, 66¹</t>
        </is>
      </c>
      <c r="J2467" t="n">
        <v>4</v>
      </c>
      <c r="K2467" t="inlineStr">
        <is>
          <t>2⁶, 4³, 10¹², 20⁶</t>
        </is>
      </c>
      <c r="L2467" t="inlineStr">
        <is>
          <t>6F⁰, 22B², 33B³</t>
        </is>
      </c>
      <c r="M2467" t="inlineStr">
        <is>
          <t>66A²⁰, 132B²⁰, 132A²¹</t>
        </is>
      </c>
      <c r="N2467" t="inlineStr">
        <is>
          <t>11A⁰, 3B⁰, 33B³, 1A⁰, 2B⁰, 22B², 6F⁰</t>
        </is>
      </c>
      <c r="O2467" t="inlineStr">
        <is>
          <t>66A²⁰, 132B²⁰, 132A²¹</t>
        </is>
      </c>
    </row>
    <row r="2468">
      <c r="A2468">
        <f>HYPERLINK("https://mathstats.uncg.edu/sites/pauli/congruence/csg10.html#group70A10", "70A¹⁰")</f>
        <v/>
      </c>
      <c r="B2468" t="n">
        <v>10</v>
      </c>
      <c r="C2468" t="inlineStr"/>
      <c r="D2468" t="inlineStr">
        <is>
          <t>140</t>
        </is>
      </c>
      <c r="E2468" t="inlineStr">
        <is>
          <t>2</t>
        </is>
      </c>
      <c r="F2468" t="inlineStr">
        <is>
          <t>70</t>
        </is>
      </c>
      <c r="G2468" t="inlineStr">
        <is>
          <t>4</t>
        </is>
      </c>
      <c r="H2468" t="inlineStr">
        <is>
          <t>2</t>
        </is>
      </c>
      <c r="I2468" t="inlineStr">
        <is>
          <t>70²</t>
        </is>
      </c>
      <c r="J2468" t="n">
        <v>2</v>
      </c>
      <c r="K2468" t="inlineStr">
        <is>
          <t>4¹, 8², 12², 24⁴</t>
        </is>
      </c>
      <c r="L2468" t="inlineStr">
        <is>
          <t>35B⁴</t>
        </is>
      </c>
      <c r="M2468" t="inlineStr">
        <is>
          <t>70D¹⁹, 70B²¹, 70D²¹</t>
        </is>
      </c>
      <c r="N2468" t="inlineStr">
        <is>
          <t>5C⁰, 1A⁰, 35B⁴, 7A⁰</t>
        </is>
      </c>
      <c r="O2468" t="inlineStr">
        <is>
          <t>70B²¹, 70D¹⁹, 70D²¹</t>
        </is>
      </c>
    </row>
    <row r="2469">
      <c r="A2469">
        <f>HYPERLINK("https://mathstats.uncg.edu/sites/pauli/congruence/csg10.html#group72A10", "72A¹⁰")</f>
        <v/>
      </c>
      <c r="B2469" t="n">
        <v>10</v>
      </c>
      <c r="C2469" t="inlineStr"/>
      <c r="D2469" t="inlineStr">
        <is>
          <t>144</t>
        </is>
      </c>
      <c r="E2469" t="inlineStr">
        <is>
          <t>1</t>
        </is>
      </c>
      <c r="F2469" t="inlineStr">
        <is>
          <t>12</t>
        </is>
      </c>
      <c r="G2469" t="inlineStr">
        <is>
          <t>0</t>
        </is>
      </c>
      <c r="H2469" t="inlineStr">
        <is>
          <t>0</t>
        </is>
      </c>
      <c r="I2469" t="inlineStr">
        <is>
          <t>6², 18², 24¹, 72¹</t>
        </is>
      </c>
      <c r="J2469" t="n">
        <v>6</v>
      </c>
      <c r="K2469" t="inlineStr">
        <is>
          <t>1⁶, 2³</t>
        </is>
      </c>
      <c r="L2469" t="inlineStr">
        <is>
          <t>24F², 36F⁴</t>
        </is>
      </c>
      <c r="M2469" t="inlineStr">
        <is>
          <t>72A¹⁹, 72E¹⁹</t>
        </is>
      </c>
      <c r="N2469" t="inlineStr">
        <is>
          <t>3B⁰, 4B⁰, 18D², 36F⁴, 2B⁰, 1A⁰, 9C⁰, 24F², 6F⁰, 12E⁰</t>
        </is>
      </c>
      <c r="O2469" t="inlineStr">
        <is>
          <t>72A¹⁹, 72E¹⁹</t>
        </is>
      </c>
    </row>
    <row r="2470">
      <c r="A2470">
        <f>HYPERLINK("https://mathstats.uncg.edu/sites/pauli/congruence/csg10.html#group72B10", "72B¹⁰")</f>
        <v/>
      </c>
      <c r="B2470" t="n">
        <v>10</v>
      </c>
      <c r="C2470" t="inlineStr"/>
      <c r="D2470" t="inlineStr">
        <is>
          <t>144</t>
        </is>
      </c>
      <c r="E2470" t="inlineStr">
        <is>
          <t>1</t>
        </is>
      </c>
      <c r="F2470" t="inlineStr">
        <is>
          <t>12</t>
        </is>
      </c>
      <c r="G2470" t="inlineStr">
        <is>
          <t>0</t>
        </is>
      </c>
      <c r="H2470" t="inlineStr">
        <is>
          <t>0</t>
        </is>
      </c>
      <c r="I2470" t="inlineStr">
        <is>
          <t>6², 18², 24¹, 72¹</t>
        </is>
      </c>
      <c r="J2470" t="n">
        <v>6</v>
      </c>
      <c r="K2470" t="inlineStr">
        <is>
          <t>1⁶, 2³</t>
        </is>
      </c>
      <c r="L2470" t="inlineStr">
        <is>
          <t>24F², 36G⁴</t>
        </is>
      </c>
      <c r="M2470" t="inlineStr">
        <is>
          <t>72B¹⁹, 72F¹⁹</t>
        </is>
      </c>
      <c r="N2470" t="inlineStr">
        <is>
          <t>3B⁰, 4B⁰, 9A¹, 18E², 36G⁴, 1A⁰, 2B⁰, 24F², 6F⁰, 12E⁰</t>
        </is>
      </c>
      <c r="O2470" t="inlineStr">
        <is>
          <t>72B¹⁹, 72F¹⁹</t>
        </is>
      </c>
    </row>
    <row r="2471">
      <c r="A2471">
        <f>HYPERLINK("https://mathstats.uncg.edu/sites/pauli/congruence/csg10.html#group72C10", "72C¹⁰")</f>
        <v/>
      </c>
      <c r="B2471" t="n">
        <v>10</v>
      </c>
      <c r="C2471" t="inlineStr"/>
      <c r="D2471" t="inlineStr">
        <is>
          <t>144</t>
        </is>
      </c>
      <c r="E2471" t="inlineStr">
        <is>
          <t>1</t>
        </is>
      </c>
      <c r="F2471" t="inlineStr">
        <is>
          <t>24</t>
        </is>
      </c>
      <c r="G2471" t="inlineStr">
        <is>
          <t>0</t>
        </is>
      </c>
      <c r="H2471" t="inlineStr">
        <is>
          <t>0</t>
        </is>
      </c>
      <c r="I2471" t="inlineStr">
        <is>
          <t>6², 18², 24¹, 72¹</t>
        </is>
      </c>
      <c r="J2471" t="n">
        <v>6</v>
      </c>
      <c r="K2471" t="inlineStr">
        <is>
          <t>1⁴, 2⁶, 4²</t>
        </is>
      </c>
      <c r="L2471" t="inlineStr">
        <is>
          <t>24I², 36A⁵</t>
        </is>
      </c>
      <c r="M2471" t="inlineStr">
        <is>
          <t>72C¹⁹, 144A²⁰, 72E²¹, 72G²¹, 144A²²</t>
        </is>
      </c>
      <c r="N2471" t="inlineStr">
        <is>
          <t>3B⁰, 24I², 8D⁰, 12F¹, 4C⁰, 9C⁰, 6F⁰, 18D², 2B⁰, 36A⁵, 1A⁰</t>
        </is>
      </c>
      <c r="O2471" t="inlineStr">
        <is>
          <t>72E²¹, 72C¹⁹, 72G²¹, 144A²², 144A²⁰</t>
        </is>
      </c>
    </row>
    <row r="2472">
      <c r="A2472">
        <f>HYPERLINK("https://mathstats.uncg.edu/sites/pauli/congruence/csg10.html#group72D10", "72D¹⁰")</f>
        <v/>
      </c>
      <c r="B2472" t="n">
        <v>10</v>
      </c>
      <c r="C2472" t="inlineStr"/>
      <c r="D2472" t="inlineStr">
        <is>
          <t>144</t>
        </is>
      </c>
      <c r="E2472" t="inlineStr">
        <is>
          <t>1</t>
        </is>
      </c>
      <c r="F2472" t="inlineStr">
        <is>
          <t>24</t>
        </is>
      </c>
      <c r="G2472" t="inlineStr">
        <is>
          <t>0</t>
        </is>
      </c>
      <c r="H2472" t="inlineStr">
        <is>
          <t>0</t>
        </is>
      </c>
      <c r="I2472" t="inlineStr">
        <is>
          <t>6², 18², 24¹, 72¹</t>
        </is>
      </c>
      <c r="J2472" t="n">
        <v>6</v>
      </c>
      <c r="K2472" t="inlineStr">
        <is>
          <t>1⁴, 2⁶, 4²</t>
        </is>
      </c>
      <c r="L2472" t="inlineStr">
        <is>
          <t>24I², 36B⁵</t>
        </is>
      </c>
      <c r="M2472" t="inlineStr">
        <is>
          <t>72D¹⁹, 144B²⁰, 72F²¹, 72H²¹, 144B²²</t>
        </is>
      </c>
      <c r="N2472" t="inlineStr">
        <is>
          <t>3B⁰, 24I², 8D⁰, 12F¹, 4C⁰, 18E², 9A¹, 6F⁰, 36B⁵, 2B⁰, 1A⁰</t>
        </is>
      </c>
      <c r="O2472" t="inlineStr">
        <is>
          <t>72F²¹, 144B²², 72D¹⁹, 72H²¹, 144B²⁰</t>
        </is>
      </c>
    </row>
    <row r="2473">
      <c r="A2473">
        <f>HYPERLINK("https://mathstats.uncg.edu/sites/pauli/congruence/csg10.html#group72E10", "72E¹⁰")</f>
        <v/>
      </c>
      <c r="B2473" t="n">
        <v>10</v>
      </c>
      <c r="C2473" t="inlineStr"/>
      <c r="D2473" t="inlineStr">
        <is>
          <t>144</t>
        </is>
      </c>
      <c r="E2473" t="inlineStr">
        <is>
          <t>1</t>
        </is>
      </c>
      <c r="F2473" t="inlineStr">
        <is>
          <t>36</t>
        </is>
      </c>
      <c r="G2473" t="inlineStr">
        <is>
          <t>8</t>
        </is>
      </c>
      <c r="H2473" t="inlineStr">
        <is>
          <t>0</t>
        </is>
      </c>
      <c r="I2473" t="inlineStr">
        <is>
          <t>72²</t>
        </is>
      </c>
      <c r="J2473" t="n">
        <v>2</v>
      </c>
      <c r="K2473" t="inlineStr">
        <is>
          <t>4², 8², 24²</t>
        </is>
      </c>
      <c r="L2473" t="inlineStr">
        <is>
          <t>24G², 36L⁴, 72D⁴</t>
        </is>
      </c>
      <c r="M2473" t="inlineStr">
        <is>
          <t>72Q²¹, 144C²², 72A²³</t>
        </is>
      </c>
      <c r="N2473" t="inlineStr">
        <is>
          <t>36A¹, 12A⁰, 6B⁰, 4A⁰, 9A⁰, 12F⁰, 24B¹, 72D⁴, 3A⁰, 1A⁰, 24G², 18A¹, 36L⁴</t>
        </is>
      </c>
      <c r="O2473" t="inlineStr">
        <is>
          <t>72A²³, 72Q²¹, 144C²²</t>
        </is>
      </c>
    </row>
    <row r="2474">
      <c r="A2474">
        <f>HYPERLINK("https://mathstats.uncg.edu/sites/pauli/congruence/csg10.html#group72F10", "72F¹⁰")</f>
        <v/>
      </c>
      <c r="B2474" t="n">
        <v>10</v>
      </c>
      <c r="C2474" t="inlineStr"/>
      <c r="D2474" t="inlineStr">
        <is>
          <t>144</t>
        </is>
      </c>
      <c r="E2474" t="inlineStr">
        <is>
          <t>1</t>
        </is>
      </c>
      <c r="F2474" t="inlineStr">
        <is>
          <t>36</t>
        </is>
      </c>
      <c r="G2474" t="inlineStr">
        <is>
          <t>8</t>
        </is>
      </c>
      <c r="H2474" t="inlineStr">
        <is>
          <t>0</t>
        </is>
      </c>
      <c r="I2474" t="inlineStr">
        <is>
          <t>72²</t>
        </is>
      </c>
      <c r="J2474" t="n">
        <v>2</v>
      </c>
      <c r="K2474" t="inlineStr">
        <is>
          <t>4², 8², 24²</t>
        </is>
      </c>
      <c r="L2474" t="inlineStr">
        <is>
          <t>24H², 36L⁴, 72C⁴</t>
        </is>
      </c>
      <c r="M2474" t="inlineStr">
        <is>
          <t>72P²¹, 144F²², 72A²³</t>
        </is>
      </c>
      <c r="N2474" t="inlineStr">
        <is>
          <t>36A¹, 12A⁰, 6B⁰, 4A⁰, 9A⁰, 12F⁰, 72C⁴, 24B¹, 3A⁰, 1A⁰, 18A¹, 24H², 36L⁴</t>
        </is>
      </c>
      <c r="O2474" t="inlineStr">
        <is>
          <t>72A²³, 72P²¹, 144F²²</t>
        </is>
      </c>
    </row>
    <row r="2475">
      <c r="A2475">
        <f>HYPERLINK("https://mathstats.uncg.edu/sites/pauli/congruence/csg10.html#group72G10", "72G¹⁰")</f>
        <v/>
      </c>
      <c r="B2475" t="n">
        <v>10</v>
      </c>
      <c r="C2475" t="inlineStr"/>
      <c r="D2475" t="inlineStr">
        <is>
          <t>144</t>
        </is>
      </c>
      <c r="E2475" t="inlineStr">
        <is>
          <t>1</t>
        </is>
      </c>
      <c r="F2475" t="inlineStr">
        <is>
          <t>72</t>
        </is>
      </c>
      <c r="G2475" t="inlineStr">
        <is>
          <t>8</t>
        </is>
      </c>
      <c r="H2475" t="inlineStr">
        <is>
          <t>0</t>
        </is>
      </c>
      <c r="I2475" t="inlineStr">
        <is>
          <t>72²</t>
        </is>
      </c>
      <c r="J2475" t="n">
        <v>2</v>
      </c>
      <c r="K2475" t="inlineStr">
        <is>
          <t>8⁶, 24⁴</t>
        </is>
      </c>
      <c r="L2475" t="inlineStr">
        <is>
          <t>24G², 36N⁴</t>
        </is>
      </c>
      <c r="M2475" t="inlineStr">
        <is>
          <t>72T²¹, 144D²², 144E²², 72D²³</t>
        </is>
      </c>
      <c r="N2475" t="inlineStr">
        <is>
          <t>36N⁴, 12A⁰, 6B⁰, 4A⁰, 12F⁰, 18B¹, 24B¹, 3A⁰, 1A⁰, 24G²</t>
        </is>
      </c>
      <c r="O2475" t="inlineStr">
        <is>
          <t>144D²², 72T²¹, 144E²², 72D²³</t>
        </is>
      </c>
    </row>
    <row r="2476">
      <c r="A2476">
        <f>HYPERLINK("https://mathstats.uncg.edu/sites/pauli/congruence/csg10.html#group72H10", "72H¹⁰")</f>
        <v/>
      </c>
      <c r="B2476" t="n">
        <v>10</v>
      </c>
      <c r="C2476" t="inlineStr"/>
      <c r="D2476" t="inlineStr">
        <is>
          <t>144</t>
        </is>
      </c>
      <c r="E2476" t="inlineStr">
        <is>
          <t>1</t>
        </is>
      </c>
      <c r="F2476" t="inlineStr">
        <is>
          <t>72</t>
        </is>
      </c>
      <c r="G2476" t="inlineStr">
        <is>
          <t>8</t>
        </is>
      </c>
      <c r="H2476" t="inlineStr">
        <is>
          <t>0</t>
        </is>
      </c>
      <c r="I2476" t="inlineStr">
        <is>
          <t>72²</t>
        </is>
      </c>
      <c r="J2476" t="n">
        <v>2</v>
      </c>
      <c r="K2476" t="inlineStr">
        <is>
          <t>8⁶, 24⁴</t>
        </is>
      </c>
      <c r="L2476" t="inlineStr">
        <is>
          <t>24H², 36N⁴</t>
        </is>
      </c>
      <c r="M2476" t="inlineStr">
        <is>
          <t>72U²¹, 144G²², 144H²², 72D²³</t>
        </is>
      </c>
      <c r="N2476" t="inlineStr">
        <is>
          <t>36N⁴, 12A⁰, 6B⁰, 4A⁰, 12F⁰, 18B¹, 24B¹, 3A⁰, 1A⁰, 24H²</t>
        </is>
      </c>
      <c r="O2476" t="inlineStr">
        <is>
          <t>72D²³, 144G²², 72U²¹, 144H²²</t>
        </is>
      </c>
    </row>
    <row r="2477">
      <c r="A2477">
        <f>HYPERLINK("https://mathstats.uncg.edu/sites/pauli/congruence/csg10.html#group72I10", "72I¹⁰")</f>
        <v/>
      </c>
      <c r="B2477" t="n">
        <v>10</v>
      </c>
      <c r="C2477" t="inlineStr"/>
      <c r="D2477" t="inlineStr">
        <is>
          <t>144</t>
        </is>
      </c>
      <c r="E2477" t="inlineStr">
        <is>
          <t>2</t>
        </is>
      </c>
      <c r="F2477" t="inlineStr">
        <is>
          <t>36</t>
        </is>
      </c>
      <c r="G2477" t="inlineStr">
        <is>
          <t>8</t>
        </is>
      </c>
      <c r="H2477" t="inlineStr">
        <is>
          <t>0</t>
        </is>
      </c>
      <c r="I2477" t="inlineStr">
        <is>
          <t>72²</t>
        </is>
      </c>
      <c r="J2477" t="n">
        <v>2</v>
      </c>
      <c r="K2477" t="inlineStr">
        <is>
          <t>4², 8², 24²</t>
        </is>
      </c>
      <c r="L2477" t="inlineStr">
        <is>
          <t>24K², 36L⁴, 72A⁴, 72B⁴</t>
        </is>
      </c>
      <c r="M2477" t="inlineStr">
        <is>
          <t>72P²¹, 72Q²¹, 144J²², 144I²², 72B²³</t>
        </is>
      </c>
      <c r="N2477" t="inlineStr">
        <is>
          <t>6B⁰, 72B⁴, 12F⁰, 8A⁰, 24B¹, 1A⁰, 72A⁴, 36A¹, 12A⁰, 24K², 24A¹, 4A⁰, 9A⁰, 3A⁰, 18A¹, 36L⁴</t>
        </is>
      </c>
      <c r="O2477" t="inlineStr">
        <is>
          <t>72Q²¹, 144I²², 72B²³, 144J²², 72P²¹</t>
        </is>
      </c>
    </row>
    <row r="2478">
      <c r="A2478">
        <f>HYPERLINK("https://mathstats.uncg.edu/sites/pauli/congruence/csg10.html#group72J10", "72J¹⁰")</f>
        <v/>
      </c>
      <c r="B2478" t="n">
        <v>10</v>
      </c>
      <c r="C2478" t="inlineStr"/>
      <c r="D2478" t="inlineStr">
        <is>
          <t>144</t>
        </is>
      </c>
      <c r="E2478" t="inlineStr">
        <is>
          <t>2</t>
        </is>
      </c>
      <c r="F2478" t="inlineStr">
        <is>
          <t>72</t>
        </is>
      </c>
      <c r="G2478" t="inlineStr">
        <is>
          <t>4</t>
        </is>
      </c>
      <c r="H2478" t="inlineStr">
        <is>
          <t>0</t>
        </is>
      </c>
      <c r="I2478" t="inlineStr">
        <is>
          <t>24³, 72¹</t>
        </is>
      </c>
      <c r="J2478" t="n">
        <v>4</v>
      </c>
      <c r="K2478" t="inlineStr">
        <is>
          <t>4², 8², 12², 24⁴</t>
        </is>
      </c>
      <c r="L2478" t="inlineStr">
        <is>
          <t>24D³, 36M⁴</t>
        </is>
      </c>
      <c r="M2478" t="inlineStr">
        <is>
          <t>72T¹⁹, 72M²¹, 72O²¹</t>
        </is>
      </c>
      <c r="N2478" t="inlineStr">
        <is>
          <t>12G¹, 12A⁰, 24D³, 4A⁰, 36M⁴, 3C⁰, 24B¹, 9E⁰, 3A⁰, 1A⁰</t>
        </is>
      </c>
      <c r="O2478" t="inlineStr">
        <is>
          <t>72T¹⁹, 72O²¹, 72M²¹</t>
        </is>
      </c>
    </row>
    <row r="2479">
      <c r="A2479">
        <f>HYPERLINK("https://mathstats.uncg.edu/sites/pauli/congruence/csg10.html#group72K10", "72K¹⁰")</f>
        <v/>
      </c>
      <c r="B2479" t="n">
        <v>10</v>
      </c>
      <c r="C2479" t="inlineStr"/>
      <c r="D2479" t="inlineStr">
        <is>
          <t>144</t>
        </is>
      </c>
      <c r="E2479" t="inlineStr">
        <is>
          <t>2</t>
        </is>
      </c>
      <c r="F2479" t="inlineStr">
        <is>
          <t>72</t>
        </is>
      </c>
      <c r="G2479" t="inlineStr">
        <is>
          <t>4</t>
        </is>
      </c>
      <c r="H2479" t="inlineStr">
        <is>
          <t>0</t>
        </is>
      </c>
      <c r="I2479" t="inlineStr">
        <is>
          <t>24³, 72¹</t>
        </is>
      </c>
      <c r="J2479" t="n">
        <v>4</v>
      </c>
      <c r="K2479" t="inlineStr">
        <is>
          <t>4², 8², 12², 24⁴</t>
        </is>
      </c>
      <c r="L2479" t="inlineStr">
        <is>
          <t>24E³, 36M⁴</t>
        </is>
      </c>
      <c r="M2479" t="inlineStr">
        <is>
          <t>72T¹⁹, 72N²¹, 72O²¹, 144L²², 144K²²</t>
        </is>
      </c>
      <c r="N2479" t="inlineStr">
        <is>
          <t>12G¹, 24E³, 12A⁰, 24A¹, 4A⁰, 8A⁰, 36M⁴, 3C⁰, 24B¹, 9E⁰, 3A⁰, 1A⁰</t>
        </is>
      </c>
      <c r="O2479" t="inlineStr">
        <is>
          <t>144K²², 72O²¹, 72T¹⁹, 144L²², 72N²¹</t>
        </is>
      </c>
    </row>
    <row r="2480">
      <c r="A2480">
        <f>HYPERLINK("https://mathstats.uncg.edu/sites/pauli/congruence/csg10.html#group72L10", "72L¹⁰")</f>
        <v/>
      </c>
      <c r="B2480" t="n">
        <v>10</v>
      </c>
      <c r="C2480" t="inlineStr"/>
      <c r="D2480" t="inlineStr">
        <is>
          <t>144</t>
        </is>
      </c>
      <c r="E2480" t="inlineStr">
        <is>
          <t>2</t>
        </is>
      </c>
      <c r="F2480" t="inlineStr">
        <is>
          <t>72</t>
        </is>
      </c>
      <c r="G2480" t="inlineStr">
        <is>
          <t>8</t>
        </is>
      </c>
      <c r="H2480" t="inlineStr">
        <is>
          <t>0</t>
        </is>
      </c>
      <c r="I2480" t="inlineStr">
        <is>
          <t>72²</t>
        </is>
      </c>
      <c r="J2480" t="n">
        <v>2</v>
      </c>
      <c r="K2480" t="inlineStr">
        <is>
          <t>8⁶, 24⁴</t>
        </is>
      </c>
      <c r="L2480" t="inlineStr">
        <is>
          <t>24K², 36N⁴</t>
        </is>
      </c>
      <c r="M2480" t="inlineStr">
        <is>
          <t>72T²¹, 72U²¹, 144N²², 144M²², 72C²³</t>
        </is>
      </c>
      <c r="N2480" t="inlineStr">
        <is>
          <t>36N⁴, 12A⁰, 24K², 6B⁰, 24A¹, 4A⁰, 12F⁰, 18B¹, 8A⁰, 24B¹, 3A⁰, 1A⁰</t>
        </is>
      </c>
      <c r="O2480" t="inlineStr">
        <is>
          <t>144N²², 144M²², 72T²¹, 72C²³, 72U²¹</t>
        </is>
      </c>
    </row>
    <row r="2481">
      <c r="A2481">
        <f>HYPERLINK("https://mathstats.uncg.edu/sites/pauli/congruence/csg10.html#group74A10", "74A¹⁰")</f>
        <v/>
      </c>
      <c r="B2481" t="n">
        <v>10</v>
      </c>
      <c r="C2481" t="inlineStr"/>
      <c r="D2481" t="inlineStr">
        <is>
          <t>228</t>
        </is>
      </c>
      <c r="E2481" t="inlineStr">
        <is>
          <t>1</t>
        </is>
      </c>
      <c r="F2481" t="inlineStr">
        <is>
          <t>38</t>
        </is>
      </c>
      <c r="G2481" t="inlineStr">
        <is>
          <t>12</t>
        </is>
      </c>
      <c r="H2481" t="inlineStr">
        <is>
          <t>12</t>
        </is>
      </c>
      <c r="I2481" t="inlineStr">
        <is>
          <t>2³, 74³</t>
        </is>
      </c>
      <c r="J2481" t="n">
        <v>6</v>
      </c>
      <c r="K2481" t="inlineStr">
        <is>
          <t>1², 36¹</t>
        </is>
      </c>
      <c r="L2481" t="inlineStr">
        <is>
          <t>37B⁴, 74A⁴</t>
        </is>
      </c>
      <c r="M2481" t="inlineStr"/>
      <c r="N2481" t="inlineStr">
        <is>
          <t>37A², 37B⁴, 1A⁰, 74A⁴</t>
        </is>
      </c>
      <c r="O2481" t="inlineStr"/>
    </row>
    <row r="2482">
      <c r="A2482">
        <f>HYPERLINK("https://mathstats.uncg.edu/sites/pauli/congruence/csg10.html#group75A10", "75A¹⁰")</f>
        <v/>
      </c>
      <c r="B2482" t="n">
        <v>10</v>
      </c>
      <c r="C2482" t="inlineStr"/>
      <c r="D2482" t="inlineStr">
        <is>
          <t>180</t>
        </is>
      </c>
      <c r="E2482" t="inlineStr">
        <is>
          <t>1</t>
        </is>
      </c>
      <c r="F2482" t="inlineStr">
        <is>
          <t>6</t>
        </is>
      </c>
      <c r="G2482" t="inlineStr">
        <is>
          <t>0</t>
        </is>
      </c>
      <c r="H2482" t="inlineStr">
        <is>
          <t>0</t>
        </is>
      </c>
      <c r="I2482" t="inlineStr">
        <is>
          <t>3¹⁰, 75²</t>
        </is>
      </c>
      <c r="J2482" t="n">
        <v>12</v>
      </c>
      <c r="K2482" t="inlineStr">
        <is>
          <t>1², 4¹</t>
        </is>
      </c>
      <c r="L2482" t="inlineStr">
        <is>
          <t>25B⁰, 15B², 75A⁴</t>
        </is>
      </c>
      <c r="M2482" t="inlineStr">
        <is>
          <t>75C¹⁹</t>
        </is>
      </c>
      <c r="N2482" t="inlineStr">
        <is>
          <t>15B⁰, 15B², 5B⁰, 5D⁰, 25A⁰, 75A⁴, 3A⁰, 1A⁰, 25B⁰</t>
        </is>
      </c>
      <c r="O2482" t="inlineStr">
        <is>
          <t>75C¹⁹</t>
        </is>
      </c>
    </row>
    <row r="2483">
      <c r="A2483">
        <f>HYPERLINK("https://mathstats.uncg.edu/sites/pauli/congruence/csg10.html#group76A10", "76A¹⁰")</f>
        <v/>
      </c>
      <c r="B2483" t="n">
        <v>10</v>
      </c>
      <c r="C2483" t="inlineStr"/>
      <c r="D2483" t="inlineStr">
        <is>
          <t>240</t>
        </is>
      </c>
      <c r="E2483" t="inlineStr">
        <is>
          <t>1</t>
        </is>
      </c>
      <c r="F2483" t="inlineStr">
        <is>
          <t>20</t>
        </is>
      </c>
      <c r="G2483" t="inlineStr">
        <is>
          <t>0</t>
        </is>
      </c>
      <c r="H2483" t="inlineStr">
        <is>
          <t>24</t>
        </is>
      </c>
      <c r="I2483" t="inlineStr">
        <is>
          <t>4³, 76³</t>
        </is>
      </c>
      <c r="J2483" t="n">
        <v>6</v>
      </c>
      <c r="K2483" t="inlineStr">
        <is>
          <t>1², 18¹</t>
        </is>
      </c>
      <c r="L2483" t="inlineStr">
        <is>
          <t>38B⁴, 76A⁴</t>
        </is>
      </c>
      <c r="M2483" t="inlineStr"/>
      <c r="N2483" t="inlineStr">
        <is>
          <t>19A¹, 38B⁴, 2A⁰, 76A⁴, 19B¹, 38A², 1A⁰</t>
        </is>
      </c>
      <c r="O2483" t="inlineStr"/>
    </row>
    <row r="2484">
      <c r="A2484">
        <f>HYPERLINK("https://mathstats.uncg.edu/sites/pauli/congruence/csg10.html#group77A10", "77A¹⁰")</f>
        <v/>
      </c>
      <c r="B2484" t="n">
        <v>10</v>
      </c>
      <c r="C2484" t="inlineStr"/>
      <c r="D2484" t="inlineStr">
        <is>
          <t>154</t>
        </is>
      </c>
      <c r="E2484" t="inlineStr">
        <is>
          <t>2</t>
        </is>
      </c>
      <c r="F2484" t="inlineStr">
        <is>
          <t>77</t>
        </is>
      </c>
      <c r="G2484" t="inlineStr">
        <is>
          <t>6</t>
        </is>
      </c>
      <c r="H2484" t="inlineStr">
        <is>
          <t>4</t>
        </is>
      </c>
      <c r="I2484" t="inlineStr">
        <is>
          <t>77²</t>
        </is>
      </c>
      <c r="J2484" t="n">
        <v>2</v>
      </c>
      <c r="K2484" t="inlineStr">
        <is>
          <t>4¹, 12², 20², 60⁴</t>
        </is>
      </c>
      <c r="L2484" t="inlineStr">
        <is>
          <t>7C⁰, 77A⁴</t>
        </is>
      </c>
      <c r="M2484" t="inlineStr">
        <is>
          <t>154A²³</t>
        </is>
      </c>
      <c r="N2484" t="inlineStr">
        <is>
          <t>11A⁰, 1A⁰, 7C⁰, 7A⁰, 77A⁴</t>
        </is>
      </c>
      <c r="O2484" t="inlineStr">
        <is>
          <t>154A²³</t>
        </is>
      </c>
    </row>
    <row r="2485">
      <c r="A2485">
        <f>HYPERLINK("https://mathstats.uncg.edu/sites/pauli/congruence/csg10.html#group77B10", "77B¹⁰")</f>
        <v/>
      </c>
      <c r="B2485" t="n">
        <v>10</v>
      </c>
      <c r="C2485" t="inlineStr"/>
      <c r="D2485" t="inlineStr">
        <is>
          <t>154</t>
        </is>
      </c>
      <c r="E2485" t="inlineStr">
        <is>
          <t>2</t>
        </is>
      </c>
      <c r="F2485" t="inlineStr">
        <is>
          <t>77</t>
        </is>
      </c>
      <c r="G2485" t="inlineStr">
        <is>
          <t>6</t>
        </is>
      </c>
      <c r="H2485" t="inlineStr">
        <is>
          <t>4</t>
        </is>
      </c>
      <c r="I2485" t="inlineStr">
        <is>
          <t>77²</t>
        </is>
      </c>
      <c r="J2485" t="n">
        <v>2</v>
      </c>
      <c r="K2485" t="inlineStr">
        <is>
          <t>4¹, 12², 20², 60⁴</t>
        </is>
      </c>
      <c r="L2485" t="inlineStr">
        <is>
          <t>7C⁰, 77B⁴</t>
        </is>
      </c>
      <c r="M2485" t="inlineStr">
        <is>
          <t>154B²³</t>
        </is>
      </c>
      <c r="N2485" t="inlineStr">
        <is>
          <t>11A⁰, 77B⁴, 1A⁰, 7C⁰, 7A⁰</t>
        </is>
      </c>
      <c r="O2485" t="inlineStr">
        <is>
          <t>154B²³</t>
        </is>
      </c>
    </row>
    <row r="2486">
      <c r="A2486">
        <f>HYPERLINK("https://mathstats.uncg.edu/sites/pauli/congruence/csg10.html#group78A10", "78A¹⁰")</f>
        <v/>
      </c>
      <c r="B2486" t="n">
        <v>10</v>
      </c>
      <c r="C2486" t="inlineStr"/>
      <c r="D2486" t="inlineStr">
        <is>
          <t>252</t>
        </is>
      </c>
      <c r="E2486" t="inlineStr">
        <is>
          <t>1</t>
        </is>
      </c>
      <c r="F2486" t="inlineStr">
        <is>
          <t>14</t>
        </is>
      </c>
      <c r="G2486" t="inlineStr">
        <is>
          <t>36</t>
        </is>
      </c>
      <c r="H2486" t="inlineStr">
        <is>
          <t>0</t>
        </is>
      </c>
      <c r="I2486" t="inlineStr">
        <is>
          <t>6³, 78³</t>
        </is>
      </c>
      <c r="J2486" t="n">
        <v>6</v>
      </c>
      <c r="K2486" t="inlineStr">
        <is>
          <t>1², 12¹</t>
        </is>
      </c>
      <c r="L2486" t="inlineStr">
        <is>
          <t>26B², 78A², 39C⁴, 78A⁴</t>
        </is>
      </c>
      <c r="M2486" t="inlineStr"/>
      <c r="N2486" t="inlineStr">
        <is>
          <t>39A², 78A⁴, 78A², 13A⁰, 39C⁴, 13C⁰, 26A⁰, 26B², 39A¹, 3A⁰, 1A⁰</t>
        </is>
      </c>
      <c r="O2486" t="inlineStr"/>
    </row>
    <row r="2487">
      <c r="A2487">
        <f>HYPERLINK("https://mathstats.uncg.edu/sites/pauli/congruence/csg10.html#group80A10", "80A¹⁰")</f>
        <v/>
      </c>
      <c r="B2487" t="n">
        <v>10</v>
      </c>
      <c r="C2487" t="inlineStr"/>
      <c r="D2487" t="inlineStr">
        <is>
          <t>120</t>
        </is>
      </c>
      <c r="E2487" t="inlineStr">
        <is>
          <t>1</t>
        </is>
      </c>
      <c r="F2487" t="inlineStr">
        <is>
          <t>15</t>
        </is>
      </c>
      <c r="G2487" t="inlineStr">
        <is>
          <t>0</t>
        </is>
      </c>
      <c r="H2487" t="inlineStr">
        <is>
          <t>0</t>
        </is>
      </c>
      <c r="I2487" t="inlineStr">
        <is>
          <t>40¹, 80¹</t>
        </is>
      </c>
      <c r="J2487" t="n">
        <v>2</v>
      </c>
      <c r="K2487" t="inlineStr">
        <is>
          <t>1³, 4³</t>
        </is>
      </c>
      <c r="L2487" t="inlineStr">
        <is>
          <t>16A², 40A⁴</t>
        </is>
      </c>
      <c r="M2487" t="inlineStr">
        <is>
          <t>80B¹⁹, 80C¹⁹, 80H¹⁹</t>
        </is>
      </c>
      <c r="N2487" t="inlineStr">
        <is>
          <t>5A⁰, 40A⁴, 10B¹, 20B², 4C⁰, 8B⁰, 2B⁰, 1A⁰, 16A²</t>
        </is>
      </c>
      <c r="O2487" t="inlineStr">
        <is>
          <t>80H¹⁹, 80C¹⁹, 80B¹⁹</t>
        </is>
      </c>
    </row>
    <row r="2488">
      <c r="A2488">
        <f>HYPERLINK("https://mathstats.uncg.edu/sites/pauli/congruence/csg10.html#group80B10", "80B¹⁰")</f>
        <v/>
      </c>
      <c r="B2488" t="n">
        <v>10</v>
      </c>
      <c r="C2488" t="inlineStr"/>
      <c r="D2488" t="inlineStr">
        <is>
          <t>120</t>
        </is>
      </c>
      <c r="E2488" t="inlineStr">
        <is>
          <t>1</t>
        </is>
      </c>
      <c r="F2488" t="inlineStr">
        <is>
          <t>60</t>
        </is>
      </c>
      <c r="G2488" t="inlineStr">
        <is>
          <t>0</t>
        </is>
      </c>
      <c r="H2488" t="inlineStr">
        <is>
          <t>0</t>
        </is>
      </c>
      <c r="I2488" t="inlineStr">
        <is>
          <t>40¹, 80¹</t>
        </is>
      </c>
      <c r="J2488" t="n">
        <v>2</v>
      </c>
      <c r="K2488" t="inlineStr">
        <is>
          <t>1⁴, 2², 4⁵, 8², 16¹</t>
        </is>
      </c>
      <c r="L2488" t="inlineStr">
        <is>
          <t>16B², 40A⁵</t>
        </is>
      </c>
      <c r="M2488" t="inlineStr">
        <is>
          <t>80F¹⁹, 80G¹⁹, 160B²⁰, 160A²⁰</t>
        </is>
      </c>
      <c r="N2488" t="inlineStr">
        <is>
          <t>5A⁰, 16B², 8A¹, 10B¹, 20B², 4C⁰, 2B⁰, 40A⁵, 1A⁰</t>
        </is>
      </c>
      <c r="O2488" t="inlineStr">
        <is>
          <t>80G¹⁹, 160A²⁰, 80F¹⁹, 160B²⁰</t>
        </is>
      </c>
    </row>
    <row r="2489">
      <c r="A2489">
        <f>HYPERLINK("https://mathstats.uncg.edu/sites/pauli/congruence/csg10.html#group81A10", "81A¹⁰")</f>
        <v/>
      </c>
      <c r="B2489" t="n">
        <v>10</v>
      </c>
      <c r="C2489" t="inlineStr"/>
      <c r="D2489" t="inlineStr">
        <is>
          <t>324</t>
        </is>
      </c>
      <c r="E2489" t="inlineStr">
        <is>
          <t>1</t>
        </is>
      </c>
      <c r="F2489" t="inlineStr">
        <is>
          <t>12</t>
        </is>
      </c>
      <c r="G2489" t="inlineStr">
        <is>
          <t>0</t>
        </is>
      </c>
      <c r="H2489" t="inlineStr">
        <is>
          <t>0</t>
        </is>
      </c>
      <c r="I2489" t="inlineStr">
        <is>
          <t>1²⁷, 9⁶, 81³</t>
        </is>
      </c>
      <c r="J2489" t="n">
        <v>36</v>
      </c>
      <c r="K2489" t="inlineStr">
        <is>
          <t>1², 2², 6¹</t>
        </is>
      </c>
      <c r="L2489" t="inlineStr">
        <is>
          <t>27C¹, 81A⁴</t>
        </is>
      </c>
      <c r="M2489" t="inlineStr"/>
      <c r="N2489" t="inlineStr">
        <is>
          <t>3B⁰, 27A¹, 27C¹, 9B⁰, 81A⁴, 9I⁰, 27A⁰, 1A⁰</t>
        </is>
      </c>
      <c r="O2489" t="inlineStr"/>
    </row>
    <row r="2490">
      <c r="A2490">
        <f>HYPERLINK("https://mathstats.uncg.edu/sites/pauli/congruence/csg10.html#group84A10", "84A¹⁰")</f>
        <v/>
      </c>
      <c r="B2490" t="n">
        <v>10</v>
      </c>
      <c r="C2490" t="inlineStr"/>
      <c r="D2490" t="inlineStr">
        <is>
          <t>126</t>
        </is>
      </c>
      <c r="E2490" t="inlineStr">
        <is>
          <t>2</t>
        </is>
      </c>
      <c r="F2490" t="inlineStr">
        <is>
          <t>21</t>
        </is>
      </c>
      <c r="G2490" t="inlineStr">
        <is>
          <t>0</t>
        </is>
      </c>
      <c r="H2490" t="inlineStr">
        <is>
          <t>0</t>
        </is>
      </c>
      <c r="I2490" t="inlineStr">
        <is>
          <t>21², 84¹</t>
        </is>
      </c>
      <c r="J2490" t="n">
        <v>3</v>
      </c>
      <c r="K2490" t="inlineStr">
        <is>
          <t>2³, 6⁶</t>
        </is>
      </c>
      <c r="L2490" t="inlineStr">
        <is>
          <t>12B¹, 28A³, 42C³</t>
        </is>
      </c>
      <c r="M2490" t="inlineStr">
        <is>
          <t>84A¹⁹, 84C¹⁹, 84D¹⁹, 84A²⁰, 84C²⁰, 84E²⁰, 84G²⁰, 168A²⁰, 168B²⁰, 168C²⁰, 168D²⁰</t>
        </is>
      </c>
      <c r="N2490" t="inlineStr">
        <is>
          <t>3A⁰, 14B¹, 21A⁰, 28A³, 12B¹, 2B⁰, 4B⁰, 1A⁰, 42C³, 6D⁰, 7A⁰</t>
        </is>
      </c>
      <c r="O2490" t="inlineStr">
        <is>
          <t>168B²⁰, 84A¹⁹, 84A²⁰, 84C²⁰, 84C¹⁹, 168C²⁰, 168A²⁰, 168D²⁰, 84E²⁰, 84D¹⁹, 84G²⁰</t>
        </is>
      </c>
    </row>
    <row r="2491">
      <c r="A2491">
        <f>HYPERLINK("https://mathstats.uncg.edu/sites/pauli/congruence/csg10.html#group84B10", "84B¹⁰")</f>
        <v/>
      </c>
      <c r="B2491" t="n">
        <v>10</v>
      </c>
      <c r="C2491" t="inlineStr"/>
      <c r="D2491" t="inlineStr">
        <is>
          <t>144</t>
        </is>
      </c>
      <c r="E2491" t="inlineStr">
        <is>
          <t>1</t>
        </is>
      </c>
      <c r="F2491" t="inlineStr">
        <is>
          <t>24</t>
        </is>
      </c>
      <c r="G2491" t="inlineStr">
        <is>
          <t>0</t>
        </is>
      </c>
      <c r="H2491" t="inlineStr">
        <is>
          <t>0</t>
        </is>
      </c>
      <c r="I2491" t="inlineStr">
        <is>
          <t>3², 12¹, 21², 84¹</t>
        </is>
      </c>
      <c r="J2491" t="n">
        <v>6</v>
      </c>
      <c r="K2491" t="inlineStr">
        <is>
          <t>1⁶, 6³</t>
        </is>
      </c>
      <c r="L2491" t="inlineStr">
        <is>
          <t>12B¹, 28D², 42A⁵</t>
        </is>
      </c>
      <c r="M2491" t="inlineStr">
        <is>
          <t>84K¹⁹, 84J²⁰, 84L²⁰, 168E²⁰, 168F²⁰, 84A²¹, 84E²¹, 168B²¹, 168C²¹, 168A²², 168C²²</t>
        </is>
      </c>
      <c r="N2491" t="inlineStr">
        <is>
          <t>21A², 4B⁰, 42A⁵, 7B⁰, 28D², 14C¹, 12B¹, 2B⁰, 3A⁰, 1A⁰, 6D⁰</t>
        </is>
      </c>
      <c r="O2491" t="inlineStr">
        <is>
          <t>84J²⁰, 84A²¹, 84E²¹, 84K¹⁹, 168E²⁰, 168F²⁰, 84L²⁰, 168A²², 168C²², 168B²¹, 168C²¹</t>
        </is>
      </c>
    </row>
    <row r="2492">
      <c r="A2492">
        <f>HYPERLINK("https://mathstats.uncg.edu/sites/pauli/congruence/csg10.html#group84C10", "84C¹⁰")</f>
        <v/>
      </c>
      <c r="B2492" t="n">
        <v>10</v>
      </c>
      <c r="C2492" t="inlineStr"/>
      <c r="D2492" t="inlineStr">
        <is>
          <t>144</t>
        </is>
      </c>
      <c r="E2492" t="inlineStr">
        <is>
          <t>1</t>
        </is>
      </c>
      <c r="F2492" t="inlineStr">
        <is>
          <t>72</t>
        </is>
      </c>
      <c r="G2492" t="inlineStr">
        <is>
          <t>0</t>
        </is>
      </c>
      <c r="H2492" t="inlineStr">
        <is>
          <t>0</t>
        </is>
      </c>
      <c r="I2492" t="inlineStr">
        <is>
          <t>3², 12¹, 21², 84¹</t>
        </is>
      </c>
      <c r="J2492" t="n">
        <v>6</v>
      </c>
      <c r="K2492" t="inlineStr">
        <is>
          <t>1⁶, 2⁶, 6³, 12³</t>
        </is>
      </c>
      <c r="L2492" t="inlineStr">
        <is>
          <t>12D⁰, 42A⁵</t>
        </is>
      </c>
      <c r="M2492" t="inlineStr">
        <is>
          <t>84J¹⁹, 84K¹⁹, 84C²¹, 84F²¹, 84H²¹</t>
        </is>
      </c>
      <c r="N2492" t="inlineStr">
        <is>
          <t>21A², 42A⁵, 7B⁰, 14C¹, 2B⁰, 12D⁰, 3A⁰, 1A⁰, 6D⁰</t>
        </is>
      </c>
      <c r="O2492" t="inlineStr">
        <is>
          <t>84K¹⁹, 84C²¹, 84F²¹, 84J¹⁹, 84H²¹</t>
        </is>
      </c>
    </row>
    <row r="2493">
      <c r="A2493">
        <f>HYPERLINK("https://mathstats.uncg.edu/sites/pauli/congruence/csg10.html#group84D10", "84D¹⁰")</f>
        <v/>
      </c>
      <c r="B2493" t="n">
        <v>10</v>
      </c>
      <c r="C2493" t="inlineStr"/>
      <c r="D2493" t="inlineStr">
        <is>
          <t>144</t>
        </is>
      </c>
      <c r="E2493" t="inlineStr">
        <is>
          <t>2</t>
        </is>
      </c>
      <c r="F2493" t="inlineStr">
        <is>
          <t>24</t>
        </is>
      </c>
      <c r="G2493" t="inlineStr">
        <is>
          <t>0</t>
        </is>
      </c>
      <c r="H2493" t="inlineStr">
        <is>
          <t>0</t>
        </is>
      </c>
      <c r="I2493" t="inlineStr">
        <is>
          <t>3², 12¹, 21², 84¹</t>
        </is>
      </c>
      <c r="J2493" t="n">
        <v>6</v>
      </c>
      <c r="K2493" t="inlineStr">
        <is>
          <t>2⁶, 12³</t>
        </is>
      </c>
      <c r="L2493" t="inlineStr">
        <is>
          <t>28D², 42B⁵</t>
        </is>
      </c>
      <c r="M2493" t="inlineStr">
        <is>
          <t>84N²⁰, 168G²⁰, 84G²¹, 168D²¹, 168E²²</t>
        </is>
      </c>
      <c r="N2493" t="inlineStr">
        <is>
          <t>42B⁵, 7B⁰, 28D², 14C¹, 2B⁰, 4B⁰, 1A⁰, 21A¹</t>
        </is>
      </c>
      <c r="O2493" t="inlineStr">
        <is>
          <t>168D²¹, 168G²⁰, 84N²⁰, 168E²², 84G²¹</t>
        </is>
      </c>
    </row>
    <row r="2494">
      <c r="A2494">
        <f>HYPERLINK("https://mathstats.uncg.edu/sites/pauli/congruence/csg10.html#group84E10", "84E¹⁰")</f>
        <v/>
      </c>
      <c r="B2494" t="n">
        <v>10</v>
      </c>
      <c r="C2494" t="inlineStr"/>
      <c r="D2494" t="inlineStr">
        <is>
          <t>168</t>
        </is>
      </c>
      <c r="E2494" t="inlineStr">
        <is>
          <t>2</t>
        </is>
      </c>
      <c r="F2494" t="inlineStr">
        <is>
          <t>56</t>
        </is>
      </c>
      <c r="G2494" t="inlineStr">
        <is>
          <t>12</t>
        </is>
      </c>
      <c r="H2494" t="inlineStr">
        <is>
          <t>3</t>
        </is>
      </c>
      <c r="I2494" t="inlineStr">
        <is>
          <t>84²</t>
        </is>
      </c>
      <c r="J2494" t="n">
        <v>2</v>
      </c>
      <c r="K2494" t="inlineStr">
        <is>
          <t>8², 24⁴</t>
        </is>
      </c>
      <c r="L2494" t="inlineStr">
        <is>
          <t>21C¹, 28D³</t>
        </is>
      </c>
      <c r="M2494" t="inlineStr">
        <is>
          <t>168H²³, 168G²³</t>
        </is>
      </c>
      <c r="N2494" t="inlineStr">
        <is>
          <t>28D³, 28A¹, 1A⁰, 4A⁰, 7C⁰, 7A⁰, 21C¹</t>
        </is>
      </c>
      <c r="O2494" t="inlineStr">
        <is>
          <t>168G²³, 168H²³</t>
        </is>
      </c>
    </row>
    <row r="2495">
      <c r="A2495">
        <f>HYPERLINK("https://mathstats.uncg.edu/sites/pauli/congruence/csg10.html#group84F10", "84F¹⁰")</f>
        <v/>
      </c>
      <c r="B2495" t="n">
        <v>10</v>
      </c>
      <c r="C2495" t="inlineStr"/>
      <c r="D2495" t="inlineStr">
        <is>
          <t>168</t>
        </is>
      </c>
      <c r="E2495" t="inlineStr">
        <is>
          <t>2</t>
        </is>
      </c>
      <c r="F2495" t="inlineStr">
        <is>
          <t>84</t>
        </is>
      </c>
      <c r="G2495" t="inlineStr">
        <is>
          <t>16</t>
        </is>
      </c>
      <c r="H2495" t="inlineStr">
        <is>
          <t>0</t>
        </is>
      </c>
      <c r="I2495" t="inlineStr">
        <is>
          <t>84²</t>
        </is>
      </c>
      <c r="J2495" t="n">
        <v>2</v>
      </c>
      <c r="K2495" t="inlineStr">
        <is>
          <t>4², 8², 12⁴, 24⁴</t>
        </is>
      </c>
      <c r="L2495" t="inlineStr">
        <is>
          <t>42A², 84A³</t>
        </is>
      </c>
      <c r="M2495" t="inlineStr">
        <is>
          <t>84O²¹, 84P²¹, 84D²³, 84E²³, 168E²⁴, 168F²⁴, 168C²⁴, 168D²⁴, 168I²⁴, 168J²⁴, 168G²⁴, 168H²⁴</t>
        </is>
      </c>
      <c r="N2495" t="inlineStr">
        <is>
          <t>84A³, 12A⁰, 42A², 4A⁰, 21A⁰, 3A⁰, 28A¹, 1A⁰, 7A⁰</t>
        </is>
      </c>
      <c r="O2495" t="inlineStr">
        <is>
          <t>168F²⁴, 84P²¹, 168I²⁴, 168E²⁴, 168H²⁴, 84O²¹, 84E²³, 84D²³, 168C²⁴, 168J²⁴, 168D²⁴, 168G²⁴</t>
        </is>
      </c>
    </row>
    <row r="2496">
      <c r="A2496">
        <f>HYPERLINK("https://mathstats.uncg.edu/sites/pauli/congruence/csg10.html#group86A10", "86A¹⁰")</f>
        <v/>
      </c>
      <c r="B2496" t="n">
        <v>10</v>
      </c>
      <c r="C2496" t="inlineStr">
        <is>
          <t>Γ₀(86)</t>
        </is>
      </c>
      <c r="D2496" t="inlineStr">
        <is>
          <t>132</t>
        </is>
      </c>
      <c r="E2496" t="inlineStr">
        <is>
          <t>1</t>
        </is>
      </c>
      <c r="F2496" t="inlineStr">
        <is>
          <t>132</t>
        </is>
      </c>
      <c r="G2496" t="inlineStr">
        <is>
          <t>0</t>
        </is>
      </c>
      <c r="H2496" t="inlineStr">
        <is>
          <t>0</t>
        </is>
      </c>
      <c r="I2496" t="inlineStr">
        <is>
          <t>1¹, 2¹, 43¹, 86¹</t>
        </is>
      </c>
      <c r="J2496" t="n">
        <v>4</v>
      </c>
      <c r="K2496" t="inlineStr">
        <is>
          <t>1⁶, 42³</t>
        </is>
      </c>
      <c r="L2496" t="inlineStr">
        <is>
          <t>2B⁰, 43A³</t>
        </is>
      </c>
      <c r="M2496" t="inlineStr">
        <is>
          <t>86B²⁰, 172A²⁰, 172A²¹</t>
        </is>
      </c>
      <c r="N2496" t="inlineStr">
        <is>
          <t>1A⁰, 43A³, 2B⁰</t>
        </is>
      </c>
      <c r="O2496" t="inlineStr">
        <is>
          <t>86B²⁰, 172A²¹, 172A²⁰</t>
        </is>
      </c>
    </row>
    <row r="2497">
      <c r="A2497">
        <f>HYPERLINK("https://mathstats.uncg.edu/sites/pauli/congruence/csg10.html#group88A10", "88A¹⁰")</f>
        <v/>
      </c>
      <c r="B2497" t="n">
        <v>10</v>
      </c>
      <c r="C2497" t="inlineStr"/>
      <c r="D2497" t="inlineStr">
        <is>
          <t>132</t>
        </is>
      </c>
      <c r="E2497" t="inlineStr">
        <is>
          <t>2</t>
        </is>
      </c>
      <c r="F2497" t="inlineStr">
        <is>
          <t>66</t>
        </is>
      </c>
      <c r="G2497" t="inlineStr">
        <is>
          <t>0</t>
        </is>
      </c>
      <c r="H2497" t="inlineStr">
        <is>
          <t>0</t>
        </is>
      </c>
      <c r="I2497" t="inlineStr">
        <is>
          <t>11², 22¹, 88¹</t>
        </is>
      </c>
      <c r="J2497" t="n">
        <v>4</v>
      </c>
      <c r="K2497" t="inlineStr">
        <is>
          <t>2⁴, 4¹, 10⁸, 20²</t>
        </is>
      </c>
      <c r="L2497" t="inlineStr">
        <is>
          <t>8C⁰, 44A⁵</t>
        </is>
      </c>
      <c r="M2497" t="inlineStr">
        <is>
          <t>88A²⁰, 88B²⁰, 176A²⁰, 176B²⁰, 176A²¹</t>
        </is>
      </c>
      <c r="N2497" t="inlineStr">
        <is>
          <t>11A⁰, 8C⁰, 2B⁰, 22B², 44A⁵, 4B⁰, 1A⁰</t>
        </is>
      </c>
      <c r="O2497" t="inlineStr">
        <is>
          <t>176B²⁰, 176A²¹, 176A²⁰, 88A²⁰, 88B²⁰</t>
        </is>
      </c>
    </row>
    <row r="2498">
      <c r="A2498">
        <f>HYPERLINK("https://mathstats.uncg.edu/sites/pauli/congruence/csg10.html#group88B10", "88B¹⁰")</f>
        <v/>
      </c>
      <c r="B2498" t="n">
        <v>10</v>
      </c>
      <c r="C2498" t="inlineStr"/>
      <c r="D2498" t="inlineStr">
        <is>
          <t>144</t>
        </is>
      </c>
      <c r="E2498" t="inlineStr">
        <is>
          <t>1</t>
        </is>
      </c>
      <c r="F2498" t="inlineStr">
        <is>
          <t>36</t>
        </is>
      </c>
      <c r="G2498" t="inlineStr">
        <is>
          <t>0</t>
        </is>
      </c>
      <c r="H2498" t="inlineStr">
        <is>
          <t>0</t>
        </is>
      </c>
      <c r="I2498" t="inlineStr">
        <is>
          <t>2², 8¹, 22², 88¹</t>
        </is>
      </c>
      <c r="J2498" t="n">
        <v>6</v>
      </c>
      <c r="K2498" t="inlineStr">
        <is>
          <t>1⁶, 10³</t>
        </is>
      </c>
      <c r="L2498" t="inlineStr">
        <is>
          <t>44D⁴</t>
        </is>
      </c>
      <c r="M2498" t="inlineStr">
        <is>
          <t>88B¹⁹, 88D¹⁹</t>
        </is>
      </c>
      <c r="N2498" t="inlineStr">
        <is>
          <t>2B⁰, 4B⁰, 22C², 1A⁰, 44D⁴, 11A¹</t>
        </is>
      </c>
      <c r="O2498" t="inlineStr">
        <is>
          <t>88B¹⁹, 88D¹⁹</t>
        </is>
      </c>
    </row>
    <row r="2499">
      <c r="A2499">
        <f>HYPERLINK("https://mathstats.uncg.edu/sites/pauli/congruence/csg10.html#group88C10", "88C¹⁰")</f>
        <v/>
      </c>
      <c r="B2499" t="n">
        <v>10</v>
      </c>
      <c r="C2499" t="inlineStr"/>
      <c r="D2499" t="inlineStr">
        <is>
          <t>144</t>
        </is>
      </c>
      <c r="E2499" t="inlineStr">
        <is>
          <t>1</t>
        </is>
      </c>
      <c r="F2499" t="inlineStr">
        <is>
          <t>72</t>
        </is>
      </c>
      <c r="G2499" t="inlineStr">
        <is>
          <t>0</t>
        </is>
      </c>
      <c r="H2499" t="inlineStr">
        <is>
          <t>0</t>
        </is>
      </c>
      <c r="I2499" t="inlineStr">
        <is>
          <t>2², 8¹, 22², 88¹</t>
        </is>
      </c>
      <c r="J2499" t="n">
        <v>6</v>
      </c>
      <c r="K2499" t="inlineStr">
        <is>
          <t>1⁴, 2⁴, 10², 20²</t>
        </is>
      </c>
      <c r="L2499" t="inlineStr">
        <is>
          <t>8D⁰, 44B⁵</t>
        </is>
      </c>
      <c r="M2499" t="inlineStr">
        <is>
          <t>88C¹⁹, 176D²⁰, 88E²¹, 88F²¹, 176C²²</t>
        </is>
      </c>
      <c r="N2499" t="inlineStr">
        <is>
          <t>8D⁰, 11A¹, 4C⁰, 44B⁵, 2B⁰, 22C², 1A⁰</t>
        </is>
      </c>
      <c r="O2499" t="inlineStr">
        <is>
          <t>176C²², 88F²¹, 88E²¹, 176D²⁰, 88C¹⁹</t>
        </is>
      </c>
    </row>
    <row r="2500">
      <c r="A2500">
        <f>HYPERLINK("https://mathstats.uncg.edu/sites/pauli/congruence/csg10.html#group90A10", "90A¹⁰")</f>
        <v/>
      </c>
      <c r="B2500" t="n">
        <v>10</v>
      </c>
      <c r="C2500" t="inlineStr"/>
      <c r="D2500" t="inlineStr">
        <is>
          <t>120</t>
        </is>
      </c>
      <c r="E2500" t="inlineStr">
        <is>
          <t>1</t>
        </is>
      </c>
      <c r="F2500" t="inlineStr">
        <is>
          <t>20</t>
        </is>
      </c>
      <c r="G2500" t="inlineStr">
        <is>
          <t>0</t>
        </is>
      </c>
      <c r="H2500" t="inlineStr">
        <is>
          <t>0</t>
        </is>
      </c>
      <c r="I2500" t="inlineStr">
        <is>
          <t>30¹, 90¹</t>
        </is>
      </c>
      <c r="J2500" t="n">
        <v>2</v>
      </c>
      <c r="K2500" t="inlineStr">
        <is>
          <t>1², 2¹, 4², 8¹</t>
        </is>
      </c>
      <c r="L2500" t="inlineStr">
        <is>
          <t>18B², 30D², 45A⁵</t>
        </is>
      </c>
      <c r="M2500" t="inlineStr">
        <is>
          <t>180A²⁰</t>
        </is>
      </c>
      <c r="N2500" t="inlineStr">
        <is>
          <t>3B⁰, 2A⁰, 18B², 5A⁰, 10A⁰, 45A⁵, 30D², 9A¹, 6C⁰, 15B¹, 1A⁰</t>
        </is>
      </c>
      <c r="O2500" t="inlineStr">
        <is>
          <t>180A²⁰</t>
        </is>
      </c>
    </row>
    <row r="2501">
      <c r="A2501">
        <f>HYPERLINK("https://mathstats.uncg.edu/sites/pauli/congruence/csg10.html#group90B10", "90B¹⁰")</f>
        <v/>
      </c>
      <c r="B2501" t="n">
        <v>10</v>
      </c>
      <c r="C2501" t="inlineStr"/>
      <c r="D2501" t="inlineStr">
        <is>
          <t>120</t>
        </is>
      </c>
      <c r="E2501" t="inlineStr">
        <is>
          <t>1</t>
        </is>
      </c>
      <c r="F2501" t="inlineStr">
        <is>
          <t>40</t>
        </is>
      </c>
      <c r="G2501" t="inlineStr">
        <is>
          <t>0</t>
        </is>
      </c>
      <c r="H2501" t="inlineStr">
        <is>
          <t>0</t>
        </is>
      </c>
      <c r="I2501" t="inlineStr">
        <is>
          <t>30¹, 90¹</t>
        </is>
      </c>
      <c r="J2501" t="n">
        <v>2</v>
      </c>
      <c r="K2501" t="inlineStr">
        <is>
          <t>2⁴, 8⁴</t>
        </is>
      </c>
      <c r="L2501" t="inlineStr">
        <is>
          <t>18C², 30D²</t>
        </is>
      </c>
      <c r="M2501" t="inlineStr">
        <is>
          <t>180B²⁰</t>
        </is>
      </c>
      <c r="N2501" t="inlineStr">
        <is>
          <t>3B⁰, 2A⁰, 5A⁰, 10A⁰, 30D², 6C⁰, 15B¹, 1A⁰, 18C²</t>
        </is>
      </c>
      <c r="O2501" t="inlineStr">
        <is>
          <t>180B²⁰</t>
        </is>
      </c>
    </row>
    <row r="2502">
      <c r="A2502">
        <f>HYPERLINK("https://mathstats.uncg.edu/sites/pauli/congruence/csg10.html#group90C10", "90C¹⁰")</f>
        <v/>
      </c>
      <c r="B2502" t="n">
        <v>10</v>
      </c>
      <c r="C2502" t="inlineStr"/>
      <c r="D2502" t="inlineStr">
        <is>
          <t>120</t>
        </is>
      </c>
      <c r="E2502" t="inlineStr">
        <is>
          <t>2</t>
        </is>
      </c>
      <c r="F2502" t="inlineStr">
        <is>
          <t>20</t>
        </is>
      </c>
      <c r="G2502" t="inlineStr">
        <is>
          <t>0</t>
        </is>
      </c>
      <c r="H2502" t="inlineStr">
        <is>
          <t>0</t>
        </is>
      </c>
      <c r="I2502" t="inlineStr">
        <is>
          <t>30¹, 90¹</t>
        </is>
      </c>
      <c r="J2502" t="n">
        <v>2</v>
      </c>
      <c r="K2502" t="inlineStr">
        <is>
          <t>2², 4¹, 8⁴</t>
        </is>
      </c>
      <c r="L2502" t="inlineStr">
        <is>
          <t>30D², 45B⁵</t>
        </is>
      </c>
      <c r="M2502" t="inlineStr">
        <is>
          <t>180D²⁰</t>
        </is>
      </c>
      <c r="N2502" t="inlineStr">
        <is>
          <t>3B⁰, 2A⁰, 5A⁰, 10A⁰, 30D², 6C⁰, 15B¹, 45B⁵, 1A⁰</t>
        </is>
      </c>
      <c r="O2502" t="inlineStr">
        <is>
          <t>180D²⁰</t>
        </is>
      </c>
    </row>
    <row r="2503">
      <c r="A2503">
        <f>HYPERLINK("https://mathstats.uncg.edu/sites/pauli/congruence/csg10.html#group90D10", "90D¹⁰")</f>
        <v/>
      </c>
      <c r="B2503" t="n">
        <v>10</v>
      </c>
      <c r="C2503" t="inlineStr"/>
      <c r="D2503" t="inlineStr">
        <is>
          <t>135</t>
        </is>
      </c>
      <c r="E2503" t="inlineStr">
        <is>
          <t>1</t>
        </is>
      </c>
      <c r="F2503" t="inlineStr">
        <is>
          <t>135</t>
        </is>
      </c>
      <c r="G2503" t="inlineStr">
        <is>
          <t>5</t>
        </is>
      </c>
      <c r="H2503" t="inlineStr">
        <is>
          <t>0</t>
        </is>
      </c>
      <c r="I2503" t="inlineStr">
        <is>
          <t>45¹, 90¹</t>
        </is>
      </c>
      <c r="J2503" t="n">
        <v>2</v>
      </c>
      <c r="K2503" t="inlineStr">
        <is>
          <t>1³, 2³, 4³, 6³, 8³, 24³</t>
        </is>
      </c>
      <c r="L2503" t="inlineStr">
        <is>
          <t>18E¹, 30D³, 45A³</t>
        </is>
      </c>
      <c r="M2503" t="inlineStr">
        <is>
          <t>90A²⁰, 90D²⁰, 180F²⁰, 180G²⁰, 90A²¹, 90B²¹, 180A²¹, 180B²¹, 90B²², 180A²², 180B²²</t>
        </is>
      </c>
      <c r="N2503" t="inlineStr">
        <is>
          <t>30D³, 5A⁰, 10B¹, 6D⁰, 9A⁰, 2B⁰, 18E¹, 3A⁰, 1A⁰, 15A¹, 45A³</t>
        </is>
      </c>
      <c r="O2503" t="inlineStr">
        <is>
          <t>90B²², 180A²¹, 90A²⁰, 180B²², 90A²¹, 90B²¹, 90D²⁰, 180B²¹, 180A²², 180F²⁰, 180G²⁰</t>
        </is>
      </c>
    </row>
    <row r="2504">
      <c r="A2504">
        <f>HYPERLINK("https://mathstats.uncg.edu/sites/pauli/congruence/csg10.html#group90E10", "90E¹⁰")</f>
        <v/>
      </c>
      <c r="B2504" t="n">
        <v>10</v>
      </c>
      <c r="C2504" t="inlineStr"/>
      <c r="D2504" t="inlineStr">
        <is>
          <t>162</t>
        </is>
      </c>
      <c r="E2504" t="inlineStr">
        <is>
          <t>1</t>
        </is>
      </c>
      <c r="F2504" t="inlineStr">
        <is>
          <t>162</t>
        </is>
      </c>
      <c r="G2504" t="inlineStr">
        <is>
          <t>10</t>
        </is>
      </c>
      <c r="H2504" t="inlineStr">
        <is>
          <t>0</t>
        </is>
      </c>
      <c r="I2504" t="inlineStr">
        <is>
          <t>9¹, 18¹, 45¹, 90¹</t>
        </is>
      </c>
      <c r="J2504" t="n">
        <v>4</v>
      </c>
      <c r="K2504" t="inlineStr">
        <is>
          <t>1⁶, 2⁶, 4³, 6⁶, 8³, 24³</t>
        </is>
      </c>
      <c r="L2504" t="inlineStr">
        <is>
          <t>18E¹, 30E², 45A²</t>
        </is>
      </c>
      <c r="M2504" t="inlineStr">
        <is>
          <t>90F²⁰, 90G²⁰, 180H²⁰, 90I²¹, 90K²¹, 180I²¹, 180J²¹, 90E²², 90G²², 180C²², 180D²², 90A²³, 90B²³, 180M²³, 180N²³, 90A²⁴, 90C²⁴, 180A²⁴, 180B²⁴</t>
        </is>
      </c>
      <c r="N2504" t="inlineStr">
        <is>
          <t>45A², 15B⁰, 30E², 9A⁰, 5B⁰, 10C⁰, 2B⁰, 18E¹, 3A⁰, 1A⁰, 6D⁰</t>
        </is>
      </c>
      <c r="O2504" t="inlineStr">
        <is>
          <t>180B²⁴, 90G²⁰, 90F²⁰, 90K²¹, 90I²¹, 180D²², 90C²⁴, 180J²¹, 180A²⁴, 90A²³, 180H²⁰, 180N²³, 90E²², 90A²⁴, 180I²¹, 90B²³, 180M²³, 90G²², 180C²²</t>
        </is>
      </c>
    </row>
    <row r="2505">
      <c r="A2505">
        <f>HYPERLINK("https://mathstats.uncg.edu/sites/pauli/congruence/csg10.html#group90F10", "90F¹⁰")</f>
        <v/>
      </c>
      <c r="B2505" t="n">
        <v>10</v>
      </c>
      <c r="C2505" t="inlineStr"/>
      <c r="D2505" t="inlineStr">
        <is>
          <t>180</t>
        </is>
      </c>
      <c r="E2505" t="inlineStr">
        <is>
          <t>1</t>
        </is>
      </c>
      <c r="F2505" t="inlineStr">
        <is>
          <t>90</t>
        </is>
      </c>
      <c r="G2505" t="inlineStr">
        <is>
          <t>20</t>
        </is>
      </c>
      <c r="H2505" t="inlineStr">
        <is>
          <t>0</t>
        </is>
      </c>
      <c r="I2505" t="inlineStr">
        <is>
          <t>90²</t>
        </is>
      </c>
      <c r="J2505" t="n">
        <v>2</v>
      </c>
      <c r="K2505" t="inlineStr">
        <is>
          <t>2¹, 4³, 8², 12¹, 24²</t>
        </is>
      </c>
      <c r="L2505" t="inlineStr">
        <is>
          <t>30F², 45E⁵</t>
        </is>
      </c>
      <c r="M2505" t="inlineStr">
        <is>
          <t>90M²¹, 90D²³</t>
        </is>
      </c>
      <c r="N2505" t="inlineStr">
        <is>
          <t>15D¹, 30F², 10D⁰, 45E⁵, 5C⁰, 9A⁰, 3A⁰, 1A⁰</t>
        </is>
      </c>
      <c r="O2505" t="inlineStr">
        <is>
          <t>90M²¹, 90D²³</t>
        </is>
      </c>
    </row>
    <row r="2506">
      <c r="A2506">
        <f>HYPERLINK("https://mathstats.uncg.edu/sites/pauli/congruence/csg10.html#group92A10", "92A¹⁰")</f>
        <v/>
      </c>
      <c r="B2506" t="n">
        <v>10</v>
      </c>
      <c r="C2506" t="inlineStr">
        <is>
          <t>Γ₀(92)</t>
        </is>
      </c>
      <c r="D2506" t="inlineStr">
        <is>
          <t>144</t>
        </is>
      </c>
      <c r="E2506" t="inlineStr">
        <is>
          <t>1</t>
        </is>
      </c>
      <c r="F2506" t="inlineStr">
        <is>
          <t>72</t>
        </is>
      </c>
      <c r="G2506" t="inlineStr">
        <is>
          <t>0</t>
        </is>
      </c>
      <c r="H2506" t="inlineStr">
        <is>
          <t>0</t>
        </is>
      </c>
      <c r="I2506" t="inlineStr">
        <is>
          <t>1², 4¹, 23², 92¹</t>
        </is>
      </c>
      <c r="J2506" t="n">
        <v>6</v>
      </c>
      <c r="K2506" t="inlineStr">
        <is>
          <t>1⁶, 22³</t>
        </is>
      </c>
      <c r="L2506" t="inlineStr">
        <is>
          <t>4B⁰, 46A⁵</t>
        </is>
      </c>
      <c r="M2506" t="inlineStr">
        <is>
          <t>92B²⁰, 184A²⁰, 92A²¹, 184A²¹, 184A²²</t>
        </is>
      </c>
      <c r="N2506" t="inlineStr">
        <is>
          <t>2B⁰, 23A², 4B⁰, 1A⁰, 46A⁵</t>
        </is>
      </c>
      <c r="O2506" t="inlineStr">
        <is>
          <t>92A²¹, 184A²¹, 184A²², 92B²⁰, 184A²⁰</t>
        </is>
      </c>
    </row>
    <row r="2507">
      <c r="A2507">
        <f>HYPERLINK("https://mathstats.uncg.edu/sites/pauli/congruence/csg10.html#group96A10", "96A¹⁰")</f>
        <v/>
      </c>
      <c r="B2507" t="n">
        <v>10</v>
      </c>
      <c r="C2507" t="inlineStr"/>
      <c r="D2507" t="inlineStr">
        <is>
          <t>144</t>
        </is>
      </c>
      <c r="E2507" t="inlineStr">
        <is>
          <t>1</t>
        </is>
      </c>
      <c r="F2507" t="inlineStr">
        <is>
          <t>6</t>
        </is>
      </c>
      <c r="G2507" t="inlineStr">
        <is>
          <t>0</t>
        </is>
      </c>
      <c r="H2507" t="inlineStr">
        <is>
          <t>0</t>
        </is>
      </c>
      <c r="I2507" t="inlineStr">
        <is>
          <t>6⁴, 24¹, 96¹</t>
        </is>
      </c>
      <c r="J2507" t="n">
        <v>6</v>
      </c>
      <c r="K2507" t="inlineStr">
        <is>
          <t>1⁴, 2¹</t>
        </is>
      </c>
      <c r="L2507" t="inlineStr">
        <is>
          <t>32A², 48B⁴</t>
        </is>
      </c>
      <c r="M2507" t="inlineStr">
        <is>
          <t>96B¹⁹, 96C¹⁹, 96F¹⁹, 96I¹⁹, 96R¹⁹, 192A²², 192B²²</t>
        </is>
      </c>
      <c r="N2507" t="inlineStr">
        <is>
          <t>8C⁰, 2B⁰, 4B⁰, 1A⁰, 48B⁴, 24B², 16C⁰, 32A², 12B¹, 3A⁰, 6D⁰</t>
        </is>
      </c>
      <c r="O2507" t="inlineStr">
        <is>
          <t>96C¹⁹, 96I¹⁹, 96B¹⁹, 96F¹⁹, 192A²², 192B²², 96R¹⁹</t>
        </is>
      </c>
    </row>
    <row r="2508">
      <c r="A2508">
        <f>HYPERLINK("https://mathstats.uncg.edu/sites/pauli/congruence/csg10.html#group96B10", "96B¹⁰")</f>
        <v/>
      </c>
      <c r="B2508" t="n">
        <v>10</v>
      </c>
      <c r="C2508" t="inlineStr"/>
      <c r="D2508" t="inlineStr">
        <is>
          <t>144</t>
        </is>
      </c>
      <c r="E2508" t="inlineStr">
        <is>
          <t>1</t>
        </is>
      </c>
      <c r="F2508" t="inlineStr">
        <is>
          <t>18</t>
        </is>
      </c>
      <c r="G2508" t="inlineStr">
        <is>
          <t>0</t>
        </is>
      </c>
      <c r="H2508" t="inlineStr">
        <is>
          <t>0</t>
        </is>
      </c>
      <c r="I2508" t="inlineStr">
        <is>
          <t>6⁴, 24¹, 96¹</t>
        </is>
      </c>
      <c r="J2508" t="n">
        <v>6</v>
      </c>
      <c r="K2508" t="inlineStr">
        <is>
          <t>1⁴, 2⁵, 4¹</t>
        </is>
      </c>
      <c r="L2508" t="inlineStr">
        <is>
          <t>48B⁴</t>
        </is>
      </c>
      <c r="M2508" t="inlineStr">
        <is>
          <t>96D¹⁹, 96F¹⁹, 96G¹⁹, 96H¹⁹, 96P¹⁹, 96Q¹⁹, 96AW¹⁹, 96AX¹⁹</t>
        </is>
      </c>
      <c r="N2508" t="inlineStr">
        <is>
          <t>24B², 3A⁰, 16C⁰, 8C⁰, 12B¹, 2B⁰, 4B⁰, 1A⁰, 6D⁰, 48B⁴</t>
        </is>
      </c>
      <c r="O2508" t="inlineStr">
        <is>
          <t>96Q¹⁹, 96G¹⁹, 96AX¹⁹, 96P¹⁹, 96D¹⁹, 96AW¹⁹, 96F¹⁹, 96H¹⁹</t>
        </is>
      </c>
    </row>
    <row r="2509">
      <c r="A2509">
        <f>HYPERLINK("https://mathstats.uncg.edu/sites/pauli/congruence/csg10.html#group96C10", "96C¹⁰")</f>
        <v/>
      </c>
      <c r="B2509" t="n">
        <v>10</v>
      </c>
      <c r="C2509" t="inlineStr"/>
      <c r="D2509" t="inlineStr">
        <is>
          <t>144</t>
        </is>
      </c>
      <c r="E2509" t="inlineStr">
        <is>
          <t>2</t>
        </is>
      </c>
      <c r="F2509" t="inlineStr">
        <is>
          <t>24</t>
        </is>
      </c>
      <c r="G2509" t="inlineStr">
        <is>
          <t>6</t>
        </is>
      </c>
      <c r="H2509" t="inlineStr">
        <is>
          <t>0</t>
        </is>
      </c>
      <c r="I2509" t="inlineStr">
        <is>
          <t>24², 96¹</t>
        </is>
      </c>
      <c r="J2509" t="n">
        <v>3</v>
      </c>
      <c r="K2509" t="inlineStr">
        <is>
          <t>2², 4³, 8⁴</t>
        </is>
      </c>
      <c r="L2509" t="inlineStr">
        <is>
          <t>32I³, 48E⁴</t>
        </is>
      </c>
      <c r="M2509" t="inlineStr">
        <is>
          <t>96L¹⁹, 96L²⁰, 96M²⁰, 96AW²¹, 96AV²¹, 96A²², 96B²²</t>
        </is>
      </c>
      <c r="N2509" t="inlineStr">
        <is>
          <t>12C⁰, 8D⁰, 4C⁰, 32I³, 2B⁰, 1A⁰, 48E⁴, 16C¹, 24C¹, 3A⁰, 6D⁰</t>
        </is>
      </c>
      <c r="O2509" t="inlineStr">
        <is>
          <t>96AV²¹, 96M²⁰, 96L¹⁹, 96A²², 96L²⁰, 96AW²¹, 96B²²</t>
        </is>
      </c>
    </row>
    <row r="2510">
      <c r="A2510">
        <f>HYPERLINK("https://mathstats.uncg.edu/sites/pauli/congruence/csg10.html#group96D10", "96D¹⁰")</f>
        <v/>
      </c>
      <c r="B2510" t="n">
        <v>10</v>
      </c>
      <c r="C2510" t="inlineStr"/>
      <c r="D2510" t="inlineStr">
        <is>
          <t>144</t>
        </is>
      </c>
      <c r="E2510" t="inlineStr">
        <is>
          <t>2</t>
        </is>
      </c>
      <c r="F2510" t="inlineStr">
        <is>
          <t>72</t>
        </is>
      </c>
      <c r="G2510" t="inlineStr">
        <is>
          <t>6</t>
        </is>
      </c>
      <c r="H2510" t="inlineStr">
        <is>
          <t>0</t>
        </is>
      </c>
      <c r="I2510" t="inlineStr">
        <is>
          <t>24², 96¹</t>
        </is>
      </c>
      <c r="J2510" t="n">
        <v>3</v>
      </c>
      <c r="K2510" t="inlineStr">
        <is>
          <t>2², 4⁵, 8⁷, 16⁴</t>
        </is>
      </c>
      <c r="L2510" t="inlineStr">
        <is>
          <t>48E⁴</t>
        </is>
      </c>
      <c r="M2510" t="inlineStr">
        <is>
          <t>96AC¹⁹, 96C²⁰, 96D²⁰, 96K²⁰, 96L²⁰, 96M²⁰, 96AC²¹, 96AD²¹, 96AU²¹, 96AW²¹, 96AV²¹, 96C²², 96D²²</t>
        </is>
      </c>
      <c r="N2510" t="inlineStr">
        <is>
          <t>48E⁴, 12C⁰, 8D⁰, 16C¹, 4C⁰, 24C¹, 2B⁰, 3A⁰, 1A⁰, 6D⁰</t>
        </is>
      </c>
      <c r="O2510" t="inlineStr">
        <is>
          <t>96AV²¹, 96AC²¹, 96L²⁰, 96AC¹⁹, 96C²², 96AW²¹, 96K²⁰, 96M²⁰, 96C²⁰, 96AD²¹, 96AU²¹, 96D²², 96D²⁰</t>
        </is>
      </c>
    </row>
    <row r="2511">
      <c r="A2511">
        <f>HYPERLINK("https://mathstats.uncg.edu/sites/pauli/congruence/csg10.html#group96E10", "96E¹⁰")</f>
        <v/>
      </c>
      <c r="B2511" t="n">
        <v>10</v>
      </c>
      <c r="C2511" t="inlineStr"/>
      <c r="D2511" t="inlineStr">
        <is>
          <t>192</t>
        </is>
      </c>
      <c r="E2511" t="inlineStr">
        <is>
          <t>1</t>
        </is>
      </c>
      <c r="F2511" t="inlineStr">
        <is>
          <t>96</t>
        </is>
      </c>
      <c r="G2511" t="inlineStr">
        <is>
          <t>0</t>
        </is>
      </c>
      <c r="H2511" t="inlineStr">
        <is>
          <t>0</t>
        </is>
      </c>
      <c r="I2511" t="inlineStr">
        <is>
          <t>2⁴, 4², 6⁴, 12², 32¹, 96¹</t>
        </is>
      </c>
      <c r="J2511" t="n">
        <v>14</v>
      </c>
      <c r="K2511" t="inlineStr">
        <is>
          <t>2⁴, 4⁸, 8¹¹, 16⁴</t>
        </is>
      </c>
      <c r="L2511" t="inlineStr">
        <is>
          <t>32C¹, 48J⁴</t>
        </is>
      </c>
      <c r="M2511" t="inlineStr">
        <is>
          <t>96BD¹⁹, 96AJ²³, 96AL²³</t>
        </is>
      </c>
      <c r="N2511" t="inlineStr">
        <is>
          <t>3B⁰, 16E⁰, 32C¹, 24I², 8D⁰, 12F¹, 48J⁴, 4C⁰, 1A⁰, 2B⁰, 6F⁰</t>
        </is>
      </c>
      <c r="O2511" t="inlineStr">
        <is>
          <t>96BD¹⁹, 96AL²³, 96AJ²³</t>
        </is>
      </c>
    </row>
    <row r="2512">
      <c r="A2512">
        <f>HYPERLINK("https://mathstats.uncg.edu/sites/pauli/congruence/csg10.html#group96F10", "96F¹⁰")</f>
        <v/>
      </c>
      <c r="B2512" t="n">
        <v>10</v>
      </c>
      <c r="C2512" t="inlineStr"/>
      <c r="D2512" t="inlineStr">
        <is>
          <t>192</t>
        </is>
      </c>
      <c r="E2512" t="inlineStr">
        <is>
          <t>1</t>
        </is>
      </c>
      <c r="F2512" t="inlineStr">
        <is>
          <t>96</t>
        </is>
      </c>
      <c r="G2512" t="inlineStr">
        <is>
          <t>0</t>
        </is>
      </c>
      <c r="H2512" t="inlineStr">
        <is>
          <t>0</t>
        </is>
      </c>
      <c r="I2512" t="inlineStr">
        <is>
          <t>2⁴, 4², 6⁴, 12², 32¹, 96¹</t>
        </is>
      </c>
      <c r="J2512" t="n">
        <v>14</v>
      </c>
      <c r="K2512" t="inlineStr">
        <is>
          <t>2⁴, 4⁸, 8¹¹, 16⁴</t>
        </is>
      </c>
      <c r="L2512" t="inlineStr">
        <is>
          <t>32D¹, 48J⁴</t>
        </is>
      </c>
      <c r="M2512" t="inlineStr">
        <is>
          <t>96BD¹⁹, 96AJ²³, 96AL²³</t>
        </is>
      </c>
      <c r="N2512" t="inlineStr">
        <is>
          <t>3B⁰, 8D⁰, 12F¹, 4C⁰, 32D¹, 2B⁰, 1A⁰, 16E⁰, 24I², 48J⁴, 6F⁰</t>
        </is>
      </c>
      <c r="O2512" t="inlineStr">
        <is>
          <t>96BD¹⁹, 96AL²³, 96AJ²³</t>
        </is>
      </c>
    </row>
    <row r="2513">
      <c r="A2513">
        <f>HYPERLINK("https://mathstats.uncg.edu/sites/pauli/congruence/csg10.html#group99A10", "99A¹⁰")</f>
        <v/>
      </c>
      <c r="B2513" t="n">
        <v>10</v>
      </c>
      <c r="C2513" t="inlineStr"/>
      <c r="D2513" t="inlineStr">
        <is>
          <t>132</t>
        </is>
      </c>
      <c r="E2513" t="inlineStr">
        <is>
          <t>2</t>
        </is>
      </c>
      <c r="F2513" t="inlineStr">
        <is>
          <t>44</t>
        </is>
      </c>
      <c r="G2513" t="inlineStr">
        <is>
          <t>0</t>
        </is>
      </c>
      <c r="H2513" t="inlineStr">
        <is>
          <t>0</t>
        </is>
      </c>
      <c r="I2513" t="inlineStr">
        <is>
          <t>11³, 99¹</t>
        </is>
      </c>
      <c r="J2513" t="n">
        <v>4</v>
      </c>
      <c r="K2513" t="inlineStr">
        <is>
          <t>2², 4¹, 10⁴, 20²</t>
        </is>
      </c>
      <c r="L2513" t="inlineStr">
        <is>
          <t>9B⁰, 33B³</t>
        </is>
      </c>
      <c r="M2513" t="inlineStr">
        <is>
          <t>198A²¹</t>
        </is>
      </c>
      <c r="N2513" t="inlineStr">
        <is>
          <t>11A⁰, 3B⁰, 9B⁰, 1A⁰, 33B³</t>
        </is>
      </c>
      <c r="O2513" t="inlineStr">
        <is>
          <t>198A²¹</t>
        </is>
      </c>
    </row>
    <row r="2514">
      <c r="A2514">
        <f>HYPERLINK("https://mathstats.uncg.edu/sites/pauli/congruence/csg10.html#group100A10", "100A¹⁰")</f>
        <v/>
      </c>
      <c r="B2514" t="n">
        <v>10</v>
      </c>
      <c r="C2514" t="inlineStr"/>
      <c r="D2514" t="inlineStr">
        <is>
          <t>180</t>
        </is>
      </c>
      <c r="E2514" t="inlineStr">
        <is>
          <t>1</t>
        </is>
      </c>
      <c r="F2514" t="inlineStr">
        <is>
          <t>90</t>
        </is>
      </c>
      <c r="G2514" t="inlineStr">
        <is>
          <t>0</t>
        </is>
      </c>
      <c r="H2514" t="inlineStr">
        <is>
          <t>0</t>
        </is>
      </c>
      <c r="I2514" t="inlineStr">
        <is>
          <t>2⁵, 4⁵, 50¹, 100¹</t>
        </is>
      </c>
      <c r="J2514" t="n">
        <v>12</v>
      </c>
      <c r="K2514" t="inlineStr">
        <is>
          <t>1⁶, 4⁶, 20³</t>
        </is>
      </c>
      <c r="L2514" t="inlineStr">
        <is>
          <t>20C², 50B²</t>
        </is>
      </c>
      <c r="M2514" t="inlineStr">
        <is>
          <t>100N¹⁹, 100O¹⁹, 100P¹⁹</t>
        </is>
      </c>
      <c r="N2514" t="inlineStr">
        <is>
          <t>25A⁰, 10C⁰, 5B⁰, 2B⁰, 50B², 1A⁰, 20C²</t>
        </is>
      </c>
      <c r="O2514" t="inlineStr">
        <is>
          <t>100P¹⁹, 100O¹⁹, 100N¹⁹</t>
        </is>
      </c>
    </row>
    <row r="2515">
      <c r="A2515">
        <f>HYPERLINK("https://mathstats.uncg.edu/sites/pauli/congruence/csg10.html#group105A10", "105A¹⁰")</f>
        <v/>
      </c>
      <c r="B2515" t="n">
        <v>10</v>
      </c>
      <c r="C2515" t="inlineStr"/>
      <c r="D2515" t="inlineStr">
        <is>
          <t>120</t>
        </is>
      </c>
      <c r="E2515" t="inlineStr">
        <is>
          <t>1</t>
        </is>
      </c>
      <c r="F2515" t="inlineStr">
        <is>
          <t>40</t>
        </is>
      </c>
      <c r="G2515" t="inlineStr">
        <is>
          <t>0</t>
        </is>
      </c>
      <c r="H2515" t="inlineStr">
        <is>
          <t>0</t>
        </is>
      </c>
      <c r="I2515" t="inlineStr">
        <is>
          <t>15¹, 105¹</t>
        </is>
      </c>
      <c r="J2515" t="n">
        <v>2</v>
      </c>
      <c r="K2515" t="inlineStr">
        <is>
          <t>1², 4², 6¹, 24¹</t>
        </is>
      </c>
      <c r="L2515" t="inlineStr">
        <is>
          <t>15A¹, 21A², 35B²</t>
        </is>
      </c>
      <c r="M2515" t="inlineStr">
        <is>
          <t>105B¹⁹, 210A²⁰, 210B²⁰</t>
        </is>
      </c>
      <c r="N2515" t="inlineStr">
        <is>
          <t>5A⁰, 21A², 7B⁰, 35B², 3A⁰, 1A⁰, 15A¹</t>
        </is>
      </c>
      <c r="O2515" t="inlineStr">
        <is>
          <t>105B¹⁹, 210B²⁰, 210A²⁰</t>
        </is>
      </c>
    </row>
    <row r="2516">
      <c r="A2516">
        <f>HYPERLINK("https://mathstats.uncg.edu/sites/pauli/congruence/csg10.html#group108A10", "108A¹⁰")</f>
        <v/>
      </c>
      <c r="B2516" t="n">
        <v>10</v>
      </c>
      <c r="C2516" t="inlineStr"/>
      <c r="D2516" t="inlineStr">
        <is>
          <t>144</t>
        </is>
      </c>
      <c r="E2516" t="inlineStr">
        <is>
          <t>1</t>
        </is>
      </c>
      <c r="F2516" t="inlineStr">
        <is>
          <t>12</t>
        </is>
      </c>
      <c r="G2516" t="inlineStr">
        <is>
          <t>0</t>
        </is>
      </c>
      <c r="H2516" t="inlineStr">
        <is>
          <t>0</t>
        </is>
      </c>
      <c r="I2516" t="inlineStr">
        <is>
          <t>4³, 12², 108¹</t>
        </is>
      </c>
      <c r="J2516" t="n">
        <v>6</v>
      </c>
      <c r="K2516" t="inlineStr">
        <is>
          <t>1², 2², 6¹</t>
        </is>
      </c>
      <c r="L2516" t="inlineStr">
        <is>
          <t>36A³, 54A⁴</t>
        </is>
      </c>
      <c r="M2516" t="inlineStr"/>
      <c r="N2516" t="inlineStr">
        <is>
          <t>3B⁰, 2A⁰, 27A¹, 18C¹, 6C⁰, 9B⁰, 54A⁴, 1A⁰, 36A³, 12B⁰</t>
        </is>
      </c>
      <c r="O2516" t="inlineStr"/>
    </row>
    <row r="2517">
      <c r="A2517">
        <f>HYPERLINK("https://mathstats.uncg.edu/sites/pauli/congruence/csg10.html#group108B10", "108B¹⁰")</f>
        <v/>
      </c>
      <c r="B2517" t="n">
        <v>10</v>
      </c>
      <c r="C2517" t="inlineStr"/>
      <c r="D2517" t="inlineStr">
        <is>
          <t>144</t>
        </is>
      </c>
      <c r="E2517" t="inlineStr">
        <is>
          <t>1</t>
        </is>
      </c>
      <c r="F2517" t="inlineStr">
        <is>
          <t>24</t>
        </is>
      </c>
      <c r="G2517" t="inlineStr">
        <is>
          <t>0</t>
        </is>
      </c>
      <c r="H2517" t="inlineStr">
        <is>
          <t>0</t>
        </is>
      </c>
      <c r="I2517" t="inlineStr">
        <is>
          <t>4³, 12², 108¹</t>
        </is>
      </c>
      <c r="J2517" t="n">
        <v>6</v>
      </c>
      <c r="K2517" t="inlineStr">
        <is>
          <t>2⁶, 6²</t>
        </is>
      </c>
      <c r="L2517" t="inlineStr">
        <is>
          <t>36A³, 54C⁴</t>
        </is>
      </c>
      <c r="M2517" t="inlineStr"/>
      <c r="N2517" t="inlineStr">
        <is>
          <t>3B⁰, 2A⁰, 18C¹, 6C⁰, 9B⁰, 54C⁴, 1A⁰, 36A³, 12B⁰</t>
        </is>
      </c>
      <c r="O2517" t="inlineStr"/>
    </row>
    <row r="2518">
      <c r="A2518">
        <f>HYPERLINK("https://mathstats.uncg.edu/sites/pauli/congruence/csg10.html#group108C10", "108C¹⁰")</f>
        <v/>
      </c>
      <c r="B2518" t="n">
        <v>10</v>
      </c>
      <c r="C2518" t="inlineStr"/>
      <c r="D2518" t="inlineStr">
        <is>
          <t>144</t>
        </is>
      </c>
      <c r="E2518" t="inlineStr">
        <is>
          <t>1</t>
        </is>
      </c>
      <c r="F2518" t="inlineStr">
        <is>
          <t>24</t>
        </is>
      </c>
      <c r="G2518" t="inlineStr">
        <is>
          <t>0</t>
        </is>
      </c>
      <c r="H2518" t="inlineStr">
        <is>
          <t>6</t>
        </is>
      </c>
      <c r="I2518" t="inlineStr">
        <is>
          <t>36¹, 108¹</t>
        </is>
      </c>
      <c r="J2518" t="n">
        <v>2</v>
      </c>
      <c r="K2518" t="inlineStr">
        <is>
          <t>2⁶, 6²</t>
        </is>
      </c>
      <c r="L2518" t="inlineStr">
        <is>
          <t>36A⁰, 54C⁵</t>
        </is>
      </c>
      <c r="M2518" t="inlineStr"/>
      <c r="N2518" t="inlineStr">
        <is>
          <t>3B⁰, 2A⁰, 18B⁰, 6C⁰, 54C⁵, 9C⁰, 1A⁰, 36A⁰, 12B⁰</t>
        </is>
      </c>
      <c r="O2518" t="inlineStr"/>
    </row>
    <row r="2519">
      <c r="A2519">
        <f>HYPERLINK("https://mathstats.uncg.edu/sites/pauli/congruence/csg10.html#group108D10", "108D¹⁰")</f>
        <v/>
      </c>
      <c r="B2519" t="n">
        <v>10</v>
      </c>
      <c r="C2519" t="inlineStr"/>
      <c r="D2519" t="inlineStr">
        <is>
          <t>144</t>
        </is>
      </c>
      <c r="E2519" t="inlineStr">
        <is>
          <t>1</t>
        </is>
      </c>
      <c r="F2519" t="inlineStr">
        <is>
          <t>48</t>
        </is>
      </c>
      <c r="G2519" t="inlineStr">
        <is>
          <t>0</t>
        </is>
      </c>
      <c r="H2519" t="inlineStr">
        <is>
          <t>0</t>
        </is>
      </c>
      <c r="I2519" t="inlineStr">
        <is>
          <t>4³, 12², 108¹</t>
        </is>
      </c>
      <c r="J2519" t="n">
        <v>6</v>
      </c>
      <c r="K2519" t="inlineStr">
        <is>
          <t>2⁴, 4⁴, 12²</t>
        </is>
      </c>
      <c r="L2519" t="inlineStr">
        <is>
          <t>27A¹, 36B³</t>
        </is>
      </c>
      <c r="M2519" t="inlineStr">
        <is>
          <t>108A¹⁹, 216A²²</t>
        </is>
      </c>
      <c r="N2519" t="inlineStr">
        <is>
          <t>3B⁰, 9B⁰, 27A¹, 36B³, 1A⁰, 4A⁰, 12A¹</t>
        </is>
      </c>
      <c r="O2519" t="inlineStr">
        <is>
          <t>108A¹⁹, 216A²²</t>
        </is>
      </c>
    </row>
    <row r="2520">
      <c r="A2520">
        <f>HYPERLINK("https://mathstats.uncg.edu/sites/pauli/congruence/csg10.html#group108E10", "108E¹⁰")</f>
        <v/>
      </c>
      <c r="B2520" t="n">
        <v>10</v>
      </c>
      <c r="C2520" t="inlineStr"/>
      <c r="D2520" t="inlineStr">
        <is>
          <t>144</t>
        </is>
      </c>
      <c r="E2520" t="inlineStr">
        <is>
          <t>1</t>
        </is>
      </c>
      <c r="F2520" t="inlineStr">
        <is>
          <t>48</t>
        </is>
      </c>
      <c r="G2520" t="inlineStr">
        <is>
          <t>0</t>
        </is>
      </c>
      <c r="H2520" t="inlineStr">
        <is>
          <t>6</t>
        </is>
      </c>
      <c r="I2520" t="inlineStr">
        <is>
          <t>36¹, 108¹</t>
        </is>
      </c>
      <c r="J2520" t="n">
        <v>2</v>
      </c>
      <c r="K2520" t="inlineStr">
        <is>
          <t>2⁴, 4⁴, 12²</t>
        </is>
      </c>
      <c r="L2520" t="inlineStr">
        <is>
          <t>27B¹, 36C³</t>
        </is>
      </c>
      <c r="M2520" t="inlineStr">
        <is>
          <t>108B¹⁹, 216A²⁰</t>
        </is>
      </c>
      <c r="N2520" t="inlineStr">
        <is>
          <t>3B⁰, 4A⁰, 12A¹, 27B¹, 9C⁰, 1A⁰, 36C³</t>
        </is>
      </c>
      <c r="O2520" t="inlineStr">
        <is>
          <t>216A²⁰, 108B¹⁹</t>
        </is>
      </c>
    </row>
    <row r="2521">
      <c r="A2521">
        <f>HYPERLINK("https://mathstats.uncg.edu/sites/pauli/congruence/csg10.html#group108F10", "108F¹⁰")</f>
        <v/>
      </c>
      <c r="B2521" t="n">
        <v>10</v>
      </c>
      <c r="C2521" t="inlineStr">
        <is>
          <t>Γ₀(108)</t>
        </is>
      </c>
      <c r="D2521" t="inlineStr">
        <is>
          <t>216</t>
        </is>
      </c>
      <c r="E2521" t="inlineStr">
        <is>
          <t>1</t>
        </is>
      </c>
      <c r="F2521" t="inlineStr">
        <is>
          <t>36</t>
        </is>
      </c>
      <c r="G2521" t="inlineStr">
        <is>
          <t>0</t>
        </is>
      </c>
      <c r="H2521" t="inlineStr">
        <is>
          <t>0</t>
        </is>
      </c>
      <c r="I2521" t="inlineStr">
        <is>
          <t>1⁶, 3⁴, 4³, 12², 27², 108¹</t>
        </is>
      </c>
      <c r="J2521" t="n">
        <v>18</v>
      </c>
      <c r="K2521" t="inlineStr">
        <is>
          <t>1⁶, 2⁶, 6³</t>
        </is>
      </c>
      <c r="L2521" t="inlineStr">
        <is>
          <t>36C¹, 54E⁴</t>
        </is>
      </c>
      <c r="M2521" t="inlineStr">
        <is>
          <t>108F²², 216C²²</t>
        </is>
      </c>
      <c r="N2521" t="inlineStr">
        <is>
          <t>3B⁰, 27A¹, 18E⁰, 9B⁰, 1A⁰, 2B⁰, 36C¹, 4B⁰, 6F⁰, 12E⁰, 54E⁴</t>
        </is>
      </c>
      <c r="O2521" t="inlineStr">
        <is>
          <t>108F²², 216C²²</t>
        </is>
      </c>
    </row>
    <row r="2522">
      <c r="A2522">
        <f>HYPERLINK("https://mathstats.uncg.edu/sites/pauli/congruence/csg10.html#group110A10", "110A¹⁰")</f>
        <v/>
      </c>
      <c r="B2522" t="n">
        <v>10</v>
      </c>
      <c r="C2522" t="inlineStr"/>
      <c r="D2522" t="inlineStr">
        <is>
          <t>120</t>
        </is>
      </c>
      <c r="E2522" t="inlineStr">
        <is>
          <t>1</t>
        </is>
      </c>
      <c r="F2522" t="inlineStr">
        <is>
          <t>60</t>
        </is>
      </c>
      <c r="G2522" t="inlineStr">
        <is>
          <t>0</t>
        </is>
      </c>
      <c r="H2522" t="inlineStr">
        <is>
          <t>0</t>
        </is>
      </c>
      <c r="I2522" t="inlineStr">
        <is>
          <t>10¹, 110¹</t>
        </is>
      </c>
      <c r="J2522" t="n">
        <v>2</v>
      </c>
      <c r="K2522" t="inlineStr">
        <is>
          <t>1², 4², 10¹, 40¹</t>
        </is>
      </c>
      <c r="L2522" t="inlineStr">
        <is>
          <t>10A⁰, 22A², 55A⁵</t>
        </is>
      </c>
      <c r="M2522" t="inlineStr">
        <is>
          <t>220A²⁰</t>
        </is>
      </c>
      <c r="N2522" t="inlineStr">
        <is>
          <t>2A⁰, 5A⁰, 10A⁰, 11A¹, 22A², 55A⁵, 1A⁰</t>
        </is>
      </c>
      <c r="O2522" t="inlineStr">
        <is>
          <t>220A²⁰</t>
        </is>
      </c>
    </row>
    <row r="2523">
      <c r="A2523">
        <f>HYPERLINK("https://mathstats.uncg.edu/sites/pauli/congruence/csg10.html#group112A10", "112A¹⁰")</f>
        <v/>
      </c>
      <c r="B2523" t="n">
        <v>10</v>
      </c>
      <c r="C2523" t="inlineStr"/>
      <c r="D2523" t="inlineStr">
        <is>
          <t>168</t>
        </is>
      </c>
      <c r="E2523" t="inlineStr">
        <is>
          <t>2</t>
        </is>
      </c>
      <c r="F2523" t="inlineStr">
        <is>
          <t>21</t>
        </is>
      </c>
      <c r="G2523" t="inlineStr">
        <is>
          <t>16</t>
        </is>
      </c>
      <c r="H2523" t="inlineStr">
        <is>
          <t>0</t>
        </is>
      </c>
      <c r="I2523" t="inlineStr">
        <is>
          <t>56¹, 112¹</t>
        </is>
      </c>
      <c r="J2523" t="n">
        <v>2</v>
      </c>
      <c r="K2523" t="inlineStr">
        <is>
          <t>2³, 6⁶</t>
        </is>
      </c>
      <c r="L2523" t="inlineStr">
        <is>
          <t>56B⁴</t>
        </is>
      </c>
      <c r="M2523" t="inlineStr">
        <is>
          <t>112A¹⁹, 112E²³, 112D²³, 112N²³, 112M²³</t>
        </is>
      </c>
      <c r="N2523" t="inlineStr">
        <is>
          <t>28C², 14B¹, 4C⁰, 8B⁰, 2B⁰, 1A⁰, 7A⁰, 56B⁴</t>
        </is>
      </c>
      <c r="O2523" t="inlineStr">
        <is>
          <t>112D²³, 112A¹⁹, 112E²³, 112N²³, 112M²³</t>
        </is>
      </c>
    </row>
    <row r="2524">
      <c r="A2524">
        <f>HYPERLINK("https://mathstats.uncg.edu/sites/pauli/congruence/csg10.html#group114A10", "114A¹⁰")</f>
        <v/>
      </c>
      <c r="B2524" t="n">
        <v>10</v>
      </c>
      <c r="C2524" t="inlineStr"/>
      <c r="D2524" t="inlineStr">
        <is>
          <t>120</t>
        </is>
      </c>
      <c r="E2524" t="inlineStr">
        <is>
          <t>1</t>
        </is>
      </c>
      <c r="F2524" t="inlineStr">
        <is>
          <t>20</t>
        </is>
      </c>
      <c r="G2524" t="inlineStr">
        <is>
          <t>0</t>
        </is>
      </c>
      <c r="H2524" t="inlineStr">
        <is>
          <t>0</t>
        </is>
      </c>
      <c r="I2524" t="inlineStr">
        <is>
          <t>6¹, 114¹</t>
        </is>
      </c>
      <c r="J2524" t="n">
        <v>2</v>
      </c>
      <c r="K2524" t="inlineStr">
        <is>
          <t>1², 18¹</t>
        </is>
      </c>
      <c r="L2524" t="inlineStr">
        <is>
          <t>6A¹, 38A², 57A⁵</t>
        </is>
      </c>
      <c r="M2524" t="inlineStr">
        <is>
          <t>114B¹⁹, 228A²⁰, 228B²⁰</t>
        </is>
      </c>
      <c r="N2524" t="inlineStr">
        <is>
          <t>19A¹, 2A⁰, 38A², 57A⁵, 6A¹, 3A⁰, 1A⁰</t>
        </is>
      </c>
      <c r="O2524" t="inlineStr">
        <is>
          <t>228A²⁰, 228B²⁰, 114B¹⁹</t>
        </is>
      </c>
    </row>
    <row r="2525">
      <c r="A2525">
        <f>HYPERLINK("https://mathstats.uncg.edu/sites/pauli/congruence/csg10.html#group114B10", "114B¹⁰")</f>
        <v/>
      </c>
      <c r="B2525" t="n">
        <v>10</v>
      </c>
      <c r="C2525" t="inlineStr"/>
      <c r="D2525" t="inlineStr">
        <is>
          <t>120</t>
        </is>
      </c>
      <c r="E2525" t="inlineStr">
        <is>
          <t>1</t>
        </is>
      </c>
      <c r="F2525" t="inlineStr">
        <is>
          <t>60</t>
        </is>
      </c>
      <c r="G2525" t="inlineStr">
        <is>
          <t>0</t>
        </is>
      </c>
      <c r="H2525" t="inlineStr">
        <is>
          <t>0</t>
        </is>
      </c>
      <c r="I2525" t="inlineStr">
        <is>
          <t>6¹, 114¹</t>
        </is>
      </c>
      <c r="J2525" t="n">
        <v>2</v>
      </c>
      <c r="K2525" t="inlineStr">
        <is>
          <t>1², 2², 18¹, 36¹</t>
        </is>
      </c>
      <c r="L2525" t="inlineStr">
        <is>
          <t>6B⁰, 57A⁵</t>
        </is>
      </c>
      <c r="M2525" t="inlineStr">
        <is>
          <t>114A¹⁹, 114B¹⁹</t>
        </is>
      </c>
      <c r="N2525" t="inlineStr">
        <is>
          <t>19A¹, 57A⁵, 6B⁰, 3A⁰, 1A⁰</t>
        </is>
      </c>
      <c r="O2525" t="inlineStr">
        <is>
          <t>114A¹⁹, 114B¹⁹</t>
        </is>
      </c>
    </row>
    <row r="2526">
      <c r="A2526">
        <f>HYPERLINK("https://mathstats.uncg.edu/sites/pauli/congruence/csg10.html#group114C10", "114C¹⁰")</f>
        <v/>
      </c>
      <c r="B2526" t="n">
        <v>10</v>
      </c>
      <c r="C2526" t="inlineStr"/>
      <c r="D2526" t="inlineStr">
        <is>
          <t>120</t>
        </is>
      </c>
      <c r="E2526" t="inlineStr">
        <is>
          <t>2</t>
        </is>
      </c>
      <c r="F2526" t="inlineStr">
        <is>
          <t>20</t>
        </is>
      </c>
      <c r="G2526" t="inlineStr">
        <is>
          <t>0</t>
        </is>
      </c>
      <c r="H2526" t="inlineStr">
        <is>
          <t>0</t>
        </is>
      </c>
      <c r="I2526" t="inlineStr">
        <is>
          <t>6¹, 114¹</t>
        </is>
      </c>
      <c r="J2526" t="n">
        <v>2</v>
      </c>
      <c r="K2526" t="inlineStr">
        <is>
          <t>2², 36¹</t>
        </is>
      </c>
      <c r="L2526" t="inlineStr">
        <is>
          <t>38A², 57B⁵</t>
        </is>
      </c>
      <c r="M2526" t="inlineStr">
        <is>
          <t>228D²⁰</t>
        </is>
      </c>
      <c r="N2526" t="inlineStr">
        <is>
          <t>19A¹, 2A⁰, 38A², 57B⁵, 1A⁰</t>
        </is>
      </c>
      <c r="O2526" t="inlineStr">
        <is>
          <t>228D²⁰</t>
        </is>
      </c>
    </row>
    <row r="2527">
      <c r="A2527">
        <f>HYPERLINK("https://mathstats.uncg.edu/sites/pauli/congruence/csg10.html#group115A10", "115A¹⁰")</f>
        <v/>
      </c>
      <c r="B2527" t="n">
        <v>10</v>
      </c>
      <c r="C2527" t="inlineStr"/>
      <c r="D2527" t="inlineStr">
        <is>
          <t>120</t>
        </is>
      </c>
      <c r="E2527" t="inlineStr">
        <is>
          <t>1</t>
        </is>
      </c>
      <c r="F2527" t="inlineStr">
        <is>
          <t>120</t>
        </is>
      </c>
      <c r="G2527" t="inlineStr">
        <is>
          <t>0</t>
        </is>
      </c>
      <c r="H2527" t="inlineStr">
        <is>
          <t>0</t>
        </is>
      </c>
      <c r="I2527" t="inlineStr">
        <is>
          <t>5¹, 115¹</t>
        </is>
      </c>
      <c r="J2527" t="n">
        <v>2</v>
      </c>
      <c r="K2527" t="inlineStr">
        <is>
          <t>1², 4², 22¹, 88¹</t>
        </is>
      </c>
      <c r="L2527" t="inlineStr">
        <is>
          <t>5A⁰, 23A²</t>
        </is>
      </c>
      <c r="M2527" t="inlineStr">
        <is>
          <t>230A²⁰</t>
        </is>
      </c>
      <c r="N2527" t="inlineStr">
        <is>
          <t>1A⁰, 5A⁰, 23A²</t>
        </is>
      </c>
      <c r="O2527" t="inlineStr">
        <is>
          <t>230A²⁰</t>
        </is>
      </c>
    </row>
    <row r="2528">
      <c r="A2528">
        <f>HYPERLINK("https://mathstats.uncg.edu/sites/pauli/congruence/csg10.html#group117A10", "117A¹⁰")</f>
        <v/>
      </c>
      <c r="B2528" t="n">
        <v>10</v>
      </c>
      <c r="C2528" t="inlineStr"/>
      <c r="D2528" t="inlineStr">
        <is>
          <t>168</t>
        </is>
      </c>
      <c r="E2528" t="inlineStr">
        <is>
          <t>2</t>
        </is>
      </c>
      <c r="F2528" t="inlineStr">
        <is>
          <t>56</t>
        </is>
      </c>
      <c r="G2528" t="inlineStr">
        <is>
          <t>0</t>
        </is>
      </c>
      <c r="H2528" t="inlineStr">
        <is>
          <t>3</t>
        </is>
      </c>
      <c r="I2528" t="inlineStr">
        <is>
          <t>1³, 9¹, 13³, 117¹</t>
        </is>
      </c>
      <c r="J2528" t="n">
        <v>8</v>
      </c>
      <c r="K2528" t="inlineStr">
        <is>
          <t>2⁸, 24⁴</t>
        </is>
      </c>
      <c r="L2528" t="inlineStr">
        <is>
          <t>39A³</t>
        </is>
      </c>
      <c r="M2528" t="inlineStr">
        <is>
          <t>117B¹⁹, 234E²³, 234D²³</t>
        </is>
      </c>
      <c r="N2528" t="inlineStr">
        <is>
          <t>13A⁰, 3B⁰, 1A⁰, 39A³</t>
        </is>
      </c>
      <c r="O2528" t="inlineStr">
        <is>
          <t>117B¹⁹, 234E²³, 234D²³</t>
        </is>
      </c>
    </row>
    <row r="2529">
      <c r="A2529">
        <f>HYPERLINK("https://mathstats.uncg.edu/sites/pauli/congruence/csg10.html#group118A10", "118A¹⁰")</f>
        <v/>
      </c>
      <c r="B2529" t="n">
        <v>10</v>
      </c>
      <c r="C2529" t="inlineStr"/>
      <c r="D2529" t="inlineStr">
        <is>
          <t>120</t>
        </is>
      </c>
      <c r="E2529" t="inlineStr">
        <is>
          <t>1</t>
        </is>
      </c>
      <c r="F2529" t="inlineStr">
        <is>
          <t>60</t>
        </is>
      </c>
      <c r="G2529" t="inlineStr">
        <is>
          <t>0</t>
        </is>
      </c>
      <c r="H2529" t="inlineStr">
        <is>
          <t>0</t>
        </is>
      </c>
      <c r="I2529" t="inlineStr">
        <is>
          <t>2¹, 118¹</t>
        </is>
      </c>
      <c r="J2529" t="n">
        <v>2</v>
      </c>
      <c r="K2529" t="inlineStr">
        <is>
          <t>1², 58¹</t>
        </is>
      </c>
      <c r="L2529" t="inlineStr">
        <is>
          <t>2A⁰, 59A⁵</t>
        </is>
      </c>
      <c r="M2529" t="inlineStr">
        <is>
          <t>236A²⁰</t>
        </is>
      </c>
      <c r="N2529" t="inlineStr">
        <is>
          <t>2A⁰, 1A⁰, 59A⁵</t>
        </is>
      </c>
      <c r="O2529" t="inlineStr">
        <is>
          <t>236A²⁰</t>
        </is>
      </c>
    </row>
    <row r="2530">
      <c r="A2530">
        <f>HYPERLINK("https://mathstats.uncg.edu/sites/pauli/congruence/csg10.html#group124A10", "124A¹⁰")</f>
        <v/>
      </c>
      <c r="B2530" t="n">
        <v>10</v>
      </c>
      <c r="C2530" t="inlineStr"/>
      <c r="D2530" t="inlineStr">
        <is>
          <t>128</t>
        </is>
      </c>
      <c r="E2530" t="inlineStr">
        <is>
          <t>1</t>
        </is>
      </c>
      <c r="F2530" t="inlineStr">
        <is>
          <t>128</t>
        </is>
      </c>
      <c r="G2530" t="inlineStr">
        <is>
          <t>0</t>
        </is>
      </c>
      <c r="H2530" t="inlineStr">
        <is>
          <t>2</t>
        </is>
      </c>
      <c r="I2530" t="inlineStr">
        <is>
          <t>4¹, 124¹</t>
        </is>
      </c>
      <c r="J2530" t="n">
        <v>2</v>
      </c>
      <c r="K2530" t="inlineStr">
        <is>
          <t>2⁴, 60²</t>
        </is>
      </c>
      <c r="L2530" t="inlineStr">
        <is>
          <t>4A⁰, 31A²</t>
        </is>
      </c>
      <c r="M2530" t="inlineStr">
        <is>
          <t>124A¹⁹, 248A²⁰</t>
        </is>
      </c>
      <c r="N2530" t="inlineStr">
        <is>
          <t>31A², 4A⁰, 1A⁰</t>
        </is>
      </c>
      <c r="O2530" t="inlineStr">
        <is>
          <t>248A²⁰, 124A¹⁹</t>
        </is>
      </c>
    </row>
    <row r="2531">
      <c r="A2531">
        <f>HYPERLINK("https://mathstats.uncg.edu/sites/pauli/congruence/csg10.html#group125A10", "125A¹⁰")</f>
        <v/>
      </c>
      <c r="B2531" t="n">
        <v>10</v>
      </c>
      <c r="C2531" t="inlineStr"/>
      <c r="D2531" t="inlineStr">
        <is>
          <t>150</t>
        </is>
      </c>
      <c r="E2531" t="inlineStr">
        <is>
          <t>1</t>
        </is>
      </c>
      <c r="F2531" t="inlineStr">
        <is>
          <t>150</t>
        </is>
      </c>
      <c r="G2531" t="inlineStr">
        <is>
          <t>2</t>
        </is>
      </c>
      <c r="H2531" t="inlineStr">
        <is>
          <t>0</t>
        </is>
      </c>
      <c r="I2531" t="inlineStr">
        <is>
          <t>5⁵, 125¹</t>
        </is>
      </c>
      <c r="J2531" t="n">
        <v>6</v>
      </c>
      <c r="K2531" t="inlineStr">
        <is>
          <t>2², 4⁴, 20⁴, 100²</t>
        </is>
      </c>
      <c r="L2531" t="inlineStr">
        <is>
          <t>25A⁰</t>
        </is>
      </c>
      <c r="M2531" t="inlineStr">
        <is>
          <t>125A²⁰, 250A²², 250A²³</t>
        </is>
      </c>
      <c r="N2531" t="inlineStr">
        <is>
          <t>25A⁰, 5B⁰, 1A⁰</t>
        </is>
      </c>
      <c r="O2531" t="inlineStr">
        <is>
          <t>250A²², 125A²⁰, 250A²³</t>
        </is>
      </c>
    </row>
    <row r="2532">
      <c r="A2532">
        <f>HYPERLINK("https://mathstats.uncg.edu/sites/pauli/congruence/csg10.html#group125B10", "125B¹⁰")</f>
        <v/>
      </c>
      <c r="B2532" t="n">
        <v>10</v>
      </c>
      <c r="C2532" t="inlineStr"/>
      <c r="D2532" t="inlineStr">
        <is>
          <t>150</t>
        </is>
      </c>
      <c r="E2532" t="inlineStr">
        <is>
          <t>1</t>
        </is>
      </c>
      <c r="F2532" t="inlineStr">
        <is>
          <t>150</t>
        </is>
      </c>
      <c r="G2532" t="inlineStr">
        <is>
          <t>2</t>
        </is>
      </c>
      <c r="H2532" t="inlineStr">
        <is>
          <t>0</t>
        </is>
      </c>
      <c r="I2532" t="inlineStr">
        <is>
          <t>5⁵, 125¹</t>
        </is>
      </c>
      <c r="J2532" t="n">
        <v>6</v>
      </c>
      <c r="K2532" t="inlineStr">
        <is>
          <t>2², 4⁴, 20⁴, 100²</t>
        </is>
      </c>
      <c r="L2532" t="inlineStr">
        <is>
          <t>25A⁰</t>
        </is>
      </c>
      <c r="M2532" t="inlineStr">
        <is>
          <t>125B²⁰, 250B²², 250B²³</t>
        </is>
      </c>
      <c r="N2532" t="inlineStr">
        <is>
          <t>25A⁰, 5B⁰, 1A⁰</t>
        </is>
      </c>
      <c r="O2532" t="inlineStr">
        <is>
          <t>250B²², 125B²⁰, 250B²³</t>
        </is>
      </c>
    </row>
    <row r="2533">
      <c r="A2533">
        <f>HYPERLINK("https://mathstats.uncg.edu/sites/pauli/congruence/csg10.html#group127A10", "127A¹⁰")</f>
        <v/>
      </c>
      <c r="B2533" t="n">
        <v>10</v>
      </c>
      <c r="C2533" t="inlineStr">
        <is>
          <t>Γ₀(127)</t>
        </is>
      </c>
      <c r="D2533" t="inlineStr">
        <is>
          <t>128</t>
        </is>
      </c>
      <c r="E2533" t="inlineStr">
        <is>
          <t>1</t>
        </is>
      </c>
      <c r="F2533" t="inlineStr">
        <is>
          <t>128</t>
        </is>
      </c>
      <c r="G2533" t="inlineStr">
        <is>
          <t>0</t>
        </is>
      </c>
      <c r="H2533" t="inlineStr">
        <is>
          <t>2</t>
        </is>
      </c>
      <c r="I2533" t="inlineStr">
        <is>
          <t>1¹, 127¹</t>
        </is>
      </c>
      <c r="J2533" t="n">
        <v>2</v>
      </c>
      <c r="K2533" t="inlineStr">
        <is>
          <t>1², 126¹</t>
        </is>
      </c>
      <c r="L2533" t="inlineStr">
        <is>
          <t>1A⁰</t>
        </is>
      </c>
      <c r="M2533" t="inlineStr">
        <is>
          <t>254A²⁰</t>
        </is>
      </c>
      <c r="N2533" t="inlineStr">
        <is>
          <t>1A⁰</t>
        </is>
      </c>
      <c r="O2533" t="inlineStr">
        <is>
          <t>254A²⁰</t>
        </is>
      </c>
    </row>
    <row r="2534">
      <c r="A2534">
        <f>HYPERLINK("https://mathstats.uncg.edu/sites/pauli/congruence/csg10.html#group129A10", "129A¹⁰")</f>
        <v/>
      </c>
      <c r="B2534" t="n">
        <v>10</v>
      </c>
      <c r="C2534" t="inlineStr"/>
      <c r="D2534" t="inlineStr">
        <is>
          <t>132</t>
        </is>
      </c>
      <c r="E2534" t="inlineStr">
        <is>
          <t>2</t>
        </is>
      </c>
      <c r="F2534" t="inlineStr">
        <is>
          <t>44</t>
        </is>
      </c>
      <c r="G2534" t="inlineStr">
        <is>
          <t>0</t>
        </is>
      </c>
      <c r="H2534" t="inlineStr">
        <is>
          <t>3</t>
        </is>
      </c>
      <c r="I2534" t="inlineStr">
        <is>
          <t>3¹, 129¹</t>
        </is>
      </c>
      <c r="J2534" t="n">
        <v>2</v>
      </c>
      <c r="K2534" t="inlineStr">
        <is>
          <t>2², 84¹</t>
        </is>
      </c>
      <c r="L2534" t="inlineStr">
        <is>
          <t>43A³</t>
        </is>
      </c>
      <c r="M2534" t="inlineStr">
        <is>
          <t>258B²⁰</t>
        </is>
      </c>
      <c r="N2534" t="inlineStr">
        <is>
          <t>1A⁰, 43A³</t>
        </is>
      </c>
      <c r="O2534" t="inlineStr">
        <is>
          <t>258B²⁰</t>
        </is>
      </c>
    </row>
    <row r="2535">
      <c r="A2535">
        <f>HYPERLINK("https://mathstats.uncg.edu/sites/pauli/congruence/csg10.html#group134A10", "134A¹⁰")</f>
        <v/>
      </c>
      <c r="B2535" t="n">
        <v>10</v>
      </c>
      <c r="C2535" t="inlineStr"/>
      <c r="D2535" t="inlineStr">
        <is>
          <t>136</t>
        </is>
      </c>
      <c r="E2535" t="inlineStr">
        <is>
          <t>1</t>
        </is>
      </c>
      <c r="F2535" t="inlineStr">
        <is>
          <t>68</t>
        </is>
      </c>
      <c r="G2535" t="inlineStr">
        <is>
          <t>0</t>
        </is>
      </c>
      <c r="H2535" t="inlineStr">
        <is>
          <t>4</t>
        </is>
      </c>
      <c r="I2535" t="inlineStr">
        <is>
          <t>2¹, 134¹</t>
        </is>
      </c>
      <c r="J2535" t="n">
        <v>2</v>
      </c>
      <c r="K2535" t="inlineStr">
        <is>
          <t>1², 66¹</t>
        </is>
      </c>
      <c r="L2535" t="inlineStr">
        <is>
          <t>2A⁰, 67A⁵</t>
        </is>
      </c>
      <c r="M2535" t="inlineStr">
        <is>
          <t>268A²⁰</t>
        </is>
      </c>
      <c r="N2535" t="inlineStr">
        <is>
          <t>2A⁰, 1A⁰, 67A⁵</t>
        </is>
      </c>
      <c r="O2535" t="inlineStr">
        <is>
          <t>268A²⁰</t>
        </is>
      </c>
    </row>
    <row r="2536">
      <c r="A2536">
        <f>HYPERLINK("https://mathstats.uncg.edu/sites/pauli/congruence/csg10.html#group140A10", "140A¹⁰")</f>
        <v/>
      </c>
      <c r="B2536" t="n">
        <v>10</v>
      </c>
      <c r="C2536" t="inlineStr"/>
      <c r="D2536" t="inlineStr">
        <is>
          <t>140</t>
        </is>
      </c>
      <c r="E2536" t="inlineStr">
        <is>
          <t>2</t>
        </is>
      </c>
      <c r="F2536" t="inlineStr">
        <is>
          <t>140</t>
        </is>
      </c>
      <c r="G2536" t="inlineStr">
        <is>
          <t>6</t>
        </is>
      </c>
      <c r="H2536" t="inlineStr">
        <is>
          <t>2</t>
        </is>
      </c>
      <c r="I2536" t="inlineStr">
        <is>
          <t>140¹</t>
        </is>
      </c>
      <c r="J2536" t="n">
        <v>1</v>
      </c>
      <c r="K2536" t="inlineStr">
        <is>
          <t>4², 12⁴, 16², 48⁴</t>
        </is>
      </c>
      <c r="L2536" t="inlineStr">
        <is>
          <t>20A¹, 28A¹, 35A²</t>
        </is>
      </c>
      <c r="M2536" t="inlineStr">
        <is>
          <t>140B²⁰, 140A²¹, 280A²¹, 280B²¹, 280C²¹, 280D²¹, 140A²²</t>
        </is>
      </c>
      <c r="N2536" t="inlineStr">
        <is>
          <t>5A⁰, 4A⁰, 20A¹, 28A¹, 1A⁰, 35A², 7A⁰</t>
        </is>
      </c>
      <c r="O2536" t="inlineStr">
        <is>
          <t>280A²¹, 140B²⁰, 280B²¹, 280C²¹, 280D²¹, 140A²¹, 140A²²</t>
        </is>
      </c>
    </row>
    <row r="2537">
      <c r="A2537">
        <f>HYPERLINK("https://mathstats.uncg.edu/sites/pauli/congruence/csg10.html#group143A10", "143A¹⁰")</f>
        <v/>
      </c>
      <c r="B2537" t="n">
        <v>10</v>
      </c>
      <c r="C2537" t="inlineStr"/>
      <c r="D2537" t="inlineStr">
        <is>
          <t>154</t>
        </is>
      </c>
      <c r="E2537" t="inlineStr">
        <is>
          <t>2</t>
        </is>
      </c>
      <c r="F2537" t="inlineStr">
        <is>
          <t>154</t>
        </is>
      </c>
      <c r="G2537" t="inlineStr">
        <is>
          <t>6</t>
        </is>
      </c>
      <c r="H2537" t="inlineStr">
        <is>
          <t>4</t>
        </is>
      </c>
      <c r="I2537" t="inlineStr">
        <is>
          <t>11¹, 143¹</t>
        </is>
      </c>
      <c r="J2537" t="n">
        <v>2</v>
      </c>
      <c r="K2537" t="inlineStr">
        <is>
          <t>2², 10⁴, 24¹, 120²</t>
        </is>
      </c>
      <c r="L2537" t="inlineStr">
        <is>
          <t>11A⁰, 13A⁰</t>
        </is>
      </c>
      <c r="M2537" t="inlineStr">
        <is>
          <t>286A²⁰, 143A²², 286A²³</t>
        </is>
      </c>
      <c r="N2537" t="inlineStr">
        <is>
          <t>11A⁰, 13A⁰, 1A⁰</t>
        </is>
      </c>
      <c r="O2537" t="inlineStr">
        <is>
          <t>143A²², 286A²⁰, 286A²³</t>
        </is>
      </c>
    </row>
    <row r="2538">
      <c r="A2538">
        <f>HYPERLINK("https://mathstats.uncg.edu/sites/pauli/congruence/csg10.html#group144A10", "144A¹⁰")</f>
        <v/>
      </c>
      <c r="B2538" t="n">
        <v>10</v>
      </c>
      <c r="C2538" t="inlineStr"/>
      <c r="D2538" t="inlineStr">
        <is>
          <t>144</t>
        </is>
      </c>
      <c r="E2538" t="inlineStr">
        <is>
          <t>2</t>
        </is>
      </c>
      <c r="F2538" t="inlineStr">
        <is>
          <t>72</t>
        </is>
      </c>
      <c r="G2538" t="inlineStr">
        <is>
          <t>10</t>
        </is>
      </c>
      <c r="H2538" t="inlineStr">
        <is>
          <t>0</t>
        </is>
      </c>
      <c r="I2538" t="inlineStr">
        <is>
          <t>144¹</t>
        </is>
      </c>
      <c r="J2538" t="n">
        <v>1</v>
      </c>
      <c r="K2538" t="inlineStr">
        <is>
          <t>8², 16², 48²</t>
        </is>
      </c>
      <c r="L2538" t="inlineStr">
        <is>
          <t>48A³, 72A⁴</t>
        </is>
      </c>
      <c r="M2538" t="inlineStr">
        <is>
          <t>144E²⁰, 144F²⁰, 144N²¹, 144J²², 144T²³, 144S²³, 144A²⁴</t>
        </is>
      </c>
      <c r="N2538" t="inlineStr">
        <is>
          <t>36A¹, 12A⁰, 48A³, 24A¹, 16A⁰, 4A⁰, 9A⁰, 8A⁰, 3A⁰, 1A⁰, 72A⁴</t>
        </is>
      </c>
      <c r="O2538" t="inlineStr">
        <is>
          <t>144T²³, 144S²³, 144N²¹, 144J²², 144E²⁰, 144F²⁰, 144A²⁴</t>
        </is>
      </c>
    </row>
    <row r="2539">
      <c r="A2539">
        <f>HYPERLINK("https://mathstats.uncg.edu/sites/pauli/congruence/csg10.html#group144B10", "144B¹⁰")</f>
        <v/>
      </c>
      <c r="B2539" t="n">
        <v>10</v>
      </c>
      <c r="C2539" t="inlineStr"/>
      <c r="D2539" t="inlineStr">
        <is>
          <t>144</t>
        </is>
      </c>
      <c r="E2539" t="inlineStr">
        <is>
          <t>2</t>
        </is>
      </c>
      <c r="F2539" t="inlineStr">
        <is>
          <t>72</t>
        </is>
      </c>
      <c r="G2539" t="inlineStr">
        <is>
          <t>10</t>
        </is>
      </c>
      <c r="H2539" t="inlineStr">
        <is>
          <t>0</t>
        </is>
      </c>
      <c r="I2539" t="inlineStr">
        <is>
          <t>144¹</t>
        </is>
      </c>
      <c r="J2539" t="n">
        <v>1</v>
      </c>
      <c r="K2539" t="inlineStr">
        <is>
          <t>8², 16², 48²</t>
        </is>
      </c>
      <c r="L2539" t="inlineStr">
        <is>
          <t>48B³, 72A⁴</t>
        </is>
      </c>
      <c r="M2539" t="inlineStr">
        <is>
          <t>144C²⁰, 144D²⁰, 144N²¹, 144J²², 144R²³, 144Q²³, 144B²⁴</t>
        </is>
      </c>
      <c r="N2539" t="inlineStr">
        <is>
          <t>36A¹, 12A⁰, 24A¹, 4A⁰, 9A⁰, 8A⁰, 3A⁰, 1A⁰, 48B³, 72A⁴</t>
        </is>
      </c>
      <c r="O2539" t="inlineStr">
        <is>
          <t>144D²⁰, 144R²³, 144B²⁴, 144N²¹, 144C²⁰, 144J²², 144Q²³</t>
        </is>
      </c>
    </row>
    <row r="2540">
      <c r="A2540">
        <f>HYPERLINK("https://mathstats.uncg.edu/sites/pauli/congruence/csg10.html#group144C10", "144C¹⁰")</f>
        <v/>
      </c>
      <c r="B2540" t="n">
        <v>10</v>
      </c>
      <c r="C2540" t="inlineStr"/>
      <c r="D2540" t="inlineStr">
        <is>
          <t>144</t>
        </is>
      </c>
      <c r="E2540" t="inlineStr">
        <is>
          <t>2</t>
        </is>
      </c>
      <c r="F2540" t="inlineStr">
        <is>
          <t>72</t>
        </is>
      </c>
      <c r="G2540" t="inlineStr">
        <is>
          <t>10</t>
        </is>
      </c>
      <c r="H2540" t="inlineStr">
        <is>
          <t>0</t>
        </is>
      </c>
      <c r="I2540" t="inlineStr">
        <is>
          <t>144¹</t>
        </is>
      </c>
      <c r="J2540" t="n">
        <v>1</v>
      </c>
      <c r="K2540" t="inlineStr">
        <is>
          <t>16⁶, 48⁴</t>
        </is>
      </c>
      <c r="L2540" t="inlineStr">
        <is>
          <t>48B³, 72A⁴</t>
        </is>
      </c>
      <c r="M2540" t="inlineStr">
        <is>
          <t>144E²⁰, 144D²⁰, 144M²¹, 144I²², 144S²³, 144Q²³, 144C²⁴</t>
        </is>
      </c>
      <c r="N2540" t="inlineStr">
        <is>
          <t>36A¹, 12A⁰, 24A¹, 4A⁰, 9A⁰, 8A⁰, 3A⁰, 1A⁰, 48B³, 72A⁴</t>
        </is>
      </c>
      <c r="O2540" t="inlineStr">
        <is>
          <t>144D²⁰, 144M²¹, 144S²³, 144I²², 144E²⁰, 144C²⁴, 144Q²³</t>
        </is>
      </c>
    </row>
    <row r="2541">
      <c r="A2541">
        <f>HYPERLINK("https://mathstats.uncg.edu/sites/pauli/congruence/csg10.html#group144D10", "144D¹⁰")</f>
        <v/>
      </c>
      <c r="B2541" t="n">
        <v>10</v>
      </c>
      <c r="C2541" t="inlineStr"/>
      <c r="D2541" t="inlineStr">
        <is>
          <t>144</t>
        </is>
      </c>
      <c r="E2541" t="inlineStr">
        <is>
          <t>2</t>
        </is>
      </c>
      <c r="F2541" t="inlineStr">
        <is>
          <t>72</t>
        </is>
      </c>
      <c r="G2541" t="inlineStr">
        <is>
          <t>10</t>
        </is>
      </c>
      <c r="H2541" t="inlineStr">
        <is>
          <t>0</t>
        </is>
      </c>
      <c r="I2541" t="inlineStr">
        <is>
          <t>144¹</t>
        </is>
      </c>
      <c r="J2541" t="n">
        <v>1</v>
      </c>
      <c r="K2541" t="inlineStr">
        <is>
          <t>16⁶, 48⁴</t>
        </is>
      </c>
      <c r="L2541" t="inlineStr">
        <is>
          <t>48B³, 72A⁴</t>
        </is>
      </c>
      <c r="M2541" t="inlineStr">
        <is>
          <t>144F²⁰, 144C²⁰, 144M²¹, 144I²², 144T²³, 144R²³, 144C²⁴</t>
        </is>
      </c>
      <c r="N2541" t="inlineStr">
        <is>
          <t>36A¹, 12A⁰, 24A¹, 4A⁰, 9A⁰, 8A⁰, 3A⁰, 1A⁰, 48B³, 72A⁴</t>
        </is>
      </c>
      <c r="O2541" t="inlineStr">
        <is>
          <t>144M²¹, 144C²⁴, 144T²³, 144I²², 144C²⁰, 144F²⁰, 144R²³</t>
        </is>
      </c>
    </row>
    <row r="2542">
      <c r="A2542">
        <f>HYPERLINK("https://mathstats.uncg.edu/sites/pauli/congruence/csg10.html#group144E10", "144E¹⁰")</f>
        <v/>
      </c>
      <c r="B2542" t="n">
        <v>10</v>
      </c>
      <c r="C2542" t="inlineStr"/>
      <c r="D2542" t="inlineStr">
        <is>
          <t>216</t>
        </is>
      </c>
      <c r="E2542" t="inlineStr">
        <is>
          <t>2</t>
        </is>
      </c>
      <c r="F2542" t="inlineStr">
        <is>
          <t>27</t>
        </is>
      </c>
      <c r="G2542" t="inlineStr">
        <is>
          <t>32</t>
        </is>
      </c>
      <c r="H2542" t="inlineStr">
        <is>
          <t>0</t>
        </is>
      </c>
      <c r="I2542" t="inlineStr">
        <is>
          <t>72¹, 144¹</t>
        </is>
      </c>
      <c r="J2542" t="n">
        <v>2</v>
      </c>
      <c r="K2542" t="inlineStr">
        <is>
          <t>2⁹, 6⁶</t>
        </is>
      </c>
      <c r="L2542" t="inlineStr">
        <is>
          <t>48A², 72E⁴</t>
        </is>
      </c>
      <c r="M2542" t="inlineStr">
        <is>
          <t>144J¹⁹, 144W²³, 144Y²³</t>
        </is>
      </c>
      <c r="N2542" t="inlineStr">
        <is>
          <t>12C⁰, 24A⁰, 72E⁴, 9A⁰, 4C⁰, 36B², 8B⁰, 48A², 2B⁰, 18E¹, 3A⁰, 1A⁰, 6D⁰</t>
        </is>
      </c>
      <c r="O2542" t="inlineStr">
        <is>
          <t>144Y²³, 144W²³, 144J¹⁹</t>
        </is>
      </c>
    </row>
    <row r="2543">
      <c r="A2543">
        <f>HYPERLINK("https://mathstats.uncg.edu/sites/pauli/congruence/csg10.html#group147A10", "147A¹⁰")</f>
        <v/>
      </c>
      <c r="B2543" t="n">
        <v>10</v>
      </c>
      <c r="C2543" t="inlineStr"/>
      <c r="D2543" t="inlineStr">
        <is>
          <t>168</t>
        </is>
      </c>
      <c r="E2543" t="inlineStr">
        <is>
          <t>2</t>
        </is>
      </c>
      <c r="F2543" t="inlineStr">
        <is>
          <t>56</t>
        </is>
      </c>
      <c r="G2543" t="inlineStr">
        <is>
          <t>0</t>
        </is>
      </c>
      <c r="H2543" t="inlineStr">
        <is>
          <t>3</t>
        </is>
      </c>
      <c r="I2543" t="inlineStr">
        <is>
          <t>3⁷, 147¹</t>
        </is>
      </c>
      <c r="J2543" t="n">
        <v>8</v>
      </c>
      <c r="K2543" t="inlineStr">
        <is>
          <t>2², 12², 84¹</t>
        </is>
      </c>
      <c r="L2543" t="inlineStr">
        <is>
          <t>21A¹, 49A¹</t>
        </is>
      </c>
      <c r="M2543" t="inlineStr">
        <is>
          <t>294B²³</t>
        </is>
      </c>
      <c r="N2543" t="inlineStr">
        <is>
          <t>49A¹, 1A⁰, 7B⁰, 21A¹</t>
        </is>
      </c>
      <c r="O2543" t="inlineStr">
        <is>
          <t>294B²³</t>
        </is>
      </c>
    </row>
    <row r="2544">
      <c r="A2544">
        <f>HYPERLINK("https://mathstats.uncg.edu/sites/pauli/congruence/csg10.html#group150A10", "150A¹⁰")</f>
        <v/>
      </c>
      <c r="B2544" t="n">
        <v>10</v>
      </c>
      <c r="C2544" t="inlineStr"/>
      <c r="D2544" t="inlineStr">
        <is>
          <t>180</t>
        </is>
      </c>
      <c r="E2544" t="inlineStr">
        <is>
          <t>1</t>
        </is>
      </c>
      <c r="F2544" t="inlineStr">
        <is>
          <t>30</t>
        </is>
      </c>
      <c r="G2544" t="inlineStr">
        <is>
          <t>12</t>
        </is>
      </c>
      <c r="H2544" t="inlineStr">
        <is>
          <t>0</t>
        </is>
      </c>
      <c r="I2544" t="inlineStr">
        <is>
          <t>6⁵, 150¹</t>
        </is>
      </c>
      <c r="J2544" t="n">
        <v>6</v>
      </c>
      <c r="K2544" t="inlineStr">
        <is>
          <t>1², 4², 20¹</t>
        </is>
      </c>
      <c r="L2544" t="inlineStr">
        <is>
          <t>30A⁰, 50A², 75A⁴</t>
        </is>
      </c>
      <c r="M2544" t="inlineStr">
        <is>
          <t>150A²¹, 150C²³</t>
        </is>
      </c>
      <c r="N2544" t="inlineStr">
        <is>
          <t>30A⁰, 15B⁰, 50A², 5B⁰, 25A⁰, 75A⁴, 3A⁰, 1A⁰, 10B⁰</t>
        </is>
      </c>
      <c r="O2544" t="inlineStr">
        <is>
          <t>150C²³, 150A²¹</t>
        </is>
      </c>
    </row>
    <row r="2545">
      <c r="A2545">
        <f>HYPERLINK("https://mathstats.uncg.edu/sites/pauli/congruence/csg10.html#group156A10", "156A¹⁰")</f>
        <v/>
      </c>
      <c r="B2545" t="n">
        <v>10</v>
      </c>
      <c r="C2545" t="inlineStr"/>
      <c r="D2545" t="inlineStr">
        <is>
          <t>168</t>
        </is>
      </c>
      <c r="E2545" t="inlineStr">
        <is>
          <t>2</t>
        </is>
      </c>
      <c r="F2545" t="inlineStr">
        <is>
          <t>56</t>
        </is>
      </c>
      <c r="G2545" t="inlineStr">
        <is>
          <t>12</t>
        </is>
      </c>
      <c r="H2545" t="inlineStr">
        <is>
          <t>3</t>
        </is>
      </c>
      <c r="I2545" t="inlineStr">
        <is>
          <t>12¹, 156¹</t>
        </is>
      </c>
      <c r="J2545" t="n">
        <v>2</v>
      </c>
      <c r="K2545" t="inlineStr">
        <is>
          <t>4⁴, 48²</t>
        </is>
      </c>
      <c r="L2545" t="inlineStr">
        <is>
          <t>39A¹, 52A³</t>
        </is>
      </c>
      <c r="M2545" t="inlineStr">
        <is>
          <t>156F¹⁹, 312C²³, 312D²³, 312A²³, 312B²³</t>
        </is>
      </c>
      <c r="N2545" t="inlineStr">
        <is>
          <t>13A⁰, 39A¹, 52A³, 1A⁰, 4A⁰</t>
        </is>
      </c>
      <c r="O2545" t="inlineStr">
        <is>
          <t>312A²³, 312D²³, 312C²³, 312B²³, 156F¹⁹</t>
        </is>
      </c>
    </row>
    <row r="2546">
      <c r="A2546">
        <f>HYPERLINK("https://mathstats.uncg.edu/sites/pauli/congruence/csg10.html#group165A10", "165A¹⁰")</f>
        <v/>
      </c>
      <c r="B2546" t="n">
        <v>10</v>
      </c>
      <c r="C2546" t="inlineStr"/>
      <c r="D2546" t="inlineStr">
        <is>
          <t>165</t>
        </is>
      </c>
      <c r="E2546" t="inlineStr">
        <is>
          <t>2</t>
        </is>
      </c>
      <c r="F2546" t="inlineStr">
        <is>
          <t>55</t>
        </is>
      </c>
      <c r="G2546" t="inlineStr">
        <is>
          <t>9</t>
        </is>
      </c>
      <c r="H2546" t="inlineStr">
        <is>
          <t>6</t>
        </is>
      </c>
      <c r="I2546" t="inlineStr">
        <is>
          <t>165¹</t>
        </is>
      </c>
      <c r="J2546" t="n">
        <v>1</v>
      </c>
      <c r="K2546" t="inlineStr">
        <is>
          <t>4¹, 16¹, 20², 80²</t>
        </is>
      </c>
      <c r="L2546" t="inlineStr">
        <is>
          <t>15A⁰, 55A³</t>
        </is>
      </c>
      <c r="M2546" t="inlineStr">
        <is>
          <t>330A²⁴</t>
        </is>
      </c>
      <c r="N2546" t="inlineStr">
        <is>
          <t>11A⁰, 55A³, 5A⁰, 1A⁰, 15A⁰</t>
        </is>
      </c>
      <c r="O2546" t="inlineStr">
        <is>
          <t>330A²⁴</t>
        </is>
      </c>
    </row>
    <row r="2547">
      <c r="A2547">
        <f>HYPERLINK("https://mathstats.uncg.edu/sites/pauli/congruence/csg10.html#group165B10", "165B¹⁰")</f>
        <v/>
      </c>
      <c r="B2547" t="n">
        <v>10</v>
      </c>
      <c r="C2547" t="inlineStr"/>
      <c r="D2547" t="inlineStr">
        <is>
          <t>165</t>
        </is>
      </c>
      <c r="E2547" t="inlineStr">
        <is>
          <t>2</t>
        </is>
      </c>
      <c r="F2547" t="inlineStr">
        <is>
          <t>55</t>
        </is>
      </c>
      <c r="G2547" t="inlineStr">
        <is>
          <t>9</t>
        </is>
      </c>
      <c r="H2547" t="inlineStr">
        <is>
          <t>6</t>
        </is>
      </c>
      <c r="I2547" t="inlineStr">
        <is>
          <t>165¹</t>
        </is>
      </c>
      <c r="J2547" t="n">
        <v>1</v>
      </c>
      <c r="K2547" t="inlineStr">
        <is>
          <t>4¹, 16¹, 20², 80²</t>
        </is>
      </c>
      <c r="L2547" t="inlineStr">
        <is>
          <t>15A⁰, 55A³</t>
        </is>
      </c>
      <c r="M2547" t="inlineStr">
        <is>
          <t>330B²⁴</t>
        </is>
      </c>
      <c r="N2547" t="inlineStr">
        <is>
          <t>11A⁰, 55A³, 5A⁰, 1A⁰, 15A⁰</t>
        </is>
      </c>
      <c r="O2547" t="inlineStr">
        <is>
          <t>330B²⁴</t>
        </is>
      </c>
    </row>
    <row r="2548">
      <c r="A2548">
        <f>HYPERLINK("https://mathstats.uncg.edu/sites/pauli/congruence/csg10.html#group168A10", "168A¹⁰")</f>
        <v/>
      </c>
      <c r="B2548" t="n">
        <v>10</v>
      </c>
      <c r="C2548" t="inlineStr"/>
      <c r="D2548" t="inlineStr">
        <is>
          <t>168</t>
        </is>
      </c>
      <c r="E2548" t="inlineStr">
        <is>
          <t>2</t>
        </is>
      </c>
      <c r="F2548" t="inlineStr">
        <is>
          <t>28</t>
        </is>
      </c>
      <c r="G2548" t="inlineStr">
        <is>
          <t>18</t>
        </is>
      </c>
      <c r="H2548" t="inlineStr">
        <is>
          <t>0</t>
        </is>
      </c>
      <c r="I2548" t="inlineStr">
        <is>
          <t>168¹</t>
        </is>
      </c>
      <c r="J2548" t="n">
        <v>1</v>
      </c>
      <c r="K2548" t="inlineStr">
        <is>
          <t>8², 24⁴</t>
        </is>
      </c>
      <c r="L2548" t="inlineStr">
        <is>
          <t>56A³, 84A³</t>
        </is>
      </c>
      <c r="M2548" t="inlineStr">
        <is>
          <t>168G²², 168K²², 168I²³, 168C²⁴</t>
        </is>
      </c>
      <c r="N2548" t="inlineStr">
        <is>
          <t>84A³, 12A⁰, 4A⁰, 21A⁰, 3A⁰, 28A¹, 1A⁰, 7A⁰, 56A³</t>
        </is>
      </c>
      <c r="O2548" t="inlineStr">
        <is>
          <t>168C²⁴, 168I²³, 168G²², 168K²²</t>
        </is>
      </c>
    </row>
    <row r="2549">
      <c r="A2549">
        <f>HYPERLINK("https://mathstats.uncg.edu/sites/pauli/congruence/csg10.html#group168B10", "168B¹⁰")</f>
        <v/>
      </c>
      <c r="B2549" t="n">
        <v>10</v>
      </c>
      <c r="C2549" t="inlineStr"/>
      <c r="D2549" t="inlineStr">
        <is>
          <t>168</t>
        </is>
      </c>
      <c r="E2549" t="inlineStr">
        <is>
          <t>2</t>
        </is>
      </c>
      <c r="F2549" t="inlineStr">
        <is>
          <t>28</t>
        </is>
      </c>
      <c r="G2549" t="inlineStr">
        <is>
          <t>18</t>
        </is>
      </c>
      <c r="H2549" t="inlineStr">
        <is>
          <t>0</t>
        </is>
      </c>
      <c r="I2549" t="inlineStr">
        <is>
          <t>168¹</t>
        </is>
      </c>
      <c r="J2549" t="n">
        <v>1</v>
      </c>
      <c r="K2549" t="inlineStr">
        <is>
          <t>8², 24⁴</t>
        </is>
      </c>
      <c r="L2549" t="inlineStr">
        <is>
          <t>56B³, 84A³</t>
        </is>
      </c>
      <c r="M2549" t="inlineStr">
        <is>
          <t>168H²², 168L²², 168J²³, 168D²⁴</t>
        </is>
      </c>
      <c r="N2549" t="inlineStr">
        <is>
          <t>84A³, 56B³, 12A⁰, 4A⁰, 21A⁰, 3A⁰, 28A¹, 1A⁰, 7A⁰</t>
        </is>
      </c>
      <c r="O2549" t="inlineStr">
        <is>
          <t>168H²², 168J²³, 168L²², 168D²⁴</t>
        </is>
      </c>
    </row>
    <row r="2550">
      <c r="A2550">
        <f>HYPERLINK("https://mathstats.uncg.edu/sites/pauli/congruence/csg10.html#group168C10", "168C¹⁰")</f>
        <v/>
      </c>
      <c r="B2550" t="n">
        <v>10</v>
      </c>
      <c r="C2550" t="inlineStr"/>
      <c r="D2550" t="inlineStr">
        <is>
          <t>168</t>
        </is>
      </c>
      <c r="E2550" t="inlineStr">
        <is>
          <t>2</t>
        </is>
      </c>
      <c r="F2550" t="inlineStr">
        <is>
          <t>28</t>
        </is>
      </c>
      <c r="G2550" t="inlineStr">
        <is>
          <t>18</t>
        </is>
      </c>
      <c r="H2550" t="inlineStr">
        <is>
          <t>0</t>
        </is>
      </c>
      <c r="I2550" t="inlineStr">
        <is>
          <t>168¹</t>
        </is>
      </c>
      <c r="J2550" t="n">
        <v>1</v>
      </c>
      <c r="K2550" t="inlineStr">
        <is>
          <t>8², 24⁴</t>
        </is>
      </c>
      <c r="L2550" t="inlineStr">
        <is>
          <t>24A¹, 56C³, 84A³</t>
        </is>
      </c>
      <c r="M2550" t="inlineStr">
        <is>
          <t>168G²², 168Q²², 168K²³, 168E²⁴, 336A²⁴, 336C²⁴, 336E²⁴, 336G²⁴</t>
        </is>
      </c>
      <c r="N2550" t="inlineStr">
        <is>
          <t>84A³, 12A⁰, 24A¹, 4A⁰, 8A⁰, 21A⁰, 56C³, 3A⁰, 28A¹, 1A⁰, 7A⁰</t>
        </is>
      </c>
      <c r="O2550" t="inlineStr">
        <is>
          <t>336C²⁴, 336A²⁴, 168E²⁴, 336E²⁴, 168G²², 168Q²², 336G²⁴, 168K²³</t>
        </is>
      </c>
    </row>
    <row r="2551">
      <c r="A2551">
        <f>HYPERLINK("https://mathstats.uncg.edu/sites/pauli/congruence/csg10.html#group168D10", "168D¹⁰")</f>
        <v/>
      </c>
      <c r="B2551" t="n">
        <v>10</v>
      </c>
      <c r="C2551" t="inlineStr"/>
      <c r="D2551" t="inlineStr">
        <is>
          <t>168</t>
        </is>
      </c>
      <c r="E2551" t="inlineStr">
        <is>
          <t>2</t>
        </is>
      </c>
      <c r="F2551" t="inlineStr">
        <is>
          <t>28</t>
        </is>
      </c>
      <c r="G2551" t="inlineStr">
        <is>
          <t>18</t>
        </is>
      </c>
      <c r="H2551" t="inlineStr">
        <is>
          <t>0</t>
        </is>
      </c>
      <c r="I2551" t="inlineStr">
        <is>
          <t>168¹</t>
        </is>
      </c>
      <c r="J2551" t="n">
        <v>1</v>
      </c>
      <c r="K2551" t="inlineStr">
        <is>
          <t>8², 24⁴</t>
        </is>
      </c>
      <c r="L2551" t="inlineStr">
        <is>
          <t>24A¹, 56D³, 84A³</t>
        </is>
      </c>
      <c r="M2551" t="inlineStr">
        <is>
          <t>168H²², 168R²², 168L²³, 168F²⁴, 336B²⁴, 336D²⁴, 336F²⁴, 336H²⁴</t>
        </is>
      </c>
      <c r="N2551" t="inlineStr">
        <is>
          <t>84A³, 56D³, 24A¹, 12A⁰, 4A⁰, 8A⁰, 21A⁰, 3A⁰, 28A¹, 1A⁰, 7A⁰</t>
        </is>
      </c>
      <c r="O2551" t="inlineStr">
        <is>
          <t>168L²³, 168F²⁴, 336F²⁴, 336B²⁴, 336D²⁴, 168R²², 168H²², 336H²⁴</t>
        </is>
      </c>
    </row>
    <row r="2552">
      <c r="A2552">
        <f>HYPERLINK("https://mathstats.uncg.edu/sites/pauli/congruence/csg10.html#group168E10", "168E¹⁰")</f>
        <v/>
      </c>
      <c r="B2552" t="n">
        <v>10</v>
      </c>
      <c r="C2552" t="inlineStr"/>
      <c r="D2552" t="inlineStr">
        <is>
          <t>168</t>
        </is>
      </c>
      <c r="E2552" t="inlineStr">
        <is>
          <t>2</t>
        </is>
      </c>
      <c r="F2552" t="inlineStr">
        <is>
          <t>84</t>
        </is>
      </c>
      <c r="G2552" t="inlineStr">
        <is>
          <t>18</t>
        </is>
      </c>
      <c r="H2552" t="inlineStr">
        <is>
          <t>0</t>
        </is>
      </c>
      <c r="I2552" t="inlineStr">
        <is>
          <t>168¹</t>
        </is>
      </c>
      <c r="J2552" t="n">
        <v>1</v>
      </c>
      <c r="K2552" t="inlineStr">
        <is>
          <t>8², 16², 24⁴, 48⁴</t>
        </is>
      </c>
      <c r="L2552" t="inlineStr">
        <is>
          <t>84A³</t>
        </is>
      </c>
      <c r="M2552" t="inlineStr">
        <is>
          <t>168I²², 168K²², 168M²², 168N²², 168K²³, 168M²³, 168N²³, 168F²⁴, 168G²⁴, 168H²⁴</t>
        </is>
      </c>
      <c r="N2552" t="inlineStr">
        <is>
          <t>84A³, 12A⁰, 4A⁰, 21A⁰, 3A⁰, 28A¹, 1A⁰, 7A⁰</t>
        </is>
      </c>
      <c r="O2552" t="inlineStr">
        <is>
          <t>168M²², 168F²⁴, 168N²², 168K²², 168G²⁴, 168H²⁴, 168I²², 168N²³, 168M²³, 168K²³</t>
        </is>
      </c>
    </row>
    <row r="2553">
      <c r="A2553">
        <f>HYPERLINK("https://mathstats.uncg.edu/sites/pauli/congruence/csg10.html#group168F10", "168F¹⁰")</f>
        <v/>
      </c>
      <c r="B2553" t="n">
        <v>10</v>
      </c>
      <c r="C2553" t="inlineStr"/>
      <c r="D2553" t="inlineStr">
        <is>
          <t>168</t>
        </is>
      </c>
      <c r="E2553" t="inlineStr">
        <is>
          <t>2</t>
        </is>
      </c>
      <c r="F2553" t="inlineStr">
        <is>
          <t>84</t>
        </is>
      </c>
      <c r="G2553" t="inlineStr">
        <is>
          <t>18</t>
        </is>
      </c>
      <c r="H2553" t="inlineStr">
        <is>
          <t>0</t>
        </is>
      </c>
      <c r="I2553" t="inlineStr">
        <is>
          <t>168¹</t>
        </is>
      </c>
      <c r="J2553" t="n">
        <v>1</v>
      </c>
      <c r="K2553" t="inlineStr">
        <is>
          <t>8², 16², 24⁴, 48⁴</t>
        </is>
      </c>
      <c r="L2553" t="inlineStr">
        <is>
          <t>84A³</t>
        </is>
      </c>
      <c r="M2553" t="inlineStr">
        <is>
          <t>168J²², 168L²², 168M²², 168N²², 168L²³, 168O²³, 168P²³, 168E²⁴, 168I²⁴, 168J²⁴</t>
        </is>
      </c>
      <c r="N2553" t="inlineStr">
        <is>
          <t>84A³, 12A⁰, 4A⁰, 21A⁰, 3A⁰, 28A¹, 1A⁰, 7A⁰</t>
        </is>
      </c>
      <c r="O2553" t="inlineStr">
        <is>
          <t>168M²², 168L²³, 168O²³, 168N²², 168L²², 168I²⁴, 168J²², 168E²⁴, 168J²⁴, 168P²³</t>
        </is>
      </c>
    </row>
    <row r="2554">
      <c r="A2554">
        <f>HYPERLINK("https://mathstats.uncg.edu/sites/pauli/congruence/csg10.html#group168G10", "168G¹⁰")</f>
        <v/>
      </c>
      <c r="B2554" t="n">
        <v>10</v>
      </c>
      <c r="C2554" t="inlineStr"/>
      <c r="D2554" t="inlineStr">
        <is>
          <t>168</t>
        </is>
      </c>
      <c r="E2554" t="inlineStr">
        <is>
          <t>2</t>
        </is>
      </c>
      <c r="F2554" t="inlineStr">
        <is>
          <t>84</t>
        </is>
      </c>
      <c r="G2554" t="inlineStr">
        <is>
          <t>18</t>
        </is>
      </c>
      <c r="H2554" t="inlineStr">
        <is>
          <t>0</t>
        </is>
      </c>
      <c r="I2554" t="inlineStr">
        <is>
          <t>168¹</t>
        </is>
      </c>
      <c r="J2554" t="n">
        <v>1</v>
      </c>
      <c r="K2554" t="inlineStr">
        <is>
          <t>8², 16², 24⁴, 48⁴</t>
        </is>
      </c>
      <c r="L2554" t="inlineStr">
        <is>
          <t>24B¹, 84A³</t>
        </is>
      </c>
      <c r="M2554" t="inlineStr">
        <is>
          <t>168I²², 168O²², 168P²², 168Q²², 168I²³, 168O²³, 168P²³, 168D²⁴, 168G²⁴, 168H²⁴</t>
        </is>
      </c>
      <c r="N2554" t="inlineStr">
        <is>
          <t>84A³, 12A⁰, 4A⁰, 21A⁰, 24B¹, 3A⁰, 28A¹, 1A⁰, 7A⁰</t>
        </is>
      </c>
      <c r="O2554" t="inlineStr">
        <is>
          <t>168O²³, 168H²⁴, 168P²², 168I²³, 168I²², 168O²², 168D²⁴, 168Q²², 168P²³, 168G²⁴</t>
        </is>
      </c>
    </row>
    <row r="2555">
      <c r="A2555">
        <f>HYPERLINK("https://mathstats.uncg.edu/sites/pauli/congruence/csg10.html#group168H10", "168H¹⁰")</f>
        <v/>
      </c>
      <c r="B2555" t="n">
        <v>10</v>
      </c>
      <c r="C2555" t="inlineStr"/>
      <c r="D2555" t="inlineStr">
        <is>
          <t>168</t>
        </is>
      </c>
      <c r="E2555" t="inlineStr">
        <is>
          <t>2</t>
        </is>
      </c>
      <c r="F2555" t="inlineStr">
        <is>
          <t>84</t>
        </is>
      </c>
      <c r="G2555" t="inlineStr">
        <is>
          <t>18</t>
        </is>
      </c>
      <c r="H2555" t="inlineStr">
        <is>
          <t>0</t>
        </is>
      </c>
      <c r="I2555" t="inlineStr">
        <is>
          <t>168¹</t>
        </is>
      </c>
      <c r="J2555" t="n">
        <v>1</v>
      </c>
      <c r="K2555" t="inlineStr">
        <is>
          <t>8², 16², 24⁴, 48⁴</t>
        </is>
      </c>
      <c r="L2555" t="inlineStr">
        <is>
          <t>24B¹, 84A³</t>
        </is>
      </c>
      <c r="M2555" t="inlineStr">
        <is>
          <t>168J²², 168O²², 168P²², 168R²², 168J²³, 168M²³, 168N²³, 168C²⁴, 168I²⁴, 168J²⁴</t>
        </is>
      </c>
      <c r="N2555" t="inlineStr">
        <is>
          <t>84A³, 12A⁰, 4A⁰, 21A⁰, 24B¹, 3A⁰, 28A¹, 1A⁰, 7A⁰</t>
        </is>
      </c>
      <c r="O2555" t="inlineStr">
        <is>
          <t>168I²⁴, 168J²², 168P²², 168O²², 168C²⁴, 168J²⁴, 168N²³, 168R²², 168J²³, 168M²³</t>
        </is>
      </c>
    </row>
    <row r="2556">
      <c r="A2556">
        <f>HYPERLINK("https://mathstats.uncg.edu/sites/pauli/congruence/csg11.html#group12A11", "12A¹¹")</f>
        <v/>
      </c>
      <c r="B2556" t="n">
        <v>11</v>
      </c>
      <c r="C2556" t="inlineStr"/>
      <c r="D2556" t="inlineStr">
        <is>
          <t>288</t>
        </is>
      </c>
      <c r="E2556" t="inlineStr">
        <is>
          <t>1</t>
        </is>
      </c>
      <c r="F2556" t="inlineStr">
        <is>
          <t>36</t>
        </is>
      </c>
      <c r="G2556" t="inlineStr">
        <is>
          <t>8</t>
        </is>
      </c>
      <c r="H2556" t="inlineStr">
        <is>
          <t>0</t>
        </is>
      </c>
      <c r="I2556" t="inlineStr">
        <is>
          <t>12²⁴</t>
        </is>
      </c>
      <c r="J2556" t="n">
        <v>24</v>
      </c>
      <c r="K2556" t="inlineStr">
        <is>
          <t>2², 4⁸</t>
        </is>
      </c>
      <c r="L2556" t="inlineStr">
        <is>
          <t>12M³, 12P³, 12C⁵, 12D⁵</t>
        </is>
      </c>
      <c r="M2556" t="inlineStr"/>
      <c r="N2556" t="inlineStr">
        <is>
          <t>12T¹, 12I², 12D¹, 12C⁰, 4C⁰, 6G⁰, 2B⁰, 12M¹, 12N¹, 1A⁰, 12H², 12C⁵, 12M³, 12Q¹, 3C⁰, 6H⁰, 3A⁰, 12H³, 12G¹, 12U¹, 6B⁰, 12F⁰, 12D⁵, 12L¹, 12J³, 12G⁰, 12A⁰, 12C¹, 6E⁰, 12I³, 4A⁰, 12P³, 6L⁰, 12J¹, 12D⁰, 4F⁰, 12H⁰, 6D⁰</t>
        </is>
      </c>
      <c r="O2556" t="inlineStr"/>
    </row>
    <row r="2557">
      <c r="A2557">
        <f>HYPERLINK("https://mathstats.uncg.edu/sites/pauli/congruence/csg11.html#group13A11", "13A¹¹")</f>
        <v/>
      </c>
      <c r="B2557" t="n">
        <v>11</v>
      </c>
      <c r="C2557" t="inlineStr"/>
      <c r="D2557" t="inlineStr">
        <is>
          <t>273</t>
        </is>
      </c>
      <c r="E2557" t="inlineStr">
        <is>
          <t>1</t>
        </is>
      </c>
      <c r="F2557" t="inlineStr">
        <is>
          <t>91</t>
        </is>
      </c>
      <c r="G2557" t="inlineStr">
        <is>
          <t>9</t>
        </is>
      </c>
      <c r="H2557" t="inlineStr">
        <is>
          <t>0</t>
        </is>
      </c>
      <c r="I2557" t="inlineStr">
        <is>
          <t>13²¹</t>
        </is>
      </c>
      <c r="J2557" t="n">
        <v>21</v>
      </c>
      <c r="K2557" t="inlineStr">
        <is>
          <t>3¹, 4¹, 12⁷</t>
        </is>
      </c>
      <c r="L2557" t="inlineStr">
        <is>
          <t>13B³, 13C³</t>
        </is>
      </c>
      <c r="M2557" t="inlineStr">
        <is>
          <t>13A²⁴</t>
        </is>
      </c>
      <c r="N2557" t="inlineStr">
        <is>
          <t>13C³, 1A⁰, 13B³</t>
        </is>
      </c>
      <c r="O2557" t="inlineStr">
        <is>
          <t>13A²⁴</t>
        </is>
      </c>
    </row>
    <row r="2558">
      <c r="A2558">
        <f>HYPERLINK("https://mathstats.uncg.edu/sites/pauli/congruence/csg11.html#group14A11", "14A¹¹")</f>
        <v/>
      </c>
      <c r="B2558" t="n">
        <v>11</v>
      </c>
      <c r="C2558" t="inlineStr"/>
      <c r="D2558" t="inlineStr">
        <is>
          <t>252</t>
        </is>
      </c>
      <c r="E2558" t="inlineStr">
        <is>
          <t>2</t>
        </is>
      </c>
      <c r="F2558" t="inlineStr">
        <is>
          <t>63</t>
        </is>
      </c>
      <c r="G2558" t="inlineStr">
        <is>
          <t>8</t>
        </is>
      </c>
      <c r="H2558" t="inlineStr">
        <is>
          <t>0</t>
        </is>
      </c>
      <c r="I2558" t="inlineStr">
        <is>
          <t>14¹⁸</t>
        </is>
      </c>
      <c r="J2558" t="n">
        <v>18</v>
      </c>
      <c r="K2558" t="inlineStr">
        <is>
          <t>6²¹</t>
        </is>
      </c>
      <c r="L2558" t="inlineStr">
        <is>
          <t>14F³, 14A⁴, 14G⁵, 14A⁶</t>
        </is>
      </c>
      <c r="M2558" t="inlineStr">
        <is>
          <t>14A²³</t>
        </is>
      </c>
      <c r="N2558" t="inlineStr">
        <is>
          <t>14A⁰, 14A⁴, 14B², 7D⁰, 14B¹, 14C², 2B⁰, 7G⁰, 1A⁰, 14A⁶, 14G⁵, 14A², 14F¹, 7C⁰, 14F³, 14F², 14E¹, 7A⁰</t>
        </is>
      </c>
      <c r="O2558" t="inlineStr">
        <is>
          <t>14A²³</t>
        </is>
      </c>
    </row>
    <row r="2559">
      <c r="A2559">
        <f>HYPERLINK("https://mathstats.uncg.edu/sites/pauli/congruence/csg11.html#group15A11", "15A¹¹")</f>
        <v/>
      </c>
      <c r="B2559" t="n">
        <v>11</v>
      </c>
      <c r="C2559" t="inlineStr"/>
      <c r="D2559" t="inlineStr">
        <is>
          <t>240</t>
        </is>
      </c>
      <c r="E2559" t="inlineStr">
        <is>
          <t>1</t>
        </is>
      </c>
      <c r="F2559" t="inlineStr">
        <is>
          <t>60</t>
        </is>
      </c>
      <c r="G2559" t="inlineStr">
        <is>
          <t>8</t>
        </is>
      </c>
      <c r="H2559" t="inlineStr">
        <is>
          <t>0</t>
        </is>
      </c>
      <c r="I2559" t="inlineStr">
        <is>
          <t>15¹⁶</t>
        </is>
      </c>
      <c r="J2559" t="n">
        <v>16</v>
      </c>
      <c r="K2559" t="inlineStr">
        <is>
          <t>4³, 8⁶</t>
        </is>
      </c>
      <c r="L2559" t="inlineStr">
        <is>
          <t>15A⁵</t>
        </is>
      </c>
      <c r="M2559" t="inlineStr"/>
      <c r="N2559" t="inlineStr">
        <is>
          <t>15D¹, 15D², 15A⁵, 3C⁰, 1A⁰, 15C³, 3A⁰, 5C⁰</t>
        </is>
      </c>
      <c r="O2559" t="inlineStr"/>
    </row>
    <row r="2560">
      <c r="A2560">
        <f>HYPERLINK("https://mathstats.uncg.edu/sites/pauli/congruence/csg11.html#group16A11", "16A¹¹")</f>
        <v/>
      </c>
      <c r="B2560" t="n">
        <v>11</v>
      </c>
      <c r="C2560" t="inlineStr"/>
      <c r="D2560" t="inlineStr">
        <is>
          <t>192</t>
        </is>
      </c>
      <c r="E2560" t="inlineStr">
        <is>
          <t>1</t>
        </is>
      </c>
      <c r="F2560" t="inlineStr">
        <is>
          <t>6</t>
        </is>
      </c>
      <c r="G2560" t="inlineStr">
        <is>
          <t>0</t>
        </is>
      </c>
      <c r="H2560" t="inlineStr">
        <is>
          <t>0</t>
        </is>
      </c>
      <c r="I2560" t="inlineStr">
        <is>
          <t>16¹²</t>
        </is>
      </c>
      <c r="J2560" t="n">
        <v>12</v>
      </c>
      <c r="K2560" t="inlineStr">
        <is>
          <t>1², 2²</t>
        </is>
      </c>
      <c r="L2560" t="inlineStr">
        <is>
          <t>8B³, 16I⁵, 16J⁵, 16A⁶, 16B⁶</t>
        </is>
      </c>
      <c r="M2560" t="inlineStr">
        <is>
          <t>16B²¹, 16D²¹, 16E²¹</t>
        </is>
      </c>
      <c r="N2560" t="inlineStr">
        <is>
          <t>2A⁰, 8B³, 16B⁶, 4C⁰, 8A⁰, 4G⁰, 2B⁰, 4E⁰, 8C⁰, 4B⁰, 8F¹, 1A⁰, 8K⁰, 8H¹, 8G⁰, 4D⁰, 8N⁰, 8A¹, 16A⁰, 8D⁰, 2C⁰, 8B², 8B⁰, 8E⁰, 16G³, 8B¹, 16A⁶, 8D¹, 8H⁰, 8A², 8C¹, 4A⁰, 16I⁵, 16F⁰, 4F⁰, 8J⁰, 16J⁵</t>
        </is>
      </c>
      <c r="O2560" t="inlineStr">
        <is>
          <t>16B²¹, 16E²¹, 16D²¹</t>
        </is>
      </c>
    </row>
    <row r="2561">
      <c r="A2561">
        <f>HYPERLINK("https://mathstats.uncg.edu/sites/pauli/congruence/csg11.html#group16B11", "16B¹¹")</f>
        <v/>
      </c>
      <c r="B2561" t="n">
        <v>11</v>
      </c>
      <c r="C2561" t="inlineStr"/>
      <c r="D2561" t="inlineStr">
        <is>
          <t>192</t>
        </is>
      </c>
      <c r="E2561" t="inlineStr">
        <is>
          <t>1</t>
        </is>
      </c>
      <c r="F2561" t="inlineStr">
        <is>
          <t>24</t>
        </is>
      </c>
      <c r="G2561" t="inlineStr">
        <is>
          <t>0</t>
        </is>
      </c>
      <c r="H2561" t="inlineStr">
        <is>
          <t>0</t>
        </is>
      </c>
      <c r="I2561" t="inlineStr">
        <is>
          <t>16¹²</t>
        </is>
      </c>
      <c r="J2561" t="n">
        <v>12</v>
      </c>
      <c r="K2561" t="inlineStr">
        <is>
          <t>4², 8²</t>
        </is>
      </c>
      <c r="L2561" t="inlineStr">
        <is>
          <t>16P³, 16E⁵, 16J⁵</t>
        </is>
      </c>
      <c r="M2561" t="inlineStr">
        <is>
          <t>16E²¹, 16F²¹, 32G²³</t>
        </is>
      </c>
      <c r="N2561" t="inlineStr">
        <is>
          <t>16A⁰, 16C³, 8D⁰, 4C⁰, 8B⁰, 16P³, 8A⁰, 16B¹, 2B⁰, 16G³, 1A⁰, 8D¹, 8K⁰, 8H¹, 16A², 8H⁰, 16E⁵, 4A⁰, 4F⁰, 16H¹, 16J⁵</t>
        </is>
      </c>
      <c r="O2561" t="inlineStr">
        <is>
          <t>16F²¹, 16E²¹, 32G²³</t>
        </is>
      </c>
    </row>
    <row r="2562">
      <c r="A2562">
        <f>HYPERLINK("https://mathstats.uncg.edu/sites/pauli/congruence/csg11.html#group16C11", "16C¹¹")</f>
        <v/>
      </c>
      <c r="B2562" t="n">
        <v>11</v>
      </c>
      <c r="C2562" t="inlineStr"/>
      <c r="D2562" t="inlineStr">
        <is>
          <t>192</t>
        </is>
      </c>
      <c r="E2562" t="inlineStr">
        <is>
          <t>1</t>
        </is>
      </c>
      <c r="F2562" t="inlineStr">
        <is>
          <t>24</t>
        </is>
      </c>
      <c r="G2562" t="inlineStr">
        <is>
          <t>0</t>
        </is>
      </c>
      <c r="H2562" t="inlineStr">
        <is>
          <t>0</t>
        </is>
      </c>
      <c r="I2562" t="inlineStr">
        <is>
          <t>16¹²</t>
        </is>
      </c>
      <c r="J2562" t="n">
        <v>12</v>
      </c>
      <c r="K2562" t="inlineStr">
        <is>
          <t>4², 8²</t>
        </is>
      </c>
      <c r="L2562" t="inlineStr">
        <is>
          <t>16Q³, 16E⁵, 16I⁵</t>
        </is>
      </c>
      <c r="M2562" t="inlineStr">
        <is>
          <t>16E²¹, 16F²¹</t>
        </is>
      </c>
      <c r="N2562" t="inlineStr">
        <is>
          <t>16C³, 8D⁰, 4C⁰, 8B⁰, 8A⁰, 16B¹, 2B⁰, 8K⁰, 1A⁰, 8H¹, 8D¹, 16A², 8H⁰, 16L¹, 4A⁰, 16I⁵, 4F⁰, 16Q³, 16H¹, 16E⁵, 16K¹</t>
        </is>
      </c>
      <c r="O2562" t="inlineStr">
        <is>
          <t>16F²¹, 16E²¹</t>
        </is>
      </c>
    </row>
    <row r="2563">
      <c r="A2563">
        <f>HYPERLINK("https://mathstats.uncg.edu/sites/pauli/congruence/csg11.html#group16D11", "16D¹¹")</f>
        <v/>
      </c>
      <c r="B2563" t="n">
        <v>11</v>
      </c>
      <c r="C2563" t="inlineStr"/>
      <c r="D2563" t="inlineStr">
        <is>
          <t>192</t>
        </is>
      </c>
      <c r="E2563" t="inlineStr">
        <is>
          <t>1</t>
        </is>
      </c>
      <c r="F2563" t="inlineStr">
        <is>
          <t>48</t>
        </is>
      </c>
      <c r="G2563" t="inlineStr">
        <is>
          <t>0</t>
        </is>
      </c>
      <c r="H2563" t="inlineStr">
        <is>
          <t>0</t>
        </is>
      </c>
      <c r="I2563" t="inlineStr">
        <is>
          <t>16¹²</t>
        </is>
      </c>
      <c r="J2563" t="n">
        <v>12</v>
      </c>
      <c r="K2563" t="inlineStr">
        <is>
          <t>4², 8⁵</t>
        </is>
      </c>
      <c r="L2563" t="inlineStr">
        <is>
          <t>16A⁴, 16H⁵, 16B⁶</t>
        </is>
      </c>
      <c r="M2563" t="inlineStr">
        <is>
          <t>16D²¹, 32F²³</t>
        </is>
      </c>
      <c r="N2563" t="inlineStr">
        <is>
          <t>16D², 16A⁴, 16B⁶, 8A¹, 16A⁰, 16H⁵, 8D⁰, 4C⁰, 8B², 8A⁰, 16G³, 2B⁰, 1A⁰, 8K⁰, 8D¹, 16E⁰, 16L¹, 8C¹, 16B², 4A⁰, 16C¹, 4F⁰, 16K¹, 16E³</t>
        </is>
      </c>
      <c r="O2563" t="inlineStr">
        <is>
          <t>16D²¹, 32F²³</t>
        </is>
      </c>
    </row>
    <row r="2564">
      <c r="A2564">
        <f>HYPERLINK("https://mathstats.uncg.edu/sites/pauli/congruence/csg11.html#group16E11", "16E¹¹")</f>
        <v/>
      </c>
      <c r="B2564" t="n">
        <v>11</v>
      </c>
      <c r="C2564" t="inlineStr"/>
      <c r="D2564" t="inlineStr">
        <is>
          <t>256</t>
        </is>
      </c>
      <c r="E2564" t="inlineStr">
        <is>
          <t>2</t>
        </is>
      </c>
      <c r="F2564" t="inlineStr">
        <is>
          <t>128</t>
        </is>
      </c>
      <c r="G2564" t="inlineStr">
        <is>
          <t>8</t>
        </is>
      </c>
      <c r="H2564" t="inlineStr">
        <is>
          <t>4</t>
        </is>
      </c>
      <c r="I2564" t="inlineStr">
        <is>
          <t>16¹⁶</t>
        </is>
      </c>
      <c r="J2564" t="n">
        <v>16</v>
      </c>
      <c r="K2564" t="inlineStr">
        <is>
          <t>8³²</t>
        </is>
      </c>
      <c r="L2564" t="inlineStr">
        <is>
          <t>16H², 16L⁵</t>
        </is>
      </c>
      <c r="M2564" t="inlineStr"/>
      <c r="N2564" t="inlineStr">
        <is>
          <t>8F⁰, 16A⁰, 16H², 4A⁰, 16L⁵, 8A⁰, 16G², 8M⁰, 1A⁰</t>
        </is>
      </c>
      <c r="O2564" t="inlineStr"/>
    </row>
    <row r="2565">
      <c r="A2565">
        <f>HYPERLINK("https://mathstats.uncg.edu/sites/pauli/congruence/csg11.html#group18A11", "18A¹¹")</f>
        <v/>
      </c>
      <c r="B2565" t="n">
        <v>11</v>
      </c>
      <c r="C2565" t="inlineStr"/>
      <c r="D2565" t="inlineStr">
        <is>
          <t>216</t>
        </is>
      </c>
      <c r="E2565" t="inlineStr">
        <is>
          <t>1</t>
        </is>
      </c>
      <c r="F2565" t="inlineStr">
        <is>
          <t>36</t>
        </is>
      </c>
      <c r="G2565" t="inlineStr">
        <is>
          <t>0</t>
        </is>
      </c>
      <c r="H2565" t="inlineStr">
        <is>
          <t>6</t>
        </is>
      </c>
      <c r="I2565" t="inlineStr">
        <is>
          <t>18¹²</t>
        </is>
      </c>
      <c r="J2565" t="n">
        <v>12</v>
      </c>
      <c r="K2565" t="inlineStr">
        <is>
          <t>3², 6⁵</t>
        </is>
      </c>
      <c r="L2565" t="inlineStr">
        <is>
          <t>18J², 18N², 9A³</t>
        </is>
      </c>
      <c r="M2565" t="inlineStr"/>
      <c r="N2565" t="inlineStr">
        <is>
          <t>3B⁰, 2A⁰, 9J⁰, 18B⁰, 18N², 6C⁰, 9A³, 18J², 9C⁰, 9F⁰, 1A⁰</t>
        </is>
      </c>
      <c r="O2565" t="inlineStr"/>
    </row>
    <row r="2566">
      <c r="A2566">
        <f>HYPERLINK("https://mathstats.uncg.edu/sites/pauli/congruence/csg11.html#group18B11", "18B¹¹")</f>
        <v/>
      </c>
      <c r="B2566" t="n">
        <v>11</v>
      </c>
      <c r="C2566" t="inlineStr"/>
      <c r="D2566" t="inlineStr">
        <is>
          <t>216</t>
        </is>
      </c>
      <c r="E2566" t="inlineStr">
        <is>
          <t>1</t>
        </is>
      </c>
      <c r="F2566" t="inlineStr">
        <is>
          <t>72</t>
        </is>
      </c>
      <c r="G2566" t="inlineStr">
        <is>
          <t>0</t>
        </is>
      </c>
      <c r="H2566" t="inlineStr">
        <is>
          <t>6</t>
        </is>
      </c>
      <c r="I2566" t="inlineStr">
        <is>
          <t>18¹²</t>
        </is>
      </c>
      <c r="J2566" t="n">
        <v>12</v>
      </c>
      <c r="K2566" t="inlineStr">
        <is>
          <t>6¹²</t>
        </is>
      </c>
      <c r="L2566" t="inlineStr">
        <is>
          <t>18N²</t>
        </is>
      </c>
      <c r="M2566" t="inlineStr"/>
      <c r="N2566" t="inlineStr">
        <is>
          <t>3B⁰, 2A⁰, 9J⁰, 18B⁰, 18N², 6C⁰, 9C⁰, 1A⁰</t>
        </is>
      </c>
      <c r="O2566" t="inlineStr"/>
    </row>
    <row r="2567">
      <c r="A2567">
        <f>HYPERLINK("https://mathstats.uncg.edu/sites/pauli/congruence/csg11.html#group20A11", "20A¹¹")</f>
        <v/>
      </c>
      <c r="B2567" t="n">
        <v>11</v>
      </c>
      <c r="C2567" t="inlineStr"/>
      <c r="D2567" t="inlineStr">
        <is>
          <t>240</t>
        </is>
      </c>
      <c r="E2567" t="inlineStr">
        <is>
          <t>1</t>
        </is>
      </c>
      <c r="F2567" t="inlineStr">
        <is>
          <t>20</t>
        </is>
      </c>
      <c r="G2567" t="inlineStr">
        <is>
          <t>0</t>
        </is>
      </c>
      <c r="H2567" t="inlineStr">
        <is>
          <t>12</t>
        </is>
      </c>
      <c r="I2567" t="inlineStr">
        <is>
          <t>20¹²</t>
        </is>
      </c>
      <c r="J2567" t="n">
        <v>12</v>
      </c>
      <c r="K2567" t="inlineStr">
        <is>
          <t>4⁵</t>
        </is>
      </c>
      <c r="L2567" t="inlineStr">
        <is>
          <t>10D³, 20N³, 20H⁵</t>
        </is>
      </c>
      <c r="M2567" t="inlineStr"/>
      <c r="N2567" t="inlineStr">
        <is>
          <t>10H¹, 2A⁰, 20H⁵, 10J¹, 5A⁰, 10A⁰, 10D³, 10E⁰, 10D⁰, 5C⁰, 5F⁰, 20N³, 10C¹, 1A⁰, 20F¹</t>
        </is>
      </c>
      <c r="O2567" t="inlineStr"/>
    </row>
    <row r="2568">
      <c r="A2568">
        <f>HYPERLINK("https://mathstats.uncg.edu/sites/pauli/congruence/csg11.html#group20B11", "20B¹¹")</f>
        <v/>
      </c>
      <c r="B2568" t="n">
        <v>11</v>
      </c>
      <c r="C2568" t="inlineStr"/>
      <c r="D2568" t="inlineStr">
        <is>
          <t>240</t>
        </is>
      </c>
      <c r="E2568" t="inlineStr">
        <is>
          <t>1</t>
        </is>
      </c>
      <c r="F2568" t="inlineStr">
        <is>
          <t>30</t>
        </is>
      </c>
      <c r="G2568" t="inlineStr">
        <is>
          <t>0</t>
        </is>
      </c>
      <c r="H2568" t="inlineStr">
        <is>
          <t>0</t>
        </is>
      </c>
      <c r="I2568" t="inlineStr">
        <is>
          <t>10¹⁶, 20⁴</t>
        </is>
      </c>
      <c r="J2568" t="n">
        <v>20</v>
      </c>
      <c r="K2568" t="inlineStr">
        <is>
          <t>2³, 4⁶</t>
        </is>
      </c>
      <c r="L2568" t="inlineStr">
        <is>
          <t>10B⁵, 20G⁵</t>
        </is>
      </c>
      <c r="M2568" t="inlineStr"/>
      <c r="N2568" t="inlineStr">
        <is>
          <t>10H¹, 2A⁰, 5A⁰, 10D⁰, 10B¹, 5F⁰, 10A³, 2B⁰, 10B², 1A⁰, 10D², 10F¹, 10B⁵, 10A⁰, 10E², 20G⁵, 10C¹, 5C⁰, 2C⁰</t>
        </is>
      </c>
      <c r="O2568" t="inlineStr"/>
    </row>
    <row r="2569">
      <c r="A2569">
        <f>HYPERLINK("https://mathstats.uncg.edu/sites/pauli/congruence/csg11.html#group20C11", "20C¹¹")</f>
        <v/>
      </c>
      <c r="B2569" t="n">
        <v>11</v>
      </c>
      <c r="C2569" t="inlineStr"/>
      <c r="D2569" t="inlineStr">
        <is>
          <t>240</t>
        </is>
      </c>
      <c r="E2569" t="inlineStr">
        <is>
          <t>1</t>
        </is>
      </c>
      <c r="F2569" t="inlineStr">
        <is>
          <t>60</t>
        </is>
      </c>
      <c r="G2569" t="inlineStr">
        <is>
          <t>0</t>
        </is>
      </c>
      <c r="H2569" t="inlineStr">
        <is>
          <t>0</t>
        </is>
      </c>
      <c r="I2569" t="inlineStr">
        <is>
          <t>5⁸, 10⁴, 20⁸</t>
        </is>
      </c>
      <c r="J2569" t="n">
        <v>20</v>
      </c>
      <c r="K2569" t="inlineStr">
        <is>
          <t>2⁴, 4⁹, 8²</t>
        </is>
      </c>
      <c r="L2569" t="inlineStr">
        <is>
          <t>20E⁵</t>
        </is>
      </c>
      <c r="M2569" t="inlineStr"/>
      <c r="N2569" t="inlineStr">
        <is>
          <t>20A², 5A⁰, 20E⁵, 20E³, 10B¹, 10D², 5F⁰, 1A⁰, 2B⁰, 20F², 4B⁰, 5C⁰, 10F¹</t>
        </is>
      </c>
      <c r="O2569" t="inlineStr"/>
    </row>
    <row r="2570">
      <c r="A2570">
        <f>HYPERLINK("https://mathstats.uncg.edu/sites/pauli/congruence/csg11.html#group20D11", "20D¹¹")</f>
        <v/>
      </c>
      <c r="B2570" t="n">
        <v>11</v>
      </c>
      <c r="C2570" t="inlineStr"/>
      <c r="D2570" t="inlineStr">
        <is>
          <t>240</t>
        </is>
      </c>
      <c r="E2570" t="inlineStr">
        <is>
          <t>1</t>
        </is>
      </c>
      <c r="F2570" t="inlineStr">
        <is>
          <t>60</t>
        </is>
      </c>
      <c r="G2570" t="inlineStr">
        <is>
          <t>8</t>
        </is>
      </c>
      <c r="H2570" t="inlineStr">
        <is>
          <t>0</t>
        </is>
      </c>
      <c r="I2570" t="inlineStr">
        <is>
          <t>10⁸, 20⁸</t>
        </is>
      </c>
      <c r="J2570" t="n">
        <v>16</v>
      </c>
      <c r="K2570" t="inlineStr">
        <is>
          <t>2⁴, 4⁹, 8²</t>
        </is>
      </c>
      <c r="L2570" t="inlineStr">
        <is>
          <t>20F⁵</t>
        </is>
      </c>
      <c r="M2570" t="inlineStr"/>
      <c r="N2570" t="inlineStr">
        <is>
          <t>10E², 20F⁵, 10D⁰, 4C⁰, 5C⁰, 2B⁰, 20F², 1A⁰, 20F³, 10F¹</t>
        </is>
      </c>
      <c r="O2570" t="inlineStr"/>
    </row>
    <row r="2571">
      <c r="A2571">
        <f>HYPERLINK("https://mathstats.uncg.edu/sites/pauli/congruence/csg11.html#group20E11", "20E¹¹")</f>
        <v/>
      </c>
      <c r="B2571" t="n">
        <v>11</v>
      </c>
      <c r="C2571" t="inlineStr"/>
      <c r="D2571" t="inlineStr">
        <is>
          <t>288</t>
        </is>
      </c>
      <c r="E2571" t="inlineStr">
        <is>
          <t>2</t>
        </is>
      </c>
      <c r="F2571" t="inlineStr">
        <is>
          <t>36</t>
        </is>
      </c>
      <c r="G2571" t="inlineStr">
        <is>
          <t>8</t>
        </is>
      </c>
      <c r="H2571" t="inlineStr">
        <is>
          <t>0</t>
        </is>
      </c>
      <c r="I2571" t="inlineStr">
        <is>
          <t>4¹², 20¹²</t>
        </is>
      </c>
      <c r="J2571" t="n">
        <v>24</v>
      </c>
      <c r="K2571" t="inlineStr">
        <is>
          <t>2¹², 8⁶</t>
        </is>
      </c>
      <c r="L2571" t="inlineStr">
        <is>
          <t>20Q³, 20T³, 20J⁵, 20K⁵</t>
        </is>
      </c>
      <c r="M2571" t="inlineStr"/>
      <c r="N2571" t="inlineStr">
        <is>
          <t>20E¹, 20C¹, 20M³, 10G⁰, 20J⁵, 4C⁰, 5B⁰, 2B⁰, 20K³, 1A⁰, 20J¹, 20B¹, 20T³, 10B⁰, 20A⁰, 20K⁵, 20I¹, 4A⁰, 20G¹, 10C⁰, 4F⁰, 20L³, 20Q³</t>
        </is>
      </c>
      <c r="O2571" t="inlineStr"/>
    </row>
    <row r="2572">
      <c r="A2572">
        <f>HYPERLINK("https://mathstats.uncg.edu/sites/pauli/congruence/csg11.html#group21A11", "21A¹¹")</f>
        <v/>
      </c>
      <c r="B2572" t="n">
        <v>11</v>
      </c>
      <c r="C2572" t="inlineStr"/>
      <c r="D2572" t="inlineStr">
        <is>
          <t>168</t>
        </is>
      </c>
      <c r="E2572" t="inlineStr">
        <is>
          <t>1</t>
        </is>
      </c>
      <c r="F2572" t="inlineStr">
        <is>
          <t>28</t>
        </is>
      </c>
      <c r="G2572" t="inlineStr">
        <is>
          <t>0</t>
        </is>
      </c>
      <c r="H2572" t="inlineStr">
        <is>
          <t>0</t>
        </is>
      </c>
      <c r="I2572" t="inlineStr">
        <is>
          <t>21⁸</t>
        </is>
      </c>
      <c r="J2572" t="n">
        <v>8</v>
      </c>
      <c r="K2572" t="inlineStr">
        <is>
          <t>1¹, 3¹, 6⁴</t>
        </is>
      </c>
      <c r="L2572" t="inlineStr">
        <is>
          <t>7B¹, 21A², 21C², 21C³</t>
        </is>
      </c>
      <c r="M2572" t="inlineStr">
        <is>
          <t>21B²¹</t>
        </is>
      </c>
      <c r="N2572" t="inlineStr">
        <is>
          <t>21A², 7B⁰, 7C⁰, 21C², 21A⁰, 7F⁰, 3A⁰, 1A⁰, 21C³, 7B¹, 7A⁰</t>
        </is>
      </c>
      <c r="O2572" t="inlineStr">
        <is>
          <t>21B²¹</t>
        </is>
      </c>
    </row>
    <row r="2573">
      <c r="A2573">
        <f>HYPERLINK("https://mathstats.uncg.edu/sites/pauli/congruence/csg11.html#group21B11", "21B¹¹")</f>
        <v/>
      </c>
      <c r="B2573" t="n">
        <v>11</v>
      </c>
      <c r="C2573" t="inlineStr"/>
      <c r="D2573" t="inlineStr">
        <is>
          <t>168</t>
        </is>
      </c>
      <c r="E2573" t="inlineStr">
        <is>
          <t>2</t>
        </is>
      </c>
      <c r="F2573" t="inlineStr">
        <is>
          <t>7</t>
        </is>
      </c>
      <c r="G2573" t="inlineStr">
        <is>
          <t>0</t>
        </is>
      </c>
      <c r="H2573" t="inlineStr">
        <is>
          <t>0</t>
        </is>
      </c>
      <c r="I2573" t="inlineStr">
        <is>
          <t>21⁸</t>
        </is>
      </c>
      <c r="J2573" t="n">
        <v>8</v>
      </c>
      <c r="K2573" t="inlineStr">
        <is>
          <t>2¹, 6²</t>
        </is>
      </c>
      <c r="L2573" t="inlineStr">
        <is>
          <t>21B³, 21B⁴, 21B⁵, 21A⁶</t>
        </is>
      </c>
      <c r="M2573" t="inlineStr"/>
      <c r="N2573" t="inlineStr">
        <is>
          <t>21B³, 3B⁰, 21D², 21B⁵, 21D¹, 21C², 21A⁰, 1A⁰, 21A⁶, 21B², 7C⁰, 3C⁰, 21B⁴, 3A⁰, 3D⁰, 7A⁰</t>
        </is>
      </c>
      <c r="O2573" t="inlineStr"/>
    </row>
    <row r="2574">
      <c r="A2574">
        <f>HYPERLINK("https://mathstats.uncg.edu/sites/pauli/congruence/csg11.html#group21C11", "21C¹¹")</f>
        <v/>
      </c>
      <c r="B2574" t="n">
        <v>11</v>
      </c>
      <c r="C2574" t="inlineStr"/>
      <c r="D2574" t="inlineStr">
        <is>
          <t>224</t>
        </is>
      </c>
      <c r="E2574" t="inlineStr">
        <is>
          <t>1</t>
        </is>
      </c>
      <c r="F2574" t="inlineStr">
        <is>
          <t>112</t>
        </is>
      </c>
      <c r="G2574" t="inlineStr">
        <is>
          <t>0</t>
        </is>
      </c>
      <c r="H2574" t="inlineStr">
        <is>
          <t>2</t>
        </is>
      </c>
      <c r="I2574" t="inlineStr">
        <is>
          <t>7⁸, 21⁸</t>
        </is>
      </c>
      <c r="J2574" t="n">
        <v>16</v>
      </c>
      <c r="K2574" t="inlineStr">
        <is>
          <t>1², 2¹, 3², 6⁹, 12⁴</t>
        </is>
      </c>
      <c r="L2574" t="inlineStr">
        <is>
          <t>7B¹, 21B¹, 21B³, 21B⁶</t>
        </is>
      </c>
      <c r="M2574" t="inlineStr">
        <is>
          <t>21C²¹</t>
        </is>
      </c>
      <c r="N2574" t="inlineStr">
        <is>
          <t>21B³, 3B⁰, 21B², 21B¹, 7B⁰, 7C⁰, 7F⁰, 1A⁰, 21B⁶, 7B¹, 7A⁰</t>
        </is>
      </c>
      <c r="O2574" t="inlineStr">
        <is>
          <t>21C²¹</t>
        </is>
      </c>
    </row>
    <row r="2575">
      <c r="A2575">
        <f>HYPERLINK("https://mathstats.uncg.edu/sites/pauli/congruence/csg11.html#group21D11", "21D¹¹")</f>
        <v/>
      </c>
      <c r="B2575" t="n">
        <v>11</v>
      </c>
      <c r="C2575" t="inlineStr"/>
      <c r="D2575" t="inlineStr">
        <is>
          <t>252</t>
        </is>
      </c>
      <c r="E2575" t="inlineStr">
        <is>
          <t>2</t>
        </is>
      </c>
      <c r="F2575" t="inlineStr">
        <is>
          <t>63</t>
        </is>
      </c>
      <c r="G2575" t="inlineStr">
        <is>
          <t>20</t>
        </is>
      </c>
      <c r="H2575" t="inlineStr">
        <is>
          <t>0</t>
        </is>
      </c>
      <c r="I2575" t="inlineStr">
        <is>
          <t>21¹²</t>
        </is>
      </c>
      <c r="J2575" t="n">
        <v>12</v>
      </c>
      <c r="K2575" t="inlineStr">
        <is>
          <t>6⁷, 12⁷</t>
        </is>
      </c>
      <c r="L2575" t="inlineStr">
        <is>
          <t>21D⁴, 21E⁴, 21D⁵</t>
        </is>
      </c>
      <c r="M2575" t="inlineStr"/>
      <c r="N2575" t="inlineStr">
        <is>
          <t>21D⁵, 21D⁴, 7D⁰, 21E¹, 21D¹, 7C⁰, 21C¹, 21C², 21A⁰, 7G⁰, 3A⁰, 1A⁰, 21E⁴, 7A⁰</t>
        </is>
      </c>
      <c r="O2575" t="inlineStr"/>
    </row>
    <row r="2576">
      <c r="A2576">
        <f>HYPERLINK("https://mathstats.uncg.edu/sites/pauli/congruence/csg11.html#group24A11", "24A¹¹")</f>
        <v/>
      </c>
      <c r="B2576" t="n">
        <v>11</v>
      </c>
      <c r="C2576" t="inlineStr"/>
      <c r="D2576" t="inlineStr">
        <is>
          <t>192</t>
        </is>
      </c>
      <c r="E2576" t="inlineStr">
        <is>
          <t>1</t>
        </is>
      </c>
      <c r="F2576" t="inlineStr">
        <is>
          <t>4</t>
        </is>
      </c>
      <c r="G2576" t="inlineStr">
        <is>
          <t>0</t>
        </is>
      </c>
      <c r="H2576" t="inlineStr">
        <is>
          <t>0</t>
        </is>
      </c>
      <c r="I2576" t="inlineStr">
        <is>
          <t>8⁶, 24⁶</t>
        </is>
      </c>
      <c r="J2576" t="n">
        <v>12</v>
      </c>
      <c r="K2576" t="inlineStr">
        <is>
          <t>1², 2¹</t>
        </is>
      </c>
      <c r="L2576" t="inlineStr">
        <is>
          <t>12K³, 24F³</t>
        </is>
      </c>
      <c r="M2576" t="inlineStr">
        <is>
          <t>24B²¹, 24E²¹, 24D²¹</t>
        </is>
      </c>
      <c r="N2576" t="inlineStr">
        <is>
          <t>2A⁰, 3B⁰, 12I¹, 12F¹, 6I⁰, 4C⁰, 6C⁰, 4G⁰, 2B⁰, 4E⁰, 12P¹, 4B⁰, 1A⁰, 24F³, 4A⁰, 4D⁰, 12A¹, 12G², 12K³, 4F⁰, 6F⁰, 2C⁰, 12E⁰</t>
        </is>
      </c>
      <c r="O2576" t="inlineStr">
        <is>
          <t>24B²¹, 24E²¹, 24D²¹</t>
        </is>
      </c>
    </row>
    <row r="2577">
      <c r="A2577">
        <f>HYPERLINK("https://mathstats.uncg.edu/sites/pauli/congruence/csg11.html#group24B11", "24B¹¹")</f>
        <v/>
      </c>
      <c r="B2577" t="n">
        <v>11</v>
      </c>
      <c r="C2577" t="inlineStr"/>
      <c r="D2577" t="inlineStr">
        <is>
          <t>192</t>
        </is>
      </c>
      <c r="E2577" t="inlineStr">
        <is>
          <t>1</t>
        </is>
      </c>
      <c r="F2577" t="inlineStr">
        <is>
          <t>4</t>
        </is>
      </c>
      <c r="G2577" t="inlineStr">
        <is>
          <t>0</t>
        </is>
      </c>
      <c r="H2577" t="inlineStr">
        <is>
          <t>0</t>
        </is>
      </c>
      <c r="I2577" t="inlineStr">
        <is>
          <t>8⁶, 24⁶</t>
        </is>
      </c>
      <c r="J2577" t="n">
        <v>12</v>
      </c>
      <c r="K2577" t="inlineStr">
        <is>
          <t>1², 2¹</t>
        </is>
      </c>
      <c r="L2577" t="inlineStr">
        <is>
          <t>8A², 12K³, 24G³, 24B⁶</t>
        </is>
      </c>
      <c r="M2577" t="inlineStr">
        <is>
          <t>24B²¹, 24C²¹, 24G²¹</t>
        </is>
      </c>
      <c r="N2577" t="inlineStr">
        <is>
          <t>2A⁰, 24A², 4C⁰, 8A⁰, 4G⁰, 2B⁰, 4E⁰, 4B⁰, 1A⁰, 4D⁰, 12A¹, 24B⁶, 6F⁰, 3B⁰, 12I¹, 12F¹, 6I⁰, 6C⁰, 8E⁰, 24G³, 12P¹, 8D¹, 8A², 4A⁰, 12G², 12K³, 4F⁰, 2C⁰, 12E⁰</t>
        </is>
      </c>
      <c r="O2577" t="inlineStr">
        <is>
          <t>24B²¹, 24C²¹, 24G²¹</t>
        </is>
      </c>
    </row>
    <row r="2578">
      <c r="A2578">
        <f>HYPERLINK("https://mathstats.uncg.edu/sites/pauli/congruence/csg11.html#group24C11", "24C¹¹")</f>
        <v/>
      </c>
      <c r="B2578" t="n">
        <v>11</v>
      </c>
      <c r="C2578" t="inlineStr"/>
      <c r="D2578" t="inlineStr">
        <is>
          <t>192</t>
        </is>
      </c>
      <c r="E2578" t="inlineStr">
        <is>
          <t>1</t>
        </is>
      </c>
      <c r="F2578" t="inlineStr">
        <is>
          <t>32</t>
        </is>
      </c>
      <c r="G2578" t="inlineStr">
        <is>
          <t>0</t>
        </is>
      </c>
      <c r="H2578" t="inlineStr">
        <is>
          <t>6</t>
        </is>
      </c>
      <c r="I2578" t="inlineStr">
        <is>
          <t>24⁸</t>
        </is>
      </c>
      <c r="J2578" t="n">
        <v>8</v>
      </c>
      <c r="K2578" t="inlineStr">
        <is>
          <t>8⁴</t>
        </is>
      </c>
      <c r="L2578" t="inlineStr">
        <is>
          <t>8J¹, 24E², 24A⁶</t>
        </is>
      </c>
      <c r="M2578" t="inlineStr"/>
      <c r="N2578" t="inlineStr">
        <is>
          <t>2A⁰, 8F⁰, 6A⁰, 24E², 4A⁰, 24A⁶, 4D⁰, 12E¹, 8A⁰, 8E⁰, 8E¹, 8M⁰, 8J¹, 1A⁰</t>
        </is>
      </c>
      <c r="O2578" t="inlineStr"/>
    </row>
    <row r="2579">
      <c r="A2579">
        <f>HYPERLINK("https://mathstats.uncg.edu/sites/pauli/congruence/csg11.html#group24D11", "24D¹¹")</f>
        <v/>
      </c>
      <c r="B2579" t="n">
        <v>11</v>
      </c>
      <c r="C2579" t="inlineStr"/>
      <c r="D2579" t="inlineStr">
        <is>
          <t>192</t>
        </is>
      </c>
      <c r="E2579" t="inlineStr">
        <is>
          <t>1</t>
        </is>
      </c>
      <c r="F2579" t="inlineStr">
        <is>
          <t>32</t>
        </is>
      </c>
      <c r="G2579" t="inlineStr">
        <is>
          <t>0</t>
        </is>
      </c>
      <c r="H2579" t="inlineStr">
        <is>
          <t>6</t>
        </is>
      </c>
      <c r="I2579" t="inlineStr">
        <is>
          <t>24⁸</t>
        </is>
      </c>
      <c r="J2579" t="n">
        <v>8</v>
      </c>
      <c r="K2579" t="inlineStr">
        <is>
          <t>4⁸</t>
        </is>
      </c>
      <c r="L2579" t="inlineStr">
        <is>
          <t>24E², 24G³, 12D⁴</t>
        </is>
      </c>
      <c r="M2579" t="inlineStr">
        <is>
          <t>24H²¹</t>
        </is>
      </c>
      <c r="N2579" t="inlineStr">
        <is>
          <t>2A⁰, 3B⁰, 12I¹, 12H¹, 24A², 24E², 6C⁰, 12E¹, 8A⁰, 8E⁰, 24G³, 1A⁰, 12D⁴, 6A⁰, 4A⁰, 4D⁰, 12A¹, 6J⁰</t>
        </is>
      </c>
      <c r="O2579" t="inlineStr">
        <is>
          <t>24H²¹</t>
        </is>
      </c>
    </row>
    <row r="2580">
      <c r="A2580">
        <f>HYPERLINK("https://mathstats.uncg.edu/sites/pauli/congruence/csg11.html#group24E11", "24E¹¹")</f>
        <v/>
      </c>
      <c r="B2580" t="n">
        <v>11</v>
      </c>
      <c r="C2580" t="inlineStr"/>
      <c r="D2580" t="inlineStr">
        <is>
          <t>192</t>
        </is>
      </c>
      <c r="E2580" t="inlineStr">
        <is>
          <t>1</t>
        </is>
      </c>
      <c r="F2580" t="inlineStr">
        <is>
          <t>32</t>
        </is>
      </c>
      <c r="G2580" t="inlineStr">
        <is>
          <t>0</t>
        </is>
      </c>
      <c r="H2580" t="inlineStr">
        <is>
          <t>6</t>
        </is>
      </c>
      <c r="I2580" t="inlineStr">
        <is>
          <t>24⁸</t>
        </is>
      </c>
      <c r="J2580" t="n">
        <v>8</v>
      </c>
      <c r="K2580" t="inlineStr">
        <is>
          <t>4⁸</t>
        </is>
      </c>
      <c r="L2580" t="inlineStr">
        <is>
          <t>24J², 24F³, 12D⁴</t>
        </is>
      </c>
      <c r="M2580" t="inlineStr">
        <is>
          <t>24H²¹</t>
        </is>
      </c>
      <c r="N2580" t="inlineStr">
        <is>
          <t>2A⁰, 3B⁰, 12H¹, 12I¹, 6C⁰, 12E¹, 1A⁰, 24F³, 12D⁴, 6A⁰, 4A⁰, 4D⁰, 12A¹, 6J⁰, 24J²</t>
        </is>
      </c>
      <c r="O2580" t="inlineStr">
        <is>
          <t>24H²¹</t>
        </is>
      </c>
    </row>
    <row r="2581">
      <c r="A2581">
        <f>HYPERLINK("https://mathstats.uncg.edu/sites/pauli/congruence/csg11.html#group24F11", "24F¹¹")</f>
        <v/>
      </c>
      <c r="B2581" t="n">
        <v>11</v>
      </c>
      <c r="C2581" t="inlineStr"/>
      <c r="D2581" t="inlineStr">
        <is>
          <t>192</t>
        </is>
      </c>
      <c r="E2581" t="inlineStr">
        <is>
          <t>1</t>
        </is>
      </c>
      <c r="F2581" t="inlineStr">
        <is>
          <t>48</t>
        </is>
      </c>
      <c r="G2581" t="inlineStr">
        <is>
          <t>0</t>
        </is>
      </c>
      <c r="H2581" t="inlineStr">
        <is>
          <t>0</t>
        </is>
      </c>
      <c r="I2581" t="inlineStr">
        <is>
          <t>8⁶, 24⁶</t>
        </is>
      </c>
      <c r="J2581" t="n">
        <v>12</v>
      </c>
      <c r="K2581" t="inlineStr">
        <is>
          <t>2⁴, 4⁶, 8²</t>
        </is>
      </c>
      <c r="L2581" t="inlineStr">
        <is>
          <t>8H¹, 24R⁴, 24J⁵, 24B⁶</t>
        </is>
      </c>
      <c r="M2581" t="inlineStr">
        <is>
          <t>24G²¹, 24J²¹, 48B²³, 48C²³</t>
        </is>
      </c>
      <c r="N2581" t="inlineStr">
        <is>
          <t>3B⁰, 24B³, 24A², 12F¹, 8D⁰, 4C⁰, 8A⁰, 8B⁰, 2B⁰, 1A⁰, 8D¹, 8H¹, 8K⁰, 8H⁰, 24I², 4A⁰, 12A¹, 24R⁴, 12G², 24B⁶, 24J⁵, 4F⁰, 6F⁰</t>
        </is>
      </c>
      <c r="O2581" t="inlineStr">
        <is>
          <t>24J²¹, 48C²³, 48B²³, 24G²¹</t>
        </is>
      </c>
    </row>
    <row r="2582">
      <c r="A2582">
        <f>HYPERLINK("https://mathstats.uncg.edu/sites/pauli/congruence/csg11.html#group24G11", "24G¹¹")</f>
        <v/>
      </c>
      <c r="B2582" t="n">
        <v>11</v>
      </c>
      <c r="C2582" t="inlineStr"/>
      <c r="D2582" t="inlineStr">
        <is>
          <t>192</t>
        </is>
      </c>
      <c r="E2582" t="inlineStr">
        <is>
          <t>1</t>
        </is>
      </c>
      <c r="F2582" t="inlineStr">
        <is>
          <t>48</t>
        </is>
      </c>
      <c r="G2582" t="inlineStr">
        <is>
          <t>0</t>
        </is>
      </c>
      <c r="H2582" t="inlineStr">
        <is>
          <t>0</t>
        </is>
      </c>
      <c r="I2582" t="inlineStr">
        <is>
          <t>8⁶, 24⁶</t>
        </is>
      </c>
      <c r="J2582" t="n">
        <v>12</v>
      </c>
      <c r="K2582" t="inlineStr">
        <is>
          <t>2⁴, 4⁶, 8²</t>
        </is>
      </c>
      <c r="L2582" t="inlineStr">
        <is>
          <t>8B², 24R⁴, 24K⁵, 24B⁶</t>
        </is>
      </c>
      <c r="M2582" t="inlineStr">
        <is>
          <t>24G²¹, 24I²¹, 48A²³, 48D²³</t>
        </is>
      </c>
      <c r="N2582" t="inlineStr">
        <is>
          <t>3B⁰, 24K⁵, 8A¹, 24A², 12F¹, 8D⁰, 4C⁰, 8B², 8A⁰, 2B⁰, 1A⁰, 8D¹, 8K⁰, 24C³, 8C¹, 24I², 4A⁰, 12A¹, 24R⁴, 12G², 24B⁶, 4F⁰, 6F⁰</t>
        </is>
      </c>
      <c r="O2582" t="inlineStr">
        <is>
          <t>48A²³, 48D²³, 24G²¹, 24I²¹</t>
        </is>
      </c>
    </row>
    <row r="2583">
      <c r="A2583">
        <f>HYPERLINK("https://mathstats.uncg.edu/sites/pauli/congruence/csg11.html#group24H11", "24H¹¹")</f>
        <v/>
      </c>
      <c r="B2583" t="n">
        <v>11</v>
      </c>
      <c r="C2583" t="inlineStr"/>
      <c r="D2583" t="inlineStr">
        <is>
          <t>192</t>
        </is>
      </c>
      <c r="E2583" t="inlineStr">
        <is>
          <t>1</t>
        </is>
      </c>
      <c r="F2583" t="inlineStr">
        <is>
          <t>48</t>
        </is>
      </c>
      <c r="G2583" t="inlineStr">
        <is>
          <t>0</t>
        </is>
      </c>
      <c r="H2583" t="inlineStr">
        <is>
          <t>0</t>
        </is>
      </c>
      <c r="I2583" t="inlineStr">
        <is>
          <t>8⁶, 24⁶</t>
        </is>
      </c>
      <c r="J2583" t="n">
        <v>12</v>
      </c>
      <c r="K2583" t="inlineStr">
        <is>
          <t>1⁴, 2⁴, 4⁵, 8²</t>
        </is>
      </c>
      <c r="L2583" t="inlineStr">
        <is>
          <t>24K⁵</t>
        </is>
      </c>
      <c r="M2583" t="inlineStr">
        <is>
          <t>24F²¹, 24I²¹</t>
        </is>
      </c>
      <c r="N2583" t="inlineStr">
        <is>
          <t>3B⁰, 24K⁵, 8A¹, 8D⁰, 12F¹, 4C⁰, 2B⁰, 1A⁰, 24C³, 8C¹, 24I², 4A⁰, 12A¹, 12G², 4F⁰, 6F⁰</t>
        </is>
      </c>
      <c r="O2583" t="inlineStr">
        <is>
          <t>24F²¹, 24I²¹</t>
        </is>
      </c>
    </row>
    <row r="2584">
      <c r="A2584">
        <f>HYPERLINK("https://mathstats.uncg.edu/sites/pauli/congruence/csg11.html#group24I11", "24I¹¹")</f>
        <v/>
      </c>
      <c r="B2584" t="n">
        <v>11</v>
      </c>
      <c r="C2584" t="inlineStr"/>
      <c r="D2584" t="inlineStr">
        <is>
          <t>192</t>
        </is>
      </c>
      <c r="E2584" t="inlineStr">
        <is>
          <t>1</t>
        </is>
      </c>
      <c r="F2584" t="inlineStr">
        <is>
          <t>48</t>
        </is>
      </c>
      <c r="G2584" t="inlineStr">
        <is>
          <t>0</t>
        </is>
      </c>
      <c r="H2584" t="inlineStr">
        <is>
          <t>0</t>
        </is>
      </c>
      <c r="I2584" t="inlineStr">
        <is>
          <t>8⁶, 24⁶</t>
        </is>
      </c>
      <c r="J2584" t="n">
        <v>12</v>
      </c>
      <c r="K2584" t="inlineStr">
        <is>
          <t>1⁴, 2⁴, 4⁵, 8²</t>
        </is>
      </c>
      <c r="L2584" t="inlineStr">
        <is>
          <t>8I¹, 24C⁴, 24J⁵</t>
        </is>
      </c>
      <c r="M2584" t="inlineStr">
        <is>
          <t>24A²¹, 24J²¹</t>
        </is>
      </c>
      <c r="N2584" t="inlineStr">
        <is>
          <t>24C⁴, 3B⁰, 24B³, 8D⁰, 12F¹, 4C⁰, 8B⁰, 2B⁰, 1A⁰, 8H⁰, 8F⁰, 24I², 4A⁰, 8I¹, 12A¹, 12G², 24J⁵, 4F⁰, 6F⁰</t>
        </is>
      </c>
      <c r="O2584" t="inlineStr">
        <is>
          <t>24A²¹, 24J²¹</t>
        </is>
      </c>
    </row>
    <row r="2585">
      <c r="A2585">
        <f>HYPERLINK("https://mathstats.uncg.edu/sites/pauli/congruence/csg11.html#group24J11", "24J¹¹")</f>
        <v/>
      </c>
      <c r="B2585" t="n">
        <v>11</v>
      </c>
      <c r="C2585" t="inlineStr"/>
      <c r="D2585" t="inlineStr">
        <is>
          <t>192</t>
        </is>
      </c>
      <c r="E2585" t="inlineStr">
        <is>
          <t>1</t>
        </is>
      </c>
      <c r="F2585" t="inlineStr">
        <is>
          <t>96</t>
        </is>
      </c>
      <c r="G2585" t="inlineStr">
        <is>
          <t>0</t>
        </is>
      </c>
      <c r="H2585" t="inlineStr">
        <is>
          <t>6</t>
        </is>
      </c>
      <c r="I2585" t="inlineStr">
        <is>
          <t>24⁸</t>
        </is>
      </c>
      <c r="J2585" t="n">
        <v>8</v>
      </c>
      <c r="K2585" t="inlineStr">
        <is>
          <t>8¹²</t>
        </is>
      </c>
      <c r="L2585" t="inlineStr">
        <is>
          <t>24E², 24C⁶</t>
        </is>
      </c>
      <c r="M2585" t="inlineStr"/>
      <c r="N2585" t="inlineStr">
        <is>
          <t>2A⁰, 6A⁰, 24E², 4A⁰, 4D⁰, 12E¹, 8A⁰, 8E⁰, 24C⁶, 1A⁰</t>
        </is>
      </c>
      <c r="O2585" t="inlineStr"/>
    </row>
    <row r="2586">
      <c r="A2586">
        <f>HYPERLINK("https://mathstats.uncg.edu/sites/pauli/congruence/csg11.html#group24K11", "24K¹¹")</f>
        <v/>
      </c>
      <c r="B2586" t="n">
        <v>11</v>
      </c>
      <c r="C2586" t="inlineStr"/>
      <c r="D2586" t="inlineStr">
        <is>
          <t>192</t>
        </is>
      </c>
      <c r="E2586" t="inlineStr">
        <is>
          <t>2</t>
        </is>
      </c>
      <c r="F2586" t="inlineStr">
        <is>
          <t>24</t>
        </is>
      </c>
      <c r="G2586" t="inlineStr">
        <is>
          <t>8</t>
        </is>
      </c>
      <c r="H2586" t="inlineStr">
        <is>
          <t>0</t>
        </is>
      </c>
      <c r="I2586" t="inlineStr">
        <is>
          <t>24⁸</t>
        </is>
      </c>
      <c r="J2586" t="n">
        <v>8</v>
      </c>
      <c r="K2586" t="inlineStr">
        <is>
          <t>8⁶</t>
        </is>
      </c>
      <c r="L2586" t="inlineStr">
        <is>
          <t>12M³, 24L⁵, 24P⁵</t>
        </is>
      </c>
      <c r="M2586" t="inlineStr"/>
      <c r="N2586" t="inlineStr">
        <is>
          <t>12G¹, 12D¹, 6B⁰, 24D³, 12F⁰, 8A⁰, 24B¹, 1A⁰, 24E³, 12A⁰, 24K², 24A¹, 6E⁰, 4A⁰, 12M³, 12Q¹, 3C⁰, 3A⁰, 24G², 24H², 24P⁵, 24L⁵</t>
        </is>
      </c>
      <c r="O2586" t="inlineStr"/>
    </row>
    <row r="2587">
      <c r="A2587">
        <f>HYPERLINK("https://mathstats.uncg.edu/sites/pauli/congruence/csg11.html#group24L11", "24L¹¹")</f>
        <v/>
      </c>
      <c r="B2587" t="n">
        <v>11</v>
      </c>
      <c r="C2587" t="inlineStr"/>
      <c r="D2587" t="inlineStr">
        <is>
          <t>192</t>
        </is>
      </c>
      <c r="E2587" t="inlineStr">
        <is>
          <t>2</t>
        </is>
      </c>
      <c r="F2587" t="inlineStr">
        <is>
          <t>48</t>
        </is>
      </c>
      <c r="G2587" t="inlineStr">
        <is>
          <t>8</t>
        </is>
      </c>
      <c r="H2587" t="inlineStr">
        <is>
          <t>0</t>
        </is>
      </c>
      <c r="I2587" t="inlineStr">
        <is>
          <t>24⁸</t>
        </is>
      </c>
      <c r="J2587" t="n">
        <v>8</v>
      </c>
      <c r="K2587" t="inlineStr">
        <is>
          <t>4⁸, 8⁸</t>
        </is>
      </c>
      <c r="L2587" t="inlineStr">
        <is>
          <t>24D³, 24T⁴, 24O⁵</t>
        </is>
      </c>
      <c r="M2587" t="inlineStr">
        <is>
          <t>24M²¹</t>
        </is>
      </c>
      <c r="N2587" t="inlineStr">
        <is>
          <t>24F¹, 12G¹, 12A⁰, 24D³, 8F⁰, 4A⁰, 24O⁵, 3C⁰, 24B¹, 3A⁰, 1A⁰, 24T⁴</t>
        </is>
      </c>
      <c r="O2587" t="inlineStr">
        <is>
          <t>24M²¹</t>
        </is>
      </c>
    </row>
    <row r="2588">
      <c r="A2588">
        <f>HYPERLINK("https://mathstats.uncg.edu/sites/pauli/congruence/csg11.html#group24M11", "24M¹¹")</f>
        <v/>
      </c>
      <c r="B2588" t="n">
        <v>11</v>
      </c>
      <c r="C2588" t="inlineStr"/>
      <c r="D2588" t="inlineStr">
        <is>
          <t>192</t>
        </is>
      </c>
      <c r="E2588" t="inlineStr">
        <is>
          <t>2</t>
        </is>
      </c>
      <c r="F2588" t="inlineStr">
        <is>
          <t>48</t>
        </is>
      </c>
      <c r="G2588" t="inlineStr">
        <is>
          <t>8</t>
        </is>
      </c>
      <c r="H2588" t="inlineStr">
        <is>
          <t>0</t>
        </is>
      </c>
      <c r="I2588" t="inlineStr">
        <is>
          <t>24⁸</t>
        </is>
      </c>
      <c r="J2588" t="n">
        <v>8</v>
      </c>
      <c r="K2588" t="inlineStr">
        <is>
          <t>4⁸, 8⁸</t>
        </is>
      </c>
      <c r="L2588" t="inlineStr">
        <is>
          <t>24E³, 24S⁴, 24T⁴, 24O⁵</t>
        </is>
      </c>
      <c r="M2588" t="inlineStr">
        <is>
          <t>24M²¹</t>
        </is>
      </c>
      <c r="N2588" t="inlineStr">
        <is>
          <t>12G¹, 24S⁴, 24O⁵, 8A⁰, 8M⁰, 24B¹, 1A⁰, 24F¹, 24E³, 12A⁰, 24A¹, 8F⁰, 4A⁰, 3C⁰, 3A⁰, 24T⁴</t>
        </is>
      </c>
      <c r="O2588" t="inlineStr">
        <is>
          <t>24M²¹</t>
        </is>
      </c>
    </row>
    <row r="2589">
      <c r="A2589">
        <f>HYPERLINK("https://mathstats.uncg.edu/sites/pauli/congruence/csg11.html#group24N11", "24N¹¹")</f>
        <v/>
      </c>
      <c r="B2589" t="n">
        <v>11</v>
      </c>
      <c r="C2589" t="inlineStr"/>
      <c r="D2589" t="inlineStr">
        <is>
          <t>288</t>
        </is>
      </c>
      <c r="E2589" t="inlineStr">
        <is>
          <t>1</t>
        </is>
      </c>
      <c r="F2589" t="inlineStr">
        <is>
          <t>36</t>
        </is>
      </c>
      <c r="G2589" t="inlineStr">
        <is>
          <t>8</t>
        </is>
      </c>
      <c r="H2589" t="inlineStr">
        <is>
          <t>0</t>
        </is>
      </c>
      <c r="I2589" t="inlineStr">
        <is>
          <t>6¹⁶, 24⁸</t>
        </is>
      </c>
      <c r="J2589" t="n">
        <v>24</v>
      </c>
      <c r="K2589" t="inlineStr">
        <is>
          <t>2², 4⁸</t>
        </is>
      </c>
      <c r="L2589" t="inlineStr">
        <is>
          <t>12P³, 24T⁵, 24U⁵</t>
        </is>
      </c>
      <c r="M2589" t="inlineStr"/>
      <c r="N2589" t="inlineStr">
        <is>
          <t>12T¹, 24O², 24E¹, 24I¹, 6B⁰, 12C⁰, 24N², 8D⁰, 4C⁰, 6G⁰, 24M³, 2B⁰, 12N¹, 12H⁰, 1A⁰, 12L¹, 24O³, 12G⁰, 12C¹, 6E⁰, 6L⁰, 24T⁵, 12P³, 24N³, 24U⁵, 24C¹, 3C⁰, 12D⁰, 6H⁰, 3A⁰, 6D⁰</t>
        </is>
      </c>
      <c r="O2589" t="inlineStr"/>
    </row>
    <row r="2590">
      <c r="A2590">
        <f>HYPERLINK("https://mathstats.uncg.edu/sites/pauli/congruence/csg11.html#group26A11", "26A¹¹")</f>
        <v/>
      </c>
      <c r="B2590" t="n">
        <v>11</v>
      </c>
      <c r="C2590" t="inlineStr"/>
      <c r="D2590" t="inlineStr">
        <is>
          <t>156</t>
        </is>
      </c>
      <c r="E2590" t="inlineStr">
        <is>
          <t>1</t>
        </is>
      </c>
      <c r="F2590" t="inlineStr">
        <is>
          <t>78</t>
        </is>
      </c>
      <c r="G2590" t="inlineStr">
        <is>
          <t>0</t>
        </is>
      </c>
      <c r="H2590" t="inlineStr">
        <is>
          <t>0</t>
        </is>
      </c>
      <c r="I2590" t="inlineStr">
        <is>
          <t>26⁶</t>
        </is>
      </c>
      <c r="J2590" t="n">
        <v>6</v>
      </c>
      <c r="K2590" t="inlineStr">
        <is>
          <t>6¹, 12⁶</t>
        </is>
      </c>
      <c r="L2590" t="inlineStr">
        <is>
          <t>2A⁰, 13A³</t>
        </is>
      </c>
      <c r="M2590" t="inlineStr">
        <is>
          <t>26A²¹</t>
        </is>
      </c>
      <c r="N2590" t="inlineStr">
        <is>
          <t>2A⁰, 13A³, 1A⁰</t>
        </is>
      </c>
      <c r="O2590" t="inlineStr">
        <is>
          <t>26A²¹</t>
        </is>
      </c>
    </row>
    <row r="2591">
      <c r="A2591">
        <f>HYPERLINK("https://mathstats.uncg.edu/sites/pauli/congruence/csg11.html#group27A11", "27A¹¹")</f>
        <v/>
      </c>
      <c r="B2591" t="n">
        <v>11</v>
      </c>
      <c r="C2591" t="inlineStr"/>
      <c r="D2591" t="inlineStr">
        <is>
          <t>162</t>
        </is>
      </c>
      <c r="E2591" t="inlineStr">
        <is>
          <t>2</t>
        </is>
      </c>
      <c r="F2591" t="inlineStr">
        <is>
          <t>81</t>
        </is>
      </c>
      <c r="G2591" t="inlineStr">
        <is>
          <t>2</t>
        </is>
      </c>
      <c r="H2591" t="inlineStr">
        <is>
          <t>0</t>
        </is>
      </c>
      <c r="I2591" t="inlineStr">
        <is>
          <t>27⁶</t>
        </is>
      </c>
      <c r="J2591" t="n">
        <v>6</v>
      </c>
      <c r="K2591" t="inlineStr">
        <is>
          <t>6⁹, 18⁶</t>
        </is>
      </c>
      <c r="L2591" t="inlineStr">
        <is>
          <t>9B², 27B³</t>
        </is>
      </c>
      <c r="M2591" t="inlineStr">
        <is>
          <t>27B²², 54A²⁴</t>
        </is>
      </c>
      <c r="N2591" t="inlineStr">
        <is>
          <t>9G⁰, 9A⁰, 27B³, 3C⁰, 9B², 9E⁰, 3A⁰, 1A⁰, 9B¹</t>
        </is>
      </c>
      <c r="O2591" t="inlineStr">
        <is>
          <t>27B²², 54A²⁴</t>
        </is>
      </c>
    </row>
    <row r="2592">
      <c r="A2592">
        <f>HYPERLINK("https://mathstats.uncg.edu/sites/pauli/congruence/csg11.html#group28A11", "28A¹¹")</f>
        <v/>
      </c>
      <c r="B2592" t="n">
        <v>11</v>
      </c>
      <c r="C2592" t="inlineStr"/>
      <c r="D2592" t="inlineStr">
        <is>
          <t>168</t>
        </is>
      </c>
      <c r="E2592" t="inlineStr">
        <is>
          <t>1</t>
        </is>
      </c>
      <c r="F2592" t="inlineStr">
        <is>
          <t>84</t>
        </is>
      </c>
      <c r="G2592" t="inlineStr">
        <is>
          <t>0</t>
        </is>
      </c>
      <c r="H2592" t="inlineStr">
        <is>
          <t>0</t>
        </is>
      </c>
      <c r="I2592" t="inlineStr">
        <is>
          <t>14⁴, 28⁴</t>
        </is>
      </c>
      <c r="J2592" t="n">
        <v>8</v>
      </c>
      <c r="K2592" t="inlineStr">
        <is>
          <t>1³, 3³, 6¹²</t>
        </is>
      </c>
      <c r="L2592" t="inlineStr">
        <is>
          <t>14D³, 28B³</t>
        </is>
      </c>
      <c r="M2592" t="inlineStr">
        <is>
          <t>28B²¹, 28C²¹, 28E²¹</t>
        </is>
      </c>
      <c r="N2592" t="inlineStr">
        <is>
          <t>14B¹, 7F⁰, 2B⁰, 28B³, 1A⁰, 7A⁰, 14D³</t>
        </is>
      </c>
      <c r="O2592" t="inlineStr">
        <is>
          <t>28E²¹, 28C²¹, 28B²¹</t>
        </is>
      </c>
    </row>
    <row r="2593">
      <c r="A2593">
        <f>HYPERLINK("https://mathstats.uncg.edu/sites/pauli/congruence/csg11.html#group28B11", "28B¹¹")</f>
        <v/>
      </c>
      <c r="B2593" t="n">
        <v>11</v>
      </c>
      <c r="C2593" t="inlineStr"/>
      <c r="D2593" t="inlineStr">
        <is>
          <t>168</t>
        </is>
      </c>
      <c r="E2593" t="inlineStr">
        <is>
          <t>1</t>
        </is>
      </c>
      <c r="F2593" t="inlineStr">
        <is>
          <t>84</t>
        </is>
      </c>
      <c r="G2593" t="inlineStr">
        <is>
          <t>4</t>
        </is>
      </c>
      <c r="H2593" t="inlineStr">
        <is>
          <t>0</t>
        </is>
      </c>
      <c r="I2593" t="inlineStr">
        <is>
          <t>28⁶</t>
        </is>
      </c>
      <c r="J2593" t="n">
        <v>6</v>
      </c>
      <c r="K2593" t="inlineStr">
        <is>
          <t>6², 12⁶</t>
        </is>
      </c>
      <c r="L2593" t="inlineStr">
        <is>
          <t>7A¹, 28B⁴</t>
        </is>
      </c>
      <c r="M2593" t="inlineStr">
        <is>
          <t>28F²¹, 28A²³, 28B²³</t>
        </is>
      </c>
      <c r="N2593" t="inlineStr">
        <is>
          <t>28B⁴, 7D⁰, 28A¹, 1A⁰, 4A⁰, 7A⁰, 7A¹</t>
        </is>
      </c>
      <c r="O2593" t="inlineStr">
        <is>
          <t>28A²³, 28B²³, 28F²¹</t>
        </is>
      </c>
    </row>
    <row r="2594">
      <c r="A2594">
        <f>HYPERLINK("https://mathstats.uncg.edu/sites/pauli/congruence/csg11.html#group28C11", "28C¹¹")</f>
        <v/>
      </c>
      <c r="B2594" t="n">
        <v>11</v>
      </c>
      <c r="C2594" t="inlineStr"/>
      <c r="D2594" t="inlineStr">
        <is>
          <t>168</t>
        </is>
      </c>
      <c r="E2594" t="inlineStr">
        <is>
          <t>2</t>
        </is>
      </c>
      <c r="F2594" t="inlineStr">
        <is>
          <t>21</t>
        </is>
      </c>
      <c r="G2594" t="inlineStr">
        <is>
          <t>0</t>
        </is>
      </c>
      <c r="H2594" t="inlineStr">
        <is>
          <t>0</t>
        </is>
      </c>
      <c r="I2594" t="inlineStr">
        <is>
          <t>14⁴, 28⁴</t>
        </is>
      </c>
      <c r="J2594" t="n">
        <v>8</v>
      </c>
      <c r="K2594" t="inlineStr">
        <is>
          <t>2³, 6⁶</t>
        </is>
      </c>
      <c r="L2594" t="inlineStr">
        <is>
          <t>28C⁴, 14D⁵, 28A⁵, 28B⁵, 28A⁶, 28B⁶, 28C⁶</t>
        </is>
      </c>
      <c r="M2594" t="inlineStr">
        <is>
          <t>28C²³, 56A²³, 56F²³</t>
        </is>
      </c>
      <c r="N2594" t="inlineStr">
        <is>
          <t>2A⁰, 14A⁰, 28B⁶, 28C⁴, 14B³, 14B¹, 14D⁵, 14A¹, 4C⁰, 14C², 28A³, 2B⁰, 4E⁰, 28A⁵, 28B⁵, 1A⁰, 14D¹, 4B⁰, 28C², 14A², 7C⁰, 28A⁶, 28C⁶, 28B³, 2C⁰, 28B², 7A⁰</t>
        </is>
      </c>
      <c r="O2594" t="inlineStr">
        <is>
          <t>56A²³, 28C²³, 56F²³</t>
        </is>
      </c>
    </row>
    <row r="2595">
      <c r="A2595">
        <f>HYPERLINK("https://mathstats.uncg.edu/sites/pauli/congruence/csg11.html#group28D11", "28D¹¹")</f>
        <v/>
      </c>
      <c r="B2595" t="n">
        <v>11</v>
      </c>
      <c r="C2595" t="inlineStr"/>
      <c r="D2595" t="inlineStr">
        <is>
          <t>168</t>
        </is>
      </c>
      <c r="E2595" t="inlineStr">
        <is>
          <t>2</t>
        </is>
      </c>
      <c r="F2595" t="inlineStr">
        <is>
          <t>42</t>
        </is>
      </c>
      <c r="G2595" t="inlineStr">
        <is>
          <t>4</t>
        </is>
      </c>
      <c r="H2595" t="inlineStr">
        <is>
          <t>0</t>
        </is>
      </c>
      <c r="I2595" t="inlineStr">
        <is>
          <t>28⁶</t>
        </is>
      </c>
      <c r="J2595" t="n">
        <v>6</v>
      </c>
      <c r="K2595" t="inlineStr">
        <is>
          <t>2², 4², 6⁴, 12⁴</t>
        </is>
      </c>
      <c r="L2595" t="inlineStr">
        <is>
          <t>28D³, 28B⁵, 28C⁵, 28D⁵</t>
        </is>
      </c>
      <c r="M2595" t="inlineStr">
        <is>
          <t>28C²³, 56D²³, 56G²³</t>
        </is>
      </c>
      <c r="N2595" t="inlineStr">
        <is>
          <t>28D³, 14B¹, 4C⁰, 28C⁵, 2B⁰, 28B⁵, 1A⁰, 28C², 14A², 4A⁰, 7C⁰, 28D⁵, 4F⁰, 28B³, 28A¹, 7A⁰</t>
        </is>
      </c>
      <c r="O2595" t="inlineStr">
        <is>
          <t>56D²³, 28C²³, 56G²³</t>
        </is>
      </c>
    </row>
    <row r="2596">
      <c r="A2596">
        <f>HYPERLINK("https://mathstats.uncg.edu/sites/pauli/congruence/csg11.html#group28E11", "28E¹¹")</f>
        <v/>
      </c>
      <c r="B2596" t="n">
        <v>11</v>
      </c>
      <c r="C2596" t="inlineStr"/>
      <c r="D2596" t="inlineStr">
        <is>
          <t>192</t>
        </is>
      </c>
      <c r="E2596" t="inlineStr">
        <is>
          <t>1</t>
        </is>
      </c>
      <c r="F2596" t="inlineStr">
        <is>
          <t>8</t>
        </is>
      </c>
      <c r="G2596" t="inlineStr">
        <is>
          <t>0</t>
        </is>
      </c>
      <c r="H2596" t="inlineStr">
        <is>
          <t>0</t>
        </is>
      </c>
      <c r="I2596" t="inlineStr">
        <is>
          <t>4⁶, 28⁶</t>
        </is>
      </c>
      <c r="J2596" t="n">
        <v>12</v>
      </c>
      <c r="K2596" t="inlineStr">
        <is>
          <t>1², 6¹</t>
        </is>
      </c>
      <c r="L2596" t="inlineStr">
        <is>
          <t>4G⁰, 28E³, 28E⁵, 28G⁶</t>
        </is>
      </c>
      <c r="M2596" t="inlineStr">
        <is>
          <t>28M²¹, 56O²³, 56P²³</t>
        </is>
      </c>
      <c r="N2596" t="inlineStr">
        <is>
          <t>2A⁰, 4C⁰, 28D², 4G⁰, 2B⁰, 4E⁰, 28E³, 28G⁶, 4B⁰, 14E², 1A⁰, 28A², 28E⁵, 4A⁰, 4D⁰, 7B⁰, 14C¹, 14B⁰, 4F⁰, 28C³, 2C⁰</t>
        </is>
      </c>
      <c r="O2596" t="inlineStr">
        <is>
          <t>28M²¹, 56P²³, 56O²³</t>
        </is>
      </c>
    </row>
    <row r="2597">
      <c r="A2597">
        <f>HYPERLINK("https://mathstats.uncg.edu/sites/pauli/congruence/csg11.html#group28F11", "28F¹¹")</f>
        <v/>
      </c>
      <c r="B2597" t="n">
        <v>11</v>
      </c>
      <c r="C2597" t="inlineStr"/>
      <c r="D2597" t="inlineStr">
        <is>
          <t>192</t>
        </is>
      </c>
      <c r="E2597" t="inlineStr">
        <is>
          <t>1</t>
        </is>
      </c>
      <c r="F2597" t="inlineStr">
        <is>
          <t>24</t>
        </is>
      </c>
      <c r="G2597" t="inlineStr">
        <is>
          <t>0</t>
        </is>
      </c>
      <c r="H2597" t="inlineStr">
        <is>
          <t>0</t>
        </is>
      </c>
      <c r="I2597" t="inlineStr">
        <is>
          <t>4⁶, 28⁶</t>
        </is>
      </c>
      <c r="J2597" t="n">
        <v>12</v>
      </c>
      <c r="K2597" t="inlineStr">
        <is>
          <t>1⁶, 6³</t>
        </is>
      </c>
      <c r="L2597" t="inlineStr">
        <is>
          <t>28D⁴, 28E⁵, 28E⁶</t>
        </is>
      </c>
      <c r="M2597" t="inlineStr">
        <is>
          <t>28M²¹, 56W²³</t>
        </is>
      </c>
      <c r="N2597" t="inlineStr">
        <is>
          <t>2A⁰, 28A⁰, 28D², 4C⁰, 2B⁰, 28E⁶, 4E⁰, 14E², 4B⁰, 1A⁰, 28D⁴, 28E⁵, 7B⁰, 14C¹, 14B⁰, 28C³, 2C⁰</t>
        </is>
      </c>
      <c r="O2597" t="inlineStr">
        <is>
          <t>28M²¹, 56W²³</t>
        </is>
      </c>
    </row>
    <row r="2598">
      <c r="A2598">
        <f>HYPERLINK("https://mathstats.uncg.edu/sites/pauli/congruence/csg11.html#group28G11", "28G¹¹")</f>
        <v/>
      </c>
      <c r="B2598" t="n">
        <v>11</v>
      </c>
      <c r="C2598" t="inlineStr"/>
      <c r="D2598" t="inlineStr">
        <is>
          <t>192</t>
        </is>
      </c>
      <c r="E2598" t="inlineStr">
        <is>
          <t>1</t>
        </is>
      </c>
      <c r="F2598" t="inlineStr">
        <is>
          <t>32</t>
        </is>
      </c>
      <c r="G2598" t="inlineStr">
        <is>
          <t>0</t>
        </is>
      </c>
      <c r="H2598" t="inlineStr">
        <is>
          <t>0</t>
        </is>
      </c>
      <c r="I2598" t="inlineStr">
        <is>
          <t>4⁶, 28⁶</t>
        </is>
      </c>
      <c r="J2598" t="n">
        <v>12</v>
      </c>
      <c r="K2598" t="inlineStr">
        <is>
          <t>2⁴, 12²</t>
        </is>
      </c>
      <c r="L2598" t="inlineStr">
        <is>
          <t>14D², 28E³, 28F⁶</t>
        </is>
      </c>
      <c r="M2598" t="inlineStr">
        <is>
          <t>28N²¹</t>
        </is>
      </c>
      <c r="N2598" t="inlineStr">
        <is>
          <t>2A⁰, 28F⁶, 4A⁰, 7B⁰, 4D⁰, 14D², 14B⁰, 7E⁰, 28E³, 1A⁰, 28A²</t>
        </is>
      </c>
      <c r="O2598" t="inlineStr">
        <is>
          <t>28N²¹</t>
        </is>
      </c>
    </row>
    <row r="2599">
      <c r="A2599">
        <f>HYPERLINK("https://mathstats.uncg.edu/sites/pauli/congruence/csg11.html#group28H11", "28H¹¹")</f>
        <v/>
      </c>
      <c r="B2599" t="n">
        <v>11</v>
      </c>
      <c r="C2599" t="inlineStr"/>
      <c r="D2599" t="inlineStr">
        <is>
          <t>224</t>
        </is>
      </c>
      <c r="E2599" t="inlineStr">
        <is>
          <t>1</t>
        </is>
      </c>
      <c r="F2599" t="inlineStr">
        <is>
          <t>112</t>
        </is>
      </c>
      <c r="G2599" t="inlineStr">
        <is>
          <t>16</t>
        </is>
      </c>
      <c r="H2599" t="inlineStr">
        <is>
          <t>2</t>
        </is>
      </c>
      <c r="I2599" t="inlineStr">
        <is>
          <t>28⁸</t>
        </is>
      </c>
      <c r="J2599" t="n">
        <v>8</v>
      </c>
      <c r="K2599" t="inlineStr">
        <is>
          <t>2², 6², 12⁸</t>
        </is>
      </c>
      <c r="L2599" t="inlineStr">
        <is>
          <t>14G¹, 28E², 28H⁶</t>
        </is>
      </c>
      <c r="M2599" t="inlineStr"/>
      <c r="N2599" t="inlineStr">
        <is>
          <t>28E², 14A⁰, 28H⁶, 4A⁰, 7F⁰, 14G¹, 28A¹, 1A⁰, 7A⁰</t>
        </is>
      </c>
      <c r="O2599" t="inlineStr"/>
    </row>
    <row r="2600">
      <c r="A2600">
        <f>HYPERLINK("https://mathstats.uncg.edu/sites/pauli/congruence/csg11.html#group28I11", "28I¹¹")</f>
        <v/>
      </c>
      <c r="B2600" t="n">
        <v>11</v>
      </c>
      <c r="C2600" t="inlineStr"/>
      <c r="D2600" t="inlineStr">
        <is>
          <t>252</t>
        </is>
      </c>
      <c r="E2600" t="inlineStr">
        <is>
          <t>2</t>
        </is>
      </c>
      <c r="F2600" t="inlineStr">
        <is>
          <t>63</t>
        </is>
      </c>
      <c r="G2600" t="inlineStr">
        <is>
          <t>8</t>
        </is>
      </c>
      <c r="H2600" t="inlineStr">
        <is>
          <t>0</t>
        </is>
      </c>
      <c r="I2600" t="inlineStr">
        <is>
          <t>7¹², 28⁶</t>
        </is>
      </c>
      <c r="J2600" t="n">
        <v>18</v>
      </c>
      <c r="K2600" t="inlineStr">
        <is>
          <t>6²¹</t>
        </is>
      </c>
      <c r="L2600" t="inlineStr">
        <is>
          <t>14A⁴, 28H⁵, 28J⁶</t>
        </is>
      </c>
      <c r="M2600" t="inlineStr">
        <is>
          <t>28E²³</t>
        </is>
      </c>
      <c r="N2600" t="inlineStr">
        <is>
          <t>28J⁶, 14A⁴, 14A², 7D⁰, 14B¹, 28H⁵, 7C⁰, 14F², 2B⁰, 7G⁰, 1A⁰, 28B², 7A⁰</t>
        </is>
      </c>
      <c r="O2600" t="inlineStr">
        <is>
          <t>28E²³</t>
        </is>
      </c>
    </row>
    <row r="2601">
      <c r="A2601">
        <f>HYPERLINK("https://mathstats.uncg.edu/sites/pauli/congruence/csg11.html#group29A11", "29A¹¹")</f>
        <v/>
      </c>
      <c r="B2601" t="n">
        <v>11</v>
      </c>
      <c r="C2601" t="inlineStr"/>
      <c r="D2601" t="inlineStr">
        <is>
          <t>203</t>
        </is>
      </c>
      <c r="E2601" t="inlineStr">
        <is>
          <t>1</t>
        </is>
      </c>
      <c r="F2601" t="inlineStr">
        <is>
          <t>203</t>
        </is>
      </c>
      <c r="G2601" t="inlineStr">
        <is>
          <t>7</t>
        </is>
      </c>
      <c r="H2601" t="inlineStr">
        <is>
          <t>5</t>
        </is>
      </c>
      <c r="I2601" t="inlineStr">
        <is>
          <t>29⁷</t>
        </is>
      </c>
      <c r="J2601" t="n">
        <v>7</v>
      </c>
      <c r="K2601" t="inlineStr">
        <is>
          <t>14¹, 28¹⁴</t>
        </is>
      </c>
      <c r="L2601" t="inlineStr">
        <is>
          <t>1A⁰</t>
        </is>
      </c>
      <c r="M2601" t="inlineStr"/>
      <c r="N2601" t="inlineStr">
        <is>
          <t>1A⁰</t>
        </is>
      </c>
      <c r="O2601" t="inlineStr"/>
    </row>
    <row r="2602">
      <c r="A2602">
        <f>HYPERLINK("https://mathstats.uncg.edu/sites/pauli/congruence/csg11.html#group29B11", "29B¹¹")</f>
        <v/>
      </c>
      <c r="B2602" t="n">
        <v>11</v>
      </c>
      <c r="C2602" t="inlineStr"/>
      <c r="D2602" t="inlineStr">
        <is>
          <t>203</t>
        </is>
      </c>
      <c r="E2602" t="inlineStr">
        <is>
          <t>1</t>
        </is>
      </c>
      <c r="F2602" t="inlineStr">
        <is>
          <t>203</t>
        </is>
      </c>
      <c r="G2602" t="inlineStr">
        <is>
          <t>7</t>
        </is>
      </c>
      <c r="H2602" t="inlineStr">
        <is>
          <t>5</t>
        </is>
      </c>
      <c r="I2602" t="inlineStr">
        <is>
          <t>29⁷</t>
        </is>
      </c>
      <c r="J2602" t="n">
        <v>7</v>
      </c>
      <c r="K2602" t="inlineStr">
        <is>
          <t>14¹, 28¹⁴</t>
        </is>
      </c>
      <c r="L2602" t="inlineStr">
        <is>
          <t>1A⁰</t>
        </is>
      </c>
      <c r="M2602" t="inlineStr"/>
      <c r="N2602" t="inlineStr">
        <is>
          <t>1A⁰</t>
        </is>
      </c>
      <c r="O2602" t="inlineStr"/>
    </row>
    <row r="2603">
      <c r="A2603">
        <f>HYPERLINK("https://mathstats.uncg.edu/sites/pauli/congruence/csg11.html#group30A11", "30A¹¹")</f>
        <v/>
      </c>
      <c r="B2603" t="n">
        <v>11</v>
      </c>
      <c r="C2603" t="inlineStr"/>
      <c r="D2603" t="inlineStr">
        <is>
          <t>180</t>
        </is>
      </c>
      <c r="E2603" t="inlineStr">
        <is>
          <t>1</t>
        </is>
      </c>
      <c r="F2603" t="inlineStr">
        <is>
          <t>45</t>
        </is>
      </c>
      <c r="G2603" t="inlineStr">
        <is>
          <t>8</t>
        </is>
      </c>
      <c r="H2603" t="inlineStr">
        <is>
          <t>0</t>
        </is>
      </c>
      <c r="I2603" t="inlineStr">
        <is>
          <t>30⁶</t>
        </is>
      </c>
      <c r="J2603" t="n">
        <v>6</v>
      </c>
      <c r="K2603" t="inlineStr">
        <is>
          <t>1¹, 2², 4⁴, 8³</t>
        </is>
      </c>
      <c r="L2603" t="inlineStr">
        <is>
          <t>15C⁴, 30F⁴, 30L⁵</t>
        </is>
      </c>
      <c r="M2603" t="inlineStr">
        <is>
          <t>30A²¹, 30C²³, 30D²³, 30E²³</t>
        </is>
      </c>
      <c r="N2603" t="inlineStr">
        <is>
          <t>15C⁴, 5A⁰, 30F⁴, 30L⁵, 15A², 15F¹, 5E⁰, 3C⁰, 3A⁰, 10E¹, 1A⁰, 15A¹, 15A⁰</t>
        </is>
      </c>
      <c r="O2603" t="inlineStr">
        <is>
          <t>30A²¹, 30C²³, 30D²³, 30E²³</t>
        </is>
      </c>
    </row>
    <row r="2604">
      <c r="A2604">
        <f>HYPERLINK("https://mathstats.uncg.edu/sites/pauli/congruence/csg11.html#group30B11", "30B¹¹")</f>
        <v/>
      </c>
      <c r="B2604" t="n">
        <v>11</v>
      </c>
      <c r="C2604" t="inlineStr"/>
      <c r="D2604" t="inlineStr">
        <is>
          <t>180</t>
        </is>
      </c>
      <c r="E2604" t="inlineStr">
        <is>
          <t>1</t>
        </is>
      </c>
      <c r="F2604" t="inlineStr">
        <is>
          <t>45</t>
        </is>
      </c>
      <c r="G2604" t="inlineStr">
        <is>
          <t>8</t>
        </is>
      </c>
      <c r="H2604" t="inlineStr">
        <is>
          <t>0</t>
        </is>
      </c>
      <c r="I2604" t="inlineStr">
        <is>
          <t>30⁶</t>
        </is>
      </c>
      <c r="J2604" t="n">
        <v>6</v>
      </c>
      <c r="K2604" t="inlineStr">
        <is>
          <t>1¹, 2², 4⁴, 8³</t>
        </is>
      </c>
      <c r="L2604" t="inlineStr">
        <is>
          <t>30C¹, 30H³, 15D⁴, 30E⁴, 30L⁵</t>
        </is>
      </c>
      <c r="M2604" t="inlineStr">
        <is>
          <t>30B²¹, 30B²³, 30J²³</t>
        </is>
      </c>
      <c r="N2604" t="inlineStr">
        <is>
          <t>5A⁰, 15D⁴, 6B⁰, 15F¹, 5B⁰, 30H³, 1A⁰, 15D¹, 15B⁰, 30A², 30E⁴, 30L⁵, 5E⁰, 3A⁰, 5C⁰, 5G⁰, 15A¹, 30C¹, 15A⁰</t>
        </is>
      </c>
      <c r="O2604" t="inlineStr">
        <is>
          <t>30J²³, 30B²¹, 30B²³</t>
        </is>
      </c>
    </row>
    <row r="2605">
      <c r="A2605">
        <f>HYPERLINK("https://mathstats.uncg.edu/sites/pauli/congruence/csg11.html#group30C11", "30C¹¹")</f>
        <v/>
      </c>
      <c r="B2605" t="n">
        <v>11</v>
      </c>
      <c r="C2605" t="inlineStr"/>
      <c r="D2605" t="inlineStr">
        <is>
          <t>180</t>
        </is>
      </c>
      <c r="E2605" t="inlineStr">
        <is>
          <t>1</t>
        </is>
      </c>
      <c r="F2605" t="inlineStr">
        <is>
          <t>90</t>
        </is>
      </c>
      <c r="G2605" t="inlineStr">
        <is>
          <t>4</t>
        </is>
      </c>
      <c r="H2605" t="inlineStr">
        <is>
          <t>0</t>
        </is>
      </c>
      <c r="I2605" t="inlineStr">
        <is>
          <t>15⁴, 30⁴</t>
        </is>
      </c>
      <c r="J2605" t="n">
        <v>8</v>
      </c>
      <c r="K2605" t="inlineStr">
        <is>
          <t>2³, 4⁹, 8⁶</t>
        </is>
      </c>
      <c r="L2605" t="inlineStr">
        <is>
          <t>6G⁰, 15C³, 30K⁵</t>
        </is>
      </c>
      <c r="M2605" t="inlineStr">
        <is>
          <t>30C²¹, 30A²³, 30F²³, 30G²³, 30H²³, 60D²³, 60E²³</t>
        </is>
      </c>
      <c r="N2605" t="inlineStr">
        <is>
          <t>30K⁵, 15D¹, 6G⁰, 3C⁰, 1A⁰, 2B⁰, 15C³, 3A⁰, 5C⁰, 6D⁰, 10F¹</t>
        </is>
      </c>
      <c r="O2605" t="inlineStr">
        <is>
          <t>30H²³, 60E²³, 60D²³, 30F²³, 30A²³, 30G²³, 30C²¹</t>
        </is>
      </c>
    </row>
    <row r="2606">
      <c r="A2606">
        <f>HYPERLINK("https://mathstats.uncg.edu/sites/pauli/congruence/csg11.html#group30D11", "30D¹¹")</f>
        <v/>
      </c>
      <c r="B2606" t="n">
        <v>11</v>
      </c>
      <c r="C2606" t="inlineStr"/>
      <c r="D2606" t="inlineStr">
        <is>
          <t>180</t>
        </is>
      </c>
      <c r="E2606" t="inlineStr">
        <is>
          <t>1</t>
        </is>
      </c>
      <c r="F2606" t="inlineStr">
        <is>
          <t>90</t>
        </is>
      </c>
      <c r="G2606" t="inlineStr">
        <is>
          <t>8</t>
        </is>
      </c>
      <c r="H2606" t="inlineStr">
        <is>
          <t>0</t>
        </is>
      </c>
      <c r="I2606" t="inlineStr">
        <is>
          <t>30⁶</t>
        </is>
      </c>
      <c r="J2606" t="n">
        <v>6</v>
      </c>
      <c r="K2606" t="inlineStr">
        <is>
          <t>2³, 4⁹, 8⁶</t>
        </is>
      </c>
      <c r="L2606" t="inlineStr">
        <is>
          <t>6H⁰, 30H³, 30K⁵</t>
        </is>
      </c>
      <c r="M2606" t="inlineStr">
        <is>
          <t>30D²¹, 30G²³, 30K²³, 60H²³, 60I²³</t>
        </is>
      </c>
      <c r="N2606" t="inlineStr">
        <is>
          <t>30K⁵, 15D¹, 6B⁰, 3A⁰, 5C⁰, 2B⁰, 6H⁰, 30H³, 1A⁰, 6D⁰, 10F¹</t>
        </is>
      </c>
      <c r="O2606" t="inlineStr">
        <is>
          <t>60H²³, 30D²¹, 30G²³, 30K²³, 60I²³</t>
        </is>
      </c>
    </row>
    <row r="2607">
      <c r="A2607">
        <f>HYPERLINK("https://mathstats.uncg.edu/sites/pauli/congruence/csg11.html#group30E11", "30E¹¹")</f>
        <v/>
      </c>
      <c r="B2607" t="n">
        <v>11</v>
      </c>
      <c r="C2607" t="inlineStr"/>
      <c r="D2607" t="inlineStr">
        <is>
          <t>180</t>
        </is>
      </c>
      <c r="E2607" t="inlineStr">
        <is>
          <t>2</t>
        </is>
      </c>
      <c r="F2607" t="inlineStr">
        <is>
          <t>45</t>
        </is>
      </c>
      <c r="G2607" t="inlineStr">
        <is>
          <t>8</t>
        </is>
      </c>
      <c r="H2607" t="inlineStr">
        <is>
          <t>0</t>
        </is>
      </c>
      <c r="I2607" t="inlineStr">
        <is>
          <t>30⁶</t>
        </is>
      </c>
      <c r="J2607" t="n">
        <v>6</v>
      </c>
      <c r="K2607" t="inlineStr">
        <is>
          <t>2¹, 4⁴, 8⁹</t>
        </is>
      </c>
      <c r="L2607" t="inlineStr">
        <is>
          <t>15H³, 30L⁵</t>
        </is>
      </c>
      <c r="M2607" t="inlineStr">
        <is>
          <t>30F²¹, 30D²³, 30E²³, 30J²³</t>
        </is>
      </c>
      <c r="N2607" t="inlineStr">
        <is>
          <t>5A⁰, 30L⁵, 15A¹, 15F¹, 5E⁰, 3A⁰, 1A⁰, 15H³, 15A⁰</t>
        </is>
      </c>
      <c r="O2607" t="inlineStr">
        <is>
          <t>30F²¹, 30J²³, 30D²³, 30E²³</t>
        </is>
      </c>
    </row>
    <row r="2608">
      <c r="A2608">
        <f>HYPERLINK("https://mathstats.uncg.edu/sites/pauli/congruence/csg11.html#group30F11", "30F¹¹")</f>
        <v/>
      </c>
      <c r="B2608" t="n">
        <v>11</v>
      </c>
      <c r="C2608" t="inlineStr"/>
      <c r="D2608" t="inlineStr">
        <is>
          <t>180</t>
        </is>
      </c>
      <c r="E2608" t="inlineStr">
        <is>
          <t>2</t>
        </is>
      </c>
      <c r="F2608" t="inlineStr">
        <is>
          <t>180</t>
        </is>
      </c>
      <c r="G2608" t="inlineStr">
        <is>
          <t>4</t>
        </is>
      </c>
      <c r="H2608" t="inlineStr">
        <is>
          <t>0</t>
        </is>
      </c>
      <c r="I2608" t="inlineStr">
        <is>
          <t>15⁴, 30⁴</t>
        </is>
      </c>
      <c r="J2608" t="n">
        <v>8</v>
      </c>
      <c r="K2608" t="inlineStr">
        <is>
          <t>8⁴⁵</t>
        </is>
      </c>
      <c r="L2608" t="inlineStr">
        <is>
          <t>15E², 30E³</t>
        </is>
      </c>
      <c r="M2608" t="inlineStr">
        <is>
          <t>30G²², 30A²⁴, 60B²⁴</t>
        </is>
      </c>
      <c r="N2608" t="inlineStr">
        <is>
          <t>15E², 5A⁰, 2B⁰, 30E³, 1A⁰, 10B¹, 15A⁰</t>
        </is>
      </c>
      <c r="O2608" t="inlineStr">
        <is>
          <t>30G²², 30A²⁴, 60B²⁴</t>
        </is>
      </c>
    </row>
    <row r="2609">
      <c r="A2609">
        <f>HYPERLINK("https://mathstats.uncg.edu/sites/pauli/congruence/csg11.html#group30G11", "30G¹¹")</f>
        <v/>
      </c>
      <c r="B2609" t="n">
        <v>11</v>
      </c>
      <c r="C2609" t="inlineStr"/>
      <c r="D2609" t="inlineStr">
        <is>
          <t>216</t>
        </is>
      </c>
      <c r="E2609" t="inlineStr">
        <is>
          <t>1</t>
        </is>
      </c>
      <c r="F2609" t="inlineStr">
        <is>
          <t>18</t>
        </is>
      </c>
      <c r="G2609" t="inlineStr">
        <is>
          <t>0</t>
        </is>
      </c>
      <c r="H2609" t="inlineStr">
        <is>
          <t>0</t>
        </is>
      </c>
      <c r="I2609" t="inlineStr">
        <is>
          <t>3⁴, 6⁴, 15⁴, 30⁴</t>
        </is>
      </c>
      <c r="J2609" t="n">
        <v>16</v>
      </c>
      <c r="K2609" t="inlineStr">
        <is>
          <t>1⁶, 4³</t>
        </is>
      </c>
      <c r="L2609" t="inlineStr">
        <is>
          <t>6K⁰, 15E³, 30K³, 30O⁵</t>
        </is>
      </c>
      <c r="M2609" t="inlineStr">
        <is>
          <t>30G²¹</t>
        </is>
      </c>
      <c r="N2609" t="inlineStr">
        <is>
          <t>3B⁰, 5B⁰, 6G⁰, 2B⁰, 30O⁵, 1A⁰, 15C¹, 15B⁰, 30E², 15E³, 6F⁰, 10C⁰, 3C⁰, 6K⁰, 30K³, 3A⁰, 3D⁰, 6D⁰, 15E¹</t>
        </is>
      </c>
      <c r="O2609" t="inlineStr">
        <is>
          <t>30G²¹</t>
        </is>
      </c>
    </row>
    <row r="2610">
      <c r="A2610">
        <f>HYPERLINK("https://mathstats.uncg.edu/sites/pauli/congruence/csg11.html#group30H11", "30H¹¹")</f>
        <v/>
      </c>
      <c r="B2610" t="n">
        <v>11</v>
      </c>
      <c r="C2610" t="inlineStr"/>
      <c r="D2610" t="inlineStr">
        <is>
          <t>216</t>
        </is>
      </c>
      <c r="E2610" t="inlineStr">
        <is>
          <t>1</t>
        </is>
      </c>
      <c r="F2610" t="inlineStr">
        <is>
          <t>54</t>
        </is>
      </c>
      <c r="G2610" t="inlineStr">
        <is>
          <t>0</t>
        </is>
      </c>
      <c r="H2610" t="inlineStr">
        <is>
          <t>0</t>
        </is>
      </c>
      <c r="I2610" t="inlineStr">
        <is>
          <t>3⁴, 6⁴, 15⁴, 30⁴</t>
        </is>
      </c>
      <c r="J2610" t="n">
        <v>16</v>
      </c>
      <c r="K2610" t="inlineStr">
        <is>
          <t>1⁶, 2⁶, 4³, 8³</t>
        </is>
      </c>
      <c r="L2610" t="inlineStr">
        <is>
          <t>15F³, 30I⁴, 30O⁵, 30C⁶</t>
        </is>
      </c>
      <c r="M2610" t="inlineStr">
        <is>
          <t>30G²¹</t>
        </is>
      </c>
      <c r="N2610" t="inlineStr">
        <is>
          <t>30C⁶, 5B⁰, 5D⁰, 6G⁰, 15F³, 2B⁰, 30O⁵, 1A⁰, 10F⁰, 15B⁰, 30E², 15E¹, 30I⁴, 15B², 10C⁰, 3C⁰, 3A⁰, 6D⁰, 15C⁰</t>
        </is>
      </c>
      <c r="O2610" t="inlineStr">
        <is>
          <t>30G²¹</t>
        </is>
      </c>
    </row>
    <row r="2611">
      <c r="A2611">
        <f>HYPERLINK("https://mathstats.uncg.edu/sites/pauli/congruence/csg11.html#group30I11", "30I¹¹")</f>
        <v/>
      </c>
      <c r="B2611" t="n">
        <v>11</v>
      </c>
      <c r="C2611" t="inlineStr"/>
      <c r="D2611" t="inlineStr">
        <is>
          <t>216</t>
        </is>
      </c>
      <c r="E2611" t="inlineStr">
        <is>
          <t>1</t>
        </is>
      </c>
      <c r="F2611" t="inlineStr">
        <is>
          <t>54</t>
        </is>
      </c>
      <c r="G2611" t="inlineStr">
        <is>
          <t>8</t>
        </is>
      </c>
      <c r="H2611" t="inlineStr">
        <is>
          <t>0</t>
        </is>
      </c>
      <c r="I2611" t="inlineStr">
        <is>
          <t>6⁶, 30⁶</t>
        </is>
      </c>
      <c r="J2611" t="n">
        <v>12</v>
      </c>
      <c r="K2611" t="inlineStr">
        <is>
          <t>1⁶, 2⁶, 4³, 8³</t>
        </is>
      </c>
      <c r="L2611" t="inlineStr">
        <is>
          <t>6L⁰, 30I³, 30O⁵, 30P⁵</t>
        </is>
      </c>
      <c r="M2611" t="inlineStr">
        <is>
          <t>30H²¹</t>
        </is>
      </c>
      <c r="N2611" t="inlineStr">
        <is>
          <t>6B⁰, 30I³, 5B⁰, 6G⁰, 2B⁰, 30O⁵, 1A⁰, 30P⁵, 15B⁰, 30E², 6E⁰, 6L⁰, 15E¹, 10C⁰, 3C⁰, 6H⁰, 3A⁰, 6D⁰, 30C¹</t>
        </is>
      </c>
      <c r="O2611" t="inlineStr">
        <is>
          <t>30H²¹</t>
        </is>
      </c>
    </row>
    <row r="2612">
      <c r="A2612">
        <f>HYPERLINK("https://mathstats.uncg.edu/sites/pauli/congruence/csg11.html#group30J11", "30J¹¹")</f>
        <v/>
      </c>
      <c r="B2612" t="n">
        <v>11</v>
      </c>
      <c r="C2612" t="inlineStr"/>
      <c r="D2612" t="inlineStr">
        <is>
          <t>216</t>
        </is>
      </c>
      <c r="E2612" t="inlineStr">
        <is>
          <t>1</t>
        </is>
      </c>
      <c r="F2612" t="inlineStr">
        <is>
          <t>54</t>
        </is>
      </c>
      <c r="G2612" t="inlineStr">
        <is>
          <t>8</t>
        </is>
      </c>
      <c r="H2612" t="inlineStr">
        <is>
          <t>0</t>
        </is>
      </c>
      <c r="I2612" t="inlineStr">
        <is>
          <t>6⁶, 30⁶</t>
        </is>
      </c>
      <c r="J2612" t="n">
        <v>12</v>
      </c>
      <c r="K2612" t="inlineStr">
        <is>
          <t>1⁶, 2⁶, 4³, 8³</t>
        </is>
      </c>
      <c r="L2612" t="inlineStr">
        <is>
          <t>30J³, 30H⁴, 30O⁵, 30D⁶</t>
        </is>
      </c>
      <c r="M2612" t="inlineStr">
        <is>
          <t>30H²¹</t>
        </is>
      </c>
      <c r="N2612" t="inlineStr">
        <is>
          <t>30A⁰, 10G⁰, 30J³, 5B⁰, 6G⁰, 2B⁰, 30O⁵, 1A⁰, 10B⁰, 15B⁰, 30D⁶, 30E², 10C⁰, 3C⁰, 30H⁴, 3A⁰, 6D⁰, 15E¹, 30C²</t>
        </is>
      </c>
      <c r="O2612" t="inlineStr">
        <is>
          <t>30H²¹</t>
        </is>
      </c>
    </row>
    <row r="2613">
      <c r="A2613">
        <f>HYPERLINK("https://mathstats.uncg.edu/sites/pauli/congruence/csg11.html#group30K11", "30K¹¹")</f>
        <v/>
      </c>
      <c r="B2613" t="n">
        <v>11</v>
      </c>
      <c r="C2613" t="inlineStr"/>
      <c r="D2613" t="inlineStr">
        <is>
          <t>216</t>
        </is>
      </c>
      <c r="E2613" t="inlineStr">
        <is>
          <t>2</t>
        </is>
      </c>
      <c r="F2613" t="inlineStr">
        <is>
          <t>54</t>
        </is>
      </c>
      <c r="G2613" t="inlineStr">
        <is>
          <t>8</t>
        </is>
      </c>
      <c r="H2613" t="inlineStr">
        <is>
          <t>0</t>
        </is>
      </c>
      <c r="I2613" t="inlineStr">
        <is>
          <t>6⁶, 30⁶</t>
        </is>
      </c>
      <c r="J2613" t="n">
        <v>12</v>
      </c>
      <c r="K2613" t="inlineStr">
        <is>
          <t>2¹⁸, 8⁹</t>
        </is>
      </c>
      <c r="L2613" t="inlineStr">
        <is>
          <t>30L³, 30I⁴, 30P⁵, 30D⁶</t>
        </is>
      </c>
      <c r="M2613" t="inlineStr">
        <is>
          <t>30H²¹</t>
        </is>
      </c>
      <c r="N2613" t="inlineStr">
        <is>
          <t>30L³, 6B⁰, 5B⁰, 2B⁰, 1A⁰, 30P⁵, 15B⁰, 30D⁶, 30E², 30I⁴, 10C⁰, 15C⁰, 6H⁰, 3A⁰, 6D⁰, 30C¹, 30C²</t>
        </is>
      </c>
      <c r="O2613" t="inlineStr">
        <is>
          <t>30H²¹</t>
        </is>
      </c>
    </row>
    <row r="2614">
      <c r="A2614">
        <f>HYPERLINK("https://mathstats.uncg.edu/sites/pauli/congruence/csg11.html#group32A11", "32A¹¹")</f>
        <v/>
      </c>
      <c r="B2614" t="n">
        <v>11</v>
      </c>
      <c r="C2614" t="inlineStr"/>
      <c r="D2614" t="inlineStr">
        <is>
          <t>192</t>
        </is>
      </c>
      <c r="E2614" t="inlineStr">
        <is>
          <t>1</t>
        </is>
      </c>
      <c r="F2614" t="inlineStr">
        <is>
          <t>6</t>
        </is>
      </c>
      <c r="G2614" t="inlineStr">
        <is>
          <t>0</t>
        </is>
      </c>
      <c r="H2614" t="inlineStr">
        <is>
          <t>0</t>
        </is>
      </c>
      <c r="I2614" t="inlineStr">
        <is>
          <t>8⁸, 32⁴</t>
        </is>
      </c>
      <c r="J2614" t="n">
        <v>12</v>
      </c>
      <c r="K2614" t="inlineStr">
        <is>
          <t>1², 2²</t>
        </is>
      </c>
      <c r="L2614" t="inlineStr">
        <is>
          <t>16I³, 32H⁵, 32I⁵, 32A⁶, 32B⁶</t>
        </is>
      </c>
      <c r="M2614" t="inlineStr">
        <is>
          <t>32C²¹, 32D²¹, 32E²¹</t>
        </is>
      </c>
      <c r="N2614" t="inlineStr">
        <is>
          <t>2A⁰, 16G⁰, 16I¹, 4C⁰, 4G⁰, 2B⁰, 8C⁰, 4E⁰, 4B⁰, 8F¹, 1A⁰, 16E⁰, 8G⁰, 4D⁰, 32I⁵, 16D², 8A¹, 16C², 8D⁰, 32H⁵, 8B⁰, 32I³, 8B¹, 32A⁶, 16I³, 8H⁰, 8C¹, 4A⁰, 16C¹, 16D⁰, 32B⁶, 4F⁰, 2C⁰</t>
        </is>
      </c>
      <c r="O2614" t="inlineStr">
        <is>
          <t>32D²¹, 32E²¹, 32C²¹</t>
        </is>
      </c>
    </row>
    <row r="2615">
      <c r="A2615">
        <f>HYPERLINK("https://mathstats.uncg.edu/sites/pauli/congruence/csg11.html#group32B11", "32B¹¹")</f>
        <v/>
      </c>
      <c r="B2615" t="n">
        <v>11</v>
      </c>
      <c r="C2615" t="inlineStr"/>
      <c r="D2615" t="inlineStr">
        <is>
          <t>192</t>
        </is>
      </c>
      <c r="E2615" t="inlineStr">
        <is>
          <t>1</t>
        </is>
      </c>
      <c r="F2615" t="inlineStr">
        <is>
          <t>12</t>
        </is>
      </c>
      <c r="G2615" t="inlineStr">
        <is>
          <t>0</t>
        </is>
      </c>
      <c r="H2615" t="inlineStr">
        <is>
          <t>0</t>
        </is>
      </c>
      <c r="I2615" t="inlineStr">
        <is>
          <t>8⁸, 32⁴</t>
        </is>
      </c>
      <c r="J2615" t="n">
        <v>12</v>
      </c>
      <c r="K2615" t="inlineStr">
        <is>
          <t>1⁴, 2², 4¹</t>
        </is>
      </c>
      <c r="L2615" t="inlineStr">
        <is>
          <t>16J³, 32A⁶</t>
        </is>
      </c>
      <c r="M2615" t="inlineStr">
        <is>
          <t>32C²¹, 32H²¹, 32G²¹</t>
        </is>
      </c>
      <c r="N2615" t="inlineStr">
        <is>
          <t>2A⁰, 16C², 8D⁰, 16E¹, 4C⁰, 16A¹, 8C⁰, 4E⁰, 2B⁰, 32A⁶, 16J³, 8I⁰, 4B⁰, 1A⁰, 32I³, 8G⁰, 16C⁰, 16C¹, 8J⁰, 2C⁰, 8O⁰</t>
        </is>
      </c>
      <c r="O2615" t="inlineStr">
        <is>
          <t>32G²¹, 32H²¹, 32C²¹</t>
        </is>
      </c>
    </row>
    <row r="2616">
      <c r="A2616">
        <f>HYPERLINK("https://mathstats.uncg.edu/sites/pauli/congruence/csg11.html#group32C11", "32C¹¹")</f>
        <v/>
      </c>
      <c r="B2616" t="n">
        <v>11</v>
      </c>
      <c r="C2616" t="inlineStr"/>
      <c r="D2616" t="inlineStr">
        <is>
          <t>192</t>
        </is>
      </c>
      <c r="E2616" t="inlineStr">
        <is>
          <t>1</t>
        </is>
      </c>
      <c r="F2616" t="inlineStr">
        <is>
          <t>24</t>
        </is>
      </c>
      <c r="G2616" t="inlineStr">
        <is>
          <t>0</t>
        </is>
      </c>
      <c r="H2616" t="inlineStr">
        <is>
          <t>0</t>
        </is>
      </c>
      <c r="I2616" t="inlineStr">
        <is>
          <t>8⁸, 32⁴</t>
        </is>
      </c>
      <c r="J2616" t="n">
        <v>12</v>
      </c>
      <c r="K2616" t="inlineStr">
        <is>
          <t>1², 2¹, 4¹, 8²</t>
        </is>
      </c>
      <c r="L2616" t="inlineStr">
        <is>
          <t>32P³, 16F⁵, 32H⁵</t>
        </is>
      </c>
      <c r="M2616" t="inlineStr">
        <is>
          <t>32E²¹, 32P²¹, 64B²³</t>
        </is>
      </c>
      <c r="N2616" t="inlineStr">
        <is>
          <t>16F⁵, 16I¹, 16C³, 8D⁰, 4C⁰, 32H⁵, 8B⁰, 16B¹, 32I³, 2B⁰, 1A⁰, 16A², 8H⁰, 16E⁰, 8F⁰, 4A⁰, 8I¹, 16C¹, 4F⁰, 32P³</t>
        </is>
      </c>
      <c r="O2616" t="inlineStr">
        <is>
          <t>64B²³, 32E²¹, 32P²¹</t>
        </is>
      </c>
    </row>
    <row r="2617">
      <c r="A2617">
        <f>HYPERLINK("https://mathstats.uncg.edu/sites/pauli/congruence/csg11.html#group32D11", "32D¹¹")</f>
        <v/>
      </c>
      <c r="B2617" t="n">
        <v>11</v>
      </c>
      <c r="C2617" t="inlineStr"/>
      <c r="D2617" t="inlineStr">
        <is>
          <t>192</t>
        </is>
      </c>
      <c r="E2617" t="inlineStr">
        <is>
          <t>1</t>
        </is>
      </c>
      <c r="F2617" t="inlineStr">
        <is>
          <t>24</t>
        </is>
      </c>
      <c r="G2617" t="inlineStr">
        <is>
          <t>0</t>
        </is>
      </c>
      <c r="H2617" t="inlineStr">
        <is>
          <t>0</t>
        </is>
      </c>
      <c r="I2617" t="inlineStr">
        <is>
          <t>8⁸, 32⁴</t>
        </is>
      </c>
      <c r="J2617" t="n">
        <v>12</v>
      </c>
      <c r="K2617" t="inlineStr">
        <is>
          <t>2⁴, 8²</t>
        </is>
      </c>
      <c r="L2617" t="inlineStr">
        <is>
          <t>32Q³, 16F⁵, 32I⁵</t>
        </is>
      </c>
      <c r="M2617" t="inlineStr">
        <is>
          <t>32E²¹, 32P²¹</t>
        </is>
      </c>
      <c r="N2617" t="inlineStr">
        <is>
          <t>16F⁵, 16I¹, 16C³, 8D⁰, 4C⁰, 8B⁰, 16B¹, 32D¹, 2B⁰, 1A⁰, 32Q³, 16A², 8H⁰, 16E⁰, 8F⁰, 32C¹, 4A⁰, 8I¹, 16C¹, 4F⁰, 32I⁵</t>
        </is>
      </c>
      <c r="O2617" t="inlineStr">
        <is>
          <t>32E²¹, 32P²¹</t>
        </is>
      </c>
    </row>
    <row r="2618">
      <c r="A2618">
        <f>HYPERLINK("https://mathstats.uncg.edu/sites/pauli/congruence/csg11.html#group32E11", "32E¹¹")</f>
        <v/>
      </c>
      <c r="B2618" t="n">
        <v>11</v>
      </c>
      <c r="C2618" t="inlineStr"/>
      <c r="D2618" t="inlineStr">
        <is>
          <t>192</t>
        </is>
      </c>
      <c r="E2618" t="inlineStr">
        <is>
          <t>1</t>
        </is>
      </c>
      <c r="F2618" t="inlineStr">
        <is>
          <t>24</t>
        </is>
      </c>
      <c r="G2618" t="inlineStr">
        <is>
          <t>8</t>
        </is>
      </c>
      <c r="H2618" t="inlineStr">
        <is>
          <t>0</t>
        </is>
      </c>
      <c r="I2618" t="inlineStr">
        <is>
          <t>16⁴, 32⁴</t>
        </is>
      </c>
      <c r="J2618" t="n">
        <v>8</v>
      </c>
      <c r="K2618" t="inlineStr">
        <is>
          <t>2², 4⁵</t>
        </is>
      </c>
      <c r="L2618" t="inlineStr">
        <is>
          <t>16K³, 32F⁵, 32G⁵</t>
        </is>
      </c>
      <c r="M2618" t="inlineStr">
        <is>
          <t>32M²¹, 32A²³, 32B²³</t>
        </is>
      </c>
      <c r="N2618" t="inlineStr">
        <is>
          <t>32F⁵, 8D⁰, 4C⁰, 8B⁰, 8A⁰, 16B¹, 2B⁰, 32G⁵, 1A⁰, 8K⁰, 8D¹, 8H¹, 8H⁰, 16B⁰, 16K³, 4A⁰, 32D³, 32B¹, 4F⁰, 16F¹, 16H¹</t>
        </is>
      </c>
      <c r="O2618" t="inlineStr">
        <is>
          <t>32M²¹, 32B²³, 32A²³</t>
        </is>
      </c>
    </row>
    <row r="2619">
      <c r="A2619">
        <f>HYPERLINK("https://mathstats.uncg.edu/sites/pauli/congruence/csg11.html#group32F11", "32F¹¹")</f>
        <v/>
      </c>
      <c r="B2619" t="n">
        <v>11</v>
      </c>
      <c r="C2619" t="inlineStr"/>
      <c r="D2619" t="inlineStr">
        <is>
          <t>192</t>
        </is>
      </c>
      <c r="E2619" t="inlineStr">
        <is>
          <t>1</t>
        </is>
      </c>
      <c r="F2619" t="inlineStr">
        <is>
          <t>24</t>
        </is>
      </c>
      <c r="G2619" t="inlineStr">
        <is>
          <t>8</t>
        </is>
      </c>
      <c r="H2619" t="inlineStr">
        <is>
          <t>0</t>
        </is>
      </c>
      <c r="I2619" t="inlineStr">
        <is>
          <t>16⁴, 32⁴</t>
        </is>
      </c>
      <c r="J2619" t="n">
        <v>8</v>
      </c>
      <c r="K2619" t="inlineStr">
        <is>
          <t>2², 4⁵</t>
        </is>
      </c>
      <c r="L2619" t="inlineStr">
        <is>
          <t>16L³, 32E⁵, 32G⁵</t>
        </is>
      </c>
      <c r="M2619" t="inlineStr">
        <is>
          <t>32M²¹, 32C²³, 32D²³</t>
        </is>
      </c>
      <c r="N2619" t="inlineStr">
        <is>
          <t>32E⁵, 16I¹, 8D⁰, 4C⁰, 8B⁰, 16B¹, 2B⁰, 32G⁵, 1A⁰, 8H⁰, 16B⁰, 16E⁰, 8F⁰, 16L³, 4A⁰, 8I¹, 16C¹, 32D³, 32B¹, 4F⁰, 16F¹</t>
        </is>
      </c>
      <c r="O2619" t="inlineStr">
        <is>
          <t>32M²¹, 32C²³, 32D²³</t>
        </is>
      </c>
    </row>
    <row r="2620">
      <c r="A2620">
        <f>HYPERLINK("https://mathstats.uncg.edu/sites/pauli/congruence/csg11.html#group32G11", "32G¹¹")</f>
        <v/>
      </c>
      <c r="B2620" t="n">
        <v>11</v>
      </c>
      <c r="C2620" t="inlineStr"/>
      <c r="D2620" t="inlineStr">
        <is>
          <t>192</t>
        </is>
      </c>
      <c r="E2620" t="inlineStr">
        <is>
          <t>1</t>
        </is>
      </c>
      <c r="F2620" t="inlineStr">
        <is>
          <t>24</t>
        </is>
      </c>
      <c r="G2620" t="inlineStr">
        <is>
          <t>8</t>
        </is>
      </c>
      <c r="H2620" t="inlineStr">
        <is>
          <t>0</t>
        </is>
      </c>
      <c r="I2620" t="inlineStr">
        <is>
          <t>16⁴, 32⁴</t>
        </is>
      </c>
      <c r="J2620" t="n">
        <v>8</v>
      </c>
      <c r="K2620" t="inlineStr">
        <is>
          <t>2², 4⁵</t>
        </is>
      </c>
      <c r="L2620" t="inlineStr">
        <is>
          <t>16M³, 32E⁵, 32F⁵</t>
        </is>
      </c>
      <c r="M2620" t="inlineStr">
        <is>
          <t>32M²¹, 32H²³</t>
        </is>
      </c>
      <c r="N2620" t="inlineStr">
        <is>
          <t>32F⁵, 32E⁵, 8D⁰, 16M³, 4C⁰, 8B⁰, 16B¹, 8L⁰, 2B⁰, 16J¹, 1A⁰, 16E², 8H⁰, 16B⁰, 16D¹, 16F², 4A⁰, 4F⁰, 16F¹, 8P⁰</t>
        </is>
      </c>
      <c r="O2620" t="inlineStr">
        <is>
          <t>32H²³, 32M²¹</t>
        </is>
      </c>
    </row>
    <row r="2621">
      <c r="A2621">
        <f>HYPERLINK("https://mathstats.uncg.edu/sites/pauli/congruence/csg11.html#group32H11", "32H¹¹")</f>
        <v/>
      </c>
      <c r="B2621" t="n">
        <v>11</v>
      </c>
      <c r="C2621" t="inlineStr"/>
      <c r="D2621" t="inlineStr">
        <is>
          <t>192</t>
        </is>
      </c>
      <c r="E2621" t="inlineStr">
        <is>
          <t>1</t>
        </is>
      </c>
      <c r="F2621" t="inlineStr">
        <is>
          <t>48</t>
        </is>
      </c>
      <c r="G2621" t="inlineStr">
        <is>
          <t>0</t>
        </is>
      </c>
      <c r="H2621" t="inlineStr">
        <is>
          <t>0</t>
        </is>
      </c>
      <c r="I2621" t="inlineStr">
        <is>
          <t>8⁸, 32⁴</t>
        </is>
      </c>
      <c r="J2621" t="n">
        <v>12</v>
      </c>
      <c r="K2621" t="inlineStr">
        <is>
          <t>2², 4³, 8⁴</t>
        </is>
      </c>
      <c r="L2621" t="inlineStr">
        <is>
          <t>32C⁴, 16H⁵, 32B⁶</t>
        </is>
      </c>
      <c r="M2621" t="inlineStr">
        <is>
          <t>32D²¹, 64A²³</t>
        </is>
      </c>
      <c r="N2621" t="inlineStr">
        <is>
          <t>16D², 8A¹, 32C⁴, 16H⁵, 8D⁰, 4C⁰, 8B², 8A⁰, 32D¹, 2B⁰, 32I³, 1A⁰, 8K⁰, 8D¹, 16E⁰, 8C¹, 16B², 32C¹, 4A⁰, 16C¹, 32B⁶, 4F⁰, 16E³</t>
        </is>
      </c>
      <c r="O2621" t="inlineStr">
        <is>
          <t>32D²¹, 64A²³</t>
        </is>
      </c>
    </row>
    <row r="2622">
      <c r="A2622">
        <f>HYPERLINK("https://mathstats.uncg.edu/sites/pauli/congruence/csg11.html#group32I11", "32I¹¹")</f>
        <v/>
      </c>
      <c r="B2622" t="n">
        <v>11</v>
      </c>
      <c r="C2622" t="inlineStr"/>
      <c r="D2622" t="inlineStr">
        <is>
          <t>192</t>
        </is>
      </c>
      <c r="E2622" t="inlineStr">
        <is>
          <t>2</t>
        </is>
      </c>
      <c r="F2622" t="inlineStr">
        <is>
          <t>24</t>
        </is>
      </c>
      <c r="G2622" t="inlineStr">
        <is>
          <t>8</t>
        </is>
      </c>
      <c r="H2622" t="inlineStr">
        <is>
          <t>0</t>
        </is>
      </c>
      <c r="I2622" t="inlineStr">
        <is>
          <t>16⁴, 32⁴</t>
        </is>
      </c>
      <c r="J2622" t="n">
        <v>8</v>
      </c>
      <c r="K2622" t="inlineStr">
        <is>
          <t>2⁸, 4⁴, 8²</t>
        </is>
      </c>
      <c r="L2622" t="inlineStr">
        <is>
          <t>16R³, 32J⁵, 32L⁵</t>
        </is>
      </c>
      <c r="M2622" t="inlineStr">
        <is>
          <t>32Y²¹</t>
        </is>
      </c>
      <c r="N2622" t="inlineStr">
        <is>
          <t>16B⁰, 32L⁵, 32F³, 16D¹, 32J⁵, 4C⁰, 8B⁰, 32D³, 32B¹, 8L⁰, 2B⁰, 16R³, 16J¹, 32E³, 1A⁰</t>
        </is>
      </c>
      <c r="O2622" t="inlineStr">
        <is>
          <t>32Y²¹</t>
        </is>
      </c>
    </row>
    <row r="2623">
      <c r="A2623">
        <f>HYPERLINK("https://mathstats.uncg.edu/sites/pauli/congruence/csg11.html#group32J11", "32J¹¹")</f>
        <v/>
      </c>
      <c r="B2623" t="n">
        <v>11</v>
      </c>
      <c r="C2623" t="inlineStr"/>
      <c r="D2623" t="inlineStr">
        <is>
          <t>192</t>
        </is>
      </c>
      <c r="E2623" t="inlineStr">
        <is>
          <t>2</t>
        </is>
      </c>
      <c r="F2623" t="inlineStr">
        <is>
          <t>24</t>
        </is>
      </c>
      <c r="G2623" t="inlineStr">
        <is>
          <t>8</t>
        </is>
      </c>
      <c r="H2623" t="inlineStr">
        <is>
          <t>0</t>
        </is>
      </c>
      <c r="I2623" t="inlineStr">
        <is>
          <t>16⁴, 32⁴</t>
        </is>
      </c>
      <c r="J2623" t="n">
        <v>8</v>
      </c>
      <c r="K2623" t="inlineStr">
        <is>
          <t>2⁸, 4⁴, 8²</t>
        </is>
      </c>
      <c r="L2623" t="inlineStr">
        <is>
          <t>16S³, 32K⁵, 32L⁵</t>
        </is>
      </c>
      <c r="M2623" t="inlineStr">
        <is>
          <t>32Y²¹</t>
        </is>
      </c>
      <c r="N2623" t="inlineStr">
        <is>
          <t>16B⁰, 32L⁵, 16D¹, 32K⁵, 4C⁰, 8B⁰, 16S³, 8L⁰, 2B⁰, 32D³, 32G³, 32B¹, 16J¹, 1A⁰, 32H³</t>
        </is>
      </c>
      <c r="O2623" t="inlineStr">
        <is>
          <t>32Y²¹</t>
        </is>
      </c>
    </row>
    <row r="2624">
      <c r="A2624">
        <f>HYPERLINK("https://mathstats.uncg.edu/sites/pauli/congruence/csg11.html#group32K11", "32K¹¹")</f>
        <v/>
      </c>
      <c r="B2624" t="n">
        <v>11</v>
      </c>
      <c r="C2624" t="inlineStr"/>
      <c r="D2624" t="inlineStr">
        <is>
          <t>192</t>
        </is>
      </c>
      <c r="E2624" t="inlineStr">
        <is>
          <t>2</t>
        </is>
      </c>
      <c r="F2624" t="inlineStr">
        <is>
          <t>24</t>
        </is>
      </c>
      <c r="G2624" t="inlineStr">
        <is>
          <t>8</t>
        </is>
      </c>
      <c r="H2624" t="inlineStr">
        <is>
          <t>0</t>
        </is>
      </c>
      <c r="I2624" t="inlineStr">
        <is>
          <t>16⁴, 32⁴</t>
        </is>
      </c>
      <c r="J2624" t="n">
        <v>8</v>
      </c>
      <c r="K2624" t="inlineStr">
        <is>
          <t>2⁸, 4⁴, 8²</t>
        </is>
      </c>
      <c r="L2624" t="inlineStr">
        <is>
          <t>16M³, 32J⁵, 32K⁵, 32C⁶, 32D⁶, 32E⁶, 32F⁶</t>
        </is>
      </c>
      <c r="M2624" t="inlineStr">
        <is>
          <t>32Y²¹, 32E²³, 32H²³</t>
        </is>
      </c>
      <c r="N2624" t="inlineStr">
        <is>
          <t>32F⁶, 32J⁵, 32K⁵, 8D⁰, 16M³, 32D⁶, 4C⁰, 8B⁰, 16B¹, 8L⁰, 2B⁰, 32G³, 32F³, 16J¹, 1A⁰, 16E², 8H⁰, 16B⁰, 16D¹, 32E⁶, 32C⁶, 16F², 4A⁰, 32E³, 4F⁰, 16F¹, 8P⁰, 32H³</t>
        </is>
      </c>
      <c r="O2624" t="inlineStr">
        <is>
          <t>32H²³, 32Y²¹, 32E²³</t>
        </is>
      </c>
    </row>
    <row r="2625">
      <c r="A2625">
        <f>HYPERLINK("https://mathstats.uncg.edu/sites/pauli/congruence/csg11.html#group33A11", "33A¹¹")</f>
        <v/>
      </c>
      <c r="B2625" t="n">
        <v>11</v>
      </c>
      <c r="C2625" t="inlineStr"/>
      <c r="D2625" t="inlineStr">
        <is>
          <t>180</t>
        </is>
      </c>
      <c r="E2625" t="inlineStr">
        <is>
          <t>1</t>
        </is>
      </c>
      <c r="F2625" t="inlineStr">
        <is>
          <t>12</t>
        </is>
      </c>
      <c r="G2625" t="inlineStr">
        <is>
          <t>0</t>
        </is>
      </c>
      <c r="H2625" t="inlineStr">
        <is>
          <t>0</t>
        </is>
      </c>
      <c r="I2625" t="inlineStr">
        <is>
          <t>3⁵, 33⁵</t>
        </is>
      </c>
      <c r="J2625" t="n">
        <v>10</v>
      </c>
      <c r="K2625" t="inlineStr">
        <is>
          <t>1², 10¹</t>
        </is>
      </c>
      <c r="L2625" t="inlineStr">
        <is>
          <t>11D¹, 33A³</t>
        </is>
      </c>
      <c r="M2625" t="inlineStr">
        <is>
          <t>33B²¹</t>
        </is>
      </c>
      <c r="N2625" t="inlineStr">
        <is>
          <t>3A⁰, 33A³, 1A⁰, 11A¹, 11D¹</t>
        </is>
      </c>
      <c r="O2625" t="inlineStr">
        <is>
          <t>33B²¹</t>
        </is>
      </c>
    </row>
    <row r="2626">
      <c r="A2626">
        <f>HYPERLINK("https://mathstats.uncg.edu/sites/pauli/congruence/csg11.html#group33B11", "33B¹¹")</f>
        <v/>
      </c>
      <c r="B2626" t="n">
        <v>11</v>
      </c>
      <c r="C2626" t="inlineStr"/>
      <c r="D2626" t="inlineStr">
        <is>
          <t>240</t>
        </is>
      </c>
      <c r="E2626" t="inlineStr">
        <is>
          <t>1</t>
        </is>
      </c>
      <c r="F2626" t="inlineStr">
        <is>
          <t>48</t>
        </is>
      </c>
      <c r="G2626" t="inlineStr">
        <is>
          <t>0</t>
        </is>
      </c>
      <c r="H2626" t="inlineStr">
        <is>
          <t>0</t>
        </is>
      </c>
      <c r="I2626" t="inlineStr">
        <is>
          <t>1⁵, 3⁵, 11⁵, 33⁵</t>
        </is>
      </c>
      <c r="J2626" t="n">
        <v>20</v>
      </c>
      <c r="K2626" t="inlineStr">
        <is>
          <t>1⁴, 2², 10², 20¹</t>
        </is>
      </c>
      <c r="L2626" t="inlineStr">
        <is>
          <t>11D¹, 33C³</t>
        </is>
      </c>
      <c r="M2626" t="inlineStr">
        <is>
          <t>33C²¹</t>
        </is>
      </c>
      <c r="N2626" t="inlineStr">
        <is>
          <t>3B⁰, 1A⁰, 11A¹, 11D¹, 33C³</t>
        </is>
      </c>
      <c r="O2626" t="inlineStr">
        <is>
          <t>33C²¹</t>
        </is>
      </c>
    </row>
    <row r="2627">
      <c r="A2627">
        <f>HYPERLINK("https://mathstats.uncg.edu/sites/pauli/congruence/csg11.html#group34A11", "34A¹¹")</f>
        <v/>
      </c>
      <c r="B2627" t="n">
        <v>11</v>
      </c>
      <c r="C2627" t="inlineStr"/>
      <c r="D2627" t="inlineStr">
        <is>
          <t>204</t>
        </is>
      </c>
      <c r="E2627" t="inlineStr">
        <is>
          <t>1</t>
        </is>
      </c>
      <c r="F2627" t="inlineStr">
        <is>
          <t>102</t>
        </is>
      </c>
      <c r="G2627" t="inlineStr">
        <is>
          <t>8</t>
        </is>
      </c>
      <c r="H2627" t="inlineStr">
        <is>
          <t>6</t>
        </is>
      </c>
      <c r="I2627" t="inlineStr">
        <is>
          <t>34⁶</t>
        </is>
      </c>
      <c r="J2627" t="n">
        <v>6</v>
      </c>
      <c r="K2627" t="inlineStr">
        <is>
          <t>4¹, 8¹, 16¹²</t>
        </is>
      </c>
      <c r="L2627" t="inlineStr">
        <is>
          <t>17A⁴</t>
        </is>
      </c>
      <c r="M2627" t="inlineStr"/>
      <c r="N2627" t="inlineStr">
        <is>
          <t>1A⁰, 17A⁴</t>
        </is>
      </c>
      <c r="O2627" t="inlineStr"/>
    </row>
    <row r="2628">
      <c r="A2628">
        <f>HYPERLINK("https://mathstats.uncg.edu/sites/pauli/congruence/csg11.html#group34B11", "34B¹¹")</f>
        <v/>
      </c>
      <c r="B2628" t="n">
        <v>11</v>
      </c>
      <c r="C2628" t="inlineStr"/>
      <c r="D2628" t="inlineStr">
        <is>
          <t>204</t>
        </is>
      </c>
      <c r="E2628" t="inlineStr">
        <is>
          <t>1</t>
        </is>
      </c>
      <c r="F2628" t="inlineStr">
        <is>
          <t>102</t>
        </is>
      </c>
      <c r="G2628" t="inlineStr">
        <is>
          <t>8</t>
        </is>
      </c>
      <c r="H2628" t="inlineStr">
        <is>
          <t>6</t>
        </is>
      </c>
      <c r="I2628" t="inlineStr">
        <is>
          <t>34⁶</t>
        </is>
      </c>
      <c r="J2628" t="n">
        <v>6</v>
      </c>
      <c r="K2628" t="inlineStr">
        <is>
          <t>4¹, 8¹, 16¹²</t>
        </is>
      </c>
      <c r="L2628" t="inlineStr">
        <is>
          <t>17B⁴</t>
        </is>
      </c>
      <c r="M2628" t="inlineStr"/>
      <c r="N2628" t="inlineStr">
        <is>
          <t>1A⁰, 17B⁴</t>
        </is>
      </c>
      <c r="O2628" t="inlineStr"/>
    </row>
    <row r="2629">
      <c r="A2629">
        <f>HYPERLINK("https://mathstats.uncg.edu/sites/pauli/congruence/csg11.html#group35A11", "35A¹¹")</f>
        <v/>
      </c>
      <c r="B2629" t="n">
        <v>11</v>
      </c>
      <c r="C2629" t="inlineStr"/>
      <c r="D2629" t="inlineStr">
        <is>
          <t>168</t>
        </is>
      </c>
      <c r="E2629" t="inlineStr">
        <is>
          <t>2</t>
        </is>
      </c>
      <c r="F2629" t="inlineStr">
        <is>
          <t>42</t>
        </is>
      </c>
      <c r="G2629" t="inlineStr">
        <is>
          <t>0</t>
        </is>
      </c>
      <c r="H2629" t="inlineStr">
        <is>
          <t>0</t>
        </is>
      </c>
      <c r="I2629" t="inlineStr">
        <is>
          <t>7⁴, 35⁴</t>
        </is>
      </c>
      <c r="J2629" t="n">
        <v>8</v>
      </c>
      <c r="K2629" t="inlineStr">
        <is>
          <t>2², 6⁴, 8¹, 24²</t>
        </is>
      </c>
      <c r="L2629" t="inlineStr">
        <is>
          <t>35C⁴, 35B⁵, 35A⁶</t>
        </is>
      </c>
      <c r="M2629" t="inlineStr"/>
      <c r="N2629" t="inlineStr">
        <is>
          <t>35C², 35C⁴, 7C⁰, 5B⁰, 5D⁰, 35B⁵, 1A⁰, 35A⁶, 7A⁰</t>
        </is>
      </c>
      <c r="O2629" t="inlineStr"/>
    </row>
    <row r="2630">
      <c r="A2630">
        <f>HYPERLINK("https://mathstats.uncg.edu/sites/pauli/congruence/csg11.html#group36A11", "36A¹¹")</f>
        <v/>
      </c>
      <c r="B2630" t="n">
        <v>11</v>
      </c>
      <c r="C2630" t="inlineStr"/>
      <c r="D2630" t="inlineStr">
        <is>
          <t>144</t>
        </is>
      </c>
      <c r="E2630" t="inlineStr">
        <is>
          <t>1</t>
        </is>
      </c>
      <c r="F2630" t="inlineStr">
        <is>
          <t>3</t>
        </is>
      </c>
      <c r="G2630" t="inlineStr">
        <is>
          <t>0</t>
        </is>
      </c>
      <c r="H2630" t="inlineStr">
        <is>
          <t>0</t>
        </is>
      </c>
      <c r="I2630" t="inlineStr">
        <is>
          <t>36⁴</t>
        </is>
      </c>
      <c r="J2630" t="n">
        <v>4</v>
      </c>
      <c r="K2630" t="inlineStr">
        <is>
          <t>1¹, 2¹</t>
        </is>
      </c>
      <c r="L2630" t="inlineStr">
        <is>
          <t>12A³, 36F³, 18A⁵, 36C⁵</t>
        </is>
      </c>
      <c r="M2630" t="inlineStr"/>
      <c r="N2630" t="inlineStr">
        <is>
          <t>2A⁰, 12D¹, 18A⁵, 18A³, 1A⁰, 18A⁰, 9B¹, 9A², 6B¹, 36F³, 3C⁰, 6A¹, 3A⁰, 3B⁰, 6B⁰, 12A³, 6C⁰, 18A², 36C⁵, 9D⁰, 18D⁰, 6D¹, 6E⁰, 9A⁰, 18C³, 18G², 3D⁰, 18A¹, 12B⁰</t>
        </is>
      </c>
      <c r="O2630" t="inlineStr"/>
    </row>
    <row r="2631">
      <c r="A2631">
        <f>HYPERLINK("https://mathstats.uncg.edu/sites/pauli/congruence/csg11.html#group36B11", "36B¹¹")</f>
        <v/>
      </c>
      <c r="B2631" t="n">
        <v>11</v>
      </c>
      <c r="C2631" t="inlineStr"/>
      <c r="D2631" t="inlineStr">
        <is>
          <t>144</t>
        </is>
      </c>
      <c r="E2631" t="inlineStr">
        <is>
          <t>1</t>
        </is>
      </c>
      <c r="F2631" t="inlineStr">
        <is>
          <t>6</t>
        </is>
      </c>
      <c r="G2631" t="inlineStr">
        <is>
          <t>0</t>
        </is>
      </c>
      <c r="H2631" t="inlineStr">
        <is>
          <t>0</t>
        </is>
      </c>
      <c r="I2631" t="inlineStr">
        <is>
          <t>36⁴</t>
        </is>
      </c>
      <c r="J2631" t="n">
        <v>4</v>
      </c>
      <c r="K2631" t="inlineStr">
        <is>
          <t>2³</t>
        </is>
      </c>
      <c r="L2631" t="inlineStr">
        <is>
          <t>12A³, 18B⁵, 36D⁵</t>
        </is>
      </c>
      <c r="M2631" t="inlineStr"/>
      <c r="N2631" t="inlineStr">
        <is>
          <t>3B⁰, 2A⁰, 12D¹, 6B⁰, 12A³, 6C⁰, 18B¹, 1A⁰, 6D¹, 18H², 6E⁰, 36D⁵, 6B¹, 18B³, 18B⁵, 3C⁰, 6A¹, 3A⁰, 3D⁰, 12B⁰</t>
        </is>
      </c>
      <c r="O2631" t="inlineStr"/>
    </row>
    <row r="2632">
      <c r="A2632">
        <f>HYPERLINK("https://mathstats.uncg.edu/sites/pauli/congruence/csg11.html#group36C11", "36C¹¹")</f>
        <v/>
      </c>
      <c r="B2632" t="n">
        <v>11</v>
      </c>
      <c r="C2632" t="inlineStr"/>
      <c r="D2632" t="inlineStr">
        <is>
          <t>144</t>
        </is>
      </c>
      <c r="E2632" t="inlineStr">
        <is>
          <t>1</t>
        </is>
      </c>
      <c r="F2632" t="inlineStr">
        <is>
          <t>12</t>
        </is>
      </c>
      <c r="G2632" t="inlineStr">
        <is>
          <t>0</t>
        </is>
      </c>
      <c r="H2632" t="inlineStr">
        <is>
          <t>0</t>
        </is>
      </c>
      <c r="I2632" t="inlineStr">
        <is>
          <t>36⁴</t>
        </is>
      </c>
      <c r="J2632" t="n">
        <v>4</v>
      </c>
      <c r="K2632" t="inlineStr">
        <is>
          <t>2², 4²</t>
        </is>
      </c>
      <c r="L2632" t="inlineStr">
        <is>
          <t>9A², 12B³, 36H³, 36E⁵</t>
        </is>
      </c>
      <c r="M2632" t="inlineStr">
        <is>
          <t>36A²¹, 72F²³</t>
        </is>
      </c>
      <c r="N2632" t="inlineStr">
        <is>
          <t>12G¹, 3B⁰, 12B³, 36H³, 1A⁰, 9B¹, 36A¹, 12A⁰, 9D⁰, 9A², 4A⁰, 36E⁵, 9A⁰, 12A¹, 3C⁰, 3A⁰, 3D⁰</t>
        </is>
      </c>
      <c r="O2632" t="inlineStr">
        <is>
          <t>36A²¹, 72F²³</t>
        </is>
      </c>
    </row>
    <row r="2633">
      <c r="A2633">
        <f>HYPERLINK("https://mathstats.uncg.edu/sites/pauli/congruence/csg11.html#group36D11", "36D¹¹")</f>
        <v/>
      </c>
      <c r="B2633" t="n">
        <v>11</v>
      </c>
      <c r="C2633" t="inlineStr"/>
      <c r="D2633" t="inlineStr">
        <is>
          <t>144</t>
        </is>
      </c>
      <c r="E2633" t="inlineStr">
        <is>
          <t>1</t>
        </is>
      </c>
      <c r="F2633" t="inlineStr">
        <is>
          <t>12</t>
        </is>
      </c>
      <c r="G2633" t="inlineStr">
        <is>
          <t>0</t>
        </is>
      </c>
      <c r="H2633" t="inlineStr">
        <is>
          <t>0</t>
        </is>
      </c>
      <c r="I2633" t="inlineStr">
        <is>
          <t>36⁴</t>
        </is>
      </c>
      <c r="J2633" t="n">
        <v>4</v>
      </c>
      <c r="K2633" t="inlineStr">
        <is>
          <t>2², 4²</t>
        </is>
      </c>
      <c r="L2633" t="inlineStr">
        <is>
          <t>12C³, 18A³, 36H³, 36L⁴, 36A⁶</t>
        </is>
      </c>
      <c r="M2633" t="inlineStr">
        <is>
          <t>36A²¹, 72A²³, 72B²³</t>
        </is>
      </c>
      <c r="N2633" t="inlineStr">
        <is>
          <t>12G¹, 2A⁰, 6B⁰, 36H³, 12C³, 18A³, 12F⁰, 18A², 36A⁶, 1A⁰, 36A¹, 12A⁰, 9D⁰, 6B¹, 4A⁰, 4D⁰, 9A⁰, 12A², 3C⁰, 6A¹, 3A⁰, 18A¹, 36L⁴</t>
        </is>
      </c>
      <c r="O2633" t="inlineStr">
        <is>
          <t>72B²³, 36A²¹, 72A²³</t>
        </is>
      </c>
    </row>
    <row r="2634">
      <c r="A2634">
        <f>HYPERLINK("https://mathstats.uncg.edu/sites/pauli/congruence/csg11.html#group36E11", "36E¹¹")</f>
        <v/>
      </c>
      <c r="B2634" t="n">
        <v>11</v>
      </c>
      <c r="C2634" t="inlineStr"/>
      <c r="D2634" t="inlineStr">
        <is>
          <t>144</t>
        </is>
      </c>
      <c r="E2634" t="inlineStr">
        <is>
          <t>1</t>
        </is>
      </c>
      <c r="F2634" t="inlineStr">
        <is>
          <t>24</t>
        </is>
      </c>
      <c r="G2634" t="inlineStr">
        <is>
          <t>0</t>
        </is>
      </c>
      <c r="H2634" t="inlineStr">
        <is>
          <t>0</t>
        </is>
      </c>
      <c r="I2634" t="inlineStr">
        <is>
          <t>36⁴</t>
        </is>
      </c>
      <c r="J2634" t="n">
        <v>4</v>
      </c>
      <c r="K2634" t="inlineStr">
        <is>
          <t>4⁶</t>
        </is>
      </c>
      <c r="L2634" t="inlineStr">
        <is>
          <t>12C³, 18B³, 36N⁴</t>
        </is>
      </c>
      <c r="M2634" t="inlineStr">
        <is>
          <t>36B²¹, 72C²³, 72D²³</t>
        </is>
      </c>
      <c r="N2634" t="inlineStr">
        <is>
          <t>12G¹, 2A⁰, 6B⁰, 12C³, 12F⁰, 18B¹, 1A⁰, 36N⁴, 12A⁰, 6B¹, 4A⁰, 18B³, 4D⁰, 12A², 3C⁰, 6A¹, 3A⁰</t>
        </is>
      </c>
      <c r="O2634" t="inlineStr">
        <is>
          <t>72D²³, 72C²³, 36B²¹</t>
        </is>
      </c>
    </row>
    <row r="2635">
      <c r="A2635">
        <f>HYPERLINK("https://mathstats.uncg.edu/sites/pauli/congruence/csg11.html#group36F11", "36F¹¹")</f>
        <v/>
      </c>
      <c r="B2635" t="n">
        <v>11</v>
      </c>
      <c r="C2635" t="inlineStr"/>
      <c r="D2635" t="inlineStr">
        <is>
          <t>144</t>
        </is>
      </c>
      <c r="E2635" t="inlineStr">
        <is>
          <t>2</t>
        </is>
      </c>
      <c r="F2635" t="inlineStr">
        <is>
          <t>36</t>
        </is>
      </c>
      <c r="G2635" t="inlineStr">
        <is>
          <t>0</t>
        </is>
      </c>
      <c r="H2635" t="inlineStr">
        <is>
          <t>0</t>
        </is>
      </c>
      <c r="I2635" t="inlineStr">
        <is>
          <t>36⁴</t>
        </is>
      </c>
      <c r="J2635" t="n">
        <v>4</v>
      </c>
      <c r="K2635" t="inlineStr">
        <is>
          <t>4⁶, 12⁴</t>
        </is>
      </c>
      <c r="L2635" t="inlineStr">
        <is>
          <t>36D², 12C³, 18C³, 36E⁵, 36A⁶</t>
        </is>
      </c>
      <c r="M2635" t="inlineStr">
        <is>
          <t>36A²¹, 72G²³, 72H²³</t>
        </is>
      </c>
      <c r="N2635" t="inlineStr">
        <is>
          <t>12G¹, 2A⁰, 36D², 6B⁰, 12C³, 12F⁰, 18A², 36A⁶, 1A⁰, 18A⁰, 9B¹, 36A¹, 12A⁰, 6B¹, 4A⁰, 4D⁰, 36E⁵, 9A⁰, 18C³, 12A², 3C⁰, 6A¹, 3A⁰</t>
        </is>
      </c>
      <c r="O2635" t="inlineStr">
        <is>
          <t>72H²³, 36A²¹, 72G²³</t>
        </is>
      </c>
    </row>
    <row r="2636">
      <c r="A2636">
        <f>HYPERLINK("https://mathstats.uncg.edu/sites/pauli/congruence/csg11.html#group36G11", "36G¹¹")</f>
        <v/>
      </c>
      <c r="B2636" t="n">
        <v>11</v>
      </c>
      <c r="C2636" t="inlineStr"/>
      <c r="D2636" t="inlineStr">
        <is>
          <t>162</t>
        </is>
      </c>
      <c r="E2636" t="inlineStr">
        <is>
          <t>1</t>
        </is>
      </c>
      <c r="F2636" t="inlineStr">
        <is>
          <t>81</t>
        </is>
      </c>
      <c r="G2636" t="inlineStr">
        <is>
          <t>2</t>
        </is>
      </c>
      <c r="H2636" t="inlineStr">
        <is>
          <t>0</t>
        </is>
      </c>
      <c r="I2636" t="inlineStr">
        <is>
          <t>18³, 36³</t>
        </is>
      </c>
      <c r="J2636" t="n">
        <v>6</v>
      </c>
      <c r="K2636" t="inlineStr">
        <is>
          <t>3³, 6¹²</t>
        </is>
      </c>
      <c r="L2636" t="inlineStr">
        <is>
          <t>18J³, 36E⁴</t>
        </is>
      </c>
      <c r="M2636" t="inlineStr">
        <is>
          <t>36C²¹, 36D²¹, 36D²², 36E²², 36H²²</t>
        </is>
      </c>
      <c r="N2636" t="inlineStr">
        <is>
          <t>12C¹, 18J³, 9A⁰, 9G⁰, 36E⁴, 2B⁰, 18E¹, 3A⁰, 1A⁰, 6D⁰</t>
        </is>
      </c>
      <c r="O2636" t="inlineStr">
        <is>
          <t>36H²², 36D²², 36D²¹, 36E²², 36C²¹</t>
        </is>
      </c>
    </row>
    <row r="2637">
      <c r="A2637">
        <f>HYPERLINK("https://mathstats.uncg.edu/sites/pauli/congruence/csg11.html#group36H11", "36H¹¹")</f>
        <v/>
      </c>
      <c r="B2637" t="n">
        <v>11</v>
      </c>
      <c r="C2637" t="inlineStr"/>
      <c r="D2637" t="inlineStr">
        <is>
          <t>192</t>
        </is>
      </c>
      <c r="E2637" t="inlineStr">
        <is>
          <t>1</t>
        </is>
      </c>
      <c r="F2637" t="inlineStr">
        <is>
          <t>32</t>
        </is>
      </c>
      <c r="G2637" t="inlineStr">
        <is>
          <t>0</t>
        </is>
      </c>
      <c r="H2637" t="inlineStr">
        <is>
          <t>6</t>
        </is>
      </c>
      <c r="I2637" t="inlineStr">
        <is>
          <t>12⁴, 36⁴</t>
        </is>
      </c>
      <c r="J2637" t="n">
        <v>8</v>
      </c>
      <c r="K2637" t="inlineStr">
        <is>
          <t>4⁸</t>
        </is>
      </c>
      <c r="L2637" t="inlineStr">
        <is>
          <t>12R¹, 36A², 36B⁶</t>
        </is>
      </c>
      <c r="M2637" t="inlineStr"/>
      <c r="N2637" t="inlineStr">
        <is>
          <t>2A⁰, 3B⁰, 12I¹, 36B⁶, 4A⁰, 4D⁰, 12A¹, 6C⁰, 12R¹, 36A², 1A⁰, 12B⁰, 18D¹</t>
        </is>
      </c>
      <c r="O2637" t="inlineStr"/>
    </row>
    <row r="2638">
      <c r="A2638">
        <f>HYPERLINK("https://mathstats.uncg.edu/sites/pauli/congruence/csg11.html#group36I11", "36I¹¹")</f>
        <v/>
      </c>
      <c r="B2638" t="n">
        <v>11</v>
      </c>
      <c r="C2638" t="inlineStr"/>
      <c r="D2638" t="inlineStr">
        <is>
          <t>216</t>
        </is>
      </c>
      <c r="E2638" t="inlineStr">
        <is>
          <t>1</t>
        </is>
      </c>
      <c r="F2638" t="inlineStr">
        <is>
          <t>18</t>
        </is>
      </c>
      <c r="G2638" t="inlineStr">
        <is>
          <t>0</t>
        </is>
      </c>
      <c r="H2638" t="inlineStr">
        <is>
          <t>0</t>
        </is>
      </c>
      <c r="I2638" t="inlineStr">
        <is>
          <t>6⁶, 12⁶, 18², 36²</t>
        </is>
      </c>
      <c r="J2638" t="n">
        <v>16</v>
      </c>
      <c r="K2638" t="inlineStr">
        <is>
          <t>1⁶, 2⁶</t>
        </is>
      </c>
      <c r="L2638" t="inlineStr">
        <is>
          <t>18P², 12D³, 36I⁵, 36D⁶</t>
        </is>
      </c>
      <c r="M2638" t="inlineStr">
        <is>
          <t>36E²¹</t>
        </is>
      </c>
      <c r="N2638" t="inlineStr">
        <is>
          <t>36I⁵, 3B⁰, 12C⁰, 18I¹, 12F¹, 4C⁰, 6G⁰, 2B⁰, 9E⁰, 36D⁶, 1A⁰, 12L¹, 3D⁰, 12D³, 12C¹, 6F⁰, 18P², 3C⁰, 6K⁰, 9H⁰, 3A⁰, 12C², 6D⁰</t>
        </is>
      </c>
      <c r="O2638" t="inlineStr">
        <is>
          <t>36E²¹</t>
        </is>
      </c>
    </row>
    <row r="2639">
      <c r="A2639">
        <f>HYPERLINK("https://mathstats.uncg.edu/sites/pauli/congruence/csg11.html#group36J11", "36J¹¹")</f>
        <v/>
      </c>
      <c r="B2639" t="n">
        <v>11</v>
      </c>
      <c r="C2639" t="inlineStr"/>
      <c r="D2639" t="inlineStr">
        <is>
          <t>216</t>
        </is>
      </c>
      <c r="E2639" t="inlineStr">
        <is>
          <t>1</t>
        </is>
      </c>
      <c r="F2639" t="inlineStr">
        <is>
          <t>18</t>
        </is>
      </c>
      <c r="G2639" t="inlineStr">
        <is>
          <t>12</t>
        </is>
      </c>
      <c r="H2639" t="inlineStr">
        <is>
          <t>0</t>
        </is>
      </c>
      <c r="I2639" t="inlineStr">
        <is>
          <t>18⁸, 36²</t>
        </is>
      </c>
      <c r="J2639" t="n">
        <v>10</v>
      </c>
      <c r="K2639" t="inlineStr">
        <is>
          <t>2³, 4³</t>
        </is>
      </c>
      <c r="L2639" t="inlineStr">
        <is>
          <t>12U¹, 18L⁴</t>
        </is>
      </c>
      <c r="M2639" t="inlineStr"/>
      <c r="N2639" t="inlineStr">
        <is>
          <t>12U¹, 6B⁰, 18L⁴, 6H⁰, 6G⁰, 2B⁰, 1A⁰, 18A⁰, 18L², 9D⁰, 18D⁰, 6E⁰, 6L⁰, 9A⁰, 3C⁰, 18E¹, 3A⁰, 18I², 6D⁰</t>
        </is>
      </c>
      <c r="O2639" t="inlineStr"/>
    </row>
    <row r="2640">
      <c r="A2640">
        <f>HYPERLINK("https://mathstats.uncg.edu/sites/pauli/congruence/csg11.html#group36K11", "36K¹¹")</f>
        <v/>
      </c>
      <c r="B2640" t="n">
        <v>11</v>
      </c>
      <c r="C2640" t="inlineStr"/>
      <c r="D2640" t="inlineStr">
        <is>
          <t>216</t>
        </is>
      </c>
      <c r="E2640" t="inlineStr">
        <is>
          <t>1</t>
        </is>
      </c>
      <c r="F2640" t="inlineStr">
        <is>
          <t>36</t>
        </is>
      </c>
      <c r="G2640" t="inlineStr">
        <is>
          <t>0</t>
        </is>
      </c>
      <c r="H2640" t="inlineStr">
        <is>
          <t>0</t>
        </is>
      </c>
      <c r="I2640" t="inlineStr">
        <is>
          <t>2³, 4³, 6², 12², 18³, 36³</t>
        </is>
      </c>
      <c r="J2640" t="n">
        <v>16</v>
      </c>
      <c r="K2640" t="inlineStr">
        <is>
          <t>1⁶, 2⁶, 6³</t>
        </is>
      </c>
      <c r="L2640" t="inlineStr">
        <is>
          <t>18Q², 36G³</t>
        </is>
      </c>
      <c r="M2640" t="inlineStr">
        <is>
          <t>36F²¹</t>
        </is>
      </c>
      <c r="N2640" t="inlineStr">
        <is>
          <t>3B⁰, 18E⁰, 18Q², 12F¹, 4C⁰, 6F⁰, 9B⁰, 9I⁰, 2B⁰, 1A⁰, 36G³</t>
        </is>
      </c>
      <c r="O2640" t="inlineStr">
        <is>
          <t>36F²¹</t>
        </is>
      </c>
    </row>
    <row r="2641">
      <c r="A2641">
        <f>HYPERLINK("https://mathstats.uncg.edu/sites/pauli/congruence/csg11.html#group36L11", "36L¹¹")</f>
        <v/>
      </c>
      <c r="B2641" t="n">
        <v>11</v>
      </c>
      <c r="C2641" t="inlineStr"/>
      <c r="D2641" t="inlineStr">
        <is>
          <t>216</t>
        </is>
      </c>
      <c r="E2641" t="inlineStr">
        <is>
          <t>1</t>
        </is>
      </c>
      <c r="F2641" t="inlineStr">
        <is>
          <t>54</t>
        </is>
      </c>
      <c r="G2641" t="inlineStr">
        <is>
          <t>0</t>
        </is>
      </c>
      <c r="H2641" t="inlineStr">
        <is>
          <t>0</t>
        </is>
      </c>
      <c r="I2641" t="inlineStr">
        <is>
          <t>6⁶, 12⁶, 18², 36²</t>
        </is>
      </c>
      <c r="J2641" t="n">
        <v>16</v>
      </c>
      <c r="K2641" t="inlineStr">
        <is>
          <t>1³, 2³, 3³, 6⁶</t>
        </is>
      </c>
      <c r="L2641" t="inlineStr">
        <is>
          <t>12E³, 18K³, 36Q⁴, 36D⁶</t>
        </is>
      </c>
      <c r="M2641" t="inlineStr">
        <is>
          <t>36E²¹</t>
        </is>
      </c>
      <c r="N2641" t="inlineStr">
        <is>
          <t>6B⁰, 12K¹, 18I¹, 12D², 6G⁰, 2B⁰, 9E⁰, 4B⁰, 36D⁶, 1A⁰, 12N¹, 12C¹, 6E⁰, 6L⁰, 36Q⁴, 12E³, 18K³, 3C⁰, 12B¹, 12D⁰, 6H⁰, 3A⁰, 18G¹, 12C², 18F¹, 6D⁰</t>
        </is>
      </c>
      <c r="O2641" t="inlineStr">
        <is>
          <t>36E²¹</t>
        </is>
      </c>
    </row>
    <row r="2642">
      <c r="A2642">
        <f>HYPERLINK("https://mathstats.uncg.edu/sites/pauli/congruence/csg11.html#group36M11", "36M¹¹")</f>
        <v/>
      </c>
      <c r="B2642" t="n">
        <v>11</v>
      </c>
      <c r="C2642" t="inlineStr"/>
      <c r="D2642" t="inlineStr">
        <is>
          <t>216</t>
        </is>
      </c>
      <c r="E2642" t="inlineStr">
        <is>
          <t>1</t>
        </is>
      </c>
      <c r="F2642" t="inlineStr">
        <is>
          <t>54</t>
        </is>
      </c>
      <c r="G2642" t="inlineStr">
        <is>
          <t>0</t>
        </is>
      </c>
      <c r="H2642" t="inlineStr">
        <is>
          <t>0</t>
        </is>
      </c>
      <c r="I2642" t="inlineStr">
        <is>
          <t>6⁶, 12⁶, 18², 36²</t>
        </is>
      </c>
      <c r="J2642" t="n">
        <v>16</v>
      </c>
      <c r="K2642" t="inlineStr">
        <is>
          <t>1³, 2³, 3³, 6⁶</t>
        </is>
      </c>
      <c r="L2642" t="inlineStr">
        <is>
          <t>12F³, 36I³, 18N⁴, 36D⁶</t>
        </is>
      </c>
      <c r="M2642" t="inlineStr">
        <is>
          <t>36E²¹</t>
        </is>
      </c>
      <c r="N2642" t="inlineStr">
        <is>
          <t>6E¹, 18F², 2A⁰, 6B⁰, 18I¹, 12F³, 6C¹, 6G⁰, 12E², 2B⁰, 9E⁰, 12N¹, 36D⁶, 1A⁰, 12G⁰, 6A⁰, 18N⁴, 6B¹, 12C¹, 3C⁰, 6A¹, 12D⁰, 36I³, 6H⁰, 3A⁰, 12C², 2C⁰, 6D⁰</t>
        </is>
      </c>
      <c r="O2642" t="inlineStr">
        <is>
          <t>36E²¹</t>
        </is>
      </c>
    </row>
    <row r="2643">
      <c r="A2643">
        <f>HYPERLINK("https://mathstats.uncg.edu/sites/pauli/congruence/csg11.html#group36N11", "36N¹¹")</f>
        <v/>
      </c>
      <c r="B2643" t="n">
        <v>11</v>
      </c>
      <c r="C2643" t="inlineStr"/>
      <c r="D2643" t="inlineStr">
        <is>
          <t>216</t>
        </is>
      </c>
      <c r="E2643" t="inlineStr">
        <is>
          <t>1</t>
        </is>
      </c>
      <c r="F2643" t="inlineStr">
        <is>
          <t>54</t>
        </is>
      </c>
      <c r="G2643" t="inlineStr">
        <is>
          <t>0</t>
        </is>
      </c>
      <c r="H2643" t="inlineStr">
        <is>
          <t>0</t>
        </is>
      </c>
      <c r="I2643" t="inlineStr">
        <is>
          <t>6⁶, 12⁶, 18², 36²</t>
        </is>
      </c>
      <c r="J2643" t="n">
        <v>16</v>
      </c>
      <c r="K2643" t="inlineStr">
        <is>
          <t>1³, 2³, 3³, 6⁶</t>
        </is>
      </c>
      <c r="L2643" t="inlineStr">
        <is>
          <t>12G³, 18N⁴, 36Q⁴, 36I⁵</t>
        </is>
      </c>
      <c r="M2643" t="inlineStr">
        <is>
          <t>36E²¹</t>
        </is>
      </c>
      <c r="N2643" t="inlineStr">
        <is>
          <t>36I⁵, 2A⁰, 12K¹, 12C⁰, 12D², 6C¹, 4C⁰, 12B², 6G⁰, 12E², 2B⁰, 4E⁰, 9E⁰, 4B⁰, 12G³, 1A⁰, 18N⁴, 6B¹, 3C⁰, 6A¹, 12B¹, 6H⁰, 3A⁰, 6E¹, 18F², 6B⁰, 18I¹, 12L¹, 6A⁰, 12C¹, 36Q⁴, 12D⁰, 12H⁰, 2C⁰, 6D⁰</t>
        </is>
      </c>
      <c r="O2643" t="inlineStr">
        <is>
          <t>36E²¹</t>
        </is>
      </c>
    </row>
    <row r="2644">
      <c r="A2644">
        <f>HYPERLINK("https://mathstats.uncg.edu/sites/pauli/congruence/csg11.html#group38A11", "38A¹¹")</f>
        <v/>
      </c>
      <c r="B2644" t="n">
        <v>11</v>
      </c>
      <c r="C2644" t="inlineStr"/>
      <c r="D2644" t="inlineStr">
        <is>
          <t>171</t>
        </is>
      </c>
      <c r="E2644" t="inlineStr">
        <is>
          <t>2</t>
        </is>
      </c>
      <c r="F2644" t="inlineStr">
        <is>
          <t>171</t>
        </is>
      </c>
      <c r="G2644" t="inlineStr">
        <is>
          <t>5</t>
        </is>
      </c>
      <c r="H2644" t="inlineStr">
        <is>
          <t>0</t>
        </is>
      </c>
      <c r="I2644" t="inlineStr">
        <is>
          <t>19³, 38³</t>
        </is>
      </c>
      <c r="J2644" t="n">
        <v>6</v>
      </c>
      <c r="K2644" t="inlineStr">
        <is>
          <t>6³, 18¹⁸</t>
        </is>
      </c>
      <c r="L2644" t="inlineStr">
        <is>
          <t>2B⁰, 19A²</t>
        </is>
      </c>
      <c r="M2644" t="inlineStr">
        <is>
          <t>76A²⁴</t>
        </is>
      </c>
      <c r="N2644" t="inlineStr">
        <is>
          <t>19A², 1A⁰, 2B⁰</t>
        </is>
      </c>
      <c r="O2644" t="inlineStr">
        <is>
          <t>76A²⁴</t>
        </is>
      </c>
    </row>
    <row r="2645">
      <c r="A2645">
        <f>HYPERLINK("https://mathstats.uncg.edu/sites/pauli/congruence/csg11.html#group39A11", "39A¹¹")</f>
        <v/>
      </c>
      <c r="B2645" t="n">
        <v>11</v>
      </c>
      <c r="C2645" t="inlineStr"/>
      <c r="D2645" t="inlineStr">
        <is>
          <t>168</t>
        </is>
      </c>
      <c r="E2645" t="inlineStr">
        <is>
          <t>1</t>
        </is>
      </c>
      <c r="F2645" t="inlineStr">
        <is>
          <t>14</t>
        </is>
      </c>
      <c r="G2645" t="inlineStr">
        <is>
          <t>0</t>
        </is>
      </c>
      <c r="H2645" t="inlineStr">
        <is>
          <t>0</t>
        </is>
      </c>
      <c r="I2645" t="inlineStr">
        <is>
          <t>3⁴, 39⁴</t>
        </is>
      </c>
      <c r="J2645" t="n">
        <v>8</v>
      </c>
      <c r="K2645" t="inlineStr">
        <is>
          <t>1², 12¹</t>
        </is>
      </c>
      <c r="L2645" t="inlineStr">
        <is>
          <t>3D⁰, 39A³, 39A⁵</t>
        </is>
      </c>
      <c r="M2645" t="inlineStr">
        <is>
          <t>39B²¹</t>
        </is>
      </c>
      <c r="N2645" t="inlineStr">
        <is>
          <t>39A², 3B⁰, 39A³, 39A⁵, 13A⁰, 3C⁰, 1A⁰, 3A⁰, 3D⁰</t>
        </is>
      </c>
      <c r="O2645" t="inlineStr">
        <is>
          <t>39B²¹</t>
        </is>
      </c>
    </row>
    <row r="2646">
      <c r="A2646">
        <f>HYPERLINK("https://mathstats.uncg.edu/sites/pauli/congruence/csg11.html#group39B11", "39B¹¹")</f>
        <v/>
      </c>
      <c r="B2646" t="n">
        <v>11</v>
      </c>
      <c r="C2646" t="inlineStr"/>
      <c r="D2646" t="inlineStr">
        <is>
          <t>168</t>
        </is>
      </c>
      <c r="E2646" t="inlineStr">
        <is>
          <t>1</t>
        </is>
      </c>
      <c r="F2646" t="inlineStr">
        <is>
          <t>42</t>
        </is>
      </c>
      <c r="G2646" t="inlineStr">
        <is>
          <t>0</t>
        </is>
      </c>
      <c r="H2646" t="inlineStr">
        <is>
          <t>0</t>
        </is>
      </c>
      <c r="I2646" t="inlineStr">
        <is>
          <t>3⁴, 39⁴</t>
        </is>
      </c>
      <c r="J2646" t="n">
        <v>8</v>
      </c>
      <c r="K2646" t="inlineStr">
        <is>
          <t>1², 2², 12¹, 24¹</t>
        </is>
      </c>
      <c r="L2646" t="inlineStr">
        <is>
          <t>39A⁴, 39A⁵, 39A⁶</t>
        </is>
      </c>
      <c r="M2646" t="inlineStr">
        <is>
          <t>39B²¹</t>
        </is>
      </c>
      <c r="N2646" t="inlineStr">
        <is>
          <t>39A², 39A⁵, 13A⁰, 3C⁰, 13B⁰, 39A⁶, 39A⁴, 3A⁰, 1A⁰</t>
        </is>
      </c>
      <c r="O2646" t="inlineStr">
        <is>
          <t>39B²¹</t>
        </is>
      </c>
    </row>
    <row r="2647">
      <c r="A2647">
        <f>HYPERLINK("https://mathstats.uncg.edu/sites/pauli/congruence/csg11.html#group40A11", "40A¹¹")</f>
        <v/>
      </c>
      <c r="B2647" t="n">
        <v>11</v>
      </c>
      <c r="C2647" t="inlineStr"/>
      <c r="D2647" t="inlineStr">
        <is>
          <t>160</t>
        </is>
      </c>
      <c r="E2647" t="inlineStr">
        <is>
          <t>1</t>
        </is>
      </c>
      <c r="F2647" t="inlineStr">
        <is>
          <t>40</t>
        </is>
      </c>
      <c r="G2647" t="inlineStr">
        <is>
          <t>0</t>
        </is>
      </c>
      <c r="H2647" t="inlineStr">
        <is>
          <t>4</t>
        </is>
      </c>
      <c r="I2647" t="inlineStr">
        <is>
          <t>40⁴</t>
        </is>
      </c>
      <c r="J2647" t="n">
        <v>4</v>
      </c>
      <c r="K2647" t="inlineStr">
        <is>
          <t>4², 8⁴</t>
        </is>
      </c>
      <c r="L2647" t="inlineStr">
        <is>
          <t>20A⁵, 40E⁵</t>
        </is>
      </c>
      <c r="M2647" t="inlineStr">
        <is>
          <t>40B²¹, 80C²³</t>
        </is>
      </c>
      <c r="N2647" t="inlineStr">
        <is>
          <t>2A⁰, 40E⁵, 4A⁰, 4D⁰, 10C¹, 1A⁰, 20A⁵, 5C⁰, 20E²</t>
        </is>
      </c>
      <c r="O2647" t="inlineStr">
        <is>
          <t>40B²¹, 80C²³</t>
        </is>
      </c>
    </row>
    <row r="2648">
      <c r="A2648">
        <f>HYPERLINK("https://mathstats.uncg.edu/sites/pauli/congruence/csg11.html#group40B11", "40B¹¹")</f>
        <v/>
      </c>
      <c r="B2648" t="n">
        <v>11</v>
      </c>
      <c r="C2648" t="inlineStr"/>
      <c r="D2648" t="inlineStr">
        <is>
          <t>160</t>
        </is>
      </c>
      <c r="E2648" t="inlineStr">
        <is>
          <t>1</t>
        </is>
      </c>
      <c r="F2648" t="inlineStr">
        <is>
          <t>40</t>
        </is>
      </c>
      <c r="G2648" t="inlineStr">
        <is>
          <t>0</t>
        </is>
      </c>
      <c r="H2648" t="inlineStr">
        <is>
          <t>4</t>
        </is>
      </c>
      <c r="I2648" t="inlineStr">
        <is>
          <t>40⁴</t>
        </is>
      </c>
      <c r="J2648" t="n">
        <v>4</v>
      </c>
      <c r="K2648" t="inlineStr">
        <is>
          <t>4², 8⁴</t>
        </is>
      </c>
      <c r="L2648" t="inlineStr">
        <is>
          <t>8E⁰, 20A⁵, 40F⁵</t>
        </is>
      </c>
      <c r="M2648" t="inlineStr">
        <is>
          <t>40B²¹, 80A²³, 80B²³</t>
        </is>
      </c>
      <c r="N2648" t="inlineStr">
        <is>
          <t>40F⁵, 2A⁰, 4A⁰, 4D⁰, 5C⁰, 8A⁰, 8E⁰, 10C¹, 20A⁵, 1A⁰, 20E²</t>
        </is>
      </c>
      <c r="O2648" t="inlineStr">
        <is>
          <t>40B²¹, 80B²³, 80A²³</t>
        </is>
      </c>
    </row>
    <row r="2649">
      <c r="A2649">
        <f>HYPERLINK("https://mathstats.uncg.edu/sites/pauli/congruence/csg11.html#group40C11", "40C¹¹")</f>
        <v/>
      </c>
      <c r="B2649" t="n">
        <v>11</v>
      </c>
      <c r="C2649" t="inlineStr"/>
      <c r="D2649" t="inlineStr">
        <is>
          <t>160</t>
        </is>
      </c>
      <c r="E2649" t="inlineStr">
        <is>
          <t>1</t>
        </is>
      </c>
      <c r="F2649" t="inlineStr">
        <is>
          <t>80</t>
        </is>
      </c>
      <c r="G2649" t="inlineStr">
        <is>
          <t>0</t>
        </is>
      </c>
      <c r="H2649" t="inlineStr">
        <is>
          <t>4</t>
        </is>
      </c>
      <c r="I2649" t="inlineStr">
        <is>
          <t>40⁴</t>
        </is>
      </c>
      <c r="J2649" t="n">
        <v>4</v>
      </c>
      <c r="K2649" t="inlineStr">
        <is>
          <t>4⁴, 16⁴</t>
        </is>
      </c>
      <c r="L2649" t="inlineStr">
        <is>
          <t>8E¹, 20D², 40D⁵</t>
        </is>
      </c>
      <c r="M2649" t="inlineStr">
        <is>
          <t>40C²¹</t>
        </is>
      </c>
      <c r="N2649" t="inlineStr">
        <is>
          <t>2A⁰, 5A⁰, 8F⁰, 20D², 10A⁰, 4A⁰, 4D⁰, 20A¹, 8E¹, 1A⁰, 40D⁵</t>
        </is>
      </c>
      <c r="O2649" t="inlineStr">
        <is>
          <t>40C²¹</t>
        </is>
      </c>
    </row>
    <row r="2650">
      <c r="A2650">
        <f>HYPERLINK("https://mathstats.uncg.edu/sites/pauli/congruence/csg11.html#group40D11", "40D¹¹")</f>
        <v/>
      </c>
      <c r="B2650" t="n">
        <v>11</v>
      </c>
      <c r="C2650" t="inlineStr"/>
      <c r="D2650" t="inlineStr">
        <is>
          <t>160</t>
        </is>
      </c>
      <c r="E2650" t="inlineStr">
        <is>
          <t>2</t>
        </is>
      </c>
      <c r="F2650" t="inlineStr">
        <is>
          <t>40</t>
        </is>
      </c>
      <c r="G2650" t="inlineStr">
        <is>
          <t>0</t>
        </is>
      </c>
      <c r="H2650" t="inlineStr">
        <is>
          <t>4</t>
        </is>
      </c>
      <c r="I2650" t="inlineStr">
        <is>
          <t>40⁴</t>
        </is>
      </c>
      <c r="J2650" t="n">
        <v>4</v>
      </c>
      <c r="K2650" t="inlineStr">
        <is>
          <t>8², 16⁴</t>
        </is>
      </c>
      <c r="L2650" t="inlineStr">
        <is>
          <t>40A², 20B⁵, 40E⁵, 40F⁵</t>
        </is>
      </c>
      <c r="M2650" t="inlineStr">
        <is>
          <t>40B²¹, 80E²³</t>
        </is>
      </c>
      <c r="N2650" t="inlineStr">
        <is>
          <t>40F⁵, 40E⁵, 5A⁰, 4A⁰, 5C⁰, 8A⁰, 20B⁵, 1A⁰, 20A¹, 5F⁰, 40A², 20E²</t>
        </is>
      </c>
      <c r="O2650" t="inlineStr">
        <is>
          <t>40B²¹, 80E²³</t>
        </is>
      </c>
    </row>
    <row r="2651">
      <c r="A2651">
        <f>HYPERLINK("https://mathstats.uncg.edu/sites/pauli/congruence/csg11.html#group40E11", "40E¹¹")</f>
        <v/>
      </c>
      <c r="B2651" t="n">
        <v>11</v>
      </c>
      <c r="C2651" t="inlineStr"/>
      <c r="D2651" t="inlineStr">
        <is>
          <t>180</t>
        </is>
      </c>
      <c r="E2651" t="inlineStr">
        <is>
          <t>1</t>
        </is>
      </c>
      <c r="F2651" t="inlineStr">
        <is>
          <t>45</t>
        </is>
      </c>
      <c r="G2651" t="inlineStr">
        <is>
          <t>8</t>
        </is>
      </c>
      <c r="H2651" t="inlineStr">
        <is>
          <t>0</t>
        </is>
      </c>
      <c r="I2651" t="inlineStr">
        <is>
          <t>20³, 40³</t>
        </is>
      </c>
      <c r="J2651" t="n">
        <v>6</v>
      </c>
      <c r="K2651" t="inlineStr">
        <is>
          <t>1³, 2³, 4⁹</t>
        </is>
      </c>
      <c r="L2651" t="inlineStr">
        <is>
          <t>20E⁴</t>
        </is>
      </c>
      <c r="M2651" t="inlineStr">
        <is>
          <t>40F²¹, 40C²³, 40E²³, 40F²³, 40G²³, 40H²³, 40I²³, 40J²³</t>
        </is>
      </c>
      <c r="N2651" t="inlineStr">
        <is>
          <t>5A⁰, 10I¹, 20E⁴, 10B¹, 20B², 4C⁰, 5E⁰, 2B⁰, 1A⁰</t>
        </is>
      </c>
      <c r="O2651" t="inlineStr">
        <is>
          <t>40I²³, 40G²³, 40J²³, 40H²³, 40C²³, 40E²³, 40F²³, 40F²¹</t>
        </is>
      </c>
    </row>
    <row r="2652">
      <c r="A2652">
        <f>HYPERLINK("https://mathstats.uncg.edu/sites/pauli/congruence/csg11.html#group40F11", "40F¹¹")</f>
        <v/>
      </c>
      <c r="B2652" t="n">
        <v>11</v>
      </c>
      <c r="C2652" t="inlineStr"/>
      <c r="D2652" t="inlineStr">
        <is>
          <t>192</t>
        </is>
      </c>
      <c r="E2652" t="inlineStr">
        <is>
          <t>2</t>
        </is>
      </c>
      <c r="F2652" t="inlineStr">
        <is>
          <t>24</t>
        </is>
      </c>
      <c r="G2652" t="inlineStr">
        <is>
          <t>8</t>
        </is>
      </c>
      <c r="H2652" t="inlineStr">
        <is>
          <t>0</t>
        </is>
      </c>
      <c r="I2652" t="inlineStr">
        <is>
          <t>8⁴, 40⁴</t>
        </is>
      </c>
      <c r="J2652" t="n">
        <v>8</v>
      </c>
      <c r="K2652" t="inlineStr">
        <is>
          <t>4⁸, 16⁴</t>
        </is>
      </c>
      <c r="L2652" t="inlineStr">
        <is>
          <t>20Q³, 40G⁵, 40J⁵</t>
        </is>
      </c>
      <c r="M2652" t="inlineStr"/>
      <c r="N2652" t="inlineStr">
        <is>
          <t>20C¹, 40A³, 40G⁵, 4A⁰, 40J⁵, 40B³, 20G¹, 5B⁰, 8A⁰, 1A⁰, 20Q³, 20B¹, 10B⁰</t>
        </is>
      </c>
      <c r="O2652" t="inlineStr"/>
    </row>
    <row r="2653">
      <c r="A2653">
        <f>HYPERLINK("https://mathstats.uncg.edu/sites/pauli/congruence/csg11.html#group40G11", "40G¹¹")</f>
        <v/>
      </c>
      <c r="B2653" t="n">
        <v>11</v>
      </c>
      <c r="C2653" t="inlineStr"/>
      <c r="D2653" t="inlineStr">
        <is>
          <t>192</t>
        </is>
      </c>
      <c r="E2653" t="inlineStr">
        <is>
          <t>2</t>
        </is>
      </c>
      <c r="F2653" t="inlineStr">
        <is>
          <t>24</t>
        </is>
      </c>
      <c r="G2653" t="inlineStr">
        <is>
          <t>8</t>
        </is>
      </c>
      <c r="H2653" t="inlineStr">
        <is>
          <t>0</t>
        </is>
      </c>
      <c r="I2653" t="inlineStr">
        <is>
          <t>8⁴, 40⁴</t>
        </is>
      </c>
      <c r="J2653" t="n">
        <v>8</v>
      </c>
      <c r="K2653" t="inlineStr">
        <is>
          <t>4⁸, 16⁴</t>
        </is>
      </c>
      <c r="L2653" t="inlineStr">
        <is>
          <t>20Q³, 40H⁵, 40J⁵</t>
        </is>
      </c>
      <c r="M2653" t="inlineStr"/>
      <c r="N2653" t="inlineStr">
        <is>
          <t>20C¹, 40A³, 40H⁵, 4A⁰, 40J⁵, 40B³, 20G¹, 5B⁰, 8A⁰, 1A⁰, 20Q³, 20B¹, 10B⁰</t>
        </is>
      </c>
      <c r="O2653" t="inlineStr"/>
    </row>
    <row r="2654">
      <c r="A2654">
        <f>HYPERLINK("https://mathstats.uncg.edu/sites/pauli/congruence/csg11.html#group40H11", "40H¹¹")</f>
        <v/>
      </c>
      <c r="B2654" t="n">
        <v>11</v>
      </c>
      <c r="C2654" t="inlineStr"/>
      <c r="D2654" t="inlineStr">
        <is>
          <t>192</t>
        </is>
      </c>
      <c r="E2654" t="inlineStr">
        <is>
          <t>2</t>
        </is>
      </c>
      <c r="F2654" t="inlineStr">
        <is>
          <t>96</t>
        </is>
      </c>
      <c r="G2654" t="inlineStr">
        <is>
          <t>8</t>
        </is>
      </c>
      <c r="H2654" t="inlineStr">
        <is>
          <t>0</t>
        </is>
      </c>
      <c r="I2654" t="inlineStr">
        <is>
          <t>8⁴, 40⁴</t>
        </is>
      </c>
      <c r="J2654" t="n">
        <v>8</v>
      </c>
      <c r="K2654" t="inlineStr">
        <is>
          <t>4¹⁶, 16⁸</t>
        </is>
      </c>
      <c r="L2654" t="inlineStr">
        <is>
          <t>40A³, 40I⁵</t>
        </is>
      </c>
      <c r="M2654" t="inlineStr">
        <is>
          <t>40M²¹</t>
        </is>
      </c>
      <c r="N2654" t="inlineStr">
        <is>
          <t>5B⁰, 40I⁵, 40A³, 8F⁰, 1A⁰, 4A⁰, 20B¹</t>
        </is>
      </c>
      <c r="O2654" t="inlineStr">
        <is>
          <t>40M²¹</t>
        </is>
      </c>
    </row>
    <row r="2655">
      <c r="A2655">
        <f>HYPERLINK("https://mathstats.uncg.edu/sites/pauli/congruence/csg11.html#group40I11", "40I¹¹")</f>
        <v/>
      </c>
      <c r="B2655" t="n">
        <v>11</v>
      </c>
      <c r="C2655" t="inlineStr"/>
      <c r="D2655" t="inlineStr">
        <is>
          <t>192</t>
        </is>
      </c>
      <c r="E2655" t="inlineStr">
        <is>
          <t>2</t>
        </is>
      </c>
      <c r="F2655" t="inlineStr">
        <is>
          <t>96</t>
        </is>
      </c>
      <c r="G2655" t="inlineStr">
        <is>
          <t>8</t>
        </is>
      </c>
      <c r="H2655" t="inlineStr">
        <is>
          <t>0</t>
        </is>
      </c>
      <c r="I2655" t="inlineStr">
        <is>
          <t>8⁴, 40⁴</t>
        </is>
      </c>
      <c r="J2655" t="n">
        <v>8</v>
      </c>
      <c r="K2655" t="inlineStr">
        <is>
          <t>4¹⁶, 16⁸</t>
        </is>
      </c>
      <c r="L2655" t="inlineStr">
        <is>
          <t>8M⁰, 40B³, 40I⁵</t>
        </is>
      </c>
      <c r="M2655" t="inlineStr">
        <is>
          <t>40M²¹</t>
        </is>
      </c>
      <c r="N2655" t="inlineStr">
        <is>
          <t>40I⁵, 8F⁰, 4A⁰, 40B³, 8A⁰, 5B⁰, 8M⁰, 1A⁰, 20B¹</t>
        </is>
      </c>
      <c r="O2655" t="inlineStr">
        <is>
          <t>40M²¹</t>
        </is>
      </c>
    </row>
    <row r="2656">
      <c r="A2656">
        <f>HYPERLINK("https://mathstats.uncg.edu/sites/pauli/congruence/csg11.html#group40J11", "40J¹¹")</f>
        <v/>
      </c>
      <c r="B2656" t="n">
        <v>11</v>
      </c>
      <c r="C2656" t="inlineStr"/>
      <c r="D2656" t="inlineStr">
        <is>
          <t>240</t>
        </is>
      </c>
      <c r="E2656" t="inlineStr">
        <is>
          <t>1</t>
        </is>
      </c>
      <c r="F2656" t="inlineStr">
        <is>
          <t>30</t>
        </is>
      </c>
      <c r="G2656" t="inlineStr">
        <is>
          <t>0</t>
        </is>
      </c>
      <c r="H2656" t="inlineStr">
        <is>
          <t>0</t>
        </is>
      </c>
      <c r="I2656" t="inlineStr">
        <is>
          <t>5¹⁶, 40⁴</t>
        </is>
      </c>
      <c r="J2656" t="n">
        <v>20</v>
      </c>
      <c r="K2656" t="inlineStr">
        <is>
          <t>2³, 4⁶</t>
        </is>
      </c>
      <c r="L2656" t="inlineStr">
        <is>
          <t>20E⁵, 40K⁵</t>
        </is>
      </c>
      <c r="M2656" t="inlineStr"/>
      <c r="N2656" t="inlineStr">
        <is>
          <t>20A², 5A⁰, 20E⁵, 20E³, 10B¹, 5F⁰, 2B⁰, 20F², 4B⁰, 1A⁰, 10D², 10F¹, 5C⁰, 40K⁵</t>
        </is>
      </c>
      <c r="O2656" t="inlineStr"/>
    </row>
    <row r="2657">
      <c r="A2657">
        <f>HYPERLINK("https://mathstats.uncg.edu/sites/pauli/congruence/csg11.html#group40K11", "40K¹¹")</f>
        <v/>
      </c>
      <c r="B2657" t="n">
        <v>11</v>
      </c>
      <c r="C2657" t="inlineStr"/>
      <c r="D2657" t="inlineStr">
        <is>
          <t>288</t>
        </is>
      </c>
      <c r="E2657" t="inlineStr">
        <is>
          <t>2</t>
        </is>
      </c>
      <c r="F2657" t="inlineStr">
        <is>
          <t>36</t>
        </is>
      </c>
      <c r="G2657" t="inlineStr">
        <is>
          <t>8</t>
        </is>
      </c>
      <c r="H2657" t="inlineStr">
        <is>
          <t>0</t>
        </is>
      </c>
      <c r="I2657" t="inlineStr">
        <is>
          <t>2⁸, 8⁴, 10⁸, 40⁴</t>
        </is>
      </c>
      <c r="J2657" t="n">
        <v>24</v>
      </c>
      <c r="K2657" t="inlineStr">
        <is>
          <t>2¹², 8⁶</t>
        </is>
      </c>
      <c r="L2657" t="inlineStr">
        <is>
          <t>20T³, 40N⁵, 40O⁵</t>
        </is>
      </c>
      <c r="M2657" t="inlineStr"/>
      <c r="N2657" t="inlineStr">
        <is>
          <t>20E¹, 40A¹, 10G⁰, 40H³, 8D⁰, 40O⁵, 4C⁰, 5B⁰, 2B⁰, 1A⁰, 20T³, 10B⁰, 20A⁰, 20I¹, 40I³, 10C⁰, 40N⁵, 40G³</t>
        </is>
      </c>
      <c r="O2657" t="inlineStr"/>
    </row>
    <row r="2658">
      <c r="A2658">
        <f>HYPERLINK("https://mathstats.uncg.edu/sites/pauli/congruence/csg11.html#group41A11", "41A¹¹")</f>
        <v/>
      </c>
      <c r="B2658" t="n">
        <v>11</v>
      </c>
      <c r="C2658" t="inlineStr"/>
      <c r="D2658" t="inlineStr">
        <is>
          <t>168</t>
        </is>
      </c>
      <c r="E2658" t="inlineStr">
        <is>
          <t>1</t>
        </is>
      </c>
      <c r="F2658" t="inlineStr">
        <is>
          <t>42</t>
        </is>
      </c>
      <c r="G2658" t="inlineStr">
        <is>
          <t>0</t>
        </is>
      </c>
      <c r="H2658" t="inlineStr">
        <is>
          <t>0</t>
        </is>
      </c>
      <c r="I2658" t="inlineStr">
        <is>
          <t>1⁴, 41⁴</t>
        </is>
      </c>
      <c r="J2658" t="n">
        <v>8</v>
      </c>
      <c r="K2658" t="inlineStr">
        <is>
          <t>1², 40¹</t>
        </is>
      </c>
      <c r="L2658" t="inlineStr">
        <is>
          <t>41A⁵</t>
        </is>
      </c>
      <c r="M2658" t="inlineStr"/>
      <c r="N2658" t="inlineStr">
        <is>
          <t>1A⁰, 41A⁵, 41A³</t>
        </is>
      </c>
      <c r="O2658" t="inlineStr"/>
    </row>
    <row r="2659">
      <c r="A2659">
        <f>HYPERLINK("https://mathstats.uncg.edu/sites/pauli/congruence/csg11.html#group41B11", "41B¹¹")</f>
        <v/>
      </c>
      <c r="B2659" t="n">
        <v>11</v>
      </c>
      <c r="C2659" t="inlineStr"/>
      <c r="D2659" t="inlineStr">
        <is>
          <t>210</t>
        </is>
      </c>
      <c r="E2659" t="inlineStr">
        <is>
          <t>1</t>
        </is>
      </c>
      <c r="F2659" t="inlineStr">
        <is>
          <t>42</t>
        </is>
      </c>
      <c r="G2659" t="inlineStr">
        <is>
          <t>10</t>
        </is>
      </c>
      <c r="H2659" t="inlineStr">
        <is>
          <t>0</t>
        </is>
      </c>
      <c r="I2659" t="inlineStr">
        <is>
          <t>1⁵, 41⁵</t>
        </is>
      </c>
      <c r="J2659" t="n">
        <v>10</v>
      </c>
      <c r="K2659" t="inlineStr">
        <is>
          <t>1², 40¹</t>
        </is>
      </c>
      <c r="L2659" t="inlineStr">
        <is>
          <t>41A³</t>
        </is>
      </c>
      <c r="M2659" t="inlineStr">
        <is>
          <t>41A²¹</t>
        </is>
      </c>
      <c r="N2659" t="inlineStr">
        <is>
          <t>1A⁰, 41A³</t>
        </is>
      </c>
      <c r="O2659" t="inlineStr">
        <is>
          <t>41A²¹</t>
        </is>
      </c>
    </row>
    <row r="2660">
      <c r="A2660">
        <f>HYPERLINK("https://mathstats.uncg.edu/sites/pauli/congruence/csg11.html#group42A11", "42A¹¹")</f>
        <v/>
      </c>
      <c r="B2660" t="n">
        <v>11</v>
      </c>
      <c r="C2660" t="inlineStr"/>
      <c r="D2660" t="inlineStr">
        <is>
          <t>168</t>
        </is>
      </c>
      <c r="E2660" t="inlineStr">
        <is>
          <t>1</t>
        </is>
      </c>
      <c r="F2660" t="inlineStr">
        <is>
          <t>84</t>
        </is>
      </c>
      <c r="G2660" t="inlineStr">
        <is>
          <t>8</t>
        </is>
      </c>
      <c r="H2660" t="inlineStr">
        <is>
          <t>0</t>
        </is>
      </c>
      <c r="I2660" t="inlineStr">
        <is>
          <t>42⁴</t>
        </is>
      </c>
      <c r="J2660" t="n">
        <v>4</v>
      </c>
      <c r="K2660" t="inlineStr">
        <is>
          <t>1¹, 2¹, 3¹, 6⁵, 12⁴</t>
        </is>
      </c>
      <c r="L2660" t="inlineStr">
        <is>
          <t>42A², 21C³</t>
        </is>
      </c>
      <c r="M2660" t="inlineStr">
        <is>
          <t>42B²¹, 42E²¹</t>
        </is>
      </c>
      <c r="N2660" t="inlineStr">
        <is>
          <t>7F⁰, 21A⁰, 42A², 3A⁰, 1A⁰, 21C³, 7A⁰</t>
        </is>
      </c>
      <c r="O2660" t="inlineStr">
        <is>
          <t>42B²¹, 42E²¹</t>
        </is>
      </c>
    </row>
    <row r="2661">
      <c r="A2661">
        <f>HYPERLINK("https://mathstats.uncg.edu/sites/pauli/congruence/csg11.html#group42B11", "42B¹¹")</f>
        <v/>
      </c>
      <c r="B2661" t="n">
        <v>11</v>
      </c>
      <c r="C2661" t="inlineStr"/>
      <c r="D2661" t="inlineStr">
        <is>
          <t>168</t>
        </is>
      </c>
      <c r="E2661" t="inlineStr">
        <is>
          <t>2</t>
        </is>
      </c>
      <c r="F2661" t="inlineStr">
        <is>
          <t>21</t>
        </is>
      </c>
      <c r="G2661" t="inlineStr">
        <is>
          <t>8</t>
        </is>
      </c>
      <c r="H2661" t="inlineStr">
        <is>
          <t>0</t>
        </is>
      </c>
      <c r="I2661" t="inlineStr">
        <is>
          <t>42⁴</t>
        </is>
      </c>
      <c r="J2661" t="n">
        <v>4</v>
      </c>
      <c r="K2661" t="inlineStr">
        <is>
          <t>2¹, 4¹, 6², 12²</t>
        </is>
      </c>
      <c r="L2661" t="inlineStr">
        <is>
          <t>42F⁴, 42G⁴, 42H⁴, 21B⁵, 42F⁵, 42A⁶</t>
        </is>
      </c>
      <c r="M2661" t="inlineStr"/>
      <c r="N2661" t="inlineStr">
        <is>
          <t>21D², 42F⁵, 42F⁴, 6B⁰, 42H⁴, 21B⁵, 21D¹, 21C², 21A⁰, 1A⁰, 42A², 42A⁶, 6E⁰, 42G⁴, 7C⁰, 3C⁰, 42B¹, 3A⁰, 7A⁰</t>
        </is>
      </c>
      <c r="O2661" t="inlineStr"/>
    </row>
    <row r="2662">
      <c r="A2662">
        <f>HYPERLINK("https://mathstats.uncg.edu/sites/pauli/congruence/csg11.html#group42C11", "42C¹¹")</f>
        <v/>
      </c>
      <c r="B2662" t="n">
        <v>11</v>
      </c>
      <c r="C2662" t="inlineStr"/>
      <c r="D2662" t="inlineStr">
        <is>
          <t>168</t>
        </is>
      </c>
      <c r="E2662" t="inlineStr">
        <is>
          <t>2</t>
        </is>
      </c>
      <c r="F2662" t="inlineStr">
        <is>
          <t>84</t>
        </is>
      </c>
      <c r="G2662" t="inlineStr">
        <is>
          <t>0</t>
        </is>
      </c>
      <c r="H2662" t="inlineStr">
        <is>
          <t>0</t>
        </is>
      </c>
      <c r="I2662" t="inlineStr">
        <is>
          <t>7², 14², 21², 42²</t>
        </is>
      </c>
      <c r="J2662" t="n">
        <v>8</v>
      </c>
      <c r="K2662" t="inlineStr">
        <is>
          <t>2⁶, 4³, 6¹², 12⁶</t>
        </is>
      </c>
      <c r="L2662" t="inlineStr">
        <is>
          <t>14A², 21B³, 42C⁶</t>
        </is>
      </c>
      <c r="M2662" t="inlineStr">
        <is>
          <t>42F²³, 84B²³</t>
        </is>
      </c>
      <c r="N2662" t="inlineStr">
        <is>
          <t>21B³, 3B⁰, 14A², 21B², 14B¹, 42C⁶, 7C⁰, 6F⁰, 2B⁰, 1A⁰, 7A⁰</t>
        </is>
      </c>
      <c r="O2662" t="inlineStr">
        <is>
          <t>84B²³, 42F²³</t>
        </is>
      </c>
    </row>
    <row r="2663">
      <c r="A2663">
        <f>HYPERLINK("https://mathstats.uncg.edu/sites/pauli/congruence/csg11.html#group42D11", "42D¹¹")</f>
        <v/>
      </c>
      <c r="B2663" t="n">
        <v>11</v>
      </c>
      <c r="C2663" t="inlineStr"/>
      <c r="D2663" t="inlineStr">
        <is>
          <t>168</t>
        </is>
      </c>
      <c r="E2663" t="inlineStr">
        <is>
          <t>2</t>
        </is>
      </c>
      <c r="F2663" t="inlineStr">
        <is>
          <t>168</t>
        </is>
      </c>
      <c r="G2663" t="inlineStr">
        <is>
          <t>0</t>
        </is>
      </c>
      <c r="H2663" t="inlineStr">
        <is>
          <t>3</t>
        </is>
      </c>
      <c r="I2663" t="inlineStr">
        <is>
          <t>14³, 42³</t>
        </is>
      </c>
      <c r="J2663" t="n">
        <v>6</v>
      </c>
      <c r="K2663" t="inlineStr">
        <is>
          <t>6²⁸, 12¹⁴</t>
        </is>
      </c>
      <c r="L2663" t="inlineStr">
        <is>
          <t>14F¹, 42D⁴</t>
        </is>
      </c>
      <c r="M2663" t="inlineStr">
        <is>
          <t>42D²¹</t>
        </is>
      </c>
      <c r="N2663" t="inlineStr">
        <is>
          <t>3B⁰, 14A⁰, 14F¹, 21B², 1A⁰, 42D⁴, 7A⁰</t>
        </is>
      </c>
      <c r="O2663" t="inlineStr">
        <is>
          <t>42D²¹</t>
        </is>
      </c>
    </row>
    <row r="2664">
      <c r="A2664">
        <f>HYPERLINK("https://mathstats.uncg.edu/sites/pauli/congruence/csg11.html#group42E11", "42E¹¹")</f>
        <v/>
      </c>
      <c r="B2664" t="n">
        <v>11</v>
      </c>
      <c r="C2664" t="inlineStr"/>
      <c r="D2664" t="inlineStr">
        <is>
          <t>192</t>
        </is>
      </c>
      <c r="E2664" t="inlineStr">
        <is>
          <t>1</t>
        </is>
      </c>
      <c r="F2664" t="inlineStr">
        <is>
          <t>32</t>
        </is>
      </c>
      <c r="G2664" t="inlineStr">
        <is>
          <t>0</t>
        </is>
      </c>
      <c r="H2664" t="inlineStr">
        <is>
          <t>0</t>
        </is>
      </c>
      <c r="I2664" t="inlineStr">
        <is>
          <t>2³, 6³, 14³, 42³</t>
        </is>
      </c>
      <c r="J2664" t="n">
        <v>12</v>
      </c>
      <c r="K2664" t="inlineStr">
        <is>
          <t>1⁴, 2², 6², 12¹</t>
        </is>
      </c>
      <c r="L2664" t="inlineStr">
        <is>
          <t>21D³, 42D³</t>
        </is>
      </c>
      <c r="M2664" t="inlineStr">
        <is>
          <t>42G²¹</t>
        </is>
      </c>
      <c r="N2664" t="inlineStr">
        <is>
          <t>3B⁰, 1A⁰, 42D³, 7E⁰, 21B¹, 21D³, 7B⁰</t>
        </is>
      </c>
      <c r="O2664" t="inlineStr">
        <is>
          <t>42G²¹</t>
        </is>
      </c>
    </row>
    <row r="2665">
      <c r="A2665">
        <f>HYPERLINK("https://mathstats.uncg.edu/sites/pauli/congruence/csg11.html#group42F11", "42F¹¹")</f>
        <v/>
      </c>
      <c r="B2665" t="n">
        <v>11</v>
      </c>
      <c r="C2665" t="inlineStr"/>
      <c r="D2665" t="inlineStr">
        <is>
          <t>192</t>
        </is>
      </c>
      <c r="E2665" t="inlineStr">
        <is>
          <t>1</t>
        </is>
      </c>
      <c r="F2665" t="inlineStr">
        <is>
          <t>32</t>
        </is>
      </c>
      <c r="G2665" t="inlineStr">
        <is>
          <t>0</t>
        </is>
      </c>
      <c r="H2665" t="inlineStr">
        <is>
          <t>0</t>
        </is>
      </c>
      <c r="I2665" t="inlineStr">
        <is>
          <t>2³, 6³, 14³, 42³</t>
        </is>
      </c>
      <c r="J2665" t="n">
        <v>12</v>
      </c>
      <c r="K2665" t="inlineStr">
        <is>
          <t>1⁴, 2², 6², 12¹</t>
        </is>
      </c>
      <c r="L2665" t="inlineStr">
        <is>
          <t>14D², 21D³, 42E³</t>
        </is>
      </c>
      <c r="M2665" t="inlineStr">
        <is>
          <t>42G²¹</t>
        </is>
      </c>
      <c r="N2665" t="inlineStr">
        <is>
          <t>3B⁰, 2A⁰, 21B¹, 21D³, 7B⁰, 42E³, 6C⁰, 14D², 14B⁰, 7E⁰, 1A⁰</t>
        </is>
      </c>
      <c r="O2665" t="inlineStr">
        <is>
          <t>42G²¹</t>
        </is>
      </c>
    </row>
    <row r="2666">
      <c r="A2666">
        <f>HYPERLINK("https://mathstats.uncg.edu/sites/pauli/congruence/csg11.html#group42G11", "42G¹¹")</f>
        <v/>
      </c>
      <c r="B2666" t="n">
        <v>11</v>
      </c>
      <c r="C2666" t="inlineStr"/>
      <c r="D2666" t="inlineStr">
        <is>
          <t>192</t>
        </is>
      </c>
      <c r="E2666" t="inlineStr">
        <is>
          <t>1</t>
        </is>
      </c>
      <c r="F2666" t="inlineStr">
        <is>
          <t>32</t>
        </is>
      </c>
      <c r="G2666" t="inlineStr">
        <is>
          <t>0</t>
        </is>
      </c>
      <c r="H2666" t="inlineStr">
        <is>
          <t>0</t>
        </is>
      </c>
      <c r="I2666" t="inlineStr">
        <is>
          <t>2³, 6³, 14³, 42³</t>
        </is>
      </c>
      <c r="J2666" t="n">
        <v>12</v>
      </c>
      <c r="K2666" t="inlineStr">
        <is>
          <t>1⁴, 2², 6², 12¹</t>
        </is>
      </c>
      <c r="L2666" t="inlineStr">
        <is>
          <t>6I⁰, 14E², 42E³, 42G⁵</t>
        </is>
      </c>
      <c r="M2666" t="inlineStr">
        <is>
          <t>42H²¹, 84I²³, 84J²³</t>
        </is>
      </c>
      <c r="N2666" t="inlineStr">
        <is>
          <t>3B⁰, 2A⁰, 6I⁰, 6C⁰, 2B⁰, 14E², 42G⁵, 1A⁰, 21B¹, 7B⁰, 42E³, 14C¹, 14B⁰, 6F⁰, 2C⁰</t>
        </is>
      </c>
      <c r="O2666" t="inlineStr">
        <is>
          <t>84J²³, 42H²¹, 84I²³</t>
        </is>
      </c>
    </row>
    <row r="2667">
      <c r="A2667">
        <f>HYPERLINK("https://mathstats.uncg.edu/sites/pauli/congruence/csg11.html#group42H11", "42H¹¹")</f>
        <v/>
      </c>
      <c r="B2667" t="n">
        <v>11</v>
      </c>
      <c r="C2667" t="inlineStr"/>
      <c r="D2667" t="inlineStr">
        <is>
          <t>192</t>
        </is>
      </c>
      <c r="E2667" t="inlineStr">
        <is>
          <t>1</t>
        </is>
      </c>
      <c r="F2667" t="inlineStr">
        <is>
          <t>64</t>
        </is>
      </c>
      <c r="G2667" t="inlineStr">
        <is>
          <t>0</t>
        </is>
      </c>
      <c r="H2667" t="inlineStr">
        <is>
          <t>6</t>
        </is>
      </c>
      <c r="I2667" t="inlineStr">
        <is>
          <t>6⁴, 42⁴</t>
        </is>
      </c>
      <c r="J2667" t="n">
        <v>8</v>
      </c>
      <c r="K2667" t="inlineStr">
        <is>
          <t>2⁸, 12⁴</t>
        </is>
      </c>
      <c r="L2667" t="inlineStr">
        <is>
          <t>6J⁰, 42B², 42E³</t>
        </is>
      </c>
      <c r="M2667" t="inlineStr">
        <is>
          <t>42I²¹</t>
        </is>
      </c>
      <c r="N2667" t="inlineStr">
        <is>
          <t>42B², 3B⁰, 2A⁰, 6A⁰, 21B¹, 7B⁰, 42E³, 6C⁰, 14B⁰, 6J⁰, 1A⁰</t>
        </is>
      </c>
      <c r="O2667" t="inlineStr">
        <is>
          <t>42I²¹</t>
        </is>
      </c>
    </row>
    <row r="2668">
      <c r="A2668">
        <f>HYPERLINK("https://mathstats.uncg.edu/sites/pauli/congruence/csg11.html#group42I11", "42I¹¹")</f>
        <v/>
      </c>
      <c r="B2668" t="n">
        <v>11</v>
      </c>
      <c r="C2668" t="inlineStr"/>
      <c r="D2668" t="inlineStr">
        <is>
          <t>192</t>
        </is>
      </c>
      <c r="E2668" t="inlineStr">
        <is>
          <t>1</t>
        </is>
      </c>
      <c r="F2668" t="inlineStr">
        <is>
          <t>96</t>
        </is>
      </c>
      <c r="G2668" t="inlineStr">
        <is>
          <t>0</t>
        </is>
      </c>
      <c r="H2668" t="inlineStr">
        <is>
          <t>0</t>
        </is>
      </c>
      <c r="I2668" t="inlineStr">
        <is>
          <t>2³, 6³, 14³, 42³</t>
        </is>
      </c>
      <c r="J2668" t="n">
        <v>12</v>
      </c>
      <c r="K2668" t="inlineStr">
        <is>
          <t>1¹², 2⁶, 6⁶, 12³</t>
        </is>
      </c>
      <c r="L2668" t="inlineStr">
        <is>
          <t>42D³, 42G⁵</t>
        </is>
      </c>
      <c r="M2668" t="inlineStr">
        <is>
          <t>42H²¹</t>
        </is>
      </c>
      <c r="N2668" t="inlineStr">
        <is>
          <t>3B⁰, 21B¹, 7B⁰, 14C¹, 1A⁰, 42D³, 2B⁰, 42G⁵, 6F⁰</t>
        </is>
      </c>
      <c r="O2668" t="inlineStr">
        <is>
          <t>42H²¹</t>
        </is>
      </c>
    </row>
    <row r="2669">
      <c r="A2669">
        <f>HYPERLINK("https://mathstats.uncg.edu/sites/pauli/congruence/csg11.html#group42J11", "42J¹¹")</f>
        <v/>
      </c>
      <c r="B2669" t="n">
        <v>11</v>
      </c>
      <c r="C2669" t="inlineStr"/>
      <c r="D2669" t="inlineStr">
        <is>
          <t>192</t>
        </is>
      </c>
      <c r="E2669" t="inlineStr">
        <is>
          <t>2</t>
        </is>
      </c>
      <c r="F2669" t="inlineStr">
        <is>
          <t>32</t>
        </is>
      </c>
      <c r="G2669" t="inlineStr">
        <is>
          <t>0</t>
        </is>
      </c>
      <c r="H2669" t="inlineStr">
        <is>
          <t>6</t>
        </is>
      </c>
      <c r="I2669" t="inlineStr">
        <is>
          <t>6⁴, 42⁴</t>
        </is>
      </c>
      <c r="J2669" t="n">
        <v>8</v>
      </c>
      <c r="K2669" t="inlineStr">
        <is>
          <t>2⁸, 12⁴</t>
        </is>
      </c>
      <c r="L2669" t="inlineStr">
        <is>
          <t>42D³, 21C⁴</t>
        </is>
      </c>
      <c r="M2669" t="inlineStr">
        <is>
          <t>42J²¹</t>
        </is>
      </c>
      <c r="N2669" t="inlineStr">
        <is>
          <t>3B⁰, 21B¹, 7B⁰, 21A¹, 42D³, 1A⁰, 21C⁴</t>
        </is>
      </c>
      <c r="O2669" t="inlineStr">
        <is>
          <t>42J²¹</t>
        </is>
      </c>
    </row>
    <row r="2670">
      <c r="A2670">
        <f>HYPERLINK("https://mathstats.uncg.edu/sites/pauli/congruence/csg11.html#group42K11", "42K¹¹")</f>
        <v/>
      </c>
      <c r="B2670" t="n">
        <v>11</v>
      </c>
      <c r="C2670" t="inlineStr"/>
      <c r="D2670" t="inlineStr">
        <is>
          <t>192</t>
        </is>
      </c>
      <c r="E2670" t="inlineStr">
        <is>
          <t>2</t>
        </is>
      </c>
      <c r="F2670" t="inlineStr">
        <is>
          <t>32</t>
        </is>
      </c>
      <c r="G2670" t="inlineStr">
        <is>
          <t>0</t>
        </is>
      </c>
      <c r="H2670" t="inlineStr">
        <is>
          <t>6</t>
        </is>
      </c>
      <c r="I2670" t="inlineStr">
        <is>
          <t>6⁴, 42⁴</t>
        </is>
      </c>
      <c r="J2670" t="n">
        <v>8</v>
      </c>
      <c r="K2670" t="inlineStr">
        <is>
          <t>2⁸, 12⁴</t>
        </is>
      </c>
      <c r="L2670" t="inlineStr">
        <is>
          <t>42C², 42E³, 21C⁴</t>
        </is>
      </c>
      <c r="M2670" t="inlineStr">
        <is>
          <t>42J²¹</t>
        </is>
      </c>
      <c r="N2670" t="inlineStr">
        <is>
          <t>2A⁰, 3B⁰, 21B¹, 7B⁰, 42E³, 21A¹, 14B⁰, 42C², 6C⁰, 1A⁰, 21C⁴</t>
        </is>
      </c>
      <c r="O2670" t="inlineStr">
        <is>
          <t>42J²¹</t>
        </is>
      </c>
    </row>
    <row r="2671">
      <c r="A2671">
        <f>HYPERLINK("https://mathstats.uncg.edu/sites/pauli/congruence/csg11.html#group42L11", "42L¹¹")</f>
        <v/>
      </c>
      <c r="B2671" t="n">
        <v>11</v>
      </c>
      <c r="C2671" t="inlineStr"/>
      <c r="D2671" t="inlineStr">
        <is>
          <t>252</t>
        </is>
      </c>
      <c r="E2671" t="inlineStr">
        <is>
          <t>1</t>
        </is>
      </c>
      <c r="F2671" t="inlineStr">
        <is>
          <t>63</t>
        </is>
      </c>
      <c r="G2671" t="inlineStr">
        <is>
          <t>32</t>
        </is>
      </c>
      <c r="H2671" t="inlineStr">
        <is>
          <t>0</t>
        </is>
      </c>
      <c r="I2671" t="inlineStr">
        <is>
          <t>42⁶</t>
        </is>
      </c>
      <c r="J2671" t="n">
        <v>6</v>
      </c>
      <c r="K2671" t="inlineStr">
        <is>
          <t>3¹, 6⁴, 12³</t>
        </is>
      </c>
      <c r="L2671" t="inlineStr">
        <is>
          <t>21D⁴, 42I⁴, 42H⁵</t>
        </is>
      </c>
      <c r="M2671" t="inlineStr"/>
      <c r="N2671" t="inlineStr">
        <is>
          <t>14E¹, 21D⁴, 42I⁴, 6B⁰, 7D⁰, 21E¹, 42H⁵, 21A⁰, 42B¹, 3A⁰, 1A⁰, 7A⁰</t>
        </is>
      </c>
      <c r="O2671" t="inlineStr"/>
    </row>
    <row r="2672">
      <c r="A2672">
        <f>HYPERLINK("https://mathstats.uncg.edu/sites/pauli/congruence/csg11.html#group45A11", "45A¹¹")</f>
        <v/>
      </c>
      <c r="B2672" t="n">
        <v>11</v>
      </c>
      <c r="C2672" t="inlineStr"/>
      <c r="D2672" t="inlineStr">
        <is>
          <t>180</t>
        </is>
      </c>
      <c r="E2672" t="inlineStr">
        <is>
          <t>1</t>
        </is>
      </c>
      <c r="F2672" t="inlineStr">
        <is>
          <t>30</t>
        </is>
      </c>
      <c r="G2672" t="inlineStr">
        <is>
          <t>12</t>
        </is>
      </c>
      <c r="H2672" t="inlineStr">
        <is>
          <t>0</t>
        </is>
      </c>
      <c r="I2672" t="inlineStr">
        <is>
          <t>45⁴</t>
        </is>
      </c>
      <c r="J2672" t="n">
        <v>4</v>
      </c>
      <c r="K2672" t="inlineStr">
        <is>
          <t>2¹, 4³, 8²</t>
        </is>
      </c>
      <c r="L2672" t="inlineStr">
        <is>
          <t>9D⁰, 15C³, 45E⁵</t>
        </is>
      </c>
      <c r="M2672" t="inlineStr">
        <is>
          <t>45B²¹, 90C²³, 90D²³</t>
        </is>
      </c>
      <c r="N2672" t="inlineStr">
        <is>
          <t>15D¹, 9D⁰, 45E⁵, 9A⁰, 5C⁰, 3C⁰, 15C³, 3A⁰, 1A⁰</t>
        </is>
      </c>
      <c r="O2672" t="inlineStr">
        <is>
          <t>90C²³, 90D²³, 45B²¹</t>
        </is>
      </c>
    </row>
    <row r="2673">
      <c r="A2673">
        <f>HYPERLINK("https://mathstats.uncg.edu/sites/pauli/congruence/csg11.html#group45B11", "45B¹¹")</f>
        <v/>
      </c>
      <c r="B2673" t="n">
        <v>11</v>
      </c>
      <c r="C2673" t="inlineStr"/>
      <c r="D2673" t="inlineStr">
        <is>
          <t>180</t>
        </is>
      </c>
      <c r="E2673" t="inlineStr">
        <is>
          <t>1</t>
        </is>
      </c>
      <c r="F2673" t="inlineStr">
        <is>
          <t>60</t>
        </is>
      </c>
      <c r="G2673" t="inlineStr">
        <is>
          <t>0</t>
        </is>
      </c>
      <c r="H2673" t="inlineStr">
        <is>
          <t>6</t>
        </is>
      </c>
      <c r="I2673" t="inlineStr">
        <is>
          <t>15³, 45³</t>
        </is>
      </c>
      <c r="J2673" t="n">
        <v>6</v>
      </c>
      <c r="K2673" t="inlineStr">
        <is>
          <t>1², 2², 4², 6¹, 8², 24¹</t>
        </is>
      </c>
      <c r="L2673" t="inlineStr">
        <is>
          <t>9J⁰, 45B³</t>
        </is>
      </c>
      <c r="M2673" t="inlineStr">
        <is>
          <t>90D²⁴</t>
        </is>
      </c>
      <c r="N2673" t="inlineStr">
        <is>
          <t>3B⁰, 9J⁰, 45B³, 5A⁰, 15B¹, 9C⁰, 1A⁰</t>
        </is>
      </c>
      <c r="O2673" t="inlineStr">
        <is>
          <t>90D²⁴</t>
        </is>
      </c>
    </row>
    <row r="2674">
      <c r="A2674">
        <f>HYPERLINK("https://mathstats.uncg.edu/sites/pauli/congruence/csg11.html#group45C11", "45C¹¹")</f>
        <v/>
      </c>
      <c r="B2674" t="n">
        <v>11</v>
      </c>
      <c r="C2674" t="inlineStr"/>
      <c r="D2674" t="inlineStr">
        <is>
          <t>180</t>
        </is>
      </c>
      <c r="E2674" t="inlineStr">
        <is>
          <t>1</t>
        </is>
      </c>
      <c r="F2674" t="inlineStr">
        <is>
          <t>60</t>
        </is>
      </c>
      <c r="G2674" t="inlineStr">
        <is>
          <t>0</t>
        </is>
      </c>
      <c r="H2674" t="inlineStr">
        <is>
          <t>6</t>
        </is>
      </c>
      <c r="I2674" t="inlineStr">
        <is>
          <t>15³, 45³</t>
        </is>
      </c>
      <c r="J2674" t="n">
        <v>6</v>
      </c>
      <c r="K2674" t="inlineStr">
        <is>
          <t>2², 4⁶, 8⁴, 12¹, 24²</t>
        </is>
      </c>
      <c r="L2674" t="inlineStr">
        <is>
          <t>45B³</t>
        </is>
      </c>
      <c r="M2674" t="inlineStr">
        <is>
          <t>90E²⁴</t>
        </is>
      </c>
      <c r="N2674" t="inlineStr">
        <is>
          <t>15B¹, 3B⁰, 5A⁰, 45B³, 9C⁰, 1A⁰</t>
        </is>
      </c>
      <c r="O2674" t="inlineStr">
        <is>
          <t>90E²⁴</t>
        </is>
      </c>
    </row>
    <row r="2675">
      <c r="A2675">
        <f>HYPERLINK("https://mathstats.uncg.edu/sites/pauli/congruence/csg11.html#group45D11", "45D¹¹")</f>
        <v/>
      </c>
      <c r="B2675" t="n">
        <v>11</v>
      </c>
      <c r="C2675" t="inlineStr"/>
      <c r="D2675" t="inlineStr">
        <is>
          <t>180</t>
        </is>
      </c>
      <c r="E2675" t="inlineStr">
        <is>
          <t>1</t>
        </is>
      </c>
      <c r="F2675" t="inlineStr">
        <is>
          <t>60</t>
        </is>
      </c>
      <c r="G2675" t="inlineStr">
        <is>
          <t>0</t>
        </is>
      </c>
      <c r="H2675" t="inlineStr">
        <is>
          <t>6</t>
        </is>
      </c>
      <c r="I2675" t="inlineStr">
        <is>
          <t>15³, 45³</t>
        </is>
      </c>
      <c r="J2675" t="n">
        <v>6</v>
      </c>
      <c r="K2675" t="inlineStr">
        <is>
          <t>2², 4⁶, 8⁴, 12¹, 24²</t>
        </is>
      </c>
      <c r="L2675" t="inlineStr">
        <is>
          <t>45B³</t>
        </is>
      </c>
      <c r="M2675" t="inlineStr">
        <is>
          <t>90F²⁴</t>
        </is>
      </c>
      <c r="N2675" t="inlineStr">
        <is>
          <t>15B¹, 3B⁰, 5A⁰, 45B³, 9C⁰, 1A⁰</t>
        </is>
      </c>
      <c r="O2675" t="inlineStr">
        <is>
          <t>90F²⁴</t>
        </is>
      </c>
    </row>
    <row r="2676">
      <c r="A2676">
        <f>HYPERLINK("https://mathstats.uncg.edu/sites/pauli/congruence/csg11.html#group45E11", "45E¹¹")</f>
        <v/>
      </c>
      <c r="B2676" t="n">
        <v>11</v>
      </c>
      <c r="C2676" t="inlineStr"/>
      <c r="D2676" t="inlineStr">
        <is>
          <t>180</t>
        </is>
      </c>
      <c r="E2676" t="inlineStr">
        <is>
          <t>1</t>
        </is>
      </c>
      <c r="F2676" t="inlineStr">
        <is>
          <t>180</t>
        </is>
      </c>
      <c r="G2676" t="inlineStr">
        <is>
          <t>4</t>
        </is>
      </c>
      <c r="H2676" t="inlineStr">
        <is>
          <t>0</t>
        </is>
      </c>
      <c r="I2676" t="inlineStr">
        <is>
          <t>15⁶, 45²</t>
        </is>
      </c>
      <c r="J2676" t="n">
        <v>8</v>
      </c>
      <c r="K2676" t="inlineStr">
        <is>
          <t>2¹, 4³, 6¹, 8², 12⁴, 24⁴</t>
        </is>
      </c>
      <c r="L2676" t="inlineStr">
        <is>
          <t>9E⁰, 15C³</t>
        </is>
      </c>
      <c r="M2676" t="inlineStr">
        <is>
          <t>45C²¹, 45A²³, 45C²³</t>
        </is>
      </c>
      <c r="N2676" t="inlineStr">
        <is>
          <t>3C⁰, 15D¹, 15C³, 9E⁰, 3A⁰, 1A⁰, 5C⁰</t>
        </is>
      </c>
      <c r="O2676" t="inlineStr">
        <is>
          <t>45C²³, 45A²³, 45C²¹</t>
        </is>
      </c>
    </row>
    <row r="2677">
      <c r="A2677">
        <f>HYPERLINK("https://mathstats.uncg.edu/sites/pauli/congruence/csg11.html#group45F11", "45F¹¹")</f>
        <v/>
      </c>
      <c r="B2677" t="n">
        <v>11</v>
      </c>
      <c r="C2677" t="inlineStr"/>
      <c r="D2677" t="inlineStr">
        <is>
          <t>216</t>
        </is>
      </c>
      <c r="E2677" t="inlineStr">
        <is>
          <t>1</t>
        </is>
      </c>
      <c r="F2677" t="inlineStr">
        <is>
          <t>36</t>
        </is>
      </c>
      <c r="G2677" t="inlineStr">
        <is>
          <t>0</t>
        </is>
      </c>
      <c r="H2677" t="inlineStr">
        <is>
          <t>0</t>
        </is>
      </c>
      <c r="I2677" t="inlineStr">
        <is>
          <t>3⁶, 9², 15⁶, 45²</t>
        </is>
      </c>
      <c r="J2677" t="n">
        <v>16</v>
      </c>
      <c r="K2677" t="inlineStr">
        <is>
          <t>1⁴, 2⁴, 4², 8²</t>
        </is>
      </c>
      <c r="L2677" t="inlineStr">
        <is>
          <t>9H⁰, 15E³, 45G⁵</t>
        </is>
      </c>
      <c r="M2677" t="inlineStr">
        <is>
          <t>45E²¹</t>
        </is>
      </c>
      <c r="N2677" t="inlineStr">
        <is>
          <t>15C¹, 3B⁰, 15B⁰, 15E³, 3D⁰, 45G⁵, 5B⁰, 3C⁰, 9H⁰, 9E⁰, 3A⁰, 1A⁰, 15E¹</t>
        </is>
      </c>
      <c r="O2677" t="inlineStr">
        <is>
          <t>45E²¹</t>
        </is>
      </c>
    </row>
    <row r="2678">
      <c r="A2678">
        <f>HYPERLINK("https://mathstats.uncg.edu/sites/pauli/congruence/csg11.html#group45G11", "45G¹¹")</f>
        <v/>
      </c>
      <c r="B2678" t="n">
        <v>11</v>
      </c>
      <c r="C2678" t="inlineStr"/>
      <c r="D2678" t="inlineStr">
        <is>
          <t>216</t>
        </is>
      </c>
      <c r="E2678" t="inlineStr">
        <is>
          <t>1</t>
        </is>
      </c>
      <c r="F2678" t="inlineStr">
        <is>
          <t>72</t>
        </is>
      </c>
      <c r="G2678" t="inlineStr">
        <is>
          <t>0</t>
        </is>
      </c>
      <c r="H2678" t="inlineStr">
        <is>
          <t>0</t>
        </is>
      </c>
      <c r="I2678" t="inlineStr">
        <is>
          <t>1³, 3², 5³, 9³, 15², 45³</t>
        </is>
      </c>
      <c r="J2678" t="n">
        <v>16</v>
      </c>
      <c r="K2678" t="inlineStr">
        <is>
          <t>1⁴, 2⁴, 4², 6², 8², 24¹</t>
        </is>
      </c>
      <c r="L2678" t="inlineStr">
        <is>
          <t>9I⁰, 45D³</t>
        </is>
      </c>
      <c r="M2678" t="inlineStr">
        <is>
          <t>45F²¹</t>
        </is>
      </c>
      <c r="N2678" t="inlineStr">
        <is>
          <t>3B⁰, 15C¹, 5B⁰, 9I⁰, 45D³, 9B⁰, 1A⁰</t>
        </is>
      </c>
      <c r="O2678" t="inlineStr">
        <is>
          <t>45F²¹</t>
        </is>
      </c>
    </row>
    <row r="2679">
      <c r="A2679">
        <f>HYPERLINK("https://mathstats.uncg.edu/sites/pauli/congruence/csg11.html#group45H11", "45H¹¹")</f>
        <v/>
      </c>
      <c r="B2679" t="n">
        <v>11</v>
      </c>
      <c r="C2679" t="inlineStr"/>
      <c r="D2679" t="inlineStr">
        <is>
          <t>216</t>
        </is>
      </c>
      <c r="E2679" t="inlineStr">
        <is>
          <t>1</t>
        </is>
      </c>
      <c r="F2679" t="inlineStr">
        <is>
          <t>108</t>
        </is>
      </c>
      <c r="G2679" t="inlineStr">
        <is>
          <t>0</t>
        </is>
      </c>
      <c r="H2679" t="inlineStr">
        <is>
          <t>0</t>
        </is>
      </c>
      <c r="I2679" t="inlineStr">
        <is>
          <t>3⁶, 9², 15⁶, 45²</t>
        </is>
      </c>
      <c r="J2679" t="n">
        <v>16</v>
      </c>
      <c r="K2679" t="inlineStr">
        <is>
          <t>1², 2², 3², 4¹, 6⁴, 8¹, 12¹, 24²</t>
        </is>
      </c>
      <c r="L2679" t="inlineStr">
        <is>
          <t>15F³, 45G⁵</t>
        </is>
      </c>
      <c r="M2679" t="inlineStr">
        <is>
          <t>45E²¹</t>
        </is>
      </c>
      <c r="N2679" t="inlineStr">
        <is>
          <t>15B⁰, 15E¹, 45G⁵, 15B², 5B⁰, 5D⁰, 3C⁰, 15F³, 9E⁰, 3A⁰, 1A⁰, 15C⁰</t>
        </is>
      </c>
      <c r="O2679" t="inlineStr">
        <is>
          <t>45E²¹</t>
        </is>
      </c>
    </row>
    <row r="2680">
      <c r="A2680">
        <f>HYPERLINK("https://mathstats.uncg.edu/sites/pauli/congruence/csg11.html#group48A11", "48A¹¹")</f>
        <v/>
      </c>
      <c r="B2680" t="n">
        <v>11</v>
      </c>
      <c r="C2680" t="inlineStr"/>
      <c r="D2680" t="inlineStr">
        <is>
          <t>144</t>
        </is>
      </c>
      <c r="E2680" t="inlineStr">
        <is>
          <t>1</t>
        </is>
      </c>
      <c r="F2680" t="inlineStr">
        <is>
          <t>3</t>
        </is>
      </c>
      <c r="G2680" t="inlineStr">
        <is>
          <t>0</t>
        </is>
      </c>
      <c r="H2680" t="inlineStr">
        <is>
          <t>0</t>
        </is>
      </c>
      <c r="I2680" t="inlineStr">
        <is>
          <t>24², 48²</t>
        </is>
      </c>
      <c r="J2680" t="n">
        <v>4</v>
      </c>
      <c r="K2680" t="inlineStr">
        <is>
          <t>1³</t>
        </is>
      </c>
      <c r="L2680" t="inlineStr">
        <is>
          <t>16A³, 48C³, 24A⁵</t>
        </is>
      </c>
      <c r="M2680" t="inlineStr">
        <is>
          <t>48F²¹, 48I²¹, 48P²¹, 48R²¹, 48AI²¹, 96F²³, 96O²³</t>
        </is>
      </c>
      <c r="N2680" t="inlineStr">
        <is>
          <t>2A⁰, 24A³, 8A¹, 12C⁰, 4C⁰, 24A⁵, 16A³, 8B⁰, 16B¹, 6C¹, 2B⁰, 8B¹, 4E⁰, 12B², 4B⁰, 1A⁰, 48C³, 6A⁰, 24A⁰, 12B¹, 6A¹, 3A⁰, 2C⁰, 6D⁰</t>
        </is>
      </c>
      <c r="O2680" t="inlineStr">
        <is>
          <t>48AI²¹, 48R²¹, 48P²¹, 96O²³, 48I²¹, 48F²¹, 96F²³</t>
        </is>
      </c>
    </row>
    <row r="2681">
      <c r="A2681">
        <f>HYPERLINK("https://mathstats.uncg.edu/sites/pauli/congruence/csg11.html#group48B11", "48B¹¹")</f>
        <v/>
      </c>
      <c r="B2681" t="n">
        <v>11</v>
      </c>
      <c r="C2681" t="inlineStr"/>
      <c r="D2681" t="inlineStr">
        <is>
          <t>144</t>
        </is>
      </c>
      <c r="E2681" t="inlineStr">
        <is>
          <t>1</t>
        </is>
      </c>
      <c r="F2681" t="inlineStr">
        <is>
          <t>3</t>
        </is>
      </c>
      <c r="G2681" t="inlineStr">
        <is>
          <t>0</t>
        </is>
      </c>
      <c r="H2681" t="inlineStr">
        <is>
          <t>0</t>
        </is>
      </c>
      <c r="I2681" t="inlineStr">
        <is>
          <t>24², 48²</t>
        </is>
      </c>
      <c r="J2681" t="n">
        <v>4</v>
      </c>
      <c r="K2681" t="inlineStr">
        <is>
          <t>1³</t>
        </is>
      </c>
      <c r="L2681" t="inlineStr">
        <is>
          <t>48A⁰, 16B³, 24A⁵, 48A⁶</t>
        </is>
      </c>
      <c r="M2681" t="inlineStr">
        <is>
          <t>48F²¹, 48J²¹, 48N²¹, 48S²¹, 48AK²¹, 96G²³, 96P²³</t>
        </is>
      </c>
      <c r="N2681" t="inlineStr">
        <is>
          <t>2A⁰, 24A³, 8A¹, 12C⁰, 4C⁰, 24A⁵, 16B³, 8B⁰, 6C¹, 48A⁰, 2B⁰, 8B¹, 4E⁰, 12B², 4B⁰, 1A⁰, 16A², 16B⁰, 6A⁰, 24A⁰, 12B¹, 6A¹, 48A⁶, 3A⁰, 2C⁰, 6D⁰</t>
        </is>
      </c>
      <c r="O2681" t="inlineStr">
        <is>
          <t>48N²¹, 96P²³, 48J²¹, 96G²³, 48AK²¹, 48F²¹, 48S²¹</t>
        </is>
      </c>
    </row>
    <row r="2682">
      <c r="A2682">
        <f>HYPERLINK("https://mathstats.uncg.edu/sites/pauli/congruence/csg11.html#group48C11", "48C¹¹")</f>
        <v/>
      </c>
      <c r="B2682" t="n">
        <v>11</v>
      </c>
      <c r="C2682" t="inlineStr"/>
      <c r="D2682" t="inlineStr">
        <is>
          <t>144</t>
        </is>
      </c>
      <c r="E2682" t="inlineStr">
        <is>
          <t>1</t>
        </is>
      </c>
      <c r="F2682" t="inlineStr">
        <is>
          <t>6</t>
        </is>
      </c>
      <c r="G2682" t="inlineStr">
        <is>
          <t>0</t>
        </is>
      </c>
      <c r="H2682" t="inlineStr">
        <is>
          <t>0</t>
        </is>
      </c>
      <c r="I2682" t="inlineStr">
        <is>
          <t>24², 48²</t>
        </is>
      </c>
      <c r="J2682" t="n">
        <v>4</v>
      </c>
      <c r="K2682" t="inlineStr">
        <is>
          <t>1², 2²</t>
        </is>
      </c>
      <c r="L2682" t="inlineStr">
        <is>
          <t>24L², 16C³, 48C³, 48A⁶</t>
        </is>
      </c>
      <c r="M2682" t="inlineStr">
        <is>
          <t>48F²¹, 48T²¹, 48U²¹, 48V²¹, 48AE²¹, 48AF²¹, 48AR²¹, 48AS²¹, 48AX²¹</t>
        </is>
      </c>
      <c r="N2682" t="inlineStr">
        <is>
          <t>12C⁰, 16C³, 8D⁰, 4C⁰, 8B⁰, 16B¹, 2B⁰, 24L², 1A⁰, 16A², 8H⁰, 48C³, 12A⁰, 24A⁰, 4A⁰, 24C¹, 12J¹, 4F⁰, 48A⁶, 3A⁰, 6D⁰</t>
        </is>
      </c>
      <c r="O2682" t="inlineStr">
        <is>
          <t>48U²¹, 48AF²¹, 48AE²¹, 48AX²¹, 48AS²¹, 48AR²¹, 48T²¹, 48F²¹, 48V²¹</t>
        </is>
      </c>
    </row>
    <row r="2683">
      <c r="A2683">
        <f>HYPERLINK("https://mathstats.uncg.edu/sites/pauli/congruence/csg11.html#group48D11", "48D¹¹")</f>
        <v/>
      </c>
      <c r="B2683" t="n">
        <v>11</v>
      </c>
      <c r="C2683" t="inlineStr"/>
      <c r="D2683" t="inlineStr">
        <is>
          <t>144</t>
        </is>
      </c>
      <c r="E2683" t="inlineStr">
        <is>
          <t>1</t>
        </is>
      </c>
      <c r="F2683" t="inlineStr">
        <is>
          <t>6</t>
        </is>
      </c>
      <c r="G2683" t="inlineStr">
        <is>
          <t>0</t>
        </is>
      </c>
      <c r="H2683" t="inlineStr">
        <is>
          <t>0</t>
        </is>
      </c>
      <c r="I2683" t="inlineStr">
        <is>
          <t>24², 48²</t>
        </is>
      </c>
      <c r="J2683" t="n">
        <v>4</v>
      </c>
      <c r="K2683" t="inlineStr">
        <is>
          <t>1⁴, 2¹</t>
        </is>
      </c>
      <c r="L2683" t="inlineStr">
        <is>
          <t>16D³, 48E³, 24A⁵, 48B⁶</t>
        </is>
      </c>
      <c r="M2683" t="inlineStr">
        <is>
          <t>48E²¹, 48I²¹, 48J²¹, 48AJ²¹, 48AM²¹, 48AN²¹, 48AP²¹, 96B²³, 96C²³, 96E²³, 96D²³, 96I²³, 96J²³, 96K²³, 96L²³</t>
        </is>
      </c>
      <c r="N2683" t="inlineStr">
        <is>
          <t>2A⁰, 24A³, 16D³, 8A¹, 12C⁰, 4C⁰, 24A⁵, 8B⁰, 6C¹, 12B², 2B⁰, 8B¹, 4E⁰, 4B⁰, 1A⁰, 16D¹, 16B², 6A⁰, 48B⁶, 48E³, 24A⁰, 12B¹, 6A¹, 3A⁰, 2C⁰, 6D⁰</t>
        </is>
      </c>
      <c r="O2683" t="inlineStr">
        <is>
          <t>96I²³, 96J²³, 48I²¹, 48AJ²¹, 48E²¹, 48AM²¹, 48AN²¹, 96E²³, 96C²³, 48J²¹, 96D²³, 96B²³, 96K²³, 48AP²¹, 96L²³</t>
        </is>
      </c>
    </row>
    <row r="2684">
      <c r="A2684">
        <f>HYPERLINK("https://mathstats.uncg.edu/sites/pauli/congruence/csg11.html#group48E11", "48E¹¹")</f>
        <v/>
      </c>
      <c r="B2684" t="n">
        <v>11</v>
      </c>
      <c r="C2684" t="inlineStr"/>
      <c r="D2684" t="inlineStr">
        <is>
          <t>144</t>
        </is>
      </c>
      <c r="E2684" t="inlineStr">
        <is>
          <t>1</t>
        </is>
      </c>
      <c r="F2684" t="inlineStr">
        <is>
          <t>9</t>
        </is>
      </c>
      <c r="G2684" t="inlineStr">
        <is>
          <t>0</t>
        </is>
      </c>
      <c r="H2684" t="inlineStr">
        <is>
          <t>0</t>
        </is>
      </c>
      <c r="I2684" t="inlineStr">
        <is>
          <t>24², 48²</t>
        </is>
      </c>
      <c r="J2684" t="n">
        <v>4</v>
      </c>
      <c r="K2684" t="inlineStr">
        <is>
          <t>1³, 2³</t>
        </is>
      </c>
      <c r="L2684" t="inlineStr">
        <is>
          <t>24I³, 48C⁴</t>
        </is>
      </c>
      <c r="M2684" t="inlineStr">
        <is>
          <t>48C²¹, 48M²¹, 48O²¹, 48AC²¹, 48AD²¹, 48BD²¹, 48BC²¹</t>
        </is>
      </c>
      <c r="N2684" t="inlineStr">
        <is>
          <t>12C⁰, 12C¹, 24A⁰, 12L¹, 4C⁰, 24I³, 8B⁰, 6G⁰, 3C⁰, 2B⁰, 24C², 3A⁰, 1A⁰, 6D⁰, 48C⁴</t>
        </is>
      </c>
      <c r="O2684" t="inlineStr">
        <is>
          <t>48M²¹, 48AC²¹, 48AD²¹, 48C²¹, 48O²¹, 48BC²¹, 48BD²¹</t>
        </is>
      </c>
    </row>
    <row r="2685">
      <c r="A2685">
        <f>HYPERLINK("https://mathstats.uncg.edu/sites/pauli/congruence/csg11.html#group48F11", "48F¹¹")</f>
        <v/>
      </c>
      <c r="B2685" t="n">
        <v>11</v>
      </c>
      <c r="C2685" t="inlineStr"/>
      <c r="D2685" t="inlineStr">
        <is>
          <t>144</t>
        </is>
      </c>
      <c r="E2685" t="inlineStr">
        <is>
          <t>1</t>
        </is>
      </c>
      <c r="F2685" t="inlineStr">
        <is>
          <t>9</t>
        </is>
      </c>
      <c r="G2685" t="inlineStr">
        <is>
          <t>0</t>
        </is>
      </c>
      <c r="H2685" t="inlineStr">
        <is>
          <t>0</t>
        </is>
      </c>
      <c r="I2685" t="inlineStr">
        <is>
          <t>24², 48²</t>
        </is>
      </c>
      <c r="J2685" t="n">
        <v>4</v>
      </c>
      <c r="K2685" t="inlineStr">
        <is>
          <t>1³, 2³</t>
        </is>
      </c>
      <c r="L2685" t="inlineStr">
        <is>
          <t>48F³, 24A⁵</t>
        </is>
      </c>
      <c r="M2685" t="inlineStr">
        <is>
          <t>48K²¹, 48N²¹, 48P²¹, 48Q²¹, 48AH²¹, 48AJ²¹, 48BQ²¹, 48BS²¹</t>
        </is>
      </c>
      <c r="N2685" t="inlineStr">
        <is>
          <t>2A⁰, 24A³, 12C⁰, 8A¹, 6C¹, 24A⁵, 4C⁰, 12B², 8B⁰, 2B⁰, 8B¹, 4E⁰, 4B⁰, 1A⁰, 6A⁰, 24A⁰, 12B¹, 6A¹, 48F³, 3A⁰, 2C⁰, 6D⁰</t>
        </is>
      </c>
      <c r="O2685" t="inlineStr">
        <is>
          <t>48AH²¹, 48N²¹, 48P²¹, 48AJ²¹, 48K²¹, 48Q²¹, 48BQ²¹, 48BS²¹</t>
        </is>
      </c>
    </row>
    <row r="2686">
      <c r="A2686">
        <f>HYPERLINK("https://mathstats.uncg.edu/sites/pauli/congruence/csg11.html#group48G11", "48G¹¹")</f>
        <v/>
      </c>
      <c r="B2686" t="n">
        <v>11</v>
      </c>
      <c r="C2686" t="inlineStr"/>
      <c r="D2686" t="inlineStr">
        <is>
          <t>144</t>
        </is>
      </c>
      <c r="E2686" t="inlineStr">
        <is>
          <t>1</t>
        </is>
      </c>
      <c r="F2686" t="inlineStr">
        <is>
          <t>9</t>
        </is>
      </c>
      <c r="G2686" t="inlineStr">
        <is>
          <t>0</t>
        </is>
      </c>
      <c r="H2686" t="inlineStr">
        <is>
          <t>0</t>
        </is>
      </c>
      <c r="I2686" t="inlineStr">
        <is>
          <t>24², 48²</t>
        </is>
      </c>
      <c r="J2686" t="n">
        <v>4</v>
      </c>
      <c r="K2686" t="inlineStr">
        <is>
          <t>1³, 2³</t>
        </is>
      </c>
      <c r="L2686" t="inlineStr">
        <is>
          <t>24H¹, 48C⁴, 48A⁶</t>
        </is>
      </c>
      <c r="M2686" t="inlineStr">
        <is>
          <t>48M²¹, 48S²¹, 48AA²¹, 48AE²¹, 48AW²¹, 48BF²¹</t>
        </is>
      </c>
      <c r="N2686" t="inlineStr">
        <is>
          <t>6B⁰, 12C⁰, 6H⁰, 4C⁰, 24D¹, 8B⁰, 2B⁰, 12H⁰, 1A⁰, 48C⁴, 16A², 24A⁰, 12D⁰, 48A⁶, 3A⁰, 24H¹, 6D⁰</t>
        </is>
      </c>
      <c r="O2686" t="inlineStr">
        <is>
          <t>48M²¹, 48AA²¹, 48AW²¹, 48AE²¹, 48S²¹, 48BF²¹</t>
        </is>
      </c>
    </row>
    <row r="2687">
      <c r="A2687">
        <f>HYPERLINK("https://mathstats.uncg.edu/sites/pauli/congruence/csg11.html#group48H11", "48H¹¹")</f>
        <v/>
      </c>
      <c r="B2687" t="n">
        <v>11</v>
      </c>
      <c r="C2687" t="inlineStr"/>
      <c r="D2687" t="inlineStr">
        <is>
          <t>144</t>
        </is>
      </c>
      <c r="E2687" t="inlineStr">
        <is>
          <t>1</t>
        </is>
      </c>
      <c r="F2687" t="inlineStr">
        <is>
          <t>9</t>
        </is>
      </c>
      <c r="G2687" t="inlineStr">
        <is>
          <t>0</t>
        </is>
      </c>
      <c r="H2687" t="inlineStr">
        <is>
          <t>0</t>
        </is>
      </c>
      <c r="I2687" t="inlineStr">
        <is>
          <t>24², 48²</t>
        </is>
      </c>
      <c r="J2687" t="n">
        <v>4</v>
      </c>
      <c r="K2687" t="inlineStr">
        <is>
          <t>1³, 2³</t>
        </is>
      </c>
      <c r="L2687" t="inlineStr">
        <is>
          <t>48A², 24I³, 48A⁶</t>
        </is>
      </c>
      <c r="M2687" t="inlineStr">
        <is>
          <t>48D²¹, 48M²¹, 48S²¹, 48AB²¹, 48AF²¹, 48BB²¹, 48BG²¹</t>
        </is>
      </c>
      <c r="N2687" t="inlineStr">
        <is>
          <t>12C⁰, 4C⁰, 24I³, 8B⁰, 6G⁰, 2B⁰, 24C², 1A⁰, 12L¹, 16A², 12C¹, 24A⁰, 48A², 3C⁰, 48A⁶, 3A⁰, 6D⁰</t>
        </is>
      </c>
      <c r="O2687" t="inlineStr">
        <is>
          <t>48M²¹, 48AF²¹, 48BG²¹, 48AB²¹, 48S²¹, 48BB²¹, 48D²¹</t>
        </is>
      </c>
    </row>
    <row r="2688">
      <c r="A2688">
        <f>HYPERLINK("https://mathstats.uncg.edu/sites/pauli/congruence/csg11.html#group48I11", "48I¹¹")</f>
        <v/>
      </c>
      <c r="B2688" t="n">
        <v>11</v>
      </c>
      <c r="C2688" t="inlineStr"/>
      <c r="D2688" t="inlineStr">
        <is>
          <t>144</t>
        </is>
      </c>
      <c r="E2688" t="inlineStr">
        <is>
          <t>1</t>
        </is>
      </c>
      <c r="F2688" t="inlineStr">
        <is>
          <t>9</t>
        </is>
      </c>
      <c r="G2688" t="inlineStr">
        <is>
          <t>0</t>
        </is>
      </c>
      <c r="H2688" t="inlineStr">
        <is>
          <t>0</t>
        </is>
      </c>
      <c r="I2688" t="inlineStr">
        <is>
          <t>24², 48²</t>
        </is>
      </c>
      <c r="J2688" t="n">
        <v>4</v>
      </c>
      <c r="K2688" t="inlineStr">
        <is>
          <t>1³, 2³</t>
        </is>
      </c>
      <c r="L2688" t="inlineStr">
        <is>
          <t>48A², 48C⁴, 24A⁵</t>
        </is>
      </c>
      <c r="M2688" t="inlineStr">
        <is>
          <t>48O²¹, 48Q²¹, 48R²¹, 48S²¹, 48AL²¹, 48AM²¹, 48BQ²¹, 48BR²¹</t>
        </is>
      </c>
      <c r="N2688" t="inlineStr">
        <is>
          <t>2A⁰, 24A³, 12C⁰, 8A¹, 4C⁰, 24A⁵, 8B⁰, 6C¹, 12B², 2B⁰, 8B¹, 4E⁰, 4B⁰, 1A⁰, 48C⁴, 6A⁰, 24A⁰, 48A², 12B¹, 6A¹, 3A⁰, 2C⁰, 6D⁰</t>
        </is>
      </c>
      <c r="O2688" t="inlineStr">
        <is>
          <t>48BQ²¹, 48O²¹, 48AM²¹, 48Q²¹, 48S²¹, 48R²¹, 48BR²¹, 48AL²¹</t>
        </is>
      </c>
    </row>
    <row r="2689">
      <c r="A2689">
        <f>HYPERLINK("https://mathstats.uncg.edu/sites/pauli/congruence/csg11.html#group48J11", "48J¹¹")</f>
        <v/>
      </c>
      <c r="B2689" t="n">
        <v>11</v>
      </c>
      <c r="C2689" t="inlineStr"/>
      <c r="D2689" t="inlineStr">
        <is>
          <t>144</t>
        </is>
      </c>
      <c r="E2689" t="inlineStr">
        <is>
          <t>1</t>
        </is>
      </c>
      <c r="F2689" t="inlineStr">
        <is>
          <t>12</t>
        </is>
      </c>
      <c r="G2689" t="inlineStr">
        <is>
          <t>0</t>
        </is>
      </c>
      <c r="H2689" t="inlineStr">
        <is>
          <t>0</t>
        </is>
      </c>
      <c r="I2689" t="inlineStr">
        <is>
          <t>24², 48²</t>
        </is>
      </c>
      <c r="J2689" t="n">
        <v>4</v>
      </c>
      <c r="K2689" t="inlineStr">
        <is>
          <t>2⁶</t>
        </is>
      </c>
      <c r="L2689" t="inlineStr">
        <is>
          <t>16E³, 24B⁵, 48B⁶</t>
        </is>
      </c>
      <c r="M2689" t="inlineStr">
        <is>
          <t>48E²¹, 48AQ²¹, 48AZ²¹, 48AY²¹, 48BN²¹, 96AC²³, 96AD²³</t>
        </is>
      </c>
      <c r="N2689" t="inlineStr">
        <is>
          <t>24A³, 8A¹, 12C⁰, 8D⁰, 4C⁰, 2B⁰, 1A⁰, 12A⁰, 16B², 8C¹, 48B⁶, 4A⁰, 24C¹, 12J¹, 4F⁰, 3A⁰, 6D⁰, 24B⁵, 16E³</t>
        </is>
      </c>
      <c r="O2689" t="inlineStr">
        <is>
          <t>96AC²³, 48AQ²¹, 48AZ²¹, 96AD²³, 48AY²¹, 48BN²¹, 48E²¹</t>
        </is>
      </c>
    </row>
    <row r="2690">
      <c r="A2690">
        <f>HYPERLINK("https://mathstats.uncg.edu/sites/pauli/congruence/csg11.html#group48K11", "48K¹¹")</f>
        <v/>
      </c>
      <c r="B2690" t="n">
        <v>11</v>
      </c>
      <c r="C2690" t="inlineStr"/>
      <c r="D2690" t="inlineStr">
        <is>
          <t>144</t>
        </is>
      </c>
      <c r="E2690" t="inlineStr">
        <is>
          <t>1</t>
        </is>
      </c>
      <c r="F2690" t="inlineStr">
        <is>
          <t>12</t>
        </is>
      </c>
      <c r="G2690" t="inlineStr">
        <is>
          <t>0</t>
        </is>
      </c>
      <c r="H2690" t="inlineStr">
        <is>
          <t>0</t>
        </is>
      </c>
      <c r="I2690" t="inlineStr">
        <is>
          <t>24², 48²</t>
        </is>
      </c>
      <c r="J2690" t="n">
        <v>4</v>
      </c>
      <c r="K2690" t="inlineStr">
        <is>
          <t>1⁴, 2², 4¹</t>
        </is>
      </c>
      <c r="L2690" t="inlineStr">
        <is>
          <t>24M², 16F³, 48E³, 48A⁶</t>
        </is>
      </c>
      <c r="M2690" t="inlineStr">
        <is>
          <t>48J²¹, 48V²¹, 48BF²¹, 48BG²¹, 48BU²¹, 96M²³, 96N²³, 96U²³, 96V²³</t>
        </is>
      </c>
      <c r="N2690" t="inlineStr">
        <is>
          <t>16D¹, 12C⁰, 48E³, 24A⁰, 24M², 16F³, 4C⁰, 8B⁰, 8L⁰, 2B⁰, 48A⁶, 3A⁰, 1A⁰, 6D⁰, 16A²</t>
        </is>
      </c>
      <c r="O2690" t="inlineStr">
        <is>
          <t>48BU²¹, 96N²³, 48BG²¹, 48BF²¹, 96M²³, 96U²³, 48J²¹, 96V²³, 48V²¹</t>
        </is>
      </c>
    </row>
    <row r="2691">
      <c r="A2691">
        <f>HYPERLINK("https://mathstats.uncg.edu/sites/pauli/congruence/csg11.html#group48L11", "48L¹¹")</f>
        <v/>
      </c>
      <c r="B2691" t="n">
        <v>11</v>
      </c>
      <c r="C2691" t="inlineStr"/>
      <c r="D2691" t="inlineStr">
        <is>
          <t>144</t>
        </is>
      </c>
      <c r="E2691" t="inlineStr">
        <is>
          <t>1</t>
        </is>
      </c>
      <c r="F2691" t="inlineStr">
        <is>
          <t>18</t>
        </is>
      </c>
      <c r="G2691" t="inlineStr">
        <is>
          <t>0</t>
        </is>
      </c>
      <c r="H2691" t="inlineStr">
        <is>
          <t>0</t>
        </is>
      </c>
      <c r="I2691" t="inlineStr">
        <is>
          <t>24², 48²</t>
        </is>
      </c>
      <c r="J2691" t="n">
        <v>4</v>
      </c>
      <c r="K2691" t="inlineStr">
        <is>
          <t>1², 2⁴, 4²</t>
        </is>
      </c>
      <c r="L2691" t="inlineStr">
        <is>
          <t>24P², 48F³, 48A⁶</t>
        </is>
      </c>
      <c r="M2691" t="inlineStr">
        <is>
          <t>48N²¹, 48AA²¹, 48AB²¹, 48AE²¹, 48AF²¹, 48BH²¹, 48BI²¹, 48BU²¹</t>
        </is>
      </c>
      <c r="N2691" t="inlineStr">
        <is>
          <t>24E¹, 12C⁰, 24A⁰, 4C⁰, 8B⁰, 24P², 48F³, 12M¹, 2B⁰, 48A⁶, 3A⁰, 1A⁰, 6D⁰, 16A²</t>
        </is>
      </c>
      <c r="O2691" t="inlineStr">
        <is>
          <t>48AA²¹, 48AF²¹, 48N²¹, 48AE²¹, 48BI²¹, 48BU²¹, 48BH²¹, 48AB²¹</t>
        </is>
      </c>
    </row>
    <row r="2692">
      <c r="A2692">
        <f>HYPERLINK("https://mathstats.uncg.edu/sites/pauli/congruence/csg11.html#group48M11", "48M¹¹")</f>
        <v/>
      </c>
      <c r="B2692" t="n">
        <v>11</v>
      </c>
      <c r="C2692" t="inlineStr"/>
      <c r="D2692" t="inlineStr">
        <is>
          <t>144</t>
        </is>
      </c>
      <c r="E2692" t="inlineStr">
        <is>
          <t>1</t>
        </is>
      </c>
      <c r="F2692" t="inlineStr">
        <is>
          <t>18</t>
        </is>
      </c>
      <c r="G2692" t="inlineStr">
        <is>
          <t>0</t>
        </is>
      </c>
      <c r="H2692" t="inlineStr">
        <is>
          <t>0</t>
        </is>
      </c>
      <c r="I2692" t="inlineStr">
        <is>
          <t>24², 48²</t>
        </is>
      </c>
      <c r="J2692" t="n">
        <v>4</v>
      </c>
      <c r="K2692" t="inlineStr">
        <is>
          <t>1⁴, 2⁵, 4¹</t>
        </is>
      </c>
      <c r="L2692" t="inlineStr">
        <is>
          <t>48H³, 24A⁵, 48C⁶</t>
        </is>
      </c>
      <c r="M2692" t="inlineStr">
        <is>
          <t>48L²¹, 48AG²¹, 48AH²¹, 48AI²¹, 48AK²¹, 48AL²¹, 48AN²¹, 48AO²¹, 48AP²¹, 48BR²¹, 48BS²¹</t>
        </is>
      </c>
      <c r="N2692" t="inlineStr">
        <is>
          <t>2A⁰, 24A³, 12C⁰, 4C⁰, 24A⁵, 6C¹, 12B², 2B⁰, 4E⁰, 4B⁰, 1A⁰, 48H³, 48C⁶, 24A⁰, 12B¹, 6A¹, 3A⁰, 8A¹, 8B⁰, 8B¹, 6A⁰, 2C⁰, 6D⁰</t>
        </is>
      </c>
      <c r="O2692" t="inlineStr">
        <is>
          <t>48AO²¹, 48AH²¹, 48BR²¹, 48AK²¹, 48AI²¹, 48AN²¹, 48AP²¹, 48L²¹, 48AG²¹, 48BS²¹, 48AL²¹</t>
        </is>
      </c>
    </row>
    <row r="2693">
      <c r="A2693">
        <f>HYPERLINK("https://mathstats.uncg.edu/sites/pauli/congruence/csg11.html#group48N11", "48N¹¹")</f>
        <v/>
      </c>
      <c r="B2693" t="n">
        <v>11</v>
      </c>
      <c r="C2693" t="inlineStr"/>
      <c r="D2693" t="inlineStr">
        <is>
          <t>144</t>
        </is>
      </c>
      <c r="E2693" t="inlineStr">
        <is>
          <t>1</t>
        </is>
      </c>
      <c r="F2693" t="inlineStr">
        <is>
          <t>36</t>
        </is>
      </c>
      <c r="G2693" t="inlineStr">
        <is>
          <t>0</t>
        </is>
      </c>
      <c r="H2693" t="inlineStr">
        <is>
          <t>0</t>
        </is>
      </c>
      <c r="I2693" t="inlineStr">
        <is>
          <t>24², 48²</t>
        </is>
      </c>
      <c r="J2693" t="n">
        <v>4</v>
      </c>
      <c r="K2693" t="inlineStr">
        <is>
          <t>2⁸, 4³, 8¹</t>
        </is>
      </c>
      <c r="L2693" t="inlineStr">
        <is>
          <t>24D⁵, 48C⁶</t>
        </is>
      </c>
      <c r="M2693" t="inlineStr">
        <is>
          <t>48AO²¹, 48AT²¹, 48BE²¹, 48BJ²¹, 48BK²¹, 96AA²³, 96AB²³</t>
        </is>
      </c>
      <c r="N2693" t="inlineStr">
        <is>
          <t>24A³, 6B⁰, 8A¹, 12C⁰, 4C⁰, 2B⁰, 24C², 12H⁰, 1A⁰, 24D⁵, 48C⁶, 12D⁰, 6H⁰, 3A⁰, 6D⁰</t>
        </is>
      </c>
      <c r="O2693" t="inlineStr">
        <is>
          <t>48AO²¹, 96AA²³, 48BK²¹, 96AB²³, 48BJ²¹, 48AT²¹, 48BE²¹</t>
        </is>
      </c>
    </row>
    <row r="2694">
      <c r="A2694">
        <f>HYPERLINK("https://mathstats.uncg.edu/sites/pauli/congruence/csg11.html#group48O11", "48O¹¹")</f>
        <v/>
      </c>
      <c r="B2694" t="n">
        <v>11</v>
      </c>
      <c r="C2694" t="inlineStr"/>
      <c r="D2694" t="inlineStr">
        <is>
          <t>144</t>
        </is>
      </c>
      <c r="E2694" t="inlineStr">
        <is>
          <t>1</t>
        </is>
      </c>
      <c r="F2694" t="inlineStr">
        <is>
          <t>36</t>
        </is>
      </c>
      <c r="G2694" t="inlineStr">
        <is>
          <t>0</t>
        </is>
      </c>
      <c r="H2694" t="inlineStr">
        <is>
          <t>0</t>
        </is>
      </c>
      <c r="I2694" t="inlineStr">
        <is>
          <t>24², 48²</t>
        </is>
      </c>
      <c r="J2694" t="n">
        <v>4</v>
      </c>
      <c r="K2694" t="inlineStr">
        <is>
          <t>2⁶, 4⁶</t>
        </is>
      </c>
      <c r="L2694" t="inlineStr">
        <is>
          <t>24B⁵, 48C⁶</t>
        </is>
      </c>
      <c r="M2694" t="inlineStr">
        <is>
          <t>48L²¹, 48AT²¹, 48AZ²¹, 48BA²¹, 48AY²¹, 48BL²¹, 48BM²¹, 48BV²¹</t>
        </is>
      </c>
      <c r="N2694" t="inlineStr">
        <is>
          <t>24A³, 8A¹, 12C⁰, 8D⁰, 4C⁰, 2B⁰, 1A⁰, 12A⁰, 8C¹, 48C⁶, 4A⁰, 24C¹, 12J¹, 4F⁰, 3A⁰, 6D⁰, 24B⁵</t>
        </is>
      </c>
      <c r="O2694" t="inlineStr">
        <is>
          <t>48AZ²¹, 48AY²¹, 48BA²¹, 48L²¹, 48BL²¹, 48BV²¹, 48AT²¹, 48BM²¹</t>
        </is>
      </c>
    </row>
    <row r="2695">
      <c r="A2695">
        <f>HYPERLINK("https://mathstats.uncg.edu/sites/pauli/congruence/csg11.html#group48P11", "48P¹¹")</f>
        <v/>
      </c>
      <c r="B2695" t="n">
        <v>11</v>
      </c>
      <c r="C2695" t="inlineStr"/>
      <c r="D2695" t="inlineStr">
        <is>
          <t>144</t>
        </is>
      </c>
      <c r="E2695" t="inlineStr">
        <is>
          <t>1</t>
        </is>
      </c>
      <c r="F2695" t="inlineStr">
        <is>
          <t>36</t>
        </is>
      </c>
      <c r="G2695" t="inlineStr">
        <is>
          <t>0</t>
        </is>
      </c>
      <c r="H2695" t="inlineStr">
        <is>
          <t>0</t>
        </is>
      </c>
      <c r="I2695" t="inlineStr">
        <is>
          <t>24², 48²</t>
        </is>
      </c>
      <c r="J2695" t="n">
        <v>4</v>
      </c>
      <c r="K2695" t="inlineStr">
        <is>
          <t>1⁴, 2⁶, 4³, 8¹</t>
        </is>
      </c>
      <c r="L2695" t="inlineStr">
        <is>
          <t>24E⁵, 48C⁶</t>
        </is>
      </c>
      <c r="M2695" t="inlineStr">
        <is>
          <t>48X²¹, 48AO²¹, 48BA²¹, 48BE²¹, 48BT²¹</t>
        </is>
      </c>
      <c r="N2695" t="inlineStr">
        <is>
          <t>24A³, 12C⁰, 12C¹, 8A¹, 48C⁶, 12L¹, 4C⁰, 24D¹, 6G⁰, 3C⁰, 2B⁰, 3A⁰, 24E⁵, 1A⁰, 6D⁰</t>
        </is>
      </c>
      <c r="O2695" t="inlineStr">
        <is>
          <t>48AO²¹, 48X²¹, 48BT²¹, 48BE²¹, 48BA²¹</t>
        </is>
      </c>
    </row>
    <row r="2696">
      <c r="A2696">
        <f>HYPERLINK("https://mathstats.uncg.edu/sites/pauli/congruence/csg11.html#group48Q11", "48Q¹¹")</f>
        <v/>
      </c>
      <c r="B2696" t="n">
        <v>11</v>
      </c>
      <c r="C2696" t="inlineStr"/>
      <c r="D2696" t="inlineStr">
        <is>
          <t>144</t>
        </is>
      </c>
      <c r="E2696" t="inlineStr">
        <is>
          <t>1</t>
        </is>
      </c>
      <c r="F2696" t="inlineStr">
        <is>
          <t>36</t>
        </is>
      </c>
      <c r="G2696" t="inlineStr">
        <is>
          <t>0</t>
        </is>
      </c>
      <c r="H2696" t="inlineStr">
        <is>
          <t>0</t>
        </is>
      </c>
      <c r="I2696" t="inlineStr">
        <is>
          <t>24², 48²</t>
        </is>
      </c>
      <c r="J2696" t="n">
        <v>4</v>
      </c>
      <c r="K2696" t="inlineStr">
        <is>
          <t>1⁴, 2⁶, 4³, 8¹</t>
        </is>
      </c>
      <c r="L2696" t="inlineStr">
        <is>
          <t>24Q², 48H³, 48A⁶</t>
        </is>
      </c>
      <c r="M2696" t="inlineStr">
        <is>
          <t>48AK²¹, 48AW²¹, 48AX²¹, 48BB²¹, 48BF²¹, 48BG²¹, 48BH²¹, 48BI²¹, 48BU²¹</t>
        </is>
      </c>
      <c r="N2696" t="inlineStr">
        <is>
          <t>12C⁰, 24A⁰, 4C⁰, 8B⁰, 24Q², 2B⁰, 48A⁶, 3A⁰, 1A⁰, 48H³, 6D⁰, 16A²</t>
        </is>
      </c>
      <c r="O2696" t="inlineStr">
        <is>
          <t>48AW²¹, 48BU²¹, 48BG²¹, 48BI²¹, 48AK²¹, 48AX²¹, 48BB²¹, 48BF²¹, 48BH²¹</t>
        </is>
      </c>
    </row>
    <row r="2697">
      <c r="A2697">
        <f>HYPERLINK("https://mathstats.uncg.edu/sites/pauli/congruence/csg11.html#group48R11", "48R¹¹")</f>
        <v/>
      </c>
      <c r="B2697" t="n">
        <v>11</v>
      </c>
      <c r="C2697" t="inlineStr"/>
      <c r="D2697" t="inlineStr">
        <is>
          <t>144</t>
        </is>
      </c>
      <c r="E2697" t="inlineStr">
        <is>
          <t>1</t>
        </is>
      </c>
      <c r="F2697" t="inlineStr">
        <is>
          <t>36</t>
        </is>
      </c>
      <c r="G2697" t="inlineStr">
        <is>
          <t>0</t>
        </is>
      </c>
      <c r="H2697" t="inlineStr">
        <is>
          <t>0</t>
        </is>
      </c>
      <c r="I2697" t="inlineStr">
        <is>
          <t>24², 48²</t>
        </is>
      </c>
      <c r="J2697" t="n">
        <v>4</v>
      </c>
      <c r="K2697" t="inlineStr">
        <is>
          <t>1⁴, 2⁶, 4³, 8¹</t>
        </is>
      </c>
      <c r="L2697" t="inlineStr">
        <is>
          <t>24D⁵, 48B⁶, 48C⁶</t>
        </is>
      </c>
      <c r="M2697" t="inlineStr">
        <is>
          <t>48AP²¹, 48AY²¹, 48BE²¹, 48BJ²¹, 48BK²¹, 96Q²³, 96R²³, 96X²³, 96W²³</t>
        </is>
      </c>
      <c r="N2697" t="inlineStr">
        <is>
          <t>24A³, 6B⁰, 8A¹, 12C⁰, 4C⁰, 2B⁰, 24C², 12H⁰, 1A⁰, 24D⁵, 16B², 48B⁶, 48C⁶, 12D⁰, 6H⁰, 3A⁰, 6D⁰</t>
        </is>
      </c>
      <c r="O2697" t="inlineStr">
        <is>
          <t>96X²³, 96W²³, 48AY²¹, 48BE²¹, 96Q²³, 96R²³, 48BK²¹, 48AP²¹, 48BJ²¹</t>
        </is>
      </c>
    </row>
    <row r="2698">
      <c r="A2698">
        <f>HYPERLINK("https://mathstats.uncg.edu/sites/pauli/congruence/csg11.html#group48S11", "48S¹¹")</f>
        <v/>
      </c>
      <c r="B2698" t="n">
        <v>11</v>
      </c>
      <c r="C2698" t="inlineStr"/>
      <c r="D2698" t="inlineStr">
        <is>
          <t>144</t>
        </is>
      </c>
      <c r="E2698" t="inlineStr">
        <is>
          <t>1</t>
        </is>
      </c>
      <c r="F2698" t="inlineStr">
        <is>
          <t>36</t>
        </is>
      </c>
      <c r="G2698" t="inlineStr">
        <is>
          <t>0</t>
        </is>
      </c>
      <c r="H2698" t="inlineStr">
        <is>
          <t>0</t>
        </is>
      </c>
      <c r="I2698" t="inlineStr">
        <is>
          <t>24², 48²</t>
        </is>
      </c>
      <c r="J2698" t="n">
        <v>4</v>
      </c>
      <c r="K2698" t="inlineStr">
        <is>
          <t>1⁴, 2⁶, 4³, 8¹</t>
        </is>
      </c>
      <c r="L2698" t="inlineStr">
        <is>
          <t>24E⁵, 48B⁶, 48C⁶</t>
        </is>
      </c>
      <c r="M2698" t="inlineStr">
        <is>
          <t>48X²¹, 48AP²¹, 48AZ²¹, 48BE²¹, 48BT²¹, 96S²³, 96T²³, 96Z²³, 96Y²³</t>
        </is>
      </c>
      <c r="N2698" t="inlineStr">
        <is>
          <t>24A³, 8A¹, 12C⁰, 4C⁰, 24D¹, 6G⁰, 2B⁰, 24E⁵, 1A⁰, 12L¹, 16B², 12C¹, 48B⁶, 48C⁶, 3C⁰, 3A⁰, 6D⁰</t>
        </is>
      </c>
      <c r="O2698" t="inlineStr">
        <is>
          <t>48AZ²¹, 96Z²³, 48BE²¹, 96T²³, 96S²³, 48X²¹, 48BT²¹, 48AP²¹, 96Y²³</t>
        </is>
      </c>
    </row>
    <row r="2699">
      <c r="A2699">
        <f>HYPERLINK("https://mathstats.uncg.edu/sites/pauli/congruence/csg11.html#group48T11", "48T¹¹")</f>
        <v/>
      </c>
      <c r="B2699" t="n">
        <v>11</v>
      </c>
      <c r="C2699" t="inlineStr"/>
      <c r="D2699" t="inlineStr">
        <is>
          <t>144</t>
        </is>
      </c>
      <c r="E2699" t="inlineStr">
        <is>
          <t>1</t>
        </is>
      </c>
      <c r="F2699" t="inlineStr">
        <is>
          <t>36</t>
        </is>
      </c>
      <c r="G2699" t="inlineStr">
        <is>
          <t>0</t>
        </is>
      </c>
      <c r="H2699" t="inlineStr">
        <is>
          <t>0</t>
        </is>
      </c>
      <c r="I2699" t="inlineStr">
        <is>
          <t>24², 48²</t>
        </is>
      </c>
      <c r="J2699" t="n">
        <v>4</v>
      </c>
      <c r="K2699" t="inlineStr">
        <is>
          <t>4¹⁴, 8²</t>
        </is>
      </c>
      <c r="L2699" t="inlineStr">
        <is>
          <t>24G⁵, 48C⁶</t>
        </is>
      </c>
      <c r="M2699" t="inlineStr">
        <is>
          <t>48AG²¹, 48AT²¹, 48BA²¹, 48BJ²¹, 48BT²¹</t>
        </is>
      </c>
      <c r="N2699" t="inlineStr">
        <is>
          <t>24G⁵, 24E¹, 24A³, 12C⁰, 8A¹, 48C⁶, 4C⁰, 12M¹, 2B⁰, 3A⁰, 1A⁰, 6D⁰</t>
        </is>
      </c>
      <c r="O2699" t="inlineStr">
        <is>
          <t>48AT²¹, 48BT²¹, 48AG²¹, 48BJ²¹, 48BA²¹</t>
        </is>
      </c>
    </row>
    <row r="2700">
      <c r="A2700">
        <f>HYPERLINK("https://mathstats.uncg.edu/sites/pauli/congruence/csg11.html#group48U11", "48U¹¹")</f>
        <v/>
      </c>
      <c r="B2700" t="n">
        <v>11</v>
      </c>
      <c r="C2700" t="inlineStr"/>
      <c r="D2700" t="inlineStr">
        <is>
          <t>144</t>
        </is>
      </c>
      <c r="E2700" t="inlineStr">
        <is>
          <t>1</t>
        </is>
      </c>
      <c r="F2700" t="inlineStr">
        <is>
          <t>36</t>
        </is>
      </c>
      <c r="G2700" t="inlineStr">
        <is>
          <t>0</t>
        </is>
      </c>
      <c r="H2700" t="inlineStr">
        <is>
          <t>0</t>
        </is>
      </c>
      <c r="I2700" t="inlineStr">
        <is>
          <t>24², 48²</t>
        </is>
      </c>
      <c r="J2700" t="n">
        <v>4</v>
      </c>
      <c r="K2700" t="inlineStr">
        <is>
          <t>4¹⁴, 8²</t>
        </is>
      </c>
      <c r="L2700" t="inlineStr">
        <is>
          <t>24G⁵, 48C⁶</t>
        </is>
      </c>
      <c r="M2700" t="inlineStr">
        <is>
          <t>48AG²¹, 48AT²¹, 48BA²¹, 48BK²¹, 48BT²¹</t>
        </is>
      </c>
      <c r="N2700" t="inlineStr">
        <is>
          <t>24G⁵, 24E¹, 24A³, 12C⁰, 8A¹, 48C⁶, 4C⁰, 12M¹, 2B⁰, 3A⁰, 1A⁰, 6D⁰</t>
        </is>
      </c>
      <c r="O2700" t="inlineStr">
        <is>
          <t>48AT²¹, 48BK²¹, 48BT²¹, 48AG²¹, 48BA²¹</t>
        </is>
      </c>
    </row>
    <row r="2701">
      <c r="A2701">
        <f>HYPERLINK("https://mathstats.uncg.edu/sites/pauli/congruence/csg11.html#group48V11", "48V¹¹")</f>
        <v/>
      </c>
      <c r="B2701" t="n">
        <v>11</v>
      </c>
      <c r="C2701" t="inlineStr"/>
      <c r="D2701" t="inlineStr">
        <is>
          <t>144</t>
        </is>
      </c>
      <c r="E2701" t="inlineStr">
        <is>
          <t>2</t>
        </is>
      </c>
      <c r="F2701" t="inlineStr">
        <is>
          <t>36</t>
        </is>
      </c>
      <c r="G2701" t="inlineStr">
        <is>
          <t>0</t>
        </is>
      </c>
      <c r="H2701" t="inlineStr">
        <is>
          <t>0</t>
        </is>
      </c>
      <c r="I2701" t="inlineStr">
        <is>
          <t>24², 48²</t>
        </is>
      </c>
      <c r="J2701" t="n">
        <v>4</v>
      </c>
      <c r="K2701" t="inlineStr">
        <is>
          <t>2⁸, 4¹⁰, 8²</t>
        </is>
      </c>
      <c r="L2701" t="inlineStr">
        <is>
          <t>24G⁵, 48B⁶, 48C⁶</t>
        </is>
      </c>
      <c r="M2701" t="inlineStr">
        <is>
          <t>48AN²¹, 48AZ²¹, 48AY²¹, 48BJ²¹, 48BK²¹, 48BT²¹, 96AF²³, 96AE²³, 96AG²³, 96AH²³</t>
        </is>
      </c>
      <c r="N2701" t="inlineStr">
        <is>
          <t>24G⁵, 24E¹, 24A³, 12C⁰, 8A¹, 48B⁶, 48C⁶, 16B², 4C⁰, 12M¹, 2B⁰, 3A⁰, 1A⁰, 6D⁰</t>
        </is>
      </c>
      <c r="O2701" t="inlineStr">
        <is>
          <t>48AZ²¹, 96AF²³, 48AY²¹, 96AG²³, 48AN²¹, 48BK²¹, 48BT²¹, 96AH²³, 48BJ²¹, 96AE²³</t>
        </is>
      </c>
    </row>
    <row r="2702">
      <c r="A2702">
        <f>HYPERLINK("https://mathstats.uncg.edu/sites/pauli/congruence/csg11.html#group48W11", "48W¹¹")</f>
        <v/>
      </c>
      <c r="B2702" t="n">
        <v>11</v>
      </c>
      <c r="C2702" t="inlineStr"/>
      <c r="D2702" t="inlineStr">
        <is>
          <t>192</t>
        </is>
      </c>
      <c r="E2702" t="inlineStr">
        <is>
          <t>1</t>
        </is>
      </c>
      <c r="F2702" t="inlineStr">
        <is>
          <t>12</t>
        </is>
      </c>
      <c r="G2702" t="inlineStr">
        <is>
          <t>0</t>
        </is>
      </c>
      <c r="H2702" t="inlineStr">
        <is>
          <t>0</t>
        </is>
      </c>
      <c r="I2702" t="inlineStr">
        <is>
          <t>4⁴, 12⁴, 16², 48²</t>
        </is>
      </c>
      <c r="J2702" t="n">
        <v>12</v>
      </c>
      <c r="K2702" t="inlineStr">
        <is>
          <t>1⁶, 2³</t>
        </is>
      </c>
      <c r="L2702" t="inlineStr">
        <is>
          <t>24V³</t>
        </is>
      </c>
      <c r="M2702" t="inlineStr">
        <is>
          <t>48BZ²¹, 48CC²¹, 48CB²¹, 48CI²¹, 48CH²¹</t>
        </is>
      </c>
      <c r="N2702" t="inlineStr">
        <is>
          <t>2A⁰, 3B⁰, 24V³, 8D⁰, 12F¹, 6I⁰, 24G¹, 4C⁰, 6C⁰, 8C⁰, 4E⁰, 2B⁰, 12P¹, 4B⁰, 1A⁰, 24I², 8G⁰, 6F⁰, 2C⁰, 12E⁰</t>
        </is>
      </c>
      <c r="O2702" t="inlineStr">
        <is>
          <t>48CH²¹, 48CB²¹, 48BZ²¹, 48CI²¹, 48CC²¹</t>
        </is>
      </c>
    </row>
    <row r="2703">
      <c r="A2703">
        <f>HYPERLINK("https://mathstats.uncg.edu/sites/pauli/congruence/csg11.html#group48X11", "48X¹¹")</f>
        <v/>
      </c>
      <c r="B2703" t="n">
        <v>11</v>
      </c>
      <c r="C2703" t="inlineStr"/>
      <c r="D2703" t="inlineStr">
        <is>
          <t>192</t>
        </is>
      </c>
      <c r="E2703" t="inlineStr">
        <is>
          <t>1</t>
        </is>
      </c>
      <c r="F2703" t="inlineStr">
        <is>
          <t>12</t>
        </is>
      </c>
      <c r="G2703" t="inlineStr">
        <is>
          <t>0</t>
        </is>
      </c>
      <c r="H2703" t="inlineStr">
        <is>
          <t>0</t>
        </is>
      </c>
      <c r="I2703" t="inlineStr">
        <is>
          <t>4⁴, 12⁴, 16², 48²</t>
        </is>
      </c>
      <c r="J2703" t="n">
        <v>12</v>
      </c>
      <c r="K2703" t="inlineStr">
        <is>
          <t>1⁶, 2³</t>
        </is>
      </c>
      <c r="L2703" t="inlineStr">
        <is>
          <t>16C², 24V³, 48D⁶</t>
        </is>
      </c>
      <c r="M2703" t="inlineStr">
        <is>
          <t>48BZ²¹, 48CA²¹, 48CF²¹, 48CG²¹, 48CK²¹</t>
        </is>
      </c>
      <c r="N2703" t="inlineStr">
        <is>
          <t>3B⁰, 2A⁰, 24V³, 16C², 8D⁰, 12F¹, 48D⁶, 6I⁰, 4C⁰, 24G¹, 6C⁰, 2B⁰, 8C⁰, 4E⁰, 12P¹, 4B⁰, 1A⁰, 24I², 8G⁰, 16C¹, 6F⁰, 2C⁰, 12E⁰</t>
        </is>
      </c>
      <c r="O2703" t="inlineStr">
        <is>
          <t>48CF²¹, 48CA²¹, 48CK²¹, 48BZ²¹, 48CG²¹</t>
        </is>
      </c>
    </row>
    <row r="2704">
      <c r="A2704">
        <f>HYPERLINK("https://mathstats.uncg.edu/sites/pauli/congruence/csg11.html#group48Y11", "48Y¹¹")</f>
        <v/>
      </c>
      <c r="B2704" t="n">
        <v>11</v>
      </c>
      <c r="C2704" t="inlineStr"/>
      <c r="D2704" t="inlineStr">
        <is>
          <t>192</t>
        </is>
      </c>
      <c r="E2704" t="inlineStr">
        <is>
          <t>1</t>
        </is>
      </c>
      <c r="F2704" t="inlineStr">
        <is>
          <t>48</t>
        </is>
      </c>
      <c r="G2704" t="inlineStr">
        <is>
          <t>0</t>
        </is>
      </c>
      <c r="H2704" t="inlineStr">
        <is>
          <t>0</t>
        </is>
      </c>
      <c r="I2704" t="inlineStr">
        <is>
          <t>4⁴, 12⁴, 16², 48²</t>
        </is>
      </c>
      <c r="J2704" t="n">
        <v>12</v>
      </c>
      <c r="K2704" t="inlineStr">
        <is>
          <t>2⁴, 4⁶, 8²</t>
        </is>
      </c>
      <c r="L2704" t="inlineStr">
        <is>
          <t>24K⁵</t>
        </is>
      </c>
      <c r="M2704" t="inlineStr">
        <is>
          <t>48CD²¹, 48CN²¹</t>
        </is>
      </c>
      <c r="N2704" t="inlineStr">
        <is>
          <t>3B⁰, 24K⁵, 8A¹, 8D⁰, 12F¹, 4C⁰, 2B⁰, 1A⁰, 24C³, 8C¹, 24I², 4A⁰, 12A¹, 12G², 4F⁰, 6F⁰</t>
        </is>
      </c>
      <c r="O2704" t="inlineStr">
        <is>
          <t>48CD²¹, 48CN²¹</t>
        </is>
      </c>
    </row>
    <row r="2705">
      <c r="A2705">
        <f>HYPERLINK("https://mathstats.uncg.edu/sites/pauli/congruence/csg11.html#group48Z11", "48Z¹¹")</f>
        <v/>
      </c>
      <c r="B2705" t="n">
        <v>11</v>
      </c>
      <c r="C2705" t="inlineStr"/>
      <c r="D2705" t="inlineStr">
        <is>
          <t>192</t>
        </is>
      </c>
      <c r="E2705" t="inlineStr">
        <is>
          <t>1</t>
        </is>
      </c>
      <c r="F2705" t="inlineStr">
        <is>
          <t>48</t>
        </is>
      </c>
      <c r="G2705" t="inlineStr">
        <is>
          <t>0</t>
        </is>
      </c>
      <c r="H2705" t="inlineStr">
        <is>
          <t>0</t>
        </is>
      </c>
      <c r="I2705" t="inlineStr">
        <is>
          <t>4⁴, 12⁴, 16², 48²</t>
        </is>
      </c>
      <c r="J2705" t="n">
        <v>12</v>
      </c>
      <c r="K2705" t="inlineStr">
        <is>
          <t>2⁴, 4⁶, 8²</t>
        </is>
      </c>
      <c r="L2705" t="inlineStr">
        <is>
          <t>16H¹, 24J⁵</t>
        </is>
      </c>
      <c r="M2705" t="inlineStr">
        <is>
          <t>48CE²¹, 48CO²¹</t>
        </is>
      </c>
      <c r="N2705" t="inlineStr">
        <is>
          <t>3B⁰, 24B³, 8D⁰, 12F¹, 4C⁰, 8B⁰, 2B⁰, 1A⁰, 8H⁰, 24I², 4A⁰, 12A¹, 6F⁰, 12G², 24J⁵, 4F⁰, 16H¹</t>
        </is>
      </c>
      <c r="O2705" t="inlineStr">
        <is>
          <t>48CE²¹, 48CO²¹</t>
        </is>
      </c>
    </row>
    <row r="2706">
      <c r="A2706">
        <f>HYPERLINK("https://mathstats.uncg.edu/sites/pauli/congruence/csg11.html#group48AA11", "48AA¹¹")</f>
        <v/>
      </c>
      <c r="B2706" t="n">
        <v>11</v>
      </c>
      <c r="C2706" t="inlineStr"/>
      <c r="D2706" t="inlineStr">
        <is>
          <t>192</t>
        </is>
      </c>
      <c r="E2706" t="inlineStr">
        <is>
          <t>1</t>
        </is>
      </c>
      <c r="F2706" t="inlineStr">
        <is>
          <t>48</t>
        </is>
      </c>
      <c r="G2706" t="inlineStr">
        <is>
          <t>0</t>
        </is>
      </c>
      <c r="H2706" t="inlineStr">
        <is>
          <t>0</t>
        </is>
      </c>
      <c r="I2706" t="inlineStr">
        <is>
          <t>4⁴, 12⁴, 16², 48²</t>
        </is>
      </c>
      <c r="J2706" t="n">
        <v>12</v>
      </c>
      <c r="K2706" t="inlineStr">
        <is>
          <t>1⁴, 2⁴, 4⁵, 8²</t>
        </is>
      </c>
      <c r="L2706" t="inlineStr">
        <is>
          <t>16I¹, 48J⁴, 24J⁵, 48D⁶</t>
        </is>
      </c>
      <c r="M2706" t="inlineStr">
        <is>
          <t>48CF²¹, 48CO²¹, 96AI²³, 96AL²³</t>
        </is>
      </c>
      <c r="N2706" t="inlineStr">
        <is>
          <t>3B⁰, 16I¹, 24B³, 8D⁰, 12F¹, 48D⁶, 4C⁰, 8B⁰, 2B⁰, 1A⁰, 8H⁰, 16E⁰, 24I², 4A⁰, 48J⁴, 16C¹, 12A¹, 12G², 24J⁵, 4F⁰, 6F⁰</t>
        </is>
      </c>
      <c r="O2706" t="inlineStr">
        <is>
          <t>48CF²¹, 48CO²¹, 96AL²³, 96AI²³</t>
        </is>
      </c>
    </row>
    <row r="2707">
      <c r="A2707">
        <f>HYPERLINK("https://mathstats.uncg.edu/sites/pauli/congruence/csg11.html#group48AB11", "48AB¹¹")</f>
        <v/>
      </c>
      <c r="B2707" t="n">
        <v>11</v>
      </c>
      <c r="C2707" t="inlineStr"/>
      <c r="D2707" t="inlineStr">
        <is>
          <t>192</t>
        </is>
      </c>
      <c r="E2707" t="inlineStr">
        <is>
          <t>1</t>
        </is>
      </c>
      <c r="F2707" t="inlineStr">
        <is>
          <t>48</t>
        </is>
      </c>
      <c r="G2707" t="inlineStr">
        <is>
          <t>0</t>
        </is>
      </c>
      <c r="H2707" t="inlineStr">
        <is>
          <t>0</t>
        </is>
      </c>
      <c r="I2707" t="inlineStr">
        <is>
          <t>4⁴, 12⁴, 16², 48²</t>
        </is>
      </c>
      <c r="J2707" t="n">
        <v>12</v>
      </c>
      <c r="K2707" t="inlineStr">
        <is>
          <t>1⁴, 2⁴, 4⁵, 8²</t>
        </is>
      </c>
      <c r="L2707" t="inlineStr">
        <is>
          <t>16D², 48J⁴, 24K⁵, 48D⁶</t>
        </is>
      </c>
      <c r="M2707" t="inlineStr">
        <is>
          <t>48CF²¹, 48CN²¹, 96AJ²³, 96AK²³</t>
        </is>
      </c>
      <c r="N2707" t="inlineStr">
        <is>
          <t>16D², 3B⁰, 24K⁵, 8A¹, 8D⁰, 12F¹, 48D⁶, 4C⁰, 2B⁰, 1A⁰, 24C³, 16E⁰, 8C¹, 24I², 4A⁰, 48J⁴, 16C¹, 12A¹, 12G², 4F⁰, 6F⁰</t>
        </is>
      </c>
      <c r="O2707" t="inlineStr">
        <is>
          <t>48CF²¹, 96AK²³, 96AJ²³, 48CN²¹</t>
        </is>
      </c>
    </row>
    <row r="2708">
      <c r="A2708">
        <f>HYPERLINK("https://mathstats.uncg.edu/sites/pauli/congruence/csg11.html#group50A11", "50A¹¹")</f>
        <v/>
      </c>
      <c r="B2708" t="n">
        <v>11</v>
      </c>
      <c r="C2708" t="inlineStr"/>
      <c r="D2708" t="inlineStr">
        <is>
          <t>150</t>
        </is>
      </c>
      <c r="E2708" t="inlineStr">
        <is>
          <t>1</t>
        </is>
      </c>
      <c r="F2708" t="inlineStr">
        <is>
          <t>150</t>
        </is>
      </c>
      <c r="G2708" t="inlineStr">
        <is>
          <t>2</t>
        </is>
      </c>
      <c r="H2708" t="inlineStr">
        <is>
          <t>0</t>
        </is>
      </c>
      <c r="I2708" t="inlineStr">
        <is>
          <t>25², 50²</t>
        </is>
      </c>
      <c r="J2708" t="n">
        <v>4</v>
      </c>
      <c r="K2708" t="inlineStr">
        <is>
          <t>2³, 4⁶, 20⁶</t>
        </is>
      </c>
      <c r="L2708" t="inlineStr">
        <is>
          <t>10F¹, 25E²</t>
        </is>
      </c>
      <c r="M2708" t="inlineStr">
        <is>
          <t>50A²², 50C²², 100A²², 50A²³, 100A²³, 100B²³, 100A²⁴</t>
        </is>
      </c>
      <c r="N2708" t="inlineStr">
        <is>
          <t>10F¹, 1A⁰, 2B⁰, 5C⁰, 25E²</t>
        </is>
      </c>
      <c r="O2708" t="inlineStr">
        <is>
          <t>100A²³, 100B²³, 100A²⁴, 50A²², 50C²², 100A²², 50A²³</t>
        </is>
      </c>
    </row>
    <row r="2709">
      <c r="A2709">
        <f>HYPERLINK("https://mathstats.uncg.edu/sites/pauli/congruence/csg11.html#group50B11", "50B¹¹")</f>
        <v/>
      </c>
      <c r="B2709" t="n">
        <v>11</v>
      </c>
      <c r="C2709" t="inlineStr"/>
      <c r="D2709" t="inlineStr">
        <is>
          <t>225</t>
        </is>
      </c>
      <c r="E2709" t="inlineStr">
        <is>
          <t>1</t>
        </is>
      </c>
      <c r="F2709" t="inlineStr">
        <is>
          <t>225</t>
        </is>
      </c>
      <c r="G2709" t="inlineStr">
        <is>
          <t>7</t>
        </is>
      </c>
      <c r="H2709" t="inlineStr">
        <is>
          <t>0</t>
        </is>
      </c>
      <c r="I2709" t="inlineStr">
        <is>
          <t>5⁵, 10⁵, 25², 50²</t>
        </is>
      </c>
      <c r="J2709" t="n">
        <v>14</v>
      </c>
      <c r="K2709" t="inlineStr">
        <is>
          <t>2³, 4⁶, 5³, 20⁹</t>
        </is>
      </c>
      <c r="L2709" t="inlineStr">
        <is>
          <t>10I¹, 25F²</t>
        </is>
      </c>
      <c r="M2709" t="inlineStr">
        <is>
          <t>50D²², 50A²⁴, 50B²⁴</t>
        </is>
      </c>
      <c r="N2709" t="inlineStr">
        <is>
          <t>25F², 5A⁰, 10I¹, 10B¹, 5E⁰, 2B⁰, 1A⁰</t>
        </is>
      </c>
      <c r="O2709" t="inlineStr">
        <is>
          <t>50D²², 50B²⁴, 50A²⁴</t>
        </is>
      </c>
    </row>
    <row r="2710">
      <c r="A2710">
        <f>HYPERLINK("https://mathstats.uncg.edu/sites/pauli/congruence/csg11.html#group52A11", "52A¹¹")</f>
        <v/>
      </c>
      <c r="B2710" t="n">
        <v>11</v>
      </c>
      <c r="C2710" t="inlineStr"/>
      <c r="D2710" t="inlineStr">
        <is>
          <t>168</t>
        </is>
      </c>
      <c r="E2710" t="inlineStr">
        <is>
          <t>1</t>
        </is>
      </c>
      <c r="F2710" t="inlineStr">
        <is>
          <t>42</t>
        </is>
      </c>
      <c r="G2710" t="inlineStr">
        <is>
          <t>0</t>
        </is>
      </c>
      <c r="H2710" t="inlineStr">
        <is>
          <t>0</t>
        </is>
      </c>
      <c r="I2710" t="inlineStr">
        <is>
          <t>2², 4², 26², 52²</t>
        </is>
      </c>
      <c r="J2710" t="n">
        <v>8</v>
      </c>
      <c r="K2710" t="inlineStr">
        <is>
          <t>1⁶, 12³</t>
        </is>
      </c>
      <c r="L2710" t="inlineStr">
        <is>
          <t>26A⁴, 52B⁵, 52A⁶</t>
        </is>
      </c>
      <c r="M2710" t="inlineStr">
        <is>
          <t>52C²¹, 52G²³, 104D²³</t>
        </is>
      </c>
      <c r="N2710" t="inlineStr">
        <is>
          <t>52A⁶, 4C⁰, 13A⁰, 52B⁵, 2B⁰, 13B⁰, 1A⁰, 26A², 26A⁴</t>
        </is>
      </c>
      <c r="O2710" t="inlineStr">
        <is>
          <t>52G²³, 52C²¹, 104D²³</t>
        </is>
      </c>
    </row>
    <row r="2711">
      <c r="A2711">
        <f>HYPERLINK("https://mathstats.uncg.edu/sites/pauli/congruence/csg11.html#group52B11", "52B¹¹")</f>
        <v/>
      </c>
      <c r="B2711" t="n">
        <v>11</v>
      </c>
      <c r="C2711" t="inlineStr"/>
      <c r="D2711" t="inlineStr">
        <is>
          <t>168</t>
        </is>
      </c>
      <c r="E2711" t="inlineStr">
        <is>
          <t>1</t>
        </is>
      </c>
      <c r="F2711" t="inlineStr">
        <is>
          <t>42</t>
        </is>
      </c>
      <c r="G2711" t="inlineStr">
        <is>
          <t>0</t>
        </is>
      </c>
      <c r="H2711" t="inlineStr">
        <is>
          <t>0</t>
        </is>
      </c>
      <c r="I2711" t="inlineStr">
        <is>
          <t>2², 4², 26², 52²</t>
        </is>
      </c>
      <c r="J2711" t="n">
        <v>8</v>
      </c>
      <c r="K2711" t="inlineStr">
        <is>
          <t>1⁶, 12³</t>
        </is>
      </c>
      <c r="L2711" t="inlineStr">
        <is>
          <t>26B⁴, 52A⁵, 52A⁶</t>
        </is>
      </c>
      <c r="M2711" t="inlineStr">
        <is>
          <t>52C²¹, 52H²³, 104E²³</t>
        </is>
      </c>
      <c r="N2711" t="inlineStr">
        <is>
          <t>52A⁶, 52A⁵, 13A⁰, 26B⁴, 2B⁰, 26A⁰, 4B⁰, 1A⁰, 26A²</t>
        </is>
      </c>
      <c r="O2711" t="inlineStr">
        <is>
          <t>52C²¹, 104E²³, 52H²³</t>
        </is>
      </c>
    </row>
    <row r="2712">
      <c r="A2712">
        <f>HYPERLINK("https://mathstats.uncg.edu/sites/pauli/congruence/csg11.html#group52C11", "52C¹¹")</f>
        <v/>
      </c>
      <c r="B2712" t="n">
        <v>11</v>
      </c>
      <c r="C2712" t="inlineStr"/>
      <c r="D2712" t="inlineStr">
        <is>
          <t>168</t>
        </is>
      </c>
      <c r="E2712" t="inlineStr">
        <is>
          <t>1</t>
        </is>
      </c>
      <c r="F2712" t="inlineStr">
        <is>
          <t>42</t>
        </is>
      </c>
      <c r="G2712" t="inlineStr">
        <is>
          <t>0</t>
        </is>
      </c>
      <c r="H2712" t="inlineStr">
        <is>
          <t>0</t>
        </is>
      </c>
      <c r="I2712" t="inlineStr">
        <is>
          <t>2², 4², 26², 52²</t>
        </is>
      </c>
      <c r="J2712" t="n">
        <v>8</v>
      </c>
      <c r="K2712" t="inlineStr">
        <is>
          <t>1⁶, 12³</t>
        </is>
      </c>
      <c r="L2712" t="inlineStr">
        <is>
          <t>52A⁴, 26B⁵, 52A⁶</t>
        </is>
      </c>
      <c r="M2712" t="inlineStr">
        <is>
          <t>52C²¹, 52D²³, 104S²³</t>
        </is>
      </c>
      <c r="N2712" t="inlineStr">
        <is>
          <t>26B⁵, 2A⁰, 26A¹, 52A⁶, 13A⁰, 2B⁰, 52A⁴, 1A⁰, 2C⁰, 26A²</t>
        </is>
      </c>
      <c r="O2712" t="inlineStr">
        <is>
          <t>52C²¹, 52D²³, 104S²³</t>
        </is>
      </c>
    </row>
    <row r="2713">
      <c r="A2713">
        <f>HYPERLINK("https://mathstats.uncg.edu/sites/pauli/congruence/csg11.html#group52D11", "52D¹¹")</f>
        <v/>
      </c>
      <c r="B2713" t="n">
        <v>11</v>
      </c>
      <c r="C2713" t="inlineStr"/>
      <c r="D2713" t="inlineStr">
        <is>
          <t>168</t>
        </is>
      </c>
      <c r="E2713" t="inlineStr">
        <is>
          <t>1</t>
        </is>
      </c>
      <c r="F2713" t="inlineStr">
        <is>
          <t>42</t>
        </is>
      </c>
      <c r="G2713" t="inlineStr">
        <is>
          <t>0</t>
        </is>
      </c>
      <c r="H2713" t="inlineStr">
        <is>
          <t>0</t>
        </is>
      </c>
      <c r="I2713" t="inlineStr">
        <is>
          <t>2², 4², 26², 52²</t>
        </is>
      </c>
      <c r="J2713" t="n">
        <v>8</v>
      </c>
      <c r="K2713" t="inlineStr">
        <is>
          <t>1⁶, 12³</t>
        </is>
      </c>
      <c r="L2713" t="inlineStr">
        <is>
          <t>4E⁰, 26B⁵, 52A⁵, 52B⁵</t>
        </is>
      </c>
      <c r="M2713" t="inlineStr">
        <is>
          <t>52C²¹, 52C²³, 52D²³, 104B²³, 104C²³, 104M²³, 104N²³</t>
        </is>
      </c>
      <c r="N2713" t="inlineStr">
        <is>
          <t>26B⁵, 2A⁰, 26A¹, 4C⁰, 52A⁵, 13A⁰, 52B⁵, 2B⁰, 4E⁰, 4B⁰, 1A⁰, 2C⁰, 26A²</t>
        </is>
      </c>
      <c r="O2713" t="inlineStr">
        <is>
          <t>52C²¹, 104C²³, 52C²³, 104N²³, 104M²³, 104B²³, 52D²³</t>
        </is>
      </c>
    </row>
    <row r="2714">
      <c r="A2714">
        <f>HYPERLINK("https://mathstats.uncg.edu/sites/pauli/congruence/csg11.html#group52E11", "52E¹¹")</f>
        <v/>
      </c>
      <c r="B2714" t="n">
        <v>11</v>
      </c>
      <c r="C2714" t="inlineStr"/>
      <c r="D2714" t="inlineStr">
        <is>
          <t>168</t>
        </is>
      </c>
      <c r="E2714" t="inlineStr">
        <is>
          <t>1</t>
        </is>
      </c>
      <c r="F2714" t="inlineStr">
        <is>
          <t>84</t>
        </is>
      </c>
      <c r="G2714" t="inlineStr">
        <is>
          <t>4</t>
        </is>
      </c>
      <c r="H2714" t="inlineStr">
        <is>
          <t>0</t>
        </is>
      </c>
      <c r="I2714" t="inlineStr">
        <is>
          <t>4³, 52³</t>
        </is>
      </c>
      <c r="J2714" t="n">
        <v>6</v>
      </c>
      <c r="K2714" t="inlineStr">
        <is>
          <t>1⁴, 2⁴, 12², 24²</t>
        </is>
      </c>
      <c r="L2714" t="inlineStr">
        <is>
          <t>52B⁵</t>
        </is>
      </c>
      <c r="M2714" t="inlineStr">
        <is>
          <t>52D²¹, 52D²³, 52G²³, 104G²³, 104F²³</t>
        </is>
      </c>
      <c r="N2714" t="inlineStr">
        <is>
          <t>13A⁰, 52B⁵, 2B⁰, 1A⁰, 26A², 4C⁰</t>
        </is>
      </c>
      <c r="O2714" t="inlineStr">
        <is>
          <t>52G²³, 52D²¹, 104G²³, 52D²³, 104F²³</t>
        </is>
      </c>
    </row>
    <row r="2715">
      <c r="A2715">
        <f>HYPERLINK("https://mathstats.uncg.edu/sites/pauli/congruence/csg11.html#group52F11", "52F¹¹")</f>
        <v/>
      </c>
      <c r="B2715" t="n">
        <v>11</v>
      </c>
      <c r="C2715" t="inlineStr"/>
      <c r="D2715" t="inlineStr">
        <is>
          <t>168</t>
        </is>
      </c>
      <c r="E2715" t="inlineStr">
        <is>
          <t>1</t>
        </is>
      </c>
      <c r="F2715" t="inlineStr">
        <is>
          <t>84</t>
        </is>
      </c>
      <c r="G2715" t="inlineStr">
        <is>
          <t>4</t>
        </is>
      </c>
      <c r="H2715" t="inlineStr">
        <is>
          <t>0</t>
        </is>
      </c>
      <c r="I2715" t="inlineStr">
        <is>
          <t>4³, 52³</t>
        </is>
      </c>
      <c r="J2715" t="n">
        <v>6</v>
      </c>
      <c r="K2715" t="inlineStr">
        <is>
          <t>1⁴, 2⁴, 12², 24²</t>
        </is>
      </c>
      <c r="L2715" t="inlineStr">
        <is>
          <t>4F⁰, 52A³, 52B⁵</t>
        </is>
      </c>
      <c r="M2715" t="inlineStr">
        <is>
          <t>52D²¹, 52C²³, 52G²³, 104H²³, 104I²³, 104O²³, 104P²³</t>
        </is>
      </c>
      <c r="N2715" t="inlineStr">
        <is>
          <t>52A³, 4A⁰, 4C⁰, 13A⁰, 52B⁵, 2B⁰, 4F⁰, 1A⁰, 26A²</t>
        </is>
      </c>
      <c r="O2715" t="inlineStr">
        <is>
          <t>52G²³, 52D²¹, 104H²³, 52C²³, 104I²³, 104O²³, 104P²³</t>
        </is>
      </c>
    </row>
    <row r="2716">
      <c r="A2716">
        <f>HYPERLINK("https://mathstats.uncg.edu/sites/pauli/congruence/csg11.html#group52G11", "52G¹¹")</f>
        <v/>
      </c>
      <c r="B2716" t="n">
        <v>11</v>
      </c>
      <c r="C2716" t="inlineStr"/>
      <c r="D2716" t="inlineStr">
        <is>
          <t>168</t>
        </is>
      </c>
      <c r="E2716" t="inlineStr">
        <is>
          <t>2</t>
        </is>
      </c>
      <c r="F2716" t="inlineStr">
        <is>
          <t>42</t>
        </is>
      </c>
      <c r="G2716" t="inlineStr">
        <is>
          <t>4</t>
        </is>
      </c>
      <c r="H2716" t="inlineStr">
        <is>
          <t>0</t>
        </is>
      </c>
      <c r="I2716" t="inlineStr">
        <is>
          <t>4³, 52³</t>
        </is>
      </c>
      <c r="J2716" t="n">
        <v>6</v>
      </c>
      <c r="K2716" t="inlineStr">
        <is>
          <t>2⁶, 24³</t>
        </is>
      </c>
      <c r="L2716" t="inlineStr">
        <is>
          <t>52A¹, 26B⁴</t>
        </is>
      </c>
      <c r="M2716" t="inlineStr">
        <is>
          <t>52F²¹, 52B²³, 52H²³</t>
        </is>
      </c>
      <c r="N2716" t="inlineStr">
        <is>
          <t>13A⁰, 26B⁴, 2B⁰, 26A⁰, 52A¹, 1A⁰, 26A²</t>
        </is>
      </c>
      <c r="O2716" t="inlineStr">
        <is>
          <t>52H²³, 52F²¹, 52B²³</t>
        </is>
      </c>
    </row>
    <row r="2717">
      <c r="A2717">
        <f>HYPERLINK("https://mathstats.uncg.edu/sites/pauli/congruence/csg11.html#group52H11", "52H¹¹")</f>
        <v/>
      </c>
      <c r="B2717" t="n">
        <v>11</v>
      </c>
      <c r="C2717" t="inlineStr"/>
      <c r="D2717" t="inlineStr">
        <is>
          <t>224</t>
        </is>
      </c>
      <c r="E2717" t="inlineStr">
        <is>
          <t>2</t>
        </is>
      </c>
      <c r="F2717" t="inlineStr">
        <is>
          <t>56</t>
        </is>
      </c>
      <c r="G2717" t="inlineStr">
        <is>
          <t>8</t>
        </is>
      </c>
      <c r="H2717" t="inlineStr">
        <is>
          <t>8</t>
        </is>
      </c>
      <c r="I2717" t="inlineStr">
        <is>
          <t>4⁴, 52⁴</t>
        </is>
      </c>
      <c r="J2717" t="n">
        <v>8</v>
      </c>
      <c r="K2717" t="inlineStr">
        <is>
          <t>2⁸, 24⁴</t>
        </is>
      </c>
      <c r="L2717" t="inlineStr">
        <is>
          <t>52A¹, 52C⁵</t>
        </is>
      </c>
      <c r="M2717" t="inlineStr"/>
      <c r="N2717" t="inlineStr">
        <is>
          <t>52A³, 4A⁰, 13A⁰, 26A⁰, 52A¹, 1A⁰, 52C⁵</t>
        </is>
      </c>
      <c r="O2717" t="inlineStr"/>
    </row>
    <row r="2718">
      <c r="A2718">
        <f>HYPERLINK("https://mathstats.uncg.edu/sites/pauli/congruence/csg11.html#group54A11", "54A¹¹")</f>
        <v/>
      </c>
      <c r="B2718" t="n">
        <v>11</v>
      </c>
      <c r="C2718" t="inlineStr"/>
      <c r="D2718" t="inlineStr">
        <is>
          <t>162</t>
        </is>
      </c>
      <c r="E2718" t="inlineStr">
        <is>
          <t>2</t>
        </is>
      </c>
      <c r="F2718" t="inlineStr">
        <is>
          <t>81</t>
        </is>
      </c>
      <c r="G2718" t="inlineStr">
        <is>
          <t>8</t>
        </is>
      </c>
      <c r="H2718" t="inlineStr">
        <is>
          <t>0</t>
        </is>
      </c>
      <c r="I2718" t="inlineStr">
        <is>
          <t>54³</t>
        </is>
      </c>
      <c r="J2718" t="n">
        <v>3</v>
      </c>
      <c r="K2718" t="inlineStr">
        <is>
          <t>6⁹, 18⁶</t>
        </is>
      </c>
      <c r="L2718" t="inlineStr">
        <is>
          <t>18K², 27B³</t>
        </is>
      </c>
      <c r="M2718" t="inlineStr">
        <is>
          <t>54J²², 54A²⁴</t>
        </is>
      </c>
      <c r="N2718" t="inlineStr">
        <is>
          <t>6B⁰, 9G⁰, 9A⁰, 18K², 27B³, 3A⁰, 1A⁰, 18A⁰, 18A¹</t>
        </is>
      </c>
      <c r="O2718" t="inlineStr">
        <is>
          <t>54J²², 54A²⁴</t>
        </is>
      </c>
    </row>
    <row r="2719">
      <c r="A2719">
        <f>HYPERLINK("https://mathstats.uncg.edu/sites/pauli/congruence/csg11.html#group54B11", "54B¹¹")</f>
        <v/>
      </c>
      <c r="B2719" t="n">
        <v>11</v>
      </c>
      <c r="C2719" t="inlineStr"/>
      <c r="D2719" t="inlineStr">
        <is>
          <t>162</t>
        </is>
      </c>
      <c r="E2719" t="inlineStr">
        <is>
          <t>2</t>
        </is>
      </c>
      <c r="F2719" t="inlineStr">
        <is>
          <t>162</t>
        </is>
      </c>
      <c r="G2719" t="inlineStr">
        <is>
          <t>8</t>
        </is>
      </c>
      <c r="H2719" t="inlineStr">
        <is>
          <t>0</t>
        </is>
      </c>
      <c r="I2719" t="inlineStr">
        <is>
          <t>54³</t>
        </is>
      </c>
      <c r="J2719" t="n">
        <v>3</v>
      </c>
      <c r="K2719" t="inlineStr">
        <is>
          <t>6¹⁸, 18¹²</t>
        </is>
      </c>
      <c r="L2719" t="inlineStr">
        <is>
          <t>18K²</t>
        </is>
      </c>
      <c r="M2719" t="inlineStr">
        <is>
          <t>54K²², 54B²⁴</t>
        </is>
      </c>
      <c r="N2719" t="inlineStr">
        <is>
          <t>6B⁰, 9A⁰, 18K², 9G⁰, 3A⁰, 1A⁰, 18A⁰, 18A¹</t>
        </is>
      </c>
      <c r="O2719" t="inlineStr">
        <is>
          <t>54B²⁴, 54K²²</t>
        </is>
      </c>
    </row>
    <row r="2720">
      <c r="A2720">
        <f>HYPERLINK("https://mathstats.uncg.edu/sites/pauli/congruence/csg11.html#group54C11", "54C¹¹")</f>
        <v/>
      </c>
      <c r="B2720" t="n">
        <v>11</v>
      </c>
      <c r="C2720" t="inlineStr"/>
      <c r="D2720" t="inlineStr">
        <is>
          <t>216</t>
        </is>
      </c>
      <c r="E2720" t="inlineStr">
        <is>
          <t>1</t>
        </is>
      </c>
      <c r="F2720" t="inlineStr">
        <is>
          <t>36</t>
        </is>
      </c>
      <c r="G2720" t="inlineStr">
        <is>
          <t>0</t>
        </is>
      </c>
      <c r="H2720" t="inlineStr">
        <is>
          <t>6</t>
        </is>
      </c>
      <c r="I2720" t="inlineStr">
        <is>
          <t>6⁹, 54³</t>
        </is>
      </c>
      <c r="J2720" t="n">
        <v>12</v>
      </c>
      <c r="K2720" t="inlineStr">
        <is>
          <t>3², 6⁵</t>
        </is>
      </c>
      <c r="L2720" t="inlineStr">
        <is>
          <t>18N², 27C³</t>
        </is>
      </c>
      <c r="M2720" t="inlineStr"/>
      <c r="N2720" t="inlineStr">
        <is>
          <t>3B⁰, 2A⁰, 27C³, 9J⁰, 18B⁰, 18N², 6C⁰, 9C⁰, 1A⁰</t>
        </is>
      </c>
      <c r="O2720" t="inlineStr"/>
    </row>
    <row r="2721">
      <c r="A2721">
        <f>HYPERLINK("https://mathstats.uncg.edu/sites/pauli/congruence/csg11.html#group54D11", "54D¹¹")</f>
        <v/>
      </c>
      <c r="B2721" t="n">
        <v>11</v>
      </c>
      <c r="C2721" t="inlineStr"/>
      <c r="D2721" t="inlineStr">
        <is>
          <t>216</t>
        </is>
      </c>
      <c r="E2721" t="inlineStr">
        <is>
          <t>1</t>
        </is>
      </c>
      <c r="F2721" t="inlineStr">
        <is>
          <t>72</t>
        </is>
      </c>
      <c r="G2721" t="inlineStr">
        <is>
          <t>0</t>
        </is>
      </c>
      <c r="H2721" t="inlineStr">
        <is>
          <t>6</t>
        </is>
      </c>
      <c r="I2721" t="inlineStr">
        <is>
          <t>6⁹, 54³</t>
        </is>
      </c>
      <c r="J2721" t="n">
        <v>12</v>
      </c>
      <c r="K2721" t="inlineStr">
        <is>
          <t>6¹²</t>
        </is>
      </c>
      <c r="L2721" t="inlineStr">
        <is>
          <t>18N²</t>
        </is>
      </c>
      <c r="M2721" t="inlineStr"/>
      <c r="N2721" t="inlineStr">
        <is>
          <t>3B⁰, 2A⁰, 9J⁰, 18B⁰, 18N², 6C⁰, 9C⁰, 1A⁰</t>
        </is>
      </c>
      <c r="O2721" t="inlineStr"/>
    </row>
    <row r="2722">
      <c r="A2722">
        <f>HYPERLINK("https://mathstats.uncg.edu/sites/pauli/congruence/csg11.html#group55A11", "55A¹¹")</f>
        <v/>
      </c>
      <c r="B2722" t="n">
        <v>11</v>
      </c>
      <c r="C2722" t="inlineStr"/>
      <c r="D2722" t="inlineStr">
        <is>
          <t>165</t>
        </is>
      </c>
      <c r="E2722" t="inlineStr">
        <is>
          <t>2</t>
        </is>
      </c>
      <c r="F2722" t="inlineStr">
        <is>
          <t>55</t>
        </is>
      </c>
      <c r="G2722" t="inlineStr">
        <is>
          <t>9</t>
        </is>
      </c>
      <c r="H2722" t="inlineStr">
        <is>
          <t>0</t>
        </is>
      </c>
      <c r="I2722" t="inlineStr">
        <is>
          <t>55³</t>
        </is>
      </c>
      <c r="J2722" t="n">
        <v>3</v>
      </c>
      <c r="K2722" t="inlineStr">
        <is>
          <t>2¹, 8¹, 10², 40²</t>
        </is>
      </c>
      <c r="L2722" t="inlineStr">
        <is>
          <t>5E⁰, 55A³</t>
        </is>
      </c>
      <c r="M2722" t="inlineStr">
        <is>
          <t>55B²⁴, 110A²⁴</t>
        </is>
      </c>
      <c r="N2722" t="inlineStr">
        <is>
          <t>11A⁰, 5E⁰, 5A⁰, 55A³, 1A⁰</t>
        </is>
      </c>
      <c r="O2722" t="inlineStr">
        <is>
          <t>55B²⁴, 110A²⁴</t>
        </is>
      </c>
    </row>
    <row r="2723">
      <c r="A2723">
        <f>HYPERLINK("https://mathstats.uncg.edu/sites/pauli/congruence/csg11.html#group56A11", "56A¹¹")</f>
        <v/>
      </c>
      <c r="B2723" t="n">
        <v>11</v>
      </c>
      <c r="C2723" t="inlineStr"/>
      <c r="D2723" t="inlineStr">
        <is>
          <t>168</t>
        </is>
      </c>
      <c r="E2723" t="inlineStr">
        <is>
          <t>2</t>
        </is>
      </c>
      <c r="F2723" t="inlineStr">
        <is>
          <t>21</t>
        </is>
      </c>
      <c r="G2723" t="inlineStr">
        <is>
          <t>8</t>
        </is>
      </c>
      <c r="H2723" t="inlineStr">
        <is>
          <t>0</t>
        </is>
      </c>
      <c r="I2723" t="inlineStr">
        <is>
          <t>28², 56²</t>
        </is>
      </c>
      <c r="J2723" t="n">
        <v>4</v>
      </c>
      <c r="K2723" t="inlineStr">
        <is>
          <t>2³, 6⁶</t>
        </is>
      </c>
      <c r="L2723" t="inlineStr">
        <is>
          <t>56B⁴, 28B⁵, 56A⁶</t>
        </is>
      </c>
      <c r="M2723" t="inlineStr">
        <is>
          <t>56D²³, 56H²³, 112A²³</t>
        </is>
      </c>
      <c r="N2723" t="inlineStr">
        <is>
          <t>28C², 14A², 14B¹, 7C⁰, 4C⁰, 8B⁰, 2B⁰, 28B³, 28B⁵, 1A⁰, 56A⁶, 7A⁰, 56B⁴</t>
        </is>
      </c>
      <c r="O2723" t="inlineStr">
        <is>
          <t>56D²³, 112A²³, 56H²³</t>
        </is>
      </c>
    </row>
    <row r="2724">
      <c r="A2724">
        <f>HYPERLINK("https://mathstats.uncg.edu/sites/pauli/congruence/csg11.html#group56B11", "56B¹¹")</f>
        <v/>
      </c>
      <c r="B2724" t="n">
        <v>11</v>
      </c>
      <c r="C2724" t="inlineStr"/>
      <c r="D2724" t="inlineStr">
        <is>
          <t>168</t>
        </is>
      </c>
      <c r="E2724" t="inlineStr">
        <is>
          <t>2</t>
        </is>
      </c>
      <c r="F2724" t="inlineStr">
        <is>
          <t>42</t>
        </is>
      </c>
      <c r="G2724" t="inlineStr">
        <is>
          <t>0</t>
        </is>
      </c>
      <c r="H2724" t="inlineStr">
        <is>
          <t>0</t>
        </is>
      </c>
      <c r="I2724" t="inlineStr">
        <is>
          <t>7⁴, 14², 56²</t>
        </is>
      </c>
      <c r="J2724" t="n">
        <v>8</v>
      </c>
      <c r="K2724" t="inlineStr">
        <is>
          <t>2⁴, 4¹, 6⁸, 12²</t>
        </is>
      </c>
      <c r="L2724" t="inlineStr">
        <is>
          <t>28A⁵, 56B⁶, 56C⁶</t>
        </is>
      </c>
      <c r="M2724" t="inlineStr">
        <is>
          <t>56A²³, 56E²³, 112B²³, 112F²³</t>
        </is>
      </c>
      <c r="N2724" t="inlineStr">
        <is>
          <t>56C⁶, 14A², 14B¹, 4B⁰, 56B⁶, 7C⁰, 28A³, 2B⁰, 8C⁰, 28A⁵, 1A⁰, 28B², 7A⁰</t>
        </is>
      </c>
      <c r="O2724" t="inlineStr">
        <is>
          <t>112F²³, 56E²³, 56A²³, 112B²³</t>
        </is>
      </c>
    </row>
    <row r="2725">
      <c r="A2725">
        <f>HYPERLINK("https://mathstats.uncg.edu/sites/pauli/congruence/csg11.html#group56C11", "56C¹¹")</f>
        <v/>
      </c>
      <c r="B2725" t="n">
        <v>11</v>
      </c>
      <c r="C2725" t="inlineStr"/>
      <c r="D2725" t="inlineStr">
        <is>
          <t>168</t>
        </is>
      </c>
      <c r="E2725" t="inlineStr">
        <is>
          <t>2</t>
        </is>
      </c>
      <c r="F2725" t="inlineStr">
        <is>
          <t>42</t>
        </is>
      </c>
      <c r="G2725" t="inlineStr">
        <is>
          <t>4</t>
        </is>
      </c>
      <c r="H2725" t="inlineStr">
        <is>
          <t>0</t>
        </is>
      </c>
      <c r="I2725" t="inlineStr">
        <is>
          <t>14⁴, 56²</t>
        </is>
      </c>
      <c r="J2725" t="n">
        <v>6</v>
      </c>
      <c r="K2725" t="inlineStr">
        <is>
          <t>2², 4², 6⁴, 12⁴</t>
        </is>
      </c>
      <c r="L2725" t="inlineStr">
        <is>
          <t>28B⁵, 56B⁵, 56C⁵</t>
        </is>
      </c>
      <c r="M2725" t="inlineStr">
        <is>
          <t>56A²³, 56D²³, 112G²³</t>
        </is>
      </c>
      <c r="N2725" t="inlineStr">
        <is>
          <t>28C², 56B⁵, 56C⁵, 14A², 14B¹, 8D⁰, 7C⁰, 4C⁰, 2B⁰, 28B³, 28B⁵, 1A⁰, 7A⁰</t>
        </is>
      </c>
      <c r="O2725" t="inlineStr">
        <is>
          <t>56D²³, 56A²³, 112G²³</t>
        </is>
      </c>
    </row>
    <row r="2726">
      <c r="A2726">
        <f>HYPERLINK("https://mathstats.uncg.edu/sites/pauli/congruence/csg11.html#group56D11", "56D¹¹")</f>
        <v/>
      </c>
      <c r="B2726" t="n">
        <v>11</v>
      </c>
      <c r="C2726" t="inlineStr"/>
      <c r="D2726" t="inlineStr">
        <is>
          <t>168</t>
        </is>
      </c>
      <c r="E2726" t="inlineStr">
        <is>
          <t>2</t>
        </is>
      </c>
      <c r="F2726" t="inlineStr">
        <is>
          <t>42</t>
        </is>
      </c>
      <c r="G2726" t="inlineStr">
        <is>
          <t>8</t>
        </is>
      </c>
      <c r="H2726" t="inlineStr">
        <is>
          <t>0</t>
        </is>
      </c>
      <c r="I2726" t="inlineStr">
        <is>
          <t>28², 56²</t>
        </is>
      </c>
      <c r="J2726" t="n">
        <v>4</v>
      </c>
      <c r="K2726" t="inlineStr">
        <is>
          <t>2², 4², 6⁴, 12⁴</t>
        </is>
      </c>
      <c r="L2726" t="inlineStr">
        <is>
          <t>28C⁵, 56A⁵, 56C⁵</t>
        </is>
      </c>
      <c r="M2726" t="inlineStr">
        <is>
          <t>56J²¹, 112J²⁴, 112I²⁴</t>
        </is>
      </c>
      <c r="N2726" t="inlineStr">
        <is>
          <t>28C², 56C⁵, 14B¹, 8D⁰, 4C⁰, 28C⁵, 2B⁰, 56A⁵, 1A⁰, 7A⁰</t>
        </is>
      </c>
      <c r="O2726" t="inlineStr">
        <is>
          <t>56J²¹, 112J²⁴, 112I²⁴</t>
        </is>
      </c>
    </row>
    <row r="2727">
      <c r="A2727">
        <f>HYPERLINK("https://mathstats.uncg.edu/sites/pauli/congruence/csg11.html#group56E11", "56E¹¹")</f>
        <v/>
      </c>
      <c r="B2727" t="n">
        <v>11</v>
      </c>
      <c r="C2727" t="inlineStr"/>
      <c r="D2727" t="inlineStr">
        <is>
          <t>168</t>
        </is>
      </c>
      <c r="E2727" t="inlineStr">
        <is>
          <t>2</t>
        </is>
      </c>
      <c r="F2727" t="inlineStr">
        <is>
          <t>42</t>
        </is>
      </c>
      <c r="G2727" t="inlineStr">
        <is>
          <t>8</t>
        </is>
      </c>
      <c r="H2727" t="inlineStr">
        <is>
          <t>0</t>
        </is>
      </c>
      <c r="I2727" t="inlineStr">
        <is>
          <t>28², 56²</t>
        </is>
      </c>
      <c r="J2727" t="n">
        <v>4</v>
      </c>
      <c r="K2727" t="inlineStr">
        <is>
          <t>2², 4², 6⁴, 12⁴</t>
        </is>
      </c>
      <c r="L2727" t="inlineStr">
        <is>
          <t>28D⁵, 56A⁵, 56B⁵</t>
        </is>
      </c>
      <c r="M2727" t="inlineStr">
        <is>
          <t>56J²¹, 56I²⁴, 56H²⁴</t>
        </is>
      </c>
      <c r="N2727" t="inlineStr">
        <is>
          <t>28C², 56B⁵, 14B¹, 4A⁰, 28D⁵, 4C⁰, 2B⁰, 56A⁵, 4F⁰, 28A¹, 1A⁰, 7A⁰</t>
        </is>
      </c>
      <c r="O2727" t="inlineStr">
        <is>
          <t>56H²⁴, 56J²¹, 56I²⁴</t>
        </is>
      </c>
    </row>
    <row r="2728">
      <c r="A2728">
        <f>HYPERLINK("https://mathstats.uncg.edu/sites/pauli/congruence/csg11.html#group56F11", "56F¹¹")</f>
        <v/>
      </c>
      <c r="B2728" t="n">
        <v>11</v>
      </c>
      <c r="C2728" t="inlineStr"/>
      <c r="D2728" t="inlineStr">
        <is>
          <t>168</t>
        </is>
      </c>
      <c r="E2728" t="inlineStr">
        <is>
          <t>2</t>
        </is>
      </c>
      <c r="F2728" t="inlineStr">
        <is>
          <t>84</t>
        </is>
      </c>
      <c r="G2728" t="inlineStr">
        <is>
          <t>6</t>
        </is>
      </c>
      <c r="H2728" t="inlineStr">
        <is>
          <t>0</t>
        </is>
      </c>
      <c r="I2728" t="inlineStr">
        <is>
          <t>28⁴, 56¹</t>
        </is>
      </c>
      <c r="J2728" t="n">
        <v>5</v>
      </c>
      <c r="K2728" t="inlineStr">
        <is>
          <t>4², 8², 12⁴, 24⁴</t>
        </is>
      </c>
      <c r="L2728" t="inlineStr">
        <is>
          <t>28D⁵</t>
        </is>
      </c>
      <c r="M2728" t="inlineStr">
        <is>
          <t>56C²², 56G²³, 56I²³, 56A²⁴, 56H²⁴</t>
        </is>
      </c>
      <c r="N2728" t="inlineStr">
        <is>
          <t>28C², 14B¹, 4A⁰, 28D⁵, 4C⁰, 2B⁰, 4F⁰, 28A¹, 1A⁰, 7A⁰</t>
        </is>
      </c>
      <c r="O2728" t="inlineStr">
        <is>
          <t>56I²³, 56C²², 56A²⁴, 56H²⁴, 56G²³</t>
        </is>
      </c>
    </row>
    <row r="2729">
      <c r="A2729">
        <f>HYPERLINK("https://mathstats.uncg.edu/sites/pauli/congruence/csg11.html#group56G11", "56G¹¹")</f>
        <v/>
      </c>
      <c r="B2729" t="n">
        <v>11</v>
      </c>
      <c r="C2729" t="inlineStr"/>
      <c r="D2729" t="inlineStr">
        <is>
          <t>168</t>
        </is>
      </c>
      <c r="E2729" t="inlineStr">
        <is>
          <t>2</t>
        </is>
      </c>
      <c r="F2729" t="inlineStr">
        <is>
          <t>84</t>
        </is>
      </c>
      <c r="G2729" t="inlineStr">
        <is>
          <t>6</t>
        </is>
      </c>
      <c r="H2729" t="inlineStr">
        <is>
          <t>0</t>
        </is>
      </c>
      <c r="I2729" t="inlineStr">
        <is>
          <t>28⁴, 56¹</t>
        </is>
      </c>
      <c r="J2729" t="n">
        <v>5</v>
      </c>
      <c r="K2729" t="inlineStr">
        <is>
          <t>4², 8², 12⁴, 24⁴</t>
        </is>
      </c>
      <c r="L2729" t="inlineStr">
        <is>
          <t>8K⁰, 28D⁵</t>
        </is>
      </c>
      <c r="M2729" t="inlineStr">
        <is>
          <t>56C²², 56G²³, 56J²³, 56B²⁴, 56I²⁴, 112W²⁴, 112X²⁴, 112Y²⁴, 112Z²⁴</t>
        </is>
      </c>
      <c r="N2729" t="inlineStr">
        <is>
          <t>14B¹, 4C⁰, 2B⁰, 1A⁰, 8K⁰, 28C², 4A⁰, 28D⁵, 4F⁰, 28A¹, 7A⁰</t>
        </is>
      </c>
      <c r="O2729" t="inlineStr">
        <is>
          <t>112W²⁴, 112Y²⁴, 112Z²⁴, 56C²², 56J²³, 112X²⁴, 56B²⁴, 56I²⁴, 56G²³</t>
        </is>
      </c>
    </row>
    <row r="2730">
      <c r="A2730">
        <f>HYPERLINK("https://mathstats.uncg.edu/sites/pauli/congruence/csg11.html#group56H11", "56H¹¹")</f>
        <v/>
      </c>
      <c r="B2730" t="n">
        <v>11</v>
      </c>
      <c r="C2730" t="inlineStr"/>
      <c r="D2730" t="inlineStr">
        <is>
          <t>168</t>
        </is>
      </c>
      <c r="E2730" t="inlineStr">
        <is>
          <t>2</t>
        </is>
      </c>
      <c r="F2730" t="inlineStr">
        <is>
          <t>84</t>
        </is>
      </c>
      <c r="G2730" t="inlineStr">
        <is>
          <t>10</t>
        </is>
      </c>
      <c r="H2730" t="inlineStr">
        <is>
          <t>0</t>
        </is>
      </c>
      <c r="I2730" t="inlineStr">
        <is>
          <t>56³</t>
        </is>
      </c>
      <c r="J2730" t="n">
        <v>3</v>
      </c>
      <c r="K2730" t="inlineStr">
        <is>
          <t>12², 24⁶</t>
        </is>
      </c>
      <c r="L2730" t="inlineStr">
        <is>
          <t>28B⁴</t>
        </is>
      </c>
      <c r="M2730" t="inlineStr">
        <is>
          <t>56H²², 56K²³, 56L²³, 56K²⁴, 56L²⁴</t>
        </is>
      </c>
      <c r="N2730" t="inlineStr">
        <is>
          <t>28B⁴, 7D⁰, 28A¹, 1A⁰, 4A⁰, 7A⁰</t>
        </is>
      </c>
      <c r="O2730" t="inlineStr">
        <is>
          <t>56L²³, 56K²⁴, 56K²³, 56H²², 56L²⁴</t>
        </is>
      </c>
    </row>
    <row r="2731">
      <c r="A2731">
        <f>HYPERLINK("https://mathstats.uncg.edu/sites/pauli/congruence/csg11.html#group56I11", "56I¹¹")</f>
        <v/>
      </c>
      <c r="B2731" t="n">
        <v>11</v>
      </c>
      <c r="C2731" t="inlineStr"/>
      <c r="D2731" t="inlineStr">
        <is>
          <t>168</t>
        </is>
      </c>
      <c r="E2731" t="inlineStr">
        <is>
          <t>2</t>
        </is>
      </c>
      <c r="F2731" t="inlineStr">
        <is>
          <t>84</t>
        </is>
      </c>
      <c r="G2731" t="inlineStr">
        <is>
          <t>10</t>
        </is>
      </c>
      <c r="H2731" t="inlineStr">
        <is>
          <t>0</t>
        </is>
      </c>
      <c r="I2731" t="inlineStr">
        <is>
          <t>56³</t>
        </is>
      </c>
      <c r="J2731" t="n">
        <v>3</v>
      </c>
      <c r="K2731" t="inlineStr">
        <is>
          <t>12², 24⁶</t>
        </is>
      </c>
      <c r="L2731" t="inlineStr">
        <is>
          <t>56C³, 56D³, 28B⁴</t>
        </is>
      </c>
      <c r="M2731" t="inlineStr">
        <is>
          <t>56H²², 56C²³, 56B²³, 56M²⁴, 56N²⁴</t>
        </is>
      </c>
      <c r="N2731" t="inlineStr">
        <is>
          <t>56D³, 7D⁰, 4A⁰, 8A⁰, 56C³, 28B⁴, 28A¹, 1A⁰, 7A⁰</t>
        </is>
      </c>
      <c r="O2731" t="inlineStr">
        <is>
          <t>56M²⁴, 56C²³, 56H²², 56B²³, 56N²⁴</t>
        </is>
      </c>
    </row>
    <row r="2732">
      <c r="A2732">
        <f>HYPERLINK("https://mathstats.uncg.edu/sites/pauli/congruence/csg11.html#group56J11", "56J¹¹")</f>
        <v/>
      </c>
      <c r="B2732" t="n">
        <v>11</v>
      </c>
      <c r="C2732" t="inlineStr"/>
      <c r="D2732" t="inlineStr">
        <is>
          <t>168</t>
        </is>
      </c>
      <c r="E2732" t="inlineStr">
        <is>
          <t>2</t>
        </is>
      </c>
      <c r="F2732" t="inlineStr">
        <is>
          <t>84</t>
        </is>
      </c>
      <c r="G2732" t="inlineStr">
        <is>
          <t>10</t>
        </is>
      </c>
      <c r="H2732" t="inlineStr">
        <is>
          <t>0</t>
        </is>
      </c>
      <c r="I2732" t="inlineStr">
        <is>
          <t>56³</t>
        </is>
      </c>
      <c r="J2732" t="n">
        <v>3</v>
      </c>
      <c r="K2732" t="inlineStr">
        <is>
          <t>24¹⁴</t>
        </is>
      </c>
      <c r="L2732" t="inlineStr">
        <is>
          <t>56A³, 28B⁴</t>
        </is>
      </c>
      <c r="M2732" t="inlineStr">
        <is>
          <t>56A²², 56B²³, 56K²³, 56K²⁴, 56M²⁴</t>
        </is>
      </c>
      <c r="N2732" t="inlineStr">
        <is>
          <t>28B⁴, 7D⁰, 28A¹, 1A⁰, 4A⁰, 7A⁰, 56A³</t>
        </is>
      </c>
      <c r="O2732" t="inlineStr">
        <is>
          <t>56M²⁴, 56K²⁴, 56K²³, 56A²², 56B²³</t>
        </is>
      </c>
    </row>
    <row r="2733">
      <c r="A2733">
        <f>HYPERLINK("https://mathstats.uncg.edu/sites/pauli/congruence/csg11.html#group56K11", "56K¹¹")</f>
        <v/>
      </c>
      <c r="B2733" t="n">
        <v>11</v>
      </c>
      <c r="C2733" t="inlineStr"/>
      <c r="D2733" t="inlineStr">
        <is>
          <t>168</t>
        </is>
      </c>
      <c r="E2733" t="inlineStr">
        <is>
          <t>2</t>
        </is>
      </c>
      <c r="F2733" t="inlineStr">
        <is>
          <t>84</t>
        </is>
      </c>
      <c r="G2733" t="inlineStr">
        <is>
          <t>10</t>
        </is>
      </c>
      <c r="H2733" t="inlineStr">
        <is>
          <t>0</t>
        </is>
      </c>
      <c r="I2733" t="inlineStr">
        <is>
          <t>56³</t>
        </is>
      </c>
      <c r="J2733" t="n">
        <v>3</v>
      </c>
      <c r="K2733" t="inlineStr">
        <is>
          <t>24¹⁴</t>
        </is>
      </c>
      <c r="L2733" t="inlineStr">
        <is>
          <t>56B³, 28B⁴</t>
        </is>
      </c>
      <c r="M2733" t="inlineStr">
        <is>
          <t>56B²², 56C²³, 56L²³, 56L²⁴, 56N²⁴</t>
        </is>
      </c>
      <c r="N2733" t="inlineStr">
        <is>
          <t>56B³, 7D⁰, 4A⁰, 28B⁴, 28A¹, 1A⁰, 7A⁰</t>
        </is>
      </c>
      <c r="O2733" t="inlineStr">
        <is>
          <t>56L²³, 56C²³, 56B²², 56N²⁴, 56L²⁴</t>
        </is>
      </c>
    </row>
    <row r="2734">
      <c r="A2734">
        <f>HYPERLINK("https://mathstats.uncg.edu/sites/pauli/congruence/csg11.html#group56L11", "56L¹¹")</f>
        <v/>
      </c>
      <c r="B2734" t="n">
        <v>11</v>
      </c>
      <c r="C2734" t="inlineStr"/>
      <c r="D2734" t="inlineStr">
        <is>
          <t>192</t>
        </is>
      </c>
      <c r="E2734" t="inlineStr">
        <is>
          <t>1</t>
        </is>
      </c>
      <c r="F2734" t="inlineStr">
        <is>
          <t>24</t>
        </is>
      </c>
      <c r="G2734" t="inlineStr">
        <is>
          <t>0</t>
        </is>
      </c>
      <c r="H2734" t="inlineStr">
        <is>
          <t>0</t>
        </is>
      </c>
      <c r="I2734" t="inlineStr">
        <is>
          <t>2⁴, 8², 14⁴, 56²</t>
        </is>
      </c>
      <c r="J2734" t="n">
        <v>12</v>
      </c>
      <c r="K2734" t="inlineStr">
        <is>
          <t>1⁶, 6³</t>
        </is>
      </c>
      <c r="L2734" t="inlineStr">
        <is>
          <t>56C⁴, 28E⁵, 56D⁶</t>
        </is>
      </c>
      <c r="M2734" t="inlineStr">
        <is>
          <t>56L²¹, 56V²³</t>
        </is>
      </c>
      <c r="N2734" t="inlineStr">
        <is>
          <t>2A⁰, 28D², 4C⁰, 2B⁰, 4E⁰, 14E², 4B⁰, 1A⁰, 28E⁵, 56C⁴, 56D⁶, 7B⁰, 14C¹, 14B⁰, 28C³, 2C⁰</t>
        </is>
      </c>
      <c r="O2734" t="inlineStr">
        <is>
          <t>56L²¹, 56V²³</t>
        </is>
      </c>
    </row>
    <row r="2735">
      <c r="A2735">
        <f>HYPERLINK("https://mathstats.uncg.edu/sites/pauli/congruence/csg11.html#group56M11", "56M¹¹")</f>
        <v/>
      </c>
      <c r="B2735" t="n">
        <v>11</v>
      </c>
      <c r="C2735" t="inlineStr"/>
      <c r="D2735" t="inlineStr">
        <is>
          <t>192</t>
        </is>
      </c>
      <c r="E2735" t="inlineStr">
        <is>
          <t>1</t>
        </is>
      </c>
      <c r="F2735" t="inlineStr">
        <is>
          <t>24</t>
        </is>
      </c>
      <c r="G2735" t="inlineStr">
        <is>
          <t>0</t>
        </is>
      </c>
      <c r="H2735" t="inlineStr">
        <is>
          <t>0</t>
        </is>
      </c>
      <c r="I2735" t="inlineStr">
        <is>
          <t>2⁴, 8², 14⁴, 56²</t>
        </is>
      </c>
      <c r="J2735" t="n">
        <v>12</v>
      </c>
      <c r="K2735" t="inlineStr">
        <is>
          <t>1⁶, 6³</t>
        </is>
      </c>
      <c r="L2735" t="inlineStr">
        <is>
          <t>8G⁰, 28E⁵, 56D⁵, 56E⁶</t>
        </is>
      </c>
      <c r="M2735" t="inlineStr">
        <is>
          <t>56L²¹, 56Q²³, 56R²³, 112O²³, 112P²³</t>
        </is>
      </c>
      <c r="N2735" t="inlineStr">
        <is>
          <t>2A⁰, 8D⁰, 28D², 4C⁰, 8C⁰, 2B⁰, 4E⁰, 14E², 4B⁰, 56D⁵, 1A⁰, 28E⁵, 8G⁰, 7B⁰, 14C¹, 14B⁰, 28C³, 56E⁶, 2C⁰</t>
        </is>
      </c>
      <c r="O2735" t="inlineStr">
        <is>
          <t>56L²¹, 112P²³, 112O²³, 56Q²³, 56R²³</t>
        </is>
      </c>
    </row>
    <row r="2736">
      <c r="A2736">
        <f>HYPERLINK("https://mathstats.uncg.edu/sites/pauli/congruence/csg11.html#group56N11", "56N¹¹")</f>
        <v/>
      </c>
      <c r="B2736" t="n">
        <v>11</v>
      </c>
      <c r="C2736" t="inlineStr"/>
      <c r="D2736" t="inlineStr">
        <is>
          <t>192</t>
        </is>
      </c>
      <c r="E2736" t="inlineStr">
        <is>
          <t>1</t>
        </is>
      </c>
      <c r="F2736" t="inlineStr">
        <is>
          <t>48</t>
        </is>
      </c>
      <c r="G2736" t="inlineStr">
        <is>
          <t>0</t>
        </is>
      </c>
      <c r="H2736" t="inlineStr">
        <is>
          <t>0</t>
        </is>
      </c>
      <c r="I2736" t="inlineStr">
        <is>
          <t>2⁴, 8², 14⁴, 56²</t>
        </is>
      </c>
      <c r="J2736" t="n">
        <v>12</v>
      </c>
      <c r="K2736" t="inlineStr">
        <is>
          <t>1⁸, 2², 6⁴, 12¹</t>
        </is>
      </c>
      <c r="L2736" t="inlineStr">
        <is>
          <t>28E⁴, 56D⁵, 56D⁶</t>
        </is>
      </c>
      <c r="M2736" t="inlineStr">
        <is>
          <t>56L²¹, 56U²³, 112U²³</t>
        </is>
      </c>
      <c r="N2736" t="inlineStr">
        <is>
          <t>28E⁴, 56D⁶, 7B⁰, 28D², 14C¹, 8C⁰, 2B⁰, 4B⁰, 56D⁵, 1A⁰</t>
        </is>
      </c>
      <c r="O2736" t="inlineStr">
        <is>
          <t>56L²¹, 112U²³, 56U²³</t>
        </is>
      </c>
    </row>
    <row r="2737">
      <c r="A2737">
        <f>HYPERLINK("https://mathstats.uncg.edu/sites/pauli/congruence/csg11.html#group56O11", "56O¹¹")</f>
        <v/>
      </c>
      <c r="B2737" t="n">
        <v>11</v>
      </c>
      <c r="C2737" t="inlineStr"/>
      <c r="D2737" t="inlineStr">
        <is>
          <t>192</t>
        </is>
      </c>
      <c r="E2737" t="inlineStr">
        <is>
          <t>1</t>
        </is>
      </c>
      <c r="F2737" t="inlineStr">
        <is>
          <t>96</t>
        </is>
      </c>
      <c r="G2737" t="inlineStr">
        <is>
          <t>0</t>
        </is>
      </c>
      <c r="H2737" t="inlineStr">
        <is>
          <t>0</t>
        </is>
      </c>
      <c r="I2737" t="inlineStr">
        <is>
          <t>1², 2¹, 4¹, 7², 8², 14¹, 28¹, 56²</t>
        </is>
      </c>
      <c r="J2737" t="n">
        <v>12</v>
      </c>
      <c r="K2737" t="inlineStr">
        <is>
          <t>1⁸, 2⁴, 4², 6⁴, 12², 24¹</t>
        </is>
      </c>
      <c r="L2737" t="inlineStr">
        <is>
          <t>56D⁵</t>
        </is>
      </c>
      <c r="M2737" t="inlineStr">
        <is>
          <t>56M²¹, 56Q²³, 56U²³, 112R²³, 112Q²³</t>
        </is>
      </c>
      <c r="N2737" t="inlineStr">
        <is>
          <t>7B⁰, 28D², 14C¹, 8C⁰, 2B⁰, 4B⁰, 56D⁵, 1A⁰</t>
        </is>
      </c>
      <c r="O2737" t="inlineStr">
        <is>
          <t>112R²³, 56M²¹, 56U²³, 56Q²³, 112Q²³</t>
        </is>
      </c>
    </row>
    <row r="2738">
      <c r="A2738">
        <f>HYPERLINK("https://mathstats.uncg.edu/sites/pauli/congruence/csg11.html#group56P11", "56P¹¹")</f>
        <v/>
      </c>
      <c r="B2738" t="n">
        <v>11</v>
      </c>
      <c r="C2738" t="inlineStr"/>
      <c r="D2738" t="inlineStr">
        <is>
          <t>192</t>
        </is>
      </c>
      <c r="E2738" t="inlineStr">
        <is>
          <t>1</t>
        </is>
      </c>
      <c r="F2738" t="inlineStr">
        <is>
          <t>96</t>
        </is>
      </c>
      <c r="G2738" t="inlineStr">
        <is>
          <t>0</t>
        </is>
      </c>
      <c r="H2738" t="inlineStr">
        <is>
          <t>0</t>
        </is>
      </c>
      <c r="I2738" t="inlineStr">
        <is>
          <t>1², 2¹, 4¹, 7², 8², 14¹, 28¹, 56²</t>
        </is>
      </c>
      <c r="J2738" t="n">
        <v>12</v>
      </c>
      <c r="K2738" t="inlineStr">
        <is>
          <t>1⁸, 2⁴, 4², 6⁴, 12², 24¹</t>
        </is>
      </c>
      <c r="L2738" t="inlineStr">
        <is>
          <t>8I⁰, 56D⁵</t>
        </is>
      </c>
      <c r="M2738" t="inlineStr">
        <is>
          <t>56M²¹, 56R²³, 56U²³, 112S²³, 112T²³</t>
        </is>
      </c>
      <c r="N2738" t="inlineStr">
        <is>
          <t>7B⁰, 28D², 14C¹, 8C⁰, 2B⁰, 8I⁰, 4B⁰, 56D⁵, 1A⁰</t>
        </is>
      </c>
      <c r="O2738" t="inlineStr">
        <is>
          <t>112T²³, 56M²¹, 112S²³, 56U²³, 56R²³</t>
        </is>
      </c>
    </row>
    <row r="2739">
      <c r="A2739">
        <f>HYPERLINK("https://mathstats.uncg.edu/sites/pauli/congruence/csg11.html#group56Q11", "56Q¹¹")</f>
        <v/>
      </c>
      <c r="B2739" t="n">
        <v>11</v>
      </c>
      <c r="C2739" t="inlineStr"/>
      <c r="D2739" t="inlineStr">
        <is>
          <t>192</t>
        </is>
      </c>
      <c r="E2739" t="inlineStr">
        <is>
          <t>1</t>
        </is>
      </c>
      <c r="F2739" t="inlineStr">
        <is>
          <t>96</t>
        </is>
      </c>
      <c r="G2739" t="inlineStr">
        <is>
          <t>0</t>
        </is>
      </c>
      <c r="H2739" t="inlineStr">
        <is>
          <t>0</t>
        </is>
      </c>
      <c r="I2739" t="inlineStr">
        <is>
          <t>2², 4³, 8¹, 14², 28³, 56¹</t>
        </is>
      </c>
      <c r="J2739" t="n">
        <v>12</v>
      </c>
      <c r="K2739" t="inlineStr">
        <is>
          <t>1¹⁶, 2⁴, 6⁸, 12²</t>
        </is>
      </c>
      <c r="L2739" t="inlineStr">
        <is>
          <t>28E⁵</t>
        </is>
      </c>
      <c r="M2739" t="inlineStr">
        <is>
          <t>56N²¹, 56O²³, 56Q²³, 56V²³, 56W²³</t>
        </is>
      </c>
      <c r="N2739" t="inlineStr">
        <is>
          <t>2A⁰, 28E⁵, 28C³, 7B⁰, 28D², 4C⁰, 14C¹, 14B⁰, 2B⁰, 4E⁰, 14E², 4B⁰, 1A⁰, 2C⁰</t>
        </is>
      </c>
      <c r="O2739" t="inlineStr">
        <is>
          <t>56W²³, 56V²³, 56Q²³, 56N²¹, 56O²³</t>
        </is>
      </c>
    </row>
    <row r="2740">
      <c r="A2740">
        <f>HYPERLINK("https://mathstats.uncg.edu/sites/pauli/congruence/csg11.html#group56R11", "56R¹¹")</f>
        <v/>
      </c>
      <c r="B2740" t="n">
        <v>11</v>
      </c>
      <c r="C2740" t="inlineStr"/>
      <c r="D2740" t="inlineStr">
        <is>
          <t>192</t>
        </is>
      </c>
      <c r="E2740" t="inlineStr">
        <is>
          <t>1</t>
        </is>
      </c>
      <c r="F2740" t="inlineStr">
        <is>
          <t>96</t>
        </is>
      </c>
      <c r="G2740" t="inlineStr">
        <is>
          <t>0</t>
        </is>
      </c>
      <c r="H2740" t="inlineStr">
        <is>
          <t>0</t>
        </is>
      </c>
      <c r="I2740" t="inlineStr">
        <is>
          <t>2², 4³, 8¹, 14², 28³, 56¹</t>
        </is>
      </c>
      <c r="J2740" t="n">
        <v>12</v>
      </c>
      <c r="K2740" t="inlineStr">
        <is>
          <t>1¹⁶, 2⁴, 6⁸, 12²</t>
        </is>
      </c>
      <c r="L2740" t="inlineStr">
        <is>
          <t>8J⁰, 28E⁵</t>
        </is>
      </c>
      <c r="M2740" t="inlineStr">
        <is>
          <t>56N²¹, 56P²³, 56R²³, 56V²³, 56W²³</t>
        </is>
      </c>
      <c r="N2740" t="inlineStr">
        <is>
          <t>2A⁰, 4C⁰, 28D², 2B⁰, 4E⁰, 14E², 4B⁰, 1A⁰, 28E⁵, 7B⁰, 14C¹, 14B⁰, 28C³, 8J⁰, 2C⁰</t>
        </is>
      </c>
      <c r="O2740" t="inlineStr">
        <is>
          <t>56P²³, 56W²³, 56V²³, 56N²¹, 56R²³</t>
        </is>
      </c>
    </row>
    <row r="2741">
      <c r="A2741">
        <f>HYPERLINK("https://mathstats.uncg.edu/sites/pauli/congruence/csg11.html#group60A11", "60A¹¹")</f>
        <v/>
      </c>
      <c r="B2741" t="n">
        <v>11</v>
      </c>
      <c r="C2741" t="inlineStr"/>
      <c r="D2741" t="inlineStr">
        <is>
          <t>144</t>
        </is>
      </c>
      <c r="E2741" t="inlineStr">
        <is>
          <t>1</t>
        </is>
      </c>
      <c r="F2741" t="inlineStr">
        <is>
          <t>6</t>
        </is>
      </c>
      <c r="G2741" t="inlineStr">
        <is>
          <t>0</t>
        </is>
      </c>
      <c r="H2741" t="inlineStr">
        <is>
          <t>0</t>
        </is>
      </c>
      <c r="I2741" t="inlineStr">
        <is>
          <t>12², 60²</t>
        </is>
      </c>
      <c r="J2741" t="n">
        <v>4</v>
      </c>
      <c r="K2741" t="inlineStr">
        <is>
          <t>1², 4¹</t>
        </is>
      </c>
      <c r="L2741" t="inlineStr">
        <is>
          <t>20A³, 60C³, 30C⁵</t>
        </is>
      </c>
      <c r="M2741" t="inlineStr">
        <is>
          <t>60D²¹</t>
        </is>
      </c>
      <c r="N2741" t="inlineStr">
        <is>
          <t>30A⁰, 2A⁰, 30C⁵, 20C¹, 5B⁰, 5D⁰, 10A¹, 10D¹, 1A⁰, 20A³, 30B³, 10B⁰, 15B⁰, 60C³, 15B², 6A¹, 3A⁰</t>
        </is>
      </c>
      <c r="O2741" t="inlineStr">
        <is>
          <t>60D²¹</t>
        </is>
      </c>
    </row>
    <row r="2742">
      <c r="A2742">
        <f>HYPERLINK("https://mathstats.uncg.edu/sites/pauli/congruence/csg11.html#group60B11", "60B¹¹")</f>
        <v/>
      </c>
      <c r="B2742" t="n">
        <v>11</v>
      </c>
      <c r="C2742" t="inlineStr"/>
      <c r="D2742" t="inlineStr">
        <is>
          <t>144</t>
        </is>
      </c>
      <c r="E2742" t="inlineStr">
        <is>
          <t>1</t>
        </is>
      </c>
      <c r="F2742" t="inlineStr">
        <is>
          <t>12</t>
        </is>
      </c>
      <c r="G2742" t="inlineStr">
        <is>
          <t>0</t>
        </is>
      </c>
      <c r="H2742" t="inlineStr">
        <is>
          <t>0</t>
        </is>
      </c>
      <c r="I2742" t="inlineStr">
        <is>
          <t>12², 60²</t>
        </is>
      </c>
      <c r="J2742" t="n">
        <v>4</v>
      </c>
      <c r="K2742" t="inlineStr">
        <is>
          <t>2², 8¹</t>
        </is>
      </c>
      <c r="L2742" t="inlineStr">
        <is>
          <t>20A³, 30D⁵</t>
        </is>
      </c>
      <c r="M2742" t="inlineStr"/>
      <c r="N2742" t="inlineStr">
        <is>
          <t>2A⁰, 20C¹, 6A⁰, 30C³, 5B⁰, 5D⁰, 10A¹, 10D¹, 1A⁰, 30D⁵, 20A³, 10B⁰</t>
        </is>
      </c>
      <c r="O2742" t="inlineStr"/>
    </row>
    <row r="2743">
      <c r="A2743">
        <f>HYPERLINK("https://mathstats.uncg.edu/sites/pauli/congruence/csg11.html#group60C11", "60C¹¹")</f>
        <v/>
      </c>
      <c r="B2743" t="n">
        <v>11</v>
      </c>
      <c r="C2743" t="inlineStr"/>
      <c r="D2743" t="inlineStr">
        <is>
          <t>144</t>
        </is>
      </c>
      <c r="E2743" t="inlineStr">
        <is>
          <t>1</t>
        </is>
      </c>
      <c r="F2743" t="inlineStr">
        <is>
          <t>18</t>
        </is>
      </c>
      <c r="G2743" t="inlineStr">
        <is>
          <t>0</t>
        </is>
      </c>
      <c r="H2743" t="inlineStr">
        <is>
          <t>0</t>
        </is>
      </c>
      <c r="I2743" t="inlineStr">
        <is>
          <t>12², 60²</t>
        </is>
      </c>
      <c r="J2743" t="n">
        <v>4</v>
      </c>
      <c r="K2743" t="inlineStr">
        <is>
          <t>1², 2², 4¹, 8¹</t>
        </is>
      </c>
      <c r="L2743" t="inlineStr">
        <is>
          <t>60D³, 30C⁵</t>
        </is>
      </c>
      <c r="M2743" t="inlineStr">
        <is>
          <t>60C²¹, 60D²¹</t>
        </is>
      </c>
      <c r="N2743" t="inlineStr">
        <is>
          <t>30A⁰, 2A⁰, 30C⁵, 15B⁰, 15B², 5B⁰, 5D⁰, 10A¹, 6A¹, 60D³, 3A⁰, 10D¹, 1A⁰, 30B³, 10B⁰</t>
        </is>
      </c>
      <c r="O2743" t="inlineStr">
        <is>
          <t>60D²¹, 60C²¹</t>
        </is>
      </c>
    </row>
    <row r="2744">
      <c r="A2744">
        <f>HYPERLINK("https://mathstats.uncg.edu/sites/pauli/congruence/csg11.html#group60D11", "60D¹¹")</f>
        <v/>
      </c>
      <c r="B2744" t="n">
        <v>11</v>
      </c>
      <c r="C2744" t="inlineStr"/>
      <c r="D2744" t="inlineStr">
        <is>
          <t>144</t>
        </is>
      </c>
      <c r="E2744" t="inlineStr">
        <is>
          <t>1</t>
        </is>
      </c>
      <c r="F2744" t="inlineStr">
        <is>
          <t>24</t>
        </is>
      </c>
      <c r="G2744" t="inlineStr">
        <is>
          <t>0</t>
        </is>
      </c>
      <c r="H2744" t="inlineStr">
        <is>
          <t>0</t>
        </is>
      </c>
      <c r="I2744" t="inlineStr">
        <is>
          <t>12², 60²</t>
        </is>
      </c>
      <c r="J2744" t="n">
        <v>4</v>
      </c>
      <c r="K2744" t="inlineStr">
        <is>
          <t>2⁴, 8²</t>
        </is>
      </c>
      <c r="L2744" t="inlineStr">
        <is>
          <t>15B², 20B³, 60B³</t>
        </is>
      </c>
      <c r="M2744" t="inlineStr">
        <is>
          <t>60F²¹, 60L²¹, 60N²¹, 120I²³, 120J²³</t>
        </is>
      </c>
      <c r="N2744" t="inlineStr">
        <is>
          <t>15B⁰, 12A⁰, 4A⁰, 15B², 5B⁰, 5D⁰, 60B³, 3A⁰, 1A⁰, 20B³, 20B¹</t>
        </is>
      </c>
      <c r="O2744" t="inlineStr">
        <is>
          <t>60F²¹, 120I²³, 60L²¹, 60N²¹, 120J²³</t>
        </is>
      </c>
    </row>
    <row r="2745">
      <c r="A2745">
        <f>HYPERLINK("https://mathstats.uncg.edu/sites/pauli/congruence/csg11.html#group60E11", "60E¹¹")</f>
        <v/>
      </c>
      <c r="B2745" t="n">
        <v>11</v>
      </c>
      <c r="C2745" t="inlineStr"/>
      <c r="D2745" t="inlineStr">
        <is>
          <t>144</t>
        </is>
      </c>
      <c r="E2745" t="inlineStr">
        <is>
          <t>1</t>
        </is>
      </c>
      <c r="F2745" t="inlineStr">
        <is>
          <t>24</t>
        </is>
      </c>
      <c r="G2745" t="inlineStr">
        <is>
          <t>0</t>
        </is>
      </c>
      <c r="H2745" t="inlineStr">
        <is>
          <t>0</t>
        </is>
      </c>
      <c r="I2745" t="inlineStr">
        <is>
          <t>12², 60²</t>
        </is>
      </c>
      <c r="J2745" t="n">
        <v>4</v>
      </c>
      <c r="K2745" t="inlineStr">
        <is>
          <t>2⁴, 8²</t>
        </is>
      </c>
      <c r="L2745" t="inlineStr">
        <is>
          <t>12A², 20C³, 30B³, 60B³</t>
        </is>
      </c>
      <c r="M2745" t="inlineStr">
        <is>
          <t>60F²¹, 60M²¹, 60O²¹, 120A²³, 120B²³, 120E²³, 120F²³</t>
        </is>
      </c>
      <c r="N2745" t="inlineStr">
        <is>
          <t>2A⁰, 20C³, 5B⁰, 10A¹, 1A⁰, 20B¹, 30B³, 15B⁰, 12A⁰, 4A⁰, 4D⁰, 12A², 60B³, 6A¹, 3A⁰</t>
        </is>
      </c>
      <c r="O2745" t="inlineStr">
        <is>
          <t>60F²¹, 60O²¹, 60M²¹, 120F²³, 120E²³, 120B²³, 120A²³</t>
        </is>
      </c>
    </row>
    <row r="2746">
      <c r="A2746">
        <f>HYPERLINK("https://mathstats.uncg.edu/sites/pauli/congruence/csg11.html#group60F11", "60F¹¹")</f>
        <v/>
      </c>
      <c r="B2746" t="n">
        <v>11</v>
      </c>
      <c r="C2746" t="inlineStr"/>
      <c r="D2746" t="inlineStr">
        <is>
          <t>144</t>
        </is>
      </c>
      <c r="E2746" t="inlineStr">
        <is>
          <t>1</t>
        </is>
      </c>
      <c r="F2746" t="inlineStr">
        <is>
          <t>48</t>
        </is>
      </c>
      <c r="G2746" t="inlineStr">
        <is>
          <t>0</t>
        </is>
      </c>
      <c r="H2746" t="inlineStr">
        <is>
          <t>0</t>
        </is>
      </c>
      <c r="I2746" t="inlineStr">
        <is>
          <t>12², 60²</t>
        </is>
      </c>
      <c r="J2746" t="n">
        <v>4</v>
      </c>
      <c r="K2746" t="inlineStr">
        <is>
          <t>4⁴, 16²</t>
        </is>
      </c>
      <c r="L2746" t="inlineStr">
        <is>
          <t>12E¹, 20C³, 30C³</t>
        </is>
      </c>
      <c r="M2746" t="inlineStr">
        <is>
          <t>60H²¹, 120C²³, 120D²³</t>
        </is>
      </c>
      <c r="N2746" t="inlineStr">
        <is>
          <t>2A⁰, 6A⁰, 30C³, 4A⁰, 4D⁰, 20C³, 12E¹, 5B⁰, 10A¹, 1A⁰, 20B¹</t>
        </is>
      </c>
      <c r="O2746" t="inlineStr">
        <is>
          <t>120D²³, 120C²³, 60H²¹</t>
        </is>
      </c>
    </row>
    <row r="2747">
      <c r="A2747">
        <f>HYPERLINK("https://mathstats.uncg.edu/sites/pauli/congruence/csg11.html#group60G11", "60G¹¹")</f>
        <v/>
      </c>
      <c r="B2747" t="n">
        <v>11</v>
      </c>
      <c r="C2747" t="inlineStr"/>
      <c r="D2747" t="inlineStr">
        <is>
          <t>144</t>
        </is>
      </c>
      <c r="E2747" t="inlineStr">
        <is>
          <t>1</t>
        </is>
      </c>
      <c r="F2747" t="inlineStr">
        <is>
          <t>144</t>
        </is>
      </c>
      <c r="G2747" t="inlineStr">
        <is>
          <t>0</t>
        </is>
      </c>
      <c r="H2747" t="inlineStr">
        <is>
          <t>0</t>
        </is>
      </c>
      <c r="I2747" t="inlineStr">
        <is>
          <t>12², 60²</t>
        </is>
      </c>
      <c r="J2747" t="n">
        <v>4</v>
      </c>
      <c r="K2747" t="inlineStr">
        <is>
          <t>4¹², 16⁶</t>
        </is>
      </c>
      <c r="L2747" t="inlineStr">
        <is>
          <t>12H¹, 30C³</t>
        </is>
      </c>
      <c r="M2747" t="inlineStr">
        <is>
          <t>60P²¹, 120G²³, 120H²³</t>
        </is>
      </c>
      <c r="N2747" t="inlineStr">
        <is>
          <t>5B⁰, 2A⁰, 10A¹, 1A⁰, 12H¹, 6A⁰, 30C³</t>
        </is>
      </c>
      <c r="O2747" t="inlineStr">
        <is>
          <t>120H²³, 60P²¹, 120G²³</t>
        </is>
      </c>
    </row>
    <row r="2748">
      <c r="A2748">
        <f>HYPERLINK("https://mathstats.uncg.edu/sites/pauli/congruence/csg11.html#group60H11", "60H¹¹")</f>
        <v/>
      </c>
      <c r="B2748" t="n">
        <v>11</v>
      </c>
      <c r="C2748" t="inlineStr"/>
      <c r="D2748" t="inlineStr">
        <is>
          <t>160</t>
        </is>
      </c>
      <c r="E2748" t="inlineStr">
        <is>
          <t>1</t>
        </is>
      </c>
      <c r="F2748" t="inlineStr">
        <is>
          <t>40</t>
        </is>
      </c>
      <c r="G2748" t="inlineStr">
        <is>
          <t>0</t>
        </is>
      </c>
      <c r="H2748" t="inlineStr">
        <is>
          <t>4</t>
        </is>
      </c>
      <c r="I2748" t="inlineStr">
        <is>
          <t>20², 60²</t>
        </is>
      </c>
      <c r="J2748" t="n">
        <v>4</v>
      </c>
      <c r="K2748" t="inlineStr">
        <is>
          <t>2², 4⁵, 8²</t>
        </is>
      </c>
      <c r="L2748" t="inlineStr">
        <is>
          <t>30J⁵</t>
        </is>
      </c>
      <c r="M2748" t="inlineStr">
        <is>
          <t>60S²¹</t>
        </is>
      </c>
      <c r="N2748" t="inlineStr">
        <is>
          <t>30J⁵, 2A⁰, 3B⁰, 6C⁰, 10C¹, 1A⁰, 15C², 5C⁰</t>
        </is>
      </c>
      <c r="O2748" t="inlineStr">
        <is>
          <t>60S²¹</t>
        </is>
      </c>
    </row>
    <row r="2749">
      <c r="A2749">
        <f>HYPERLINK("https://mathstats.uncg.edu/sites/pauli/congruence/csg11.html#group60I11", "60I¹¹")</f>
        <v/>
      </c>
      <c r="B2749" t="n">
        <v>11</v>
      </c>
      <c r="C2749" t="inlineStr"/>
      <c r="D2749" t="inlineStr">
        <is>
          <t>160</t>
        </is>
      </c>
      <c r="E2749" t="inlineStr">
        <is>
          <t>1</t>
        </is>
      </c>
      <c r="F2749" t="inlineStr">
        <is>
          <t>40</t>
        </is>
      </c>
      <c r="G2749" t="inlineStr">
        <is>
          <t>0</t>
        </is>
      </c>
      <c r="H2749" t="inlineStr">
        <is>
          <t>4</t>
        </is>
      </c>
      <c r="I2749" t="inlineStr">
        <is>
          <t>20², 60²</t>
        </is>
      </c>
      <c r="J2749" t="n">
        <v>4</v>
      </c>
      <c r="K2749" t="inlineStr">
        <is>
          <t>2², 4⁵, 8²</t>
        </is>
      </c>
      <c r="L2749" t="inlineStr">
        <is>
          <t>12B⁰, 30J⁵</t>
        </is>
      </c>
      <c r="M2749" t="inlineStr">
        <is>
          <t>60S²¹</t>
        </is>
      </c>
      <c r="N2749" t="inlineStr">
        <is>
          <t>30J⁵, 2A⁰, 3B⁰, 6C⁰, 10C¹, 1A⁰, 15C², 5C⁰, 12B⁰</t>
        </is>
      </c>
      <c r="O2749" t="inlineStr">
        <is>
          <t>60S²¹</t>
        </is>
      </c>
    </row>
    <row r="2750">
      <c r="A2750">
        <f>HYPERLINK("https://mathstats.uncg.edu/sites/pauli/congruence/csg11.html#group60J11", "60J¹¹")</f>
        <v/>
      </c>
      <c r="B2750" t="n">
        <v>11</v>
      </c>
      <c r="C2750" t="inlineStr"/>
      <c r="D2750" t="inlineStr">
        <is>
          <t>160</t>
        </is>
      </c>
      <c r="E2750" t="inlineStr">
        <is>
          <t>1</t>
        </is>
      </c>
      <c r="F2750" t="inlineStr">
        <is>
          <t>80</t>
        </is>
      </c>
      <c r="G2750" t="inlineStr">
        <is>
          <t>0</t>
        </is>
      </c>
      <c r="H2750" t="inlineStr">
        <is>
          <t>4</t>
        </is>
      </c>
      <c r="I2750" t="inlineStr">
        <is>
          <t>20², 60²</t>
        </is>
      </c>
      <c r="J2750" t="n">
        <v>4</v>
      </c>
      <c r="K2750" t="inlineStr">
        <is>
          <t>2⁴, 4², 8⁴, 16²</t>
        </is>
      </c>
      <c r="L2750" t="inlineStr">
        <is>
          <t>12I¹, 20D², 30D², 60A⁶</t>
        </is>
      </c>
      <c r="M2750" t="inlineStr">
        <is>
          <t>60T²¹, 120K²³, 120L²³</t>
        </is>
      </c>
      <c r="N2750" t="inlineStr">
        <is>
          <t>3B⁰, 2A⁰, 5A⁰, 12I¹, 30D², 6C⁰, 20A¹, 60A⁶, 1A⁰, 10A⁰, 20D², 4A⁰, 4D⁰, 12A¹, 15B¹</t>
        </is>
      </c>
      <c r="O2750" t="inlineStr">
        <is>
          <t>120K²³, 120L²³, 60T²¹</t>
        </is>
      </c>
    </row>
    <row r="2751">
      <c r="A2751">
        <f>HYPERLINK("https://mathstats.uncg.edu/sites/pauli/congruence/csg11.html#group60K11", "60K¹¹")</f>
        <v/>
      </c>
      <c r="B2751" t="n">
        <v>11</v>
      </c>
      <c r="C2751" t="inlineStr"/>
      <c r="D2751" t="inlineStr">
        <is>
          <t>160</t>
        </is>
      </c>
      <c r="E2751" t="inlineStr">
        <is>
          <t>2</t>
        </is>
      </c>
      <c r="F2751" t="inlineStr">
        <is>
          <t>40</t>
        </is>
      </c>
      <c r="G2751" t="inlineStr">
        <is>
          <t>0</t>
        </is>
      </c>
      <c r="H2751" t="inlineStr">
        <is>
          <t>4</t>
        </is>
      </c>
      <c r="I2751" t="inlineStr">
        <is>
          <t>20², 60²</t>
        </is>
      </c>
      <c r="J2751" t="n">
        <v>4</v>
      </c>
      <c r="K2751" t="inlineStr">
        <is>
          <t>4², 8⁵, 16²</t>
        </is>
      </c>
      <c r="L2751" t="inlineStr">
        <is>
          <t>20F¹, 30I⁵</t>
        </is>
      </c>
      <c r="M2751" t="inlineStr">
        <is>
          <t>60R²¹</t>
        </is>
      </c>
      <c r="N2751" t="inlineStr">
        <is>
          <t>3B⁰, 1A⁰, 15C², 30I⁵, 10D⁰, 5C⁰, 20F¹</t>
        </is>
      </c>
      <c r="O2751" t="inlineStr">
        <is>
          <t>60R²¹</t>
        </is>
      </c>
    </row>
    <row r="2752">
      <c r="A2752">
        <f>HYPERLINK("https://mathstats.uncg.edu/sites/pauli/congruence/csg11.html#group60L11", "60L¹¹")</f>
        <v/>
      </c>
      <c r="B2752" t="n">
        <v>11</v>
      </c>
      <c r="C2752" t="inlineStr"/>
      <c r="D2752" t="inlineStr">
        <is>
          <t>180</t>
        </is>
      </c>
      <c r="E2752" t="inlineStr">
        <is>
          <t>1</t>
        </is>
      </c>
      <c r="F2752" t="inlineStr">
        <is>
          <t>30</t>
        </is>
      </c>
      <c r="G2752" t="inlineStr">
        <is>
          <t>12</t>
        </is>
      </c>
      <c r="H2752" t="inlineStr">
        <is>
          <t>0</t>
        </is>
      </c>
      <c r="I2752" t="inlineStr">
        <is>
          <t>30², 60²</t>
        </is>
      </c>
      <c r="J2752" t="n">
        <v>4</v>
      </c>
      <c r="K2752" t="inlineStr">
        <is>
          <t>2³, 4⁶</t>
        </is>
      </c>
      <c r="L2752" t="inlineStr">
        <is>
          <t>12C⁰, 20F³, 30K⁵</t>
        </is>
      </c>
      <c r="M2752" t="inlineStr">
        <is>
          <t>60U²¹, 60G²³, 60I²³, 120M²³, 120N²³</t>
        </is>
      </c>
      <c r="N2752" t="inlineStr">
        <is>
          <t>30K⁵, 15D¹, 12C⁰, 4C⁰, 1A⁰, 2B⁰, 3A⁰, 5C⁰, 20F³, 6D⁰, 10F¹</t>
        </is>
      </c>
      <c r="O2752" t="inlineStr">
        <is>
          <t>120N²³, 60G²³, 60I²³, 120M²³, 60U²¹</t>
        </is>
      </c>
    </row>
    <row r="2753">
      <c r="A2753">
        <f>HYPERLINK("https://mathstats.uncg.edu/sites/pauli/congruence/csg11.html#group60M11", "60M¹¹")</f>
        <v/>
      </c>
      <c r="B2753" t="n">
        <v>11</v>
      </c>
      <c r="C2753" t="inlineStr"/>
      <c r="D2753" t="inlineStr">
        <is>
          <t>180</t>
        </is>
      </c>
      <c r="E2753" t="inlineStr">
        <is>
          <t>1</t>
        </is>
      </c>
      <c r="F2753" t="inlineStr">
        <is>
          <t>90</t>
        </is>
      </c>
      <c r="G2753" t="inlineStr">
        <is>
          <t>8</t>
        </is>
      </c>
      <c r="H2753" t="inlineStr">
        <is>
          <t>0</t>
        </is>
      </c>
      <c r="I2753" t="inlineStr">
        <is>
          <t>15⁴, 60²</t>
        </is>
      </c>
      <c r="J2753" t="n">
        <v>6</v>
      </c>
      <c r="K2753" t="inlineStr">
        <is>
          <t>2³, 4⁹, 8⁶</t>
        </is>
      </c>
      <c r="L2753" t="inlineStr">
        <is>
          <t>12D⁰, 30K⁵</t>
        </is>
      </c>
      <c r="M2753" t="inlineStr">
        <is>
          <t>60V²¹, 60D²³, 60F²³, 60I²³, 60L²³</t>
        </is>
      </c>
      <c r="N2753" t="inlineStr">
        <is>
          <t>30K⁵, 15D¹, 1A⁰, 2B⁰, 12D⁰, 3A⁰, 5C⁰, 6D⁰, 10F¹</t>
        </is>
      </c>
      <c r="O2753" t="inlineStr">
        <is>
          <t>60D²³, 60V²¹, 60L²³, 60F²³, 60I²³</t>
        </is>
      </c>
    </row>
    <row r="2754">
      <c r="A2754">
        <f>HYPERLINK("https://mathstats.uncg.edu/sites/pauli/congruence/csg11.html#group60N11", "60N¹¹")</f>
        <v/>
      </c>
      <c r="B2754" t="n">
        <v>11</v>
      </c>
      <c r="C2754" t="inlineStr"/>
      <c r="D2754" t="inlineStr">
        <is>
          <t>216</t>
        </is>
      </c>
      <c r="E2754" t="inlineStr">
        <is>
          <t>1</t>
        </is>
      </c>
      <c r="F2754" t="inlineStr">
        <is>
          <t>54</t>
        </is>
      </c>
      <c r="G2754" t="inlineStr">
        <is>
          <t>8</t>
        </is>
      </c>
      <c r="H2754" t="inlineStr">
        <is>
          <t>0</t>
        </is>
      </c>
      <c r="I2754" t="inlineStr">
        <is>
          <t>3⁴, 12², 15⁴, 60²</t>
        </is>
      </c>
      <c r="J2754" t="n">
        <v>12</v>
      </c>
      <c r="K2754" t="inlineStr">
        <is>
          <t>1⁶, 2⁶, 4³, 8³</t>
        </is>
      </c>
      <c r="L2754" t="inlineStr">
        <is>
          <t>12G⁰, 30O⁵, 60B⁵</t>
        </is>
      </c>
      <c r="M2754" t="inlineStr">
        <is>
          <t>60W²¹</t>
        </is>
      </c>
      <c r="N2754" t="inlineStr">
        <is>
          <t>5B⁰, 6G⁰, 2B⁰, 30O⁵, 1A⁰, 12G⁰, 15B⁰, 30E², 15E¹, 10C⁰, 3C⁰, 12D⁰, 3A⁰, 6D⁰, 60B⁵</t>
        </is>
      </c>
      <c r="O2754" t="inlineStr">
        <is>
          <t>60W²¹</t>
        </is>
      </c>
    </row>
    <row r="2755">
      <c r="A2755">
        <f>HYPERLINK("https://mathstats.uncg.edu/sites/pauli/congruence/csg11.html#group60O11", "60O¹¹")</f>
        <v/>
      </c>
      <c r="B2755" t="n">
        <v>11</v>
      </c>
      <c r="C2755" t="inlineStr"/>
      <c r="D2755" t="inlineStr">
        <is>
          <t>216</t>
        </is>
      </c>
      <c r="E2755" t="inlineStr">
        <is>
          <t>1</t>
        </is>
      </c>
      <c r="F2755" t="inlineStr">
        <is>
          <t>54</t>
        </is>
      </c>
      <c r="G2755" t="inlineStr">
        <is>
          <t>8</t>
        </is>
      </c>
      <c r="H2755" t="inlineStr">
        <is>
          <t>0</t>
        </is>
      </c>
      <c r="I2755" t="inlineStr">
        <is>
          <t>3⁴, 12², 15⁴, 60²</t>
        </is>
      </c>
      <c r="J2755" t="n">
        <v>12</v>
      </c>
      <c r="K2755" t="inlineStr">
        <is>
          <t>1⁶, 2⁶, 4³, 8³</t>
        </is>
      </c>
      <c r="L2755" t="inlineStr">
        <is>
          <t>60C⁴, 30O⁵, 60E⁶</t>
        </is>
      </c>
      <c r="M2755" t="inlineStr">
        <is>
          <t>60W²¹</t>
        </is>
      </c>
      <c r="N2755" t="inlineStr">
        <is>
          <t>60E⁶, 5B⁰, 6G⁰, 60C⁴, 2B⁰, 30O⁵, 1A⁰, 20A⁰, 15B⁰, 30E², 10C⁰, 3C⁰, 3A⁰, 6D⁰, 15E¹</t>
        </is>
      </c>
      <c r="O2755" t="inlineStr">
        <is>
          <t>60W²¹</t>
        </is>
      </c>
    </row>
    <row r="2756">
      <c r="A2756">
        <f>HYPERLINK("https://mathstats.uncg.edu/sites/pauli/congruence/csg11.html#group60P11", "60P¹¹")</f>
        <v/>
      </c>
      <c r="B2756" t="n">
        <v>11</v>
      </c>
      <c r="C2756" t="inlineStr"/>
      <c r="D2756" t="inlineStr">
        <is>
          <t>216</t>
        </is>
      </c>
      <c r="E2756" t="inlineStr">
        <is>
          <t>1</t>
        </is>
      </c>
      <c r="F2756" t="inlineStr">
        <is>
          <t>54</t>
        </is>
      </c>
      <c r="G2756" t="inlineStr">
        <is>
          <t>16</t>
        </is>
      </c>
      <c r="H2756" t="inlineStr">
        <is>
          <t>0</t>
        </is>
      </c>
      <c r="I2756" t="inlineStr">
        <is>
          <t>6², 12², 30², 60²</t>
        </is>
      </c>
      <c r="J2756" t="n">
        <v>8</v>
      </c>
      <c r="K2756" t="inlineStr">
        <is>
          <t>1⁶, 2⁶, 4³, 8³</t>
        </is>
      </c>
      <c r="L2756" t="inlineStr">
        <is>
          <t>30H⁴, 60B⁵, 60F⁶</t>
        </is>
      </c>
      <c r="M2756" t="inlineStr">
        <is>
          <t>60X²¹</t>
        </is>
      </c>
      <c r="N2756" t="inlineStr">
        <is>
          <t>30A⁰, 15B⁰, 60F⁶, 30E², 10G⁰, 5B⁰, 10C⁰, 2B⁰, 30H⁴, 12D⁰, 3A⁰, 1A⁰, 6D⁰, 60B⁵, 10B⁰</t>
        </is>
      </c>
      <c r="O2756" t="inlineStr">
        <is>
          <t>60X²¹</t>
        </is>
      </c>
    </row>
    <row r="2757">
      <c r="A2757">
        <f>HYPERLINK("https://mathstats.uncg.edu/sites/pauli/congruence/csg11.html#group60Q11", "60Q¹¹")</f>
        <v/>
      </c>
      <c r="B2757" t="n">
        <v>11</v>
      </c>
      <c r="C2757" t="inlineStr"/>
      <c r="D2757" t="inlineStr">
        <is>
          <t>216</t>
        </is>
      </c>
      <c r="E2757" t="inlineStr">
        <is>
          <t>1</t>
        </is>
      </c>
      <c r="F2757" t="inlineStr">
        <is>
          <t>54</t>
        </is>
      </c>
      <c r="G2757" t="inlineStr">
        <is>
          <t>16</t>
        </is>
      </c>
      <c r="H2757" t="inlineStr">
        <is>
          <t>0</t>
        </is>
      </c>
      <c r="I2757" t="inlineStr">
        <is>
          <t>6², 12², 30², 60²</t>
        </is>
      </c>
      <c r="J2757" t="n">
        <v>8</v>
      </c>
      <c r="K2757" t="inlineStr">
        <is>
          <t>1⁶, 2⁶, 4³, 8³</t>
        </is>
      </c>
      <c r="L2757" t="inlineStr">
        <is>
          <t>30I⁴, 60A⁵, 60F⁶</t>
        </is>
      </c>
      <c r="M2757" t="inlineStr">
        <is>
          <t>60X²¹</t>
        </is>
      </c>
      <c r="N2757" t="inlineStr">
        <is>
          <t>20E¹, 15B⁰, 60F⁶, 12C⁰, 30E², 60A⁵, 30I⁴, 4C⁰, 5B⁰, 10C⁰, 2B⁰, 3A⁰, 1A⁰, 6D⁰, 15C⁰</t>
        </is>
      </c>
      <c r="O2757" t="inlineStr">
        <is>
          <t>60X²¹</t>
        </is>
      </c>
    </row>
    <row r="2758">
      <c r="A2758">
        <f>HYPERLINK("https://mathstats.uncg.edu/sites/pauli/congruence/csg11.html#group60R11", "60R¹¹")</f>
        <v/>
      </c>
      <c r="B2758" t="n">
        <v>11</v>
      </c>
      <c r="C2758" t="inlineStr"/>
      <c r="D2758" t="inlineStr">
        <is>
          <t>216</t>
        </is>
      </c>
      <c r="E2758" t="inlineStr">
        <is>
          <t>1</t>
        </is>
      </c>
      <c r="F2758" t="inlineStr">
        <is>
          <t>54</t>
        </is>
      </c>
      <c r="G2758" t="inlineStr">
        <is>
          <t>16</t>
        </is>
      </c>
      <c r="H2758" t="inlineStr">
        <is>
          <t>0</t>
        </is>
      </c>
      <c r="I2758" t="inlineStr">
        <is>
          <t>6², 12², 30², 60²</t>
        </is>
      </c>
      <c r="J2758" t="n">
        <v>8</v>
      </c>
      <c r="K2758" t="inlineStr">
        <is>
          <t>1⁶, 2⁶, 4³, 8³</t>
        </is>
      </c>
      <c r="L2758" t="inlineStr">
        <is>
          <t>60C⁴, 30P⁵, 60F⁶</t>
        </is>
      </c>
      <c r="M2758" t="inlineStr">
        <is>
          <t>60X²¹</t>
        </is>
      </c>
      <c r="N2758" t="inlineStr">
        <is>
          <t>6B⁰, 60F⁶, 5B⁰, 60C⁴, 2B⁰, 1A⁰, 30P⁵, 20A⁰, 15B⁰, 30E², 10C⁰, 6H⁰, 3A⁰, 6D⁰, 30C¹</t>
        </is>
      </c>
      <c r="O2758" t="inlineStr">
        <is>
          <t>60X²¹</t>
        </is>
      </c>
    </row>
    <row r="2759">
      <c r="A2759">
        <f>HYPERLINK("https://mathstats.uncg.edu/sites/pauli/congruence/csg11.html#group60S11", "60S¹¹")</f>
        <v/>
      </c>
      <c r="B2759" t="n">
        <v>11</v>
      </c>
      <c r="C2759" t="inlineStr"/>
      <c r="D2759" t="inlineStr">
        <is>
          <t>216</t>
        </is>
      </c>
      <c r="E2759" t="inlineStr">
        <is>
          <t>1</t>
        </is>
      </c>
      <c r="F2759" t="inlineStr">
        <is>
          <t>54</t>
        </is>
      </c>
      <c r="G2759" t="inlineStr">
        <is>
          <t>16</t>
        </is>
      </c>
      <c r="H2759" t="inlineStr">
        <is>
          <t>0</t>
        </is>
      </c>
      <c r="I2759" t="inlineStr">
        <is>
          <t>6², 12², 30², 60²</t>
        </is>
      </c>
      <c r="J2759" t="n">
        <v>8</v>
      </c>
      <c r="K2759" t="inlineStr">
        <is>
          <t>1⁶, 2⁶, 4³, 8³</t>
        </is>
      </c>
      <c r="L2759" t="inlineStr">
        <is>
          <t>12H⁰, 30P⁵, 60A⁵, 60B⁵</t>
        </is>
      </c>
      <c r="M2759" t="inlineStr">
        <is>
          <t>60X²¹</t>
        </is>
      </c>
      <c r="N2759" t="inlineStr">
        <is>
          <t>20E¹, 6B⁰, 12C⁰, 30C¹, 4C⁰, 5B⁰, 2B⁰, 12H⁰, 1A⁰, 30P⁵, 15B⁰, 30E², 60A⁵, 10C⁰, 12D⁰, 6H⁰, 3A⁰, 6D⁰, 60B⁵</t>
        </is>
      </c>
      <c r="O2759" t="inlineStr">
        <is>
          <t>60X²¹</t>
        </is>
      </c>
    </row>
    <row r="2760">
      <c r="A2760">
        <f>HYPERLINK("https://mathstats.uncg.edu/sites/pauli/congruence/csg11.html#group60T11", "60T¹¹")</f>
        <v/>
      </c>
      <c r="B2760" t="n">
        <v>11</v>
      </c>
      <c r="C2760" t="inlineStr"/>
      <c r="D2760" t="inlineStr">
        <is>
          <t>216</t>
        </is>
      </c>
      <c r="E2760" t="inlineStr">
        <is>
          <t>2</t>
        </is>
      </c>
      <c r="F2760" t="inlineStr">
        <is>
          <t>18</t>
        </is>
      </c>
      <c r="G2760" t="inlineStr">
        <is>
          <t>12</t>
        </is>
      </c>
      <c r="H2760" t="inlineStr">
        <is>
          <t>0</t>
        </is>
      </c>
      <c r="I2760" t="inlineStr">
        <is>
          <t>6⁴, 12¹, 30⁴, 60¹</t>
        </is>
      </c>
      <c r="J2760" t="n">
        <v>10</v>
      </c>
      <c r="K2760" t="inlineStr">
        <is>
          <t>2⁶, 8³</t>
        </is>
      </c>
      <c r="L2760" t="inlineStr">
        <is>
          <t>20J¹, 30H⁴</t>
        </is>
      </c>
      <c r="M2760" t="inlineStr">
        <is>
          <t>60S²³</t>
        </is>
      </c>
      <c r="N2760" t="inlineStr">
        <is>
          <t>30A⁰, 10G⁰, 5B⁰, 2B⁰, 1A⁰, 20J¹, 10B⁰, 15B⁰, 30E², 10C⁰, 30H⁴, 3A⁰, 6D⁰</t>
        </is>
      </c>
      <c r="O2760" t="inlineStr">
        <is>
          <t>60S²³</t>
        </is>
      </c>
    </row>
    <row r="2761">
      <c r="A2761">
        <f>HYPERLINK("https://mathstats.uncg.edu/sites/pauli/congruence/csg11.html#group60U11", "60U¹¹")</f>
        <v/>
      </c>
      <c r="B2761" t="n">
        <v>11</v>
      </c>
      <c r="C2761" t="inlineStr"/>
      <c r="D2761" t="inlineStr">
        <is>
          <t>216</t>
        </is>
      </c>
      <c r="E2761" t="inlineStr">
        <is>
          <t>2</t>
        </is>
      </c>
      <c r="F2761" t="inlineStr">
        <is>
          <t>54</t>
        </is>
      </c>
      <c r="G2761" t="inlineStr">
        <is>
          <t>8</t>
        </is>
      </c>
      <c r="H2761" t="inlineStr">
        <is>
          <t>0</t>
        </is>
      </c>
      <c r="I2761" t="inlineStr">
        <is>
          <t>3⁴, 12², 15⁴, 60²</t>
        </is>
      </c>
      <c r="J2761" t="n">
        <v>12</v>
      </c>
      <c r="K2761" t="inlineStr">
        <is>
          <t>2¹⁸, 8⁹</t>
        </is>
      </c>
      <c r="L2761" t="inlineStr">
        <is>
          <t>30I⁴, 60B⁵, 60E⁶</t>
        </is>
      </c>
      <c r="M2761" t="inlineStr">
        <is>
          <t>60W²¹</t>
        </is>
      </c>
      <c r="N2761" t="inlineStr">
        <is>
          <t>15B⁰, 60E⁶, 30E², 30I⁴, 5B⁰, 10C⁰, 2B⁰, 12D⁰, 15C⁰, 3A⁰, 1A⁰, 6D⁰, 60B⁵</t>
        </is>
      </c>
      <c r="O2761" t="inlineStr">
        <is>
          <t>60W²¹</t>
        </is>
      </c>
    </row>
    <row r="2762">
      <c r="A2762">
        <f>HYPERLINK("https://mathstats.uncg.edu/sites/pauli/congruence/csg11.html#group60V11", "60V¹¹")</f>
        <v/>
      </c>
      <c r="B2762" t="n">
        <v>11</v>
      </c>
      <c r="C2762" t="inlineStr"/>
      <c r="D2762" t="inlineStr">
        <is>
          <t>216</t>
        </is>
      </c>
      <c r="E2762" t="inlineStr">
        <is>
          <t>2</t>
        </is>
      </c>
      <c r="F2762" t="inlineStr">
        <is>
          <t>54</t>
        </is>
      </c>
      <c r="G2762" t="inlineStr">
        <is>
          <t>12</t>
        </is>
      </c>
      <c r="H2762" t="inlineStr">
        <is>
          <t>0</t>
        </is>
      </c>
      <c r="I2762" t="inlineStr">
        <is>
          <t>6⁴, 12¹, 30⁴, 60¹</t>
        </is>
      </c>
      <c r="J2762" t="n">
        <v>10</v>
      </c>
      <c r="K2762" t="inlineStr">
        <is>
          <t>2⁶, 4⁶, 8³, 16³</t>
        </is>
      </c>
      <c r="L2762" t="inlineStr">
        <is>
          <t>30H⁴</t>
        </is>
      </c>
      <c r="M2762" t="inlineStr">
        <is>
          <t>60O²³, 60P²³, 60S²³</t>
        </is>
      </c>
      <c r="N2762" t="inlineStr">
        <is>
          <t>30A⁰, 15B⁰, 10G⁰, 30E², 5B⁰, 10C⁰, 2B⁰, 30H⁴, 3A⁰, 1A⁰, 6D⁰, 10B⁰</t>
        </is>
      </c>
      <c r="O2762" t="inlineStr">
        <is>
          <t>60P²³, 60O²³, 60S²³</t>
        </is>
      </c>
    </row>
    <row r="2763">
      <c r="A2763">
        <f>HYPERLINK("https://mathstats.uncg.edu/sites/pauli/congruence/csg11.html#group63A11", "63A¹¹")</f>
        <v/>
      </c>
      <c r="B2763" t="n">
        <v>11</v>
      </c>
      <c r="C2763" t="inlineStr"/>
      <c r="D2763" t="inlineStr">
        <is>
          <t>144</t>
        </is>
      </c>
      <c r="E2763" t="inlineStr">
        <is>
          <t>1</t>
        </is>
      </c>
      <c r="F2763" t="inlineStr">
        <is>
          <t>24</t>
        </is>
      </c>
      <c r="G2763" t="inlineStr">
        <is>
          <t>0</t>
        </is>
      </c>
      <c r="H2763" t="inlineStr">
        <is>
          <t>0</t>
        </is>
      </c>
      <c r="I2763" t="inlineStr">
        <is>
          <t>9², 63²</t>
        </is>
      </c>
      <c r="J2763" t="n">
        <v>4</v>
      </c>
      <c r="K2763" t="inlineStr">
        <is>
          <t>1², 2², 6¹, 12¹</t>
        </is>
      </c>
      <c r="L2763" t="inlineStr">
        <is>
          <t>9D⁰, 21A³, 63A⁶</t>
        </is>
      </c>
      <c r="M2763" t="inlineStr">
        <is>
          <t>63A²¹, 126A²³, 126B²³</t>
        </is>
      </c>
      <c r="N2763" t="inlineStr">
        <is>
          <t>9D⁰, 63A⁶, 21A², 7B⁰, 9A⁰, 3C⁰, 3A⁰, 1A⁰, 21A³</t>
        </is>
      </c>
      <c r="O2763" t="inlineStr">
        <is>
          <t>63A²¹, 126B²³, 126A²³</t>
        </is>
      </c>
    </row>
    <row r="2764">
      <c r="A2764">
        <f>HYPERLINK("https://mathstats.uncg.edu/sites/pauli/congruence/csg11.html#group63B11", "63B¹¹")</f>
        <v/>
      </c>
      <c r="B2764" t="n">
        <v>11</v>
      </c>
      <c r="C2764" t="inlineStr"/>
      <c r="D2764" t="inlineStr">
        <is>
          <t>144</t>
        </is>
      </c>
      <c r="E2764" t="inlineStr">
        <is>
          <t>1</t>
        </is>
      </c>
      <c r="F2764" t="inlineStr">
        <is>
          <t>48</t>
        </is>
      </c>
      <c r="G2764" t="inlineStr">
        <is>
          <t>0</t>
        </is>
      </c>
      <c r="H2764" t="inlineStr">
        <is>
          <t>0</t>
        </is>
      </c>
      <c r="I2764" t="inlineStr">
        <is>
          <t>9², 63²</t>
        </is>
      </c>
      <c r="J2764" t="n">
        <v>4</v>
      </c>
      <c r="K2764" t="inlineStr">
        <is>
          <t>2⁶, 12³</t>
        </is>
      </c>
      <c r="L2764" t="inlineStr">
        <is>
          <t>21A³</t>
        </is>
      </c>
      <c r="M2764" t="inlineStr">
        <is>
          <t>63B²¹, 126C²³, 126D²³</t>
        </is>
      </c>
      <c r="N2764" t="inlineStr">
        <is>
          <t>3C⁰, 21A², 3A⁰, 1A⁰, 7B⁰, 21A³</t>
        </is>
      </c>
      <c r="O2764" t="inlineStr">
        <is>
          <t>63B²¹, 126D²³, 126C²³</t>
        </is>
      </c>
    </row>
    <row r="2765">
      <c r="A2765">
        <f>HYPERLINK("https://mathstats.uncg.edu/sites/pauli/congruence/csg11.html#group63C11", "63C¹¹")</f>
        <v/>
      </c>
      <c r="B2765" t="n">
        <v>11</v>
      </c>
      <c r="C2765" t="inlineStr"/>
      <c r="D2765" t="inlineStr">
        <is>
          <t>144</t>
        </is>
      </c>
      <c r="E2765" t="inlineStr">
        <is>
          <t>2</t>
        </is>
      </c>
      <c r="F2765" t="inlineStr">
        <is>
          <t>72</t>
        </is>
      </c>
      <c r="G2765" t="inlineStr">
        <is>
          <t>0</t>
        </is>
      </c>
      <c r="H2765" t="inlineStr">
        <is>
          <t>0</t>
        </is>
      </c>
      <c r="I2765" t="inlineStr">
        <is>
          <t>9², 63²</t>
        </is>
      </c>
      <c r="J2765" t="n">
        <v>4</v>
      </c>
      <c r="K2765" t="inlineStr">
        <is>
          <t>2⁶, 6⁴, 12³, 36²</t>
        </is>
      </c>
      <c r="L2765" t="inlineStr">
        <is>
          <t>9B¹, 21A³, 63A⁶</t>
        </is>
      </c>
      <c r="M2765" t="inlineStr">
        <is>
          <t>63A²¹, 126G²³, 126H²³</t>
        </is>
      </c>
      <c r="N2765" t="inlineStr">
        <is>
          <t>63A⁶, 21A², 7B⁰, 9A⁰, 3C⁰, 3A⁰, 1A⁰, 9B¹, 21A³</t>
        </is>
      </c>
      <c r="O2765" t="inlineStr">
        <is>
          <t>126G²³, 63A²¹, 126H²³</t>
        </is>
      </c>
    </row>
    <row r="2766">
      <c r="A2766">
        <f>HYPERLINK("https://mathstats.uncg.edu/sites/pauli/congruence/csg11.html#group63D11", "63D¹¹")</f>
        <v/>
      </c>
      <c r="B2766" t="n">
        <v>11</v>
      </c>
      <c r="C2766" t="inlineStr"/>
      <c r="D2766" t="inlineStr">
        <is>
          <t>168</t>
        </is>
      </c>
      <c r="E2766" t="inlineStr">
        <is>
          <t>2</t>
        </is>
      </c>
      <c r="F2766" t="inlineStr">
        <is>
          <t>28</t>
        </is>
      </c>
      <c r="G2766" t="inlineStr">
        <is>
          <t>0</t>
        </is>
      </c>
      <c r="H2766" t="inlineStr">
        <is>
          <t>0</t>
        </is>
      </c>
      <c r="I2766" t="inlineStr">
        <is>
          <t>7⁶, 63²</t>
        </is>
      </c>
      <c r="J2766" t="n">
        <v>8</v>
      </c>
      <c r="K2766" t="inlineStr">
        <is>
          <t>2², 4¹, 6⁴, 12²</t>
        </is>
      </c>
      <c r="L2766" t="inlineStr">
        <is>
          <t>21B³, 63B⁶</t>
        </is>
      </c>
      <c r="M2766" t="inlineStr"/>
      <c r="N2766" t="inlineStr">
        <is>
          <t>21B³, 3B⁰, 21B², 7C⁰, 63B⁶, 9B⁰, 1A⁰, 7A⁰</t>
        </is>
      </c>
      <c r="O2766" t="inlineStr"/>
    </row>
    <row r="2767">
      <c r="A2767">
        <f>HYPERLINK("https://mathstats.uncg.edu/sites/pauli/congruence/csg11.html#group63E11", "63E¹¹")</f>
        <v/>
      </c>
      <c r="B2767" t="n">
        <v>11</v>
      </c>
      <c r="C2767" t="inlineStr"/>
      <c r="D2767" t="inlineStr">
        <is>
          <t>168</t>
        </is>
      </c>
      <c r="E2767" t="inlineStr">
        <is>
          <t>2</t>
        </is>
      </c>
      <c r="F2767" t="inlineStr">
        <is>
          <t>28</t>
        </is>
      </c>
      <c r="G2767" t="inlineStr">
        <is>
          <t>0</t>
        </is>
      </c>
      <c r="H2767" t="inlineStr">
        <is>
          <t>6</t>
        </is>
      </c>
      <c r="I2767" t="inlineStr">
        <is>
          <t>21², 63²</t>
        </is>
      </c>
      <c r="J2767" t="n">
        <v>4</v>
      </c>
      <c r="K2767" t="inlineStr">
        <is>
          <t>2², 4¹, 6⁴, 12²</t>
        </is>
      </c>
      <c r="L2767" t="inlineStr">
        <is>
          <t>21B³, 63C⁶</t>
        </is>
      </c>
      <c r="M2767" t="inlineStr">
        <is>
          <t>126J²³</t>
        </is>
      </c>
      <c r="N2767" t="inlineStr">
        <is>
          <t>21B³, 3B⁰, 21B², 63C⁶, 7C⁰, 9C⁰, 1A⁰, 7A⁰</t>
        </is>
      </c>
      <c r="O2767" t="inlineStr">
        <is>
          <t>126J²³</t>
        </is>
      </c>
    </row>
    <row r="2768">
      <c r="A2768">
        <f>HYPERLINK("https://mathstats.uncg.edu/sites/pauli/congruence/csg11.html#group63F11", "63F¹¹")</f>
        <v/>
      </c>
      <c r="B2768" t="n">
        <v>11</v>
      </c>
      <c r="C2768" t="inlineStr"/>
      <c r="D2768" t="inlineStr">
        <is>
          <t>192</t>
        </is>
      </c>
      <c r="E2768" t="inlineStr">
        <is>
          <t>2</t>
        </is>
      </c>
      <c r="F2768" t="inlineStr">
        <is>
          <t>32</t>
        </is>
      </c>
      <c r="G2768" t="inlineStr">
        <is>
          <t>0</t>
        </is>
      </c>
      <c r="H2768" t="inlineStr">
        <is>
          <t>6</t>
        </is>
      </c>
      <c r="I2768" t="inlineStr">
        <is>
          <t>3², 9², 21², 63²</t>
        </is>
      </c>
      <c r="J2768" t="n">
        <v>8</v>
      </c>
      <c r="K2768" t="inlineStr">
        <is>
          <t>2⁸, 12⁴</t>
        </is>
      </c>
      <c r="L2768" t="inlineStr">
        <is>
          <t>21F¹, 63D⁶</t>
        </is>
      </c>
      <c r="M2768" t="inlineStr"/>
      <c r="N2768" t="inlineStr">
        <is>
          <t>3B⁰, 21B¹, 63D⁶, 1A⁰, 7B⁰, 21F¹</t>
        </is>
      </c>
      <c r="O2768" t="inlineStr"/>
    </row>
    <row r="2769">
      <c r="A2769">
        <f>HYPERLINK("https://mathstats.uncg.edu/sites/pauli/congruence/csg11.html#group64A11", "64A¹¹")</f>
        <v/>
      </c>
      <c r="B2769" t="n">
        <v>11</v>
      </c>
      <c r="C2769" t="inlineStr"/>
      <c r="D2769" t="inlineStr">
        <is>
          <t>192</t>
        </is>
      </c>
      <c r="E2769" t="inlineStr">
        <is>
          <t>1</t>
        </is>
      </c>
      <c r="F2769" t="inlineStr">
        <is>
          <t>12</t>
        </is>
      </c>
      <c r="G2769" t="inlineStr">
        <is>
          <t>0</t>
        </is>
      </c>
      <c r="H2769" t="inlineStr">
        <is>
          <t>0</t>
        </is>
      </c>
      <c r="I2769" t="inlineStr">
        <is>
          <t>4⁸, 16², 64²</t>
        </is>
      </c>
      <c r="J2769" t="n">
        <v>12</v>
      </c>
      <c r="K2769" t="inlineStr">
        <is>
          <t>1⁴, 2², 4¹</t>
        </is>
      </c>
      <c r="L2769" t="inlineStr">
        <is>
          <t>32K³, 64A⁶</t>
        </is>
      </c>
      <c r="M2769" t="inlineStr">
        <is>
          <t>64C²¹, 64D²¹, 64E²¹</t>
        </is>
      </c>
      <c r="N2769" t="inlineStr">
        <is>
          <t>2A⁰, 8D⁰, 16E¹, 4C⁰, 16A¹, 8C⁰, 2B⁰, 4E⁰, 32K³, 4B⁰, 1A⁰, 64A⁶, 8G⁰, 16C⁰, 32A⁰, 32A², 2C⁰</t>
        </is>
      </c>
      <c r="O2769" t="inlineStr">
        <is>
          <t>64C²¹, 64E²¹, 64D²¹</t>
        </is>
      </c>
    </row>
    <row r="2770">
      <c r="A2770">
        <f>HYPERLINK("https://mathstats.uncg.edu/sites/pauli/congruence/csg11.html#group64B11", "64B¹¹")</f>
        <v/>
      </c>
      <c r="B2770" t="n">
        <v>11</v>
      </c>
      <c r="C2770" t="inlineStr"/>
      <c r="D2770" t="inlineStr">
        <is>
          <t>192</t>
        </is>
      </c>
      <c r="E2770" t="inlineStr">
        <is>
          <t>1</t>
        </is>
      </c>
      <c r="F2770" t="inlineStr">
        <is>
          <t>24</t>
        </is>
      </c>
      <c r="G2770" t="inlineStr">
        <is>
          <t>0</t>
        </is>
      </c>
      <c r="H2770" t="inlineStr">
        <is>
          <t>0</t>
        </is>
      </c>
      <c r="I2770" t="inlineStr">
        <is>
          <t>4⁸, 16², 64²</t>
        </is>
      </c>
      <c r="J2770" t="n">
        <v>12</v>
      </c>
      <c r="K2770" t="inlineStr">
        <is>
          <t>1⁴, 2², 4², 8¹</t>
        </is>
      </c>
      <c r="L2770" t="inlineStr">
        <is>
          <t>32M³, 64A⁶</t>
        </is>
      </c>
      <c r="M2770" t="inlineStr">
        <is>
          <t>64C²¹, 64J²¹, 64K²¹</t>
        </is>
      </c>
      <c r="N2770" t="inlineStr">
        <is>
          <t>32A¹, 16C⁰, 16D⁰, 32M³, 32A², 8C⁰, 2B⁰, 8I⁰, 4B⁰, 1A⁰, 64A⁶, 16H⁰</t>
        </is>
      </c>
      <c r="O2770" t="inlineStr">
        <is>
          <t>64C²¹, 64K²¹, 64J²¹</t>
        </is>
      </c>
    </row>
    <row r="2771">
      <c r="A2771">
        <f>HYPERLINK("https://mathstats.uncg.edu/sites/pauli/congruence/csg11.html#group65A11", "65A¹¹")</f>
        <v/>
      </c>
      <c r="B2771" t="n">
        <v>11</v>
      </c>
      <c r="C2771" t="inlineStr"/>
      <c r="D2771" t="inlineStr">
        <is>
          <t>168</t>
        </is>
      </c>
      <c r="E2771" t="inlineStr">
        <is>
          <t>1</t>
        </is>
      </c>
      <c r="F2771" t="inlineStr">
        <is>
          <t>84</t>
        </is>
      </c>
      <c r="G2771" t="inlineStr">
        <is>
          <t>0</t>
        </is>
      </c>
      <c r="H2771" t="inlineStr">
        <is>
          <t>0</t>
        </is>
      </c>
      <c r="I2771" t="inlineStr">
        <is>
          <t>1², 5², 13², 65²</t>
        </is>
      </c>
      <c r="J2771" t="n">
        <v>8</v>
      </c>
      <c r="K2771" t="inlineStr">
        <is>
          <t>1⁴, 4², 12², 48¹</t>
        </is>
      </c>
      <c r="L2771" t="inlineStr">
        <is>
          <t>5D⁰, 65A⁵</t>
        </is>
      </c>
      <c r="M2771" t="inlineStr">
        <is>
          <t>65A²¹</t>
        </is>
      </c>
      <c r="N2771" t="inlineStr">
        <is>
          <t>5B⁰, 13A⁰, 5D⁰, 65A⁵, 1A⁰</t>
        </is>
      </c>
      <c r="O2771" t="inlineStr">
        <is>
          <t>65A²¹</t>
        </is>
      </c>
    </row>
    <row r="2772">
      <c r="A2772">
        <f>HYPERLINK("https://mathstats.uncg.edu/sites/pauli/congruence/csg11.html#group65B11", "65B¹¹")</f>
        <v/>
      </c>
      <c r="B2772" t="n">
        <v>11</v>
      </c>
      <c r="C2772" t="inlineStr"/>
      <c r="D2772" t="inlineStr">
        <is>
          <t>168</t>
        </is>
      </c>
      <c r="E2772" t="inlineStr">
        <is>
          <t>1</t>
        </is>
      </c>
      <c r="F2772" t="inlineStr">
        <is>
          <t>84</t>
        </is>
      </c>
      <c r="G2772" t="inlineStr">
        <is>
          <t>0</t>
        </is>
      </c>
      <c r="H2772" t="inlineStr">
        <is>
          <t>0</t>
        </is>
      </c>
      <c r="I2772" t="inlineStr">
        <is>
          <t>1², 5², 13², 65²</t>
        </is>
      </c>
      <c r="J2772" t="n">
        <v>8</v>
      </c>
      <c r="K2772" t="inlineStr">
        <is>
          <t>1⁴, 4², 12², 48¹</t>
        </is>
      </c>
      <c r="L2772" t="inlineStr">
        <is>
          <t>13B⁰, 65A⁵</t>
        </is>
      </c>
      <c r="M2772" t="inlineStr">
        <is>
          <t>65A²¹</t>
        </is>
      </c>
      <c r="N2772" t="inlineStr">
        <is>
          <t>13A⁰, 5B⁰, 13B⁰, 65A⁵, 1A⁰</t>
        </is>
      </c>
      <c r="O2772" t="inlineStr">
        <is>
          <t>65A²¹</t>
        </is>
      </c>
    </row>
    <row r="2773">
      <c r="A2773">
        <f>HYPERLINK("https://mathstats.uncg.edu/sites/pauli/congruence/csg11.html#group66A11", "66A¹¹")</f>
        <v/>
      </c>
      <c r="B2773" t="n">
        <v>11</v>
      </c>
      <c r="C2773" t="inlineStr"/>
      <c r="D2773" t="inlineStr">
        <is>
          <t>132</t>
        </is>
      </c>
      <c r="E2773" t="inlineStr">
        <is>
          <t>2</t>
        </is>
      </c>
      <c r="F2773" t="inlineStr">
        <is>
          <t>33</t>
        </is>
      </c>
      <c r="G2773" t="inlineStr">
        <is>
          <t>0</t>
        </is>
      </c>
      <c r="H2773" t="inlineStr">
        <is>
          <t>0</t>
        </is>
      </c>
      <c r="I2773" t="inlineStr">
        <is>
          <t>66²</t>
        </is>
      </c>
      <c r="J2773" t="n">
        <v>2</v>
      </c>
      <c r="K2773" t="inlineStr">
        <is>
          <t>2¹, 4¹, 10², 20²</t>
        </is>
      </c>
      <c r="L2773" t="inlineStr">
        <is>
          <t>6B¹, 66A³, 33A⁴, 66A⁶</t>
        </is>
      </c>
      <c r="M2773" t="inlineStr">
        <is>
          <t>66A²¹</t>
        </is>
      </c>
      <c r="N2773" t="inlineStr">
        <is>
          <t>11A⁰, 2A⁰, 6B⁰, 22A¹, 6B¹, 66A³, 33A⁴, 33A¹, 3C⁰, 6A¹, 3A⁰, 1A⁰, 66A⁶</t>
        </is>
      </c>
      <c r="O2773" t="inlineStr">
        <is>
          <t>66A²¹</t>
        </is>
      </c>
    </row>
    <row r="2774">
      <c r="A2774">
        <f>HYPERLINK("https://mathstats.uncg.edu/sites/pauli/congruence/csg11.html#group66B11", "66B¹¹")</f>
        <v/>
      </c>
      <c r="B2774" t="n">
        <v>11</v>
      </c>
      <c r="C2774" t="inlineStr"/>
      <c r="D2774" t="inlineStr">
        <is>
          <t>144</t>
        </is>
      </c>
      <c r="E2774" t="inlineStr">
        <is>
          <t>1</t>
        </is>
      </c>
      <c r="F2774" t="inlineStr">
        <is>
          <t>36</t>
        </is>
      </c>
      <c r="G2774" t="inlineStr">
        <is>
          <t>0</t>
        </is>
      </c>
      <c r="H2774" t="inlineStr">
        <is>
          <t>0</t>
        </is>
      </c>
      <c r="I2774" t="inlineStr">
        <is>
          <t>6², 66²</t>
        </is>
      </c>
      <c r="J2774" t="n">
        <v>4</v>
      </c>
      <c r="K2774" t="inlineStr">
        <is>
          <t>1², 2², 10¹, 20¹</t>
        </is>
      </c>
      <c r="L2774" t="inlineStr">
        <is>
          <t>6E⁰, 33A⁵, 66D⁶</t>
        </is>
      </c>
      <c r="M2774" t="inlineStr">
        <is>
          <t>66C²¹, 132D²³</t>
        </is>
      </c>
      <c r="N2774" t="inlineStr">
        <is>
          <t>6B⁰, 6E⁰, 66D⁶, 11A¹, 33A⁵, 3C⁰, 3A⁰, 33A³, 1A⁰</t>
        </is>
      </c>
      <c r="O2774" t="inlineStr">
        <is>
          <t>132D²³, 66C²¹</t>
        </is>
      </c>
    </row>
    <row r="2775">
      <c r="A2775">
        <f>HYPERLINK("https://mathstats.uncg.edu/sites/pauli/congruence/csg11.html#group66C11", "66C¹¹")</f>
        <v/>
      </c>
      <c r="B2775" t="n">
        <v>11</v>
      </c>
      <c r="C2775" t="inlineStr"/>
      <c r="D2775" t="inlineStr">
        <is>
          <t>144</t>
        </is>
      </c>
      <c r="E2775" t="inlineStr">
        <is>
          <t>1</t>
        </is>
      </c>
      <c r="F2775" t="inlineStr">
        <is>
          <t>36</t>
        </is>
      </c>
      <c r="G2775" t="inlineStr">
        <is>
          <t>0</t>
        </is>
      </c>
      <c r="H2775" t="inlineStr">
        <is>
          <t>0</t>
        </is>
      </c>
      <c r="I2775" t="inlineStr">
        <is>
          <t>6², 66²</t>
        </is>
      </c>
      <c r="J2775" t="n">
        <v>4</v>
      </c>
      <c r="K2775" t="inlineStr">
        <is>
          <t>1², 2², 10¹, 20¹</t>
        </is>
      </c>
      <c r="L2775" t="inlineStr">
        <is>
          <t>6B¹, 33A⁵, 66B⁶, 66D⁶</t>
        </is>
      </c>
      <c r="M2775" t="inlineStr">
        <is>
          <t>66C²¹, 132A²³, 132B²³</t>
        </is>
      </c>
      <c r="N2775" t="inlineStr">
        <is>
          <t>2A⁰, 6B⁰, 6B¹, 66D⁶, 11A¹, 22A², 33A⁵, 3C⁰, 66B⁶, 6A¹, 3A⁰, 33A³, 1A⁰</t>
        </is>
      </c>
      <c r="O2775" t="inlineStr">
        <is>
          <t>132B²³, 66C²¹, 132A²³</t>
        </is>
      </c>
    </row>
    <row r="2776">
      <c r="A2776">
        <f>HYPERLINK("https://mathstats.uncg.edu/sites/pauli/congruence/csg11.html#group68A11", "68A¹¹")</f>
        <v/>
      </c>
      <c r="B2776" t="n">
        <v>11</v>
      </c>
      <c r="C2776" t="inlineStr"/>
      <c r="D2776" t="inlineStr">
        <is>
          <t>144</t>
        </is>
      </c>
      <c r="E2776" t="inlineStr">
        <is>
          <t>1</t>
        </is>
      </c>
      <c r="F2776" t="inlineStr">
        <is>
          <t>72</t>
        </is>
      </c>
      <c r="G2776" t="inlineStr">
        <is>
          <t>0</t>
        </is>
      </c>
      <c r="H2776" t="inlineStr">
        <is>
          <t>0</t>
        </is>
      </c>
      <c r="I2776" t="inlineStr">
        <is>
          <t>4², 68²</t>
        </is>
      </c>
      <c r="J2776" t="n">
        <v>4</v>
      </c>
      <c r="K2776" t="inlineStr">
        <is>
          <t>2⁴, 32²</t>
        </is>
      </c>
      <c r="L2776" t="inlineStr">
        <is>
          <t>34A³, 68A⁵</t>
        </is>
      </c>
      <c r="M2776" t="inlineStr">
        <is>
          <t>68B²¹, 136C²³</t>
        </is>
      </c>
      <c r="N2776" t="inlineStr">
        <is>
          <t>68A⁵, 17A¹, 1A⁰, 4A⁰, 34A³</t>
        </is>
      </c>
      <c r="O2776" t="inlineStr">
        <is>
          <t>68B²¹, 136C²³</t>
        </is>
      </c>
    </row>
    <row r="2777">
      <c r="A2777">
        <f>HYPERLINK("https://mathstats.uncg.edu/sites/pauli/congruence/csg11.html#group68B11", "68B¹¹")</f>
        <v/>
      </c>
      <c r="B2777" t="n">
        <v>11</v>
      </c>
      <c r="C2777" t="inlineStr"/>
      <c r="D2777" t="inlineStr">
        <is>
          <t>144</t>
        </is>
      </c>
      <c r="E2777" t="inlineStr">
        <is>
          <t>1</t>
        </is>
      </c>
      <c r="F2777" t="inlineStr">
        <is>
          <t>72</t>
        </is>
      </c>
      <c r="G2777" t="inlineStr">
        <is>
          <t>0</t>
        </is>
      </c>
      <c r="H2777" t="inlineStr">
        <is>
          <t>0</t>
        </is>
      </c>
      <c r="I2777" t="inlineStr">
        <is>
          <t>4², 68²</t>
        </is>
      </c>
      <c r="J2777" t="n">
        <v>4</v>
      </c>
      <c r="K2777" t="inlineStr">
        <is>
          <t>2⁴, 32²</t>
        </is>
      </c>
      <c r="L2777" t="inlineStr">
        <is>
          <t>4D⁰, 34B³, 68A⁵</t>
        </is>
      </c>
      <c r="M2777" t="inlineStr">
        <is>
          <t>68B²¹, 136A²³, 136B²³</t>
        </is>
      </c>
      <c r="N2777" t="inlineStr">
        <is>
          <t>2A⁰, 4A⁰, 4D⁰, 68A⁵, 17A¹, 34B³, 1A⁰</t>
        </is>
      </c>
      <c r="O2777" t="inlineStr">
        <is>
          <t>136A²³, 136B²³, 68B²¹</t>
        </is>
      </c>
    </row>
    <row r="2778">
      <c r="A2778">
        <f>HYPERLINK("https://mathstats.uncg.edu/sites/pauli/congruence/csg11.html#group69A11", "69A¹¹")</f>
        <v/>
      </c>
      <c r="B2778" t="n">
        <v>11</v>
      </c>
      <c r="C2778" t="inlineStr"/>
      <c r="D2778" t="inlineStr">
        <is>
          <t>144</t>
        </is>
      </c>
      <c r="E2778" t="inlineStr">
        <is>
          <t>1</t>
        </is>
      </c>
      <c r="F2778" t="inlineStr">
        <is>
          <t>72</t>
        </is>
      </c>
      <c r="G2778" t="inlineStr">
        <is>
          <t>0</t>
        </is>
      </c>
      <c r="H2778" t="inlineStr">
        <is>
          <t>0</t>
        </is>
      </c>
      <c r="I2778" t="inlineStr">
        <is>
          <t>3², 69²</t>
        </is>
      </c>
      <c r="J2778" t="n">
        <v>4</v>
      </c>
      <c r="K2778" t="inlineStr">
        <is>
          <t>1², 2², 22¹, 44¹</t>
        </is>
      </c>
      <c r="L2778" t="inlineStr">
        <is>
          <t>3C⁰, 69A⁶</t>
        </is>
      </c>
      <c r="M2778" t="inlineStr">
        <is>
          <t>69A²¹, 138A²³, 138B²³</t>
        </is>
      </c>
      <c r="N2778" t="inlineStr">
        <is>
          <t>3C⁰, 23A², 69A⁶, 3A⁰, 1A⁰</t>
        </is>
      </c>
      <c r="O2778" t="inlineStr">
        <is>
          <t>138B²³, 138A²³, 69A²¹</t>
        </is>
      </c>
    </row>
    <row r="2779">
      <c r="A2779">
        <f>HYPERLINK("https://mathstats.uncg.edu/sites/pauli/congruence/csg11.html#group70A11", "70A¹¹")</f>
        <v/>
      </c>
      <c r="B2779" t="n">
        <v>11</v>
      </c>
      <c r="C2779" t="inlineStr"/>
      <c r="D2779" t="inlineStr">
        <is>
          <t>140</t>
        </is>
      </c>
      <c r="E2779" t="inlineStr">
        <is>
          <t>2</t>
        </is>
      </c>
      <c r="F2779" t="inlineStr">
        <is>
          <t>70</t>
        </is>
      </c>
      <c r="G2779" t="inlineStr">
        <is>
          <t>0</t>
        </is>
      </c>
      <c r="H2779" t="inlineStr">
        <is>
          <t>2</t>
        </is>
      </c>
      <c r="I2779" t="inlineStr">
        <is>
          <t>70²</t>
        </is>
      </c>
      <c r="J2779" t="n">
        <v>2</v>
      </c>
      <c r="K2779" t="inlineStr">
        <is>
          <t>4¹, 8², 12², 24⁴</t>
        </is>
      </c>
      <c r="L2779" t="inlineStr">
        <is>
          <t>10C¹, 14A¹, 35B⁴</t>
        </is>
      </c>
      <c r="M2779" t="inlineStr">
        <is>
          <t>70B²¹, 70C²¹, 70E²¹</t>
        </is>
      </c>
      <c r="N2779" t="inlineStr">
        <is>
          <t>2A⁰, 35B⁴, 5C⁰, 14A¹, 10C¹, 1A⁰, 7A⁰</t>
        </is>
      </c>
      <c r="O2779" t="inlineStr">
        <is>
          <t>70B²¹, 70E²¹, 70C²¹</t>
        </is>
      </c>
    </row>
    <row r="2780">
      <c r="A2780">
        <f>HYPERLINK("https://mathstats.uncg.edu/sites/pauli/congruence/csg11.html#group70B11", "70B¹¹")</f>
        <v/>
      </c>
      <c r="B2780" t="n">
        <v>11</v>
      </c>
      <c r="C2780" t="inlineStr"/>
      <c r="D2780" t="inlineStr">
        <is>
          <t>160</t>
        </is>
      </c>
      <c r="E2780" t="inlineStr">
        <is>
          <t>1</t>
        </is>
      </c>
      <c r="F2780" t="inlineStr">
        <is>
          <t>80</t>
        </is>
      </c>
      <c r="G2780" t="inlineStr">
        <is>
          <t>0</t>
        </is>
      </c>
      <c r="H2780" t="inlineStr">
        <is>
          <t>4</t>
        </is>
      </c>
      <c r="I2780" t="inlineStr">
        <is>
          <t>10², 70²</t>
        </is>
      </c>
      <c r="J2780" t="n">
        <v>4</v>
      </c>
      <c r="K2780" t="inlineStr">
        <is>
          <t>2², 4⁴, 12¹, 24²</t>
        </is>
      </c>
      <c r="L2780" t="inlineStr">
        <is>
          <t>10D⁰, 35A⁵</t>
        </is>
      </c>
      <c r="M2780" t="inlineStr">
        <is>
          <t>70G²¹, 140D²³</t>
        </is>
      </c>
      <c r="N2780" t="inlineStr">
        <is>
          <t>35A⁵, 1A⁰, 5C⁰, 7B⁰, 10D⁰</t>
        </is>
      </c>
      <c r="O2780" t="inlineStr">
        <is>
          <t>70G²¹, 140D²³</t>
        </is>
      </c>
    </row>
    <row r="2781">
      <c r="A2781">
        <f>HYPERLINK("https://mathstats.uncg.edu/sites/pauli/congruence/csg11.html#group70C11", "70C¹¹")</f>
        <v/>
      </c>
      <c r="B2781" t="n">
        <v>11</v>
      </c>
      <c r="C2781" t="inlineStr"/>
      <c r="D2781" t="inlineStr">
        <is>
          <t>160</t>
        </is>
      </c>
      <c r="E2781" t="inlineStr">
        <is>
          <t>1</t>
        </is>
      </c>
      <c r="F2781" t="inlineStr">
        <is>
          <t>80</t>
        </is>
      </c>
      <c r="G2781" t="inlineStr">
        <is>
          <t>0</t>
        </is>
      </c>
      <c r="H2781" t="inlineStr">
        <is>
          <t>4</t>
        </is>
      </c>
      <c r="I2781" t="inlineStr">
        <is>
          <t>10², 70²</t>
        </is>
      </c>
      <c r="J2781" t="n">
        <v>4</v>
      </c>
      <c r="K2781" t="inlineStr">
        <is>
          <t>2², 4⁴, 12¹, 24²</t>
        </is>
      </c>
      <c r="L2781" t="inlineStr">
        <is>
          <t>14B⁰, 10C¹, 35A⁵</t>
        </is>
      </c>
      <c r="M2781" t="inlineStr">
        <is>
          <t>70G²¹, 140A²³, 140B²³</t>
        </is>
      </c>
      <c r="N2781" t="inlineStr">
        <is>
          <t>2A⁰, 35A⁵, 7B⁰, 5C⁰, 14B⁰, 10C¹, 1A⁰</t>
        </is>
      </c>
      <c r="O2781" t="inlineStr">
        <is>
          <t>140A²³, 70G²¹, 140B²³</t>
        </is>
      </c>
    </row>
    <row r="2782">
      <c r="A2782">
        <f>HYPERLINK("https://mathstats.uncg.edu/sites/pauli/congruence/csg11.html#group70D11", "70D¹¹")</f>
        <v/>
      </c>
      <c r="B2782" t="n">
        <v>11</v>
      </c>
      <c r="C2782" t="inlineStr"/>
      <c r="D2782" t="inlineStr">
        <is>
          <t>168</t>
        </is>
      </c>
      <c r="E2782" t="inlineStr">
        <is>
          <t>2</t>
        </is>
      </c>
      <c r="F2782" t="inlineStr">
        <is>
          <t>42</t>
        </is>
      </c>
      <c r="G2782" t="inlineStr">
        <is>
          <t>8</t>
        </is>
      </c>
      <c r="H2782" t="inlineStr">
        <is>
          <t>0</t>
        </is>
      </c>
      <c r="I2782" t="inlineStr">
        <is>
          <t>14², 70²</t>
        </is>
      </c>
      <c r="J2782" t="n">
        <v>4</v>
      </c>
      <c r="K2782" t="inlineStr">
        <is>
          <t>2², 6⁴, 8¹, 24²</t>
        </is>
      </c>
      <c r="L2782" t="inlineStr">
        <is>
          <t>70C⁴, 35B⁵, 70A⁶</t>
        </is>
      </c>
      <c r="M2782" t="inlineStr"/>
      <c r="N2782" t="inlineStr">
        <is>
          <t>35C², 70C⁴, 7C⁰, 5B⁰, 35B⁵, 1A⁰, 70A⁶, 7A⁰, 10B⁰</t>
        </is>
      </c>
      <c r="O2782" t="inlineStr"/>
    </row>
    <row r="2783">
      <c r="A2783">
        <f>HYPERLINK("https://mathstats.uncg.edu/sites/pauli/congruence/csg11.html#group72A11", "72A¹¹")</f>
        <v/>
      </c>
      <c r="B2783" t="n">
        <v>11</v>
      </c>
      <c r="C2783" t="inlineStr"/>
      <c r="D2783" t="inlineStr">
        <is>
          <t>144</t>
        </is>
      </c>
      <c r="E2783" t="inlineStr">
        <is>
          <t>1</t>
        </is>
      </c>
      <c r="F2783" t="inlineStr">
        <is>
          <t>12</t>
        </is>
      </c>
      <c r="G2783" t="inlineStr">
        <is>
          <t>0</t>
        </is>
      </c>
      <c r="H2783" t="inlineStr">
        <is>
          <t>0</t>
        </is>
      </c>
      <c r="I2783" t="inlineStr">
        <is>
          <t>12¹, 24¹, 36¹, 72¹</t>
        </is>
      </c>
      <c r="J2783" t="n">
        <v>4</v>
      </c>
      <c r="K2783" t="inlineStr">
        <is>
          <t>1⁶, 2³</t>
        </is>
      </c>
      <c r="L2783" t="inlineStr">
        <is>
          <t>24B³, 36A⁵</t>
        </is>
      </c>
      <c r="M2783" t="inlineStr">
        <is>
          <t>72C²¹, 72E²¹, 72K²¹, 144G²³, 144E²³, 144K²³, 144M²³</t>
        </is>
      </c>
      <c r="N2783" t="inlineStr">
        <is>
          <t>3B⁰, 24B³, 12F¹, 4C⁰, 8B⁰, 9C⁰, 18D², 1A⁰, 2B⁰, 36A⁵, 6F⁰</t>
        </is>
      </c>
      <c r="O2783" t="inlineStr">
        <is>
          <t>72E²¹, 144G²³, 144M²³, 72C²¹, 144E²³, 72K²¹, 144K²³</t>
        </is>
      </c>
    </row>
    <row r="2784">
      <c r="A2784">
        <f>HYPERLINK("https://mathstats.uncg.edu/sites/pauli/congruence/csg11.html#group72B11", "72B¹¹")</f>
        <v/>
      </c>
      <c r="B2784" t="n">
        <v>11</v>
      </c>
      <c r="C2784" t="inlineStr"/>
      <c r="D2784" t="inlineStr">
        <is>
          <t>144</t>
        </is>
      </c>
      <c r="E2784" t="inlineStr">
        <is>
          <t>1</t>
        </is>
      </c>
      <c r="F2784" t="inlineStr">
        <is>
          <t>12</t>
        </is>
      </c>
      <c r="G2784" t="inlineStr">
        <is>
          <t>0</t>
        </is>
      </c>
      <c r="H2784" t="inlineStr">
        <is>
          <t>0</t>
        </is>
      </c>
      <c r="I2784" t="inlineStr">
        <is>
          <t>12¹, 24¹, 36¹, 72¹</t>
        </is>
      </c>
      <c r="J2784" t="n">
        <v>4</v>
      </c>
      <c r="K2784" t="inlineStr">
        <is>
          <t>1⁶, 2³</t>
        </is>
      </c>
      <c r="L2784" t="inlineStr">
        <is>
          <t>24B³, 36B⁵</t>
        </is>
      </c>
      <c r="M2784" t="inlineStr">
        <is>
          <t>72D²¹, 72F²¹, 72L²¹, 144H²³, 144F²³, 144L²³, 144N²³</t>
        </is>
      </c>
      <c r="N2784" t="inlineStr">
        <is>
          <t>3B⁰, 24B³, 12F¹, 4C⁰, 9A¹, 8B⁰, 18E², 1A⁰, 36B⁵, 2B⁰, 6F⁰</t>
        </is>
      </c>
      <c r="O2784" t="inlineStr">
        <is>
          <t>72F²¹, 144N²³, 72L²¹, 144H²³, 144L²³, 144F²³, 72D²¹</t>
        </is>
      </c>
    </row>
    <row r="2785">
      <c r="A2785">
        <f>HYPERLINK("https://mathstats.uncg.edu/sites/pauli/congruence/csg11.html#group72C11", "72C¹¹")</f>
        <v/>
      </c>
      <c r="B2785" t="n">
        <v>11</v>
      </c>
      <c r="C2785" t="inlineStr"/>
      <c r="D2785" t="inlineStr">
        <is>
          <t>144</t>
        </is>
      </c>
      <c r="E2785" t="inlineStr">
        <is>
          <t>1</t>
        </is>
      </c>
      <c r="F2785" t="inlineStr">
        <is>
          <t>12</t>
        </is>
      </c>
      <c r="G2785" t="inlineStr">
        <is>
          <t>0</t>
        </is>
      </c>
      <c r="H2785" t="inlineStr">
        <is>
          <t>0</t>
        </is>
      </c>
      <c r="I2785" t="inlineStr">
        <is>
          <t>12¹, 24¹, 36¹, 72¹</t>
        </is>
      </c>
      <c r="J2785" t="n">
        <v>4</v>
      </c>
      <c r="K2785" t="inlineStr">
        <is>
          <t>1⁶, 2³</t>
        </is>
      </c>
      <c r="L2785" t="inlineStr">
        <is>
          <t>24C³, 36A⁵</t>
        </is>
      </c>
      <c r="M2785" t="inlineStr">
        <is>
          <t>72C²¹, 72G²¹, 72I²¹, 144A²³, 144C²³, 144I²³, 144O²³</t>
        </is>
      </c>
      <c r="N2785" t="inlineStr">
        <is>
          <t>24C³, 3B⁰, 8A¹, 12F¹, 4C⁰, 9C⁰, 18D², 1A⁰, 2B⁰, 36A⁵, 6F⁰</t>
        </is>
      </c>
      <c r="O2785" t="inlineStr">
        <is>
          <t>72G²¹, 144C²³, 72C²¹, 144A²³, 144I²³, 72I²¹, 144O²³</t>
        </is>
      </c>
    </row>
    <row r="2786">
      <c r="A2786">
        <f>HYPERLINK("https://mathstats.uncg.edu/sites/pauli/congruence/csg11.html#group72D11", "72D¹¹")</f>
        <v/>
      </c>
      <c r="B2786" t="n">
        <v>11</v>
      </c>
      <c r="C2786" t="inlineStr"/>
      <c r="D2786" t="inlineStr">
        <is>
          <t>144</t>
        </is>
      </c>
      <c r="E2786" t="inlineStr">
        <is>
          <t>1</t>
        </is>
      </c>
      <c r="F2786" t="inlineStr">
        <is>
          <t>12</t>
        </is>
      </c>
      <c r="G2786" t="inlineStr">
        <is>
          <t>0</t>
        </is>
      </c>
      <c r="H2786" t="inlineStr">
        <is>
          <t>0</t>
        </is>
      </c>
      <c r="I2786" t="inlineStr">
        <is>
          <t>12¹, 24¹, 36¹, 72¹</t>
        </is>
      </c>
      <c r="J2786" t="n">
        <v>4</v>
      </c>
      <c r="K2786" t="inlineStr">
        <is>
          <t>1⁶, 2³</t>
        </is>
      </c>
      <c r="L2786" t="inlineStr">
        <is>
          <t>24C³, 36B⁵</t>
        </is>
      </c>
      <c r="M2786" t="inlineStr">
        <is>
          <t>72D²¹, 72H²¹, 72J²¹, 144B²³, 144D²³, 144J²³, 144P²³</t>
        </is>
      </c>
      <c r="N2786" t="inlineStr">
        <is>
          <t>24C³, 3B⁰, 8A¹, 12F¹, 4C⁰, 9A¹, 18E², 1A⁰, 36B⁵, 2B⁰, 6F⁰</t>
        </is>
      </c>
      <c r="O2786" t="inlineStr">
        <is>
          <t>72J²¹, 144B²³, 144D²³, 144P²³, 72H²¹, 144J²³, 72D²¹</t>
        </is>
      </c>
    </row>
    <row r="2787">
      <c r="A2787">
        <f>HYPERLINK("https://mathstats.uncg.edu/sites/pauli/congruence/csg11.html#group72E11", "72E¹¹")</f>
        <v/>
      </c>
      <c r="B2787" t="n">
        <v>11</v>
      </c>
      <c r="C2787" t="inlineStr"/>
      <c r="D2787" t="inlineStr">
        <is>
          <t>144</t>
        </is>
      </c>
      <c r="E2787" t="inlineStr">
        <is>
          <t>2</t>
        </is>
      </c>
      <c r="F2787" t="inlineStr">
        <is>
          <t>36</t>
        </is>
      </c>
      <c r="G2787" t="inlineStr">
        <is>
          <t>4</t>
        </is>
      </c>
      <c r="H2787" t="inlineStr">
        <is>
          <t>0</t>
        </is>
      </c>
      <c r="I2787" t="inlineStr">
        <is>
          <t>72²</t>
        </is>
      </c>
      <c r="J2787" t="n">
        <v>2</v>
      </c>
      <c r="K2787" t="inlineStr">
        <is>
          <t>8⁶, 24⁴</t>
        </is>
      </c>
      <c r="L2787" t="inlineStr">
        <is>
          <t>24D³, 72B⁴, 72C⁴, 36E⁵</t>
        </is>
      </c>
      <c r="M2787" t="inlineStr">
        <is>
          <t>72P²¹, 72F²³, 72G²³</t>
        </is>
      </c>
      <c r="N2787" t="inlineStr">
        <is>
          <t>36A¹, 12G¹, 12A⁰, 24D³, 72B⁴, 4A⁰, 36E⁵, 9A⁰, 72C⁴, 3C⁰, 24B¹, 3A⁰, 1A⁰, 9B¹</t>
        </is>
      </c>
      <c r="O2787" t="inlineStr">
        <is>
          <t>72F²³, 72P²¹, 72G²³</t>
        </is>
      </c>
    </row>
    <row r="2788">
      <c r="A2788">
        <f>HYPERLINK("https://mathstats.uncg.edu/sites/pauli/congruence/csg11.html#group72F11", "72F¹¹")</f>
        <v/>
      </c>
      <c r="B2788" t="n">
        <v>11</v>
      </c>
      <c r="C2788" t="inlineStr"/>
      <c r="D2788" t="inlineStr">
        <is>
          <t>144</t>
        </is>
      </c>
      <c r="E2788" t="inlineStr">
        <is>
          <t>2</t>
        </is>
      </c>
      <c r="F2788" t="inlineStr">
        <is>
          <t>36</t>
        </is>
      </c>
      <c r="G2788" t="inlineStr">
        <is>
          <t>4</t>
        </is>
      </c>
      <c r="H2788" t="inlineStr">
        <is>
          <t>0</t>
        </is>
      </c>
      <c r="I2788" t="inlineStr">
        <is>
          <t>72²</t>
        </is>
      </c>
      <c r="J2788" t="n">
        <v>2</v>
      </c>
      <c r="K2788" t="inlineStr">
        <is>
          <t>8⁶, 24⁴</t>
        </is>
      </c>
      <c r="L2788" t="inlineStr">
        <is>
          <t>24D³, 72B⁴, 72D⁴, 36E⁵</t>
        </is>
      </c>
      <c r="M2788" t="inlineStr">
        <is>
          <t>72Q²¹, 72F²³, 72G²³</t>
        </is>
      </c>
      <c r="N2788" t="inlineStr">
        <is>
          <t>36A¹, 12G¹, 12A⁰, 24D³, 72B⁴, 4A⁰, 36E⁵, 9A⁰, 3C⁰, 24B¹, 72D⁴, 3A⁰, 1A⁰, 9B¹</t>
        </is>
      </c>
      <c r="O2788" t="inlineStr">
        <is>
          <t>72Q²¹, 72F²³, 72G²³</t>
        </is>
      </c>
    </row>
    <row r="2789">
      <c r="A2789">
        <f>HYPERLINK("https://mathstats.uncg.edu/sites/pauli/congruence/csg11.html#group72G11", "72G¹¹")</f>
        <v/>
      </c>
      <c r="B2789" t="n">
        <v>11</v>
      </c>
      <c r="C2789" t="inlineStr"/>
      <c r="D2789" t="inlineStr">
        <is>
          <t>144</t>
        </is>
      </c>
      <c r="E2789" t="inlineStr">
        <is>
          <t>2</t>
        </is>
      </c>
      <c r="F2789" t="inlineStr">
        <is>
          <t>36</t>
        </is>
      </c>
      <c r="G2789" t="inlineStr">
        <is>
          <t>4</t>
        </is>
      </c>
      <c r="H2789" t="inlineStr">
        <is>
          <t>0</t>
        </is>
      </c>
      <c r="I2789" t="inlineStr">
        <is>
          <t>72²</t>
        </is>
      </c>
      <c r="J2789" t="n">
        <v>2</v>
      </c>
      <c r="K2789" t="inlineStr">
        <is>
          <t>8⁶, 24⁴</t>
        </is>
      </c>
      <c r="L2789" t="inlineStr">
        <is>
          <t>24E³, 72A⁴, 72C⁴, 36E⁵</t>
        </is>
      </c>
      <c r="M2789" t="inlineStr">
        <is>
          <t>72P²¹, 72F²³, 72H²³, 144T²³, 144Q²³</t>
        </is>
      </c>
      <c r="N2789" t="inlineStr">
        <is>
          <t>12G¹, 8A⁰, 72C⁴, 24B¹, 1A⁰, 9B¹, 72A⁴, 36A¹, 24E³, 12A⁰, 24A¹, 4A⁰, 36E⁵, 9A⁰, 3C⁰, 3A⁰</t>
        </is>
      </c>
      <c r="O2789" t="inlineStr">
        <is>
          <t>144T²³, 72H²³, 72F²³, 72P²¹, 144Q²³</t>
        </is>
      </c>
    </row>
    <row r="2790">
      <c r="A2790">
        <f>HYPERLINK("https://mathstats.uncg.edu/sites/pauli/congruence/csg11.html#group72H11", "72H¹¹")</f>
        <v/>
      </c>
      <c r="B2790" t="n">
        <v>11</v>
      </c>
      <c r="C2790" t="inlineStr"/>
      <c r="D2790" t="inlineStr">
        <is>
          <t>144</t>
        </is>
      </c>
      <c r="E2790" t="inlineStr">
        <is>
          <t>2</t>
        </is>
      </c>
      <c r="F2790" t="inlineStr">
        <is>
          <t>36</t>
        </is>
      </c>
      <c r="G2790" t="inlineStr">
        <is>
          <t>4</t>
        </is>
      </c>
      <c r="H2790" t="inlineStr">
        <is>
          <t>0</t>
        </is>
      </c>
      <c r="I2790" t="inlineStr">
        <is>
          <t>72²</t>
        </is>
      </c>
      <c r="J2790" t="n">
        <v>2</v>
      </c>
      <c r="K2790" t="inlineStr">
        <is>
          <t>8⁶, 24⁴</t>
        </is>
      </c>
      <c r="L2790" t="inlineStr">
        <is>
          <t>24E³, 72A⁴, 72D⁴, 36E⁵</t>
        </is>
      </c>
      <c r="M2790" t="inlineStr">
        <is>
          <t>72Q²¹, 72F²³, 72H²³, 144S²³, 144R²³</t>
        </is>
      </c>
      <c r="N2790" t="inlineStr">
        <is>
          <t>12G¹, 8A⁰, 24B¹, 72D⁴, 1A⁰, 9B¹, 72A⁴, 36A¹, 24E³, 12A⁰, 24A¹, 4A⁰, 36E⁵, 9A⁰, 3C⁰, 3A⁰</t>
        </is>
      </c>
      <c r="O2790" t="inlineStr">
        <is>
          <t>72H²³, 72Q²¹, 144S²³, 72F²³, 144R²³</t>
        </is>
      </c>
    </row>
    <row r="2791">
      <c r="A2791">
        <f>HYPERLINK("https://mathstats.uncg.edu/sites/pauli/congruence/csg11.html#group72I11", "72I¹¹")</f>
        <v/>
      </c>
      <c r="B2791" t="n">
        <v>11</v>
      </c>
      <c r="C2791" t="inlineStr"/>
      <c r="D2791" t="inlineStr">
        <is>
          <t>192</t>
        </is>
      </c>
      <c r="E2791" t="inlineStr">
        <is>
          <t>1</t>
        </is>
      </c>
      <c r="F2791" t="inlineStr">
        <is>
          <t>16</t>
        </is>
      </c>
      <c r="G2791" t="inlineStr">
        <is>
          <t>0</t>
        </is>
      </c>
      <c r="H2791" t="inlineStr">
        <is>
          <t>12</t>
        </is>
      </c>
      <c r="I2791" t="inlineStr">
        <is>
          <t>24², 72²</t>
        </is>
      </c>
      <c r="J2791" t="n">
        <v>4</v>
      </c>
      <c r="K2791" t="inlineStr">
        <is>
          <t>2⁴, 4²</t>
        </is>
      </c>
      <c r="L2791" t="inlineStr">
        <is>
          <t>24F³, 36G⁵</t>
        </is>
      </c>
      <c r="M2791" t="inlineStr">
        <is>
          <t>72Y²¹</t>
        </is>
      </c>
      <c r="N2791" t="inlineStr">
        <is>
          <t>3B⁰, 2A⁰, 12I¹, 36C³, 18B⁰, 4A⁰, 4D⁰, 6C⁰, 12A¹, 9C⁰, 1A⁰, 36G⁵, 24F³</t>
        </is>
      </c>
      <c r="O2791" t="inlineStr">
        <is>
          <t>72Y²¹</t>
        </is>
      </c>
    </row>
    <row r="2792">
      <c r="A2792">
        <f>HYPERLINK("https://mathstats.uncg.edu/sites/pauli/congruence/csg11.html#group72J11", "72J¹¹")</f>
        <v/>
      </c>
      <c r="B2792" t="n">
        <v>11</v>
      </c>
      <c r="C2792" t="inlineStr"/>
      <c r="D2792" t="inlineStr">
        <is>
          <t>192</t>
        </is>
      </c>
      <c r="E2792" t="inlineStr">
        <is>
          <t>1</t>
        </is>
      </c>
      <c r="F2792" t="inlineStr">
        <is>
          <t>16</t>
        </is>
      </c>
      <c r="G2792" t="inlineStr">
        <is>
          <t>0</t>
        </is>
      </c>
      <c r="H2792" t="inlineStr">
        <is>
          <t>12</t>
        </is>
      </c>
      <c r="I2792" t="inlineStr">
        <is>
          <t>24², 72²</t>
        </is>
      </c>
      <c r="J2792" t="n">
        <v>4</v>
      </c>
      <c r="K2792" t="inlineStr">
        <is>
          <t>2⁴, 4²</t>
        </is>
      </c>
      <c r="L2792" t="inlineStr">
        <is>
          <t>24G³, 36G⁵, 72A⁶</t>
        </is>
      </c>
      <c r="M2792" t="inlineStr">
        <is>
          <t>72Y²¹, 144U²³, 144V²³</t>
        </is>
      </c>
      <c r="N2792" t="inlineStr">
        <is>
          <t>3B⁰, 2A⁰, 72A⁶, 12I¹, 24A², 18B⁰, 6C⁰, 8A⁰, 8E⁰, 9C⁰, 24G³, 1A⁰, 36G⁵, 36C³, 4A⁰, 4D⁰, 12A¹</t>
        </is>
      </c>
      <c r="O2792" t="inlineStr">
        <is>
          <t>72Y²¹, 144V²³, 144U²³</t>
        </is>
      </c>
    </row>
    <row r="2793">
      <c r="A2793">
        <f>HYPERLINK("https://mathstats.uncg.edu/sites/pauli/congruence/csg11.html#group72K11", "72K¹¹")</f>
        <v/>
      </c>
      <c r="B2793" t="n">
        <v>11</v>
      </c>
      <c r="C2793" t="inlineStr"/>
      <c r="D2793" t="inlineStr">
        <is>
          <t>192</t>
        </is>
      </c>
      <c r="E2793" t="inlineStr">
        <is>
          <t>1</t>
        </is>
      </c>
      <c r="F2793" t="inlineStr">
        <is>
          <t>32</t>
        </is>
      </c>
      <c r="G2793" t="inlineStr">
        <is>
          <t>0</t>
        </is>
      </c>
      <c r="H2793" t="inlineStr">
        <is>
          <t>6</t>
        </is>
      </c>
      <c r="I2793" t="inlineStr">
        <is>
          <t>8⁶, 72²</t>
        </is>
      </c>
      <c r="J2793" t="n">
        <v>8</v>
      </c>
      <c r="K2793" t="inlineStr">
        <is>
          <t>4⁸</t>
        </is>
      </c>
      <c r="L2793" t="inlineStr">
        <is>
          <t>24F³, 36O⁴</t>
        </is>
      </c>
      <c r="M2793" t="inlineStr">
        <is>
          <t>72Z²¹</t>
        </is>
      </c>
      <c r="N2793" t="inlineStr">
        <is>
          <t>18C⁰, 3B⁰, 2A⁰, 12I¹, 4A⁰, 4D⁰, 12A¹, 6C⁰, 36O⁴, 1A⁰, 24F³</t>
        </is>
      </c>
      <c r="O2793" t="inlineStr">
        <is>
          <t>72Z²¹</t>
        </is>
      </c>
    </row>
    <row r="2794">
      <c r="A2794">
        <f>HYPERLINK("https://mathstats.uncg.edu/sites/pauli/congruence/csg11.html#group72L11", "72L¹¹")</f>
        <v/>
      </c>
      <c r="B2794" t="n">
        <v>11</v>
      </c>
      <c r="C2794" t="inlineStr"/>
      <c r="D2794" t="inlineStr">
        <is>
          <t>192</t>
        </is>
      </c>
      <c r="E2794" t="inlineStr">
        <is>
          <t>1</t>
        </is>
      </c>
      <c r="F2794" t="inlineStr">
        <is>
          <t>32</t>
        </is>
      </c>
      <c r="G2794" t="inlineStr">
        <is>
          <t>0</t>
        </is>
      </c>
      <c r="H2794" t="inlineStr">
        <is>
          <t>6</t>
        </is>
      </c>
      <c r="I2794" t="inlineStr">
        <is>
          <t>8⁶, 72²</t>
        </is>
      </c>
      <c r="J2794" t="n">
        <v>8</v>
      </c>
      <c r="K2794" t="inlineStr">
        <is>
          <t>4⁸</t>
        </is>
      </c>
      <c r="L2794" t="inlineStr">
        <is>
          <t>24G³, 36O⁴</t>
        </is>
      </c>
      <c r="M2794" t="inlineStr">
        <is>
          <t>72Z²¹</t>
        </is>
      </c>
      <c r="N2794" t="inlineStr">
        <is>
          <t>18C⁰, 3B⁰, 2A⁰, 12I¹, 24A², 4A⁰, 4D⁰, 12A¹, 6C⁰, 8A⁰, 8E⁰, 24G³, 36O⁴, 1A⁰</t>
        </is>
      </c>
      <c r="O2794" t="inlineStr">
        <is>
          <t>72Z²¹</t>
        </is>
      </c>
    </row>
    <row r="2795">
      <c r="A2795">
        <f>HYPERLINK("https://mathstats.uncg.edu/sites/pauli/congruence/csg11.html#group72M11", "72M¹¹")</f>
        <v/>
      </c>
      <c r="B2795" t="n">
        <v>11</v>
      </c>
      <c r="C2795" t="inlineStr"/>
      <c r="D2795" t="inlineStr">
        <is>
          <t>216</t>
        </is>
      </c>
      <c r="E2795" t="inlineStr">
        <is>
          <t>1</t>
        </is>
      </c>
      <c r="F2795" t="inlineStr">
        <is>
          <t>9</t>
        </is>
      </c>
      <c r="G2795" t="inlineStr">
        <is>
          <t>24</t>
        </is>
      </c>
      <c r="H2795" t="inlineStr">
        <is>
          <t>0</t>
        </is>
      </c>
      <c r="I2795" t="inlineStr">
        <is>
          <t>36², 72²</t>
        </is>
      </c>
      <c r="J2795" t="n">
        <v>4</v>
      </c>
      <c r="K2795" t="inlineStr">
        <is>
          <t>1³, 2³</t>
        </is>
      </c>
      <c r="L2795" t="inlineStr">
        <is>
          <t>24H³, 36H⁵, 72A⁵</t>
        </is>
      </c>
      <c r="M2795" t="inlineStr">
        <is>
          <t>72AA²¹</t>
        </is>
      </c>
      <c r="N2795" t="inlineStr">
        <is>
          <t>12C⁰, 36E³, 4C⁰, 24D¹, 36B², 6G⁰, 72A⁵, 2B⁰, 36H⁵, 12L¹, 1A⁰, 9D⁰, 12C¹, 24H³, 9A⁰, 3C⁰, 18E¹, 3A⁰, 18I², 6D⁰</t>
        </is>
      </c>
      <c r="O2795" t="inlineStr">
        <is>
          <t>72AA²¹</t>
        </is>
      </c>
    </row>
    <row r="2796">
      <c r="A2796">
        <f>HYPERLINK("https://mathstats.uncg.edu/sites/pauli/congruence/csg11.html#group72N11", "72N¹¹")</f>
        <v/>
      </c>
      <c r="B2796" t="n">
        <v>11</v>
      </c>
      <c r="C2796" t="inlineStr"/>
      <c r="D2796" t="inlineStr">
        <is>
          <t>216</t>
        </is>
      </c>
      <c r="E2796" t="inlineStr">
        <is>
          <t>1</t>
        </is>
      </c>
      <c r="F2796" t="inlineStr">
        <is>
          <t>9</t>
        </is>
      </c>
      <c r="G2796" t="inlineStr">
        <is>
          <t>24</t>
        </is>
      </c>
      <c r="H2796" t="inlineStr">
        <is>
          <t>0</t>
        </is>
      </c>
      <c r="I2796" t="inlineStr">
        <is>
          <t>36², 72²</t>
        </is>
      </c>
      <c r="J2796" t="n">
        <v>4</v>
      </c>
      <c r="K2796" t="inlineStr">
        <is>
          <t>1³, 2³</t>
        </is>
      </c>
      <c r="L2796" t="inlineStr">
        <is>
          <t>24I³, 72E⁴, 36H⁵, 72B⁶</t>
        </is>
      </c>
      <c r="M2796" t="inlineStr">
        <is>
          <t>72AA²¹, 144W²³, 144X²³</t>
        </is>
      </c>
      <c r="N2796" t="inlineStr">
        <is>
          <t>12C⁰, 36E³, 72E⁴, 4C⁰, 36B², 24I³, 8B⁰, 6G⁰, 2B⁰, 36H⁵, 24C², 72B⁶, 1A⁰, 12L¹, 9D⁰, 12C¹, 24A⁰, 9A⁰, 3C⁰, 18E¹, 3A⁰, 18I², 6D⁰</t>
        </is>
      </c>
      <c r="O2796" t="inlineStr">
        <is>
          <t>72AA²¹, 144W²³, 144X²³</t>
        </is>
      </c>
    </row>
    <row r="2797">
      <c r="A2797">
        <f>HYPERLINK("https://mathstats.uncg.edu/sites/pauli/congruence/csg11.html#group72O11", "72O¹¹")</f>
        <v/>
      </c>
      <c r="B2797" t="n">
        <v>11</v>
      </c>
      <c r="C2797" t="inlineStr"/>
      <c r="D2797" t="inlineStr">
        <is>
          <t>216</t>
        </is>
      </c>
      <c r="E2797" t="inlineStr">
        <is>
          <t>1</t>
        </is>
      </c>
      <c r="F2797" t="inlineStr">
        <is>
          <t>18</t>
        </is>
      </c>
      <c r="G2797" t="inlineStr">
        <is>
          <t>12</t>
        </is>
      </c>
      <c r="H2797" t="inlineStr">
        <is>
          <t>0</t>
        </is>
      </c>
      <c r="I2797" t="inlineStr">
        <is>
          <t>9⁸, 72²</t>
        </is>
      </c>
      <c r="J2797" t="n">
        <v>10</v>
      </c>
      <c r="K2797" t="inlineStr">
        <is>
          <t>2³, 4³</t>
        </is>
      </c>
      <c r="L2797" t="inlineStr">
        <is>
          <t>24I¹, 36P⁴</t>
        </is>
      </c>
      <c r="M2797" t="inlineStr"/>
      <c r="N2797" t="inlineStr">
        <is>
          <t>12G⁰, 24I¹, 9D⁰, 9A⁰, 36P⁴, 6G⁰, 3C⁰, 2B⁰, 12D⁰, 18E¹, 3A⁰, 1A⁰, 18I², 6D⁰, 36C²</t>
        </is>
      </c>
      <c r="O2797" t="inlineStr"/>
    </row>
    <row r="2798">
      <c r="A2798">
        <f>HYPERLINK("https://mathstats.uncg.edu/sites/pauli/congruence/csg11.html#group72P11", "72P¹¹")</f>
        <v/>
      </c>
      <c r="B2798" t="n">
        <v>11</v>
      </c>
      <c r="C2798" t="inlineStr"/>
      <c r="D2798" t="inlineStr">
        <is>
          <t>216</t>
        </is>
      </c>
      <c r="E2798" t="inlineStr">
        <is>
          <t>1</t>
        </is>
      </c>
      <c r="F2798" t="inlineStr">
        <is>
          <t>108</t>
        </is>
      </c>
      <c r="G2798" t="inlineStr">
        <is>
          <t>0</t>
        </is>
      </c>
      <c r="H2798" t="inlineStr">
        <is>
          <t>0</t>
        </is>
      </c>
      <c r="I2798" t="inlineStr">
        <is>
          <t>3⁶, 6³, 9², 18¹, 24³, 72¹</t>
        </is>
      </c>
      <c r="J2798" t="n">
        <v>16</v>
      </c>
      <c r="K2798" t="inlineStr">
        <is>
          <t>1⁴, 2⁵, 3⁴, 4¹, 6⁹, 12²</t>
        </is>
      </c>
      <c r="L2798" t="inlineStr">
        <is>
          <t>24K³, 36Q⁴</t>
        </is>
      </c>
      <c r="M2798" t="inlineStr">
        <is>
          <t>72AB²¹</t>
        </is>
      </c>
      <c r="N2798" t="inlineStr">
        <is>
          <t>12K¹, 3A⁰, 9E⁰, 18I¹, 24D², 36Q⁴, 6G⁰, 3C⁰, 2B⁰, 24K³, 12B¹, 12D⁰, 4B⁰, 1A⁰, 6D⁰</t>
        </is>
      </c>
      <c r="O2798" t="inlineStr">
        <is>
          <t>72AB²¹</t>
        </is>
      </c>
    </row>
    <row r="2799">
      <c r="A2799">
        <f>HYPERLINK("https://mathstats.uncg.edu/sites/pauli/congruence/csg11.html#group72Q11", "72Q¹¹")</f>
        <v/>
      </c>
      <c r="B2799" t="n">
        <v>11</v>
      </c>
      <c r="C2799" t="inlineStr"/>
      <c r="D2799" t="inlineStr">
        <is>
          <t>216</t>
        </is>
      </c>
      <c r="E2799" t="inlineStr">
        <is>
          <t>1</t>
        </is>
      </c>
      <c r="F2799" t="inlineStr">
        <is>
          <t>108</t>
        </is>
      </c>
      <c r="G2799" t="inlineStr">
        <is>
          <t>0</t>
        </is>
      </c>
      <c r="H2799" t="inlineStr">
        <is>
          <t>0</t>
        </is>
      </c>
      <c r="I2799" t="inlineStr">
        <is>
          <t>3⁶, 6³, 9², 18¹, 24³, 72¹</t>
        </is>
      </c>
      <c r="J2799" t="n">
        <v>16</v>
      </c>
      <c r="K2799" t="inlineStr">
        <is>
          <t>1⁴, 2⁵, 3⁴, 4¹, 6⁹, 12²</t>
        </is>
      </c>
      <c r="L2799" t="inlineStr">
        <is>
          <t>24L³, 36Q⁴</t>
        </is>
      </c>
      <c r="M2799" t="inlineStr">
        <is>
          <t>72AB²¹</t>
        </is>
      </c>
      <c r="N2799" t="inlineStr">
        <is>
          <t>12K¹, 18I¹, 6G⁰, 2B⁰, 8C⁰, 9E⁰, 4B⁰, 1A⁰, 24B², 24D², 36Q⁴, 3C⁰, 12B¹, 12D⁰, 3A⁰, 24L³, 6D⁰</t>
        </is>
      </c>
      <c r="O2799" t="inlineStr">
        <is>
          <t>72AB²¹</t>
        </is>
      </c>
    </row>
    <row r="2800">
      <c r="A2800">
        <f>HYPERLINK("https://mathstats.uncg.edu/sites/pauli/congruence/csg11.html#group72R11", "72R¹¹")</f>
        <v/>
      </c>
      <c r="B2800" t="n">
        <v>11</v>
      </c>
      <c r="C2800" t="inlineStr"/>
      <c r="D2800" t="inlineStr">
        <is>
          <t>216</t>
        </is>
      </c>
      <c r="E2800" t="inlineStr">
        <is>
          <t>2</t>
        </is>
      </c>
      <c r="F2800" t="inlineStr">
        <is>
          <t>27</t>
        </is>
      </c>
      <c r="G2800" t="inlineStr">
        <is>
          <t>24</t>
        </is>
      </c>
      <c r="H2800" t="inlineStr">
        <is>
          <t>0</t>
        </is>
      </c>
      <c r="I2800" t="inlineStr">
        <is>
          <t>36², 72²</t>
        </is>
      </c>
      <c r="J2800" t="n">
        <v>4</v>
      </c>
      <c r="K2800" t="inlineStr">
        <is>
          <t>2⁹, 6⁶</t>
        </is>
      </c>
      <c r="L2800" t="inlineStr">
        <is>
          <t>24S³, 36R⁴, 72A⁵, 72B⁶</t>
        </is>
      </c>
      <c r="M2800" t="inlineStr">
        <is>
          <t>72AA²¹</t>
        </is>
      </c>
      <c r="N2800" t="inlineStr">
        <is>
          <t>6B⁰, 12C⁰, 3A⁰, 36B², 4C⁰, 24D¹, 36R⁴, 72A⁵, 2B⁰, 24C², 72B⁶, 1A⁰, 18A⁰, 18L², 24S³, 9A⁰, 18E¹, 12D⁰, 6H⁰, 12H⁰, 6D⁰, 36C²</t>
        </is>
      </c>
      <c r="O2800" t="inlineStr">
        <is>
          <t>72AA²¹</t>
        </is>
      </c>
    </row>
    <row r="2801">
      <c r="A2801">
        <f>HYPERLINK("https://mathstats.uncg.edu/sites/pauli/congruence/csg11.html#group75A11", "75A¹¹")</f>
        <v/>
      </c>
      <c r="B2801" t="n">
        <v>11</v>
      </c>
      <c r="C2801" t="inlineStr"/>
      <c r="D2801" t="inlineStr">
        <is>
          <t>150</t>
        </is>
      </c>
      <c r="E2801" t="inlineStr">
        <is>
          <t>1</t>
        </is>
      </c>
      <c r="F2801" t="inlineStr">
        <is>
          <t>50</t>
        </is>
      </c>
      <c r="G2801" t="inlineStr">
        <is>
          <t>6</t>
        </is>
      </c>
      <c r="H2801" t="inlineStr">
        <is>
          <t>0</t>
        </is>
      </c>
      <c r="I2801" t="inlineStr">
        <is>
          <t>75²</t>
        </is>
      </c>
      <c r="J2801" t="n">
        <v>2</v>
      </c>
      <c r="K2801" t="inlineStr">
        <is>
          <t>2¹, 4², 20²</t>
        </is>
      </c>
      <c r="L2801" t="inlineStr">
        <is>
          <t>15D¹, 25E²</t>
        </is>
      </c>
      <c r="M2801" t="inlineStr">
        <is>
          <t>75A²², 150A²², 75A²³, 150A²³, 75A²⁴, 150A²⁴</t>
        </is>
      </c>
      <c r="N2801" t="inlineStr">
        <is>
          <t>15D¹, 1A⁰, 3A⁰, 5C⁰, 25E²</t>
        </is>
      </c>
      <c r="O2801" t="inlineStr">
        <is>
          <t>75A²³, 150A²⁴, 150A²², 75A²², 150A²³, 75A²⁴</t>
        </is>
      </c>
    </row>
    <row r="2802">
      <c r="A2802">
        <f>HYPERLINK("https://mathstats.uncg.edu/sites/pauli/congruence/csg11.html#group75B11", "75B¹¹")</f>
        <v/>
      </c>
      <c r="B2802" t="n">
        <v>11</v>
      </c>
      <c r="C2802" t="inlineStr"/>
      <c r="D2802" t="inlineStr">
        <is>
          <t>225</t>
        </is>
      </c>
      <c r="E2802" t="inlineStr">
        <is>
          <t>1</t>
        </is>
      </c>
      <c r="F2802" t="inlineStr">
        <is>
          <t>75</t>
        </is>
      </c>
      <c r="G2802" t="inlineStr">
        <is>
          <t>21</t>
        </is>
      </c>
      <c r="H2802" t="inlineStr">
        <is>
          <t>0</t>
        </is>
      </c>
      <c r="I2802" t="inlineStr">
        <is>
          <t>15⁵, 75²</t>
        </is>
      </c>
      <c r="J2802" t="n">
        <v>7</v>
      </c>
      <c r="K2802" t="inlineStr">
        <is>
          <t>2¹, 4², 5¹, 20³</t>
        </is>
      </c>
      <c r="L2802" t="inlineStr">
        <is>
          <t>15F¹, 25F²</t>
        </is>
      </c>
      <c r="M2802" t="inlineStr">
        <is>
          <t>75B²⁴</t>
        </is>
      </c>
      <c r="N2802" t="inlineStr">
        <is>
          <t>25F², 5A⁰, 15F¹, 5E⁰, 3A⁰, 1A⁰, 15A¹, 15A⁰</t>
        </is>
      </c>
      <c r="O2802" t="inlineStr">
        <is>
          <t>75B²⁴</t>
        </is>
      </c>
    </row>
    <row r="2803">
      <c r="A2803">
        <f>HYPERLINK("https://mathstats.uncg.edu/sites/pauli/congruence/csg11.html#group76A11", "76A¹¹")</f>
        <v/>
      </c>
      <c r="B2803" t="n">
        <v>11</v>
      </c>
      <c r="C2803" t="inlineStr"/>
      <c r="D2803" t="inlineStr">
        <is>
          <t>160</t>
        </is>
      </c>
      <c r="E2803" t="inlineStr">
        <is>
          <t>1</t>
        </is>
      </c>
      <c r="F2803" t="inlineStr">
        <is>
          <t>80</t>
        </is>
      </c>
      <c r="G2803" t="inlineStr">
        <is>
          <t>0</t>
        </is>
      </c>
      <c r="H2803" t="inlineStr">
        <is>
          <t>4</t>
        </is>
      </c>
      <c r="I2803" t="inlineStr">
        <is>
          <t>4², 76²</t>
        </is>
      </c>
      <c r="J2803" t="n">
        <v>4</v>
      </c>
      <c r="K2803" t="inlineStr">
        <is>
          <t>2⁴, 36²</t>
        </is>
      </c>
      <c r="L2803" t="inlineStr">
        <is>
          <t>4D⁰, 38A², 76A⁶</t>
        </is>
      </c>
      <c r="M2803" t="inlineStr">
        <is>
          <t>76A²¹, 152A²³, 152B²³</t>
        </is>
      </c>
      <c r="N2803" t="inlineStr">
        <is>
          <t>19A¹, 2A⁰, 38A², 4A⁰, 4D⁰, 76A⁶, 1A⁰</t>
        </is>
      </c>
      <c r="O2803" t="inlineStr">
        <is>
          <t>76A²¹, 152B²³, 152A²³</t>
        </is>
      </c>
    </row>
    <row r="2804">
      <c r="A2804">
        <f>HYPERLINK("https://mathstats.uncg.edu/sites/pauli/congruence/csg11.html#group78A11", "78A¹¹")</f>
        <v/>
      </c>
      <c r="B2804" t="n">
        <v>11</v>
      </c>
      <c r="C2804" t="inlineStr"/>
      <c r="D2804" t="inlineStr">
        <is>
          <t>168</t>
        </is>
      </c>
      <c r="E2804" t="inlineStr">
        <is>
          <t>1</t>
        </is>
      </c>
      <c r="F2804" t="inlineStr">
        <is>
          <t>42</t>
        </is>
      </c>
      <c r="G2804" t="inlineStr">
        <is>
          <t>8</t>
        </is>
      </c>
      <c r="H2804" t="inlineStr">
        <is>
          <t>0</t>
        </is>
      </c>
      <c r="I2804" t="inlineStr">
        <is>
          <t>6², 78²</t>
        </is>
      </c>
      <c r="J2804" t="n">
        <v>4</v>
      </c>
      <c r="K2804" t="inlineStr">
        <is>
          <t>1², 2², 12¹, 24¹</t>
        </is>
      </c>
      <c r="L2804" t="inlineStr">
        <is>
          <t>6E⁰, 39A⁵, 78B⁵</t>
        </is>
      </c>
      <c r="M2804" t="inlineStr">
        <is>
          <t>78A²¹</t>
        </is>
      </c>
      <c r="N2804" t="inlineStr">
        <is>
          <t>39A², 6B⁰, 39A⁵, 6E⁰, 78B⁵, 13A⁰, 3C⁰, 3A⁰, 1A⁰</t>
        </is>
      </c>
      <c r="O2804" t="inlineStr">
        <is>
          <t>78A²¹</t>
        </is>
      </c>
    </row>
    <row r="2805">
      <c r="A2805">
        <f>HYPERLINK("https://mathstats.uncg.edu/sites/pauli/congruence/csg11.html#group78B11", "78B¹¹")</f>
        <v/>
      </c>
      <c r="B2805" t="n">
        <v>11</v>
      </c>
      <c r="C2805" t="inlineStr"/>
      <c r="D2805" t="inlineStr">
        <is>
          <t>168</t>
        </is>
      </c>
      <c r="E2805" t="inlineStr">
        <is>
          <t>1</t>
        </is>
      </c>
      <c r="F2805" t="inlineStr">
        <is>
          <t>42</t>
        </is>
      </c>
      <c r="G2805" t="inlineStr">
        <is>
          <t>8</t>
        </is>
      </c>
      <c r="H2805" t="inlineStr">
        <is>
          <t>0</t>
        </is>
      </c>
      <c r="I2805" t="inlineStr">
        <is>
          <t>6², 78²</t>
        </is>
      </c>
      <c r="J2805" t="n">
        <v>4</v>
      </c>
      <c r="K2805" t="inlineStr">
        <is>
          <t>1², 2², 12¹, 24¹</t>
        </is>
      </c>
      <c r="L2805" t="inlineStr">
        <is>
          <t>78A⁴, 39A⁵, 78A⁶</t>
        </is>
      </c>
      <c r="M2805" t="inlineStr">
        <is>
          <t>78A²¹</t>
        </is>
      </c>
      <c r="N2805" t="inlineStr">
        <is>
          <t>39A², 78A⁴, 39A⁵, 13A⁰, 3C⁰, 26A⁰, 78A⁶, 3A⁰, 1A⁰</t>
        </is>
      </c>
      <c r="O2805" t="inlineStr">
        <is>
          <t>78A²¹</t>
        </is>
      </c>
    </row>
    <row r="2806">
      <c r="A2806">
        <f>HYPERLINK("https://mathstats.uncg.edu/sites/pauli/congruence/csg11.html#group78C11", "78C¹¹")</f>
        <v/>
      </c>
      <c r="B2806" t="n">
        <v>11</v>
      </c>
      <c r="C2806" t="inlineStr">
        <is>
          <t>Γ₀(78)</t>
        </is>
      </c>
      <c r="D2806" t="inlineStr">
        <is>
          <t>168</t>
        </is>
      </c>
      <c r="E2806" t="inlineStr">
        <is>
          <t>1</t>
        </is>
      </c>
      <c r="F2806" t="inlineStr">
        <is>
          <t>168</t>
        </is>
      </c>
      <c r="G2806" t="inlineStr">
        <is>
          <t>0</t>
        </is>
      </c>
      <c r="H2806" t="inlineStr">
        <is>
          <t>0</t>
        </is>
      </c>
      <c r="I2806" t="inlineStr">
        <is>
          <t>1¹, 2¹, 3¹, 6¹, 13¹, 26¹, 39¹, 78¹</t>
        </is>
      </c>
      <c r="J2806" t="n">
        <v>8</v>
      </c>
      <c r="K2806" t="inlineStr">
        <is>
          <t>1¹², 2⁶, 12⁶, 24³</t>
        </is>
      </c>
      <c r="L2806" t="inlineStr">
        <is>
          <t>6F⁰, 26A², 39A³</t>
        </is>
      </c>
      <c r="M2806" t="inlineStr">
        <is>
          <t>78C²¹, 78C²³, 78F²³, 156C²³, 156D²³</t>
        </is>
      </c>
      <c r="N2806" t="inlineStr">
        <is>
          <t>3B⁰, 39A³, 13A⁰, 6F⁰, 2B⁰, 1A⁰, 26A²</t>
        </is>
      </c>
      <c r="O2806" t="inlineStr">
        <is>
          <t>156D²³, 156C²³, 78C²³, 78C²¹, 78F²³</t>
        </is>
      </c>
    </row>
    <row r="2807">
      <c r="A2807">
        <f>HYPERLINK("https://mathstats.uncg.edu/sites/pauli/congruence/csg11.html#group78D11", "78D¹¹")</f>
        <v/>
      </c>
      <c r="B2807" t="n">
        <v>11</v>
      </c>
      <c r="C2807" t="inlineStr"/>
      <c r="D2807" t="inlineStr">
        <is>
          <t>168</t>
        </is>
      </c>
      <c r="E2807" t="inlineStr">
        <is>
          <t>2</t>
        </is>
      </c>
      <c r="F2807" t="inlineStr">
        <is>
          <t>28</t>
        </is>
      </c>
      <c r="G2807" t="inlineStr">
        <is>
          <t>0</t>
        </is>
      </c>
      <c r="H2807" t="inlineStr">
        <is>
          <t>6</t>
        </is>
      </c>
      <c r="I2807" t="inlineStr">
        <is>
          <t>6², 78²</t>
        </is>
      </c>
      <c r="J2807" t="n">
        <v>4</v>
      </c>
      <c r="K2807" t="inlineStr">
        <is>
          <t>2⁴, 24²</t>
        </is>
      </c>
      <c r="L2807" t="inlineStr">
        <is>
          <t>26B¹, 78B⁶</t>
        </is>
      </c>
      <c r="M2807" t="inlineStr">
        <is>
          <t>156G²³</t>
        </is>
      </c>
      <c r="N2807" t="inlineStr">
        <is>
          <t>2A⁰, 26B¹, 26A¹, 13A⁰, 26A⁰, 13B⁰, 78B⁶, 1A⁰</t>
        </is>
      </c>
      <c r="O2807" t="inlineStr">
        <is>
          <t>156G²³</t>
        </is>
      </c>
    </row>
    <row r="2808">
      <c r="A2808">
        <f>HYPERLINK("https://mathstats.uncg.edu/sites/pauli/congruence/csg11.html#group78E11", "78E¹¹")</f>
        <v/>
      </c>
      <c r="B2808" t="n">
        <v>11</v>
      </c>
      <c r="C2808" t="inlineStr"/>
      <c r="D2808" t="inlineStr">
        <is>
          <t>168</t>
        </is>
      </c>
      <c r="E2808" t="inlineStr">
        <is>
          <t>2</t>
        </is>
      </c>
      <c r="F2808" t="inlineStr">
        <is>
          <t>42</t>
        </is>
      </c>
      <c r="G2808" t="inlineStr">
        <is>
          <t>8</t>
        </is>
      </c>
      <c r="H2808" t="inlineStr">
        <is>
          <t>0</t>
        </is>
      </c>
      <c r="I2808" t="inlineStr">
        <is>
          <t>6², 78²</t>
        </is>
      </c>
      <c r="J2808" t="n">
        <v>4</v>
      </c>
      <c r="K2808" t="inlineStr">
        <is>
          <t>2⁶, 24³</t>
        </is>
      </c>
      <c r="L2808" t="inlineStr">
        <is>
          <t>39A⁴, 78B⁵, 78A⁶</t>
        </is>
      </c>
      <c r="M2808" t="inlineStr">
        <is>
          <t>78A²¹</t>
        </is>
      </c>
      <c r="N2808" t="inlineStr">
        <is>
          <t>39A², 6B⁰, 78B⁵, 13A⁰, 39A⁴, 78A⁶, 3A⁰, 1A⁰</t>
        </is>
      </c>
      <c r="O2808" t="inlineStr">
        <is>
          <t>78A²¹</t>
        </is>
      </c>
    </row>
    <row r="2809">
      <c r="A2809">
        <f>HYPERLINK("https://mathstats.uncg.edu/sites/pauli/congruence/csg11.html#group80A11", "80A¹¹")</f>
        <v/>
      </c>
      <c r="B2809" t="n">
        <v>11</v>
      </c>
      <c r="C2809" t="inlineStr"/>
      <c r="D2809" t="inlineStr">
        <is>
          <t>144</t>
        </is>
      </c>
      <c r="E2809" t="inlineStr">
        <is>
          <t>1</t>
        </is>
      </c>
      <c r="F2809" t="inlineStr">
        <is>
          <t>18</t>
        </is>
      </c>
      <c r="G2809" t="inlineStr">
        <is>
          <t>0</t>
        </is>
      </c>
      <c r="H2809" t="inlineStr">
        <is>
          <t>0</t>
        </is>
      </c>
      <c r="I2809" t="inlineStr">
        <is>
          <t>8¹, 16¹, 40¹, 80¹</t>
        </is>
      </c>
      <c r="J2809" t="n">
        <v>4</v>
      </c>
      <c r="K2809" t="inlineStr">
        <is>
          <t>1⁶, 4³</t>
        </is>
      </c>
      <c r="L2809" t="inlineStr">
        <is>
          <t>40D³</t>
        </is>
      </c>
      <c r="M2809" t="inlineStr">
        <is>
          <t>80E²¹, 80H²¹, 80G²¹, 80L²¹, 80M²¹, 80X²¹, 80W²¹</t>
        </is>
      </c>
      <c r="N2809" t="inlineStr">
        <is>
          <t>20E¹, 4C⁰, 8B⁰, 5B⁰, 10C⁰, 1A⁰, 2B⁰, 40D³</t>
        </is>
      </c>
      <c r="O2809" t="inlineStr">
        <is>
          <t>80E²¹, 80H²¹, 80M²¹, 80L²¹, 80G²¹, 80X²¹, 80W²¹</t>
        </is>
      </c>
    </row>
    <row r="2810">
      <c r="A2810">
        <f>HYPERLINK("https://mathstats.uncg.edu/sites/pauli/congruence/csg11.html#group80B11", "80B¹¹")</f>
        <v/>
      </c>
      <c r="B2810" t="n">
        <v>11</v>
      </c>
      <c r="C2810" t="inlineStr"/>
      <c r="D2810" t="inlineStr">
        <is>
          <t>144</t>
        </is>
      </c>
      <c r="E2810" t="inlineStr">
        <is>
          <t>1</t>
        </is>
      </c>
      <c r="F2810" t="inlineStr">
        <is>
          <t>18</t>
        </is>
      </c>
      <c r="G2810" t="inlineStr">
        <is>
          <t>0</t>
        </is>
      </c>
      <c r="H2810" t="inlineStr">
        <is>
          <t>0</t>
        </is>
      </c>
      <c r="I2810" t="inlineStr">
        <is>
          <t>8¹, 16¹, 40¹, 80¹</t>
        </is>
      </c>
      <c r="J2810" t="n">
        <v>4</v>
      </c>
      <c r="K2810" t="inlineStr">
        <is>
          <t>1⁶, 4³</t>
        </is>
      </c>
      <c r="L2810" t="inlineStr">
        <is>
          <t>16A², 40D³</t>
        </is>
      </c>
      <c r="M2810" t="inlineStr">
        <is>
          <t>80E²¹, 80F²¹, 80I²¹, 80K²¹, 80O²¹, 80V²¹, 80AB²¹</t>
        </is>
      </c>
      <c r="N2810" t="inlineStr">
        <is>
          <t>20E¹, 4C⁰, 8B⁰, 5B⁰, 10C⁰, 1A⁰, 2B⁰, 40D³, 16A²</t>
        </is>
      </c>
      <c r="O2810" t="inlineStr">
        <is>
          <t>80V²¹, 80K²¹, 80AB²¹, 80F²¹, 80O²¹, 80I²¹, 80E²¹</t>
        </is>
      </c>
    </row>
    <row r="2811">
      <c r="A2811">
        <f>HYPERLINK("https://mathstats.uncg.edu/sites/pauli/congruence/csg11.html#group80C11", "80C¹¹")</f>
        <v/>
      </c>
      <c r="B2811" t="n">
        <v>11</v>
      </c>
      <c r="C2811" t="inlineStr"/>
      <c r="D2811" t="inlineStr">
        <is>
          <t>144</t>
        </is>
      </c>
      <c r="E2811" t="inlineStr">
        <is>
          <t>1</t>
        </is>
      </c>
      <c r="F2811" t="inlineStr">
        <is>
          <t>72</t>
        </is>
      </c>
      <c r="G2811" t="inlineStr">
        <is>
          <t>0</t>
        </is>
      </c>
      <c r="H2811" t="inlineStr">
        <is>
          <t>0</t>
        </is>
      </c>
      <c r="I2811" t="inlineStr">
        <is>
          <t>8¹, 16¹, 40¹, 80¹</t>
        </is>
      </c>
      <c r="J2811" t="n">
        <v>4</v>
      </c>
      <c r="K2811" t="inlineStr">
        <is>
          <t>1⁸, 2⁴, 4⁶, 8², 16¹</t>
        </is>
      </c>
      <c r="L2811" t="inlineStr">
        <is>
          <t>40C⁵</t>
        </is>
      </c>
      <c r="M2811" t="inlineStr">
        <is>
          <t>80P²¹, 80S²¹, 80Y²¹, 80Z²¹, 80AE²¹</t>
        </is>
      </c>
      <c r="N2811" t="inlineStr">
        <is>
          <t>20E¹, 8A¹, 4C⁰, 40C⁵, 5B⁰, 10C⁰, 2B⁰, 1A⁰</t>
        </is>
      </c>
      <c r="O2811" t="inlineStr">
        <is>
          <t>80Z²¹, 80Y²¹, 80AE²¹, 80P²¹, 80S²¹</t>
        </is>
      </c>
    </row>
    <row r="2812">
      <c r="A2812">
        <f>HYPERLINK("https://mathstats.uncg.edu/sites/pauli/congruence/csg11.html#group80D11", "80D¹¹")</f>
        <v/>
      </c>
      <c r="B2812" t="n">
        <v>11</v>
      </c>
      <c r="C2812" t="inlineStr"/>
      <c r="D2812" t="inlineStr">
        <is>
          <t>144</t>
        </is>
      </c>
      <c r="E2812" t="inlineStr">
        <is>
          <t>1</t>
        </is>
      </c>
      <c r="F2812" t="inlineStr">
        <is>
          <t>72</t>
        </is>
      </c>
      <c r="G2812" t="inlineStr">
        <is>
          <t>0</t>
        </is>
      </c>
      <c r="H2812" t="inlineStr">
        <is>
          <t>0</t>
        </is>
      </c>
      <c r="I2812" t="inlineStr">
        <is>
          <t>8¹, 16¹, 40¹, 80¹</t>
        </is>
      </c>
      <c r="J2812" t="n">
        <v>4</v>
      </c>
      <c r="K2812" t="inlineStr">
        <is>
          <t>1⁸, 2⁴, 4⁶, 8², 16¹</t>
        </is>
      </c>
      <c r="L2812" t="inlineStr">
        <is>
          <t>16B², 40C⁵</t>
        </is>
      </c>
      <c r="M2812" t="inlineStr">
        <is>
          <t>80Q²¹, 80T²¹, 80Y²¹, 80Z²¹, 80AE²¹, 160A²³, 160B²³, 160D²³, 160C²³</t>
        </is>
      </c>
      <c r="N2812" t="inlineStr">
        <is>
          <t>20E¹, 16B², 8A¹, 4C⁰, 40C⁵, 5B⁰, 10C⁰, 2B⁰, 1A⁰</t>
        </is>
      </c>
      <c r="O2812" t="inlineStr">
        <is>
          <t>80Z²¹, 80Y²¹, 80T²¹, 80AE²¹, 80Q²¹, 160D²³, 160C²³, 160B²³, 160A²³</t>
        </is>
      </c>
    </row>
    <row r="2813">
      <c r="A2813">
        <f>HYPERLINK("https://mathstats.uncg.edu/sites/pauli/congruence/csg11.html#group80E11", "80E¹¹")</f>
        <v/>
      </c>
      <c r="B2813" t="n">
        <v>11</v>
      </c>
      <c r="C2813" t="inlineStr"/>
      <c r="D2813" t="inlineStr">
        <is>
          <t>160</t>
        </is>
      </c>
      <c r="E2813" t="inlineStr">
        <is>
          <t>2</t>
        </is>
      </c>
      <c r="F2813" t="inlineStr">
        <is>
          <t>80</t>
        </is>
      </c>
      <c r="G2813" t="inlineStr">
        <is>
          <t>4</t>
        </is>
      </c>
      <c r="H2813" t="inlineStr">
        <is>
          <t>4</t>
        </is>
      </c>
      <c r="I2813" t="inlineStr">
        <is>
          <t>80²</t>
        </is>
      </c>
      <c r="J2813" t="n">
        <v>2</v>
      </c>
      <c r="K2813" t="inlineStr">
        <is>
          <t>16², 32⁴</t>
        </is>
      </c>
      <c r="L2813" t="inlineStr">
        <is>
          <t>40F⁵</t>
        </is>
      </c>
      <c r="M2813" t="inlineStr">
        <is>
          <t>80AI²¹, 80A²³, 80E²³</t>
        </is>
      </c>
      <c r="N2813" t="inlineStr">
        <is>
          <t>40F⁵, 8A⁰, 5C⁰, 1A⁰, 4A⁰, 20E²</t>
        </is>
      </c>
      <c r="O2813" t="inlineStr">
        <is>
          <t>80AI²¹, 80A²³, 80E²³</t>
        </is>
      </c>
    </row>
    <row r="2814">
      <c r="A2814">
        <f>HYPERLINK("https://mathstats.uncg.edu/sites/pauli/congruence/csg11.html#group80F11", "80F¹¹")</f>
        <v/>
      </c>
      <c r="B2814" t="n">
        <v>11</v>
      </c>
      <c r="C2814" t="inlineStr"/>
      <c r="D2814" t="inlineStr">
        <is>
          <t>160</t>
        </is>
      </c>
      <c r="E2814" t="inlineStr">
        <is>
          <t>2</t>
        </is>
      </c>
      <c r="F2814" t="inlineStr">
        <is>
          <t>80</t>
        </is>
      </c>
      <c r="G2814" t="inlineStr">
        <is>
          <t>4</t>
        </is>
      </c>
      <c r="H2814" t="inlineStr">
        <is>
          <t>4</t>
        </is>
      </c>
      <c r="I2814" t="inlineStr">
        <is>
          <t>80²</t>
        </is>
      </c>
      <c r="J2814" t="n">
        <v>2</v>
      </c>
      <c r="K2814" t="inlineStr">
        <is>
          <t>16², 32⁴</t>
        </is>
      </c>
      <c r="L2814" t="inlineStr">
        <is>
          <t>16A⁰, 40F⁵</t>
        </is>
      </c>
      <c r="M2814" t="inlineStr">
        <is>
          <t>80AI²¹, 80B²³, 80E²³</t>
        </is>
      </c>
      <c r="N2814" t="inlineStr">
        <is>
          <t>40F⁵, 8A⁰, 5C⁰, 16A⁰, 1A⁰, 4A⁰, 20E²</t>
        </is>
      </c>
      <c r="O2814" t="inlineStr">
        <is>
          <t>80AI²¹, 80B²³, 80E²³</t>
        </is>
      </c>
    </row>
    <row r="2815">
      <c r="A2815">
        <f>HYPERLINK("https://mathstats.uncg.edu/sites/pauli/congruence/csg11.html#group82A11", "82A¹¹")</f>
        <v/>
      </c>
      <c r="B2815" t="n">
        <v>11</v>
      </c>
      <c r="C2815" t="inlineStr"/>
      <c r="D2815" t="inlineStr">
        <is>
          <t>168</t>
        </is>
      </c>
      <c r="E2815" t="inlineStr">
        <is>
          <t>1</t>
        </is>
      </c>
      <c r="F2815" t="inlineStr">
        <is>
          <t>42</t>
        </is>
      </c>
      <c r="G2815" t="inlineStr">
        <is>
          <t>8</t>
        </is>
      </c>
      <c r="H2815" t="inlineStr">
        <is>
          <t>0</t>
        </is>
      </c>
      <c r="I2815" t="inlineStr">
        <is>
          <t>2², 82²</t>
        </is>
      </c>
      <c r="J2815" t="n">
        <v>4</v>
      </c>
      <c r="K2815" t="inlineStr">
        <is>
          <t>1², 40¹</t>
        </is>
      </c>
      <c r="L2815" t="inlineStr">
        <is>
          <t>41A⁵</t>
        </is>
      </c>
      <c r="M2815" t="inlineStr"/>
      <c r="N2815" t="inlineStr">
        <is>
          <t>1A⁰, 41A⁵, 41A³</t>
        </is>
      </c>
      <c r="O2815" t="inlineStr"/>
    </row>
    <row r="2816">
      <c r="A2816">
        <f>HYPERLINK("https://mathstats.uncg.edu/sites/pauli/congruence/csg11.html#group84A11", "84A¹¹")</f>
        <v/>
      </c>
      <c r="B2816" t="n">
        <v>11</v>
      </c>
      <c r="C2816" t="inlineStr"/>
      <c r="D2816" t="inlineStr">
        <is>
          <t>144</t>
        </is>
      </c>
      <c r="E2816" t="inlineStr">
        <is>
          <t>1</t>
        </is>
      </c>
      <c r="F2816" t="inlineStr">
        <is>
          <t>24</t>
        </is>
      </c>
      <c r="G2816" t="inlineStr">
        <is>
          <t>0</t>
        </is>
      </c>
      <c r="H2816" t="inlineStr">
        <is>
          <t>0</t>
        </is>
      </c>
      <c r="I2816" t="inlineStr">
        <is>
          <t>6¹, 12¹, 42¹, 84¹</t>
        </is>
      </c>
      <c r="J2816" t="n">
        <v>4</v>
      </c>
      <c r="K2816" t="inlineStr">
        <is>
          <t>1⁶, 6³</t>
        </is>
      </c>
      <c r="L2816" t="inlineStr">
        <is>
          <t>12C⁰, 28C³, 42A⁵</t>
        </is>
      </c>
      <c r="M2816" t="inlineStr">
        <is>
          <t>84A²¹, 84C²¹, 84D²¹, 84I²², 84J²², 168B²², 168D²², 168A²³, 168B²³, 168C²³, 168D²³</t>
        </is>
      </c>
      <c r="N2816" t="inlineStr">
        <is>
          <t>12C⁰, 21A², 3A⁰, 42A⁵, 7B⁰, 4C⁰, 14C¹, 2B⁰, 28C³, 1A⁰, 6D⁰</t>
        </is>
      </c>
      <c r="O2816" t="inlineStr">
        <is>
          <t>168D²³, 168D²², 84C²¹, 84J²², 168C²³, 84D²¹, 84A²¹, 84I²², 168A²³, 168B²³, 168B²²</t>
        </is>
      </c>
    </row>
    <row r="2817">
      <c r="A2817">
        <f>HYPERLINK("https://mathstats.uncg.edu/sites/pauli/congruence/csg11.html#group84B11", "84B¹¹")</f>
        <v/>
      </c>
      <c r="B2817" t="n">
        <v>11</v>
      </c>
      <c r="C2817" t="inlineStr"/>
      <c r="D2817" t="inlineStr">
        <is>
          <t>144</t>
        </is>
      </c>
      <c r="E2817" t="inlineStr">
        <is>
          <t>1</t>
        </is>
      </c>
      <c r="F2817" t="inlineStr">
        <is>
          <t>72</t>
        </is>
      </c>
      <c r="G2817" t="inlineStr">
        <is>
          <t>0</t>
        </is>
      </c>
      <c r="H2817" t="inlineStr">
        <is>
          <t>0</t>
        </is>
      </c>
      <c r="I2817" t="inlineStr">
        <is>
          <t>6¹, 12¹, 42¹, 84¹</t>
        </is>
      </c>
      <c r="J2817" t="n">
        <v>4</v>
      </c>
      <c r="K2817" t="inlineStr">
        <is>
          <t>1⁶, 2⁶, 6³, 12³</t>
        </is>
      </c>
      <c r="L2817" t="inlineStr">
        <is>
          <t>12C¹, 42A⁵</t>
        </is>
      </c>
      <c r="M2817" t="inlineStr">
        <is>
          <t>84B²¹, 84D²¹, 84E²¹, 84F²¹, 84H²¹</t>
        </is>
      </c>
      <c r="N2817" t="inlineStr">
        <is>
          <t>12C¹, 21A², 42A⁵, 7B⁰, 14C¹, 2B⁰, 3A⁰, 1A⁰, 6D⁰</t>
        </is>
      </c>
      <c r="O2817" t="inlineStr">
        <is>
          <t>84F²¹, 84D²¹, 84E²¹, 84H²¹, 84B²¹</t>
        </is>
      </c>
    </row>
    <row r="2818">
      <c r="A2818">
        <f>HYPERLINK("https://mathstats.uncg.edu/sites/pauli/congruence/csg11.html#group84C11", "84C¹¹")</f>
        <v/>
      </c>
      <c r="B2818" t="n">
        <v>11</v>
      </c>
      <c r="C2818" t="inlineStr"/>
      <c r="D2818" t="inlineStr">
        <is>
          <t>144</t>
        </is>
      </c>
      <c r="E2818" t="inlineStr">
        <is>
          <t>2</t>
        </is>
      </c>
      <c r="F2818" t="inlineStr">
        <is>
          <t>24</t>
        </is>
      </c>
      <c r="G2818" t="inlineStr">
        <is>
          <t>0</t>
        </is>
      </c>
      <c r="H2818" t="inlineStr">
        <is>
          <t>0</t>
        </is>
      </c>
      <c r="I2818" t="inlineStr">
        <is>
          <t>6¹, 12¹, 42¹, 84¹</t>
        </is>
      </c>
      <c r="J2818" t="n">
        <v>4</v>
      </c>
      <c r="K2818" t="inlineStr">
        <is>
          <t>2⁶, 12³</t>
        </is>
      </c>
      <c r="L2818" t="inlineStr">
        <is>
          <t>28C³, 42B⁵</t>
        </is>
      </c>
      <c r="M2818" t="inlineStr">
        <is>
          <t>84G²¹, 84L²², 168F²², 168E²³, 168F²³</t>
        </is>
      </c>
      <c r="N2818" t="inlineStr">
        <is>
          <t>42B⁵, 7B⁰, 4C⁰, 14C¹, 2B⁰, 28C³, 1A⁰, 21A¹</t>
        </is>
      </c>
      <c r="O2818" t="inlineStr">
        <is>
          <t>168F²³, 84L²², 168E²³, 168F²², 84G²¹</t>
        </is>
      </c>
    </row>
    <row r="2819">
      <c r="A2819">
        <f>HYPERLINK("https://mathstats.uncg.edu/sites/pauli/congruence/csg11.html#group84D11", "84D¹¹")</f>
        <v/>
      </c>
      <c r="B2819" t="n">
        <v>11</v>
      </c>
      <c r="C2819" t="inlineStr"/>
      <c r="D2819" t="inlineStr">
        <is>
          <t>168</t>
        </is>
      </c>
      <c r="E2819" t="inlineStr">
        <is>
          <t>2</t>
        </is>
      </c>
      <c r="F2819" t="inlineStr">
        <is>
          <t>28</t>
        </is>
      </c>
      <c r="G2819" t="inlineStr">
        <is>
          <t>12</t>
        </is>
      </c>
      <c r="H2819" t="inlineStr">
        <is>
          <t>0</t>
        </is>
      </c>
      <c r="I2819" t="inlineStr">
        <is>
          <t>84²</t>
        </is>
      </c>
      <c r="J2819" t="n">
        <v>2</v>
      </c>
      <c r="K2819" t="inlineStr">
        <is>
          <t>4², 12⁴</t>
        </is>
      </c>
      <c r="L2819" t="inlineStr">
        <is>
          <t>21C², 28D³, 84A³</t>
        </is>
      </c>
      <c r="M2819" t="inlineStr">
        <is>
          <t>84E²³</t>
        </is>
      </c>
      <c r="N2819" t="inlineStr">
        <is>
          <t>28D³, 84A³, 12A⁰, 4A⁰, 7C⁰, 21C², 21A⁰, 3A⁰, 28A¹, 1A⁰, 7A⁰</t>
        </is>
      </c>
      <c r="O2819" t="inlineStr">
        <is>
          <t>84E²³</t>
        </is>
      </c>
    </row>
    <row r="2820">
      <c r="A2820">
        <f>HYPERLINK("https://mathstats.uncg.edu/sites/pauli/congruence/csg11.html#group84E11", "84E¹¹")</f>
        <v/>
      </c>
      <c r="B2820" t="n">
        <v>11</v>
      </c>
      <c r="C2820" t="inlineStr"/>
      <c r="D2820" t="inlineStr">
        <is>
          <t>168</t>
        </is>
      </c>
      <c r="E2820" t="inlineStr">
        <is>
          <t>2</t>
        </is>
      </c>
      <c r="F2820" t="inlineStr">
        <is>
          <t>42</t>
        </is>
      </c>
      <c r="G2820" t="inlineStr">
        <is>
          <t>12</t>
        </is>
      </c>
      <c r="H2820" t="inlineStr">
        <is>
          <t>0</t>
        </is>
      </c>
      <c r="I2820" t="inlineStr">
        <is>
          <t>84²</t>
        </is>
      </c>
      <c r="J2820" t="n">
        <v>2</v>
      </c>
      <c r="K2820" t="inlineStr">
        <is>
          <t>4¹, 8¹, 12², 24²</t>
        </is>
      </c>
      <c r="L2820" t="inlineStr">
        <is>
          <t>42F⁴</t>
        </is>
      </c>
      <c r="M2820" t="inlineStr">
        <is>
          <t>84A²³</t>
        </is>
      </c>
      <c r="N2820" t="inlineStr">
        <is>
          <t>21D², 6B⁰, 42F⁴, 6E⁰, 21A⁰, 3C⁰, 42B¹, 3A⁰, 1A⁰, 7A⁰</t>
        </is>
      </c>
      <c r="O2820" t="inlineStr">
        <is>
          <t>84A²³</t>
        </is>
      </c>
    </row>
    <row r="2821">
      <c r="A2821">
        <f>HYPERLINK("https://mathstats.uncg.edu/sites/pauli/congruence/csg11.html#group84F11", "84F¹¹")</f>
        <v/>
      </c>
      <c r="B2821" t="n">
        <v>11</v>
      </c>
      <c r="C2821" t="inlineStr"/>
      <c r="D2821" t="inlineStr">
        <is>
          <t>168</t>
        </is>
      </c>
      <c r="E2821" t="inlineStr">
        <is>
          <t>2</t>
        </is>
      </c>
      <c r="F2821" t="inlineStr">
        <is>
          <t>42</t>
        </is>
      </c>
      <c r="G2821" t="inlineStr">
        <is>
          <t>12</t>
        </is>
      </c>
      <c r="H2821" t="inlineStr">
        <is>
          <t>0</t>
        </is>
      </c>
      <c r="I2821" t="inlineStr">
        <is>
          <t>84²</t>
        </is>
      </c>
      <c r="J2821" t="n">
        <v>2</v>
      </c>
      <c r="K2821" t="inlineStr">
        <is>
          <t>4¹, 8¹, 12², 24²</t>
        </is>
      </c>
      <c r="L2821" t="inlineStr">
        <is>
          <t>12D¹, 42F⁴</t>
        </is>
      </c>
      <c r="M2821" t="inlineStr">
        <is>
          <t>84A²³</t>
        </is>
      </c>
      <c r="N2821" t="inlineStr">
        <is>
          <t>21D², 12D¹, 6B⁰, 42F⁴, 21A⁰, 1A⁰, 6E⁰, 3C⁰, 42B¹, 3A⁰, 7A⁰</t>
        </is>
      </c>
      <c r="O2821" t="inlineStr">
        <is>
          <t>84A²³</t>
        </is>
      </c>
    </row>
    <row r="2822">
      <c r="A2822">
        <f>HYPERLINK("https://mathstats.uncg.edu/sites/pauli/congruence/csg11.html#group84G11", "84G¹¹")</f>
        <v/>
      </c>
      <c r="B2822" t="n">
        <v>11</v>
      </c>
      <c r="C2822" t="inlineStr"/>
      <c r="D2822" t="inlineStr">
        <is>
          <t>168</t>
        </is>
      </c>
      <c r="E2822" t="inlineStr">
        <is>
          <t>2</t>
        </is>
      </c>
      <c r="F2822" t="inlineStr">
        <is>
          <t>84</t>
        </is>
      </c>
      <c r="G2822" t="inlineStr">
        <is>
          <t>12</t>
        </is>
      </c>
      <c r="H2822" t="inlineStr">
        <is>
          <t>0</t>
        </is>
      </c>
      <c r="I2822" t="inlineStr">
        <is>
          <t>84²</t>
        </is>
      </c>
      <c r="J2822" t="n">
        <v>2</v>
      </c>
      <c r="K2822" t="inlineStr">
        <is>
          <t>4², 8², 12⁴, 24⁴</t>
        </is>
      </c>
      <c r="L2822" t="inlineStr">
        <is>
          <t>12G¹, 21D², 84A³</t>
        </is>
      </c>
      <c r="M2822" t="inlineStr">
        <is>
          <t>84N²¹, 84C²³, 84D²³</t>
        </is>
      </c>
      <c r="N2822" t="inlineStr">
        <is>
          <t>12G¹, 21D², 84A³, 12A⁰, 4A⁰, 21A⁰, 3C⁰, 3A⁰, 28A¹, 1A⁰, 7A⁰</t>
        </is>
      </c>
      <c r="O2822" t="inlineStr">
        <is>
          <t>84C²³, 84N²¹, 84D²³</t>
        </is>
      </c>
    </row>
    <row r="2823">
      <c r="A2823">
        <f>HYPERLINK("https://mathstats.uncg.edu/sites/pauli/congruence/csg11.html#group84H11", "84H¹¹")</f>
        <v/>
      </c>
      <c r="B2823" t="n">
        <v>11</v>
      </c>
      <c r="C2823" t="inlineStr"/>
      <c r="D2823" t="inlineStr">
        <is>
          <t>192</t>
        </is>
      </c>
      <c r="E2823" t="inlineStr">
        <is>
          <t>1</t>
        </is>
      </c>
      <c r="F2823" t="inlineStr">
        <is>
          <t>96</t>
        </is>
      </c>
      <c r="G2823" t="inlineStr">
        <is>
          <t>0</t>
        </is>
      </c>
      <c r="H2823" t="inlineStr">
        <is>
          <t>0</t>
        </is>
      </c>
      <c r="I2823" t="inlineStr">
        <is>
          <t>1², 3², 4¹, 7², 12¹, 21², 28¹, 84¹</t>
        </is>
      </c>
      <c r="J2823" t="n">
        <v>12</v>
      </c>
      <c r="K2823" t="inlineStr">
        <is>
          <t>1¹², 2⁶, 6⁶, 12³</t>
        </is>
      </c>
      <c r="L2823" t="inlineStr">
        <is>
          <t>42G⁵</t>
        </is>
      </c>
      <c r="M2823" t="inlineStr">
        <is>
          <t>84Q²¹</t>
        </is>
      </c>
      <c r="N2823" t="inlineStr">
        <is>
          <t>3B⁰, 21B¹, 7B⁰, 14C¹, 1A⁰, 2B⁰, 42G⁵, 6F⁰</t>
        </is>
      </c>
      <c r="O2823" t="inlineStr">
        <is>
          <t>84Q²¹</t>
        </is>
      </c>
    </row>
    <row r="2824">
      <c r="A2824">
        <f>HYPERLINK("https://mathstats.uncg.edu/sites/pauli/congruence/csg11.html#group84I11", "84I¹¹")</f>
        <v/>
      </c>
      <c r="B2824" t="n">
        <v>11</v>
      </c>
      <c r="C2824" t="inlineStr">
        <is>
          <t>Γ₀(84)</t>
        </is>
      </c>
      <c r="D2824" t="inlineStr">
        <is>
          <t>192</t>
        </is>
      </c>
      <c r="E2824" t="inlineStr">
        <is>
          <t>1</t>
        </is>
      </c>
      <c r="F2824" t="inlineStr">
        <is>
          <t>96</t>
        </is>
      </c>
      <c r="G2824" t="inlineStr">
        <is>
          <t>0</t>
        </is>
      </c>
      <c r="H2824" t="inlineStr">
        <is>
          <t>0</t>
        </is>
      </c>
      <c r="I2824" t="inlineStr">
        <is>
          <t>1², 3², 4¹, 7², 12¹, 21², 28¹, 84¹</t>
        </is>
      </c>
      <c r="J2824" t="n">
        <v>12</v>
      </c>
      <c r="K2824" t="inlineStr">
        <is>
          <t>1¹², 2⁶, 6⁶, 12³</t>
        </is>
      </c>
      <c r="L2824" t="inlineStr">
        <is>
          <t>12E⁰, 28D², 42G⁵</t>
        </is>
      </c>
      <c r="M2824" t="inlineStr">
        <is>
          <t>84Q²¹, 84K²³, 84L²³, 168Q²³, 168R²³</t>
        </is>
      </c>
      <c r="N2824" t="inlineStr">
        <is>
          <t>3B⁰, 21B¹, 4B⁰, 7B⁰, 28D², 14C¹, 1A⁰, 2B⁰, 42G⁵, 6F⁰, 12E⁰</t>
        </is>
      </c>
      <c r="O2824" t="inlineStr">
        <is>
          <t>168Q²³, 84K²³, 84Q²¹, 168R²³, 84L²³</t>
        </is>
      </c>
    </row>
    <row r="2825">
      <c r="A2825">
        <f>HYPERLINK("https://mathstats.uncg.edu/sites/pauli/congruence/csg11.html#group88A11", "88A¹¹")</f>
        <v/>
      </c>
      <c r="B2825" t="n">
        <v>11</v>
      </c>
      <c r="C2825" t="inlineStr"/>
      <c r="D2825" t="inlineStr">
        <is>
          <t>132</t>
        </is>
      </c>
      <c r="E2825" t="inlineStr">
        <is>
          <t>2</t>
        </is>
      </c>
      <c r="F2825" t="inlineStr">
        <is>
          <t>33</t>
        </is>
      </c>
      <c r="G2825" t="inlineStr">
        <is>
          <t>0</t>
        </is>
      </c>
      <c r="H2825" t="inlineStr">
        <is>
          <t>0</t>
        </is>
      </c>
      <c r="I2825" t="inlineStr">
        <is>
          <t>44¹, 88¹</t>
        </is>
      </c>
      <c r="J2825" t="n">
        <v>2</v>
      </c>
      <c r="K2825" t="inlineStr">
        <is>
          <t>2³, 10⁶</t>
        </is>
      </c>
      <c r="L2825" t="inlineStr">
        <is>
          <t>8A¹, 44C⁴</t>
        </is>
      </c>
      <c r="M2825" t="inlineStr">
        <is>
          <t>88A²¹, 88B²¹, 176B²²</t>
        </is>
      </c>
      <c r="N2825" t="inlineStr">
        <is>
          <t>11A⁰, 1A⁰, 2B⁰, 8A¹, 22B², 44C⁴, 4C⁰</t>
        </is>
      </c>
      <c r="O2825" t="inlineStr">
        <is>
          <t>176B²², 88A²¹, 88B²¹</t>
        </is>
      </c>
    </row>
    <row r="2826">
      <c r="A2826">
        <f>HYPERLINK("https://mathstats.uncg.edu/sites/pauli/congruence/csg11.html#group88B11", "88B¹¹")</f>
        <v/>
      </c>
      <c r="B2826" t="n">
        <v>11</v>
      </c>
      <c r="C2826" t="inlineStr"/>
      <c r="D2826" t="inlineStr">
        <is>
          <t>144</t>
        </is>
      </c>
      <c r="E2826" t="inlineStr">
        <is>
          <t>1</t>
        </is>
      </c>
      <c r="F2826" t="inlineStr">
        <is>
          <t>36</t>
        </is>
      </c>
      <c r="G2826" t="inlineStr">
        <is>
          <t>0</t>
        </is>
      </c>
      <c r="H2826" t="inlineStr">
        <is>
          <t>0</t>
        </is>
      </c>
      <c r="I2826" t="inlineStr">
        <is>
          <t>4¹, 8¹, 44¹, 88¹</t>
        </is>
      </c>
      <c r="J2826" t="n">
        <v>4</v>
      </c>
      <c r="K2826" t="inlineStr">
        <is>
          <t>1⁶, 10³</t>
        </is>
      </c>
      <c r="L2826" t="inlineStr">
        <is>
          <t>8B⁰, 44B⁵</t>
        </is>
      </c>
      <c r="M2826" t="inlineStr">
        <is>
          <t>88D²¹, 88E²¹, 88H²¹, 176C²³, 176D²³, 176F²³, 176G²³</t>
        </is>
      </c>
      <c r="N2826" t="inlineStr">
        <is>
          <t>11A¹, 4C⁰, 8B⁰, 44B⁵, 2B⁰, 22C², 1A⁰</t>
        </is>
      </c>
      <c r="O2826" t="inlineStr">
        <is>
          <t>176G²³, 88D²¹, 176C²³, 176D²³, 88E²¹, 176F²³, 88H²¹</t>
        </is>
      </c>
    </row>
    <row r="2827">
      <c r="A2827">
        <f>HYPERLINK("https://mathstats.uncg.edu/sites/pauli/congruence/csg11.html#group88C11", "88C¹¹")</f>
        <v/>
      </c>
      <c r="B2827" t="n">
        <v>11</v>
      </c>
      <c r="C2827" t="inlineStr"/>
      <c r="D2827" t="inlineStr">
        <is>
          <t>144</t>
        </is>
      </c>
      <c r="E2827" t="inlineStr">
        <is>
          <t>1</t>
        </is>
      </c>
      <c r="F2827" t="inlineStr">
        <is>
          <t>36</t>
        </is>
      </c>
      <c r="G2827" t="inlineStr">
        <is>
          <t>0</t>
        </is>
      </c>
      <c r="H2827" t="inlineStr">
        <is>
          <t>0</t>
        </is>
      </c>
      <c r="I2827" t="inlineStr">
        <is>
          <t>4¹, 8¹, 44¹, 88¹</t>
        </is>
      </c>
      <c r="J2827" t="n">
        <v>4</v>
      </c>
      <c r="K2827" t="inlineStr">
        <is>
          <t>1⁶, 10³</t>
        </is>
      </c>
      <c r="L2827" t="inlineStr">
        <is>
          <t>8A¹, 44B⁵</t>
        </is>
      </c>
      <c r="M2827" t="inlineStr">
        <is>
          <t>88D²¹, 88F²¹, 88G²¹, 176A²³, 176B²³, 176E²³, 176H²³</t>
        </is>
      </c>
      <c r="N2827" t="inlineStr">
        <is>
          <t>44B⁵, 2B⁰, 8A¹, 22C², 1A⁰, 11A¹, 4C⁰</t>
        </is>
      </c>
      <c r="O2827" t="inlineStr">
        <is>
          <t>176B²³, 88F²¹, 88D²¹, 176E²³, 88G²¹, 176H²³, 176A²³</t>
        </is>
      </c>
    </row>
    <row r="2828">
      <c r="A2828">
        <f>HYPERLINK("https://mathstats.uncg.edu/sites/pauli/congruence/csg11.html#group88D11", "88D¹¹")</f>
        <v/>
      </c>
      <c r="B2828" t="n">
        <v>11</v>
      </c>
      <c r="C2828" t="inlineStr"/>
      <c r="D2828" t="inlineStr">
        <is>
          <t>176</t>
        </is>
      </c>
      <c r="E2828" t="inlineStr">
        <is>
          <t>2</t>
        </is>
      </c>
      <c r="F2828" t="inlineStr">
        <is>
          <t>176</t>
        </is>
      </c>
      <c r="G2828" t="inlineStr">
        <is>
          <t>12</t>
        </is>
      </c>
      <c r="H2828" t="inlineStr">
        <is>
          <t>2</t>
        </is>
      </c>
      <c r="I2828" t="inlineStr">
        <is>
          <t>88²</t>
        </is>
      </c>
      <c r="J2828" t="n">
        <v>2</v>
      </c>
      <c r="K2828" t="inlineStr">
        <is>
          <t>8⁴, 40⁸</t>
        </is>
      </c>
      <c r="L2828" t="inlineStr">
        <is>
          <t>8F⁰, 44A²</t>
        </is>
      </c>
      <c r="M2828" t="inlineStr">
        <is>
          <t>88A²⁴, 88B²⁴</t>
        </is>
      </c>
      <c r="N2828" t="inlineStr">
        <is>
          <t>11A⁰, 8F⁰, 44A², 1A⁰, 4A⁰</t>
        </is>
      </c>
      <c r="O2828" t="inlineStr">
        <is>
          <t>88A²⁴, 88B²⁴</t>
        </is>
      </c>
    </row>
    <row r="2829">
      <c r="A2829">
        <f>HYPERLINK("https://mathstats.uncg.edu/sites/pauli/congruence/csg11.html#group90A11", "90A¹¹")</f>
        <v/>
      </c>
      <c r="B2829" t="n">
        <v>11</v>
      </c>
      <c r="C2829" t="inlineStr"/>
      <c r="D2829" t="inlineStr">
        <is>
          <t>144</t>
        </is>
      </c>
      <c r="E2829" t="inlineStr">
        <is>
          <t>1</t>
        </is>
      </c>
      <c r="F2829" t="inlineStr">
        <is>
          <t>24</t>
        </is>
      </c>
      <c r="G2829" t="inlineStr">
        <is>
          <t>0</t>
        </is>
      </c>
      <c r="H2829" t="inlineStr">
        <is>
          <t>0</t>
        </is>
      </c>
      <c r="I2829" t="inlineStr">
        <is>
          <t>6¹, 18¹, 30¹, 90¹</t>
        </is>
      </c>
      <c r="J2829" t="n">
        <v>4</v>
      </c>
      <c r="K2829" t="inlineStr">
        <is>
          <t>1⁴, 2², 4², 8¹</t>
        </is>
      </c>
      <c r="L2829" t="inlineStr">
        <is>
          <t>30F³, 45C⁵</t>
        </is>
      </c>
      <c r="M2829" t="inlineStr">
        <is>
          <t>90E²¹, 180K²³</t>
        </is>
      </c>
      <c r="N2829" t="inlineStr">
        <is>
          <t>45C⁵, 15C¹, 3B⁰, 30F³, 5B⁰, 9C⁰, 1A⁰, 10B⁰</t>
        </is>
      </c>
      <c r="O2829" t="inlineStr">
        <is>
          <t>90E²¹, 180K²³</t>
        </is>
      </c>
    </row>
    <row r="2830">
      <c r="A2830">
        <f>HYPERLINK("https://mathstats.uncg.edu/sites/pauli/congruence/csg11.html#group90B11", "90B¹¹")</f>
        <v/>
      </c>
      <c r="B2830" t="n">
        <v>11</v>
      </c>
      <c r="C2830" t="inlineStr"/>
      <c r="D2830" t="inlineStr">
        <is>
          <t>144</t>
        </is>
      </c>
      <c r="E2830" t="inlineStr">
        <is>
          <t>1</t>
        </is>
      </c>
      <c r="F2830" t="inlineStr">
        <is>
          <t>24</t>
        </is>
      </c>
      <c r="G2830" t="inlineStr">
        <is>
          <t>0</t>
        </is>
      </c>
      <c r="H2830" t="inlineStr">
        <is>
          <t>0</t>
        </is>
      </c>
      <c r="I2830" t="inlineStr">
        <is>
          <t>6¹, 18¹, 30¹, 90¹</t>
        </is>
      </c>
      <c r="J2830" t="n">
        <v>4</v>
      </c>
      <c r="K2830" t="inlineStr">
        <is>
          <t>1⁴, 2², 4², 8¹</t>
        </is>
      </c>
      <c r="L2830" t="inlineStr">
        <is>
          <t>30F³, 45D⁵</t>
        </is>
      </c>
      <c r="M2830" t="inlineStr">
        <is>
          <t>90F²¹, 180L²³</t>
        </is>
      </c>
      <c r="N2830" t="inlineStr">
        <is>
          <t>15C¹, 3B⁰, 30F³, 9A¹, 5B⁰, 1A⁰, 45D⁵, 10B⁰</t>
        </is>
      </c>
      <c r="O2830" t="inlineStr">
        <is>
          <t>180L²³, 90F²¹</t>
        </is>
      </c>
    </row>
    <row r="2831">
      <c r="A2831">
        <f>HYPERLINK("https://mathstats.uncg.edu/sites/pauli/congruence/csg11.html#group90C11", "90C¹¹")</f>
        <v/>
      </c>
      <c r="B2831" t="n">
        <v>11</v>
      </c>
      <c r="C2831" t="inlineStr"/>
      <c r="D2831" t="inlineStr">
        <is>
          <t>144</t>
        </is>
      </c>
      <c r="E2831" t="inlineStr">
        <is>
          <t>1</t>
        </is>
      </c>
      <c r="F2831" t="inlineStr">
        <is>
          <t>24</t>
        </is>
      </c>
      <c r="G2831" t="inlineStr">
        <is>
          <t>0</t>
        </is>
      </c>
      <c r="H2831" t="inlineStr">
        <is>
          <t>0</t>
        </is>
      </c>
      <c r="I2831" t="inlineStr">
        <is>
          <t>6¹, 18¹, 30¹, 90¹</t>
        </is>
      </c>
      <c r="J2831" t="n">
        <v>4</v>
      </c>
      <c r="K2831" t="inlineStr">
        <is>
          <t>1⁴, 2², 4², 8¹</t>
        </is>
      </c>
      <c r="L2831" t="inlineStr">
        <is>
          <t>18B⁰, 30G³, 45C⁵</t>
        </is>
      </c>
      <c r="M2831" t="inlineStr">
        <is>
          <t>90E²¹, 180A²³, 180C²³</t>
        </is>
      </c>
      <c r="N2831" t="inlineStr">
        <is>
          <t>45C⁵, 15C¹, 3B⁰, 2A⁰, 18B⁰, 6C⁰, 5B⁰, 9C⁰, 10A¹, 30G³, 1A⁰</t>
        </is>
      </c>
      <c r="O2831" t="inlineStr">
        <is>
          <t>90E²¹, 180C²³, 180A²³</t>
        </is>
      </c>
    </row>
    <row r="2832">
      <c r="A2832">
        <f>HYPERLINK("https://mathstats.uncg.edu/sites/pauli/congruence/csg11.html#group90D11", "90D¹¹")</f>
        <v/>
      </c>
      <c r="B2832" t="n">
        <v>11</v>
      </c>
      <c r="C2832" t="inlineStr"/>
      <c r="D2832" t="inlineStr">
        <is>
          <t>144</t>
        </is>
      </c>
      <c r="E2832" t="inlineStr">
        <is>
          <t>1</t>
        </is>
      </c>
      <c r="F2832" t="inlineStr">
        <is>
          <t>24</t>
        </is>
      </c>
      <c r="G2832" t="inlineStr">
        <is>
          <t>0</t>
        </is>
      </c>
      <c r="H2832" t="inlineStr">
        <is>
          <t>0</t>
        </is>
      </c>
      <c r="I2832" t="inlineStr">
        <is>
          <t>6¹, 18¹, 30¹, 90¹</t>
        </is>
      </c>
      <c r="J2832" t="n">
        <v>4</v>
      </c>
      <c r="K2832" t="inlineStr">
        <is>
          <t>1⁴, 2², 4², 8¹</t>
        </is>
      </c>
      <c r="L2832" t="inlineStr">
        <is>
          <t>18B², 30G³, 45D⁵</t>
        </is>
      </c>
      <c r="M2832" t="inlineStr">
        <is>
          <t>90F²¹, 180B²³, 180D²³</t>
        </is>
      </c>
      <c r="N2832" t="inlineStr">
        <is>
          <t>3B⁰, 2A⁰, 18B², 15C¹, 6C⁰, 9A¹, 5B⁰, 10A¹, 30G³, 1A⁰, 45D⁵</t>
        </is>
      </c>
      <c r="O2832" t="inlineStr">
        <is>
          <t>180B²³, 90F²¹, 180D²³</t>
        </is>
      </c>
    </row>
    <row r="2833">
      <c r="A2833">
        <f>HYPERLINK("https://mathstats.uncg.edu/sites/pauli/congruence/csg11.html#group90E11", "90E¹¹")</f>
        <v/>
      </c>
      <c r="B2833" t="n">
        <v>11</v>
      </c>
      <c r="C2833" t="inlineStr"/>
      <c r="D2833" t="inlineStr">
        <is>
          <t>144</t>
        </is>
      </c>
      <c r="E2833" t="inlineStr">
        <is>
          <t>1</t>
        </is>
      </c>
      <c r="F2833" t="inlineStr">
        <is>
          <t>48</t>
        </is>
      </c>
      <c r="G2833" t="inlineStr">
        <is>
          <t>0</t>
        </is>
      </c>
      <c r="H2833" t="inlineStr">
        <is>
          <t>0</t>
        </is>
      </c>
      <c r="I2833" t="inlineStr">
        <is>
          <t>6¹, 18¹, 30¹, 90¹</t>
        </is>
      </c>
      <c r="J2833" t="n">
        <v>4</v>
      </c>
      <c r="K2833" t="inlineStr">
        <is>
          <t>2⁸, 8⁴</t>
        </is>
      </c>
      <c r="L2833" t="inlineStr">
        <is>
          <t>18D¹, 30G³</t>
        </is>
      </c>
      <c r="M2833" t="inlineStr">
        <is>
          <t>90G²¹, 180E²³, 180G²³</t>
        </is>
      </c>
      <c r="N2833" t="inlineStr">
        <is>
          <t>15C¹, 3B⁰, 2A⁰, 6C⁰, 5B⁰, 10A¹, 30G³, 1A⁰, 18D¹</t>
        </is>
      </c>
      <c r="O2833" t="inlineStr">
        <is>
          <t>180G²³, 90G²¹, 180E²³</t>
        </is>
      </c>
    </row>
    <row r="2834">
      <c r="A2834">
        <f>HYPERLINK("https://mathstats.uncg.edu/sites/pauli/congruence/csg11.html#group90F11", "90F¹¹")</f>
        <v/>
      </c>
      <c r="B2834" t="n">
        <v>11</v>
      </c>
      <c r="C2834" t="inlineStr"/>
      <c r="D2834" t="inlineStr">
        <is>
          <t>144</t>
        </is>
      </c>
      <c r="E2834" t="inlineStr">
        <is>
          <t>1</t>
        </is>
      </c>
      <c r="F2834" t="inlineStr">
        <is>
          <t>48</t>
        </is>
      </c>
      <c r="G2834" t="inlineStr">
        <is>
          <t>0</t>
        </is>
      </c>
      <c r="H2834" t="inlineStr">
        <is>
          <t>0</t>
        </is>
      </c>
      <c r="I2834" t="inlineStr">
        <is>
          <t>6¹, 18¹, 30¹, 90¹</t>
        </is>
      </c>
      <c r="J2834" t="n">
        <v>4</v>
      </c>
      <c r="K2834" t="inlineStr">
        <is>
          <t>2⁸, 8⁴</t>
        </is>
      </c>
      <c r="L2834" t="inlineStr">
        <is>
          <t>18C², 30G³</t>
        </is>
      </c>
      <c r="M2834" t="inlineStr">
        <is>
          <t>90H²¹, 180F²³, 180H²³</t>
        </is>
      </c>
      <c r="N2834" t="inlineStr">
        <is>
          <t>15C¹, 3B⁰, 2A⁰, 6C⁰, 5B⁰, 10A¹, 30G³, 1A⁰, 18C²</t>
        </is>
      </c>
      <c r="O2834" t="inlineStr">
        <is>
          <t>180H²³, 90H²¹, 180F²³</t>
        </is>
      </c>
    </row>
    <row r="2835">
      <c r="A2835">
        <f>HYPERLINK("https://mathstats.uncg.edu/sites/pauli/congruence/csg11.html#group90G11", "90G¹¹")</f>
        <v/>
      </c>
      <c r="B2835" t="n">
        <v>11</v>
      </c>
      <c r="C2835" t="inlineStr"/>
      <c r="D2835" t="inlineStr">
        <is>
          <t>180</t>
        </is>
      </c>
      <c r="E2835" t="inlineStr">
        <is>
          <t>2</t>
        </is>
      </c>
      <c r="F2835" t="inlineStr">
        <is>
          <t>90</t>
        </is>
      </c>
      <c r="G2835" t="inlineStr">
        <is>
          <t>16</t>
        </is>
      </c>
      <c r="H2835" t="inlineStr">
        <is>
          <t>0</t>
        </is>
      </c>
      <c r="I2835" t="inlineStr">
        <is>
          <t>90²</t>
        </is>
      </c>
      <c r="J2835" t="n">
        <v>2</v>
      </c>
      <c r="K2835" t="inlineStr">
        <is>
          <t>4³, 8⁶, 12², 24⁴</t>
        </is>
      </c>
      <c r="L2835" t="inlineStr">
        <is>
          <t>18A⁰, 30H³, 45E⁵</t>
        </is>
      </c>
      <c r="M2835" t="inlineStr">
        <is>
          <t>90M²¹, 90C²³, 90F²³</t>
        </is>
      </c>
      <c r="N2835" t="inlineStr">
        <is>
          <t>15D¹, 6B⁰, 3A⁰, 45E⁵, 9A⁰, 5C⁰, 30H³, 1A⁰, 18A⁰</t>
        </is>
      </c>
      <c r="O2835" t="inlineStr">
        <is>
          <t>90M²¹, 90F²³, 90C²³</t>
        </is>
      </c>
    </row>
    <row r="2836">
      <c r="A2836">
        <f>HYPERLINK("https://mathstats.uncg.edu/sites/pauli/congruence/csg11.html#group90H11", "90H¹¹")</f>
        <v/>
      </c>
      <c r="B2836" t="n">
        <v>11</v>
      </c>
      <c r="C2836" t="inlineStr"/>
      <c r="D2836" t="inlineStr">
        <is>
          <t>216</t>
        </is>
      </c>
      <c r="E2836" t="inlineStr">
        <is>
          <t>1</t>
        </is>
      </c>
      <c r="F2836" t="inlineStr">
        <is>
          <t>18</t>
        </is>
      </c>
      <c r="G2836" t="inlineStr">
        <is>
          <t>24</t>
        </is>
      </c>
      <c r="H2836" t="inlineStr">
        <is>
          <t>0</t>
        </is>
      </c>
      <c r="I2836" t="inlineStr">
        <is>
          <t>18², 90²</t>
        </is>
      </c>
      <c r="J2836" t="n">
        <v>4</v>
      </c>
      <c r="K2836" t="inlineStr">
        <is>
          <t>1², 2², 4¹, 8¹</t>
        </is>
      </c>
      <c r="L2836" t="inlineStr">
        <is>
          <t>18D⁰, 30I³, 45F⁵, 90A⁵</t>
        </is>
      </c>
      <c r="M2836" t="inlineStr">
        <is>
          <t>90N²¹</t>
        </is>
      </c>
      <c r="N2836" t="inlineStr">
        <is>
          <t>45A², 6B⁰, 45F⁵, 30I³, 30C¹, 5B⁰, 90A⁵, 1A⁰, 18A⁰, 15B⁰, 9D⁰, 18D⁰, 6E⁰, 9A⁰, 3C⁰, 3A⁰, 15E¹</t>
        </is>
      </c>
      <c r="O2836" t="inlineStr">
        <is>
          <t>90N²¹</t>
        </is>
      </c>
    </row>
    <row r="2837">
      <c r="A2837">
        <f>HYPERLINK("https://mathstats.uncg.edu/sites/pauli/congruence/csg11.html#group90I11", "90I¹¹")</f>
        <v/>
      </c>
      <c r="B2837" t="n">
        <v>11</v>
      </c>
      <c r="C2837" t="inlineStr"/>
      <c r="D2837" t="inlineStr">
        <is>
          <t>216</t>
        </is>
      </c>
      <c r="E2837" t="inlineStr">
        <is>
          <t>1</t>
        </is>
      </c>
      <c r="F2837" t="inlineStr">
        <is>
          <t>18</t>
        </is>
      </c>
      <c r="G2837" t="inlineStr">
        <is>
          <t>24</t>
        </is>
      </c>
      <c r="H2837" t="inlineStr">
        <is>
          <t>0</t>
        </is>
      </c>
      <c r="I2837" t="inlineStr">
        <is>
          <t>18², 90²</t>
        </is>
      </c>
      <c r="J2837" t="n">
        <v>4</v>
      </c>
      <c r="K2837" t="inlineStr">
        <is>
          <t>1², 2², 4¹, 8¹</t>
        </is>
      </c>
      <c r="L2837" t="inlineStr">
        <is>
          <t>30J³, 90A⁴, 45F⁵, 90B⁶</t>
        </is>
      </c>
      <c r="M2837" t="inlineStr">
        <is>
          <t>90N²¹</t>
        </is>
      </c>
      <c r="N2837" t="inlineStr">
        <is>
          <t>30A⁰, 45A², 90B⁶, 90A⁴, 45F⁵, 30J³, 5B⁰, 1A⁰, 10B⁰, 15B⁰, 9D⁰, 9A⁰, 3C⁰, 3A⁰, 15E¹, 30C²</t>
        </is>
      </c>
      <c r="O2837" t="inlineStr">
        <is>
          <t>90N²¹</t>
        </is>
      </c>
    </row>
    <row r="2838">
      <c r="A2838">
        <f>HYPERLINK("https://mathstats.uncg.edu/sites/pauli/congruence/csg11.html#group90J11", "90J¹¹")</f>
        <v/>
      </c>
      <c r="B2838" t="n">
        <v>11</v>
      </c>
      <c r="C2838" t="inlineStr">
        <is>
          <t>Γ₀(90)</t>
        </is>
      </c>
      <c r="D2838" t="inlineStr">
        <is>
          <t>216</t>
        </is>
      </c>
      <c r="E2838" t="inlineStr">
        <is>
          <t>1</t>
        </is>
      </c>
      <c r="F2838" t="inlineStr">
        <is>
          <t>72</t>
        </is>
      </c>
      <c r="G2838" t="inlineStr">
        <is>
          <t>0</t>
        </is>
      </c>
      <c r="H2838" t="inlineStr">
        <is>
          <t>0</t>
        </is>
      </c>
      <c r="I2838" t="inlineStr">
        <is>
          <t>1³, 2³, 5³, 9¹, 10³, 18¹, 45¹, 90¹</t>
        </is>
      </c>
      <c r="J2838" t="n">
        <v>16</v>
      </c>
      <c r="K2838" t="inlineStr">
        <is>
          <t>1¹², 2⁶, 4⁶, 8³</t>
        </is>
      </c>
      <c r="L2838" t="inlineStr">
        <is>
          <t>18E⁰, 30K³, 45D³</t>
        </is>
      </c>
      <c r="M2838" t="inlineStr">
        <is>
          <t>90O²¹</t>
        </is>
      </c>
      <c r="N2838" t="inlineStr">
        <is>
          <t>3B⁰, 15C¹, 18E⁰, 5B⁰, 9B⁰, 45D³, 10C⁰, 2B⁰, 30K³, 6F⁰, 1A⁰</t>
        </is>
      </c>
      <c r="O2838" t="inlineStr">
        <is>
          <t>90O²¹</t>
        </is>
      </c>
    </row>
    <row r="2839">
      <c r="A2839">
        <f>HYPERLINK("https://mathstats.uncg.edu/sites/pauli/congruence/csg11.html#group90K11", "90K¹¹")</f>
        <v/>
      </c>
      <c r="B2839" t="n">
        <v>11</v>
      </c>
      <c r="C2839" t="inlineStr"/>
      <c r="D2839" t="inlineStr">
        <is>
          <t>216</t>
        </is>
      </c>
      <c r="E2839" t="inlineStr">
        <is>
          <t>2</t>
        </is>
      </c>
      <c r="F2839" t="inlineStr">
        <is>
          <t>54</t>
        </is>
      </c>
      <c r="G2839" t="inlineStr">
        <is>
          <t>24</t>
        </is>
      </c>
      <c r="H2839" t="inlineStr">
        <is>
          <t>0</t>
        </is>
      </c>
      <c r="I2839" t="inlineStr">
        <is>
          <t>18², 90²</t>
        </is>
      </c>
      <c r="J2839" t="n">
        <v>4</v>
      </c>
      <c r="K2839" t="inlineStr">
        <is>
          <t>2⁶, 6⁴, 8³, 24²</t>
        </is>
      </c>
      <c r="L2839" t="inlineStr">
        <is>
          <t>30L³, 45C⁴, 90A⁵, 90B⁶</t>
        </is>
      </c>
      <c r="M2839" t="inlineStr">
        <is>
          <t>90N²¹</t>
        </is>
      </c>
      <c r="N2839" t="inlineStr">
        <is>
          <t>45A², 90B⁶, 30L³, 6B⁰, 30C¹, 5B⁰, 90A⁵, 1A⁰, 18A⁰, 15B⁰, 9A⁰, 45C⁴, 3A⁰, 15C⁰, 30C²</t>
        </is>
      </c>
      <c r="O2839" t="inlineStr">
        <is>
          <t>90N²¹</t>
        </is>
      </c>
    </row>
    <row r="2840">
      <c r="A2840">
        <f>HYPERLINK("https://mathstats.uncg.edu/sites/pauli/congruence/csg11.html#group92A11", "92A¹¹")</f>
        <v/>
      </c>
      <c r="B2840" t="n">
        <v>11</v>
      </c>
      <c r="C2840" t="inlineStr"/>
      <c r="D2840" t="inlineStr">
        <is>
          <t>144</t>
        </is>
      </c>
      <c r="E2840" t="inlineStr">
        <is>
          <t>1</t>
        </is>
      </c>
      <c r="F2840" t="inlineStr">
        <is>
          <t>72</t>
        </is>
      </c>
      <c r="G2840" t="inlineStr">
        <is>
          <t>0</t>
        </is>
      </c>
      <c r="H2840" t="inlineStr">
        <is>
          <t>0</t>
        </is>
      </c>
      <c r="I2840" t="inlineStr">
        <is>
          <t>2¹, 4¹, 46¹, 92¹</t>
        </is>
      </c>
      <c r="J2840" t="n">
        <v>4</v>
      </c>
      <c r="K2840" t="inlineStr">
        <is>
          <t>1⁶, 22³</t>
        </is>
      </c>
      <c r="L2840" t="inlineStr">
        <is>
          <t>4C⁰, 46A⁵</t>
        </is>
      </c>
      <c r="M2840" t="inlineStr">
        <is>
          <t>92A²¹, 92B²², 184B²², 184A²³, 184B²³</t>
        </is>
      </c>
      <c r="N2840" t="inlineStr">
        <is>
          <t>4C⁰, 23A², 2B⁰, 1A⁰, 46A⁵</t>
        </is>
      </c>
      <c r="O2840" t="inlineStr">
        <is>
          <t>92A²¹, 92B²², 184B²³, 184A²³, 184B²²</t>
        </is>
      </c>
    </row>
    <row r="2841">
      <c r="A2841">
        <f>HYPERLINK("https://mathstats.uncg.edu/sites/pauli/congruence/csg11.html#group94A11", "94A¹¹")</f>
        <v/>
      </c>
      <c r="B2841" t="n">
        <v>11</v>
      </c>
      <c r="C2841" t="inlineStr">
        <is>
          <t>Γ₀(94)</t>
        </is>
      </c>
      <c r="D2841" t="inlineStr">
        <is>
          <t>144</t>
        </is>
      </c>
      <c r="E2841" t="inlineStr">
        <is>
          <t>1</t>
        </is>
      </c>
      <c r="F2841" t="inlineStr">
        <is>
          <t>144</t>
        </is>
      </c>
      <c r="G2841" t="inlineStr">
        <is>
          <t>0</t>
        </is>
      </c>
      <c r="H2841" t="inlineStr">
        <is>
          <t>0</t>
        </is>
      </c>
      <c r="I2841" t="inlineStr">
        <is>
          <t>1¹, 2¹, 47¹, 94¹</t>
        </is>
      </c>
      <c r="J2841" t="n">
        <v>4</v>
      </c>
      <c r="K2841" t="inlineStr">
        <is>
          <t>1⁶, 46³</t>
        </is>
      </c>
      <c r="L2841" t="inlineStr">
        <is>
          <t>2B⁰, 47A⁴</t>
        </is>
      </c>
      <c r="M2841" t="inlineStr">
        <is>
          <t>94A²², 188A²², 188A²³</t>
        </is>
      </c>
      <c r="N2841" t="inlineStr">
        <is>
          <t>47A⁴, 1A⁰, 2B⁰</t>
        </is>
      </c>
      <c r="O2841" t="inlineStr">
        <is>
          <t>94A²², 188A²², 188A²³</t>
        </is>
      </c>
    </row>
    <row r="2842">
      <c r="A2842">
        <f>HYPERLINK("https://mathstats.uncg.edu/sites/pauli/congruence/csg11.html#group96A11", "96A¹¹")</f>
        <v/>
      </c>
      <c r="B2842" t="n">
        <v>11</v>
      </c>
      <c r="C2842" t="inlineStr"/>
      <c r="D2842" t="inlineStr">
        <is>
          <t>144</t>
        </is>
      </c>
      <c r="E2842" t="inlineStr">
        <is>
          <t>1</t>
        </is>
      </c>
      <c r="F2842" t="inlineStr">
        <is>
          <t>6</t>
        </is>
      </c>
      <c r="G2842" t="inlineStr">
        <is>
          <t>0</t>
        </is>
      </c>
      <c r="H2842" t="inlineStr">
        <is>
          <t>0</t>
        </is>
      </c>
      <c r="I2842" t="inlineStr">
        <is>
          <t>12², 24¹, 96¹</t>
        </is>
      </c>
      <c r="J2842" t="n">
        <v>4</v>
      </c>
      <c r="K2842" t="inlineStr">
        <is>
          <t>1⁴, 2¹</t>
        </is>
      </c>
      <c r="L2842" t="inlineStr">
        <is>
          <t>32A³, 48A⁵</t>
        </is>
      </c>
      <c r="M2842" t="inlineStr">
        <is>
          <t>96B²¹, 96C²¹, 96K²¹, 96I²¹, 96U²¹, 192E²³, 192K²³</t>
        </is>
      </c>
      <c r="N2842" t="inlineStr">
        <is>
          <t>48A⁵, 24B², 3A⁰, 32A³, 16A¹, 8C⁰, 12B¹, 2B⁰, 4B⁰, 1A⁰, 6D⁰</t>
        </is>
      </c>
      <c r="O2842" t="inlineStr">
        <is>
          <t>96K²¹, 96U²¹, 192K²³, 192E²³, 96I²¹, 96B²¹, 96C²¹</t>
        </is>
      </c>
    </row>
    <row r="2843">
      <c r="A2843">
        <f>HYPERLINK("https://mathstats.uncg.edu/sites/pauli/congruence/csg11.html#group96B11", "96B¹¹")</f>
        <v/>
      </c>
      <c r="B2843" t="n">
        <v>11</v>
      </c>
      <c r="C2843" t="inlineStr"/>
      <c r="D2843" t="inlineStr">
        <is>
          <t>144</t>
        </is>
      </c>
      <c r="E2843" t="inlineStr">
        <is>
          <t>1</t>
        </is>
      </c>
      <c r="F2843" t="inlineStr">
        <is>
          <t>6</t>
        </is>
      </c>
      <c r="G2843" t="inlineStr">
        <is>
          <t>0</t>
        </is>
      </c>
      <c r="H2843" t="inlineStr">
        <is>
          <t>0</t>
        </is>
      </c>
      <c r="I2843" t="inlineStr">
        <is>
          <t>12², 24¹, 96¹</t>
        </is>
      </c>
      <c r="J2843" t="n">
        <v>4</v>
      </c>
      <c r="K2843" t="inlineStr">
        <is>
          <t>1⁴, 2¹</t>
        </is>
      </c>
      <c r="L2843" t="inlineStr">
        <is>
          <t>32B³, 48A⁵</t>
        </is>
      </c>
      <c r="M2843" t="inlineStr">
        <is>
          <t>96B²¹, 96D²¹, 96L²¹, 96J²¹, 96V²¹, 192F²³, 192L²³</t>
        </is>
      </c>
      <c r="N2843" t="inlineStr">
        <is>
          <t>48A⁵, 24B², 3A⁰, 16A¹, 8C⁰, 12B¹, 2B⁰, 4B⁰, 1A⁰, 6D⁰, 32B³</t>
        </is>
      </c>
      <c r="O2843" t="inlineStr">
        <is>
          <t>96V²¹, 96D²¹, 96J²¹, 96L²¹, 96B²¹, 192L²³, 192F²³</t>
        </is>
      </c>
    </row>
    <row r="2844">
      <c r="A2844">
        <f>HYPERLINK("https://mathstats.uncg.edu/sites/pauli/congruence/csg11.html#group96C11", "96C¹¹")</f>
        <v/>
      </c>
      <c r="B2844" t="n">
        <v>11</v>
      </c>
      <c r="C2844" t="inlineStr"/>
      <c r="D2844" t="inlineStr">
        <is>
          <t>144</t>
        </is>
      </c>
      <c r="E2844" t="inlineStr">
        <is>
          <t>1</t>
        </is>
      </c>
      <c r="F2844" t="inlineStr">
        <is>
          <t>12</t>
        </is>
      </c>
      <c r="G2844" t="inlineStr">
        <is>
          <t>0</t>
        </is>
      </c>
      <c r="H2844" t="inlineStr">
        <is>
          <t>0</t>
        </is>
      </c>
      <c r="I2844" t="inlineStr">
        <is>
          <t>12², 24¹, 96¹</t>
        </is>
      </c>
      <c r="J2844" t="n">
        <v>4</v>
      </c>
      <c r="K2844" t="inlineStr">
        <is>
          <t>1⁴, 2², 4¹</t>
        </is>
      </c>
      <c r="L2844" t="inlineStr">
        <is>
          <t>32C³, 48A⁵</t>
        </is>
      </c>
      <c r="M2844" t="inlineStr">
        <is>
          <t>96A²¹, 96C²¹, 96D²¹, 96T²¹, 96S²¹, 96W²¹, 96X²¹, 192B²³, 192A²³, 192D²³, 192C²³, 192G²³, 192H²³, 192I²³, 192J²³</t>
        </is>
      </c>
      <c r="N2844" t="inlineStr">
        <is>
          <t>48A⁵, 24B², 3A⁰, 16A¹, 8C⁰, 12B¹, 2B⁰, 4B⁰, 1A⁰, 32C³, 6D⁰</t>
        </is>
      </c>
      <c r="O2844" t="inlineStr">
        <is>
          <t>192H²³, 96T²¹, 96D²¹, 96X²¹, 192D²³, 96W²¹, 192G²³, 96A²¹, 192A²³, 96C²¹, 96S²¹, 192I²³, 192J²³, 192B²³, 192C²³</t>
        </is>
      </c>
    </row>
    <row r="2845">
      <c r="A2845">
        <f>HYPERLINK("https://mathstats.uncg.edu/sites/pauli/congruence/csg11.html#group96D11", "96D¹¹")</f>
        <v/>
      </c>
      <c r="B2845" t="n">
        <v>11</v>
      </c>
      <c r="C2845" t="inlineStr"/>
      <c r="D2845" t="inlineStr">
        <is>
          <t>144</t>
        </is>
      </c>
      <c r="E2845" t="inlineStr">
        <is>
          <t>1</t>
        </is>
      </c>
      <c r="F2845" t="inlineStr">
        <is>
          <t>18</t>
        </is>
      </c>
      <c r="G2845" t="inlineStr">
        <is>
          <t>0</t>
        </is>
      </c>
      <c r="H2845" t="inlineStr">
        <is>
          <t>0</t>
        </is>
      </c>
      <c r="I2845" t="inlineStr">
        <is>
          <t>12², 24¹, 96¹</t>
        </is>
      </c>
      <c r="J2845" t="n">
        <v>4</v>
      </c>
      <c r="K2845" t="inlineStr">
        <is>
          <t>1⁴, 2⁵, 4¹</t>
        </is>
      </c>
      <c r="L2845" t="inlineStr">
        <is>
          <t>48A⁵</t>
        </is>
      </c>
      <c r="M2845" t="inlineStr">
        <is>
          <t>96F²¹, 96H²¹, 96L²¹, 96I²¹, 96Q²¹, 96W²¹, 96AQ²¹, 96AR²¹</t>
        </is>
      </c>
      <c r="N2845" t="inlineStr">
        <is>
          <t>48A⁵, 24B², 3A⁰, 16A¹, 8C⁰, 12B¹, 2B⁰, 4B⁰, 1A⁰, 6D⁰</t>
        </is>
      </c>
      <c r="O2845" t="inlineStr">
        <is>
          <t>96AR²¹, 96W²¹, 96F²¹, 96AQ²¹, 96L²¹, 96Q²¹, 96I²¹, 96H²¹</t>
        </is>
      </c>
    </row>
    <row r="2846">
      <c r="A2846">
        <f>HYPERLINK("https://mathstats.uncg.edu/sites/pauli/congruence/csg11.html#group96E11", "96E¹¹")</f>
        <v/>
      </c>
      <c r="B2846" t="n">
        <v>11</v>
      </c>
      <c r="C2846" t="inlineStr"/>
      <c r="D2846" t="inlineStr">
        <is>
          <t>144</t>
        </is>
      </c>
      <c r="E2846" t="inlineStr">
        <is>
          <t>1</t>
        </is>
      </c>
      <c r="F2846" t="inlineStr">
        <is>
          <t>18</t>
        </is>
      </c>
      <c r="G2846" t="inlineStr">
        <is>
          <t>0</t>
        </is>
      </c>
      <c r="H2846" t="inlineStr">
        <is>
          <t>0</t>
        </is>
      </c>
      <c r="I2846" t="inlineStr">
        <is>
          <t>12², 24¹, 96¹</t>
        </is>
      </c>
      <c r="J2846" t="n">
        <v>4</v>
      </c>
      <c r="K2846" t="inlineStr">
        <is>
          <t>1⁴, 2⁵, 4¹</t>
        </is>
      </c>
      <c r="L2846" t="inlineStr">
        <is>
          <t>48A⁵</t>
        </is>
      </c>
      <c r="M2846" t="inlineStr">
        <is>
          <t>96G²¹, 96H²¹, 96K²¹, 96J²¹, 96R²¹, 96X²¹, 96AQ²¹, 96AS²¹</t>
        </is>
      </c>
      <c r="N2846" t="inlineStr">
        <is>
          <t>48A⁵, 24B², 3A⁰, 16A¹, 8C⁰, 12B¹, 2B⁰, 4B⁰, 1A⁰, 6D⁰</t>
        </is>
      </c>
      <c r="O2846" t="inlineStr">
        <is>
          <t>96K²¹, 96G²¹, 96J²¹, 96X²¹, 96AQ²¹, 96R²¹, 96AS²¹, 96H²¹</t>
        </is>
      </c>
    </row>
    <row r="2847">
      <c r="A2847">
        <f>HYPERLINK("https://mathstats.uncg.edu/sites/pauli/congruence/csg11.html#group96F11", "96F¹¹")</f>
        <v/>
      </c>
      <c r="B2847" t="n">
        <v>11</v>
      </c>
      <c r="C2847" t="inlineStr"/>
      <c r="D2847" t="inlineStr">
        <is>
          <t>144</t>
        </is>
      </c>
      <c r="E2847" t="inlineStr">
        <is>
          <t>1</t>
        </is>
      </c>
      <c r="F2847" t="inlineStr">
        <is>
          <t>36</t>
        </is>
      </c>
      <c r="G2847" t="inlineStr">
        <is>
          <t>0</t>
        </is>
      </c>
      <c r="H2847" t="inlineStr">
        <is>
          <t>0</t>
        </is>
      </c>
      <c r="I2847" t="inlineStr">
        <is>
          <t>12², 24¹, 96¹</t>
        </is>
      </c>
      <c r="J2847" t="n">
        <v>4</v>
      </c>
      <c r="K2847" t="inlineStr">
        <is>
          <t>1⁴, 2⁶, 4³, 8¹</t>
        </is>
      </c>
      <c r="L2847" t="inlineStr">
        <is>
          <t>48A⁵</t>
        </is>
      </c>
      <c r="M2847" t="inlineStr">
        <is>
          <t>96E²¹, 96O²¹, 96P²¹, 96Q²¹, 96R²¹, 96T²¹, 96S²¹, 96U²¹, 96V²¹, 96AR²¹, 96AS²¹</t>
        </is>
      </c>
      <c r="N2847" t="inlineStr">
        <is>
          <t>48A⁵, 24B², 3A⁰, 16A¹, 8C⁰, 12B¹, 2B⁰, 4B⁰, 1A⁰, 6D⁰</t>
        </is>
      </c>
      <c r="O2847" t="inlineStr">
        <is>
          <t>96V²¹, 96T²¹, 96O²¹, 96AR²¹, 96E²¹, 96S²¹, 96U²¹, 96R²¹, 96AS²¹, 96Q²¹, 96P²¹</t>
        </is>
      </c>
    </row>
    <row r="2848">
      <c r="A2848">
        <f>HYPERLINK("https://mathstats.uncg.edu/sites/pauli/congruence/csg11.html#group96G11", "96G¹¹")</f>
        <v/>
      </c>
      <c r="B2848" t="n">
        <v>11</v>
      </c>
      <c r="C2848" t="inlineStr"/>
      <c r="D2848" t="inlineStr">
        <is>
          <t>192</t>
        </is>
      </c>
      <c r="E2848" t="inlineStr">
        <is>
          <t>1</t>
        </is>
      </c>
      <c r="F2848" t="inlineStr">
        <is>
          <t>24</t>
        </is>
      </c>
      <c r="G2848" t="inlineStr">
        <is>
          <t>0</t>
        </is>
      </c>
      <c r="H2848" t="inlineStr">
        <is>
          <t>0</t>
        </is>
      </c>
      <c r="I2848" t="inlineStr">
        <is>
          <t>2⁴, 6⁴, 8¹, 24¹, 32¹, 96¹</t>
        </is>
      </c>
      <c r="J2848" t="n">
        <v>12</v>
      </c>
      <c r="K2848" t="inlineStr">
        <is>
          <t>1⁸, 2⁶, 4¹</t>
        </is>
      </c>
      <c r="L2848" t="inlineStr">
        <is>
          <t>48J³</t>
        </is>
      </c>
      <c r="M2848" t="inlineStr">
        <is>
          <t>96BB²¹, 96BE²¹, 96BD²¹, 96BH²¹, 96BI²¹</t>
        </is>
      </c>
      <c r="N2848" t="inlineStr">
        <is>
          <t>3B⁰, 48J³, 16C⁰, 24G¹, 1A⁰, 8C⁰, 2B⁰, 4B⁰, 6F⁰, 12E⁰</t>
        </is>
      </c>
      <c r="O2848" t="inlineStr">
        <is>
          <t>96BE²¹, 96BB²¹, 96BH²¹, 96BI²¹, 96BD²¹</t>
        </is>
      </c>
    </row>
    <row r="2849">
      <c r="A2849">
        <f>HYPERLINK("https://mathstats.uncg.edu/sites/pauli/congruence/csg11.html#group96H11", "96H¹¹")</f>
        <v/>
      </c>
      <c r="B2849" t="n">
        <v>11</v>
      </c>
      <c r="C2849" t="inlineStr"/>
      <c r="D2849" t="inlineStr">
        <is>
          <t>192</t>
        </is>
      </c>
      <c r="E2849" t="inlineStr">
        <is>
          <t>1</t>
        </is>
      </c>
      <c r="F2849" t="inlineStr">
        <is>
          <t>24</t>
        </is>
      </c>
      <c r="G2849" t="inlineStr">
        <is>
          <t>0</t>
        </is>
      </c>
      <c r="H2849" t="inlineStr">
        <is>
          <t>0</t>
        </is>
      </c>
      <c r="I2849" t="inlineStr">
        <is>
          <t>2⁴, 6⁴, 8¹, 24¹, 32¹, 96¹</t>
        </is>
      </c>
      <c r="J2849" t="n">
        <v>12</v>
      </c>
      <c r="K2849" t="inlineStr">
        <is>
          <t>1⁸, 2⁶, 4¹</t>
        </is>
      </c>
      <c r="L2849" t="inlineStr">
        <is>
          <t>32A², 48J³</t>
        </is>
      </c>
      <c r="M2849" t="inlineStr">
        <is>
          <t>96BB²¹, 96BC²¹, 96BF²¹, 96BG²¹, 96BK²¹</t>
        </is>
      </c>
      <c r="N2849" t="inlineStr">
        <is>
          <t>3B⁰, 48J³, 16C⁰, 24G¹, 1A⁰, 32A², 8C⁰, 2B⁰, 4B⁰, 6F⁰, 12E⁰</t>
        </is>
      </c>
      <c r="O2849" t="inlineStr">
        <is>
          <t>96BB²¹, 96BK²¹, 96BC²¹, 96BG²¹, 96BF²¹</t>
        </is>
      </c>
    </row>
    <row r="2850">
      <c r="A2850">
        <f>HYPERLINK("https://mathstats.uncg.edu/sites/pauli/congruence/csg11.html#group96I11", "96I¹¹")</f>
        <v/>
      </c>
      <c r="B2850" t="n">
        <v>11</v>
      </c>
      <c r="C2850" t="inlineStr"/>
      <c r="D2850" t="inlineStr">
        <is>
          <t>288</t>
        </is>
      </c>
      <c r="E2850" t="inlineStr">
        <is>
          <t>1</t>
        </is>
      </c>
      <c r="F2850" t="inlineStr">
        <is>
          <t>6</t>
        </is>
      </c>
      <c r="G2850" t="inlineStr">
        <is>
          <t>48</t>
        </is>
      </c>
      <c r="H2850" t="inlineStr">
        <is>
          <t>0</t>
        </is>
      </c>
      <c r="I2850" t="inlineStr">
        <is>
          <t>48², 96²</t>
        </is>
      </c>
      <c r="J2850" t="n">
        <v>4</v>
      </c>
      <c r="K2850" t="inlineStr">
        <is>
          <t>1², 2²</t>
        </is>
      </c>
      <c r="L2850" t="inlineStr">
        <is>
          <t>32L³, 96A³, 48E⁵</t>
        </is>
      </c>
      <c r="M2850" t="inlineStr"/>
      <c r="N2850" t="inlineStr">
        <is>
          <t>48E⁵, 12C⁰, 8D⁰, 4C⁰, 8B⁰, 16B¹, 48A⁰, 2B⁰, 24L², 1A⁰, 16B⁰, 8H⁰, 48C³, 12A⁰, 24A⁰, 4A⁰, 24C¹, 32B¹, 12J¹, 4F⁰, 16F¹, 3A⁰, 32L³, 96A³, 6D⁰</t>
        </is>
      </c>
      <c r="O2850" t="inlineStr"/>
    </row>
    <row r="2851">
      <c r="A2851">
        <f>HYPERLINK("https://mathstats.uncg.edu/sites/pauli/congruence/csg11.html#group96J11", "96J¹¹")</f>
        <v/>
      </c>
      <c r="B2851" t="n">
        <v>11</v>
      </c>
      <c r="C2851" t="inlineStr"/>
      <c r="D2851" t="inlineStr">
        <is>
          <t>288</t>
        </is>
      </c>
      <c r="E2851" t="inlineStr">
        <is>
          <t>1</t>
        </is>
      </c>
      <c r="F2851" t="inlineStr">
        <is>
          <t>12</t>
        </is>
      </c>
      <c r="G2851" t="inlineStr">
        <is>
          <t>48</t>
        </is>
      </c>
      <c r="H2851" t="inlineStr">
        <is>
          <t>0</t>
        </is>
      </c>
      <c r="I2851" t="inlineStr">
        <is>
          <t>48², 96²</t>
        </is>
      </c>
      <c r="J2851" t="n">
        <v>4</v>
      </c>
      <c r="K2851" t="inlineStr">
        <is>
          <t>1⁴, 2², 4¹</t>
        </is>
      </c>
      <c r="L2851" t="inlineStr">
        <is>
          <t>32N³, 96A³, 48F⁵</t>
        </is>
      </c>
      <c r="M2851" t="inlineStr"/>
      <c r="N2851" t="inlineStr">
        <is>
          <t>48F⁵, 12C⁰, 4C⁰, 8B⁰, 48A⁰, 8L⁰, 2B⁰, 16J¹, 1A⁰, 32N³, 16B⁰, 16D¹, 48E³, 24A⁰, 24M², 32B¹, 3A⁰, 96A³, 6D⁰</t>
        </is>
      </c>
      <c r="O2851" t="inlineStr"/>
    </row>
    <row r="2852">
      <c r="A2852">
        <f>HYPERLINK("https://mathstats.uncg.edu/sites/pauli/congruence/csg11.html#group96K11", "96K¹¹")</f>
        <v/>
      </c>
      <c r="B2852" t="n">
        <v>11</v>
      </c>
      <c r="C2852" t="inlineStr"/>
      <c r="D2852" t="inlineStr">
        <is>
          <t>288</t>
        </is>
      </c>
      <c r="E2852" t="inlineStr">
        <is>
          <t>1</t>
        </is>
      </c>
      <c r="F2852" t="inlineStr">
        <is>
          <t>36</t>
        </is>
      </c>
      <c r="G2852" t="inlineStr">
        <is>
          <t>48</t>
        </is>
      </c>
      <c r="H2852" t="inlineStr">
        <is>
          <t>0</t>
        </is>
      </c>
      <c r="I2852" t="inlineStr">
        <is>
          <t>48², 96²</t>
        </is>
      </c>
      <c r="J2852" t="n">
        <v>4</v>
      </c>
      <c r="K2852" t="inlineStr">
        <is>
          <t>2⁶, 4⁶</t>
        </is>
      </c>
      <c r="L2852" t="inlineStr">
        <is>
          <t>48M³, 96A³, 96A⁵</t>
        </is>
      </c>
      <c r="M2852" t="inlineStr"/>
      <c r="N2852" t="inlineStr">
        <is>
          <t>6B⁰, 12C⁰, 3A⁰, 96A⁵, 4C⁰, 24D¹, 8B⁰, 48A⁰, 2B⁰, 1A⁰, 16B⁰, 48M³, 24A⁰, 48A², 32B¹, 12D⁰, 6H⁰, 12H⁰, 24H¹, 96A³, 6D⁰</t>
        </is>
      </c>
      <c r="O2852" t="inlineStr"/>
    </row>
    <row r="2853">
      <c r="A2853">
        <f>HYPERLINK("https://mathstats.uncg.edu/sites/pauli/congruence/csg11.html#group99A11", "99A¹¹")</f>
        <v/>
      </c>
      <c r="B2853" t="n">
        <v>11</v>
      </c>
      <c r="C2853" t="inlineStr"/>
      <c r="D2853" t="inlineStr">
        <is>
          <t>132</t>
        </is>
      </c>
      <c r="E2853" t="inlineStr">
        <is>
          <t>2</t>
        </is>
      </c>
      <c r="F2853" t="inlineStr">
        <is>
          <t>44</t>
        </is>
      </c>
      <c r="G2853" t="inlineStr">
        <is>
          <t>0</t>
        </is>
      </c>
      <c r="H2853" t="inlineStr">
        <is>
          <t>0</t>
        </is>
      </c>
      <c r="I2853" t="inlineStr">
        <is>
          <t>33¹, 99¹</t>
        </is>
      </c>
      <c r="J2853" t="n">
        <v>2</v>
      </c>
      <c r="K2853" t="inlineStr">
        <is>
          <t>2², 4¹, 10⁴, 20²</t>
        </is>
      </c>
      <c r="L2853" t="inlineStr">
        <is>
          <t>9A¹, 33B³</t>
        </is>
      </c>
      <c r="M2853" t="inlineStr">
        <is>
          <t>198A²²</t>
        </is>
      </c>
      <c r="N2853" t="inlineStr">
        <is>
          <t>11A⁰, 3B⁰, 1A⁰, 33B³, 9A¹</t>
        </is>
      </c>
      <c r="O2853" t="inlineStr">
        <is>
          <t>198A²²</t>
        </is>
      </c>
    </row>
    <row r="2854">
      <c r="A2854">
        <f>HYPERLINK("https://mathstats.uncg.edu/sites/pauli/congruence/csg11.html#group99B11", "99B¹¹")</f>
        <v/>
      </c>
      <c r="B2854" t="n">
        <v>11</v>
      </c>
      <c r="C2854" t="inlineStr"/>
      <c r="D2854" t="inlineStr">
        <is>
          <t>144</t>
        </is>
      </c>
      <c r="E2854" t="inlineStr">
        <is>
          <t>1</t>
        </is>
      </c>
      <c r="F2854" t="inlineStr">
        <is>
          <t>48</t>
        </is>
      </c>
      <c r="G2854" t="inlineStr">
        <is>
          <t>0</t>
        </is>
      </c>
      <c r="H2854" t="inlineStr">
        <is>
          <t>0</t>
        </is>
      </c>
      <c r="I2854" t="inlineStr">
        <is>
          <t>3¹, 9¹, 33¹, 99¹</t>
        </is>
      </c>
      <c r="J2854" t="n">
        <v>4</v>
      </c>
      <c r="K2854" t="inlineStr">
        <is>
          <t>1⁴, 2², 10², 20¹</t>
        </is>
      </c>
      <c r="L2854" t="inlineStr">
        <is>
          <t>9C⁰, 33C³</t>
        </is>
      </c>
      <c r="M2854" t="inlineStr">
        <is>
          <t>99A²¹, 198A²³, 198C²³</t>
        </is>
      </c>
      <c r="N2854" t="inlineStr">
        <is>
          <t>3B⁰, 9C⁰, 1A⁰, 11A¹, 33C³</t>
        </is>
      </c>
      <c r="O2854" t="inlineStr">
        <is>
          <t>198C²³, 99A²¹, 198A²³</t>
        </is>
      </c>
    </row>
    <row r="2855">
      <c r="A2855">
        <f>HYPERLINK("https://mathstats.uncg.edu/sites/pauli/congruence/csg11.html#group99C11", "99C¹¹")</f>
        <v/>
      </c>
      <c r="B2855" t="n">
        <v>11</v>
      </c>
      <c r="C2855" t="inlineStr"/>
      <c r="D2855" t="inlineStr">
        <is>
          <t>144</t>
        </is>
      </c>
      <c r="E2855" t="inlineStr">
        <is>
          <t>1</t>
        </is>
      </c>
      <c r="F2855" t="inlineStr">
        <is>
          <t>48</t>
        </is>
      </c>
      <c r="G2855" t="inlineStr">
        <is>
          <t>0</t>
        </is>
      </c>
      <c r="H2855" t="inlineStr">
        <is>
          <t>0</t>
        </is>
      </c>
      <c r="I2855" t="inlineStr">
        <is>
          <t>3¹, 9¹, 33¹, 99¹</t>
        </is>
      </c>
      <c r="J2855" t="n">
        <v>4</v>
      </c>
      <c r="K2855" t="inlineStr">
        <is>
          <t>1⁴, 2², 10², 20¹</t>
        </is>
      </c>
      <c r="L2855" t="inlineStr">
        <is>
          <t>9A¹, 33C³</t>
        </is>
      </c>
      <c r="M2855" t="inlineStr">
        <is>
          <t>99B²¹, 198B²³, 198D²³</t>
        </is>
      </c>
      <c r="N2855" t="inlineStr">
        <is>
          <t>3B⁰, 1A⁰, 11A¹, 9A¹, 33C³</t>
        </is>
      </c>
      <c r="O2855" t="inlineStr">
        <is>
          <t>99B²¹, 198D²³, 198B²³</t>
        </is>
      </c>
    </row>
    <row r="2856">
      <c r="A2856">
        <f>HYPERLINK("https://mathstats.uncg.edu/sites/pauli/congruence/csg11.html#group102A11", "102A¹¹")</f>
        <v/>
      </c>
      <c r="B2856" t="n">
        <v>11</v>
      </c>
      <c r="C2856" t="inlineStr"/>
      <c r="D2856" t="inlineStr">
        <is>
          <t>144</t>
        </is>
      </c>
      <c r="E2856" t="inlineStr">
        <is>
          <t>1</t>
        </is>
      </c>
      <c r="F2856" t="inlineStr">
        <is>
          <t>72</t>
        </is>
      </c>
      <c r="G2856" t="inlineStr">
        <is>
          <t>0</t>
        </is>
      </c>
      <c r="H2856" t="inlineStr">
        <is>
          <t>0</t>
        </is>
      </c>
      <c r="I2856" t="inlineStr">
        <is>
          <t>2¹, 6¹, 34¹, 102¹</t>
        </is>
      </c>
      <c r="J2856" t="n">
        <v>4</v>
      </c>
      <c r="K2856" t="inlineStr">
        <is>
          <t>1⁴, 2², 16², 32¹</t>
        </is>
      </c>
      <c r="L2856" t="inlineStr">
        <is>
          <t>34A³, 51A⁵</t>
        </is>
      </c>
      <c r="M2856" t="inlineStr">
        <is>
          <t>102B²¹, 204D²³</t>
        </is>
      </c>
      <c r="N2856" t="inlineStr">
        <is>
          <t>3B⁰, 17A¹, 51A⁵, 1A⁰, 34A³</t>
        </is>
      </c>
      <c r="O2856" t="inlineStr">
        <is>
          <t>204D²³, 102B²¹</t>
        </is>
      </c>
    </row>
    <row r="2857">
      <c r="A2857">
        <f>HYPERLINK("https://mathstats.uncg.edu/sites/pauli/congruence/csg11.html#group102B11", "102B¹¹")</f>
        <v/>
      </c>
      <c r="B2857" t="n">
        <v>11</v>
      </c>
      <c r="C2857" t="inlineStr"/>
      <c r="D2857" t="inlineStr">
        <is>
          <t>144</t>
        </is>
      </c>
      <c r="E2857" t="inlineStr">
        <is>
          <t>1</t>
        </is>
      </c>
      <c r="F2857" t="inlineStr">
        <is>
          <t>72</t>
        </is>
      </c>
      <c r="G2857" t="inlineStr">
        <is>
          <t>0</t>
        </is>
      </c>
      <c r="H2857" t="inlineStr">
        <is>
          <t>0</t>
        </is>
      </c>
      <c r="I2857" t="inlineStr">
        <is>
          <t>2¹, 6¹, 34¹, 102¹</t>
        </is>
      </c>
      <c r="J2857" t="n">
        <v>4</v>
      </c>
      <c r="K2857" t="inlineStr">
        <is>
          <t>1⁴, 2², 16², 32¹</t>
        </is>
      </c>
      <c r="L2857" t="inlineStr">
        <is>
          <t>6C⁰, 34B³, 51A⁵</t>
        </is>
      </c>
      <c r="M2857" t="inlineStr">
        <is>
          <t>102B²¹, 204A²³, 204B²³</t>
        </is>
      </c>
      <c r="N2857" t="inlineStr">
        <is>
          <t>2A⁰, 3B⁰, 51A⁵, 6C⁰, 17A¹, 34B³, 1A⁰</t>
        </is>
      </c>
      <c r="O2857" t="inlineStr">
        <is>
          <t>204B²³, 102B²¹, 204A²³</t>
        </is>
      </c>
    </row>
    <row r="2858">
      <c r="A2858">
        <f>HYPERLINK("https://mathstats.uncg.edu/sites/pauli/congruence/csg11.html#group102C11", "102C¹¹")</f>
        <v/>
      </c>
      <c r="B2858" t="n">
        <v>11</v>
      </c>
      <c r="C2858" t="inlineStr"/>
      <c r="D2858" t="inlineStr">
        <is>
          <t>162</t>
        </is>
      </c>
      <c r="E2858" t="inlineStr">
        <is>
          <t>1</t>
        </is>
      </c>
      <c r="F2858" t="inlineStr">
        <is>
          <t>54</t>
        </is>
      </c>
      <c r="G2858" t="inlineStr">
        <is>
          <t>6</t>
        </is>
      </c>
      <c r="H2858" t="inlineStr">
        <is>
          <t>0</t>
        </is>
      </c>
      <c r="I2858" t="inlineStr">
        <is>
          <t>3¹, 6¹, 51¹, 102¹</t>
        </is>
      </c>
      <c r="J2858" t="n">
        <v>4</v>
      </c>
      <c r="K2858" t="inlineStr">
        <is>
          <t>1⁶, 16³</t>
        </is>
      </c>
      <c r="L2858" t="inlineStr">
        <is>
          <t>6D⁰, 34C³, 51A³</t>
        </is>
      </c>
      <c r="M2858" t="inlineStr">
        <is>
          <t>102C²¹, 102A²³, 102B²³, 102C²³, 102D²³, 204E²³, 204F²³, 204G²³, 204H²³</t>
        </is>
      </c>
      <c r="N2858" t="inlineStr">
        <is>
          <t>34C³, 51A³, 17A¹, 2B⁰, 3A⁰, 1A⁰, 6D⁰</t>
        </is>
      </c>
      <c r="O2858" t="inlineStr">
        <is>
          <t>204H²³, 102D²³, 102C²³, 102A²³, 204E²³, 204F²³, 102B²³, 204G²³, 102C²¹</t>
        </is>
      </c>
    </row>
    <row r="2859">
      <c r="A2859">
        <f>HYPERLINK("https://mathstats.uncg.edu/sites/pauli/congruence/csg11.html#group104A11", "104A¹¹")</f>
        <v/>
      </c>
      <c r="B2859" t="n">
        <v>11</v>
      </c>
      <c r="C2859" t="inlineStr"/>
      <c r="D2859" t="inlineStr">
        <is>
          <t>168</t>
        </is>
      </c>
      <c r="E2859" t="inlineStr">
        <is>
          <t>1</t>
        </is>
      </c>
      <c r="F2859" t="inlineStr">
        <is>
          <t>42</t>
        </is>
      </c>
      <c r="G2859" t="inlineStr">
        <is>
          <t>8</t>
        </is>
      </c>
      <c r="H2859" t="inlineStr">
        <is>
          <t>0</t>
        </is>
      </c>
      <c r="I2859" t="inlineStr">
        <is>
          <t>4¹, 8¹, 52¹, 104¹</t>
        </is>
      </c>
      <c r="J2859" t="n">
        <v>4</v>
      </c>
      <c r="K2859" t="inlineStr">
        <is>
          <t>1⁶, 12³</t>
        </is>
      </c>
      <c r="L2859" t="inlineStr">
        <is>
          <t>52B⁵</t>
        </is>
      </c>
      <c r="M2859" t="inlineStr">
        <is>
          <t>104A²¹, 104H²³, 104F²³</t>
        </is>
      </c>
      <c r="N2859" t="inlineStr">
        <is>
          <t>13A⁰, 52B⁵, 2B⁰, 1A⁰, 26A², 4C⁰</t>
        </is>
      </c>
      <c r="O2859" t="inlineStr">
        <is>
          <t>104A²¹, 104H²³, 104F²³</t>
        </is>
      </c>
    </row>
    <row r="2860">
      <c r="A2860">
        <f>HYPERLINK("https://mathstats.uncg.edu/sites/pauli/congruence/csg11.html#group104B11", "104B¹¹")</f>
        <v/>
      </c>
      <c r="B2860" t="n">
        <v>11</v>
      </c>
      <c r="C2860" t="inlineStr"/>
      <c r="D2860" t="inlineStr">
        <is>
          <t>168</t>
        </is>
      </c>
      <c r="E2860" t="inlineStr">
        <is>
          <t>1</t>
        </is>
      </c>
      <c r="F2860" t="inlineStr">
        <is>
          <t>42</t>
        </is>
      </c>
      <c r="G2860" t="inlineStr">
        <is>
          <t>8</t>
        </is>
      </c>
      <c r="H2860" t="inlineStr">
        <is>
          <t>0</t>
        </is>
      </c>
      <c r="I2860" t="inlineStr">
        <is>
          <t>4¹, 8¹, 52¹, 104¹</t>
        </is>
      </c>
      <c r="J2860" t="n">
        <v>4</v>
      </c>
      <c r="K2860" t="inlineStr">
        <is>
          <t>1⁶, 12³</t>
        </is>
      </c>
      <c r="L2860" t="inlineStr">
        <is>
          <t>8B⁰, 52B⁵</t>
        </is>
      </c>
      <c r="M2860" t="inlineStr">
        <is>
          <t>104A²¹, 104G²³, 104I²³, 104Q²³, 104R²³, 208A²³, 208B²³</t>
        </is>
      </c>
      <c r="N2860" t="inlineStr">
        <is>
          <t>4C⁰, 8B⁰, 13A⁰, 52B⁵, 2B⁰, 1A⁰, 26A²</t>
        </is>
      </c>
      <c r="O2860" t="inlineStr">
        <is>
          <t>208A²³, 104I²³, 208B²³, 104A²¹, 104R²³, 104G²³, 104Q²³</t>
        </is>
      </c>
    </row>
    <row r="2861">
      <c r="A2861">
        <f>HYPERLINK("https://mathstats.uncg.edu/sites/pauli/congruence/csg11.html#group104C11", "104C¹¹")</f>
        <v/>
      </c>
      <c r="B2861" t="n">
        <v>11</v>
      </c>
      <c r="C2861" t="inlineStr"/>
      <c r="D2861" t="inlineStr">
        <is>
          <t>168</t>
        </is>
      </c>
      <c r="E2861" t="inlineStr">
        <is>
          <t>1</t>
        </is>
      </c>
      <c r="F2861" t="inlineStr">
        <is>
          <t>84</t>
        </is>
      </c>
      <c r="G2861" t="inlineStr">
        <is>
          <t>0</t>
        </is>
      </c>
      <c r="H2861" t="inlineStr">
        <is>
          <t>0</t>
        </is>
      </c>
      <c r="I2861" t="inlineStr">
        <is>
          <t>1², 2¹, 8¹, 13², 26¹, 104¹</t>
        </is>
      </c>
      <c r="J2861" t="n">
        <v>8</v>
      </c>
      <c r="K2861" t="inlineStr">
        <is>
          <t>1⁸, 2², 12⁴, 24¹</t>
        </is>
      </c>
      <c r="L2861" t="inlineStr">
        <is>
          <t>52A⁵</t>
        </is>
      </c>
      <c r="M2861" t="inlineStr">
        <is>
          <t>104B²¹, 104B²³, 104E²³, 208I²³</t>
        </is>
      </c>
      <c r="N2861" t="inlineStr">
        <is>
          <t>52A⁵, 13A⁰, 2B⁰, 4B⁰, 1A⁰, 26A²</t>
        </is>
      </c>
      <c r="O2861" t="inlineStr">
        <is>
          <t>208I²³, 104E²³, 104B²¹, 104B²³</t>
        </is>
      </c>
    </row>
    <row r="2862">
      <c r="A2862">
        <f>HYPERLINK("https://mathstats.uncg.edu/sites/pauli/congruence/csg11.html#group104D11", "104D¹¹")</f>
        <v/>
      </c>
      <c r="B2862" t="n">
        <v>11</v>
      </c>
      <c r="C2862" t="inlineStr">
        <is>
          <t>Γ₀(104)</t>
        </is>
      </c>
      <c r="D2862" t="inlineStr">
        <is>
          <t>168</t>
        </is>
      </c>
      <c r="E2862" t="inlineStr">
        <is>
          <t>1</t>
        </is>
      </c>
      <c r="F2862" t="inlineStr">
        <is>
          <t>84</t>
        </is>
      </c>
      <c r="G2862" t="inlineStr">
        <is>
          <t>0</t>
        </is>
      </c>
      <c r="H2862" t="inlineStr">
        <is>
          <t>0</t>
        </is>
      </c>
      <c r="I2862" t="inlineStr">
        <is>
          <t>1², 2¹, 8¹, 13², 26¹, 104¹</t>
        </is>
      </c>
      <c r="J2862" t="n">
        <v>8</v>
      </c>
      <c r="K2862" t="inlineStr">
        <is>
          <t>1⁸, 2², 12⁴, 24¹</t>
        </is>
      </c>
      <c r="L2862" t="inlineStr">
        <is>
          <t>8C⁰, 52A⁵</t>
        </is>
      </c>
      <c r="M2862" t="inlineStr">
        <is>
          <t>104B²¹, 104C²³, 104E²³, 104K²³, 104L²³, 208C²³, 208D²³, 208E²³, 208F²³</t>
        </is>
      </c>
      <c r="N2862" t="inlineStr">
        <is>
          <t>52A⁵, 13A⁰, 8C⁰, 2B⁰, 4B⁰, 1A⁰, 26A²</t>
        </is>
      </c>
      <c r="O2862" t="inlineStr">
        <is>
          <t>104C²³, 208C²³, 104E²³, 104B²¹, 104K²³, 208D²³, 208E²³, 208F²³, 104L²³</t>
        </is>
      </c>
    </row>
    <row r="2863">
      <c r="A2863">
        <f>HYPERLINK("https://mathstats.uncg.edu/sites/pauli/congruence/csg11.html#group104E11", "104E¹¹")</f>
        <v/>
      </c>
      <c r="B2863" t="n">
        <v>11</v>
      </c>
      <c r="C2863" t="inlineStr"/>
      <c r="D2863" t="inlineStr">
        <is>
          <t>168</t>
        </is>
      </c>
      <c r="E2863" t="inlineStr">
        <is>
          <t>1</t>
        </is>
      </c>
      <c r="F2863" t="inlineStr">
        <is>
          <t>84</t>
        </is>
      </c>
      <c r="G2863" t="inlineStr">
        <is>
          <t>4</t>
        </is>
      </c>
      <c r="H2863" t="inlineStr">
        <is>
          <t>0</t>
        </is>
      </c>
      <c r="I2863" t="inlineStr">
        <is>
          <t>2², 8¹, 26², 104¹</t>
        </is>
      </c>
      <c r="J2863" t="n">
        <v>6</v>
      </c>
      <c r="K2863" t="inlineStr">
        <is>
          <t>1⁴, 2⁴, 12², 24²</t>
        </is>
      </c>
      <c r="L2863" t="inlineStr">
        <is>
          <t>52B⁵</t>
        </is>
      </c>
      <c r="M2863" t="inlineStr">
        <is>
          <t>104C²¹, 104B²³, 104D²³, 104H²³, 104G²³</t>
        </is>
      </c>
      <c r="N2863" t="inlineStr">
        <is>
          <t>13A⁰, 52B⁵, 2B⁰, 1A⁰, 26A², 4C⁰</t>
        </is>
      </c>
      <c r="O2863" t="inlineStr">
        <is>
          <t>104D²³, 104H²³, 104C²¹, 104G²³, 104B²³</t>
        </is>
      </c>
    </row>
    <row r="2864">
      <c r="A2864">
        <f>HYPERLINK("https://mathstats.uncg.edu/sites/pauli/congruence/csg11.html#group104F11", "104F¹¹")</f>
        <v/>
      </c>
      <c r="B2864" t="n">
        <v>11</v>
      </c>
      <c r="C2864" t="inlineStr"/>
      <c r="D2864" t="inlineStr">
        <is>
          <t>168</t>
        </is>
      </c>
      <c r="E2864" t="inlineStr">
        <is>
          <t>1</t>
        </is>
      </c>
      <c r="F2864" t="inlineStr">
        <is>
          <t>84</t>
        </is>
      </c>
      <c r="G2864" t="inlineStr">
        <is>
          <t>4</t>
        </is>
      </c>
      <c r="H2864" t="inlineStr">
        <is>
          <t>0</t>
        </is>
      </c>
      <c r="I2864" t="inlineStr">
        <is>
          <t>2², 8¹, 26², 104¹</t>
        </is>
      </c>
      <c r="J2864" t="n">
        <v>6</v>
      </c>
      <c r="K2864" t="inlineStr">
        <is>
          <t>1⁴, 2⁴, 12², 24²</t>
        </is>
      </c>
      <c r="L2864" t="inlineStr">
        <is>
          <t>8D⁰, 52B⁵</t>
        </is>
      </c>
      <c r="M2864" t="inlineStr">
        <is>
          <t>104C²¹, 104C²³, 104D²³, 104F²³, 104I²³, 208G²³, 208H²³</t>
        </is>
      </c>
      <c r="N2864" t="inlineStr">
        <is>
          <t>8D⁰, 4C⁰, 13A⁰, 52B⁵, 2B⁰, 1A⁰, 26A²</t>
        </is>
      </c>
      <c r="O2864" t="inlineStr">
        <is>
          <t>104C²³, 208G²³, 104D²³, 104I²³, 104C²¹, 208H²³, 104F²³</t>
        </is>
      </c>
    </row>
    <row r="2865">
      <c r="A2865">
        <f>HYPERLINK("https://mathstats.uncg.edu/sites/pauli/congruence/csg11.html#group104G11", "104G¹¹")</f>
        <v/>
      </c>
      <c r="B2865" t="n">
        <v>11</v>
      </c>
      <c r="C2865" t="inlineStr"/>
      <c r="D2865" t="inlineStr">
        <is>
          <t>168</t>
        </is>
      </c>
      <c r="E2865" t="inlineStr">
        <is>
          <t>2</t>
        </is>
      </c>
      <c r="F2865" t="inlineStr">
        <is>
          <t>42</t>
        </is>
      </c>
      <c r="G2865" t="inlineStr">
        <is>
          <t>4</t>
        </is>
      </c>
      <c r="H2865" t="inlineStr">
        <is>
          <t>0</t>
        </is>
      </c>
      <c r="I2865" t="inlineStr">
        <is>
          <t>2², 8¹, 26², 104¹</t>
        </is>
      </c>
      <c r="J2865" t="n">
        <v>6</v>
      </c>
      <c r="K2865" t="inlineStr">
        <is>
          <t>2⁶, 24³</t>
        </is>
      </c>
      <c r="L2865" t="inlineStr">
        <is>
          <t>52A⁴</t>
        </is>
      </c>
      <c r="M2865" t="inlineStr">
        <is>
          <t>104D²¹, 104A²³, 104S²³</t>
        </is>
      </c>
      <c r="N2865" t="inlineStr">
        <is>
          <t>13A⁰, 2B⁰, 52A⁴, 1A⁰, 26A²</t>
        </is>
      </c>
      <c r="O2865" t="inlineStr">
        <is>
          <t>104A²³, 104D²¹, 104S²³</t>
        </is>
      </c>
    </row>
    <row r="2866">
      <c r="A2866">
        <f>HYPERLINK("https://mathstats.uncg.edu/sites/pauli/congruence/csg11.html#group105A11", "105A¹¹")</f>
        <v/>
      </c>
      <c r="B2866" t="n">
        <v>11</v>
      </c>
      <c r="C2866" t="inlineStr"/>
      <c r="D2866" t="inlineStr">
        <is>
          <t>140</t>
        </is>
      </c>
      <c r="E2866" t="inlineStr">
        <is>
          <t>2</t>
        </is>
      </c>
      <c r="F2866" t="inlineStr">
        <is>
          <t>140</t>
        </is>
      </c>
      <c r="G2866" t="inlineStr">
        <is>
          <t>0</t>
        </is>
      </c>
      <c r="H2866" t="inlineStr">
        <is>
          <t>2</t>
        </is>
      </c>
      <c r="I2866" t="inlineStr">
        <is>
          <t>35¹, 105¹</t>
        </is>
      </c>
      <c r="J2866" t="n">
        <v>2</v>
      </c>
      <c r="K2866" t="inlineStr">
        <is>
          <t>2², 4¹, 6⁴, 8², 12², 16¹, 24⁴, 48²</t>
        </is>
      </c>
      <c r="L2866" t="inlineStr">
        <is>
          <t>15B¹, 21B², 35A²</t>
        </is>
      </c>
      <c r="M2866" t="inlineStr">
        <is>
          <t>105A²¹, 210A²², 210B²²</t>
        </is>
      </c>
      <c r="N2866" t="inlineStr">
        <is>
          <t>3B⁰, 5A⁰, 21B², 15B¹, 1A⁰, 35A², 7A⁰</t>
        </is>
      </c>
      <c r="O2866" t="inlineStr">
        <is>
          <t>210A²², 210B²², 105A²¹</t>
        </is>
      </c>
    </row>
    <row r="2867">
      <c r="A2867">
        <f>HYPERLINK("https://mathstats.uncg.edu/sites/pauli/congruence/csg11.html#group105B11", "105B¹¹")</f>
        <v/>
      </c>
      <c r="B2867" t="n">
        <v>11</v>
      </c>
      <c r="C2867" t="inlineStr"/>
      <c r="D2867" t="inlineStr">
        <is>
          <t>144</t>
        </is>
      </c>
      <c r="E2867" t="inlineStr">
        <is>
          <t>1</t>
        </is>
      </c>
      <c r="F2867" t="inlineStr">
        <is>
          <t>48</t>
        </is>
      </c>
      <c r="G2867" t="inlineStr">
        <is>
          <t>0</t>
        </is>
      </c>
      <c r="H2867" t="inlineStr">
        <is>
          <t>0</t>
        </is>
      </c>
      <c r="I2867" t="inlineStr">
        <is>
          <t>3¹, 15¹, 21¹, 105¹</t>
        </is>
      </c>
      <c r="J2867" t="n">
        <v>4</v>
      </c>
      <c r="K2867" t="inlineStr">
        <is>
          <t>1⁴, 4², 6², 24¹</t>
        </is>
      </c>
      <c r="L2867" t="inlineStr">
        <is>
          <t>15B⁰, 21A², 35A³</t>
        </is>
      </c>
      <c r="M2867" t="inlineStr">
        <is>
          <t>105B²¹, 105C²¹, 105D²¹, 210A²³, 210B²³, 210D²³, 210E²³</t>
        </is>
      </c>
      <c r="N2867" t="inlineStr">
        <is>
          <t>15B⁰, 21A², 7B⁰, 5B⁰, 3A⁰, 1A⁰, 35A³</t>
        </is>
      </c>
      <c r="O2867" t="inlineStr">
        <is>
          <t>105C²¹, 210B²³, 210D²³, 210A²³, 210E²³, 105D²¹, 105B²¹</t>
        </is>
      </c>
    </row>
    <row r="2868">
      <c r="A2868">
        <f>HYPERLINK("https://mathstats.uncg.edu/sites/pauli/congruence/csg11.html#group105C11", "105C¹¹")</f>
        <v/>
      </c>
      <c r="B2868" t="n">
        <v>11</v>
      </c>
      <c r="C2868" t="inlineStr"/>
      <c r="D2868" t="inlineStr">
        <is>
          <t>144</t>
        </is>
      </c>
      <c r="E2868" t="inlineStr">
        <is>
          <t>2</t>
        </is>
      </c>
      <c r="F2868" t="inlineStr">
        <is>
          <t>48</t>
        </is>
      </c>
      <c r="G2868" t="inlineStr">
        <is>
          <t>0</t>
        </is>
      </c>
      <c r="H2868" t="inlineStr">
        <is>
          <t>0</t>
        </is>
      </c>
      <c r="I2868" t="inlineStr">
        <is>
          <t>3¹, 15¹, 21¹, 105¹</t>
        </is>
      </c>
      <c r="J2868" t="n">
        <v>4</v>
      </c>
      <c r="K2868" t="inlineStr">
        <is>
          <t>2⁴, 8², 12², 48¹</t>
        </is>
      </c>
      <c r="L2868" t="inlineStr">
        <is>
          <t>21A¹, 35A³</t>
        </is>
      </c>
      <c r="M2868" t="inlineStr">
        <is>
          <t>105E²¹, 210F²³, 210G²³</t>
        </is>
      </c>
      <c r="N2868" t="inlineStr">
        <is>
          <t>5B⁰, 7B⁰, 1A⁰, 35A³, 21A¹</t>
        </is>
      </c>
      <c r="O2868" t="inlineStr">
        <is>
          <t>105E²¹, 210G²³, 210F²³</t>
        </is>
      </c>
    </row>
    <row r="2869">
      <c r="A2869">
        <f>HYPERLINK("https://mathstats.uncg.edu/sites/pauli/congruence/csg11.html#group105D11", "105D¹¹")</f>
        <v/>
      </c>
      <c r="B2869" t="n">
        <v>11</v>
      </c>
      <c r="C2869" t="inlineStr"/>
      <c r="D2869" t="inlineStr">
        <is>
          <t>160</t>
        </is>
      </c>
      <c r="E2869" t="inlineStr">
        <is>
          <t>1</t>
        </is>
      </c>
      <c r="F2869" t="inlineStr">
        <is>
          <t>160</t>
        </is>
      </c>
      <c r="G2869" t="inlineStr">
        <is>
          <t>0</t>
        </is>
      </c>
      <c r="H2869" t="inlineStr">
        <is>
          <t>4</t>
        </is>
      </c>
      <c r="I2869" t="inlineStr">
        <is>
          <t>5¹, 15¹, 35¹, 105¹</t>
        </is>
      </c>
      <c r="J2869" t="n">
        <v>4</v>
      </c>
      <c r="K2869" t="inlineStr">
        <is>
          <t>1⁴, 2², 4⁴, 6², 8², 12¹, 24², 48¹</t>
        </is>
      </c>
      <c r="L2869" t="inlineStr">
        <is>
          <t>15B¹, 21B¹, 35B²</t>
        </is>
      </c>
      <c r="M2869" t="inlineStr">
        <is>
          <t>105F²¹, 210I²³, 210J²³</t>
        </is>
      </c>
      <c r="N2869" t="inlineStr">
        <is>
          <t>3B⁰, 5A⁰, 21B¹, 7B⁰, 15B¹, 35B², 1A⁰</t>
        </is>
      </c>
      <c r="O2869" t="inlineStr">
        <is>
          <t>210J²³, 105F²¹, 210I²³</t>
        </is>
      </c>
    </row>
    <row r="2870">
      <c r="A2870">
        <f>HYPERLINK("https://mathstats.uncg.edu/sites/pauli/congruence/csg11.html#group108A11", "108A¹¹")</f>
        <v/>
      </c>
      <c r="B2870" t="n">
        <v>11</v>
      </c>
      <c r="C2870" t="inlineStr"/>
      <c r="D2870" t="inlineStr">
        <is>
          <t>144</t>
        </is>
      </c>
      <c r="E2870" t="inlineStr">
        <is>
          <t>1</t>
        </is>
      </c>
      <c r="F2870" t="inlineStr">
        <is>
          <t>12</t>
        </is>
      </c>
      <c r="G2870" t="inlineStr">
        <is>
          <t>0</t>
        </is>
      </c>
      <c r="H2870" t="inlineStr">
        <is>
          <t>0</t>
        </is>
      </c>
      <c r="I2870" t="inlineStr">
        <is>
          <t>12³, 108¹</t>
        </is>
      </c>
      <c r="J2870" t="n">
        <v>4</v>
      </c>
      <c r="K2870" t="inlineStr">
        <is>
          <t>1², 2², 6¹</t>
        </is>
      </c>
      <c r="L2870" t="inlineStr">
        <is>
          <t>36A³, 54A⁵</t>
        </is>
      </c>
      <c r="M2870" t="inlineStr"/>
      <c r="N2870" t="inlineStr">
        <is>
          <t>3B⁰, 2A⁰, 27A², 18C¹, 6C⁰, 9B⁰, 1A⁰, 54A⁵, 36A³, 12B⁰</t>
        </is>
      </c>
      <c r="O2870" t="inlineStr"/>
    </row>
    <row r="2871">
      <c r="A2871">
        <f>HYPERLINK("https://mathstats.uncg.edu/sites/pauli/congruence/csg11.html#group108B11", "108B¹¹")</f>
        <v/>
      </c>
      <c r="B2871" t="n">
        <v>11</v>
      </c>
      <c r="C2871" t="inlineStr"/>
      <c r="D2871" t="inlineStr">
        <is>
          <t>144</t>
        </is>
      </c>
      <c r="E2871" t="inlineStr">
        <is>
          <t>1</t>
        </is>
      </c>
      <c r="F2871" t="inlineStr">
        <is>
          <t>24</t>
        </is>
      </c>
      <c r="G2871" t="inlineStr">
        <is>
          <t>0</t>
        </is>
      </c>
      <c r="H2871" t="inlineStr">
        <is>
          <t>0</t>
        </is>
      </c>
      <c r="I2871" t="inlineStr">
        <is>
          <t>12³, 108¹</t>
        </is>
      </c>
      <c r="J2871" t="n">
        <v>4</v>
      </c>
      <c r="K2871" t="inlineStr">
        <is>
          <t>2⁶, 6²</t>
        </is>
      </c>
      <c r="L2871" t="inlineStr">
        <is>
          <t>36A³, 54B⁵</t>
        </is>
      </c>
      <c r="M2871" t="inlineStr"/>
      <c r="N2871" t="inlineStr">
        <is>
          <t>3B⁰, 2A⁰, 18C¹, 6C⁰, 9B⁰, 1A⁰, 54B⁵, 36A³, 12B⁰</t>
        </is>
      </c>
      <c r="O2871" t="inlineStr"/>
    </row>
    <row r="2872">
      <c r="A2872">
        <f>HYPERLINK("https://mathstats.uncg.edu/sites/pauli/congruence/csg11.html#group108C11", "108C¹¹")</f>
        <v/>
      </c>
      <c r="B2872" t="n">
        <v>11</v>
      </c>
      <c r="C2872" t="inlineStr"/>
      <c r="D2872" t="inlineStr">
        <is>
          <t>144</t>
        </is>
      </c>
      <c r="E2872" t="inlineStr">
        <is>
          <t>1</t>
        </is>
      </c>
      <c r="F2872" t="inlineStr">
        <is>
          <t>48</t>
        </is>
      </c>
      <c r="G2872" t="inlineStr">
        <is>
          <t>0</t>
        </is>
      </c>
      <c r="H2872" t="inlineStr">
        <is>
          <t>0</t>
        </is>
      </c>
      <c r="I2872" t="inlineStr">
        <is>
          <t>12³, 108¹</t>
        </is>
      </c>
      <c r="J2872" t="n">
        <v>4</v>
      </c>
      <c r="K2872" t="inlineStr">
        <is>
          <t>2⁴, 4⁴, 12²</t>
        </is>
      </c>
      <c r="L2872" t="inlineStr">
        <is>
          <t>27A², 36B³</t>
        </is>
      </c>
      <c r="M2872" t="inlineStr">
        <is>
          <t>108A²¹, 216A²³</t>
        </is>
      </c>
      <c r="N2872" t="inlineStr">
        <is>
          <t>3B⁰, 9B⁰, 27A², 36B³, 1A⁰, 4A⁰, 12A¹</t>
        </is>
      </c>
      <c r="O2872" t="inlineStr">
        <is>
          <t>108A²¹, 216A²³</t>
        </is>
      </c>
    </row>
    <row r="2873">
      <c r="A2873">
        <f>HYPERLINK("https://mathstats.uncg.edu/sites/pauli/congruence/csg11.html#group108D11", "108D¹¹")</f>
        <v/>
      </c>
      <c r="B2873" t="n">
        <v>11</v>
      </c>
      <c r="C2873" t="inlineStr"/>
      <c r="D2873" t="inlineStr">
        <is>
          <t>144</t>
        </is>
      </c>
      <c r="E2873" t="inlineStr">
        <is>
          <t>1</t>
        </is>
      </c>
      <c r="F2873" t="inlineStr">
        <is>
          <t>48</t>
        </is>
      </c>
      <c r="G2873" t="inlineStr">
        <is>
          <t>0</t>
        </is>
      </c>
      <c r="H2873" t="inlineStr">
        <is>
          <t>3</t>
        </is>
      </c>
      <c r="I2873" t="inlineStr">
        <is>
          <t>36¹, 108¹</t>
        </is>
      </c>
      <c r="J2873" t="n">
        <v>2</v>
      </c>
      <c r="K2873" t="inlineStr">
        <is>
          <t>2⁴, 4⁴, 12²</t>
        </is>
      </c>
      <c r="L2873" t="inlineStr">
        <is>
          <t>27B², 36C³</t>
        </is>
      </c>
      <c r="M2873" t="inlineStr">
        <is>
          <t>108B²¹, 216B²²</t>
        </is>
      </c>
      <c r="N2873" t="inlineStr">
        <is>
          <t>3B⁰, 27B², 4A⁰, 12A¹, 9C⁰, 1A⁰, 36C³</t>
        </is>
      </c>
      <c r="O2873" t="inlineStr">
        <is>
          <t>108B²¹, 216B²²</t>
        </is>
      </c>
    </row>
    <row r="2874">
      <c r="A2874">
        <f>HYPERLINK("https://mathstats.uncg.edu/sites/pauli/congruence/csg11.html#group108E11", "108E¹¹")</f>
        <v/>
      </c>
      <c r="B2874" t="n">
        <v>11</v>
      </c>
      <c r="C2874" t="inlineStr"/>
      <c r="D2874" t="inlineStr">
        <is>
          <t>216</t>
        </is>
      </c>
      <c r="E2874" t="inlineStr">
        <is>
          <t>1</t>
        </is>
      </c>
      <c r="F2874" t="inlineStr">
        <is>
          <t>36</t>
        </is>
      </c>
      <c r="G2874" t="inlineStr">
        <is>
          <t>0</t>
        </is>
      </c>
      <c r="H2874" t="inlineStr">
        <is>
          <t>0</t>
        </is>
      </c>
      <c r="I2874" t="inlineStr">
        <is>
          <t>2⁶, 4⁶, 6¹, 12¹, 54¹, 108¹</t>
        </is>
      </c>
      <c r="J2874" t="n">
        <v>16</v>
      </c>
      <c r="K2874" t="inlineStr">
        <is>
          <t>1⁶, 2⁶, 6³</t>
        </is>
      </c>
      <c r="L2874" t="inlineStr">
        <is>
          <t>54B², 36G³</t>
        </is>
      </c>
      <c r="M2874" t="inlineStr">
        <is>
          <t>108E²¹</t>
        </is>
      </c>
      <c r="N2874" t="inlineStr">
        <is>
          <t>3B⁰, 54B², 18E⁰, 12F¹, 4C⁰, 6F⁰, 9B⁰, 27A⁰, 2B⁰, 1A⁰, 36G³</t>
        </is>
      </c>
      <c r="O2874" t="inlineStr">
        <is>
          <t>108E²¹</t>
        </is>
      </c>
    </row>
    <row r="2875">
      <c r="A2875">
        <f>HYPERLINK("https://mathstats.uncg.edu/sites/pauli/congruence/csg11.html#group110A11", "110A¹¹")</f>
        <v/>
      </c>
      <c r="B2875" t="n">
        <v>11</v>
      </c>
      <c r="C2875" t="inlineStr"/>
      <c r="D2875" t="inlineStr">
        <is>
          <t>132</t>
        </is>
      </c>
      <c r="E2875" t="inlineStr">
        <is>
          <t>2</t>
        </is>
      </c>
      <c r="F2875" t="inlineStr">
        <is>
          <t>66</t>
        </is>
      </c>
      <c r="G2875" t="inlineStr">
        <is>
          <t>0</t>
        </is>
      </c>
      <c r="H2875" t="inlineStr">
        <is>
          <t>0</t>
        </is>
      </c>
      <c r="I2875" t="inlineStr">
        <is>
          <t>22¹, 110¹</t>
        </is>
      </c>
      <c r="J2875" t="n">
        <v>2</v>
      </c>
      <c r="K2875" t="inlineStr">
        <is>
          <t>2², 8¹, 10⁴, 40²</t>
        </is>
      </c>
      <c r="L2875" t="inlineStr">
        <is>
          <t>10A¹, 22A¹, 55A⁴</t>
        </is>
      </c>
      <c r="M2875" t="inlineStr">
        <is>
          <t>110A²¹</t>
        </is>
      </c>
      <c r="N2875" t="inlineStr">
        <is>
          <t>11A⁰, 2A⁰, 55A⁴, 22A¹, 5B⁰, 10A¹, 1A⁰</t>
        </is>
      </c>
      <c r="O2875" t="inlineStr">
        <is>
          <t>110A²¹</t>
        </is>
      </c>
    </row>
    <row r="2876">
      <c r="A2876">
        <f>HYPERLINK("https://mathstats.uncg.edu/sites/pauli/congruence/csg11.html#group110B11", "110B¹¹")</f>
        <v/>
      </c>
      <c r="B2876" t="n">
        <v>11</v>
      </c>
      <c r="C2876" t="inlineStr"/>
      <c r="D2876" t="inlineStr">
        <is>
          <t>144</t>
        </is>
      </c>
      <c r="E2876" t="inlineStr">
        <is>
          <t>1</t>
        </is>
      </c>
      <c r="F2876" t="inlineStr">
        <is>
          <t>72</t>
        </is>
      </c>
      <c r="G2876" t="inlineStr">
        <is>
          <t>0</t>
        </is>
      </c>
      <c r="H2876" t="inlineStr">
        <is>
          <t>0</t>
        </is>
      </c>
      <c r="I2876" t="inlineStr">
        <is>
          <t>2¹, 10¹, 22¹, 110¹</t>
        </is>
      </c>
      <c r="J2876" t="n">
        <v>4</v>
      </c>
      <c r="K2876" t="inlineStr">
        <is>
          <t>1⁴, 4², 10², 40¹</t>
        </is>
      </c>
      <c r="L2876" t="inlineStr">
        <is>
          <t>10B⁰, 55B⁵</t>
        </is>
      </c>
      <c r="M2876" t="inlineStr">
        <is>
          <t>110C²¹, 220D²³</t>
        </is>
      </c>
      <c r="N2876" t="inlineStr">
        <is>
          <t>5B⁰, 55B⁵, 1A⁰, 11A¹, 10B⁰</t>
        </is>
      </c>
      <c r="O2876" t="inlineStr">
        <is>
          <t>110C²¹, 220D²³</t>
        </is>
      </c>
    </row>
    <row r="2877">
      <c r="A2877">
        <f>HYPERLINK("https://mathstats.uncg.edu/sites/pauli/congruence/csg11.html#group110C11", "110C¹¹")</f>
        <v/>
      </c>
      <c r="B2877" t="n">
        <v>11</v>
      </c>
      <c r="C2877" t="inlineStr"/>
      <c r="D2877" t="inlineStr">
        <is>
          <t>144</t>
        </is>
      </c>
      <c r="E2877" t="inlineStr">
        <is>
          <t>1</t>
        </is>
      </c>
      <c r="F2877" t="inlineStr">
        <is>
          <t>72</t>
        </is>
      </c>
      <c r="G2877" t="inlineStr">
        <is>
          <t>0</t>
        </is>
      </c>
      <c r="H2877" t="inlineStr">
        <is>
          <t>0</t>
        </is>
      </c>
      <c r="I2877" t="inlineStr">
        <is>
          <t>2¹, 10¹, 22¹, 110¹</t>
        </is>
      </c>
      <c r="J2877" t="n">
        <v>4</v>
      </c>
      <c r="K2877" t="inlineStr">
        <is>
          <t>1⁴, 4², 10², 40¹</t>
        </is>
      </c>
      <c r="L2877" t="inlineStr">
        <is>
          <t>10A¹, 22A², 55B⁵</t>
        </is>
      </c>
      <c r="M2877" t="inlineStr">
        <is>
          <t>110C²¹, 220A²³, 220B²³</t>
        </is>
      </c>
      <c r="N2877" t="inlineStr">
        <is>
          <t>2A⁰, 55B⁵, 11A¹, 22A², 5B⁰, 10A¹, 1A⁰</t>
        </is>
      </c>
      <c r="O2877" t="inlineStr">
        <is>
          <t>110C²¹, 220B²³, 220A²³</t>
        </is>
      </c>
    </row>
    <row r="2878">
      <c r="A2878">
        <f>HYPERLINK("https://mathstats.uncg.edu/sites/pauli/congruence/csg11.html#group111A11", "111A¹¹")</f>
        <v/>
      </c>
      <c r="B2878" t="n">
        <v>11</v>
      </c>
      <c r="C2878" t="inlineStr">
        <is>
          <t>Γ₀(111)</t>
        </is>
      </c>
      <c r="D2878" t="inlineStr">
        <is>
          <t>152</t>
        </is>
      </c>
      <c r="E2878" t="inlineStr">
        <is>
          <t>1</t>
        </is>
      </c>
      <c r="F2878" t="inlineStr">
        <is>
          <t>152</t>
        </is>
      </c>
      <c r="G2878" t="inlineStr">
        <is>
          <t>0</t>
        </is>
      </c>
      <c r="H2878" t="inlineStr">
        <is>
          <t>2</t>
        </is>
      </c>
      <c r="I2878" t="inlineStr">
        <is>
          <t>1¹, 3¹, 37¹, 111¹</t>
        </is>
      </c>
      <c r="J2878" t="n">
        <v>4</v>
      </c>
      <c r="K2878" t="inlineStr">
        <is>
          <t>1⁴, 2², 36², 72¹</t>
        </is>
      </c>
      <c r="L2878" t="inlineStr">
        <is>
          <t>3B⁰, 37A²</t>
        </is>
      </c>
      <c r="M2878" t="inlineStr">
        <is>
          <t>111A²¹, 222A²³, 222B²³</t>
        </is>
      </c>
      <c r="N2878" t="inlineStr">
        <is>
          <t>37A², 3B⁰, 1A⁰</t>
        </is>
      </c>
      <c r="O2878" t="inlineStr">
        <is>
          <t>222B²³, 111A²¹, 222A²³</t>
        </is>
      </c>
    </row>
    <row r="2879">
      <c r="A2879">
        <f>HYPERLINK("https://mathstats.uncg.edu/sites/pauli/congruence/csg11.html#group112A11", "112A¹¹")</f>
        <v/>
      </c>
      <c r="B2879" t="n">
        <v>11</v>
      </c>
      <c r="C2879" t="inlineStr"/>
      <c r="D2879" t="inlineStr">
        <is>
          <t>168</t>
        </is>
      </c>
      <c r="E2879" t="inlineStr">
        <is>
          <t>2</t>
        </is>
      </c>
      <c r="F2879" t="inlineStr">
        <is>
          <t>42</t>
        </is>
      </c>
      <c r="G2879" t="inlineStr">
        <is>
          <t>12</t>
        </is>
      </c>
      <c r="H2879" t="inlineStr">
        <is>
          <t>0</t>
        </is>
      </c>
      <c r="I2879" t="inlineStr">
        <is>
          <t>56¹, 112¹</t>
        </is>
      </c>
      <c r="J2879" t="n">
        <v>2</v>
      </c>
      <c r="K2879" t="inlineStr">
        <is>
          <t>2², 4², 6⁴, 12⁴</t>
        </is>
      </c>
      <c r="L2879" t="inlineStr">
        <is>
          <t>56B⁴</t>
        </is>
      </c>
      <c r="M2879" t="inlineStr">
        <is>
          <t>112A²¹, 112C²³, 112E²³, 112S²⁴, 112T²⁴, 112O²⁴, 112P²⁴</t>
        </is>
      </c>
      <c r="N2879" t="inlineStr">
        <is>
          <t>28C², 14B¹, 4C⁰, 8B⁰, 2B⁰, 1A⁰, 7A⁰, 56B⁴</t>
        </is>
      </c>
      <c r="O2879" t="inlineStr">
        <is>
          <t>112A²¹, 112P²⁴, 112O²⁴, 112S²⁴, 112C²³, 112E²³, 112T²⁴</t>
        </is>
      </c>
    </row>
    <row r="2880">
      <c r="A2880">
        <f>HYPERLINK("https://mathstats.uncg.edu/sites/pauli/congruence/csg11.html#group112B11", "112B¹¹")</f>
        <v/>
      </c>
      <c r="B2880" t="n">
        <v>11</v>
      </c>
      <c r="C2880" t="inlineStr"/>
      <c r="D2880" t="inlineStr">
        <is>
          <t>168</t>
        </is>
      </c>
      <c r="E2880" t="inlineStr">
        <is>
          <t>2</t>
        </is>
      </c>
      <c r="F2880" t="inlineStr">
        <is>
          <t>42</t>
        </is>
      </c>
      <c r="G2880" t="inlineStr">
        <is>
          <t>12</t>
        </is>
      </c>
      <c r="H2880" t="inlineStr">
        <is>
          <t>0</t>
        </is>
      </c>
      <c r="I2880" t="inlineStr">
        <is>
          <t>56¹, 112¹</t>
        </is>
      </c>
      <c r="J2880" t="n">
        <v>2</v>
      </c>
      <c r="K2880" t="inlineStr">
        <is>
          <t>2², 4², 6⁴, 12⁴</t>
        </is>
      </c>
      <c r="L2880" t="inlineStr">
        <is>
          <t>16B¹, 56B⁴</t>
        </is>
      </c>
      <c r="M2880" t="inlineStr">
        <is>
          <t>112B²¹, 112C²³, 112D²³, 112Q²⁴, 112R²⁴, 112U²⁴, 112V²⁴</t>
        </is>
      </c>
      <c r="N2880" t="inlineStr">
        <is>
          <t>28C², 14B¹, 4C⁰, 8B⁰, 16B¹, 2B⁰, 1A⁰, 7A⁰, 56B⁴</t>
        </is>
      </c>
      <c r="O2880" t="inlineStr">
        <is>
          <t>112D²³, 112B²¹, 112Q²⁴, 112C²³, 112V²⁴, 112R²⁴, 112U²⁴</t>
        </is>
      </c>
    </row>
    <row r="2881">
      <c r="A2881">
        <f>HYPERLINK("https://mathstats.uncg.edu/sites/pauli/congruence/csg11.html#group112C11", "112C¹¹")</f>
        <v/>
      </c>
      <c r="B2881" t="n">
        <v>11</v>
      </c>
      <c r="C2881" t="inlineStr"/>
      <c r="D2881" t="inlineStr">
        <is>
          <t>168</t>
        </is>
      </c>
      <c r="E2881" t="inlineStr">
        <is>
          <t>2</t>
        </is>
      </c>
      <c r="F2881" t="inlineStr">
        <is>
          <t>84</t>
        </is>
      </c>
      <c r="G2881" t="inlineStr">
        <is>
          <t>6</t>
        </is>
      </c>
      <c r="H2881" t="inlineStr">
        <is>
          <t>0</t>
        </is>
      </c>
      <c r="I2881" t="inlineStr">
        <is>
          <t>14⁴, 112¹</t>
        </is>
      </c>
      <c r="J2881" t="n">
        <v>5</v>
      </c>
      <c r="K2881" t="inlineStr">
        <is>
          <t>2², 4¹, 6⁴, 8², 12², 24⁴</t>
        </is>
      </c>
      <c r="L2881" t="inlineStr">
        <is>
          <t>56C⁵</t>
        </is>
      </c>
      <c r="M2881" t="inlineStr">
        <is>
          <t>112A²², 112G²³, 112J²³, 112A²⁴, 112I²⁴</t>
        </is>
      </c>
      <c r="N2881" t="inlineStr">
        <is>
          <t>28C², 56C⁵, 14B¹, 8D⁰, 4C⁰, 2B⁰, 1A⁰, 7A⁰</t>
        </is>
      </c>
      <c r="O2881" t="inlineStr">
        <is>
          <t>112J²³, 112A²², 112A²⁴, 112I²⁴, 112G²³</t>
        </is>
      </c>
    </row>
    <row r="2882">
      <c r="A2882">
        <f>HYPERLINK("https://mathstats.uncg.edu/sites/pauli/congruence/csg11.html#group112D11", "112D¹¹")</f>
        <v/>
      </c>
      <c r="B2882" t="n">
        <v>11</v>
      </c>
      <c r="C2882" t="inlineStr"/>
      <c r="D2882" t="inlineStr">
        <is>
          <t>168</t>
        </is>
      </c>
      <c r="E2882" t="inlineStr">
        <is>
          <t>2</t>
        </is>
      </c>
      <c r="F2882" t="inlineStr">
        <is>
          <t>84</t>
        </is>
      </c>
      <c r="G2882" t="inlineStr">
        <is>
          <t>6</t>
        </is>
      </c>
      <c r="H2882" t="inlineStr">
        <is>
          <t>0</t>
        </is>
      </c>
      <c r="I2882" t="inlineStr">
        <is>
          <t>14⁴, 112¹</t>
        </is>
      </c>
      <c r="J2882" t="n">
        <v>5</v>
      </c>
      <c r="K2882" t="inlineStr">
        <is>
          <t>2², 4¹, 6⁴, 8², 12², 24⁴</t>
        </is>
      </c>
      <c r="L2882" t="inlineStr">
        <is>
          <t>16E⁰, 56C⁵</t>
        </is>
      </c>
      <c r="M2882" t="inlineStr">
        <is>
          <t>112A²², 112G²³, 112K²³, 112B²⁴, 112J²⁴, 224C²⁴, 224D²⁴, 224E²⁴, 224F²⁴</t>
        </is>
      </c>
      <c r="N2882" t="inlineStr">
        <is>
          <t>28C², 16E⁰, 56C⁵, 14B¹, 8D⁰, 4C⁰, 2B⁰, 1A⁰, 7A⁰</t>
        </is>
      </c>
      <c r="O2882" t="inlineStr">
        <is>
          <t>224C²⁴, 112A²², 224E²⁴, 112J²⁴, 112K²³, 112B²⁴, 224D²⁴, 224F²⁴, 112G²³</t>
        </is>
      </c>
    </row>
    <row r="2883">
      <c r="A2883">
        <f>HYPERLINK("https://mathstats.uncg.edu/sites/pauli/congruence/csg11.html#group112E11", "112E¹¹")</f>
        <v/>
      </c>
      <c r="B2883" t="n">
        <v>11</v>
      </c>
      <c r="C2883" t="inlineStr"/>
      <c r="D2883" t="inlineStr">
        <is>
          <t>168</t>
        </is>
      </c>
      <c r="E2883" t="inlineStr">
        <is>
          <t>2</t>
        </is>
      </c>
      <c r="F2883" t="inlineStr">
        <is>
          <t>84</t>
        </is>
      </c>
      <c r="G2883" t="inlineStr">
        <is>
          <t>12</t>
        </is>
      </c>
      <c r="H2883" t="inlineStr">
        <is>
          <t>0</t>
        </is>
      </c>
      <c r="I2883" t="inlineStr">
        <is>
          <t>56¹, 112¹</t>
        </is>
      </c>
      <c r="J2883" t="n">
        <v>2</v>
      </c>
      <c r="K2883" t="inlineStr">
        <is>
          <t>2⁴, 4², 6⁸, 8¹, 12⁴, 24²</t>
        </is>
      </c>
      <c r="L2883" t="inlineStr">
        <is>
          <t>56B⁴</t>
        </is>
      </c>
      <c r="M2883" t="inlineStr">
        <is>
          <t>112C²¹, 112L²³, 112N²³, 112K²⁴, 112M²⁴, 112N²⁴, 112S²⁴, 112T²⁴, 112Q²⁴, 112R²⁴</t>
        </is>
      </c>
      <c r="N2883" t="inlineStr">
        <is>
          <t>28C², 14B¹, 4C⁰, 8B⁰, 2B⁰, 1A⁰, 7A⁰, 56B⁴</t>
        </is>
      </c>
      <c r="O2883" t="inlineStr">
        <is>
          <t>112C²¹, 112Q²⁴, 112S²⁴, 112N²³, 112R²⁴, 112T²⁴, 112K²⁴, 112N²⁴, 112L²³, 112M²⁴</t>
        </is>
      </c>
    </row>
    <row r="2884">
      <c r="A2884">
        <f>HYPERLINK("https://mathstats.uncg.edu/sites/pauli/congruence/csg11.html#group112F11", "112F¹¹")</f>
        <v/>
      </c>
      <c r="B2884" t="n">
        <v>11</v>
      </c>
      <c r="C2884" t="inlineStr"/>
      <c r="D2884" t="inlineStr">
        <is>
          <t>168</t>
        </is>
      </c>
      <c r="E2884" t="inlineStr">
        <is>
          <t>2</t>
        </is>
      </c>
      <c r="F2884" t="inlineStr">
        <is>
          <t>84</t>
        </is>
      </c>
      <c r="G2884" t="inlineStr">
        <is>
          <t>12</t>
        </is>
      </c>
      <c r="H2884" t="inlineStr">
        <is>
          <t>0</t>
        </is>
      </c>
      <c r="I2884" t="inlineStr">
        <is>
          <t>56¹, 112¹</t>
        </is>
      </c>
      <c r="J2884" t="n">
        <v>2</v>
      </c>
      <c r="K2884" t="inlineStr">
        <is>
          <t>2⁴, 4², 6⁸, 8¹, 12⁴, 24²</t>
        </is>
      </c>
      <c r="L2884" t="inlineStr">
        <is>
          <t>16D¹, 56B⁴</t>
        </is>
      </c>
      <c r="M2884" t="inlineStr">
        <is>
          <t>112D²¹, 112L²³, 112M²³, 112L²⁴, 112M²⁴, 112N²⁴, 112O²⁴, 112P²⁴, 112U²⁴, 112V²⁴</t>
        </is>
      </c>
      <c r="N2884" t="inlineStr">
        <is>
          <t>28C², 16D¹, 14B¹, 4C⁰, 8B⁰, 2B⁰, 1A⁰, 7A⁰, 56B⁴</t>
        </is>
      </c>
      <c r="O2884" t="inlineStr">
        <is>
          <t>112P²⁴, 112L²⁴, 112D²¹, 112U²⁴, 112M²³, 112V²⁴, 112O²⁴, 112N²⁴, 112L²³, 112M²⁴</t>
        </is>
      </c>
    </row>
    <row r="2885">
      <c r="A2885">
        <f>HYPERLINK("https://mathstats.uncg.edu/sites/pauli/congruence/csg11.html#group112G11", "112G¹¹")</f>
        <v/>
      </c>
      <c r="B2885" t="n">
        <v>11</v>
      </c>
      <c r="C2885" t="inlineStr"/>
      <c r="D2885" t="inlineStr">
        <is>
          <t>192</t>
        </is>
      </c>
      <c r="E2885" t="inlineStr">
        <is>
          <t>1</t>
        </is>
      </c>
      <c r="F2885" t="inlineStr">
        <is>
          <t>48</t>
        </is>
      </c>
      <c r="G2885" t="inlineStr">
        <is>
          <t>0</t>
        </is>
      </c>
      <c r="H2885" t="inlineStr">
        <is>
          <t>0</t>
        </is>
      </c>
      <c r="I2885" t="inlineStr">
        <is>
          <t>1⁴, 4¹, 7⁴, 16¹, 28¹, 112¹</t>
        </is>
      </c>
      <c r="J2885" t="n">
        <v>12</v>
      </c>
      <c r="K2885" t="inlineStr">
        <is>
          <t>1⁸, 2², 6⁴, 12¹</t>
        </is>
      </c>
      <c r="L2885" t="inlineStr">
        <is>
          <t>56D⁵</t>
        </is>
      </c>
      <c r="M2885" t="inlineStr">
        <is>
          <t>112E²¹, 112S²³, 112Q²³</t>
        </is>
      </c>
      <c r="N2885" t="inlineStr">
        <is>
          <t>7B⁰, 28D², 14C¹, 8C⁰, 2B⁰, 4B⁰, 56D⁵, 1A⁰</t>
        </is>
      </c>
      <c r="O2885" t="inlineStr">
        <is>
          <t>112S²³, 112Q²³, 112E²¹</t>
        </is>
      </c>
    </row>
    <row r="2886">
      <c r="A2886">
        <f>HYPERLINK("https://mathstats.uncg.edu/sites/pauli/congruence/csg11.html#group112H11", "112H¹¹")</f>
        <v/>
      </c>
      <c r="B2886" t="n">
        <v>11</v>
      </c>
      <c r="C2886" t="inlineStr">
        <is>
          <t>Γ₀(112)</t>
        </is>
      </c>
      <c r="D2886" t="inlineStr">
        <is>
          <t>192</t>
        </is>
      </c>
      <c r="E2886" t="inlineStr">
        <is>
          <t>1</t>
        </is>
      </c>
      <c r="F2886" t="inlineStr">
        <is>
          <t>48</t>
        </is>
      </c>
      <c r="G2886" t="inlineStr">
        <is>
          <t>0</t>
        </is>
      </c>
      <c r="H2886" t="inlineStr">
        <is>
          <t>0</t>
        </is>
      </c>
      <c r="I2886" t="inlineStr">
        <is>
          <t>1⁴, 4¹, 7⁴, 16¹, 28¹, 112¹</t>
        </is>
      </c>
      <c r="J2886" t="n">
        <v>12</v>
      </c>
      <c r="K2886" t="inlineStr">
        <is>
          <t>1⁸, 2², 6⁴, 12¹</t>
        </is>
      </c>
      <c r="L2886" t="inlineStr">
        <is>
          <t>16C⁰, 56D⁵</t>
        </is>
      </c>
      <c r="M2886" t="inlineStr">
        <is>
          <t>112E²¹, 112R²³, 112T²³, 224B²³, 224C²³</t>
        </is>
      </c>
      <c r="N2886" t="inlineStr">
        <is>
          <t>7B⁰, 16C⁰, 28D², 14C¹, 8C⁰, 2B⁰, 4B⁰, 56D⁵, 1A⁰</t>
        </is>
      </c>
      <c r="O2886" t="inlineStr">
        <is>
          <t>112T²³, 112R²³, 224C²³, 224B²³, 112E²¹</t>
        </is>
      </c>
    </row>
    <row r="2887">
      <c r="A2887">
        <f>HYPERLINK("https://mathstats.uncg.edu/sites/pauli/congruence/csg11.html#group112I11", "112I¹¹")</f>
        <v/>
      </c>
      <c r="B2887" t="n">
        <v>11</v>
      </c>
      <c r="C2887" t="inlineStr"/>
      <c r="D2887" t="inlineStr">
        <is>
          <t>192</t>
        </is>
      </c>
      <c r="E2887" t="inlineStr">
        <is>
          <t>1</t>
        </is>
      </c>
      <c r="F2887" t="inlineStr">
        <is>
          <t>96</t>
        </is>
      </c>
      <c r="G2887" t="inlineStr">
        <is>
          <t>0</t>
        </is>
      </c>
      <c r="H2887" t="inlineStr">
        <is>
          <t>0</t>
        </is>
      </c>
      <c r="I2887" t="inlineStr">
        <is>
          <t>1², 2³, 7², 14³, 16¹, 112¹</t>
        </is>
      </c>
      <c r="J2887" t="n">
        <v>12</v>
      </c>
      <c r="K2887" t="inlineStr">
        <is>
          <t>1⁸, 2⁴, 4², 6⁴, 12², 24¹</t>
        </is>
      </c>
      <c r="L2887" t="inlineStr">
        <is>
          <t>56D⁵</t>
        </is>
      </c>
      <c r="M2887" t="inlineStr">
        <is>
          <t>112F²¹, 112O²³, 112S²³, 112R²³, 112U²³</t>
        </is>
      </c>
      <c r="N2887" t="inlineStr">
        <is>
          <t>7B⁰, 28D², 14C¹, 8C⁰, 2B⁰, 4B⁰, 56D⁵, 1A⁰</t>
        </is>
      </c>
      <c r="O2887" t="inlineStr">
        <is>
          <t>112R²³, 112S²³, 112O²³, 112U²³, 112F²¹</t>
        </is>
      </c>
    </row>
    <row r="2888">
      <c r="A2888">
        <f>HYPERLINK("https://mathstats.uncg.edu/sites/pauli/congruence/csg11.html#group112J11", "112J¹¹")</f>
        <v/>
      </c>
      <c r="B2888" t="n">
        <v>11</v>
      </c>
      <c r="C2888" t="inlineStr"/>
      <c r="D2888" t="inlineStr">
        <is>
          <t>192</t>
        </is>
      </c>
      <c r="E2888" t="inlineStr">
        <is>
          <t>1</t>
        </is>
      </c>
      <c r="F2888" t="inlineStr">
        <is>
          <t>96</t>
        </is>
      </c>
      <c r="G2888" t="inlineStr">
        <is>
          <t>0</t>
        </is>
      </c>
      <c r="H2888" t="inlineStr">
        <is>
          <t>0</t>
        </is>
      </c>
      <c r="I2888" t="inlineStr">
        <is>
          <t>1², 2³, 7², 14³, 16¹, 112¹</t>
        </is>
      </c>
      <c r="J2888" t="n">
        <v>12</v>
      </c>
      <c r="K2888" t="inlineStr">
        <is>
          <t>1⁸, 2⁴, 4², 6⁴, 12², 24¹</t>
        </is>
      </c>
      <c r="L2888" t="inlineStr">
        <is>
          <t>16D⁰, 56D⁵</t>
        </is>
      </c>
      <c r="M2888" t="inlineStr">
        <is>
          <t>112F²¹, 112P²³, 112Q²³, 112T²³, 112U²³</t>
        </is>
      </c>
      <c r="N2888" t="inlineStr">
        <is>
          <t>7B⁰, 16D⁰, 28D², 14C¹, 8C⁰, 2B⁰, 4B⁰, 56D⁵, 1A⁰</t>
        </is>
      </c>
      <c r="O2888" t="inlineStr">
        <is>
          <t>112T²³, 112P²³, 112U²³, 112Q²³, 112F²¹</t>
        </is>
      </c>
    </row>
    <row r="2889">
      <c r="A2889">
        <f>HYPERLINK("https://mathstats.uncg.edu/sites/pauli/congruence/csg11.html#group114A11", "114A¹¹")</f>
        <v/>
      </c>
      <c r="B2889" t="n">
        <v>11</v>
      </c>
      <c r="C2889" t="inlineStr"/>
      <c r="D2889" t="inlineStr">
        <is>
          <t>160</t>
        </is>
      </c>
      <c r="E2889" t="inlineStr">
        <is>
          <t>1</t>
        </is>
      </c>
      <c r="F2889" t="inlineStr">
        <is>
          <t>80</t>
        </is>
      </c>
      <c r="G2889" t="inlineStr">
        <is>
          <t>0</t>
        </is>
      </c>
      <c r="H2889" t="inlineStr">
        <is>
          <t>4</t>
        </is>
      </c>
      <c r="I2889" t="inlineStr">
        <is>
          <t>2¹, 6¹, 38¹, 114¹</t>
        </is>
      </c>
      <c r="J2889" t="n">
        <v>4</v>
      </c>
      <c r="K2889" t="inlineStr">
        <is>
          <t>1⁴, 2², 18², 36¹</t>
        </is>
      </c>
      <c r="L2889" t="inlineStr">
        <is>
          <t>57C⁵</t>
        </is>
      </c>
      <c r="M2889" t="inlineStr">
        <is>
          <t>114A²¹</t>
        </is>
      </c>
      <c r="N2889" t="inlineStr">
        <is>
          <t>3B⁰, 1A⁰, 19A¹, 57C⁵</t>
        </is>
      </c>
      <c r="O2889" t="inlineStr">
        <is>
          <t>114A²¹</t>
        </is>
      </c>
    </row>
    <row r="2890">
      <c r="A2890">
        <f>HYPERLINK("https://mathstats.uncg.edu/sites/pauli/congruence/csg11.html#group114B11", "114B¹¹")</f>
        <v/>
      </c>
      <c r="B2890" t="n">
        <v>11</v>
      </c>
      <c r="C2890" t="inlineStr"/>
      <c r="D2890" t="inlineStr">
        <is>
          <t>160</t>
        </is>
      </c>
      <c r="E2890" t="inlineStr">
        <is>
          <t>1</t>
        </is>
      </c>
      <c r="F2890" t="inlineStr">
        <is>
          <t>80</t>
        </is>
      </c>
      <c r="G2890" t="inlineStr">
        <is>
          <t>0</t>
        </is>
      </c>
      <c r="H2890" t="inlineStr">
        <is>
          <t>4</t>
        </is>
      </c>
      <c r="I2890" t="inlineStr">
        <is>
          <t>2¹, 6¹, 38¹, 114¹</t>
        </is>
      </c>
      <c r="J2890" t="n">
        <v>4</v>
      </c>
      <c r="K2890" t="inlineStr">
        <is>
          <t>1⁴, 2², 18², 36¹</t>
        </is>
      </c>
      <c r="L2890" t="inlineStr">
        <is>
          <t>6C⁰, 38A², 57C⁵</t>
        </is>
      </c>
      <c r="M2890" t="inlineStr">
        <is>
          <t>114A²¹, 228A²³, 228B²³</t>
        </is>
      </c>
      <c r="N2890" t="inlineStr">
        <is>
          <t>3B⁰, 19A¹, 2A⁰, 38A², 6C⁰, 1A⁰, 57C⁵</t>
        </is>
      </c>
      <c r="O2890" t="inlineStr">
        <is>
          <t>114A²¹, 228B²³, 228A²³</t>
        </is>
      </c>
    </row>
    <row r="2891">
      <c r="A2891">
        <f>HYPERLINK("https://mathstats.uncg.edu/sites/pauli/congruence/csg11.html#group115A11", "115A¹¹")</f>
        <v/>
      </c>
      <c r="B2891" t="n">
        <v>11</v>
      </c>
      <c r="C2891" t="inlineStr">
        <is>
          <t>Γ₀(115)</t>
        </is>
      </c>
      <c r="D2891" t="inlineStr">
        <is>
          <t>144</t>
        </is>
      </c>
      <c r="E2891" t="inlineStr">
        <is>
          <t>1</t>
        </is>
      </c>
      <c r="F2891" t="inlineStr">
        <is>
          <t>144</t>
        </is>
      </c>
      <c r="G2891" t="inlineStr">
        <is>
          <t>0</t>
        </is>
      </c>
      <c r="H2891" t="inlineStr">
        <is>
          <t>0</t>
        </is>
      </c>
      <c r="I2891" t="inlineStr">
        <is>
          <t>1¹, 5¹, 23¹, 115¹</t>
        </is>
      </c>
      <c r="J2891" t="n">
        <v>4</v>
      </c>
      <c r="K2891" t="inlineStr">
        <is>
          <t>1⁴, 4², 22², 88¹</t>
        </is>
      </c>
      <c r="L2891" t="inlineStr">
        <is>
          <t>5B⁰, 23A²</t>
        </is>
      </c>
      <c r="M2891" t="inlineStr">
        <is>
          <t>115A²¹, 230A²³, 230B²³</t>
        </is>
      </c>
      <c r="N2891" t="inlineStr">
        <is>
          <t>5B⁰, 1A⁰, 23A²</t>
        </is>
      </c>
      <c r="O2891" t="inlineStr">
        <is>
          <t>230B²³, 230A²³, 115A²¹</t>
        </is>
      </c>
    </row>
    <row r="2892">
      <c r="A2892">
        <f>HYPERLINK("https://mathstats.uncg.edu/sites/pauli/congruence/csg11.html#group117A11", "117A¹¹")</f>
        <v/>
      </c>
      <c r="B2892" t="n">
        <v>11</v>
      </c>
      <c r="C2892" t="inlineStr">
        <is>
          <t>Γ₀(117)</t>
        </is>
      </c>
      <c r="D2892" t="inlineStr">
        <is>
          <t>168</t>
        </is>
      </c>
      <c r="E2892" t="inlineStr">
        <is>
          <t>1</t>
        </is>
      </c>
      <c r="F2892" t="inlineStr">
        <is>
          <t>56</t>
        </is>
      </c>
      <c r="G2892" t="inlineStr">
        <is>
          <t>0</t>
        </is>
      </c>
      <c r="H2892" t="inlineStr">
        <is>
          <t>0</t>
        </is>
      </c>
      <c r="I2892" t="inlineStr">
        <is>
          <t>1³, 9¹, 13³, 117¹</t>
        </is>
      </c>
      <c r="J2892" t="n">
        <v>8</v>
      </c>
      <c r="K2892" t="inlineStr">
        <is>
          <t>1⁴, 2², 12², 24¹</t>
        </is>
      </c>
      <c r="L2892" t="inlineStr">
        <is>
          <t>9B⁰, 39A³</t>
        </is>
      </c>
      <c r="M2892" t="inlineStr">
        <is>
          <t>117A²¹</t>
        </is>
      </c>
      <c r="N2892" t="inlineStr">
        <is>
          <t>13A⁰, 3B⁰, 9B⁰, 39A³, 1A⁰</t>
        </is>
      </c>
      <c r="O2892" t="inlineStr">
        <is>
          <t>117A²¹</t>
        </is>
      </c>
    </row>
    <row r="2893">
      <c r="A2893">
        <f>HYPERLINK("https://mathstats.uncg.edu/sites/pauli/congruence/csg11.html#group117B11", "117B¹¹")</f>
        <v/>
      </c>
      <c r="B2893" t="n">
        <v>11</v>
      </c>
      <c r="C2893" t="inlineStr"/>
      <c r="D2893" t="inlineStr">
        <is>
          <t>168</t>
        </is>
      </c>
      <c r="E2893" t="inlineStr">
        <is>
          <t>1</t>
        </is>
      </c>
      <c r="F2893" t="inlineStr">
        <is>
          <t>56</t>
        </is>
      </c>
      <c r="G2893" t="inlineStr">
        <is>
          <t>0</t>
        </is>
      </c>
      <c r="H2893" t="inlineStr">
        <is>
          <t>6</t>
        </is>
      </c>
      <c r="I2893" t="inlineStr">
        <is>
          <t>3¹, 9¹, 39¹, 117¹</t>
        </is>
      </c>
      <c r="J2893" t="n">
        <v>4</v>
      </c>
      <c r="K2893" t="inlineStr">
        <is>
          <t>1⁴, 2², 12², 24¹</t>
        </is>
      </c>
      <c r="L2893" t="inlineStr">
        <is>
          <t>9C⁰, 39A³</t>
        </is>
      </c>
      <c r="M2893" t="inlineStr">
        <is>
          <t>117B²¹, 234A²³, 234B²³</t>
        </is>
      </c>
      <c r="N2893" t="inlineStr">
        <is>
          <t>13A⁰, 3B⁰, 39A³, 9C⁰, 1A⁰</t>
        </is>
      </c>
      <c r="O2893" t="inlineStr">
        <is>
          <t>234B²³, 117B²¹, 234A²³</t>
        </is>
      </c>
    </row>
    <row r="2894">
      <c r="A2894">
        <f>HYPERLINK("https://mathstats.uncg.edu/sites/pauli/congruence/csg11.html#group119A11", "119A¹¹")</f>
        <v/>
      </c>
      <c r="B2894" t="n">
        <v>11</v>
      </c>
      <c r="C2894" t="inlineStr">
        <is>
          <t>Γ₀(119)</t>
        </is>
      </c>
      <c r="D2894" t="inlineStr">
        <is>
          <t>144</t>
        </is>
      </c>
      <c r="E2894" t="inlineStr">
        <is>
          <t>1</t>
        </is>
      </c>
      <c r="F2894" t="inlineStr">
        <is>
          <t>144</t>
        </is>
      </c>
      <c r="G2894" t="inlineStr">
        <is>
          <t>0</t>
        </is>
      </c>
      <c r="H2894" t="inlineStr">
        <is>
          <t>0</t>
        </is>
      </c>
      <c r="I2894" t="inlineStr">
        <is>
          <t>1¹, 7¹, 17¹, 119¹</t>
        </is>
      </c>
      <c r="J2894" t="n">
        <v>4</v>
      </c>
      <c r="K2894" t="inlineStr">
        <is>
          <t>1⁴, 6², 16², 96¹</t>
        </is>
      </c>
      <c r="L2894" t="inlineStr">
        <is>
          <t>7B⁰, 17A¹</t>
        </is>
      </c>
      <c r="M2894" t="inlineStr">
        <is>
          <t>119A²¹, 238A²³, 238B²³</t>
        </is>
      </c>
      <c r="N2894" t="inlineStr">
        <is>
          <t>17A¹, 1A⁰, 7B⁰</t>
        </is>
      </c>
      <c r="O2894" t="inlineStr">
        <is>
          <t>238A²³, 119A²¹, 238B²³</t>
        </is>
      </c>
    </row>
    <row r="2895">
      <c r="A2895">
        <f>HYPERLINK("https://mathstats.uncg.edu/sites/pauli/congruence/csg11.html#group120A11", "120A¹¹")</f>
        <v/>
      </c>
      <c r="B2895" t="n">
        <v>11</v>
      </c>
      <c r="C2895" t="inlineStr"/>
      <c r="D2895" t="inlineStr">
        <is>
          <t>216</t>
        </is>
      </c>
      <c r="E2895" t="inlineStr">
        <is>
          <t>1</t>
        </is>
      </c>
      <c r="F2895" t="inlineStr">
        <is>
          <t>18</t>
        </is>
      </c>
      <c r="G2895" t="inlineStr">
        <is>
          <t>24</t>
        </is>
      </c>
      <c r="H2895" t="inlineStr">
        <is>
          <t>0</t>
        </is>
      </c>
      <c r="I2895" t="inlineStr">
        <is>
          <t>12¹, 24¹, 60¹, 120¹</t>
        </is>
      </c>
      <c r="J2895" t="n">
        <v>4</v>
      </c>
      <c r="K2895" t="inlineStr">
        <is>
          <t>1⁶, 4³</t>
        </is>
      </c>
      <c r="L2895" t="inlineStr">
        <is>
          <t>40C³, 60A⁵</t>
        </is>
      </c>
      <c r="M2895" t="inlineStr">
        <is>
          <t>120O²¹</t>
        </is>
      </c>
      <c r="N2895" t="inlineStr">
        <is>
          <t>20E¹, 12C⁰, 4C⁰, 5B⁰, 2B⁰, 1A⁰, 40C³, 15B⁰, 30E², 60A⁵, 10C⁰, 3A⁰, 6D⁰</t>
        </is>
      </c>
      <c r="O2895" t="inlineStr">
        <is>
          <t>120O²¹</t>
        </is>
      </c>
    </row>
    <row r="2896">
      <c r="A2896">
        <f>HYPERLINK("https://mathstats.uncg.edu/sites/pauli/congruence/csg11.html#group120B11", "120B¹¹")</f>
        <v/>
      </c>
      <c r="B2896" t="n">
        <v>11</v>
      </c>
      <c r="C2896" t="inlineStr"/>
      <c r="D2896" t="inlineStr">
        <is>
          <t>216</t>
        </is>
      </c>
      <c r="E2896" t="inlineStr">
        <is>
          <t>1</t>
        </is>
      </c>
      <c r="F2896" t="inlineStr">
        <is>
          <t>18</t>
        </is>
      </c>
      <c r="G2896" t="inlineStr">
        <is>
          <t>24</t>
        </is>
      </c>
      <c r="H2896" t="inlineStr">
        <is>
          <t>0</t>
        </is>
      </c>
      <c r="I2896" t="inlineStr">
        <is>
          <t>12¹, 24¹, 60¹, 120¹</t>
        </is>
      </c>
      <c r="J2896" t="n">
        <v>4</v>
      </c>
      <c r="K2896" t="inlineStr">
        <is>
          <t>1⁶, 4³</t>
        </is>
      </c>
      <c r="L2896" t="inlineStr">
        <is>
          <t>24A⁰, 40D³, 60A⁵</t>
        </is>
      </c>
      <c r="M2896" t="inlineStr">
        <is>
          <t>120O²¹, 240A²³, 240B²³</t>
        </is>
      </c>
      <c r="N2896" t="inlineStr">
        <is>
          <t>20E¹, 12C⁰, 4C⁰, 8B⁰, 5B⁰, 2B⁰, 1A⁰, 15B⁰, 30E², 24A⁰, 60A⁵, 10C⁰, 3A⁰, 40D³, 6D⁰</t>
        </is>
      </c>
      <c r="O2896" t="inlineStr">
        <is>
          <t>240A²³, 240B²³, 120O²¹</t>
        </is>
      </c>
    </row>
    <row r="2897">
      <c r="A2897">
        <f>HYPERLINK("https://mathstats.uncg.edu/sites/pauli/congruence/csg11.html#group120C11", "120C¹¹")</f>
        <v/>
      </c>
      <c r="B2897" t="n">
        <v>11</v>
      </c>
      <c r="C2897" t="inlineStr"/>
      <c r="D2897" t="inlineStr">
        <is>
          <t>216</t>
        </is>
      </c>
      <c r="E2897" t="inlineStr">
        <is>
          <t>2</t>
        </is>
      </c>
      <c r="F2897" t="inlineStr">
        <is>
          <t>18</t>
        </is>
      </c>
      <c r="G2897" t="inlineStr">
        <is>
          <t>12</t>
        </is>
      </c>
      <c r="H2897" t="inlineStr">
        <is>
          <t>0</t>
        </is>
      </c>
      <c r="I2897" t="inlineStr">
        <is>
          <t>3⁴, 15⁴, 24¹, 120¹</t>
        </is>
      </c>
      <c r="J2897" t="n">
        <v>10</v>
      </c>
      <c r="K2897" t="inlineStr">
        <is>
          <t>2⁶, 8³</t>
        </is>
      </c>
      <c r="L2897" t="inlineStr">
        <is>
          <t>40A¹, 60C⁴</t>
        </is>
      </c>
      <c r="M2897" t="inlineStr">
        <is>
          <t>120S²³</t>
        </is>
      </c>
      <c r="N2897" t="inlineStr">
        <is>
          <t>20A⁰, 15B⁰, 40A¹, 30E², 5B⁰, 10C⁰, 60C⁴, 2B⁰, 3A⁰, 1A⁰, 6D⁰</t>
        </is>
      </c>
      <c r="O2897" t="inlineStr">
        <is>
          <t>120S²³</t>
        </is>
      </c>
    </row>
    <row r="2898">
      <c r="A2898">
        <f>HYPERLINK("https://mathstats.uncg.edu/sites/pauli/congruence/csg11.html#group120D11", "120D¹¹")</f>
        <v/>
      </c>
      <c r="B2898" t="n">
        <v>11</v>
      </c>
      <c r="C2898" t="inlineStr"/>
      <c r="D2898" t="inlineStr">
        <is>
          <t>216</t>
        </is>
      </c>
      <c r="E2898" t="inlineStr">
        <is>
          <t>2</t>
        </is>
      </c>
      <c r="F2898" t="inlineStr">
        <is>
          <t>54</t>
        </is>
      </c>
      <c r="G2898" t="inlineStr">
        <is>
          <t>12</t>
        </is>
      </c>
      <c r="H2898" t="inlineStr">
        <is>
          <t>0</t>
        </is>
      </c>
      <c r="I2898" t="inlineStr">
        <is>
          <t>3⁴, 15⁴, 24¹, 120¹</t>
        </is>
      </c>
      <c r="J2898" t="n">
        <v>10</v>
      </c>
      <c r="K2898" t="inlineStr">
        <is>
          <t>2⁶, 4⁶, 8³, 16³</t>
        </is>
      </c>
      <c r="L2898" t="inlineStr">
        <is>
          <t>60C⁴</t>
        </is>
      </c>
      <c r="M2898" t="inlineStr">
        <is>
          <t>120Q²³, 120R²³, 120S²³</t>
        </is>
      </c>
      <c r="N2898" t="inlineStr">
        <is>
          <t>20A⁰, 15B⁰, 30E², 5B⁰, 10C⁰, 60C⁴, 2B⁰, 3A⁰, 1A⁰, 6D⁰</t>
        </is>
      </c>
      <c r="O2898" t="inlineStr">
        <is>
          <t>120Q²³, 120R²³, 120S²³</t>
        </is>
      </c>
    </row>
    <row r="2899">
      <c r="A2899">
        <f>HYPERLINK("https://mathstats.uncg.edu/sites/pauli/congruence/csg11.html#group126A11", "126A¹¹")</f>
        <v/>
      </c>
      <c r="B2899" t="n">
        <v>11</v>
      </c>
      <c r="C2899" t="inlineStr"/>
      <c r="D2899" t="inlineStr">
        <is>
          <t>126</t>
        </is>
      </c>
      <c r="E2899" t="inlineStr">
        <is>
          <t>2</t>
        </is>
      </c>
      <c r="F2899" t="inlineStr">
        <is>
          <t>63</t>
        </is>
      </c>
      <c r="G2899" t="inlineStr">
        <is>
          <t>0</t>
        </is>
      </c>
      <c r="H2899" t="inlineStr">
        <is>
          <t>0</t>
        </is>
      </c>
      <c r="I2899" t="inlineStr">
        <is>
          <t>126¹</t>
        </is>
      </c>
      <c r="J2899" t="n">
        <v>1</v>
      </c>
      <c r="K2899" t="inlineStr">
        <is>
          <t>2¹, 4¹, 6², 12³, 36²</t>
        </is>
      </c>
      <c r="L2899" t="inlineStr">
        <is>
          <t>18A², 63A², 42A⁴</t>
        </is>
      </c>
      <c r="M2899" t="inlineStr">
        <is>
          <t>126A²¹, 126C²¹, 126D²¹, 126F²¹, 126E²¹, 126G²¹, 126H²¹</t>
        </is>
      </c>
      <c r="N2899" t="inlineStr">
        <is>
          <t>2A⁰, 9A⁰, 14A¹, 21A⁰, 6A¹, 42A⁴, 18A², 7A⁰, 3A⁰, 1A⁰, 63A²</t>
        </is>
      </c>
      <c r="O2899" t="inlineStr">
        <is>
          <t>126A²¹, 126D²¹, 126G²¹, 126F²¹, 126C²¹, 126E²¹, 126H²¹</t>
        </is>
      </c>
    </row>
    <row r="2900">
      <c r="A2900">
        <f>HYPERLINK("https://mathstats.uncg.edu/sites/pauli/congruence/csg11.html#group126B11", "126B¹¹")</f>
        <v/>
      </c>
      <c r="B2900" t="n">
        <v>11</v>
      </c>
      <c r="C2900" t="inlineStr"/>
      <c r="D2900" t="inlineStr">
        <is>
          <t>192</t>
        </is>
      </c>
      <c r="E2900" t="inlineStr">
        <is>
          <t>1</t>
        </is>
      </c>
      <c r="F2900" t="inlineStr">
        <is>
          <t>32</t>
        </is>
      </c>
      <c r="G2900" t="inlineStr">
        <is>
          <t>0</t>
        </is>
      </c>
      <c r="H2900" t="inlineStr">
        <is>
          <t>12</t>
        </is>
      </c>
      <c r="I2900" t="inlineStr">
        <is>
          <t>6¹, 18¹, 42¹, 126¹</t>
        </is>
      </c>
      <c r="J2900" t="n">
        <v>4</v>
      </c>
      <c r="K2900" t="inlineStr">
        <is>
          <t>1⁴, 2², 6², 12¹</t>
        </is>
      </c>
      <c r="L2900" t="inlineStr">
        <is>
          <t>42D³, 63B⁵</t>
        </is>
      </c>
      <c r="M2900" t="inlineStr">
        <is>
          <t>126S²¹</t>
        </is>
      </c>
      <c r="N2900" t="inlineStr">
        <is>
          <t>3B⁰, 21B¹, 7B⁰, 42D³, 63B⁵, 9C⁰, 1A⁰</t>
        </is>
      </c>
      <c r="O2900" t="inlineStr">
        <is>
          <t>126S²¹</t>
        </is>
      </c>
    </row>
    <row r="2901">
      <c r="A2901">
        <f>HYPERLINK("https://mathstats.uncg.edu/sites/pauli/congruence/csg11.html#group126C11", "126C¹¹")</f>
        <v/>
      </c>
      <c r="B2901" t="n">
        <v>11</v>
      </c>
      <c r="C2901" t="inlineStr"/>
      <c r="D2901" t="inlineStr">
        <is>
          <t>192</t>
        </is>
      </c>
      <c r="E2901" t="inlineStr">
        <is>
          <t>1</t>
        </is>
      </c>
      <c r="F2901" t="inlineStr">
        <is>
          <t>32</t>
        </is>
      </c>
      <c r="G2901" t="inlineStr">
        <is>
          <t>0</t>
        </is>
      </c>
      <c r="H2901" t="inlineStr">
        <is>
          <t>12</t>
        </is>
      </c>
      <c r="I2901" t="inlineStr">
        <is>
          <t>6¹, 18¹, 42¹, 126¹</t>
        </is>
      </c>
      <c r="J2901" t="n">
        <v>4</v>
      </c>
      <c r="K2901" t="inlineStr">
        <is>
          <t>1⁴, 2², 6², 12¹</t>
        </is>
      </c>
      <c r="L2901" t="inlineStr">
        <is>
          <t>18B⁰, 42E³, 63B⁵</t>
        </is>
      </c>
      <c r="M2901" t="inlineStr">
        <is>
          <t>126S²¹, 252A²³, 252B²³</t>
        </is>
      </c>
      <c r="N2901" t="inlineStr">
        <is>
          <t>3B⁰, 2A⁰, 21B¹, 18B⁰, 7B⁰, 42E³, 6C⁰, 14B⁰, 63B⁵, 9C⁰, 1A⁰</t>
        </is>
      </c>
      <c r="O2901" t="inlineStr">
        <is>
          <t>252B²³, 252A²³, 126S²¹</t>
        </is>
      </c>
    </row>
    <row r="2902">
      <c r="A2902">
        <f>HYPERLINK("https://mathstats.uncg.edu/sites/pauli/congruence/csg11.html#group126D11", "126D¹¹")</f>
        <v/>
      </c>
      <c r="B2902" t="n">
        <v>11</v>
      </c>
      <c r="C2902" t="inlineStr"/>
      <c r="D2902" t="inlineStr">
        <is>
          <t>192</t>
        </is>
      </c>
      <c r="E2902" t="inlineStr">
        <is>
          <t>1</t>
        </is>
      </c>
      <c r="F2902" t="inlineStr">
        <is>
          <t>64</t>
        </is>
      </c>
      <c r="G2902" t="inlineStr">
        <is>
          <t>0</t>
        </is>
      </c>
      <c r="H2902" t="inlineStr">
        <is>
          <t>6</t>
        </is>
      </c>
      <c r="I2902" t="inlineStr">
        <is>
          <t>2³, 14³, 18¹, 126¹</t>
        </is>
      </c>
      <c r="J2902" t="n">
        <v>8</v>
      </c>
      <c r="K2902" t="inlineStr">
        <is>
          <t>2⁸, 12⁴</t>
        </is>
      </c>
      <c r="L2902" t="inlineStr">
        <is>
          <t>18C⁰, 42E³</t>
        </is>
      </c>
      <c r="M2902" t="inlineStr">
        <is>
          <t>126T²¹</t>
        </is>
      </c>
      <c r="N2902" t="inlineStr">
        <is>
          <t>18C⁰, 3B⁰, 2A⁰, 21B¹, 7B⁰, 42E³, 6C⁰, 14B⁰, 1A⁰</t>
        </is>
      </c>
      <c r="O2902" t="inlineStr">
        <is>
          <t>126T²¹</t>
        </is>
      </c>
    </row>
    <row r="2903">
      <c r="A2903">
        <f>HYPERLINK("https://mathstats.uncg.edu/sites/pauli/congruence/csg11.html#group126E11", "126E¹¹")</f>
        <v/>
      </c>
      <c r="B2903" t="n">
        <v>11</v>
      </c>
      <c r="C2903" t="inlineStr"/>
      <c r="D2903" t="inlineStr">
        <is>
          <t>192</t>
        </is>
      </c>
      <c r="E2903" t="inlineStr">
        <is>
          <t>2</t>
        </is>
      </c>
      <c r="F2903" t="inlineStr">
        <is>
          <t>32</t>
        </is>
      </c>
      <c r="G2903" t="inlineStr">
        <is>
          <t>0</t>
        </is>
      </c>
      <c r="H2903" t="inlineStr">
        <is>
          <t>6</t>
        </is>
      </c>
      <c r="I2903" t="inlineStr">
        <is>
          <t>2³, 14³, 18¹, 126¹</t>
        </is>
      </c>
      <c r="J2903" t="n">
        <v>8</v>
      </c>
      <c r="K2903" t="inlineStr">
        <is>
          <t>2⁸, 12⁴</t>
        </is>
      </c>
      <c r="L2903" t="inlineStr">
        <is>
          <t>42D³, 63A⁴</t>
        </is>
      </c>
      <c r="M2903" t="inlineStr">
        <is>
          <t>126U²¹</t>
        </is>
      </c>
      <c r="N2903" t="inlineStr">
        <is>
          <t>3B⁰, 42D³, 21B¹, 1A⁰, 7B⁰, 63A⁴</t>
        </is>
      </c>
      <c r="O2903" t="inlineStr">
        <is>
          <t>126U²¹</t>
        </is>
      </c>
    </row>
    <row r="2904">
      <c r="A2904">
        <f>HYPERLINK("https://mathstats.uncg.edu/sites/pauli/congruence/csg11.html#group126F11", "126F¹¹")</f>
        <v/>
      </c>
      <c r="B2904" t="n">
        <v>11</v>
      </c>
      <c r="C2904" t="inlineStr"/>
      <c r="D2904" t="inlineStr">
        <is>
          <t>192</t>
        </is>
      </c>
      <c r="E2904" t="inlineStr">
        <is>
          <t>2</t>
        </is>
      </c>
      <c r="F2904" t="inlineStr">
        <is>
          <t>32</t>
        </is>
      </c>
      <c r="G2904" t="inlineStr">
        <is>
          <t>0</t>
        </is>
      </c>
      <c r="H2904" t="inlineStr">
        <is>
          <t>6</t>
        </is>
      </c>
      <c r="I2904" t="inlineStr">
        <is>
          <t>2³, 14³, 18¹, 126¹</t>
        </is>
      </c>
      <c r="J2904" t="n">
        <v>8</v>
      </c>
      <c r="K2904" t="inlineStr">
        <is>
          <t>2⁸, 12⁴</t>
        </is>
      </c>
      <c r="L2904" t="inlineStr">
        <is>
          <t>42E³, 63A⁴</t>
        </is>
      </c>
      <c r="M2904" t="inlineStr">
        <is>
          <t>126U²¹</t>
        </is>
      </c>
      <c r="N2904" t="inlineStr">
        <is>
          <t>3B⁰, 2A⁰, 21B¹, 7B⁰, 42E³, 6C⁰, 14B⁰, 1A⁰, 63A⁴</t>
        </is>
      </c>
      <c r="O2904" t="inlineStr">
        <is>
          <t>126U²¹</t>
        </is>
      </c>
    </row>
    <row r="2905">
      <c r="A2905">
        <f>HYPERLINK("https://mathstats.uncg.edu/sites/pauli/congruence/csg11.html#group128A11", "128A¹¹")</f>
        <v/>
      </c>
      <c r="B2905" t="n">
        <v>11</v>
      </c>
      <c r="C2905" t="inlineStr"/>
      <c r="D2905" t="inlineStr">
        <is>
          <t>192</t>
        </is>
      </c>
      <c r="E2905" t="inlineStr">
        <is>
          <t>1</t>
        </is>
      </c>
      <c r="F2905" t="inlineStr">
        <is>
          <t>24</t>
        </is>
      </c>
      <c r="G2905" t="inlineStr">
        <is>
          <t>0</t>
        </is>
      </c>
      <c r="H2905" t="inlineStr">
        <is>
          <t>0</t>
        </is>
      </c>
      <c r="I2905" t="inlineStr">
        <is>
          <t>2⁸, 8², 32¹, 128¹</t>
        </is>
      </c>
      <c r="J2905" t="n">
        <v>12</v>
      </c>
      <c r="K2905" t="inlineStr">
        <is>
          <t>1⁴, 2², 4², 8¹</t>
        </is>
      </c>
      <c r="L2905" t="inlineStr">
        <is>
          <t>64A³</t>
        </is>
      </c>
      <c r="M2905" t="inlineStr">
        <is>
          <t>128A²¹, 128D²¹, 128E²¹</t>
        </is>
      </c>
      <c r="N2905" t="inlineStr">
        <is>
          <t>8C⁰, 2B⁰, 32A¹, 64A³, 4B⁰, 1A⁰, 16C⁰</t>
        </is>
      </c>
      <c r="O2905" t="inlineStr">
        <is>
          <t>128D²¹, 128A²¹, 128E²¹</t>
        </is>
      </c>
    </row>
    <row r="2906">
      <c r="A2906">
        <f>HYPERLINK("https://mathstats.uncg.edu/sites/pauli/congruence/csg11.html#group129A11", "129A¹¹")</f>
        <v/>
      </c>
      <c r="B2906" t="n">
        <v>11</v>
      </c>
      <c r="C2906" t="inlineStr"/>
      <c r="D2906" t="inlineStr">
        <is>
          <t>132</t>
        </is>
      </c>
      <c r="E2906" t="inlineStr">
        <is>
          <t>1</t>
        </is>
      </c>
      <c r="F2906" t="inlineStr">
        <is>
          <t>44</t>
        </is>
      </c>
      <c r="G2906" t="inlineStr">
        <is>
          <t>0</t>
        </is>
      </c>
      <c r="H2906" t="inlineStr">
        <is>
          <t>0</t>
        </is>
      </c>
      <c r="I2906" t="inlineStr">
        <is>
          <t>3¹, 129¹</t>
        </is>
      </c>
      <c r="J2906" t="n">
        <v>2</v>
      </c>
      <c r="K2906" t="inlineStr">
        <is>
          <t>1², 42¹</t>
        </is>
      </c>
      <c r="L2906" t="inlineStr">
        <is>
          <t>3A⁰, 43A³</t>
        </is>
      </c>
      <c r="M2906" t="inlineStr">
        <is>
          <t>129A²¹, 258A²², 258B²²</t>
        </is>
      </c>
      <c r="N2906" t="inlineStr">
        <is>
          <t>3A⁰, 1A⁰, 43A³</t>
        </is>
      </c>
      <c r="O2906" t="inlineStr">
        <is>
          <t>129A²¹, 258A²², 258B²²</t>
        </is>
      </c>
    </row>
    <row r="2907">
      <c r="A2907">
        <f>HYPERLINK("https://mathstats.uncg.edu/sites/pauli/congruence/csg11.html#group130A11", "130A¹¹")</f>
        <v/>
      </c>
      <c r="B2907" t="n">
        <v>11</v>
      </c>
      <c r="C2907" t="inlineStr"/>
      <c r="D2907" t="inlineStr">
        <is>
          <t>168</t>
        </is>
      </c>
      <c r="E2907" t="inlineStr">
        <is>
          <t>1</t>
        </is>
      </c>
      <c r="F2907" t="inlineStr">
        <is>
          <t>84</t>
        </is>
      </c>
      <c r="G2907" t="inlineStr">
        <is>
          <t>8</t>
        </is>
      </c>
      <c r="H2907" t="inlineStr">
        <is>
          <t>0</t>
        </is>
      </c>
      <c r="I2907" t="inlineStr">
        <is>
          <t>2¹, 10¹, 26¹, 130¹</t>
        </is>
      </c>
      <c r="J2907" t="n">
        <v>4</v>
      </c>
      <c r="K2907" t="inlineStr">
        <is>
          <t>1⁴, 4², 12², 48¹</t>
        </is>
      </c>
      <c r="L2907" t="inlineStr">
        <is>
          <t>10B⁰, 65A⁵</t>
        </is>
      </c>
      <c r="M2907" t="inlineStr">
        <is>
          <t>130C²¹</t>
        </is>
      </c>
      <c r="N2907" t="inlineStr">
        <is>
          <t>5B⁰, 13A⁰, 65A⁵, 1A⁰, 10B⁰</t>
        </is>
      </c>
      <c r="O2907" t="inlineStr">
        <is>
          <t>130C²¹</t>
        </is>
      </c>
    </row>
    <row r="2908">
      <c r="A2908">
        <f>HYPERLINK("https://mathstats.uncg.edu/sites/pauli/congruence/csg11.html#group130B11", "130B¹¹")</f>
        <v/>
      </c>
      <c r="B2908" t="n">
        <v>11</v>
      </c>
      <c r="C2908" t="inlineStr"/>
      <c r="D2908" t="inlineStr">
        <is>
          <t>168</t>
        </is>
      </c>
      <c r="E2908" t="inlineStr">
        <is>
          <t>1</t>
        </is>
      </c>
      <c r="F2908" t="inlineStr">
        <is>
          <t>84</t>
        </is>
      </c>
      <c r="G2908" t="inlineStr">
        <is>
          <t>8</t>
        </is>
      </c>
      <c r="H2908" t="inlineStr">
        <is>
          <t>0</t>
        </is>
      </c>
      <c r="I2908" t="inlineStr">
        <is>
          <t>2¹, 10¹, 26¹, 130¹</t>
        </is>
      </c>
      <c r="J2908" t="n">
        <v>4</v>
      </c>
      <c r="K2908" t="inlineStr">
        <is>
          <t>1⁴, 4², 12², 48¹</t>
        </is>
      </c>
      <c r="L2908" t="inlineStr">
        <is>
          <t>26A⁰, 65A⁵</t>
        </is>
      </c>
      <c r="M2908" t="inlineStr">
        <is>
          <t>130C²¹</t>
        </is>
      </c>
      <c r="N2908" t="inlineStr">
        <is>
          <t>13A⁰, 5B⁰, 26A⁰, 65A⁵, 1A⁰</t>
        </is>
      </c>
      <c r="O2908" t="inlineStr">
        <is>
          <t>130C²¹</t>
        </is>
      </c>
    </row>
    <row r="2909">
      <c r="A2909">
        <f>HYPERLINK("https://mathstats.uncg.edu/sites/pauli/congruence/csg11.html#group131A11", "131A¹¹")</f>
        <v/>
      </c>
      <c r="B2909" t="n">
        <v>11</v>
      </c>
      <c r="C2909" t="inlineStr">
        <is>
          <t>Γ₀(131)</t>
        </is>
      </c>
      <c r="D2909" t="inlineStr">
        <is>
          <t>132</t>
        </is>
      </c>
      <c r="E2909" t="inlineStr">
        <is>
          <t>1</t>
        </is>
      </c>
      <c r="F2909" t="inlineStr">
        <is>
          <t>132</t>
        </is>
      </c>
      <c r="G2909" t="inlineStr">
        <is>
          <t>0</t>
        </is>
      </c>
      <c r="H2909" t="inlineStr">
        <is>
          <t>0</t>
        </is>
      </c>
      <c r="I2909" t="inlineStr">
        <is>
          <t>1¹, 131¹</t>
        </is>
      </c>
      <c r="J2909" t="n">
        <v>2</v>
      </c>
      <c r="K2909" t="inlineStr">
        <is>
          <t>1², 130¹</t>
        </is>
      </c>
      <c r="L2909" t="inlineStr">
        <is>
          <t>1A⁰</t>
        </is>
      </c>
      <c r="M2909" t="inlineStr">
        <is>
          <t>262A²²</t>
        </is>
      </c>
      <c r="N2909" t="inlineStr">
        <is>
          <t>1A⁰</t>
        </is>
      </c>
      <c r="O2909" t="inlineStr">
        <is>
          <t>262A²²</t>
        </is>
      </c>
    </row>
    <row r="2910">
      <c r="A2910">
        <f>HYPERLINK("https://mathstats.uncg.edu/sites/pauli/congruence/csg11.html#group133A11", "133A¹¹")</f>
        <v/>
      </c>
      <c r="B2910" t="n">
        <v>11</v>
      </c>
      <c r="C2910" t="inlineStr"/>
      <c r="D2910" t="inlineStr">
        <is>
          <t>140</t>
        </is>
      </c>
      <c r="E2910" t="inlineStr">
        <is>
          <t>2</t>
        </is>
      </c>
      <c r="F2910" t="inlineStr">
        <is>
          <t>140</t>
        </is>
      </c>
      <c r="G2910" t="inlineStr">
        <is>
          <t>0</t>
        </is>
      </c>
      <c r="H2910" t="inlineStr">
        <is>
          <t>2</t>
        </is>
      </c>
      <c r="I2910" t="inlineStr">
        <is>
          <t>7¹, 133¹</t>
        </is>
      </c>
      <c r="J2910" t="n">
        <v>2</v>
      </c>
      <c r="K2910" t="inlineStr">
        <is>
          <t>2², 6⁴, 36¹, 108²</t>
        </is>
      </c>
      <c r="L2910" t="inlineStr">
        <is>
          <t>7A⁰, 19A¹</t>
        </is>
      </c>
      <c r="M2910" t="inlineStr">
        <is>
          <t>133A²¹, 266A²², 266B²²</t>
        </is>
      </c>
      <c r="N2910" t="inlineStr">
        <is>
          <t>19A¹, 1A⁰, 7A⁰</t>
        </is>
      </c>
      <c r="O2910" t="inlineStr">
        <is>
          <t>266A²², 133A²¹, 266B²²</t>
        </is>
      </c>
    </row>
    <row r="2911">
      <c r="A2911">
        <f>HYPERLINK("https://mathstats.uncg.edu/sites/pauli/congruence/csg11.html#group133B11", "133B¹¹")</f>
        <v/>
      </c>
      <c r="B2911" t="n">
        <v>11</v>
      </c>
      <c r="C2911" t="inlineStr">
        <is>
          <t>Γ₀(133)</t>
        </is>
      </c>
      <c r="D2911" t="inlineStr">
        <is>
          <t>160</t>
        </is>
      </c>
      <c r="E2911" t="inlineStr">
        <is>
          <t>1</t>
        </is>
      </c>
      <c r="F2911" t="inlineStr">
        <is>
          <t>160</t>
        </is>
      </c>
      <c r="G2911" t="inlineStr">
        <is>
          <t>0</t>
        </is>
      </c>
      <c r="H2911" t="inlineStr">
        <is>
          <t>4</t>
        </is>
      </c>
      <c r="I2911" t="inlineStr">
        <is>
          <t>1¹, 7¹, 19¹, 133¹</t>
        </is>
      </c>
      <c r="J2911" t="n">
        <v>4</v>
      </c>
      <c r="K2911" t="inlineStr">
        <is>
          <t>1⁴, 6², 18², 108¹</t>
        </is>
      </c>
      <c r="L2911" t="inlineStr">
        <is>
          <t>7B⁰, 19A¹</t>
        </is>
      </c>
      <c r="M2911" t="inlineStr">
        <is>
          <t>133B²¹, 266A²³, 266B²³</t>
        </is>
      </c>
      <c r="N2911" t="inlineStr">
        <is>
          <t>19A¹, 1A⁰, 7B⁰</t>
        </is>
      </c>
      <c r="O2911" t="inlineStr">
        <is>
          <t>266B²³, 133B²¹, 266A²³</t>
        </is>
      </c>
    </row>
    <row r="2912">
      <c r="A2912">
        <f>HYPERLINK("https://mathstats.uncg.edu/sites/pauli/congruence/csg11.html#group135A11", "135A¹¹")</f>
        <v/>
      </c>
      <c r="B2912" t="n">
        <v>11</v>
      </c>
      <c r="C2912" t="inlineStr"/>
      <c r="D2912" t="inlineStr">
        <is>
          <t>180</t>
        </is>
      </c>
      <c r="E2912" t="inlineStr">
        <is>
          <t>1</t>
        </is>
      </c>
      <c r="F2912" t="inlineStr">
        <is>
          <t>60</t>
        </is>
      </c>
      <c r="G2912" t="inlineStr">
        <is>
          <t>0</t>
        </is>
      </c>
      <c r="H2912" t="inlineStr">
        <is>
          <t>12</t>
        </is>
      </c>
      <c r="I2912" t="inlineStr">
        <is>
          <t>45¹, 135¹</t>
        </is>
      </c>
      <c r="J2912" t="n">
        <v>2</v>
      </c>
      <c r="K2912" t="inlineStr">
        <is>
          <t>1², 2², 4², 6¹, 8², 24¹</t>
        </is>
      </c>
      <c r="L2912" t="inlineStr">
        <is>
          <t>27B¹, 45B³</t>
        </is>
      </c>
      <c r="M2912" t="inlineStr">
        <is>
          <t>270A²²</t>
        </is>
      </c>
      <c r="N2912" t="inlineStr">
        <is>
          <t>3B⁰, 5A⁰, 45B³, 15B¹, 27B¹, 9C⁰, 1A⁰</t>
        </is>
      </c>
      <c r="O2912" t="inlineStr">
        <is>
          <t>270A²²</t>
        </is>
      </c>
    </row>
    <row r="2913">
      <c r="A2913">
        <f>HYPERLINK("https://mathstats.uncg.edu/sites/pauli/congruence/csg11.html#group135B11", "135B¹¹")</f>
        <v/>
      </c>
      <c r="B2913" t="n">
        <v>11</v>
      </c>
      <c r="C2913" t="inlineStr"/>
      <c r="D2913" t="inlineStr">
        <is>
          <t>216</t>
        </is>
      </c>
      <c r="E2913" t="inlineStr">
        <is>
          <t>1</t>
        </is>
      </c>
      <c r="F2913" t="inlineStr">
        <is>
          <t>72</t>
        </is>
      </c>
      <c r="G2913" t="inlineStr">
        <is>
          <t>0</t>
        </is>
      </c>
      <c r="H2913" t="inlineStr">
        <is>
          <t>0</t>
        </is>
      </c>
      <c r="I2913" t="inlineStr">
        <is>
          <t>1⁶, 3¹, 5⁶, 15¹, 27¹, 135¹</t>
        </is>
      </c>
      <c r="J2913" t="n">
        <v>16</v>
      </c>
      <c r="K2913" t="inlineStr">
        <is>
          <t>1⁴, 2⁴, 4², 6², 8², 24¹</t>
        </is>
      </c>
      <c r="L2913" t="inlineStr">
        <is>
          <t>27A⁰, 45D³</t>
        </is>
      </c>
      <c r="M2913" t="inlineStr">
        <is>
          <t>135A²¹</t>
        </is>
      </c>
      <c r="N2913" t="inlineStr">
        <is>
          <t>3B⁰, 15C¹, 5B⁰, 27A⁰, 45D³, 9B⁰, 1A⁰</t>
        </is>
      </c>
      <c r="O2913" t="inlineStr">
        <is>
          <t>135A²¹</t>
        </is>
      </c>
    </row>
    <row r="2914">
      <c r="A2914">
        <f>HYPERLINK("https://mathstats.uncg.edu/sites/pauli/congruence/csg11.html#group136A11", "136A¹¹")</f>
        <v/>
      </c>
      <c r="B2914" t="n">
        <v>11</v>
      </c>
      <c r="C2914" t="inlineStr"/>
      <c r="D2914" t="inlineStr">
        <is>
          <t>144</t>
        </is>
      </c>
      <c r="E2914" t="inlineStr">
        <is>
          <t>2</t>
        </is>
      </c>
      <c r="F2914" t="inlineStr">
        <is>
          <t>72</t>
        </is>
      </c>
      <c r="G2914" t="inlineStr">
        <is>
          <t>4</t>
        </is>
      </c>
      <c r="H2914" t="inlineStr">
        <is>
          <t>0</t>
        </is>
      </c>
      <c r="I2914" t="inlineStr">
        <is>
          <t>8¹, 136¹</t>
        </is>
      </c>
      <c r="J2914" t="n">
        <v>2</v>
      </c>
      <c r="K2914" t="inlineStr">
        <is>
          <t>4⁴, 64²</t>
        </is>
      </c>
      <c r="L2914" t="inlineStr">
        <is>
          <t>68A⁵</t>
        </is>
      </c>
      <c r="M2914" t="inlineStr">
        <is>
          <t>136C²¹, 136A²³, 136C²³</t>
        </is>
      </c>
      <c r="N2914" t="inlineStr">
        <is>
          <t>68A⁵, 1A⁰, 17A¹, 4A⁰</t>
        </is>
      </c>
      <c r="O2914" t="inlineStr">
        <is>
          <t>136A²³, 136C²¹, 136C²³</t>
        </is>
      </c>
    </row>
    <row r="2915">
      <c r="A2915">
        <f>HYPERLINK("https://mathstats.uncg.edu/sites/pauli/congruence/csg11.html#group136B11", "136B¹¹")</f>
        <v/>
      </c>
      <c r="B2915" t="n">
        <v>11</v>
      </c>
      <c r="C2915" t="inlineStr"/>
      <c r="D2915" t="inlineStr">
        <is>
          <t>144</t>
        </is>
      </c>
      <c r="E2915" t="inlineStr">
        <is>
          <t>2</t>
        </is>
      </c>
      <c r="F2915" t="inlineStr">
        <is>
          <t>72</t>
        </is>
      </c>
      <c r="G2915" t="inlineStr">
        <is>
          <t>4</t>
        </is>
      </c>
      <c r="H2915" t="inlineStr">
        <is>
          <t>0</t>
        </is>
      </c>
      <c r="I2915" t="inlineStr">
        <is>
          <t>8¹, 136¹</t>
        </is>
      </c>
      <c r="J2915" t="n">
        <v>2</v>
      </c>
      <c r="K2915" t="inlineStr">
        <is>
          <t>4⁴, 64²</t>
        </is>
      </c>
      <c r="L2915" t="inlineStr">
        <is>
          <t>8A⁰, 68A⁵</t>
        </is>
      </c>
      <c r="M2915" t="inlineStr">
        <is>
          <t>136C²¹, 136B²³, 136C²³, 272A²³, 272B²³</t>
        </is>
      </c>
      <c r="N2915" t="inlineStr">
        <is>
          <t>8A⁰, 68A⁵, 17A¹, 1A⁰, 4A⁰</t>
        </is>
      </c>
      <c r="O2915" t="inlineStr">
        <is>
          <t>272B²³, 136C²¹, 136B²³, 272A²³, 136C²³</t>
        </is>
      </c>
    </row>
    <row r="2916">
      <c r="A2916">
        <f>HYPERLINK("https://mathstats.uncg.edu/sites/pauli/congruence/csg11.html#group137A11", "137A¹¹")</f>
        <v/>
      </c>
      <c r="B2916" t="n">
        <v>11</v>
      </c>
      <c r="C2916" t="inlineStr">
        <is>
          <t>Γ₀(137)</t>
        </is>
      </c>
      <c r="D2916" t="inlineStr">
        <is>
          <t>138</t>
        </is>
      </c>
      <c r="E2916" t="inlineStr">
        <is>
          <t>1</t>
        </is>
      </c>
      <c r="F2916" t="inlineStr">
        <is>
          <t>138</t>
        </is>
      </c>
      <c r="G2916" t="inlineStr">
        <is>
          <t>2</t>
        </is>
      </c>
      <c r="H2916" t="inlineStr">
        <is>
          <t>0</t>
        </is>
      </c>
      <c r="I2916" t="inlineStr">
        <is>
          <t>1¹, 137¹</t>
        </is>
      </c>
      <c r="J2916" t="n">
        <v>2</v>
      </c>
      <c r="K2916" t="inlineStr">
        <is>
          <t>1², 136¹</t>
        </is>
      </c>
      <c r="L2916" t="inlineStr">
        <is>
          <t>1A⁰</t>
        </is>
      </c>
      <c r="M2916" t="inlineStr">
        <is>
          <t>137A²¹, 274A²³, 274B²³</t>
        </is>
      </c>
      <c r="N2916" t="inlineStr">
        <is>
          <t>1A⁰</t>
        </is>
      </c>
      <c r="O2916" t="inlineStr">
        <is>
          <t>274B²³, 274A²³, 137A²¹</t>
        </is>
      </c>
    </row>
    <row r="2917">
      <c r="A2917">
        <f>HYPERLINK("https://mathstats.uncg.edu/sites/pauli/congruence/csg11.html#group139A11", "139A¹¹")</f>
        <v/>
      </c>
      <c r="B2917" t="n">
        <v>11</v>
      </c>
      <c r="C2917" t="inlineStr">
        <is>
          <t>Γ₀(139)</t>
        </is>
      </c>
      <c r="D2917" t="inlineStr">
        <is>
          <t>140</t>
        </is>
      </c>
      <c r="E2917" t="inlineStr">
        <is>
          <t>1</t>
        </is>
      </c>
      <c r="F2917" t="inlineStr">
        <is>
          <t>140</t>
        </is>
      </c>
      <c r="G2917" t="inlineStr">
        <is>
          <t>0</t>
        </is>
      </c>
      <c r="H2917" t="inlineStr">
        <is>
          <t>2</t>
        </is>
      </c>
      <c r="I2917" t="inlineStr">
        <is>
          <t>1¹, 139¹</t>
        </is>
      </c>
      <c r="J2917" t="n">
        <v>2</v>
      </c>
      <c r="K2917" t="inlineStr">
        <is>
          <t>1², 138¹</t>
        </is>
      </c>
      <c r="L2917" t="inlineStr">
        <is>
          <t>1A⁰</t>
        </is>
      </c>
      <c r="M2917" t="inlineStr">
        <is>
          <t>278A²²</t>
        </is>
      </c>
      <c r="N2917" t="inlineStr">
        <is>
          <t>1A⁰</t>
        </is>
      </c>
      <c r="O2917" t="inlineStr">
        <is>
          <t>278A²²</t>
        </is>
      </c>
    </row>
    <row r="2918">
      <c r="A2918">
        <f>HYPERLINK("https://mathstats.uncg.edu/sites/pauli/congruence/csg11.html#group140A11", "140A¹¹")</f>
        <v/>
      </c>
      <c r="B2918" t="n">
        <v>11</v>
      </c>
      <c r="C2918" t="inlineStr"/>
      <c r="D2918" t="inlineStr">
        <is>
          <t>168</t>
        </is>
      </c>
      <c r="E2918" t="inlineStr">
        <is>
          <t>2</t>
        </is>
      </c>
      <c r="F2918" t="inlineStr">
        <is>
          <t>42</t>
        </is>
      </c>
      <c r="G2918" t="inlineStr">
        <is>
          <t>12</t>
        </is>
      </c>
      <c r="H2918" t="inlineStr">
        <is>
          <t>0</t>
        </is>
      </c>
      <c r="I2918" t="inlineStr">
        <is>
          <t>28¹, 140¹</t>
        </is>
      </c>
      <c r="J2918" t="n">
        <v>2</v>
      </c>
      <c r="K2918" t="inlineStr">
        <is>
          <t>4², 12⁴, 16¹, 48²</t>
        </is>
      </c>
      <c r="L2918" t="inlineStr">
        <is>
          <t>70C⁴</t>
        </is>
      </c>
      <c r="M2918" t="inlineStr">
        <is>
          <t>140E²³</t>
        </is>
      </c>
      <c r="N2918" t="inlineStr">
        <is>
          <t>35C², 5B⁰, 70C⁴, 1A⁰, 7A⁰, 10B⁰</t>
        </is>
      </c>
      <c r="O2918" t="inlineStr">
        <is>
          <t>140E²³</t>
        </is>
      </c>
    </row>
    <row r="2919">
      <c r="A2919">
        <f>HYPERLINK("https://mathstats.uncg.edu/sites/pauli/congruence/csg11.html#group140B11", "140B¹¹")</f>
        <v/>
      </c>
      <c r="B2919" t="n">
        <v>11</v>
      </c>
      <c r="C2919" t="inlineStr"/>
      <c r="D2919" t="inlineStr">
        <is>
          <t>168</t>
        </is>
      </c>
      <c r="E2919" t="inlineStr">
        <is>
          <t>2</t>
        </is>
      </c>
      <c r="F2919" t="inlineStr">
        <is>
          <t>42</t>
        </is>
      </c>
      <c r="G2919" t="inlineStr">
        <is>
          <t>12</t>
        </is>
      </c>
      <c r="H2919" t="inlineStr">
        <is>
          <t>0</t>
        </is>
      </c>
      <c r="I2919" t="inlineStr">
        <is>
          <t>28¹, 140¹</t>
        </is>
      </c>
      <c r="J2919" t="n">
        <v>2</v>
      </c>
      <c r="K2919" t="inlineStr">
        <is>
          <t>4², 12⁴, 16¹, 48²</t>
        </is>
      </c>
      <c r="L2919" t="inlineStr">
        <is>
          <t>70C⁴</t>
        </is>
      </c>
      <c r="M2919" t="inlineStr">
        <is>
          <t>140F²³</t>
        </is>
      </c>
      <c r="N2919" t="inlineStr">
        <is>
          <t>35C², 5B⁰, 70C⁴, 1A⁰, 7A⁰, 10B⁰</t>
        </is>
      </c>
      <c r="O2919" t="inlineStr">
        <is>
          <t>140F²³</t>
        </is>
      </c>
    </row>
    <row r="2920">
      <c r="A2920">
        <f>HYPERLINK("https://mathstats.uncg.edu/sites/pauli/congruence/csg11.html#group140C11", "140C¹¹")</f>
        <v/>
      </c>
      <c r="B2920" t="n">
        <v>11</v>
      </c>
      <c r="C2920" t="inlineStr"/>
      <c r="D2920" t="inlineStr">
        <is>
          <t>168</t>
        </is>
      </c>
      <c r="E2920" t="inlineStr">
        <is>
          <t>2</t>
        </is>
      </c>
      <c r="F2920" t="inlineStr">
        <is>
          <t>42</t>
        </is>
      </c>
      <c r="G2920" t="inlineStr">
        <is>
          <t>12</t>
        </is>
      </c>
      <c r="H2920" t="inlineStr">
        <is>
          <t>0</t>
        </is>
      </c>
      <c r="I2920" t="inlineStr">
        <is>
          <t>28¹, 140¹</t>
        </is>
      </c>
      <c r="J2920" t="n">
        <v>2</v>
      </c>
      <c r="K2920" t="inlineStr">
        <is>
          <t>4², 12⁴, 16¹, 48²</t>
        </is>
      </c>
      <c r="L2920" t="inlineStr">
        <is>
          <t>20C¹, 70C⁴</t>
        </is>
      </c>
      <c r="M2920" t="inlineStr">
        <is>
          <t>140E²³</t>
        </is>
      </c>
      <c r="N2920" t="inlineStr">
        <is>
          <t>35C², 5B⁰, 20C¹, 70C⁴, 1A⁰, 7A⁰, 10B⁰</t>
        </is>
      </c>
      <c r="O2920" t="inlineStr">
        <is>
          <t>140E²³</t>
        </is>
      </c>
    </row>
    <row r="2921">
      <c r="A2921">
        <f>HYPERLINK("https://mathstats.uncg.edu/sites/pauli/congruence/csg11.html#group140D11", "140D¹¹")</f>
        <v/>
      </c>
      <c r="B2921" t="n">
        <v>11</v>
      </c>
      <c r="C2921" t="inlineStr"/>
      <c r="D2921" t="inlineStr">
        <is>
          <t>168</t>
        </is>
      </c>
      <c r="E2921" t="inlineStr">
        <is>
          <t>2</t>
        </is>
      </c>
      <c r="F2921" t="inlineStr">
        <is>
          <t>42</t>
        </is>
      </c>
      <c r="G2921" t="inlineStr">
        <is>
          <t>12</t>
        </is>
      </c>
      <c r="H2921" t="inlineStr">
        <is>
          <t>0</t>
        </is>
      </c>
      <c r="I2921" t="inlineStr">
        <is>
          <t>28¹, 140¹</t>
        </is>
      </c>
      <c r="J2921" t="n">
        <v>2</v>
      </c>
      <c r="K2921" t="inlineStr">
        <is>
          <t>4², 12⁴, 16¹, 48²</t>
        </is>
      </c>
      <c r="L2921" t="inlineStr">
        <is>
          <t>20C¹, 70C⁴</t>
        </is>
      </c>
      <c r="M2921" t="inlineStr">
        <is>
          <t>140F²³</t>
        </is>
      </c>
      <c r="N2921" t="inlineStr">
        <is>
          <t>35C², 5B⁰, 20C¹, 70C⁴, 1A⁰, 7A⁰, 10B⁰</t>
        </is>
      </c>
      <c r="O2921" t="inlineStr">
        <is>
          <t>140F²³</t>
        </is>
      </c>
    </row>
    <row r="2922">
      <c r="A2922">
        <f>HYPERLINK("https://mathstats.uncg.edu/sites/pauli/congruence/csg11.html#group140E11", "140E¹¹")</f>
        <v/>
      </c>
      <c r="B2922" t="n">
        <v>11</v>
      </c>
      <c r="C2922" t="inlineStr"/>
      <c r="D2922" t="inlineStr">
        <is>
          <t>168</t>
        </is>
      </c>
      <c r="E2922" t="inlineStr">
        <is>
          <t>2</t>
        </is>
      </c>
      <c r="F2922" t="inlineStr">
        <is>
          <t>168</t>
        </is>
      </c>
      <c r="G2922" t="inlineStr">
        <is>
          <t>12</t>
        </is>
      </c>
      <c r="H2922" t="inlineStr">
        <is>
          <t>0</t>
        </is>
      </c>
      <c r="I2922" t="inlineStr">
        <is>
          <t>28¹, 140¹</t>
        </is>
      </c>
      <c r="J2922" t="n">
        <v>2</v>
      </c>
      <c r="K2922" t="inlineStr">
        <is>
          <t>4⁴, 12⁸, 16², 48⁴</t>
        </is>
      </c>
      <c r="L2922" t="inlineStr">
        <is>
          <t>20B¹, 28A¹, 35C²</t>
        </is>
      </c>
      <c r="M2922" t="inlineStr">
        <is>
          <t>140D²¹, 140G²³, 140H²³</t>
        </is>
      </c>
      <c r="N2922" t="inlineStr">
        <is>
          <t>35C², 4A⁰, 5B⁰, 28A¹, 1A⁰, 20B¹, 7A⁰</t>
        </is>
      </c>
      <c r="O2922" t="inlineStr">
        <is>
          <t>140D²¹, 140G²³, 140H²³</t>
        </is>
      </c>
    </row>
    <row r="2923">
      <c r="A2923">
        <f>HYPERLINK("https://mathstats.uncg.edu/sites/pauli/congruence/csg11.html#group146A11", "146A¹¹")</f>
        <v/>
      </c>
      <c r="B2923" t="n">
        <v>11</v>
      </c>
      <c r="C2923" t="inlineStr"/>
      <c r="D2923" t="inlineStr">
        <is>
          <t>148</t>
        </is>
      </c>
      <c r="E2923" t="inlineStr">
        <is>
          <t>1</t>
        </is>
      </c>
      <c r="F2923" t="inlineStr">
        <is>
          <t>74</t>
        </is>
      </c>
      <c r="G2923" t="inlineStr">
        <is>
          <t>0</t>
        </is>
      </c>
      <c r="H2923" t="inlineStr">
        <is>
          <t>4</t>
        </is>
      </c>
      <c r="I2923" t="inlineStr">
        <is>
          <t>2¹, 146¹</t>
        </is>
      </c>
      <c r="J2923" t="n">
        <v>2</v>
      </c>
      <c r="K2923" t="inlineStr">
        <is>
          <t>1², 72¹</t>
        </is>
      </c>
      <c r="L2923" t="inlineStr">
        <is>
          <t>73A⁵</t>
        </is>
      </c>
      <c r="M2923" t="inlineStr">
        <is>
          <t>146A²¹</t>
        </is>
      </c>
      <c r="N2923" t="inlineStr">
        <is>
          <t>1A⁰, 73A⁵</t>
        </is>
      </c>
      <c r="O2923" t="inlineStr">
        <is>
          <t>146A²¹</t>
        </is>
      </c>
    </row>
    <row r="2924">
      <c r="A2924">
        <f>HYPERLINK("https://mathstats.uncg.edu/sites/pauli/congruence/csg11.html#group146B11", "146B¹¹")</f>
        <v/>
      </c>
      <c r="B2924" t="n">
        <v>11</v>
      </c>
      <c r="C2924" t="inlineStr"/>
      <c r="D2924" t="inlineStr">
        <is>
          <t>148</t>
        </is>
      </c>
      <c r="E2924" t="inlineStr">
        <is>
          <t>1</t>
        </is>
      </c>
      <c r="F2924" t="inlineStr">
        <is>
          <t>74</t>
        </is>
      </c>
      <c r="G2924" t="inlineStr">
        <is>
          <t>0</t>
        </is>
      </c>
      <c r="H2924" t="inlineStr">
        <is>
          <t>4</t>
        </is>
      </c>
      <c r="I2924" t="inlineStr">
        <is>
          <t>2¹, 146¹</t>
        </is>
      </c>
      <c r="J2924" t="n">
        <v>2</v>
      </c>
      <c r="K2924" t="inlineStr">
        <is>
          <t>1², 72¹</t>
        </is>
      </c>
      <c r="L2924" t="inlineStr">
        <is>
          <t>2A⁰, 73A⁵</t>
        </is>
      </c>
      <c r="M2924" t="inlineStr">
        <is>
          <t>146A²¹</t>
        </is>
      </c>
      <c r="N2924" t="inlineStr">
        <is>
          <t>2A⁰, 1A⁰, 73A⁵</t>
        </is>
      </c>
      <c r="O2924" t="inlineStr">
        <is>
          <t>146A²¹</t>
        </is>
      </c>
    </row>
    <row r="2925">
      <c r="A2925">
        <f>HYPERLINK("https://mathstats.uncg.edu/sites/pauli/congruence/csg11.html#group147A11", "147A¹¹")</f>
        <v/>
      </c>
      <c r="B2925" t="n">
        <v>11</v>
      </c>
      <c r="C2925" t="inlineStr"/>
      <c r="D2925" t="inlineStr">
        <is>
          <t>168</t>
        </is>
      </c>
      <c r="E2925" t="inlineStr">
        <is>
          <t>1</t>
        </is>
      </c>
      <c r="F2925" t="inlineStr">
        <is>
          <t>56</t>
        </is>
      </c>
      <c r="G2925" t="inlineStr">
        <is>
          <t>0</t>
        </is>
      </c>
      <c r="H2925" t="inlineStr">
        <is>
          <t>0</t>
        </is>
      </c>
      <c r="I2925" t="inlineStr">
        <is>
          <t>3⁷, 147¹</t>
        </is>
      </c>
      <c r="J2925" t="n">
        <v>8</v>
      </c>
      <c r="K2925" t="inlineStr">
        <is>
          <t>1², 6², 42¹</t>
        </is>
      </c>
      <c r="L2925" t="inlineStr">
        <is>
          <t>49A¹, 21A²</t>
        </is>
      </c>
      <c r="M2925" t="inlineStr">
        <is>
          <t>147A²¹</t>
        </is>
      </c>
      <c r="N2925" t="inlineStr">
        <is>
          <t>49A¹, 21A², 3A⁰, 1A⁰, 7B⁰</t>
        </is>
      </c>
      <c r="O2925" t="inlineStr">
        <is>
          <t>147A²¹</t>
        </is>
      </c>
    </row>
    <row r="2926">
      <c r="A2926">
        <f>HYPERLINK("https://mathstats.uncg.edu/sites/pauli/congruence/csg11.html#group147B11", "147B¹¹")</f>
        <v/>
      </c>
      <c r="B2926" t="n">
        <v>11</v>
      </c>
      <c r="C2926" t="inlineStr">
        <is>
          <t>Γ₀(147)</t>
        </is>
      </c>
      <c r="D2926" t="inlineStr">
        <is>
          <t>224</t>
        </is>
      </c>
      <c r="E2926" t="inlineStr">
        <is>
          <t>1</t>
        </is>
      </c>
      <c r="F2926" t="inlineStr">
        <is>
          <t>224</t>
        </is>
      </c>
      <c r="G2926" t="inlineStr">
        <is>
          <t>0</t>
        </is>
      </c>
      <c r="H2926" t="inlineStr">
        <is>
          <t>2</t>
        </is>
      </c>
      <c r="I2926" t="inlineStr">
        <is>
          <t>1⁷, 3⁷, 49¹, 147¹</t>
        </is>
      </c>
      <c r="J2926" t="n">
        <v>16</v>
      </c>
      <c r="K2926" t="inlineStr">
        <is>
          <t>1⁴, 2², 6⁴, 12², 42², 84¹</t>
        </is>
      </c>
      <c r="L2926" t="inlineStr">
        <is>
          <t>21B¹, 49A¹</t>
        </is>
      </c>
      <c r="M2926" t="inlineStr">
        <is>
          <t>147B²¹</t>
        </is>
      </c>
      <c r="N2926" t="inlineStr">
        <is>
          <t>49A¹, 3B⁰, 21B¹, 1A⁰, 7B⁰</t>
        </is>
      </c>
      <c r="O2926" t="inlineStr">
        <is>
          <t>147B²¹</t>
        </is>
      </c>
    </row>
    <row r="2927">
      <c r="A2927">
        <f>HYPERLINK("https://mathstats.uncg.edu/sites/pauli/congruence/csg11.html#group148A11", "148A¹¹")</f>
        <v/>
      </c>
      <c r="B2927" t="n">
        <v>11</v>
      </c>
      <c r="C2927" t="inlineStr"/>
      <c r="D2927" t="inlineStr">
        <is>
          <t>152</t>
        </is>
      </c>
      <c r="E2927" t="inlineStr">
        <is>
          <t>1</t>
        </is>
      </c>
      <c r="F2927" t="inlineStr">
        <is>
          <t>152</t>
        </is>
      </c>
      <c r="G2927" t="inlineStr">
        <is>
          <t>4</t>
        </is>
      </c>
      <c r="H2927" t="inlineStr">
        <is>
          <t>2</t>
        </is>
      </c>
      <c r="I2927" t="inlineStr">
        <is>
          <t>4¹, 148¹</t>
        </is>
      </c>
      <c r="J2927" t="n">
        <v>2</v>
      </c>
      <c r="K2927" t="inlineStr">
        <is>
          <t>2⁴, 72²</t>
        </is>
      </c>
      <c r="L2927" t="inlineStr">
        <is>
          <t>4A⁰, 37A²</t>
        </is>
      </c>
      <c r="M2927" t="inlineStr">
        <is>
          <t>148A²¹, 148A²³, 148B²³, 296A²³, 296B²³</t>
        </is>
      </c>
      <c r="N2927" t="inlineStr">
        <is>
          <t>37A², 1A⁰, 4A⁰</t>
        </is>
      </c>
      <c r="O2927" t="inlineStr">
        <is>
          <t>296A²³, 296B²³, 148B²³, 148A²³, 148A²¹</t>
        </is>
      </c>
    </row>
    <row r="2928">
      <c r="A2928">
        <f>HYPERLINK("https://mathstats.uncg.edu/sites/pauli/congruence/csg11.html#group150A11", "150A¹¹")</f>
        <v/>
      </c>
      <c r="B2928" t="n">
        <v>11</v>
      </c>
      <c r="C2928" t="inlineStr"/>
      <c r="D2928" t="inlineStr">
        <is>
          <t>180</t>
        </is>
      </c>
      <c r="E2928" t="inlineStr">
        <is>
          <t>1</t>
        </is>
      </c>
      <c r="F2928" t="inlineStr">
        <is>
          <t>90</t>
        </is>
      </c>
      <c r="G2928" t="inlineStr">
        <is>
          <t>8</t>
        </is>
      </c>
      <c r="H2928" t="inlineStr">
        <is>
          <t>0</t>
        </is>
      </c>
      <c r="I2928" t="inlineStr">
        <is>
          <t>6⁵, 150¹</t>
        </is>
      </c>
      <c r="J2928" t="n">
        <v>6</v>
      </c>
      <c r="K2928" t="inlineStr">
        <is>
          <t>1², 2², 4², 8², 20¹, 40¹</t>
        </is>
      </c>
      <c r="L2928" t="inlineStr">
        <is>
          <t>30C¹, 75A⁴</t>
        </is>
      </c>
      <c r="M2928" t="inlineStr">
        <is>
          <t>150A²¹, 150B²³, 150D²³</t>
        </is>
      </c>
      <c r="N2928" t="inlineStr">
        <is>
          <t>15B⁰, 6B⁰, 5B⁰, 25A⁰, 75A⁴, 3A⁰, 1A⁰, 30C¹</t>
        </is>
      </c>
      <c r="O2928" t="inlineStr">
        <is>
          <t>150D²³, 150B²³, 150A²¹</t>
        </is>
      </c>
    </row>
    <row r="2929">
      <c r="A2929">
        <f>HYPERLINK("https://mathstats.uncg.edu/sites/pauli/congruence/csg11.html#group153A11", "153A¹¹")</f>
        <v/>
      </c>
      <c r="B2929" t="n">
        <v>11</v>
      </c>
      <c r="C2929" t="inlineStr"/>
      <c r="D2929" t="inlineStr">
        <is>
          <t>162</t>
        </is>
      </c>
      <c r="E2929" t="inlineStr">
        <is>
          <t>1</t>
        </is>
      </c>
      <c r="F2929" t="inlineStr">
        <is>
          <t>162</t>
        </is>
      </c>
      <c r="G2929" t="inlineStr">
        <is>
          <t>10</t>
        </is>
      </c>
      <c r="H2929" t="inlineStr">
        <is>
          <t>0</t>
        </is>
      </c>
      <c r="I2929" t="inlineStr">
        <is>
          <t>9¹, 153¹</t>
        </is>
      </c>
      <c r="J2929" t="n">
        <v>2</v>
      </c>
      <c r="K2929" t="inlineStr">
        <is>
          <t>1², 2², 6², 16¹, 32¹, 96¹</t>
        </is>
      </c>
      <c r="L2929" t="inlineStr">
        <is>
          <t>9A⁰, 51A³</t>
        </is>
      </c>
      <c r="M2929" t="inlineStr">
        <is>
          <t>153A²¹, 153A²³, 153B²³, 306A²³, 306B²³</t>
        </is>
      </c>
      <c r="N2929" t="inlineStr">
        <is>
          <t>1A⁰, 17A¹, 3A⁰, 51A³, 9A⁰</t>
        </is>
      </c>
      <c r="O2929" t="inlineStr">
        <is>
          <t>153A²¹, 153A²³, 153B²³, 306B²³, 306A²³</t>
        </is>
      </c>
    </row>
    <row r="2930">
      <c r="A2930">
        <f>HYPERLINK("https://mathstats.uncg.edu/sites/pauli/congruence/csg11.html#group156A11", "156A¹¹")</f>
        <v/>
      </c>
      <c r="B2930" t="n">
        <v>11</v>
      </c>
      <c r="C2930" t="inlineStr"/>
      <c r="D2930" t="inlineStr">
        <is>
          <t>168</t>
        </is>
      </c>
      <c r="E2930" t="inlineStr">
        <is>
          <t>1</t>
        </is>
      </c>
      <c r="F2930" t="inlineStr">
        <is>
          <t>56</t>
        </is>
      </c>
      <c r="G2930" t="inlineStr">
        <is>
          <t>12</t>
        </is>
      </c>
      <c r="H2930" t="inlineStr">
        <is>
          <t>0</t>
        </is>
      </c>
      <c r="I2930" t="inlineStr">
        <is>
          <t>12¹, 156¹</t>
        </is>
      </c>
      <c r="J2930" t="n">
        <v>2</v>
      </c>
      <c r="K2930" t="inlineStr">
        <is>
          <t>2⁴, 24²</t>
        </is>
      </c>
      <c r="L2930" t="inlineStr">
        <is>
          <t>12A⁰, 39A², 52A³</t>
        </is>
      </c>
      <c r="M2930" t="inlineStr">
        <is>
          <t>156A²¹, 156E²³, 156F²³</t>
        </is>
      </c>
      <c r="N2930" t="inlineStr">
        <is>
          <t>39A², 12A⁰, 52A³, 4A⁰, 13A⁰, 3A⁰, 1A⁰</t>
        </is>
      </c>
      <c r="O2930" t="inlineStr">
        <is>
          <t>156A²¹, 156F²³, 156E²³</t>
        </is>
      </c>
    </row>
    <row r="2931">
      <c r="A2931">
        <f>HYPERLINK("https://mathstats.uncg.edu/sites/pauli/congruence/csg11.html#group156B11", "156B¹¹")</f>
        <v/>
      </c>
      <c r="B2931" t="n">
        <v>11</v>
      </c>
      <c r="C2931" t="inlineStr"/>
      <c r="D2931" t="inlineStr">
        <is>
          <t>168</t>
        </is>
      </c>
      <c r="E2931" t="inlineStr">
        <is>
          <t>2</t>
        </is>
      </c>
      <c r="F2931" t="inlineStr">
        <is>
          <t>14</t>
        </is>
      </c>
      <c r="G2931" t="inlineStr">
        <is>
          <t>12</t>
        </is>
      </c>
      <c r="H2931" t="inlineStr">
        <is>
          <t>0</t>
        </is>
      </c>
      <c r="I2931" t="inlineStr">
        <is>
          <t>12¹, 156¹</t>
        </is>
      </c>
      <c r="J2931" t="n">
        <v>2</v>
      </c>
      <c r="K2931" t="inlineStr">
        <is>
          <t>2², 24¹</t>
        </is>
      </c>
      <c r="L2931" t="inlineStr">
        <is>
          <t>52A¹, 78A⁴</t>
        </is>
      </c>
      <c r="M2931" t="inlineStr">
        <is>
          <t>156H²³</t>
        </is>
      </c>
      <c r="N2931" t="inlineStr">
        <is>
          <t>39A², 78A⁴, 3A⁰, 13A⁰, 26A⁰, 52A¹, 1A⁰</t>
        </is>
      </c>
      <c r="O2931" t="inlineStr">
        <is>
          <t>156H²³</t>
        </is>
      </c>
    </row>
    <row r="2932">
      <c r="A2932">
        <f>HYPERLINK("https://mathstats.uncg.edu/sites/pauli/congruence/csg11.html#group156C11", "156C¹¹")</f>
        <v/>
      </c>
      <c r="B2932" t="n">
        <v>11</v>
      </c>
      <c r="C2932" t="inlineStr"/>
      <c r="D2932" t="inlineStr">
        <is>
          <t>168</t>
        </is>
      </c>
      <c r="E2932" t="inlineStr">
        <is>
          <t>2</t>
        </is>
      </c>
      <c r="F2932" t="inlineStr">
        <is>
          <t>42</t>
        </is>
      </c>
      <c r="G2932" t="inlineStr">
        <is>
          <t>12</t>
        </is>
      </c>
      <c r="H2932" t="inlineStr">
        <is>
          <t>0</t>
        </is>
      </c>
      <c r="I2932" t="inlineStr">
        <is>
          <t>12¹, 156¹</t>
        </is>
      </c>
      <c r="J2932" t="n">
        <v>2</v>
      </c>
      <c r="K2932" t="inlineStr">
        <is>
          <t>2², 4², 24¹, 48¹</t>
        </is>
      </c>
      <c r="L2932" t="inlineStr">
        <is>
          <t>78A⁴</t>
        </is>
      </c>
      <c r="M2932" t="inlineStr">
        <is>
          <t>156A²³, 156B²³, 156H²³</t>
        </is>
      </c>
      <c r="N2932" t="inlineStr">
        <is>
          <t>13A⁰, 39A², 78A⁴, 26A⁰, 3A⁰, 1A⁰</t>
        </is>
      </c>
      <c r="O2932" t="inlineStr">
        <is>
          <t>156B²³, 156A²³, 156H²³</t>
        </is>
      </c>
    </row>
    <row r="2933">
      <c r="A2933">
        <f>HYPERLINK("https://mathstats.uncg.edu/sites/pauli/congruence/csg11.html#group176A11", "176A¹¹")</f>
        <v/>
      </c>
      <c r="B2933" t="n">
        <v>11</v>
      </c>
      <c r="C2933" t="inlineStr"/>
      <c r="D2933" t="inlineStr">
        <is>
          <t>176</t>
        </is>
      </c>
      <c r="E2933" t="inlineStr">
        <is>
          <t>2</t>
        </is>
      </c>
      <c r="F2933" t="inlineStr">
        <is>
          <t>88</t>
        </is>
      </c>
      <c r="G2933" t="inlineStr">
        <is>
          <t>6</t>
        </is>
      </c>
      <c r="H2933" t="inlineStr">
        <is>
          <t>8</t>
        </is>
      </c>
      <c r="I2933" t="inlineStr">
        <is>
          <t>176¹</t>
        </is>
      </c>
      <c r="J2933" t="n">
        <v>1</v>
      </c>
      <c r="K2933" t="inlineStr">
        <is>
          <t>16², 80⁴</t>
        </is>
      </c>
      <c r="L2933" t="inlineStr">
        <is>
          <t>16A⁰, 88A⁵</t>
        </is>
      </c>
      <c r="M2933" t="inlineStr">
        <is>
          <t>176A²⁴</t>
        </is>
      </c>
      <c r="N2933" t="inlineStr">
        <is>
          <t>11A⁰, 16A⁰, 44A², 4A⁰, 8A⁰, 88A⁵, 1A⁰</t>
        </is>
      </c>
      <c r="O2933" t="inlineStr">
        <is>
          <t>176A²⁴</t>
        </is>
      </c>
    </row>
    <row r="2934">
      <c r="A2934">
        <f>HYPERLINK("https://mathstats.uncg.edu/sites/pauli/congruence/csg11.html#group176B11", "176B¹¹")</f>
        <v/>
      </c>
      <c r="B2934" t="n">
        <v>11</v>
      </c>
      <c r="C2934" t="inlineStr"/>
      <c r="D2934" t="inlineStr">
        <is>
          <t>176</t>
        </is>
      </c>
      <c r="E2934" t="inlineStr">
        <is>
          <t>2</t>
        </is>
      </c>
      <c r="F2934" t="inlineStr">
        <is>
          <t>88</t>
        </is>
      </c>
      <c r="G2934" t="inlineStr">
        <is>
          <t>6</t>
        </is>
      </c>
      <c r="H2934" t="inlineStr">
        <is>
          <t>8</t>
        </is>
      </c>
      <c r="I2934" t="inlineStr">
        <is>
          <t>176¹</t>
        </is>
      </c>
      <c r="J2934" t="n">
        <v>1</v>
      </c>
      <c r="K2934" t="inlineStr">
        <is>
          <t>16², 80⁴</t>
        </is>
      </c>
      <c r="L2934" t="inlineStr">
        <is>
          <t>16A⁰, 88B⁵</t>
        </is>
      </c>
      <c r="M2934" t="inlineStr">
        <is>
          <t>176A²⁴</t>
        </is>
      </c>
      <c r="N2934" t="inlineStr">
        <is>
          <t>8A⁰, 11A⁰, 88B⁵, 16A⁰, 44A², 1A⁰, 4A⁰</t>
        </is>
      </c>
      <c r="O2934" t="inlineStr">
        <is>
          <t>176A²⁴</t>
        </is>
      </c>
    </row>
    <row r="2935">
      <c r="A2935">
        <f>HYPERLINK("https://mathstats.uncg.edu/sites/pauli/congruence/csg11.html#group198A11", "198A¹¹")</f>
        <v/>
      </c>
      <c r="B2935" t="n">
        <v>11</v>
      </c>
      <c r="C2935" t="inlineStr"/>
      <c r="D2935" t="inlineStr">
        <is>
          <t>198</t>
        </is>
      </c>
      <c r="E2935" t="inlineStr">
        <is>
          <t>2</t>
        </is>
      </c>
      <c r="F2935" t="inlineStr">
        <is>
          <t>99</t>
        </is>
      </c>
      <c r="G2935" t="inlineStr">
        <is>
          <t>24</t>
        </is>
      </c>
      <c r="H2935" t="inlineStr">
        <is>
          <t>0</t>
        </is>
      </c>
      <c r="I2935" t="inlineStr">
        <is>
          <t>198¹</t>
        </is>
      </c>
      <c r="J2935" t="n">
        <v>1</v>
      </c>
      <c r="K2935" t="inlineStr">
        <is>
          <t>4³, 12², 20⁶, 60⁴</t>
        </is>
      </c>
      <c r="L2935" t="inlineStr">
        <is>
          <t>18A⁰, 66A³, 99A⁵</t>
        </is>
      </c>
      <c r="M2935" t="inlineStr">
        <is>
          <t>198A²⁴</t>
        </is>
      </c>
      <c r="N2935" t="inlineStr">
        <is>
          <t>11A⁰, 6B⁰, 66A³, 33A¹, 9A⁰, 99A⁵, 3A⁰, 1A⁰, 18A⁰</t>
        </is>
      </c>
      <c r="O2935" t="inlineStr">
        <is>
          <t>198A²⁴</t>
        </is>
      </c>
    </row>
    <row r="2936">
      <c r="A2936">
        <f>HYPERLINK("https://mathstats.uncg.edu/sites/pauli/congruence/csg11.html#group198B11", "198B¹¹")</f>
        <v/>
      </c>
      <c r="B2936" t="n">
        <v>11</v>
      </c>
      <c r="C2936" t="inlineStr"/>
      <c r="D2936" t="inlineStr">
        <is>
          <t>198</t>
        </is>
      </c>
      <c r="E2936" t="inlineStr">
        <is>
          <t>2</t>
        </is>
      </c>
      <c r="F2936" t="inlineStr">
        <is>
          <t>99</t>
        </is>
      </c>
      <c r="G2936" t="inlineStr">
        <is>
          <t>24</t>
        </is>
      </c>
      <c r="H2936" t="inlineStr">
        <is>
          <t>0</t>
        </is>
      </c>
      <c r="I2936" t="inlineStr">
        <is>
          <t>198¹</t>
        </is>
      </c>
      <c r="J2936" t="n">
        <v>1</v>
      </c>
      <c r="K2936" t="inlineStr">
        <is>
          <t>4³, 12², 20⁶, 60⁴</t>
        </is>
      </c>
      <c r="L2936" t="inlineStr">
        <is>
          <t>18A⁰, 66A³, 99A⁵</t>
        </is>
      </c>
      <c r="M2936" t="inlineStr">
        <is>
          <t>198A²⁴</t>
        </is>
      </c>
      <c r="N2936" t="inlineStr">
        <is>
          <t>11A⁰, 6B⁰, 66A³, 33A¹, 9A⁰, 99A⁵, 3A⁰, 1A⁰, 18A⁰</t>
        </is>
      </c>
      <c r="O2936" t="inlineStr">
        <is>
          <t>198A²⁴</t>
        </is>
      </c>
    </row>
    <row r="2937">
      <c r="A2937">
        <f>HYPERLINK("https://mathstats.uncg.edu/sites/pauli/congruence/csg12.html#group11A12", "11A¹²")</f>
        <v/>
      </c>
      <c r="B2937" t="n">
        <v>12</v>
      </c>
      <c r="C2937" t="inlineStr"/>
      <c r="D2937" t="inlineStr">
        <is>
          <t>330</t>
        </is>
      </c>
      <c r="E2937" t="inlineStr">
        <is>
          <t>1</t>
        </is>
      </c>
      <c r="F2937" t="inlineStr">
        <is>
          <t>55</t>
        </is>
      </c>
      <c r="G2937" t="inlineStr">
        <is>
          <t>6</t>
        </is>
      </c>
      <c r="H2937" t="inlineStr">
        <is>
          <t>0</t>
        </is>
      </c>
      <c r="I2937" t="inlineStr">
        <is>
          <t>11³⁰</t>
        </is>
      </c>
      <c r="J2937" t="n">
        <v>30</v>
      </c>
      <c r="K2937" t="inlineStr">
        <is>
          <t>5¹, 10⁵</t>
        </is>
      </c>
      <c r="L2937" t="inlineStr">
        <is>
          <t>11A², 11A³, 11A⁴, 11A⁵</t>
        </is>
      </c>
      <c r="M2937" t="inlineStr"/>
      <c r="N2937" t="inlineStr">
        <is>
          <t>11A⁰, 11C¹, 11A⁴, 11A⁵, 11A³, 11B¹, 1A⁰, 11A²</t>
        </is>
      </c>
      <c r="O2937" t="inlineStr"/>
    </row>
    <row r="2938">
      <c r="A2938">
        <f>HYPERLINK("https://mathstats.uncg.edu/sites/pauli/congruence/csg12.html#group15A12", "15A¹²")</f>
        <v/>
      </c>
      <c r="B2938" t="n">
        <v>12</v>
      </c>
      <c r="C2938" t="inlineStr"/>
      <c r="D2938" t="inlineStr">
        <is>
          <t>240</t>
        </is>
      </c>
      <c r="E2938" t="inlineStr">
        <is>
          <t>1</t>
        </is>
      </c>
      <c r="F2938" t="inlineStr">
        <is>
          <t>80</t>
        </is>
      </c>
      <c r="G2938" t="inlineStr">
        <is>
          <t>0</t>
        </is>
      </c>
      <c r="H2938" t="inlineStr">
        <is>
          <t>3</t>
        </is>
      </c>
      <c r="I2938" t="inlineStr">
        <is>
          <t>15¹⁶</t>
        </is>
      </c>
      <c r="J2938" t="n">
        <v>16</v>
      </c>
      <c r="K2938" t="inlineStr">
        <is>
          <t>4², 8⁹</t>
        </is>
      </c>
      <c r="L2938" t="inlineStr">
        <is>
          <t>15E², 15B³, 15D³, 15G³</t>
        </is>
      </c>
      <c r="M2938" t="inlineStr">
        <is>
          <t>15A²³</t>
        </is>
      </c>
      <c r="N2938" t="inlineStr">
        <is>
          <t>3B⁰, 15E², 5A⁰, 15D³, 5C⁰, 15G³, 15B¹, 5F⁰, 15B³, 15C², 1A⁰, 15A⁰</t>
        </is>
      </c>
      <c r="O2938" t="inlineStr">
        <is>
          <t>15A²³</t>
        </is>
      </c>
    </row>
    <row r="2939">
      <c r="A2939">
        <f>HYPERLINK("https://mathstats.uncg.edu/sites/pauli/congruence/csg12.html#group20A12", "20A¹²")</f>
        <v/>
      </c>
      <c r="B2939" t="n">
        <v>12</v>
      </c>
      <c r="C2939" t="inlineStr"/>
      <c r="D2939" t="inlineStr">
        <is>
          <t>240</t>
        </is>
      </c>
      <c r="E2939" t="inlineStr">
        <is>
          <t>1</t>
        </is>
      </c>
      <c r="F2939" t="inlineStr">
        <is>
          <t>240</t>
        </is>
      </c>
      <c r="G2939" t="inlineStr">
        <is>
          <t>8</t>
        </is>
      </c>
      <c r="H2939" t="inlineStr">
        <is>
          <t>3</t>
        </is>
      </c>
      <c r="I2939" t="inlineStr">
        <is>
          <t>20¹²</t>
        </is>
      </c>
      <c r="J2939" t="n">
        <v>12</v>
      </c>
      <c r="K2939" t="inlineStr">
        <is>
          <t>8³⁰</t>
        </is>
      </c>
      <c r="L2939" t="inlineStr">
        <is>
          <t>10J¹, 20O³</t>
        </is>
      </c>
      <c r="M2939" t="inlineStr"/>
      <c r="N2939" t="inlineStr">
        <is>
          <t>20E², 10J¹, 20O³, 1A⁰, 4A⁰, 10D⁰, 5C⁰</t>
        </is>
      </c>
      <c r="O2939" t="inlineStr"/>
    </row>
    <row r="2940">
      <c r="A2940">
        <f>HYPERLINK("https://mathstats.uncg.edu/sites/pauli/congruence/csg12.html#group21A12", "21A¹²")</f>
        <v/>
      </c>
      <c r="B2940" t="n">
        <v>12</v>
      </c>
      <c r="C2940" t="inlineStr"/>
      <c r="D2940" t="inlineStr">
        <is>
          <t>252</t>
        </is>
      </c>
      <c r="E2940" t="inlineStr">
        <is>
          <t>1</t>
        </is>
      </c>
      <c r="F2940" t="inlineStr">
        <is>
          <t>63</t>
        </is>
      </c>
      <c r="G2940" t="inlineStr">
        <is>
          <t>16</t>
        </is>
      </c>
      <c r="H2940" t="inlineStr">
        <is>
          <t>0</t>
        </is>
      </c>
      <c r="I2940" t="inlineStr">
        <is>
          <t>21¹²</t>
        </is>
      </c>
      <c r="J2940" t="n">
        <v>12</v>
      </c>
      <c r="K2940" t="inlineStr">
        <is>
          <t>3¹, 6⁴, 12³</t>
        </is>
      </c>
      <c r="L2940" t="inlineStr">
        <is>
          <t>21D⁴, 21C⁶</t>
        </is>
      </c>
      <c r="M2940" t="inlineStr"/>
      <c r="N2940" t="inlineStr">
        <is>
          <t>21D⁴, 21D², 21C⁶, 7D⁰, 21E¹, 21A⁰, 3C⁰, 3A⁰, 1A⁰, 7A⁰</t>
        </is>
      </c>
      <c r="O2940" t="inlineStr"/>
    </row>
    <row r="2941">
      <c r="A2941">
        <f>HYPERLINK("https://mathstats.uncg.edu/sites/pauli/congruence/csg12.html#group21B12", "21B¹²")</f>
        <v/>
      </c>
      <c r="B2941" t="n">
        <v>12</v>
      </c>
      <c r="C2941" t="inlineStr"/>
      <c r="D2941" t="inlineStr">
        <is>
          <t>252</t>
        </is>
      </c>
      <c r="E2941" t="inlineStr">
        <is>
          <t>1</t>
        </is>
      </c>
      <c r="F2941" t="inlineStr">
        <is>
          <t>63</t>
        </is>
      </c>
      <c r="G2941" t="inlineStr">
        <is>
          <t>16</t>
        </is>
      </c>
      <c r="H2941" t="inlineStr">
        <is>
          <t>0</t>
        </is>
      </c>
      <c r="I2941" t="inlineStr">
        <is>
          <t>21¹²</t>
        </is>
      </c>
      <c r="J2941" t="n">
        <v>12</v>
      </c>
      <c r="K2941" t="inlineStr">
        <is>
          <t>6¹, 12¹⁰</t>
        </is>
      </c>
      <c r="L2941" t="inlineStr">
        <is>
          <t>21D⁴, 21D⁵</t>
        </is>
      </c>
      <c r="M2941" t="inlineStr"/>
      <c r="N2941" t="inlineStr">
        <is>
          <t>21D⁵, 21D⁴, 7D⁰, 21E¹, 21D¹, 21A⁰, 3A⁰, 1A⁰, 7A⁰</t>
        </is>
      </c>
      <c r="O2941" t="inlineStr"/>
    </row>
    <row r="2942">
      <c r="A2942">
        <f>HYPERLINK("https://mathstats.uncg.edu/sites/pauli/congruence/csg12.html#group21C12", "21C¹²")</f>
        <v/>
      </c>
      <c r="B2942" t="n">
        <v>12</v>
      </c>
      <c r="C2942" t="inlineStr"/>
      <c r="D2942" t="inlineStr">
        <is>
          <t>252</t>
        </is>
      </c>
      <c r="E2942" t="inlineStr">
        <is>
          <t>1</t>
        </is>
      </c>
      <c r="F2942" t="inlineStr">
        <is>
          <t>63</t>
        </is>
      </c>
      <c r="G2942" t="inlineStr">
        <is>
          <t>16</t>
        </is>
      </c>
      <c r="H2942" t="inlineStr">
        <is>
          <t>0</t>
        </is>
      </c>
      <c r="I2942" t="inlineStr">
        <is>
          <t>21¹²</t>
        </is>
      </c>
      <c r="J2942" t="n">
        <v>12</v>
      </c>
      <c r="K2942" t="inlineStr">
        <is>
          <t>6¹, 12¹⁰</t>
        </is>
      </c>
      <c r="L2942" t="inlineStr">
        <is>
          <t>21D⁴, 21D⁵</t>
        </is>
      </c>
      <c r="M2942" t="inlineStr"/>
      <c r="N2942" t="inlineStr">
        <is>
          <t>21D⁵, 21D⁴, 7D⁰, 21E¹, 21D¹, 21A⁰, 3A⁰, 1A⁰, 7A⁰</t>
        </is>
      </c>
      <c r="O2942" t="inlineStr"/>
    </row>
    <row r="2943">
      <c r="A2943">
        <f>HYPERLINK("https://mathstats.uncg.edu/sites/pauli/congruence/csg12.html#group22A12", "22A¹²")</f>
        <v/>
      </c>
      <c r="B2943" t="n">
        <v>12</v>
      </c>
      <c r="C2943" t="inlineStr"/>
      <c r="D2943" t="inlineStr">
        <is>
          <t>220</t>
        </is>
      </c>
      <c r="E2943" t="inlineStr">
        <is>
          <t>1</t>
        </is>
      </c>
      <c r="F2943" t="inlineStr">
        <is>
          <t>55</t>
        </is>
      </c>
      <c r="G2943" t="inlineStr">
        <is>
          <t>4</t>
        </is>
      </c>
      <c r="H2943" t="inlineStr">
        <is>
          <t>4</t>
        </is>
      </c>
      <c r="I2943" t="inlineStr">
        <is>
          <t>22¹⁰</t>
        </is>
      </c>
      <c r="J2943" t="n">
        <v>10</v>
      </c>
      <c r="K2943" t="inlineStr">
        <is>
          <t>5¹, 10⁵</t>
        </is>
      </c>
      <c r="L2943" t="inlineStr">
        <is>
          <t>11A⁴, 22C⁵</t>
        </is>
      </c>
      <c r="M2943" t="inlineStr"/>
      <c r="N2943" t="inlineStr">
        <is>
          <t>11C¹, 22C⁵, 1A⁰, 11A⁴</t>
        </is>
      </c>
      <c r="O2943" t="inlineStr"/>
    </row>
    <row r="2944">
      <c r="A2944">
        <f>HYPERLINK("https://mathstats.uncg.edu/sites/pauli/congruence/csg12.html#group23A12", "23A¹²")</f>
        <v/>
      </c>
      <c r="B2944" t="n">
        <v>12</v>
      </c>
      <c r="C2944" t="inlineStr">
        <is>
          <t>Γ₁(23)</t>
        </is>
      </c>
      <c r="D2944" t="inlineStr">
        <is>
          <t>264</t>
        </is>
      </c>
      <c r="E2944" t="inlineStr">
        <is>
          <t>1</t>
        </is>
      </c>
      <c r="F2944" t="inlineStr">
        <is>
          <t>24</t>
        </is>
      </c>
      <c r="G2944" t="inlineStr">
        <is>
          <t>0</t>
        </is>
      </c>
      <c r="H2944" t="inlineStr">
        <is>
          <t>0</t>
        </is>
      </c>
      <c r="I2944" t="inlineStr">
        <is>
          <t>1¹¹, 23¹¹</t>
        </is>
      </c>
      <c r="J2944" t="n">
        <v>22</v>
      </c>
      <c r="K2944" t="inlineStr">
        <is>
          <t>1², 22¹</t>
        </is>
      </c>
      <c r="L2944" t="inlineStr">
        <is>
          <t>23A²</t>
        </is>
      </c>
      <c r="M2944" t="inlineStr"/>
      <c r="N2944" t="inlineStr">
        <is>
          <t>1A⁰, 23A²</t>
        </is>
      </c>
      <c r="O2944" t="inlineStr"/>
    </row>
    <row r="2945">
      <c r="A2945">
        <f>HYPERLINK("https://mathstats.uncg.edu/sites/pauli/congruence/csg12.html#group25A12", "25A¹²")</f>
        <v/>
      </c>
      <c r="B2945" t="n">
        <v>12</v>
      </c>
      <c r="C2945" t="inlineStr"/>
      <c r="D2945" t="inlineStr">
        <is>
          <t>300</t>
        </is>
      </c>
      <c r="E2945" t="inlineStr">
        <is>
          <t>1</t>
        </is>
      </c>
      <c r="F2945" t="inlineStr">
        <is>
          <t>15</t>
        </is>
      </c>
      <c r="G2945" t="inlineStr">
        <is>
          <t>0</t>
        </is>
      </c>
      <c r="H2945" t="inlineStr">
        <is>
          <t>0</t>
        </is>
      </c>
      <c r="I2945" t="inlineStr">
        <is>
          <t>5²⁰, 25⁸</t>
        </is>
      </c>
      <c r="J2945" t="n">
        <v>28</v>
      </c>
      <c r="K2945" t="inlineStr">
        <is>
          <t>1¹, 2¹, 4³</t>
        </is>
      </c>
      <c r="L2945" t="inlineStr">
        <is>
          <t>5H⁰, 25F⁴, 25E⁶, 25F⁶</t>
        </is>
      </c>
      <c r="M2945" t="inlineStr"/>
      <c r="N2945" t="inlineStr">
        <is>
          <t>25F², 25F⁴, 5A⁰, 5B⁰, 5E⁰, 5D⁰, 25F⁶, 1A⁰, 25E⁶, 5F⁰, 5C⁰, 5H⁰, 5G⁰</t>
        </is>
      </c>
      <c r="O2945" t="inlineStr"/>
    </row>
    <row r="2946">
      <c r="A2946">
        <f>HYPERLINK("https://mathstats.uncg.edu/sites/pauli/congruence/csg12.html#group25B12", "25B¹²")</f>
        <v/>
      </c>
      <c r="B2946" t="n">
        <v>12</v>
      </c>
      <c r="C2946" t="inlineStr">
        <is>
          <t>Γ₁(25)</t>
        </is>
      </c>
      <c r="D2946" t="inlineStr">
        <is>
          <t>300</t>
        </is>
      </c>
      <c r="E2946" t="inlineStr">
        <is>
          <t>1</t>
        </is>
      </c>
      <c r="F2946" t="inlineStr">
        <is>
          <t>30</t>
        </is>
      </c>
      <c r="G2946" t="inlineStr">
        <is>
          <t>0</t>
        </is>
      </c>
      <c r="H2946" t="inlineStr">
        <is>
          <t>0</t>
        </is>
      </c>
      <c r="I2946" t="inlineStr">
        <is>
          <t>1¹⁰, 5⁸, 25¹⁰</t>
        </is>
      </c>
      <c r="J2946" t="n">
        <v>28</v>
      </c>
      <c r="K2946" t="inlineStr">
        <is>
          <t>1², 4², 20¹</t>
        </is>
      </c>
      <c r="L2946" t="inlineStr">
        <is>
          <t>25B⁰, 25G⁴</t>
        </is>
      </c>
      <c r="M2946" t="inlineStr"/>
      <c r="N2946" t="inlineStr">
        <is>
          <t>25A⁰, 5B⁰, 5D⁰, 1A⁰, 25B⁰, 25G⁴</t>
        </is>
      </c>
      <c r="O2946" t="inlineStr"/>
    </row>
    <row r="2947">
      <c r="A2947">
        <f>HYPERLINK("https://mathstats.uncg.edu/sites/pauli/congruence/csg12.html#group26A12", "26A¹²")</f>
        <v/>
      </c>
      <c r="B2947" t="n">
        <v>12</v>
      </c>
      <c r="C2947" t="inlineStr"/>
      <c r="D2947" t="inlineStr">
        <is>
          <t>182</t>
        </is>
      </c>
      <c r="E2947" t="inlineStr">
        <is>
          <t>1</t>
        </is>
      </c>
      <c r="F2947" t="inlineStr">
        <is>
          <t>91</t>
        </is>
      </c>
      <c r="G2947" t="inlineStr">
        <is>
          <t>0</t>
        </is>
      </c>
      <c r="H2947" t="inlineStr">
        <is>
          <t>2</t>
        </is>
      </c>
      <c r="I2947" t="inlineStr">
        <is>
          <t>26⁷</t>
        </is>
      </c>
      <c r="J2947" t="n">
        <v>7</v>
      </c>
      <c r="K2947" t="inlineStr">
        <is>
          <t>1¹, 6¹, 12⁷</t>
        </is>
      </c>
      <c r="L2947" t="inlineStr">
        <is>
          <t>2A⁰, 13C³</t>
        </is>
      </c>
      <c r="M2947" t="inlineStr">
        <is>
          <t>26A²³, 26B²³, 26C²³</t>
        </is>
      </c>
      <c r="N2947" t="inlineStr">
        <is>
          <t>2A⁰, 1A⁰, 13C³</t>
        </is>
      </c>
      <c r="O2947" t="inlineStr">
        <is>
          <t>26B²³, 26A²³, 26C²³</t>
        </is>
      </c>
    </row>
    <row r="2948">
      <c r="A2948">
        <f>HYPERLINK("https://mathstats.uncg.edu/sites/pauli/congruence/csg12.html#group27A12", "27A¹²")</f>
        <v/>
      </c>
      <c r="B2948" t="n">
        <v>12</v>
      </c>
      <c r="C2948" t="inlineStr"/>
      <c r="D2948" t="inlineStr">
        <is>
          <t>243</t>
        </is>
      </c>
      <c r="E2948" t="inlineStr">
        <is>
          <t>1</t>
        </is>
      </c>
      <c r="F2948" t="inlineStr">
        <is>
          <t>243</t>
        </is>
      </c>
      <c r="G2948" t="inlineStr">
        <is>
          <t>19</t>
        </is>
      </c>
      <c r="H2948" t="inlineStr">
        <is>
          <t>0</t>
        </is>
      </c>
      <c r="I2948" t="inlineStr">
        <is>
          <t>27⁹</t>
        </is>
      </c>
      <c r="J2948" t="n">
        <v>9</v>
      </c>
      <c r="K2948" t="inlineStr">
        <is>
          <t>9¹, 18¹³</t>
        </is>
      </c>
      <c r="L2948" t="inlineStr">
        <is>
          <t>27B³</t>
        </is>
      </c>
      <c r="M2948" t="inlineStr"/>
      <c r="N2948" t="inlineStr">
        <is>
          <t>27B³, 3A⁰, 1A⁰, 9G⁰, 9A⁰</t>
        </is>
      </c>
      <c r="O2948" t="inlineStr"/>
    </row>
    <row r="2949">
      <c r="A2949">
        <f>HYPERLINK("https://mathstats.uncg.edu/sites/pauli/congruence/csg12.html#group28A12", "28A¹²")</f>
        <v/>
      </c>
      <c r="B2949" t="n">
        <v>12</v>
      </c>
      <c r="C2949" t="inlineStr"/>
      <c r="D2949" t="inlineStr">
        <is>
          <t>168</t>
        </is>
      </c>
      <c r="E2949" t="inlineStr">
        <is>
          <t>1</t>
        </is>
      </c>
      <c r="F2949" t="inlineStr">
        <is>
          <t>84</t>
        </is>
      </c>
      <c r="G2949" t="inlineStr">
        <is>
          <t>0</t>
        </is>
      </c>
      <c r="H2949" t="inlineStr">
        <is>
          <t>0</t>
        </is>
      </c>
      <c r="I2949" t="inlineStr">
        <is>
          <t>28⁶</t>
        </is>
      </c>
      <c r="J2949" t="n">
        <v>6</v>
      </c>
      <c r="K2949" t="inlineStr">
        <is>
          <t>6², 12⁶</t>
        </is>
      </c>
      <c r="L2949" t="inlineStr">
        <is>
          <t>14A³, 28A⁴, 28B⁴</t>
        </is>
      </c>
      <c r="M2949" t="inlineStr">
        <is>
          <t>28B²³, 28D²³</t>
        </is>
      </c>
      <c r="N2949" t="inlineStr">
        <is>
          <t>2A⁰, 7D⁰, 14A³, 28A⁴, 4A⁰, 14A¹, 4D⁰, 28B⁴, 28A¹, 1A⁰, 7A⁰</t>
        </is>
      </c>
      <c r="O2949" t="inlineStr">
        <is>
          <t>28B²³, 28D²³</t>
        </is>
      </c>
    </row>
    <row r="2950">
      <c r="A2950">
        <f>HYPERLINK("https://mathstats.uncg.edu/sites/pauli/congruence/csg12.html#group28B12", "28B¹²")</f>
        <v/>
      </c>
      <c r="B2950" t="n">
        <v>12</v>
      </c>
      <c r="C2950" t="inlineStr"/>
      <c r="D2950" t="inlineStr">
        <is>
          <t>168</t>
        </is>
      </c>
      <c r="E2950" t="inlineStr">
        <is>
          <t>2</t>
        </is>
      </c>
      <c r="F2950" t="inlineStr">
        <is>
          <t>7</t>
        </is>
      </c>
      <c r="G2950" t="inlineStr">
        <is>
          <t>0</t>
        </is>
      </c>
      <c r="H2950" t="inlineStr">
        <is>
          <t>0</t>
        </is>
      </c>
      <c r="I2950" t="inlineStr">
        <is>
          <t>28⁶</t>
        </is>
      </c>
      <c r="J2950" t="n">
        <v>6</v>
      </c>
      <c r="K2950" t="inlineStr">
        <is>
          <t>2¹, 6²</t>
        </is>
      </c>
      <c r="L2950" t="inlineStr">
        <is>
          <t>4G⁰, 28A⁴, 28D⁵, 28C⁶</t>
        </is>
      </c>
      <c r="M2950" t="inlineStr">
        <is>
          <t>28C²³, 56A²⁴, 56B²⁴</t>
        </is>
      </c>
      <c r="N2950" t="inlineStr">
        <is>
          <t>2A⁰, 14B³, 14B¹, 4C⁰, 14A¹, 28A³, 4G⁰, 2B⁰, 4E⁰, 4B⁰, 1A⁰, 28C², 4A⁰, 28A⁴, 4D⁰, 28D⁵, 28C⁶, 4F⁰, 28A¹, 2C⁰, 7A⁰</t>
        </is>
      </c>
      <c r="O2950" t="inlineStr">
        <is>
          <t>56A²⁴, 28C²³, 56B²⁴</t>
        </is>
      </c>
    </row>
    <row r="2951">
      <c r="A2951">
        <f>HYPERLINK("https://mathstats.uncg.edu/sites/pauli/congruence/csg12.html#group28C12", "28C¹²")</f>
        <v/>
      </c>
      <c r="B2951" t="n">
        <v>12</v>
      </c>
      <c r="C2951" t="inlineStr"/>
      <c r="D2951" t="inlineStr">
        <is>
          <t>168</t>
        </is>
      </c>
      <c r="E2951" t="inlineStr">
        <is>
          <t>2</t>
        </is>
      </c>
      <c r="F2951" t="inlineStr">
        <is>
          <t>21</t>
        </is>
      </c>
      <c r="G2951" t="inlineStr">
        <is>
          <t>0</t>
        </is>
      </c>
      <c r="H2951" t="inlineStr">
        <is>
          <t>0</t>
        </is>
      </c>
      <c r="I2951" t="inlineStr">
        <is>
          <t>28⁶</t>
        </is>
      </c>
      <c r="J2951" t="n">
        <v>6</v>
      </c>
      <c r="K2951" t="inlineStr">
        <is>
          <t>2³, 6⁶</t>
        </is>
      </c>
      <c r="L2951" t="inlineStr">
        <is>
          <t>28C⁵, 28B⁶, 28C⁶</t>
        </is>
      </c>
      <c r="M2951" t="inlineStr">
        <is>
          <t>28C²³, 56G²⁴</t>
        </is>
      </c>
      <c r="N2951" t="inlineStr">
        <is>
          <t>2A⁰, 28B⁶, 14B¹, 14B³, 4C⁰, 14A¹, 28A³, 28C⁵, 2B⁰, 4E⁰, 4B⁰, 1A⁰, 28C², 28C⁶, 28B³, 2C⁰, 28B², 7A⁰</t>
        </is>
      </c>
      <c r="O2951" t="inlineStr">
        <is>
          <t>28C²³, 56G²⁴</t>
        </is>
      </c>
    </row>
    <row r="2952">
      <c r="A2952">
        <f>HYPERLINK("https://mathstats.uncg.edu/sites/pauli/congruence/csg12.html#group28D12", "28D¹²")</f>
        <v/>
      </c>
      <c r="B2952" t="n">
        <v>12</v>
      </c>
      <c r="C2952" t="inlineStr"/>
      <c r="D2952" t="inlineStr">
        <is>
          <t>252</t>
        </is>
      </c>
      <c r="E2952" t="inlineStr">
        <is>
          <t>1</t>
        </is>
      </c>
      <c r="F2952" t="inlineStr">
        <is>
          <t>63</t>
        </is>
      </c>
      <c r="G2952" t="inlineStr">
        <is>
          <t>16</t>
        </is>
      </c>
      <c r="H2952" t="inlineStr">
        <is>
          <t>0</t>
        </is>
      </c>
      <c r="I2952" t="inlineStr">
        <is>
          <t>14⁶, 28⁶</t>
        </is>
      </c>
      <c r="J2952" t="n">
        <v>12</v>
      </c>
      <c r="K2952" t="inlineStr">
        <is>
          <t>3³, 6⁹</t>
        </is>
      </c>
      <c r="L2952" t="inlineStr">
        <is>
          <t>14G⁵, 28H⁵, 28I⁶</t>
        </is>
      </c>
      <c r="M2952" t="inlineStr"/>
      <c r="N2952" t="inlineStr">
        <is>
          <t>28C², 14E¹, 14G⁵, 7D⁰, 14B¹, 28H⁵, 4C⁰, 14F², 2B⁰, 28I⁶, 1A⁰, 7A⁰</t>
        </is>
      </c>
      <c r="O2952" t="inlineStr"/>
    </row>
    <row r="2953">
      <c r="A2953">
        <f>HYPERLINK("https://mathstats.uncg.edu/sites/pauli/congruence/csg12.html#group30A12", "30A¹²")</f>
        <v/>
      </c>
      <c r="B2953" t="n">
        <v>12</v>
      </c>
      <c r="C2953" t="inlineStr"/>
      <c r="D2953" t="inlineStr">
        <is>
          <t>180</t>
        </is>
      </c>
      <c r="E2953" t="inlineStr">
        <is>
          <t>1</t>
        </is>
      </c>
      <c r="F2953" t="inlineStr">
        <is>
          <t>15</t>
        </is>
      </c>
      <c r="G2953" t="inlineStr">
        <is>
          <t>0</t>
        </is>
      </c>
      <c r="H2953" t="inlineStr">
        <is>
          <t>0</t>
        </is>
      </c>
      <c r="I2953" t="inlineStr">
        <is>
          <t>15⁴, 30⁴</t>
        </is>
      </c>
      <c r="J2953" t="n">
        <v>8</v>
      </c>
      <c r="K2953" t="inlineStr">
        <is>
          <t>1³, 4³</t>
        </is>
      </c>
      <c r="L2953" t="inlineStr">
        <is>
          <t>6K⁰, 15A⁴, 30D⁴, 30A⁶</t>
        </is>
      </c>
      <c r="M2953" t="inlineStr"/>
      <c r="N2953" t="inlineStr">
        <is>
          <t>3B⁰, 5A⁰, 15A⁴, 15A¹, 10B¹, 6G⁰, 2B⁰, 1A⁰, 3D⁰, 30D³, 30D⁴, 15A², 15B¹, 3C⁰, 6K⁰, 30A⁶, 3A⁰, 6F⁰, 6D⁰</t>
        </is>
      </c>
      <c r="O2953" t="inlineStr"/>
    </row>
    <row r="2954">
      <c r="A2954">
        <f>HYPERLINK("https://mathstats.uncg.edu/sites/pauli/congruence/csg12.html#group30B12", "30B¹²")</f>
        <v/>
      </c>
      <c r="B2954" t="n">
        <v>12</v>
      </c>
      <c r="C2954" t="inlineStr"/>
      <c r="D2954" t="inlineStr">
        <is>
          <t>180</t>
        </is>
      </c>
      <c r="E2954" t="inlineStr">
        <is>
          <t>1</t>
        </is>
      </c>
      <c r="F2954" t="inlineStr">
        <is>
          <t>30</t>
        </is>
      </c>
      <c r="G2954" t="inlineStr">
        <is>
          <t>0</t>
        </is>
      </c>
      <c r="H2954" t="inlineStr">
        <is>
          <t>0</t>
        </is>
      </c>
      <c r="I2954" t="inlineStr">
        <is>
          <t>15⁴, 30⁴</t>
        </is>
      </c>
      <c r="J2954" t="n">
        <v>8</v>
      </c>
      <c r="K2954" t="inlineStr">
        <is>
          <t>2³, 4⁶</t>
        </is>
      </c>
      <c r="L2954" t="inlineStr">
        <is>
          <t>10D², 30D³, 15B⁴, 30K⁵</t>
        </is>
      </c>
      <c r="M2954" t="inlineStr">
        <is>
          <t>30F²³</t>
        </is>
      </c>
      <c r="N2954" t="inlineStr">
        <is>
          <t>5A⁰, 10B¹, 15B⁴, 5F⁰, 2B⁰, 1A⁰, 10D², 10F¹, 30K⁵, 30D³, 15D¹, 6D⁰, 3A⁰, 5C⁰, 15A¹</t>
        </is>
      </c>
      <c r="O2954" t="inlineStr">
        <is>
          <t>30F²³</t>
        </is>
      </c>
    </row>
    <row r="2955">
      <c r="A2955">
        <f>HYPERLINK("https://mathstats.uncg.edu/sites/pauli/congruence/csg12.html#group30C12", "30C¹²")</f>
        <v/>
      </c>
      <c r="B2955" t="n">
        <v>12</v>
      </c>
      <c r="C2955" t="inlineStr"/>
      <c r="D2955" t="inlineStr">
        <is>
          <t>180</t>
        </is>
      </c>
      <c r="E2955" t="inlineStr">
        <is>
          <t>1</t>
        </is>
      </c>
      <c r="F2955" t="inlineStr">
        <is>
          <t>45</t>
        </is>
      </c>
      <c r="G2955" t="inlineStr">
        <is>
          <t>4</t>
        </is>
      </c>
      <c r="H2955" t="inlineStr">
        <is>
          <t>0</t>
        </is>
      </c>
      <c r="I2955" t="inlineStr">
        <is>
          <t>30⁶</t>
        </is>
      </c>
      <c r="J2955" t="n">
        <v>6</v>
      </c>
      <c r="K2955" t="inlineStr">
        <is>
          <t>1¹, 2², 4⁴, 8³</t>
        </is>
      </c>
      <c r="L2955" t="inlineStr">
        <is>
          <t>15C⁴, 30L⁵</t>
        </is>
      </c>
      <c r="M2955" t="inlineStr">
        <is>
          <t>30B²³, 30D²³, 30E²³</t>
        </is>
      </c>
      <c r="N2955" t="inlineStr">
        <is>
          <t>15C⁴, 5A⁰, 30L⁵, 15A², 15F¹, 5E⁰, 3C⁰, 3A⁰, 1A⁰, 15A¹, 15A⁰</t>
        </is>
      </c>
      <c r="O2955" t="inlineStr">
        <is>
          <t>30E²³, 30D²³, 30B²³</t>
        </is>
      </c>
    </row>
    <row r="2956">
      <c r="A2956">
        <f>HYPERLINK("https://mathstats.uncg.edu/sites/pauli/congruence/csg12.html#group30D12", "30D¹²")</f>
        <v/>
      </c>
      <c r="B2956" t="n">
        <v>12</v>
      </c>
      <c r="C2956" t="inlineStr"/>
      <c r="D2956" t="inlineStr">
        <is>
          <t>180</t>
        </is>
      </c>
      <c r="E2956" t="inlineStr">
        <is>
          <t>1</t>
        </is>
      </c>
      <c r="F2956" t="inlineStr">
        <is>
          <t>45</t>
        </is>
      </c>
      <c r="G2956" t="inlineStr">
        <is>
          <t>4</t>
        </is>
      </c>
      <c r="H2956" t="inlineStr">
        <is>
          <t>0</t>
        </is>
      </c>
      <c r="I2956" t="inlineStr">
        <is>
          <t>30⁶</t>
        </is>
      </c>
      <c r="J2956" t="n">
        <v>6</v>
      </c>
      <c r="K2956" t="inlineStr">
        <is>
          <t>1¹, 2², 4⁴, 8³</t>
        </is>
      </c>
      <c r="L2956" t="inlineStr">
        <is>
          <t>30C², 15D⁴, 30C⁴, 30L⁵</t>
        </is>
      </c>
      <c r="M2956" t="inlineStr">
        <is>
          <t>30C²³, 30J²³</t>
        </is>
      </c>
      <c r="N2956" t="inlineStr">
        <is>
          <t>5A⁰, 15D⁴, 15F¹, 5B⁰, 1A⁰, 30C⁴, 15D¹, 15B⁰, 30L⁵, 5E⁰, 15A⁰, 3A⁰, 5C⁰, 5G⁰, 15A¹, 30C²</t>
        </is>
      </c>
      <c r="O2956" t="inlineStr">
        <is>
          <t>30C²³, 30J²³</t>
        </is>
      </c>
    </row>
    <row r="2957">
      <c r="A2957">
        <f>HYPERLINK("https://mathstats.uncg.edu/sites/pauli/congruence/csg12.html#group30E12", "30E¹²")</f>
        <v/>
      </c>
      <c r="B2957" t="n">
        <v>12</v>
      </c>
      <c r="C2957" t="inlineStr"/>
      <c r="D2957" t="inlineStr">
        <is>
          <t>180</t>
        </is>
      </c>
      <c r="E2957" t="inlineStr">
        <is>
          <t>1</t>
        </is>
      </c>
      <c r="F2957" t="inlineStr">
        <is>
          <t>45</t>
        </is>
      </c>
      <c r="G2957" t="inlineStr">
        <is>
          <t>4</t>
        </is>
      </c>
      <c r="H2957" t="inlineStr">
        <is>
          <t>0</t>
        </is>
      </c>
      <c r="I2957" t="inlineStr">
        <is>
          <t>30⁶</t>
        </is>
      </c>
      <c r="J2957" t="n">
        <v>6</v>
      </c>
      <c r="K2957" t="inlineStr">
        <is>
          <t>1³, 2³, 4³, 8³</t>
        </is>
      </c>
      <c r="L2957" t="inlineStr">
        <is>
          <t>6L⁰, 30A⁴, 30A⁶, 30B⁶</t>
        </is>
      </c>
      <c r="M2957" t="inlineStr"/>
      <c r="N2957" t="inlineStr">
        <is>
          <t>5A⁰, 6B⁰, 15A¹, 10B¹, 6G⁰, 2B⁰, 30A⁴, 30B⁶, 1A⁰, 30D³, 30A², 15A², 6E⁰, 6L⁰, 3C⁰, 30A⁶, 6H⁰, 3A⁰, 6D⁰</t>
        </is>
      </c>
      <c r="O2957" t="inlineStr"/>
    </row>
    <row r="2958">
      <c r="A2958">
        <f>HYPERLINK("https://mathstats.uncg.edu/sites/pauli/congruence/csg12.html#group30F12", "30F¹²")</f>
        <v/>
      </c>
      <c r="B2958" t="n">
        <v>12</v>
      </c>
      <c r="C2958" t="inlineStr"/>
      <c r="D2958" t="inlineStr">
        <is>
          <t>180</t>
        </is>
      </c>
      <c r="E2958" t="inlineStr">
        <is>
          <t>1</t>
        </is>
      </c>
      <c r="F2958" t="inlineStr">
        <is>
          <t>60</t>
        </is>
      </c>
      <c r="G2958" t="inlineStr">
        <is>
          <t>0</t>
        </is>
      </c>
      <c r="H2958" t="inlineStr">
        <is>
          <t>0</t>
        </is>
      </c>
      <c r="I2958" t="inlineStr">
        <is>
          <t>15⁴, 30⁴</t>
        </is>
      </c>
      <c r="J2958" t="n">
        <v>8</v>
      </c>
      <c r="K2958" t="inlineStr">
        <is>
          <t>4³, 8⁶</t>
        </is>
      </c>
      <c r="L2958" t="inlineStr">
        <is>
          <t>10D², 15B³, 30E³</t>
        </is>
      </c>
      <c r="M2958" t="inlineStr"/>
      <c r="N2958" t="inlineStr">
        <is>
          <t>5A⁰, 30E³, 10B¹, 5C⁰, 5F⁰, 1A⁰, 15B³, 2B⁰, 10F¹, 10D², 15A⁰</t>
        </is>
      </c>
      <c r="O2958" t="inlineStr"/>
    </row>
    <row r="2959">
      <c r="A2959">
        <f>HYPERLINK("https://mathstats.uncg.edu/sites/pauli/congruence/csg12.html#group30G12", "30G¹²")</f>
        <v/>
      </c>
      <c r="B2959" t="n">
        <v>12</v>
      </c>
      <c r="C2959" t="inlineStr"/>
      <c r="D2959" t="inlineStr">
        <is>
          <t>180</t>
        </is>
      </c>
      <c r="E2959" t="inlineStr">
        <is>
          <t>1</t>
        </is>
      </c>
      <c r="F2959" t="inlineStr">
        <is>
          <t>90</t>
        </is>
      </c>
      <c r="G2959" t="inlineStr">
        <is>
          <t>4</t>
        </is>
      </c>
      <c r="H2959" t="inlineStr">
        <is>
          <t>0</t>
        </is>
      </c>
      <c r="I2959" t="inlineStr">
        <is>
          <t>30⁶</t>
        </is>
      </c>
      <c r="J2959" t="n">
        <v>6</v>
      </c>
      <c r="K2959" t="inlineStr">
        <is>
          <t>2³, 4⁹, 8⁶</t>
        </is>
      </c>
      <c r="L2959" t="inlineStr">
        <is>
          <t>30C⁴, 30K⁵</t>
        </is>
      </c>
      <c r="M2959" t="inlineStr">
        <is>
          <t>30H²³, 30K²³</t>
        </is>
      </c>
      <c r="N2959" t="inlineStr">
        <is>
          <t>30K⁵, 30C⁴, 15D¹, 1A⁰, 2B⁰, 3A⁰, 5C⁰, 6D⁰, 10F¹</t>
        </is>
      </c>
      <c r="O2959" t="inlineStr">
        <is>
          <t>30H²³, 30K²³</t>
        </is>
      </c>
    </row>
    <row r="2960">
      <c r="A2960">
        <f>HYPERLINK("https://mathstats.uncg.edu/sites/pauli/congruence/csg12.html#group30H12", "30H¹²")</f>
        <v/>
      </c>
      <c r="B2960" t="n">
        <v>12</v>
      </c>
      <c r="C2960" t="inlineStr"/>
      <c r="D2960" t="inlineStr">
        <is>
          <t>180</t>
        </is>
      </c>
      <c r="E2960" t="inlineStr">
        <is>
          <t>2</t>
        </is>
      </c>
      <c r="F2960" t="inlineStr">
        <is>
          <t>60</t>
        </is>
      </c>
      <c r="G2960" t="inlineStr">
        <is>
          <t>0</t>
        </is>
      </c>
      <c r="H2960" t="inlineStr">
        <is>
          <t>0</t>
        </is>
      </c>
      <c r="I2960" t="inlineStr">
        <is>
          <t>15⁴, 30⁴</t>
        </is>
      </c>
      <c r="J2960" t="n">
        <v>8</v>
      </c>
      <c r="K2960" t="inlineStr">
        <is>
          <t>2⁶, 4³, 8¹²</t>
        </is>
      </c>
      <c r="L2960" t="inlineStr">
        <is>
          <t>15D³, 30E³, 30D⁴</t>
        </is>
      </c>
      <c r="M2960" t="inlineStr"/>
      <c r="N2960" t="inlineStr">
        <is>
          <t>3B⁰, 5A⁰, 15D³, 30E³, 30D⁴, 10B¹, 6F⁰, 15B¹, 2B⁰, 1A⁰, 15A⁰</t>
        </is>
      </c>
      <c r="O2960" t="inlineStr"/>
    </row>
    <row r="2961">
      <c r="A2961">
        <f>HYPERLINK("https://mathstats.uncg.edu/sites/pauli/congruence/csg12.html#group32A12", "32A¹²")</f>
        <v/>
      </c>
      <c r="B2961" t="n">
        <v>12</v>
      </c>
      <c r="C2961" t="inlineStr"/>
      <c r="D2961" t="inlineStr">
        <is>
          <t>192</t>
        </is>
      </c>
      <c r="E2961" t="inlineStr">
        <is>
          <t>1</t>
        </is>
      </c>
      <c r="F2961" t="inlineStr">
        <is>
          <t>48</t>
        </is>
      </c>
      <c r="G2961" t="inlineStr">
        <is>
          <t>4</t>
        </is>
      </c>
      <c r="H2961" t="inlineStr">
        <is>
          <t>0</t>
        </is>
      </c>
      <c r="I2961" t="inlineStr">
        <is>
          <t>16⁴, 32⁴</t>
        </is>
      </c>
      <c r="J2961" t="n">
        <v>8</v>
      </c>
      <c r="K2961" t="inlineStr">
        <is>
          <t>4¹⁰, 8¹</t>
        </is>
      </c>
      <c r="L2961" t="inlineStr">
        <is>
          <t>16B⁴, 32C⁶</t>
        </is>
      </c>
      <c r="M2961" t="inlineStr">
        <is>
          <t>32E²³, 32A²⁴, 32D²⁴</t>
        </is>
      </c>
      <c r="N2961" t="inlineStr">
        <is>
          <t>16I¹, 8D⁰, 4C⁰, 8B⁰, 8A⁰, 2B⁰, 32G³, 1A⁰, 8K⁰, 8H¹, 16E², 8D¹, 8H⁰, 16E⁰, 16B⁴, 16D¹, 32C⁶, 4A⁰, 16C¹, 32E³, 4F⁰</t>
        </is>
      </c>
      <c r="O2961" t="inlineStr">
        <is>
          <t>32D²⁴, 32A²⁴, 32E²³</t>
        </is>
      </c>
    </row>
    <row r="2962">
      <c r="A2962">
        <f>HYPERLINK("https://mathstats.uncg.edu/sites/pauli/congruence/csg12.html#group32B12", "32B¹²")</f>
        <v/>
      </c>
      <c r="B2962" t="n">
        <v>12</v>
      </c>
      <c r="C2962" t="inlineStr"/>
      <c r="D2962" t="inlineStr">
        <is>
          <t>192</t>
        </is>
      </c>
      <c r="E2962" t="inlineStr">
        <is>
          <t>1</t>
        </is>
      </c>
      <c r="F2962" t="inlineStr">
        <is>
          <t>48</t>
        </is>
      </c>
      <c r="G2962" t="inlineStr">
        <is>
          <t>4</t>
        </is>
      </c>
      <c r="H2962" t="inlineStr">
        <is>
          <t>0</t>
        </is>
      </c>
      <c r="I2962" t="inlineStr">
        <is>
          <t>16⁴, 32⁴</t>
        </is>
      </c>
      <c r="J2962" t="n">
        <v>8</v>
      </c>
      <c r="K2962" t="inlineStr">
        <is>
          <t>4¹⁰, 8¹</t>
        </is>
      </c>
      <c r="L2962" t="inlineStr">
        <is>
          <t>16B⁴, 32D⁶</t>
        </is>
      </c>
      <c r="M2962" t="inlineStr">
        <is>
          <t>32E²³, 32B²⁴, 32C²⁴</t>
        </is>
      </c>
      <c r="N2962" t="inlineStr">
        <is>
          <t>16I¹, 8D⁰, 32D⁶, 4C⁰, 8B⁰, 8A⁰, 2B⁰, 32F³, 1A⁰, 8K⁰, 8H¹, 16E², 8D¹, 8H⁰, 16E⁰, 16B⁴, 16D¹, 4A⁰, 16C¹, 4F⁰, 32H³</t>
        </is>
      </c>
      <c r="O2962" t="inlineStr">
        <is>
          <t>32B²⁴, 32C²⁴, 32E²³</t>
        </is>
      </c>
    </row>
    <row r="2963">
      <c r="A2963">
        <f>HYPERLINK("https://mathstats.uncg.edu/sites/pauli/congruence/csg12.html#group32C12", "32C¹²")</f>
        <v/>
      </c>
      <c r="B2963" t="n">
        <v>12</v>
      </c>
      <c r="C2963" t="inlineStr"/>
      <c r="D2963" t="inlineStr">
        <is>
          <t>192</t>
        </is>
      </c>
      <c r="E2963" t="inlineStr">
        <is>
          <t>2</t>
        </is>
      </c>
      <c r="F2963" t="inlineStr">
        <is>
          <t>48</t>
        </is>
      </c>
      <c r="G2963" t="inlineStr">
        <is>
          <t>4</t>
        </is>
      </c>
      <c r="H2963" t="inlineStr">
        <is>
          <t>0</t>
        </is>
      </c>
      <c r="I2963" t="inlineStr">
        <is>
          <t>16⁴, 32⁴</t>
        </is>
      </c>
      <c r="J2963" t="n">
        <v>8</v>
      </c>
      <c r="K2963" t="inlineStr">
        <is>
          <t>4¹⁶, 8⁴</t>
        </is>
      </c>
      <c r="L2963" t="inlineStr">
        <is>
          <t>16C⁴, 32C⁶, 32D⁶</t>
        </is>
      </c>
      <c r="M2963" t="inlineStr">
        <is>
          <t>32E²³</t>
        </is>
      </c>
      <c r="N2963" t="inlineStr">
        <is>
          <t>8D⁰, 32D⁶, 4C⁰, 8B⁰, 2B⁰, 32G³, 32F³, 1A⁰, 16E², 8H⁰, 8F⁰, 16D¹, 32C⁶, 4A⁰, 8I¹, 16C⁴, 32E³, 4F⁰, 16H¹, 32H³</t>
        </is>
      </c>
      <c r="O2963" t="inlineStr">
        <is>
          <t>32E²³</t>
        </is>
      </c>
    </row>
    <row r="2964">
      <c r="A2964">
        <f>HYPERLINK("https://mathstats.uncg.edu/sites/pauli/congruence/csg12.html#group35A12", "35A¹²")</f>
        <v/>
      </c>
      <c r="B2964" t="n">
        <v>12</v>
      </c>
      <c r="C2964" t="inlineStr"/>
      <c r="D2964" t="inlineStr">
        <is>
          <t>210</t>
        </is>
      </c>
      <c r="E2964" t="inlineStr">
        <is>
          <t>2</t>
        </is>
      </c>
      <c r="F2964" t="inlineStr">
        <is>
          <t>70</t>
        </is>
      </c>
      <c r="G2964" t="inlineStr">
        <is>
          <t>6</t>
        </is>
      </c>
      <c r="H2964" t="inlineStr">
        <is>
          <t>6</t>
        </is>
      </c>
      <c r="I2964" t="inlineStr">
        <is>
          <t>35⁶</t>
        </is>
      </c>
      <c r="J2964" t="n">
        <v>6</v>
      </c>
      <c r="K2964" t="inlineStr">
        <is>
          <t>4¹, 8², 12², 24⁴</t>
        </is>
      </c>
      <c r="L2964" t="inlineStr">
        <is>
          <t>35A⁴</t>
        </is>
      </c>
      <c r="M2964" t="inlineStr"/>
      <c r="N2964" t="inlineStr">
        <is>
          <t>5A⁰, 1A⁰, 35A², 35A⁴, 7A⁰, 7C⁰</t>
        </is>
      </c>
      <c r="O2964" t="inlineStr"/>
    </row>
    <row r="2965">
      <c r="A2965">
        <f>HYPERLINK("https://mathstats.uncg.edu/sites/pauli/congruence/csg12.html#group35B12", "35B¹²")</f>
        <v/>
      </c>
      <c r="B2965" t="n">
        <v>12</v>
      </c>
      <c r="C2965" t="inlineStr"/>
      <c r="D2965" t="inlineStr">
        <is>
          <t>252</t>
        </is>
      </c>
      <c r="E2965" t="inlineStr">
        <is>
          <t>1</t>
        </is>
      </c>
      <c r="F2965" t="inlineStr">
        <is>
          <t>126</t>
        </is>
      </c>
      <c r="G2965" t="inlineStr">
        <is>
          <t>16</t>
        </is>
      </c>
      <c r="H2965" t="inlineStr">
        <is>
          <t>0</t>
        </is>
      </c>
      <c r="I2965" t="inlineStr">
        <is>
          <t>7⁶, 35⁶</t>
        </is>
      </c>
      <c r="J2965" t="n">
        <v>12</v>
      </c>
      <c r="K2965" t="inlineStr">
        <is>
          <t>3², 6⁶, 12¹, 24³</t>
        </is>
      </c>
      <c r="L2965" t="inlineStr">
        <is>
          <t>35E⁶</t>
        </is>
      </c>
      <c r="M2965" t="inlineStr"/>
      <c r="N2965" t="inlineStr">
        <is>
          <t>35C², 5B⁰, 7D⁰, 1A⁰, 35E⁶, 7A⁰</t>
        </is>
      </c>
      <c r="O2965" t="inlineStr"/>
    </row>
    <row r="2966">
      <c r="A2966">
        <f>HYPERLINK("https://mathstats.uncg.edu/sites/pauli/congruence/csg12.html#group36A12", "36A¹²")</f>
        <v/>
      </c>
      <c r="B2966" t="n">
        <v>12</v>
      </c>
      <c r="C2966" t="inlineStr"/>
      <c r="D2966" t="inlineStr">
        <is>
          <t>216</t>
        </is>
      </c>
      <c r="E2966" t="inlineStr">
        <is>
          <t>1</t>
        </is>
      </c>
      <c r="F2966" t="inlineStr">
        <is>
          <t>54</t>
        </is>
      </c>
      <c r="G2966" t="inlineStr">
        <is>
          <t>4</t>
        </is>
      </c>
      <c r="H2966" t="inlineStr">
        <is>
          <t>0</t>
        </is>
      </c>
      <c r="I2966" t="inlineStr">
        <is>
          <t>12⁹, 36³</t>
        </is>
      </c>
      <c r="J2966" t="n">
        <v>12</v>
      </c>
      <c r="K2966" t="inlineStr">
        <is>
          <t>2³, 4³, 6³, 12⁶</t>
        </is>
      </c>
      <c r="L2966" t="inlineStr">
        <is>
          <t>12H³, 18K³, 36H⁴, 36J⁴</t>
        </is>
      </c>
      <c r="M2966" t="inlineStr">
        <is>
          <t>36C²³</t>
        </is>
      </c>
      <c r="N2966" t="inlineStr">
        <is>
          <t>36J⁴, 12D¹, 6B⁰, 18I¹, 6G⁰, 2B⁰, 36H⁴, 9E⁰, 1A⁰, 6E⁰, 6L⁰, 3C⁰, 18K³, 18G¹, 18F¹, 6H⁰, 3A⁰, 12H³, 6D⁰</t>
        </is>
      </c>
      <c r="O2966" t="inlineStr">
        <is>
          <t>36C²³</t>
        </is>
      </c>
    </row>
    <row r="2967">
      <c r="A2967">
        <f>HYPERLINK("https://mathstats.uncg.edu/sites/pauli/congruence/csg12.html#group36B12", "36B¹²")</f>
        <v/>
      </c>
      <c r="B2967" t="n">
        <v>12</v>
      </c>
      <c r="C2967" t="inlineStr"/>
      <c r="D2967" t="inlineStr">
        <is>
          <t>216</t>
        </is>
      </c>
      <c r="E2967" t="inlineStr">
        <is>
          <t>1</t>
        </is>
      </c>
      <c r="F2967" t="inlineStr">
        <is>
          <t>54</t>
        </is>
      </c>
      <c r="G2967" t="inlineStr">
        <is>
          <t>4</t>
        </is>
      </c>
      <c r="H2967" t="inlineStr">
        <is>
          <t>0</t>
        </is>
      </c>
      <c r="I2967" t="inlineStr">
        <is>
          <t>12⁹, 36³</t>
        </is>
      </c>
      <c r="J2967" t="n">
        <v>12</v>
      </c>
      <c r="K2967" t="inlineStr">
        <is>
          <t>2³, 4³, 6³, 12⁶</t>
        </is>
      </c>
      <c r="L2967" t="inlineStr">
        <is>
          <t>12H³, 18K³, 36I⁴, 36K⁴</t>
        </is>
      </c>
      <c r="M2967" t="inlineStr">
        <is>
          <t>36B²³</t>
        </is>
      </c>
      <c r="N2967" t="inlineStr">
        <is>
          <t>36K⁴, 12D¹, 6B⁰, 36I⁴, 18I¹, 6G⁰, 2B⁰, 9E⁰, 1A⁰, 6E⁰, 6L⁰, 3C⁰, 18K³, 18G¹, 18F¹, 6H⁰, 3A⁰, 12H³, 6D⁰</t>
        </is>
      </c>
      <c r="O2967" t="inlineStr">
        <is>
          <t>36B²³</t>
        </is>
      </c>
    </row>
    <row r="2968">
      <c r="A2968">
        <f>HYPERLINK("https://mathstats.uncg.edu/sites/pauli/congruence/csg12.html#group36C12", "36C¹²")</f>
        <v/>
      </c>
      <c r="B2968" t="n">
        <v>12</v>
      </c>
      <c r="C2968" t="inlineStr"/>
      <c r="D2968" t="inlineStr">
        <is>
          <t>216</t>
        </is>
      </c>
      <c r="E2968" t="inlineStr">
        <is>
          <t>1</t>
        </is>
      </c>
      <c r="F2968" t="inlineStr">
        <is>
          <t>108</t>
        </is>
      </c>
      <c r="G2968" t="inlineStr">
        <is>
          <t>4</t>
        </is>
      </c>
      <c r="H2968" t="inlineStr">
        <is>
          <t>0</t>
        </is>
      </c>
      <c r="I2968" t="inlineStr">
        <is>
          <t>12⁹, 36³</t>
        </is>
      </c>
      <c r="J2968" t="n">
        <v>12</v>
      </c>
      <c r="K2968" t="inlineStr">
        <is>
          <t>1², 2⁴, 3², 4², 6⁶, 12⁴</t>
        </is>
      </c>
      <c r="L2968" t="inlineStr">
        <is>
          <t>12I³, 36I⁵</t>
        </is>
      </c>
      <c r="M2968" t="inlineStr">
        <is>
          <t>36D²³</t>
        </is>
      </c>
      <c r="N2968" t="inlineStr">
        <is>
          <t>36I⁵, 12C⁰, 12C¹, 12I³, 18I¹, 12L¹, 4C⁰, 6G⁰, 3C⁰, 2B⁰, 12M¹, 9E⁰, 3A⁰, 1A⁰, 6D⁰</t>
        </is>
      </c>
      <c r="O2968" t="inlineStr">
        <is>
          <t>36D²³</t>
        </is>
      </c>
    </row>
    <row r="2969">
      <c r="A2969">
        <f>HYPERLINK("https://mathstats.uncg.edu/sites/pauli/congruence/csg12.html#group36D12", "36D¹²")</f>
        <v/>
      </c>
      <c r="B2969" t="n">
        <v>12</v>
      </c>
      <c r="C2969" t="inlineStr"/>
      <c r="D2969" t="inlineStr">
        <is>
          <t>216</t>
        </is>
      </c>
      <c r="E2969" t="inlineStr">
        <is>
          <t>1</t>
        </is>
      </c>
      <c r="F2969" t="inlineStr">
        <is>
          <t>108</t>
        </is>
      </c>
      <c r="G2969" t="inlineStr">
        <is>
          <t>4</t>
        </is>
      </c>
      <c r="H2969" t="inlineStr">
        <is>
          <t>0</t>
        </is>
      </c>
      <c r="I2969" t="inlineStr">
        <is>
          <t>12⁹, 36³</t>
        </is>
      </c>
      <c r="J2969" t="n">
        <v>12</v>
      </c>
      <c r="K2969" t="inlineStr">
        <is>
          <t>1², 2⁴, 3², 4², 6⁶, 12⁴</t>
        </is>
      </c>
      <c r="L2969" t="inlineStr">
        <is>
          <t>12J³, 36M⁴, 36I⁵</t>
        </is>
      </c>
      <c r="M2969" t="inlineStr">
        <is>
          <t>36D²³</t>
        </is>
      </c>
      <c r="N2969" t="inlineStr">
        <is>
          <t>36I⁵, 12G¹, 12C⁰, 18I¹, 4C⁰, 6G⁰, 2B⁰, 12M¹, 9E⁰, 12L¹, 1A⁰, 12J³, 12A⁰, 12C¹, 4A⁰, 36M⁴, 3C⁰, 12J¹, 4F⁰, 3A⁰, 6D⁰</t>
        </is>
      </c>
      <c r="O2969" t="inlineStr">
        <is>
          <t>36D²³</t>
        </is>
      </c>
    </row>
    <row r="2970">
      <c r="A2970">
        <f>HYPERLINK("https://mathstats.uncg.edu/sites/pauli/congruence/csg12.html#group36E12", "36E¹²")</f>
        <v/>
      </c>
      <c r="B2970" t="n">
        <v>12</v>
      </c>
      <c r="C2970" t="inlineStr"/>
      <c r="D2970" t="inlineStr">
        <is>
          <t>216</t>
        </is>
      </c>
      <c r="E2970" t="inlineStr">
        <is>
          <t>2</t>
        </is>
      </c>
      <c r="F2970" t="inlineStr">
        <is>
          <t>54</t>
        </is>
      </c>
      <c r="G2970" t="inlineStr">
        <is>
          <t>16</t>
        </is>
      </c>
      <c r="H2970" t="inlineStr">
        <is>
          <t>0</t>
        </is>
      </c>
      <c r="I2970" t="inlineStr">
        <is>
          <t>36⁶</t>
        </is>
      </c>
      <c r="J2970" t="n">
        <v>6</v>
      </c>
      <c r="K2970" t="inlineStr">
        <is>
          <t>2⁶, 4⁶, 6⁴, 12⁴</t>
        </is>
      </c>
      <c r="L2970" t="inlineStr">
        <is>
          <t>12H², 36R⁴, 36E⁶, 36I⁶</t>
        </is>
      </c>
      <c r="M2970" t="inlineStr"/>
      <c r="N2970" t="inlineStr">
        <is>
          <t>6B⁰, 12C⁰, 36E⁶, 3A⁰, 36B², 4C⁰, 36R⁴, 2B⁰, 12M¹, 1A⁰, 18A⁰, 18L², 12H², 36I⁶, 9A⁰, 18E¹, 12D⁰, 6H⁰, 12H⁰, 6D⁰, 36C²</t>
        </is>
      </c>
      <c r="O2970" t="inlineStr"/>
    </row>
    <row r="2971">
      <c r="A2971">
        <f>HYPERLINK("https://mathstats.uncg.edu/sites/pauli/congruence/csg12.html#group36F12", "36F¹²")</f>
        <v/>
      </c>
      <c r="B2971" t="n">
        <v>12</v>
      </c>
      <c r="C2971" t="inlineStr"/>
      <c r="D2971" t="inlineStr">
        <is>
          <t>216</t>
        </is>
      </c>
      <c r="E2971" t="inlineStr">
        <is>
          <t>2</t>
        </is>
      </c>
      <c r="F2971" t="inlineStr">
        <is>
          <t>54</t>
        </is>
      </c>
      <c r="G2971" t="inlineStr">
        <is>
          <t>16</t>
        </is>
      </c>
      <c r="H2971" t="inlineStr">
        <is>
          <t>0</t>
        </is>
      </c>
      <c r="I2971" t="inlineStr">
        <is>
          <t>36⁶</t>
        </is>
      </c>
      <c r="J2971" t="n">
        <v>6</v>
      </c>
      <c r="K2971" t="inlineStr">
        <is>
          <t>2⁶, 4⁶, 6⁴, 12⁴</t>
        </is>
      </c>
      <c r="L2971" t="inlineStr">
        <is>
          <t>12I², 36D², 36R⁴, 36F⁶, 36I⁶</t>
        </is>
      </c>
      <c r="M2971" t="inlineStr"/>
      <c r="N2971" t="inlineStr">
        <is>
          <t>12I², 36D², 6B⁰, 12C⁰, 3A⁰, 4C⁰, 36B², 12F⁰, 36R⁴, 12M¹, 2B⁰, 1A⁰, 18A⁰, 18L², 36A¹, 36F⁶, 12A⁰, 36I⁶, 4A⁰, 9A⁰, 18E¹, 12J¹, 12D⁰, 4F⁰, 6H⁰, 12H⁰, 6D⁰, 36C²</t>
        </is>
      </c>
      <c r="O2971" t="inlineStr"/>
    </row>
    <row r="2972">
      <c r="A2972">
        <f>HYPERLINK("https://mathstats.uncg.edu/sites/pauli/congruence/csg12.html#group36G12", "36G¹²")</f>
        <v/>
      </c>
      <c r="B2972" t="n">
        <v>12</v>
      </c>
      <c r="C2972" t="inlineStr"/>
      <c r="D2972" t="inlineStr">
        <is>
          <t>216</t>
        </is>
      </c>
      <c r="E2972" t="inlineStr">
        <is>
          <t>2</t>
        </is>
      </c>
      <c r="F2972" t="inlineStr">
        <is>
          <t>108</t>
        </is>
      </c>
      <c r="G2972" t="inlineStr">
        <is>
          <t>16</t>
        </is>
      </c>
      <c r="H2972" t="inlineStr">
        <is>
          <t>0</t>
        </is>
      </c>
      <c r="I2972" t="inlineStr">
        <is>
          <t>36⁶</t>
        </is>
      </c>
      <c r="J2972" t="n">
        <v>6</v>
      </c>
      <c r="K2972" t="inlineStr">
        <is>
          <t>12¹⁸</t>
        </is>
      </c>
      <c r="L2972" t="inlineStr">
        <is>
          <t>18K², 36D², 36L⁴, 36J⁵</t>
        </is>
      </c>
      <c r="M2972" t="inlineStr"/>
      <c r="N2972" t="inlineStr">
        <is>
          <t>36J⁵, 36D², 6B⁰, 9G⁰, 18K², 12F⁰, 1A⁰, 18A⁰, 36A¹, 12A⁰, 4A⁰, 9A⁰, 3A⁰, 18A¹, 36L⁴</t>
        </is>
      </c>
      <c r="O2972" t="inlineStr"/>
    </row>
    <row r="2973">
      <c r="A2973">
        <f>HYPERLINK("https://mathstats.uncg.edu/sites/pauli/congruence/csg12.html#group36H12", "36H¹²")</f>
        <v/>
      </c>
      <c r="B2973" t="n">
        <v>12</v>
      </c>
      <c r="C2973" t="inlineStr"/>
      <c r="D2973" t="inlineStr">
        <is>
          <t>216</t>
        </is>
      </c>
      <c r="E2973" t="inlineStr">
        <is>
          <t>2</t>
        </is>
      </c>
      <c r="F2973" t="inlineStr">
        <is>
          <t>216</t>
        </is>
      </c>
      <c r="G2973" t="inlineStr">
        <is>
          <t>16</t>
        </is>
      </c>
      <c r="H2973" t="inlineStr">
        <is>
          <t>0</t>
        </is>
      </c>
      <c r="I2973" t="inlineStr">
        <is>
          <t>36⁶</t>
        </is>
      </c>
      <c r="J2973" t="n">
        <v>6</v>
      </c>
      <c r="K2973" t="inlineStr">
        <is>
          <t>12³⁶</t>
        </is>
      </c>
      <c r="L2973" t="inlineStr">
        <is>
          <t>18M², 36D², 36N⁴</t>
        </is>
      </c>
      <c r="M2973" t="inlineStr"/>
      <c r="N2973" t="inlineStr">
        <is>
          <t>36A¹, 36N⁴, 36D², 6B⁰, 3A⁰, 12A⁰, 4A⁰, 9A⁰, 12F⁰, 18B¹, 18M², 1A⁰, 18A⁰</t>
        </is>
      </c>
      <c r="O2973" t="inlineStr"/>
    </row>
    <row r="2974">
      <c r="A2974">
        <f>HYPERLINK("https://mathstats.uncg.edu/sites/pauli/congruence/csg12.html#group40A12", "40A¹²")</f>
        <v/>
      </c>
      <c r="B2974" t="n">
        <v>12</v>
      </c>
      <c r="C2974" t="inlineStr"/>
      <c r="D2974" t="inlineStr">
        <is>
          <t>180</t>
        </is>
      </c>
      <c r="E2974" t="inlineStr">
        <is>
          <t>1</t>
        </is>
      </c>
      <c r="F2974" t="inlineStr">
        <is>
          <t>45</t>
        </is>
      </c>
      <c r="G2974" t="inlineStr">
        <is>
          <t>4</t>
        </is>
      </c>
      <c r="H2974" t="inlineStr">
        <is>
          <t>0</t>
        </is>
      </c>
      <c r="I2974" t="inlineStr">
        <is>
          <t>20³, 40³</t>
        </is>
      </c>
      <c r="J2974" t="n">
        <v>6</v>
      </c>
      <c r="K2974" t="inlineStr">
        <is>
          <t>1³, 2³, 4⁹</t>
        </is>
      </c>
      <c r="L2974" t="inlineStr">
        <is>
          <t>20E⁴</t>
        </is>
      </c>
      <c r="M2974" t="inlineStr">
        <is>
          <t>40D²³, 40E²³, 40F²³, 40A²⁴, 40B²⁴, 40C²⁴, 40D²⁴</t>
        </is>
      </c>
      <c r="N2974" t="inlineStr">
        <is>
          <t>5A⁰, 10I¹, 20E⁴, 10B¹, 20B², 4C⁰, 5E⁰, 2B⁰, 1A⁰</t>
        </is>
      </c>
      <c r="O2974" t="inlineStr">
        <is>
          <t>40C²⁴, 40B²⁴, 40A²⁴, 40D²³, 40E²³, 40D²⁴, 40F²³</t>
        </is>
      </c>
    </row>
    <row r="2975">
      <c r="A2975">
        <f>HYPERLINK("https://mathstats.uncg.edu/sites/pauli/congruence/csg12.html#group42A12", "42A¹²")</f>
        <v/>
      </c>
      <c r="B2975" t="n">
        <v>12</v>
      </c>
      <c r="C2975" t="inlineStr"/>
      <c r="D2975" t="inlineStr">
        <is>
          <t>168</t>
        </is>
      </c>
      <c r="E2975" t="inlineStr">
        <is>
          <t>1</t>
        </is>
      </c>
      <c r="F2975" t="inlineStr">
        <is>
          <t>56</t>
        </is>
      </c>
      <c r="G2975" t="inlineStr">
        <is>
          <t>0</t>
        </is>
      </c>
      <c r="H2975" t="inlineStr">
        <is>
          <t>3</t>
        </is>
      </c>
      <c r="I2975" t="inlineStr">
        <is>
          <t>42⁴</t>
        </is>
      </c>
      <c r="J2975" t="n">
        <v>4</v>
      </c>
      <c r="K2975" t="inlineStr">
        <is>
          <t>2¹, 6¹, 12⁴</t>
        </is>
      </c>
      <c r="L2975" t="inlineStr">
        <is>
          <t>14C³, 42A³</t>
        </is>
      </c>
      <c r="M2975" t="inlineStr">
        <is>
          <t>42A²³</t>
        </is>
      </c>
      <c r="N2975" t="inlineStr">
        <is>
          <t>2A⁰, 6A⁰, 42A³, 14A¹, 14C³, 7F⁰, 1A⁰, 7A⁰</t>
        </is>
      </c>
      <c r="O2975" t="inlineStr">
        <is>
          <t>42A²³</t>
        </is>
      </c>
    </row>
    <row r="2976">
      <c r="A2976">
        <f>HYPERLINK("https://mathstats.uncg.edu/sites/pauli/congruence/csg12.html#group42B12", "42B¹²")</f>
        <v/>
      </c>
      <c r="B2976" t="n">
        <v>12</v>
      </c>
      <c r="C2976" t="inlineStr"/>
      <c r="D2976" t="inlineStr">
        <is>
          <t>168</t>
        </is>
      </c>
      <c r="E2976" t="inlineStr">
        <is>
          <t>1</t>
        </is>
      </c>
      <c r="F2976" t="inlineStr">
        <is>
          <t>84</t>
        </is>
      </c>
      <c r="G2976" t="inlineStr">
        <is>
          <t>0</t>
        </is>
      </c>
      <c r="H2976" t="inlineStr">
        <is>
          <t>0</t>
        </is>
      </c>
      <c r="I2976" t="inlineStr">
        <is>
          <t>14³, 42³</t>
        </is>
      </c>
      <c r="J2976" t="n">
        <v>6</v>
      </c>
      <c r="K2976" t="inlineStr">
        <is>
          <t>3², 6⁷, 12³</t>
        </is>
      </c>
      <c r="L2976" t="inlineStr">
        <is>
          <t>14E¹, 21A⁵</t>
        </is>
      </c>
      <c r="M2976" t="inlineStr">
        <is>
          <t>42D²³, 42I²³</t>
        </is>
      </c>
      <c r="N2976" t="inlineStr">
        <is>
          <t>3B⁰, 1A⁰, 21B², 21A⁵, 14E¹, 7D⁰, 7A⁰</t>
        </is>
      </c>
      <c r="O2976" t="inlineStr">
        <is>
          <t>42I²³, 42D²³</t>
        </is>
      </c>
    </row>
    <row r="2977">
      <c r="A2977">
        <f>HYPERLINK("https://mathstats.uncg.edu/sites/pauli/congruence/csg12.html#group42C12", "42C¹²")</f>
        <v/>
      </c>
      <c r="B2977" t="n">
        <v>12</v>
      </c>
      <c r="C2977" t="inlineStr"/>
      <c r="D2977" t="inlineStr">
        <is>
          <t>168</t>
        </is>
      </c>
      <c r="E2977" t="inlineStr">
        <is>
          <t>1</t>
        </is>
      </c>
      <c r="F2977" t="inlineStr">
        <is>
          <t>84</t>
        </is>
      </c>
      <c r="G2977" t="inlineStr">
        <is>
          <t>0</t>
        </is>
      </c>
      <c r="H2977" t="inlineStr">
        <is>
          <t>0</t>
        </is>
      </c>
      <c r="I2977" t="inlineStr">
        <is>
          <t>14³, 42³</t>
        </is>
      </c>
      <c r="J2977" t="n">
        <v>6</v>
      </c>
      <c r="K2977" t="inlineStr">
        <is>
          <t>3², 6⁷, 12³</t>
        </is>
      </c>
      <c r="L2977" t="inlineStr">
        <is>
          <t>14A³, 42E⁴, 21A⁵</t>
        </is>
      </c>
      <c r="M2977" t="inlineStr">
        <is>
          <t>42D²³, 42E²³</t>
        </is>
      </c>
      <c r="N2977" t="inlineStr">
        <is>
          <t>3B⁰, 2A⁰, 21B², 7D⁰, 14A³, 42E⁴, 14A¹, 6C⁰, 21A⁵, 1A⁰, 7A⁰</t>
        </is>
      </c>
      <c r="O2977" t="inlineStr">
        <is>
          <t>42E²³, 42D²³</t>
        </is>
      </c>
    </row>
    <row r="2978">
      <c r="A2978">
        <f>HYPERLINK("https://mathstats.uncg.edu/sites/pauli/congruence/csg12.html#group42D12", "42D¹²")</f>
        <v/>
      </c>
      <c r="B2978" t="n">
        <v>12</v>
      </c>
      <c r="C2978" t="inlineStr"/>
      <c r="D2978" t="inlineStr">
        <is>
          <t>168</t>
        </is>
      </c>
      <c r="E2978" t="inlineStr">
        <is>
          <t>2</t>
        </is>
      </c>
      <c r="F2978" t="inlineStr">
        <is>
          <t>28</t>
        </is>
      </c>
      <c r="G2978" t="inlineStr">
        <is>
          <t>0</t>
        </is>
      </c>
      <c r="H2978" t="inlineStr">
        <is>
          <t>0</t>
        </is>
      </c>
      <c r="I2978" t="inlineStr">
        <is>
          <t>14³, 42³</t>
        </is>
      </c>
      <c r="J2978" t="n">
        <v>6</v>
      </c>
      <c r="K2978" t="inlineStr">
        <is>
          <t>2², 4¹, 6⁴, 12²</t>
        </is>
      </c>
      <c r="L2978" t="inlineStr">
        <is>
          <t>6I⁰, 14B³, 42E⁴, 42C⁶</t>
        </is>
      </c>
      <c r="M2978" t="inlineStr">
        <is>
          <t>42F²³, 84A²⁴, 84B²⁴</t>
        </is>
      </c>
      <c r="N2978" t="inlineStr">
        <is>
          <t>2A⁰, 3B⁰, 14B³, 14B¹, 6I⁰, 14A¹, 6C⁰, 2B⁰, 1A⁰, 21B², 42C⁶, 42E⁴, 6F⁰, 2C⁰, 7A⁰</t>
        </is>
      </c>
      <c r="O2978" t="inlineStr">
        <is>
          <t>84A²⁴, 42F²³, 84B²⁴</t>
        </is>
      </c>
    </row>
    <row r="2979">
      <c r="A2979">
        <f>HYPERLINK("https://mathstats.uncg.edu/sites/pauli/congruence/csg12.html#group42E12", "42E¹²")</f>
        <v/>
      </c>
      <c r="B2979" t="n">
        <v>12</v>
      </c>
      <c r="C2979" t="inlineStr"/>
      <c r="D2979" t="inlineStr">
        <is>
          <t>168</t>
        </is>
      </c>
      <c r="E2979" t="inlineStr">
        <is>
          <t>2</t>
        </is>
      </c>
      <c r="F2979" t="inlineStr">
        <is>
          <t>56</t>
        </is>
      </c>
      <c r="G2979" t="inlineStr">
        <is>
          <t>0</t>
        </is>
      </c>
      <c r="H2979" t="inlineStr">
        <is>
          <t>3</t>
        </is>
      </c>
      <c r="I2979" t="inlineStr">
        <is>
          <t>42⁴</t>
        </is>
      </c>
      <c r="J2979" t="n">
        <v>4</v>
      </c>
      <c r="K2979" t="inlineStr">
        <is>
          <t>4⁴, 12⁸</t>
        </is>
      </c>
      <c r="L2979" t="inlineStr">
        <is>
          <t>6J⁰, 42A³, 42E⁴</t>
        </is>
      </c>
      <c r="M2979" t="inlineStr">
        <is>
          <t>42H²³</t>
        </is>
      </c>
      <c r="N2979" t="inlineStr">
        <is>
          <t>3B⁰, 2A⁰, 21B², 6A⁰, 42A³, 42E⁴, 6C⁰, 14A¹, 6J⁰, 1A⁰, 7A⁰</t>
        </is>
      </c>
      <c r="O2979" t="inlineStr">
        <is>
          <t>42H²³</t>
        </is>
      </c>
    </row>
    <row r="2980">
      <c r="A2980">
        <f>HYPERLINK("https://mathstats.uncg.edu/sites/pauli/congruence/csg12.html#group42F12", "42F¹²")</f>
        <v/>
      </c>
      <c r="B2980" t="n">
        <v>12</v>
      </c>
      <c r="C2980" t="inlineStr"/>
      <c r="D2980" t="inlineStr">
        <is>
          <t>168</t>
        </is>
      </c>
      <c r="E2980" t="inlineStr">
        <is>
          <t>2</t>
        </is>
      </c>
      <c r="F2980" t="inlineStr">
        <is>
          <t>84</t>
        </is>
      </c>
      <c r="G2980" t="inlineStr">
        <is>
          <t>0</t>
        </is>
      </c>
      <c r="H2980" t="inlineStr">
        <is>
          <t>0</t>
        </is>
      </c>
      <c r="I2980" t="inlineStr">
        <is>
          <t>14³, 42³</t>
        </is>
      </c>
      <c r="J2980" t="n">
        <v>6</v>
      </c>
      <c r="K2980" t="inlineStr">
        <is>
          <t>6¹⁴, 12⁷</t>
        </is>
      </c>
      <c r="L2980" t="inlineStr">
        <is>
          <t>14B², 42D⁴, 21A⁵</t>
        </is>
      </c>
      <c r="M2980" t="inlineStr">
        <is>
          <t>42C²³, 42E²³, 42I²³</t>
        </is>
      </c>
      <c r="N2980" t="inlineStr">
        <is>
          <t>3B⁰, 14A⁰, 14B², 21B², 7D⁰, 42D⁴, 21A⁵, 1A⁰, 7A⁰</t>
        </is>
      </c>
      <c r="O2980" t="inlineStr">
        <is>
          <t>42E²³, 42C²³, 42I²³</t>
        </is>
      </c>
    </row>
    <row r="2981">
      <c r="A2981">
        <f>HYPERLINK("https://mathstats.uncg.edu/sites/pauli/congruence/csg12.html#group42G12", "42G¹²")</f>
        <v/>
      </c>
      <c r="B2981" t="n">
        <v>12</v>
      </c>
      <c r="C2981" t="inlineStr"/>
      <c r="D2981" t="inlineStr">
        <is>
          <t>168</t>
        </is>
      </c>
      <c r="E2981" t="inlineStr">
        <is>
          <t>2</t>
        </is>
      </c>
      <c r="F2981" t="inlineStr">
        <is>
          <t>84</t>
        </is>
      </c>
      <c r="G2981" t="inlineStr">
        <is>
          <t>0</t>
        </is>
      </c>
      <c r="H2981" t="inlineStr">
        <is>
          <t>0</t>
        </is>
      </c>
      <c r="I2981" t="inlineStr">
        <is>
          <t>14³, 42³</t>
        </is>
      </c>
      <c r="J2981" t="n">
        <v>6</v>
      </c>
      <c r="K2981" t="inlineStr">
        <is>
          <t>2⁶, 4³, 6¹², 12⁶</t>
        </is>
      </c>
      <c r="L2981" t="inlineStr">
        <is>
          <t>14C², 42D⁴, 42C⁶</t>
        </is>
      </c>
      <c r="M2981" t="inlineStr">
        <is>
          <t>42F²³</t>
        </is>
      </c>
      <c r="N2981" t="inlineStr">
        <is>
          <t>3B⁰, 14A⁰, 21B², 14B¹, 42C⁶, 42D⁴, 14C², 1A⁰, 2B⁰, 6F⁰, 7A⁰</t>
        </is>
      </c>
      <c r="O2981" t="inlineStr">
        <is>
          <t>42F²³</t>
        </is>
      </c>
    </row>
    <row r="2982">
      <c r="A2982">
        <f>HYPERLINK("https://mathstats.uncg.edu/sites/pauli/congruence/csg12.html#group42H12", "42H¹²")</f>
        <v/>
      </c>
      <c r="B2982" t="n">
        <v>12</v>
      </c>
      <c r="C2982" t="inlineStr"/>
      <c r="D2982" t="inlineStr">
        <is>
          <t>192</t>
        </is>
      </c>
      <c r="E2982" t="inlineStr">
        <is>
          <t>2</t>
        </is>
      </c>
      <c r="F2982" t="inlineStr">
        <is>
          <t>64</t>
        </is>
      </c>
      <c r="G2982" t="inlineStr">
        <is>
          <t>0</t>
        </is>
      </c>
      <c r="H2982" t="inlineStr">
        <is>
          <t>3</t>
        </is>
      </c>
      <c r="I2982" t="inlineStr">
        <is>
          <t>6⁴, 42⁴</t>
        </is>
      </c>
      <c r="J2982" t="n">
        <v>8</v>
      </c>
      <c r="K2982" t="inlineStr">
        <is>
          <t>2¹⁶, 12⁸</t>
        </is>
      </c>
      <c r="L2982" t="inlineStr">
        <is>
          <t>42B³, 42E³</t>
        </is>
      </c>
      <c r="M2982" t="inlineStr">
        <is>
          <t>42M²³</t>
        </is>
      </c>
      <c r="N2982" t="inlineStr">
        <is>
          <t>3B⁰, 2A⁰, 21B¹, 7B⁰, 42E³, 6C⁰, 14B⁰, 1A⁰, 42B³</t>
        </is>
      </c>
      <c r="O2982" t="inlineStr">
        <is>
          <t>42M²³</t>
        </is>
      </c>
    </row>
    <row r="2983">
      <c r="A2983">
        <f>HYPERLINK("https://mathstats.uncg.edu/sites/pauli/congruence/csg12.html#group45A12", "45A¹²")</f>
        <v/>
      </c>
      <c r="B2983" t="n">
        <v>12</v>
      </c>
      <c r="C2983" t="inlineStr"/>
      <c r="D2983" t="inlineStr">
        <is>
          <t>180</t>
        </is>
      </c>
      <c r="E2983" t="inlineStr">
        <is>
          <t>1</t>
        </is>
      </c>
      <c r="F2983" t="inlineStr">
        <is>
          <t>30</t>
        </is>
      </c>
      <c r="G2983" t="inlineStr">
        <is>
          <t>0</t>
        </is>
      </c>
      <c r="H2983" t="inlineStr">
        <is>
          <t>0</t>
        </is>
      </c>
      <c r="I2983" t="inlineStr">
        <is>
          <t>15⁶, 45²</t>
        </is>
      </c>
      <c r="J2983" t="n">
        <v>8</v>
      </c>
      <c r="K2983" t="inlineStr">
        <is>
          <t>1², 2², 4², 8²</t>
        </is>
      </c>
      <c r="L2983" t="inlineStr">
        <is>
          <t>9H⁰, 15A⁴, 45C⁶</t>
        </is>
      </c>
      <c r="M2983" t="inlineStr"/>
      <c r="N2983" t="inlineStr">
        <is>
          <t>3B⁰, 45C⁶, 5A⁰, 15A⁴, 15A², 15B¹, 3C⁰, 9H⁰, 9E⁰, 3A⁰, 1A⁰, 15A¹, 3D⁰</t>
        </is>
      </c>
      <c r="O2983" t="inlineStr"/>
    </row>
    <row r="2984">
      <c r="A2984">
        <f>HYPERLINK("https://mathstats.uncg.edu/sites/pauli/congruence/csg12.html#group45B12", "45B¹²")</f>
        <v/>
      </c>
      <c r="B2984" t="n">
        <v>12</v>
      </c>
      <c r="C2984" t="inlineStr"/>
      <c r="D2984" t="inlineStr">
        <is>
          <t>180</t>
        </is>
      </c>
      <c r="E2984" t="inlineStr">
        <is>
          <t>1</t>
        </is>
      </c>
      <c r="F2984" t="inlineStr">
        <is>
          <t>60</t>
        </is>
      </c>
      <c r="G2984" t="inlineStr">
        <is>
          <t>0</t>
        </is>
      </c>
      <c r="H2984" t="inlineStr">
        <is>
          <t>0</t>
        </is>
      </c>
      <c r="I2984" t="inlineStr">
        <is>
          <t>5³, 15², 45³</t>
        </is>
      </c>
      <c r="J2984" t="n">
        <v>8</v>
      </c>
      <c r="K2984" t="inlineStr">
        <is>
          <t>1², 2², 4², 6¹, 8², 24¹</t>
        </is>
      </c>
      <c r="L2984" t="inlineStr">
        <is>
          <t>9I⁰, 45A⁴</t>
        </is>
      </c>
      <c r="M2984" t="inlineStr"/>
      <c r="N2984" t="inlineStr">
        <is>
          <t>9I⁰, 3B⁰, 9B⁰, 15B¹, 5A⁰, 45A⁴, 1A⁰</t>
        </is>
      </c>
      <c r="O2984" t="inlineStr"/>
    </row>
    <row r="2985">
      <c r="A2985">
        <f>HYPERLINK("https://mathstats.uncg.edu/sites/pauli/congruence/csg12.html#group45C12", "45C¹²")</f>
        <v/>
      </c>
      <c r="B2985" t="n">
        <v>12</v>
      </c>
      <c r="C2985" t="inlineStr"/>
      <c r="D2985" t="inlineStr">
        <is>
          <t>180</t>
        </is>
      </c>
      <c r="E2985" t="inlineStr">
        <is>
          <t>1</t>
        </is>
      </c>
      <c r="F2985" t="inlineStr">
        <is>
          <t>60</t>
        </is>
      </c>
      <c r="G2985" t="inlineStr">
        <is>
          <t>0</t>
        </is>
      </c>
      <c r="H2985" t="inlineStr">
        <is>
          <t>0</t>
        </is>
      </c>
      <c r="I2985" t="inlineStr">
        <is>
          <t>5³, 15², 45³</t>
        </is>
      </c>
      <c r="J2985" t="n">
        <v>8</v>
      </c>
      <c r="K2985" t="inlineStr">
        <is>
          <t>2², 4⁶, 8⁴, 12¹, 24²</t>
        </is>
      </c>
      <c r="L2985" t="inlineStr">
        <is>
          <t>45A⁴</t>
        </is>
      </c>
      <c r="M2985" t="inlineStr"/>
      <c r="N2985" t="inlineStr">
        <is>
          <t>3B⁰, 9B⁰, 15B¹, 5A⁰, 45A⁴, 1A⁰</t>
        </is>
      </c>
      <c r="O2985" t="inlineStr"/>
    </row>
    <row r="2986">
      <c r="A2986">
        <f>HYPERLINK("https://mathstats.uncg.edu/sites/pauli/congruence/csg12.html#group45D12", "45D¹²")</f>
        <v/>
      </c>
      <c r="B2986" t="n">
        <v>12</v>
      </c>
      <c r="C2986" t="inlineStr"/>
      <c r="D2986" t="inlineStr">
        <is>
          <t>180</t>
        </is>
      </c>
      <c r="E2986" t="inlineStr">
        <is>
          <t>1</t>
        </is>
      </c>
      <c r="F2986" t="inlineStr">
        <is>
          <t>60</t>
        </is>
      </c>
      <c r="G2986" t="inlineStr">
        <is>
          <t>0</t>
        </is>
      </c>
      <c r="H2986" t="inlineStr">
        <is>
          <t>0</t>
        </is>
      </c>
      <c r="I2986" t="inlineStr">
        <is>
          <t>5³, 15², 45³</t>
        </is>
      </c>
      <c r="J2986" t="n">
        <v>8</v>
      </c>
      <c r="K2986" t="inlineStr">
        <is>
          <t>2², 4⁶, 8⁴, 12¹, 24²</t>
        </is>
      </c>
      <c r="L2986" t="inlineStr">
        <is>
          <t>45A⁴</t>
        </is>
      </c>
      <c r="M2986" t="inlineStr"/>
      <c r="N2986" t="inlineStr">
        <is>
          <t>3B⁰, 9B⁰, 15B¹, 5A⁰, 45A⁴, 1A⁰</t>
        </is>
      </c>
      <c r="O2986" t="inlineStr"/>
    </row>
    <row r="2987">
      <c r="A2987">
        <f>HYPERLINK("https://mathstats.uncg.edu/sites/pauli/congruence/csg12.html#group45E12", "45E¹²")</f>
        <v/>
      </c>
      <c r="B2987" t="n">
        <v>12</v>
      </c>
      <c r="C2987" t="inlineStr"/>
      <c r="D2987" t="inlineStr">
        <is>
          <t>180</t>
        </is>
      </c>
      <c r="E2987" t="inlineStr">
        <is>
          <t>1</t>
        </is>
      </c>
      <c r="F2987" t="inlineStr">
        <is>
          <t>60</t>
        </is>
      </c>
      <c r="G2987" t="inlineStr">
        <is>
          <t>0</t>
        </is>
      </c>
      <c r="H2987" t="inlineStr">
        <is>
          <t>0</t>
        </is>
      </c>
      <c r="I2987" t="inlineStr">
        <is>
          <t>15⁶, 45²</t>
        </is>
      </c>
      <c r="J2987" t="n">
        <v>8</v>
      </c>
      <c r="K2987" t="inlineStr">
        <is>
          <t>2², 4⁴, 8⁵</t>
        </is>
      </c>
      <c r="L2987" t="inlineStr">
        <is>
          <t>15A⁴</t>
        </is>
      </c>
      <c r="M2987" t="inlineStr"/>
      <c r="N2987" t="inlineStr">
        <is>
          <t>3B⁰, 5A⁰, 15A⁴, 15A², 15B¹, 3C⁰, 3A⁰, 1A⁰, 15A¹, 3D⁰</t>
        </is>
      </c>
      <c r="O2987" t="inlineStr"/>
    </row>
    <row r="2988">
      <c r="A2988">
        <f>HYPERLINK("https://mathstats.uncg.edu/sites/pauli/congruence/csg12.html#group45F12", "45F¹²")</f>
        <v/>
      </c>
      <c r="B2988" t="n">
        <v>12</v>
      </c>
      <c r="C2988" t="inlineStr"/>
      <c r="D2988" t="inlineStr">
        <is>
          <t>180</t>
        </is>
      </c>
      <c r="E2988" t="inlineStr">
        <is>
          <t>1</t>
        </is>
      </c>
      <c r="F2988" t="inlineStr">
        <is>
          <t>90</t>
        </is>
      </c>
      <c r="G2988" t="inlineStr">
        <is>
          <t>8</t>
        </is>
      </c>
      <c r="H2988" t="inlineStr">
        <is>
          <t>0</t>
        </is>
      </c>
      <c r="I2988" t="inlineStr">
        <is>
          <t>45⁴</t>
        </is>
      </c>
      <c r="J2988" t="n">
        <v>4</v>
      </c>
      <c r="K2988" t="inlineStr">
        <is>
          <t>2¹, 4³, 8², 12¹, 24²</t>
        </is>
      </c>
      <c r="L2988" t="inlineStr">
        <is>
          <t>15D², 45E⁵</t>
        </is>
      </c>
      <c r="M2988" t="inlineStr"/>
      <c r="N2988" t="inlineStr">
        <is>
          <t>15D¹, 45E⁵, 9A⁰, 5C⁰, 15D², 3A⁰, 1A⁰</t>
        </is>
      </c>
      <c r="O2988" t="inlineStr"/>
    </row>
    <row r="2989">
      <c r="A2989">
        <f>HYPERLINK("https://mathstats.uncg.edu/sites/pauli/congruence/csg12.html#group45G12", "45G¹²")</f>
        <v/>
      </c>
      <c r="B2989" t="n">
        <v>12</v>
      </c>
      <c r="C2989" t="inlineStr"/>
      <c r="D2989" t="inlineStr">
        <is>
          <t>180</t>
        </is>
      </c>
      <c r="E2989" t="inlineStr">
        <is>
          <t>1</t>
        </is>
      </c>
      <c r="F2989" t="inlineStr">
        <is>
          <t>180</t>
        </is>
      </c>
      <c r="G2989" t="inlineStr">
        <is>
          <t>8</t>
        </is>
      </c>
      <c r="H2989" t="inlineStr">
        <is>
          <t>0</t>
        </is>
      </c>
      <c r="I2989" t="inlineStr">
        <is>
          <t>45⁴</t>
        </is>
      </c>
      <c r="J2989" t="n">
        <v>4</v>
      </c>
      <c r="K2989" t="inlineStr">
        <is>
          <t>4¹, 8⁷, 24⁵</t>
        </is>
      </c>
      <c r="L2989" t="inlineStr">
        <is>
          <t>15D²</t>
        </is>
      </c>
      <c r="M2989" t="inlineStr"/>
      <c r="N2989" t="inlineStr">
        <is>
          <t>15D², 15D¹, 1A⁰, 3A⁰, 5C⁰</t>
        </is>
      </c>
      <c r="O2989" t="inlineStr"/>
    </row>
    <row r="2990">
      <c r="A2990">
        <f>HYPERLINK("https://mathstats.uncg.edu/sites/pauli/congruence/csg12.html#group45H12", "45H¹²")</f>
        <v/>
      </c>
      <c r="B2990" t="n">
        <v>12</v>
      </c>
      <c r="C2990" t="inlineStr"/>
      <c r="D2990" t="inlineStr">
        <is>
          <t>240</t>
        </is>
      </c>
      <c r="E2990" t="inlineStr">
        <is>
          <t>1</t>
        </is>
      </c>
      <c r="F2990" t="inlineStr">
        <is>
          <t>80</t>
        </is>
      </c>
      <c r="G2990" t="inlineStr">
        <is>
          <t>0</t>
        </is>
      </c>
      <c r="H2990" t="inlineStr">
        <is>
          <t>3</t>
        </is>
      </c>
      <c r="I2990" t="inlineStr">
        <is>
          <t>5¹², 45⁴</t>
        </is>
      </c>
      <c r="J2990" t="n">
        <v>16</v>
      </c>
      <c r="K2990" t="inlineStr">
        <is>
          <t>4², 8⁹</t>
        </is>
      </c>
      <c r="L2990" t="inlineStr">
        <is>
          <t>15G³, 45C³</t>
        </is>
      </c>
      <c r="M2990" t="inlineStr">
        <is>
          <t>45E²³</t>
        </is>
      </c>
      <c r="N2990" t="inlineStr">
        <is>
          <t>3B⁰, 45C³, 5A⁰, 5C⁰, 15G³, 15B¹, 5F⁰, 15C², 1A⁰</t>
        </is>
      </c>
      <c r="O2990" t="inlineStr">
        <is>
          <t>45E²³</t>
        </is>
      </c>
    </row>
    <row r="2991">
      <c r="A2991">
        <f>HYPERLINK("https://mathstats.uncg.edu/sites/pauli/congruence/csg12.html#group48A12", "48A¹²")</f>
        <v/>
      </c>
      <c r="B2991" t="n">
        <v>12</v>
      </c>
      <c r="C2991" t="inlineStr"/>
      <c r="D2991" t="inlineStr">
        <is>
          <t>192</t>
        </is>
      </c>
      <c r="E2991" t="inlineStr">
        <is>
          <t>2</t>
        </is>
      </c>
      <c r="F2991" t="inlineStr">
        <is>
          <t>32</t>
        </is>
      </c>
      <c r="G2991" t="inlineStr">
        <is>
          <t>12</t>
        </is>
      </c>
      <c r="H2991" t="inlineStr">
        <is>
          <t>0</t>
        </is>
      </c>
      <c r="I2991" t="inlineStr">
        <is>
          <t>48⁴</t>
        </is>
      </c>
      <c r="J2991" t="n">
        <v>4</v>
      </c>
      <c r="K2991" t="inlineStr">
        <is>
          <t>8⁸</t>
        </is>
      </c>
      <c r="L2991" t="inlineStr">
        <is>
          <t>16H², 48A³, 24S⁴</t>
        </is>
      </c>
      <c r="M2991" t="inlineStr"/>
      <c r="N2991" t="inlineStr">
        <is>
          <t>24F¹, 8F⁰, 48A³, 24S⁴, 16A⁰, 12A⁰, 24A¹, 16H², 4A⁰, 3A⁰, 8A⁰, 8M⁰, 1A⁰</t>
        </is>
      </c>
      <c r="O2991" t="inlineStr"/>
    </row>
    <row r="2992">
      <c r="A2992">
        <f>HYPERLINK("https://mathstats.uncg.edu/sites/pauli/congruence/csg12.html#group48B12", "48B¹²")</f>
        <v/>
      </c>
      <c r="B2992" t="n">
        <v>12</v>
      </c>
      <c r="C2992" t="inlineStr"/>
      <c r="D2992" t="inlineStr">
        <is>
          <t>192</t>
        </is>
      </c>
      <c r="E2992" t="inlineStr">
        <is>
          <t>2</t>
        </is>
      </c>
      <c r="F2992" t="inlineStr">
        <is>
          <t>96</t>
        </is>
      </c>
      <c r="G2992" t="inlineStr">
        <is>
          <t>12</t>
        </is>
      </c>
      <c r="H2992" t="inlineStr">
        <is>
          <t>0</t>
        </is>
      </c>
      <c r="I2992" t="inlineStr">
        <is>
          <t>48⁴</t>
        </is>
      </c>
      <c r="J2992" t="n">
        <v>4</v>
      </c>
      <c r="K2992" t="inlineStr">
        <is>
          <t>8⁸, 16⁸</t>
        </is>
      </c>
      <c r="L2992" t="inlineStr">
        <is>
          <t>48B³, 24S⁴</t>
        </is>
      </c>
      <c r="M2992" t="inlineStr"/>
      <c r="N2992" t="inlineStr">
        <is>
          <t>24F¹, 8F⁰, 24A¹, 24S⁴, 12A⁰, 4A⁰, 8A⁰, 8M⁰, 3A⁰, 1A⁰, 48B³</t>
        </is>
      </c>
      <c r="O2992" t="inlineStr"/>
    </row>
    <row r="2993">
      <c r="A2993">
        <f>HYPERLINK("https://mathstats.uncg.edu/sites/pauli/congruence/csg12.html#group49A12", "49A¹²")</f>
        <v/>
      </c>
      <c r="B2993" t="n">
        <v>12</v>
      </c>
      <c r="C2993" t="inlineStr"/>
      <c r="D2993" t="inlineStr">
        <is>
          <t>168</t>
        </is>
      </c>
      <c r="E2993" t="inlineStr">
        <is>
          <t>1</t>
        </is>
      </c>
      <c r="F2993" t="inlineStr">
        <is>
          <t>24</t>
        </is>
      </c>
      <c r="G2993" t="inlineStr">
        <is>
          <t>0</t>
        </is>
      </c>
      <c r="H2993" t="inlineStr">
        <is>
          <t>0</t>
        </is>
      </c>
      <c r="I2993" t="inlineStr">
        <is>
          <t>7³, 49³</t>
        </is>
      </c>
      <c r="J2993" t="n">
        <v>6</v>
      </c>
      <c r="K2993" t="inlineStr">
        <is>
          <t>3², 6³</t>
        </is>
      </c>
      <c r="L2993" t="inlineStr">
        <is>
          <t>7E⁰</t>
        </is>
      </c>
      <c r="M2993" t="inlineStr"/>
      <c r="N2993" t="inlineStr">
        <is>
          <t>1A⁰, 7B⁰, 7E⁰</t>
        </is>
      </c>
      <c r="O2993" t="inlineStr"/>
    </row>
    <row r="2994">
      <c r="A2994">
        <f>HYPERLINK("https://mathstats.uncg.edu/sites/pauli/congruence/csg12.html#group49B12", "49B¹²")</f>
        <v/>
      </c>
      <c r="B2994" t="n">
        <v>12</v>
      </c>
      <c r="C2994" t="inlineStr"/>
      <c r="D2994" t="inlineStr">
        <is>
          <t>168</t>
        </is>
      </c>
      <c r="E2994" t="inlineStr">
        <is>
          <t>1</t>
        </is>
      </c>
      <c r="F2994" t="inlineStr">
        <is>
          <t>24</t>
        </is>
      </c>
      <c r="G2994" t="inlineStr">
        <is>
          <t>0</t>
        </is>
      </c>
      <c r="H2994" t="inlineStr">
        <is>
          <t>0</t>
        </is>
      </c>
      <c r="I2994" t="inlineStr">
        <is>
          <t>7³, 49³</t>
        </is>
      </c>
      <c r="J2994" t="n">
        <v>6</v>
      </c>
      <c r="K2994" t="inlineStr">
        <is>
          <t>3², 6³</t>
        </is>
      </c>
      <c r="L2994" t="inlineStr">
        <is>
          <t>7E⁰</t>
        </is>
      </c>
      <c r="M2994" t="inlineStr"/>
      <c r="N2994" t="inlineStr">
        <is>
          <t>1A⁰, 7B⁰, 7E⁰</t>
        </is>
      </c>
      <c r="O2994" t="inlineStr"/>
    </row>
    <row r="2995">
      <c r="A2995">
        <f>HYPERLINK("https://mathstats.uncg.edu/sites/pauli/congruence/csg12.html#group50A12", "50A¹²")</f>
        <v/>
      </c>
      <c r="B2995" t="n">
        <v>12</v>
      </c>
      <c r="C2995" t="inlineStr"/>
      <c r="D2995" t="inlineStr">
        <is>
          <t>180</t>
        </is>
      </c>
      <c r="E2995" t="inlineStr">
        <is>
          <t>1</t>
        </is>
      </c>
      <c r="F2995" t="inlineStr">
        <is>
          <t>18</t>
        </is>
      </c>
      <c r="G2995" t="inlineStr">
        <is>
          <t>0</t>
        </is>
      </c>
      <c r="H2995" t="inlineStr">
        <is>
          <t>0</t>
        </is>
      </c>
      <c r="I2995" t="inlineStr">
        <is>
          <t>5², 10², 25², 50²</t>
        </is>
      </c>
      <c r="J2995" t="n">
        <v>8</v>
      </c>
      <c r="K2995" t="inlineStr">
        <is>
          <t>2⁶, 4⁶</t>
        </is>
      </c>
      <c r="L2995" t="inlineStr">
        <is>
          <t>10F⁰, 25A⁴, 50A⁶</t>
        </is>
      </c>
      <c r="M2995" t="inlineStr"/>
      <c r="N2995" t="inlineStr">
        <is>
          <t>50A⁶, 25A², 5B⁰, 10C⁰, 5D⁰, 2B⁰, 1A⁰, 10F⁰, 25A⁴</t>
        </is>
      </c>
      <c r="O2995" t="inlineStr"/>
    </row>
    <row r="2996">
      <c r="A2996">
        <f>HYPERLINK("https://mathstats.uncg.edu/sites/pauli/congruence/csg12.html#group50B12", "50B¹²")</f>
        <v/>
      </c>
      <c r="B2996" t="n">
        <v>12</v>
      </c>
      <c r="C2996" t="inlineStr"/>
      <c r="D2996" t="inlineStr">
        <is>
          <t>180</t>
        </is>
      </c>
      <c r="E2996" t="inlineStr">
        <is>
          <t>1</t>
        </is>
      </c>
      <c r="F2996" t="inlineStr">
        <is>
          <t>18</t>
        </is>
      </c>
      <c r="G2996" t="inlineStr">
        <is>
          <t>0</t>
        </is>
      </c>
      <c r="H2996" t="inlineStr">
        <is>
          <t>0</t>
        </is>
      </c>
      <c r="I2996" t="inlineStr">
        <is>
          <t>5², 10², 25², 50²</t>
        </is>
      </c>
      <c r="J2996" t="n">
        <v>8</v>
      </c>
      <c r="K2996" t="inlineStr">
        <is>
          <t>2⁶, 4⁶</t>
        </is>
      </c>
      <c r="L2996" t="inlineStr">
        <is>
          <t>10F⁰, 25B⁴, 50B⁶</t>
        </is>
      </c>
      <c r="M2996" t="inlineStr"/>
      <c r="N2996" t="inlineStr">
        <is>
          <t>25B⁴, 5B⁰, 10C⁰, 5D⁰, 2B⁰, 50B⁶, 1A⁰, 10F⁰, 25B²</t>
        </is>
      </c>
      <c r="O2996" t="inlineStr"/>
    </row>
    <row r="2997">
      <c r="A2997">
        <f>HYPERLINK("https://mathstats.uncg.edu/sites/pauli/congruence/csg12.html#group50C12", "50C¹²")</f>
        <v/>
      </c>
      <c r="B2997" t="n">
        <v>12</v>
      </c>
      <c r="C2997" t="inlineStr"/>
      <c r="D2997" t="inlineStr">
        <is>
          <t>180</t>
        </is>
      </c>
      <c r="E2997" t="inlineStr">
        <is>
          <t>1</t>
        </is>
      </c>
      <c r="F2997" t="inlineStr">
        <is>
          <t>18</t>
        </is>
      </c>
      <c r="G2997" t="inlineStr">
        <is>
          <t>0</t>
        </is>
      </c>
      <c r="H2997" t="inlineStr">
        <is>
          <t>0</t>
        </is>
      </c>
      <c r="I2997" t="inlineStr">
        <is>
          <t>5², 10², 25², 50²</t>
        </is>
      </c>
      <c r="J2997" t="n">
        <v>8</v>
      </c>
      <c r="K2997" t="inlineStr">
        <is>
          <t>2⁶, 4⁶</t>
        </is>
      </c>
      <c r="L2997" t="inlineStr">
        <is>
          <t>10F⁰, 25C⁴, 50C⁶</t>
        </is>
      </c>
      <c r="M2997" t="inlineStr"/>
      <c r="N2997" t="inlineStr">
        <is>
          <t>50C⁶, 5B⁰, 10C⁰, 5D⁰, 2B⁰, 1A⁰, 25C², 10F⁰, 25C⁴</t>
        </is>
      </c>
      <c r="O2997" t="inlineStr"/>
    </row>
    <row r="2998">
      <c r="A2998">
        <f>HYPERLINK("https://mathstats.uncg.edu/sites/pauli/congruence/csg12.html#group50D12", "50D¹²")</f>
        <v/>
      </c>
      <c r="B2998" t="n">
        <v>12</v>
      </c>
      <c r="C2998" t="inlineStr"/>
      <c r="D2998" t="inlineStr">
        <is>
          <t>180</t>
        </is>
      </c>
      <c r="E2998" t="inlineStr">
        <is>
          <t>1</t>
        </is>
      </c>
      <c r="F2998" t="inlineStr">
        <is>
          <t>18</t>
        </is>
      </c>
      <c r="G2998" t="inlineStr">
        <is>
          <t>0</t>
        </is>
      </c>
      <c r="H2998" t="inlineStr">
        <is>
          <t>0</t>
        </is>
      </c>
      <c r="I2998" t="inlineStr">
        <is>
          <t>5², 10², 25², 50²</t>
        </is>
      </c>
      <c r="J2998" t="n">
        <v>8</v>
      </c>
      <c r="K2998" t="inlineStr">
        <is>
          <t>2⁶, 4⁶</t>
        </is>
      </c>
      <c r="L2998" t="inlineStr">
        <is>
          <t>10F⁰, 25D⁴, 50D⁶</t>
        </is>
      </c>
      <c r="M2998" t="inlineStr"/>
      <c r="N2998" t="inlineStr">
        <is>
          <t>50D⁶, 5B⁰, 10C⁰, 5D⁰, 2B⁰, 25D⁴, 1A⁰, 10F⁰, 25D²</t>
        </is>
      </c>
      <c r="O2998" t="inlineStr"/>
    </row>
    <row r="2999">
      <c r="A2999">
        <f>HYPERLINK("https://mathstats.uncg.edu/sites/pauli/congruence/csg12.html#group50E12", "50E¹²")</f>
        <v/>
      </c>
      <c r="B2999" t="n">
        <v>12</v>
      </c>
      <c r="C2999" t="inlineStr"/>
      <c r="D2999" t="inlineStr">
        <is>
          <t>180</t>
        </is>
      </c>
      <c r="E2999" t="inlineStr">
        <is>
          <t>1</t>
        </is>
      </c>
      <c r="F2999" t="inlineStr">
        <is>
          <t>90</t>
        </is>
      </c>
      <c r="G2999" t="inlineStr">
        <is>
          <t>4</t>
        </is>
      </c>
      <c r="H2999" t="inlineStr">
        <is>
          <t>0</t>
        </is>
      </c>
      <c r="I2999" t="inlineStr">
        <is>
          <t>10³, 50³</t>
        </is>
      </c>
      <c r="J2999" t="n">
        <v>6</v>
      </c>
      <c r="K2999" t="inlineStr">
        <is>
          <t>2⁶, 4¹², 20⁶</t>
        </is>
      </c>
      <c r="L2999" t="inlineStr">
        <is>
          <t>10G⁰, 50A⁴, 50A⁶</t>
        </is>
      </c>
      <c r="M2999" t="inlineStr"/>
      <c r="N2999" t="inlineStr">
        <is>
          <t>50A⁶, 25A², 10G⁰, 5B⁰, 10C⁰, 2B⁰, 1A⁰, 50A⁴, 10B⁰</t>
        </is>
      </c>
      <c r="O2999" t="inlineStr"/>
    </row>
    <row r="3000">
      <c r="A3000">
        <f>HYPERLINK("https://mathstats.uncg.edu/sites/pauli/congruence/csg12.html#group50F12", "50F¹²")</f>
        <v/>
      </c>
      <c r="B3000" t="n">
        <v>12</v>
      </c>
      <c r="C3000" t="inlineStr"/>
      <c r="D3000" t="inlineStr">
        <is>
          <t>180</t>
        </is>
      </c>
      <c r="E3000" t="inlineStr">
        <is>
          <t>1</t>
        </is>
      </c>
      <c r="F3000" t="inlineStr">
        <is>
          <t>90</t>
        </is>
      </c>
      <c r="G3000" t="inlineStr">
        <is>
          <t>4</t>
        </is>
      </c>
      <c r="H3000" t="inlineStr">
        <is>
          <t>0</t>
        </is>
      </c>
      <c r="I3000" t="inlineStr">
        <is>
          <t>10³, 50³</t>
        </is>
      </c>
      <c r="J3000" t="n">
        <v>6</v>
      </c>
      <c r="K3000" t="inlineStr">
        <is>
          <t>2⁶, 4¹², 20⁶</t>
        </is>
      </c>
      <c r="L3000" t="inlineStr">
        <is>
          <t>10G⁰, 50B⁴, 50B⁶</t>
        </is>
      </c>
      <c r="M3000" t="inlineStr"/>
      <c r="N3000" t="inlineStr">
        <is>
          <t>50B⁴, 10G⁰, 5B⁰, 10C⁰, 2B⁰, 50B⁶, 1A⁰, 25B², 10B⁰</t>
        </is>
      </c>
      <c r="O3000" t="inlineStr"/>
    </row>
    <row r="3001">
      <c r="A3001">
        <f>HYPERLINK("https://mathstats.uncg.edu/sites/pauli/congruence/csg12.html#group50G12", "50G¹²")</f>
        <v/>
      </c>
      <c r="B3001" t="n">
        <v>12</v>
      </c>
      <c r="C3001" t="inlineStr"/>
      <c r="D3001" t="inlineStr">
        <is>
          <t>180</t>
        </is>
      </c>
      <c r="E3001" t="inlineStr">
        <is>
          <t>1</t>
        </is>
      </c>
      <c r="F3001" t="inlineStr">
        <is>
          <t>90</t>
        </is>
      </c>
      <c r="G3001" t="inlineStr">
        <is>
          <t>4</t>
        </is>
      </c>
      <c r="H3001" t="inlineStr">
        <is>
          <t>0</t>
        </is>
      </c>
      <c r="I3001" t="inlineStr">
        <is>
          <t>10³, 50³</t>
        </is>
      </c>
      <c r="J3001" t="n">
        <v>6</v>
      </c>
      <c r="K3001" t="inlineStr">
        <is>
          <t>2⁶, 4¹², 20⁶</t>
        </is>
      </c>
      <c r="L3001" t="inlineStr">
        <is>
          <t>10G⁰, 50C⁴, 50C⁶</t>
        </is>
      </c>
      <c r="M3001" t="inlineStr"/>
      <c r="N3001" t="inlineStr">
        <is>
          <t>10G⁰, 50C⁶, 5B⁰, 10C⁰, 2B⁰, 50C⁴, 1A⁰, 25C², 10B⁰</t>
        </is>
      </c>
      <c r="O3001" t="inlineStr"/>
    </row>
    <row r="3002">
      <c r="A3002">
        <f>HYPERLINK("https://mathstats.uncg.edu/sites/pauli/congruence/csg12.html#group50H12", "50H¹²")</f>
        <v/>
      </c>
      <c r="B3002" t="n">
        <v>12</v>
      </c>
      <c r="C3002" t="inlineStr"/>
      <c r="D3002" t="inlineStr">
        <is>
          <t>180</t>
        </is>
      </c>
      <c r="E3002" t="inlineStr">
        <is>
          <t>1</t>
        </is>
      </c>
      <c r="F3002" t="inlineStr">
        <is>
          <t>90</t>
        </is>
      </c>
      <c r="G3002" t="inlineStr">
        <is>
          <t>4</t>
        </is>
      </c>
      <c r="H3002" t="inlineStr">
        <is>
          <t>0</t>
        </is>
      </c>
      <c r="I3002" t="inlineStr">
        <is>
          <t>10³, 50³</t>
        </is>
      </c>
      <c r="J3002" t="n">
        <v>6</v>
      </c>
      <c r="K3002" t="inlineStr">
        <is>
          <t>2⁶, 4¹², 20⁶</t>
        </is>
      </c>
      <c r="L3002" t="inlineStr">
        <is>
          <t>10G⁰, 50D⁴, 50D⁶</t>
        </is>
      </c>
      <c r="M3002" t="inlineStr"/>
      <c r="N3002" t="inlineStr">
        <is>
          <t>10G⁰, 50D⁶, 5B⁰, 10C⁰, 2B⁰, 50D⁴, 1A⁰, 25D², 10B⁰</t>
        </is>
      </c>
      <c r="O3002" t="inlineStr"/>
    </row>
    <row r="3003">
      <c r="A3003">
        <f>HYPERLINK("https://mathstats.uncg.edu/sites/pauli/congruence/csg12.html#group56A12", "56A¹²")</f>
        <v/>
      </c>
      <c r="B3003" t="n">
        <v>12</v>
      </c>
      <c r="C3003" t="inlineStr"/>
      <c r="D3003" t="inlineStr">
        <is>
          <t>168</t>
        </is>
      </c>
      <c r="E3003" t="inlineStr">
        <is>
          <t>2</t>
        </is>
      </c>
      <c r="F3003" t="inlineStr">
        <is>
          <t>21</t>
        </is>
      </c>
      <c r="G3003" t="inlineStr">
        <is>
          <t>0</t>
        </is>
      </c>
      <c r="H3003" t="inlineStr">
        <is>
          <t>0</t>
        </is>
      </c>
      <c r="I3003" t="inlineStr">
        <is>
          <t>14⁴, 56²</t>
        </is>
      </c>
      <c r="J3003" t="n">
        <v>6</v>
      </c>
      <c r="K3003" t="inlineStr">
        <is>
          <t>2³, 6⁶</t>
        </is>
      </c>
      <c r="L3003" t="inlineStr">
        <is>
          <t>56B⁵, 28C⁶, 56B⁶</t>
        </is>
      </c>
      <c r="M3003" t="inlineStr">
        <is>
          <t>56A²³, 56F²⁴</t>
        </is>
      </c>
      <c r="N3003" t="inlineStr">
        <is>
          <t>2A⁰, 56B⁵, 14B¹, 14B³, 4C⁰, 14A¹, 28A³, 2B⁰, 4E⁰, 4B⁰, 1A⁰, 28C², 56B⁶, 28C⁶, 2C⁰, 7A⁰</t>
        </is>
      </c>
      <c r="O3003" t="inlineStr">
        <is>
          <t>56F²⁴, 56A²³</t>
        </is>
      </c>
    </row>
    <row r="3004">
      <c r="A3004">
        <f>HYPERLINK("https://mathstats.uncg.edu/sites/pauli/congruence/csg12.html#group56B12", "56B¹²")</f>
        <v/>
      </c>
      <c r="B3004" t="n">
        <v>12</v>
      </c>
      <c r="C3004" t="inlineStr"/>
      <c r="D3004" t="inlineStr">
        <is>
          <t>168</t>
        </is>
      </c>
      <c r="E3004" t="inlineStr">
        <is>
          <t>2</t>
        </is>
      </c>
      <c r="F3004" t="inlineStr">
        <is>
          <t>21</t>
        </is>
      </c>
      <c r="G3004" t="inlineStr">
        <is>
          <t>0</t>
        </is>
      </c>
      <c r="H3004" t="inlineStr">
        <is>
          <t>0</t>
        </is>
      </c>
      <c r="I3004" t="inlineStr">
        <is>
          <t>14⁴, 56²</t>
        </is>
      </c>
      <c r="J3004" t="n">
        <v>6</v>
      </c>
      <c r="K3004" t="inlineStr">
        <is>
          <t>2³, 6⁶</t>
        </is>
      </c>
      <c r="L3004" t="inlineStr">
        <is>
          <t>8G⁰, 56C⁵, 28C⁶, 56C⁶</t>
        </is>
      </c>
      <c r="M3004" t="inlineStr">
        <is>
          <t>56A²³, 56C²⁴, 56D²⁴, 112A²⁴, 112B²⁴</t>
        </is>
      </c>
      <c r="N3004" t="inlineStr">
        <is>
          <t>2A⁰, 56C⁵, 56C⁶, 14B¹, 8D⁰, 14B³, 4C⁰, 14A¹, 28A³, 8C⁰, 4E⁰, 2B⁰, 4B⁰, 1A⁰, 28C², 8G⁰, 28C⁶, 2C⁰, 7A⁰</t>
        </is>
      </c>
      <c r="O3004" t="inlineStr">
        <is>
          <t>112B²⁴, 112A²⁴, 56D²⁴, 56A²³, 56C²⁴</t>
        </is>
      </c>
    </row>
    <row r="3005">
      <c r="A3005">
        <f>HYPERLINK("https://mathstats.uncg.edu/sites/pauli/congruence/csg12.html#group56C12", "56C¹²")</f>
        <v/>
      </c>
      <c r="B3005" t="n">
        <v>12</v>
      </c>
      <c r="C3005" t="inlineStr"/>
      <c r="D3005" t="inlineStr">
        <is>
          <t>168</t>
        </is>
      </c>
      <c r="E3005" t="inlineStr">
        <is>
          <t>2</t>
        </is>
      </c>
      <c r="F3005" t="inlineStr">
        <is>
          <t>42</t>
        </is>
      </c>
      <c r="G3005" t="inlineStr">
        <is>
          <t>0</t>
        </is>
      </c>
      <c r="H3005" t="inlineStr">
        <is>
          <t>0</t>
        </is>
      </c>
      <c r="I3005" t="inlineStr">
        <is>
          <t>14⁴, 56²</t>
        </is>
      </c>
      <c r="J3005" t="n">
        <v>6</v>
      </c>
      <c r="K3005" t="inlineStr">
        <is>
          <t>2⁴, 4¹, 6⁸, 12²</t>
        </is>
      </c>
      <c r="L3005" t="inlineStr">
        <is>
          <t>28A⁶, 56B⁶, 56C⁶</t>
        </is>
      </c>
      <c r="M3005" t="inlineStr">
        <is>
          <t>56A²³, 56E²⁴, 112G²⁴</t>
        </is>
      </c>
      <c r="N3005" t="inlineStr">
        <is>
          <t>14A⁰, 56C⁶, 14B¹, 56B⁶, 28A⁶, 14C², 28A³, 2B⁰, 8C⁰, 28B³, 4B⁰, 1A⁰, 7A⁰</t>
        </is>
      </c>
      <c r="O3005" t="inlineStr">
        <is>
          <t>112G²⁴, 56A²³, 56E²⁴</t>
        </is>
      </c>
    </row>
    <row r="3006">
      <c r="A3006">
        <f>HYPERLINK("https://mathstats.uncg.edu/sites/pauli/congruence/csg12.html#group56D12", "56D¹²")</f>
        <v/>
      </c>
      <c r="B3006" t="n">
        <v>12</v>
      </c>
      <c r="C3006" t="inlineStr"/>
      <c r="D3006" t="inlineStr">
        <is>
          <t>168</t>
        </is>
      </c>
      <c r="E3006" t="inlineStr">
        <is>
          <t>2</t>
        </is>
      </c>
      <c r="F3006" t="inlineStr">
        <is>
          <t>42</t>
        </is>
      </c>
      <c r="G3006" t="inlineStr">
        <is>
          <t>4</t>
        </is>
      </c>
      <c r="H3006" t="inlineStr">
        <is>
          <t>0</t>
        </is>
      </c>
      <c r="I3006" t="inlineStr">
        <is>
          <t>28², 56²</t>
        </is>
      </c>
      <c r="J3006" t="n">
        <v>4</v>
      </c>
      <c r="K3006" t="inlineStr">
        <is>
          <t>2², 4², 6⁴, 12⁴</t>
        </is>
      </c>
      <c r="L3006" t="inlineStr">
        <is>
          <t>28C⁵, 56C⁵, 56A⁶</t>
        </is>
      </c>
      <c r="M3006" t="inlineStr">
        <is>
          <t>56D²³</t>
        </is>
      </c>
      <c r="N3006" t="inlineStr">
        <is>
          <t>28C², 56C⁵, 14B¹, 8D⁰, 4C⁰, 28C⁵, 2B⁰, 1A⁰, 56A⁶, 7A⁰</t>
        </is>
      </c>
      <c r="O3006" t="inlineStr">
        <is>
          <t>56D²³</t>
        </is>
      </c>
    </row>
    <row r="3007">
      <c r="A3007">
        <f>HYPERLINK("https://mathstats.uncg.edu/sites/pauli/congruence/csg12.html#group56E12", "56E¹²")</f>
        <v/>
      </c>
      <c r="B3007" t="n">
        <v>12</v>
      </c>
      <c r="C3007" t="inlineStr"/>
      <c r="D3007" t="inlineStr">
        <is>
          <t>168</t>
        </is>
      </c>
      <c r="E3007" t="inlineStr">
        <is>
          <t>2</t>
        </is>
      </c>
      <c r="F3007" t="inlineStr">
        <is>
          <t>42</t>
        </is>
      </c>
      <c r="G3007" t="inlineStr">
        <is>
          <t>4</t>
        </is>
      </c>
      <c r="H3007" t="inlineStr">
        <is>
          <t>0</t>
        </is>
      </c>
      <c r="I3007" t="inlineStr">
        <is>
          <t>28², 56²</t>
        </is>
      </c>
      <c r="J3007" t="n">
        <v>4</v>
      </c>
      <c r="K3007" t="inlineStr">
        <is>
          <t>2², 4², 6⁴, 12⁴</t>
        </is>
      </c>
      <c r="L3007" t="inlineStr">
        <is>
          <t>28D⁵, 56B⁵, 56A⁶</t>
        </is>
      </c>
      <c r="M3007" t="inlineStr">
        <is>
          <t>56D²³</t>
        </is>
      </c>
      <c r="N3007" t="inlineStr">
        <is>
          <t>28C², 56B⁵, 14B¹, 4A⁰, 28D⁵, 4C⁰, 2B⁰, 4F⁰, 28A¹, 1A⁰, 56A⁶, 7A⁰</t>
        </is>
      </c>
      <c r="O3007" t="inlineStr">
        <is>
          <t>56D²³</t>
        </is>
      </c>
    </row>
    <row r="3008">
      <c r="A3008">
        <f>HYPERLINK("https://mathstats.uncg.edu/sites/pauli/congruence/csg12.html#group56F12", "56F¹²")</f>
        <v/>
      </c>
      <c r="B3008" t="n">
        <v>12</v>
      </c>
      <c r="C3008" t="inlineStr"/>
      <c r="D3008" t="inlineStr">
        <is>
          <t>168</t>
        </is>
      </c>
      <c r="E3008" t="inlineStr">
        <is>
          <t>2</t>
        </is>
      </c>
      <c r="F3008" t="inlineStr">
        <is>
          <t>84</t>
        </is>
      </c>
      <c r="G3008" t="inlineStr">
        <is>
          <t>0</t>
        </is>
      </c>
      <c r="H3008" t="inlineStr">
        <is>
          <t>0</t>
        </is>
      </c>
      <c r="I3008" t="inlineStr">
        <is>
          <t>7², 14¹, 28¹, 56²</t>
        </is>
      </c>
      <c r="J3008" t="n">
        <v>6</v>
      </c>
      <c r="K3008" t="inlineStr">
        <is>
          <t>2⁴, 4², 6⁸, 8¹, 12⁴, 24²</t>
        </is>
      </c>
      <c r="L3008" t="inlineStr">
        <is>
          <t>56C⁶</t>
        </is>
      </c>
      <c r="M3008" t="inlineStr">
        <is>
          <t>56E²³, 56C²⁴, 56E²⁴, 112D²⁴, 112C²⁴</t>
        </is>
      </c>
      <c r="N3008" t="inlineStr">
        <is>
          <t>56C⁶, 14B¹, 28A³, 8C⁰, 2B⁰, 4B⁰, 1A⁰, 7A⁰</t>
        </is>
      </c>
      <c r="O3008" t="inlineStr">
        <is>
          <t>56E²³, 112C²⁴, 56E²⁴, 112D²⁴, 56C²⁴</t>
        </is>
      </c>
    </row>
    <row r="3009">
      <c r="A3009">
        <f>HYPERLINK("https://mathstats.uncg.edu/sites/pauli/congruence/csg12.html#group56G12", "56G¹²")</f>
        <v/>
      </c>
      <c r="B3009" t="n">
        <v>12</v>
      </c>
      <c r="C3009" t="inlineStr"/>
      <c r="D3009" t="inlineStr">
        <is>
          <t>168</t>
        </is>
      </c>
      <c r="E3009" t="inlineStr">
        <is>
          <t>2</t>
        </is>
      </c>
      <c r="F3009" t="inlineStr">
        <is>
          <t>84</t>
        </is>
      </c>
      <c r="G3009" t="inlineStr">
        <is>
          <t>0</t>
        </is>
      </c>
      <c r="H3009" t="inlineStr">
        <is>
          <t>0</t>
        </is>
      </c>
      <c r="I3009" t="inlineStr">
        <is>
          <t>7², 14¹, 28¹, 56²</t>
        </is>
      </c>
      <c r="J3009" t="n">
        <v>6</v>
      </c>
      <c r="K3009" t="inlineStr">
        <is>
          <t>2⁴, 4², 6⁸, 8¹, 12⁴, 24²</t>
        </is>
      </c>
      <c r="L3009" t="inlineStr">
        <is>
          <t>8I⁰, 56C⁶</t>
        </is>
      </c>
      <c r="M3009" t="inlineStr">
        <is>
          <t>56E²³, 56D²⁴, 56E²⁴, 112E²⁴, 112F²⁴</t>
        </is>
      </c>
      <c r="N3009" t="inlineStr">
        <is>
          <t>56C⁶, 14B¹, 28A³, 8C⁰, 2B⁰, 8I⁰, 4B⁰, 1A⁰, 7A⁰</t>
        </is>
      </c>
      <c r="O3009" t="inlineStr">
        <is>
          <t>112F²⁴, 56E²³, 56D²⁴, 56E²⁴, 112E²⁴</t>
        </is>
      </c>
    </row>
    <row r="3010">
      <c r="A3010">
        <f>HYPERLINK("https://mathstats.uncg.edu/sites/pauli/congruence/csg12.html#group56H12", "56H¹²")</f>
        <v/>
      </c>
      <c r="B3010" t="n">
        <v>12</v>
      </c>
      <c r="C3010" t="inlineStr"/>
      <c r="D3010" t="inlineStr">
        <is>
          <t>168</t>
        </is>
      </c>
      <c r="E3010" t="inlineStr">
        <is>
          <t>2</t>
        </is>
      </c>
      <c r="F3010" t="inlineStr">
        <is>
          <t>84</t>
        </is>
      </c>
      <c r="G3010" t="inlineStr">
        <is>
          <t>0</t>
        </is>
      </c>
      <c r="H3010" t="inlineStr">
        <is>
          <t>0</t>
        </is>
      </c>
      <c r="I3010" t="inlineStr">
        <is>
          <t>14², 28³, 56¹</t>
        </is>
      </c>
      <c r="J3010" t="n">
        <v>6</v>
      </c>
      <c r="K3010" t="inlineStr">
        <is>
          <t>2⁸, 4², 6¹⁶, 12⁴</t>
        </is>
      </c>
      <c r="L3010" t="inlineStr">
        <is>
          <t>28C⁶</t>
        </is>
      </c>
      <c r="M3010" t="inlineStr">
        <is>
          <t>56F²³, 56A²⁴, 56C²⁴, 56F²⁴, 56G²⁴</t>
        </is>
      </c>
      <c r="N3010" t="inlineStr">
        <is>
          <t>28C², 2A⁰, 14B³, 14B¹, 4C⁰, 14A¹, 28A³, 2B⁰, 28C⁶, 4E⁰, 4B⁰, 1A⁰, 2C⁰, 7A⁰</t>
        </is>
      </c>
      <c r="O3010" t="inlineStr">
        <is>
          <t>56F²⁴, 56G²⁴, 56A²⁴, 56C²⁴, 56F²³</t>
        </is>
      </c>
    </row>
    <row r="3011">
      <c r="A3011">
        <f>HYPERLINK("https://mathstats.uncg.edu/sites/pauli/congruence/csg12.html#group56I12", "56I¹²")</f>
        <v/>
      </c>
      <c r="B3011" t="n">
        <v>12</v>
      </c>
      <c r="C3011" t="inlineStr"/>
      <c r="D3011" t="inlineStr">
        <is>
          <t>168</t>
        </is>
      </c>
      <c r="E3011" t="inlineStr">
        <is>
          <t>2</t>
        </is>
      </c>
      <c r="F3011" t="inlineStr">
        <is>
          <t>84</t>
        </is>
      </c>
      <c r="G3011" t="inlineStr">
        <is>
          <t>0</t>
        </is>
      </c>
      <c r="H3011" t="inlineStr">
        <is>
          <t>0</t>
        </is>
      </c>
      <c r="I3011" t="inlineStr">
        <is>
          <t>14², 28³, 56¹</t>
        </is>
      </c>
      <c r="J3011" t="n">
        <v>6</v>
      </c>
      <c r="K3011" t="inlineStr">
        <is>
          <t>2⁸, 4², 6¹⁶, 12⁴</t>
        </is>
      </c>
      <c r="L3011" t="inlineStr">
        <is>
          <t>8J⁰, 28C⁶</t>
        </is>
      </c>
      <c r="M3011" t="inlineStr">
        <is>
          <t>56F²³, 56B²⁴, 56D²⁴, 56F²⁴, 56G²⁴</t>
        </is>
      </c>
      <c r="N3011" t="inlineStr">
        <is>
          <t>2A⁰, 14B³, 14B¹, 4C⁰, 14A¹, 28A³, 2B⁰, 4E⁰, 4B⁰, 1A⁰, 28C², 28C⁶, 8J⁰, 2C⁰, 7A⁰</t>
        </is>
      </c>
      <c r="O3011" t="inlineStr">
        <is>
          <t>56F²⁴, 56D²⁴, 56B²⁴, 56G²⁴, 56F²³</t>
        </is>
      </c>
    </row>
    <row r="3012">
      <c r="A3012">
        <f>HYPERLINK("https://mathstats.uncg.edu/sites/pauli/congruence/csg12.html#group56J12", "56J¹²")</f>
        <v/>
      </c>
      <c r="B3012" t="n">
        <v>12</v>
      </c>
      <c r="C3012" t="inlineStr"/>
      <c r="D3012" t="inlineStr">
        <is>
          <t>168</t>
        </is>
      </c>
      <c r="E3012" t="inlineStr">
        <is>
          <t>2</t>
        </is>
      </c>
      <c r="F3012" t="inlineStr">
        <is>
          <t>84</t>
        </is>
      </c>
      <c r="G3012" t="inlineStr">
        <is>
          <t>6</t>
        </is>
      </c>
      <c r="H3012" t="inlineStr">
        <is>
          <t>0</t>
        </is>
      </c>
      <c r="I3012" t="inlineStr">
        <is>
          <t>56³</t>
        </is>
      </c>
      <c r="J3012" t="n">
        <v>3</v>
      </c>
      <c r="K3012" t="inlineStr">
        <is>
          <t>4², 8², 12⁴, 24⁴</t>
        </is>
      </c>
      <c r="L3012" t="inlineStr">
        <is>
          <t>56A³, 56B³, 28D⁵</t>
        </is>
      </c>
      <c r="M3012" t="inlineStr">
        <is>
          <t>56I²³, 56I²⁴, 56J²⁴</t>
        </is>
      </c>
      <c r="N3012" t="inlineStr">
        <is>
          <t>56B³, 14B¹, 4C⁰, 2B⁰, 1A⁰, 28C², 4A⁰, 28D⁵, 4F⁰, 28A¹, 7A⁰, 56A³</t>
        </is>
      </c>
      <c r="O3012" t="inlineStr">
        <is>
          <t>56I²⁴, 56I²³, 56J²⁴</t>
        </is>
      </c>
    </row>
    <row r="3013">
      <c r="A3013">
        <f>HYPERLINK("https://mathstats.uncg.edu/sites/pauli/congruence/csg12.html#group56K12", "56K¹²")</f>
        <v/>
      </c>
      <c r="B3013" t="n">
        <v>12</v>
      </c>
      <c r="C3013" t="inlineStr"/>
      <c r="D3013" t="inlineStr">
        <is>
          <t>168</t>
        </is>
      </c>
      <c r="E3013" t="inlineStr">
        <is>
          <t>2</t>
        </is>
      </c>
      <c r="F3013" t="inlineStr">
        <is>
          <t>84</t>
        </is>
      </c>
      <c r="G3013" t="inlineStr">
        <is>
          <t>6</t>
        </is>
      </c>
      <c r="H3013" t="inlineStr">
        <is>
          <t>0</t>
        </is>
      </c>
      <c r="I3013" t="inlineStr">
        <is>
          <t>56³</t>
        </is>
      </c>
      <c r="J3013" t="n">
        <v>3</v>
      </c>
      <c r="K3013" t="inlineStr">
        <is>
          <t>4², 8², 12⁴, 24⁴</t>
        </is>
      </c>
      <c r="L3013" t="inlineStr">
        <is>
          <t>8D¹, 56C³, 56D³, 28D⁵</t>
        </is>
      </c>
      <c r="M3013" t="inlineStr">
        <is>
          <t>56J²³, 56H²⁴, 56J²⁴</t>
        </is>
      </c>
      <c r="N3013" t="inlineStr">
        <is>
          <t>56D³, 14B¹, 4C⁰, 8A⁰, 2B⁰, 1A⁰, 8D¹, 28C², 4A⁰, 28D⁵, 56C³, 4F⁰, 28A¹, 7A⁰</t>
        </is>
      </c>
      <c r="O3013" t="inlineStr">
        <is>
          <t>56H²⁴, 56J²³, 56J²⁴</t>
        </is>
      </c>
    </row>
    <row r="3014">
      <c r="A3014">
        <f>HYPERLINK("https://mathstats.uncg.edu/sites/pauli/congruence/csg12.html#group56L12", "56L¹²")</f>
        <v/>
      </c>
      <c r="B3014" t="n">
        <v>12</v>
      </c>
      <c r="C3014" t="inlineStr"/>
      <c r="D3014" t="inlineStr">
        <is>
          <t>192</t>
        </is>
      </c>
      <c r="E3014" t="inlineStr">
        <is>
          <t>1</t>
        </is>
      </c>
      <c r="F3014" t="inlineStr">
        <is>
          <t>96</t>
        </is>
      </c>
      <c r="G3014" t="inlineStr">
        <is>
          <t>0</t>
        </is>
      </c>
      <c r="H3014" t="inlineStr">
        <is>
          <t>0</t>
        </is>
      </c>
      <c r="I3014" t="inlineStr">
        <is>
          <t>4⁴, 8¹, 28⁴, 56¹</t>
        </is>
      </c>
      <c r="J3014" t="n">
        <v>10</v>
      </c>
      <c r="K3014" t="inlineStr">
        <is>
          <t>2⁴, 4⁴, 12², 24²</t>
        </is>
      </c>
      <c r="L3014" t="inlineStr">
        <is>
          <t>8K⁰, 28G⁶</t>
        </is>
      </c>
      <c r="M3014" t="inlineStr">
        <is>
          <t>56P²³</t>
        </is>
      </c>
      <c r="N3014" t="inlineStr">
        <is>
          <t>4C⁰, 2B⁰, 28G⁶, 1A⁰, 8K⁰, 28A², 4A⁰, 7B⁰, 14C¹, 4F⁰, 28C³</t>
        </is>
      </c>
      <c r="O3014" t="inlineStr">
        <is>
          <t>56P²³</t>
        </is>
      </c>
    </row>
    <row r="3015">
      <c r="A3015">
        <f>HYPERLINK("https://mathstats.uncg.edu/sites/pauli/congruence/csg12.html#group58A12", "58A¹²")</f>
        <v/>
      </c>
      <c r="B3015" t="n">
        <v>12</v>
      </c>
      <c r="C3015" t="inlineStr"/>
      <c r="D3015" t="inlineStr">
        <is>
          <t>180</t>
        </is>
      </c>
      <c r="E3015" t="inlineStr">
        <is>
          <t>1</t>
        </is>
      </c>
      <c r="F3015" t="inlineStr">
        <is>
          <t>90</t>
        </is>
      </c>
      <c r="G3015" t="inlineStr">
        <is>
          <t>0</t>
        </is>
      </c>
      <c r="H3015" t="inlineStr">
        <is>
          <t>0</t>
        </is>
      </c>
      <c r="I3015" t="inlineStr">
        <is>
          <t>1², 2², 29², 58²</t>
        </is>
      </c>
      <c r="J3015" t="n">
        <v>8</v>
      </c>
      <c r="K3015" t="inlineStr">
        <is>
          <t>1⁶, 28³</t>
        </is>
      </c>
      <c r="L3015" t="inlineStr">
        <is>
          <t>29A⁴, 58A⁶</t>
        </is>
      </c>
      <c r="M3015" t="inlineStr"/>
      <c r="N3015" t="inlineStr">
        <is>
          <t>2B⁰, 29A⁴, 1A⁰, 29A², 58A⁶</t>
        </is>
      </c>
      <c r="O3015" t="inlineStr"/>
    </row>
    <row r="3016">
      <c r="A3016">
        <f>HYPERLINK("https://mathstats.uncg.edu/sites/pauli/congruence/csg12.html#group58B12", "58B¹²")</f>
        <v/>
      </c>
      <c r="B3016" t="n">
        <v>12</v>
      </c>
      <c r="C3016" t="inlineStr"/>
      <c r="D3016" t="inlineStr">
        <is>
          <t>180</t>
        </is>
      </c>
      <c r="E3016" t="inlineStr">
        <is>
          <t>1</t>
        </is>
      </c>
      <c r="F3016" t="inlineStr">
        <is>
          <t>90</t>
        </is>
      </c>
      <c r="G3016" t="inlineStr">
        <is>
          <t>4</t>
        </is>
      </c>
      <c r="H3016" t="inlineStr">
        <is>
          <t>0</t>
        </is>
      </c>
      <c r="I3016" t="inlineStr">
        <is>
          <t>2³, 58³</t>
        </is>
      </c>
      <c r="J3016" t="n">
        <v>6</v>
      </c>
      <c r="K3016" t="inlineStr">
        <is>
          <t>1⁶, 28³</t>
        </is>
      </c>
      <c r="L3016" t="inlineStr">
        <is>
          <t>58A⁴, 58A⁶</t>
        </is>
      </c>
      <c r="M3016" t="inlineStr"/>
      <c r="N3016" t="inlineStr">
        <is>
          <t>2B⁰, 58A⁴, 1A⁰, 29A², 58A⁶</t>
        </is>
      </c>
      <c r="O3016" t="inlineStr"/>
    </row>
    <row r="3017">
      <c r="A3017">
        <f>HYPERLINK("https://mathstats.uncg.edu/sites/pauli/congruence/csg12.html#group60A12", "60A¹²")</f>
        <v/>
      </c>
      <c r="B3017" t="n">
        <v>12</v>
      </c>
      <c r="C3017" t="inlineStr"/>
      <c r="D3017" t="inlineStr">
        <is>
          <t>160</t>
        </is>
      </c>
      <c r="E3017" t="inlineStr">
        <is>
          <t>1</t>
        </is>
      </c>
      <c r="F3017" t="inlineStr">
        <is>
          <t>160</t>
        </is>
      </c>
      <c r="G3017" t="inlineStr">
        <is>
          <t>0</t>
        </is>
      </c>
      <c r="H3017" t="inlineStr">
        <is>
          <t>1</t>
        </is>
      </c>
      <c r="I3017" t="inlineStr">
        <is>
          <t>20², 60²</t>
        </is>
      </c>
      <c r="J3017" t="n">
        <v>4</v>
      </c>
      <c r="K3017" t="inlineStr">
        <is>
          <t>4⁴, 8¹⁰, 16⁴</t>
        </is>
      </c>
      <c r="L3017" t="inlineStr">
        <is>
          <t>12A¹, 15C², 20E²</t>
        </is>
      </c>
      <c r="M3017" t="inlineStr">
        <is>
          <t>60A²³, 60B²³, 60C²³</t>
        </is>
      </c>
      <c r="N3017" t="inlineStr">
        <is>
          <t>3B⁰, 4A⁰, 12A¹, 5C⁰, 15C², 1A⁰, 20E²</t>
        </is>
      </c>
      <c r="O3017" t="inlineStr">
        <is>
          <t>60B²³, 60A²³, 60C²³</t>
        </is>
      </c>
    </row>
    <row r="3018">
      <c r="A3018">
        <f>HYPERLINK("https://mathstats.uncg.edu/sites/pauli/congruence/csg12.html#group60B12", "60B¹²")</f>
        <v/>
      </c>
      <c r="B3018" t="n">
        <v>12</v>
      </c>
      <c r="C3018" t="inlineStr"/>
      <c r="D3018" t="inlineStr">
        <is>
          <t>180</t>
        </is>
      </c>
      <c r="E3018" t="inlineStr">
        <is>
          <t>1</t>
        </is>
      </c>
      <c r="F3018" t="inlineStr">
        <is>
          <t>45</t>
        </is>
      </c>
      <c r="G3018" t="inlineStr">
        <is>
          <t>4</t>
        </is>
      </c>
      <c r="H3018" t="inlineStr">
        <is>
          <t>0</t>
        </is>
      </c>
      <c r="I3018" t="inlineStr">
        <is>
          <t>15⁴, 60²</t>
        </is>
      </c>
      <c r="J3018" t="n">
        <v>6</v>
      </c>
      <c r="K3018" t="inlineStr">
        <is>
          <t>1³, 2³, 4³, 8³</t>
        </is>
      </c>
      <c r="L3018" t="inlineStr">
        <is>
          <t>12G⁰, 30A⁶, 60C⁶</t>
        </is>
      </c>
      <c r="M3018" t="inlineStr"/>
      <c r="N3018" t="inlineStr">
        <is>
          <t>30D³, 5A⁰, 12G⁰, 60C⁶, 15A², 15A¹, 10B¹, 6G⁰, 3C⁰, 30A⁶, 2B⁰, 12D⁰, 3A⁰, 1A⁰, 6D⁰</t>
        </is>
      </c>
      <c r="O3018" t="inlineStr"/>
    </row>
    <row r="3019">
      <c r="A3019">
        <f>HYPERLINK("https://mathstats.uncg.edu/sites/pauli/congruence/csg12.html#group60C12", "60C¹²")</f>
        <v/>
      </c>
      <c r="B3019" t="n">
        <v>12</v>
      </c>
      <c r="C3019" t="inlineStr"/>
      <c r="D3019" t="inlineStr">
        <is>
          <t>180</t>
        </is>
      </c>
      <c r="E3019" t="inlineStr">
        <is>
          <t>1</t>
        </is>
      </c>
      <c r="F3019" t="inlineStr">
        <is>
          <t>45</t>
        </is>
      </c>
      <c r="G3019" t="inlineStr">
        <is>
          <t>8</t>
        </is>
      </c>
      <c r="H3019" t="inlineStr">
        <is>
          <t>0</t>
        </is>
      </c>
      <c r="I3019" t="inlineStr">
        <is>
          <t>30², 60²</t>
        </is>
      </c>
      <c r="J3019" t="n">
        <v>4</v>
      </c>
      <c r="K3019" t="inlineStr">
        <is>
          <t>1³, 2³, 4³, 8³</t>
        </is>
      </c>
      <c r="L3019" t="inlineStr">
        <is>
          <t>12H⁰, 30B⁶, 60B⁶, 60C⁶</t>
        </is>
      </c>
      <c r="M3019" t="inlineStr"/>
      <c r="N3019" t="inlineStr">
        <is>
          <t>5A⁰, 6B⁰, 12C⁰, 60C⁶, 15A¹, 10B¹, 20B², 4C⁰, 60B⁶, 2B⁰, 30B⁶, 12H⁰, 1A⁰, 30D³, 30A², 12D⁰, 6H⁰, 3A⁰, 6D⁰</t>
        </is>
      </c>
      <c r="O3019" t="inlineStr"/>
    </row>
    <row r="3020">
      <c r="A3020">
        <f>HYPERLINK("https://mathstats.uncg.edu/sites/pauli/congruence/csg12.html#group60D12", "60D¹²")</f>
        <v/>
      </c>
      <c r="B3020" t="n">
        <v>12</v>
      </c>
      <c r="C3020" t="inlineStr"/>
      <c r="D3020" t="inlineStr">
        <is>
          <t>180</t>
        </is>
      </c>
      <c r="E3020" t="inlineStr">
        <is>
          <t>1</t>
        </is>
      </c>
      <c r="F3020" t="inlineStr">
        <is>
          <t>90</t>
        </is>
      </c>
      <c r="G3020" t="inlineStr">
        <is>
          <t>4</t>
        </is>
      </c>
      <c r="H3020" t="inlineStr">
        <is>
          <t>0</t>
        </is>
      </c>
      <c r="I3020" t="inlineStr">
        <is>
          <t>15⁴, 60²</t>
        </is>
      </c>
      <c r="J3020" t="n">
        <v>6</v>
      </c>
      <c r="K3020" t="inlineStr">
        <is>
          <t>2³, 4⁹, 8⁶</t>
        </is>
      </c>
      <c r="L3020" t="inlineStr">
        <is>
          <t>30K⁵</t>
        </is>
      </c>
      <c r="M3020" t="inlineStr">
        <is>
          <t>60E²³, 60L²³</t>
        </is>
      </c>
      <c r="N3020" t="inlineStr">
        <is>
          <t>30K⁵, 15D¹, 1A⁰, 2B⁰, 3A⁰, 5C⁰, 6D⁰, 10F¹</t>
        </is>
      </c>
      <c r="O3020" t="inlineStr">
        <is>
          <t>60L²³, 60E²³</t>
        </is>
      </c>
    </row>
    <row r="3021">
      <c r="A3021">
        <f>HYPERLINK("https://mathstats.uncg.edu/sites/pauli/congruence/csg12.html#group60E12", "60E¹²")</f>
        <v/>
      </c>
      <c r="B3021" t="n">
        <v>12</v>
      </c>
      <c r="C3021" t="inlineStr"/>
      <c r="D3021" t="inlineStr">
        <is>
          <t>180</t>
        </is>
      </c>
      <c r="E3021" t="inlineStr">
        <is>
          <t>1</t>
        </is>
      </c>
      <c r="F3021" t="inlineStr">
        <is>
          <t>90</t>
        </is>
      </c>
      <c r="G3021" t="inlineStr">
        <is>
          <t>8</t>
        </is>
      </c>
      <c r="H3021" t="inlineStr">
        <is>
          <t>0</t>
        </is>
      </c>
      <c r="I3021" t="inlineStr">
        <is>
          <t>30², 60²</t>
        </is>
      </c>
      <c r="J3021" t="n">
        <v>4</v>
      </c>
      <c r="K3021" t="inlineStr">
        <is>
          <t>2³, 4⁹, 8⁶</t>
        </is>
      </c>
      <c r="L3021" t="inlineStr">
        <is>
          <t>30K⁵</t>
        </is>
      </c>
      <c r="M3021" t="inlineStr">
        <is>
          <t>60F²³, 60G²³, 60H²³</t>
        </is>
      </c>
      <c r="N3021" t="inlineStr">
        <is>
          <t>30K⁵, 15D¹, 1A⁰, 2B⁰, 3A⁰, 5C⁰, 6D⁰, 10F¹</t>
        </is>
      </c>
      <c r="O3021" t="inlineStr">
        <is>
          <t>60H²³, 60F²³, 60G²³</t>
        </is>
      </c>
    </row>
    <row r="3022">
      <c r="A3022">
        <f>HYPERLINK("https://mathstats.uncg.edu/sites/pauli/congruence/csg12.html#group61A12", "61A¹²")</f>
        <v/>
      </c>
      <c r="B3022" t="n">
        <v>12</v>
      </c>
      <c r="C3022" t="inlineStr"/>
      <c r="D3022" t="inlineStr">
        <is>
          <t>186</t>
        </is>
      </c>
      <c r="E3022" t="inlineStr">
        <is>
          <t>1</t>
        </is>
      </c>
      <c r="F3022" t="inlineStr">
        <is>
          <t>62</t>
        </is>
      </c>
      <c r="G3022" t="inlineStr">
        <is>
          <t>6</t>
        </is>
      </c>
      <c r="H3022" t="inlineStr">
        <is>
          <t>0</t>
        </is>
      </c>
      <c r="I3022" t="inlineStr">
        <is>
          <t>1³, 61³</t>
        </is>
      </c>
      <c r="J3022" t="n">
        <v>6</v>
      </c>
      <c r="K3022" t="inlineStr">
        <is>
          <t>1², 60¹</t>
        </is>
      </c>
      <c r="L3022" t="inlineStr">
        <is>
          <t>61A⁴</t>
        </is>
      </c>
      <c r="M3022" t="inlineStr"/>
      <c r="N3022" t="inlineStr">
        <is>
          <t>1A⁰, 61A⁴</t>
        </is>
      </c>
      <c r="O3022" t="inlineStr"/>
    </row>
    <row r="3023">
      <c r="A3023">
        <f>HYPERLINK("https://mathstats.uncg.edu/sites/pauli/congruence/csg12.html#group62A12", "62A¹²")</f>
        <v/>
      </c>
      <c r="B3023" t="n">
        <v>12</v>
      </c>
      <c r="C3023" t="inlineStr"/>
      <c r="D3023" t="inlineStr">
        <is>
          <t>192</t>
        </is>
      </c>
      <c r="E3023" t="inlineStr">
        <is>
          <t>1</t>
        </is>
      </c>
      <c r="F3023" t="inlineStr">
        <is>
          <t>64</t>
        </is>
      </c>
      <c r="G3023" t="inlineStr">
        <is>
          <t>0</t>
        </is>
      </c>
      <c r="H3023" t="inlineStr">
        <is>
          <t>6</t>
        </is>
      </c>
      <c r="I3023" t="inlineStr">
        <is>
          <t>2³, 62³</t>
        </is>
      </c>
      <c r="J3023" t="n">
        <v>6</v>
      </c>
      <c r="K3023" t="inlineStr">
        <is>
          <t>1⁴, 30²</t>
        </is>
      </c>
      <c r="L3023" t="inlineStr">
        <is>
          <t>62A⁴</t>
        </is>
      </c>
      <c r="M3023" t="inlineStr"/>
      <c r="N3023" t="inlineStr">
        <is>
          <t>2A⁰, 31A², 1A⁰, 62A⁴</t>
        </is>
      </c>
      <c r="O3023" t="inlineStr"/>
    </row>
    <row r="3024">
      <c r="A3024">
        <f>HYPERLINK("https://mathstats.uncg.edu/sites/pauli/congruence/csg12.html#group63A12", "63A¹²")</f>
        <v/>
      </c>
      <c r="B3024" t="n">
        <v>12</v>
      </c>
      <c r="C3024" t="inlineStr"/>
      <c r="D3024" t="inlineStr">
        <is>
          <t>168</t>
        </is>
      </c>
      <c r="E3024" t="inlineStr">
        <is>
          <t>2</t>
        </is>
      </c>
      <c r="F3024" t="inlineStr">
        <is>
          <t>56</t>
        </is>
      </c>
      <c r="G3024" t="inlineStr">
        <is>
          <t>0</t>
        </is>
      </c>
      <c r="H3024" t="inlineStr">
        <is>
          <t>3</t>
        </is>
      </c>
      <c r="I3024" t="inlineStr">
        <is>
          <t>21², 63²</t>
        </is>
      </c>
      <c r="J3024" t="n">
        <v>4</v>
      </c>
      <c r="K3024" t="inlineStr">
        <is>
          <t>4⁴, 12⁸</t>
        </is>
      </c>
      <c r="L3024" t="inlineStr">
        <is>
          <t>21B³</t>
        </is>
      </c>
      <c r="M3024" t="inlineStr"/>
      <c r="N3024" t="inlineStr">
        <is>
          <t>21B³, 3B⁰, 21B², 1A⁰, 7C⁰, 7A⁰</t>
        </is>
      </c>
      <c r="O3024" t="inlineStr"/>
    </row>
    <row r="3025">
      <c r="A3025">
        <f>HYPERLINK("https://mathstats.uncg.edu/sites/pauli/congruence/csg12.html#group63B12", "63B¹²")</f>
        <v/>
      </c>
      <c r="B3025" t="n">
        <v>12</v>
      </c>
      <c r="C3025" t="inlineStr"/>
      <c r="D3025" t="inlineStr">
        <is>
          <t>189</t>
        </is>
      </c>
      <c r="E3025" t="inlineStr">
        <is>
          <t>2</t>
        </is>
      </c>
      <c r="F3025" t="inlineStr">
        <is>
          <t>189</t>
        </is>
      </c>
      <c r="G3025" t="inlineStr">
        <is>
          <t>9</t>
        </is>
      </c>
      <c r="H3025" t="inlineStr">
        <is>
          <t>3</t>
        </is>
      </c>
      <c r="I3025" t="inlineStr">
        <is>
          <t>63³</t>
        </is>
      </c>
      <c r="J3025" t="n">
        <v>3</v>
      </c>
      <c r="K3025" t="inlineStr">
        <is>
          <t>6¹, 12⁴, 18², 36⁸</t>
        </is>
      </c>
      <c r="L3025" t="inlineStr">
        <is>
          <t>7A⁰, 9F⁰</t>
        </is>
      </c>
      <c r="M3025" t="inlineStr"/>
      <c r="N3025" t="inlineStr">
        <is>
          <t>9F⁰, 1A⁰, 7A⁰</t>
        </is>
      </c>
      <c r="O3025" t="inlineStr"/>
    </row>
    <row r="3026">
      <c r="A3026">
        <f>HYPERLINK("https://mathstats.uncg.edu/sites/pauli/congruence/csg12.html#group65A12", "65A¹²")</f>
        <v/>
      </c>
      <c r="B3026" t="n">
        <v>12</v>
      </c>
      <c r="C3026" t="inlineStr"/>
      <c r="D3026" t="inlineStr">
        <is>
          <t>210</t>
        </is>
      </c>
      <c r="E3026" t="inlineStr">
        <is>
          <t>1</t>
        </is>
      </c>
      <c r="F3026" t="inlineStr">
        <is>
          <t>70</t>
        </is>
      </c>
      <c r="G3026" t="inlineStr">
        <is>
          <t>6</t>
        </is>
      </c>
      <c r="H3026" t="inlineStr">
        <is>
          <t>6</t>
        </is>
      </c>
      <c r="I3026" t="inlineStr">
        <is>
          <t>5³, 65³</t>
        </is>
      </c>
      <c r="J3026" t="n">
        <v>6</v>
      </c>
      <c r="K3026" t="inlineStr">
        <is>
          <t>2², 4⁴, 24¹, 48²</t>
        </is>
      </c>
      <c r="L3026" t="inlineStr">
        <is>
          <t>65A⁴</t>
        </is>
      </c>
      <c r="M3026" t="inlineStr"/>
      <c r="N3026" t="inlineStr">
        <is>
          <t>13A⁰, 1A⁰, 65A⁴, 5A⁰</t>
        </is>
      </c>
      <c r="O3026" t="inlineStr"/>
    </row>
    <row r="3027">
      <c r="A3027">
        <f>HYPERLINK("https://mathstats.uncg.edu/sites/pauli/congruence/csg12.html#group65B12", "65B¹²")</f>
        <v/>
      </c>
      <c r="B3027" t="n">
        <v>12</v>
      </c>
      <c r="C3027" t="inlineStr"/>
      <c r="D3027" t="inlineStr">
        <is>
          <t>210</t>
        </is>
      </c>
      <c r="E3027" t="inlineStr">
        <is>
          <t>1</t>
        </is>
      </c>
      <c r="F3027" t="inlineStr">
        <is>
          <t>70</t>
        </is>
      </c>
      <c r="G3027" t="inlineStr">
        <is>
          <t>6</t>
        </is>
      </c>
      <c r="H3027" t="inlineStr">
        <is>
          <t>6</t>
        </is>
      </c>
      <c r="I3027" t="inlineStr">
        <is>
          <t>5³, 65³</t>
        </is>
      </c>
      <c r="J3027" t="n">
        <v>6</v>
      </c>
      <c r="K3027" t="inlineStr">
        <is>
          <t>2², 4⁴, 24¹, 48²</t>
        </is>
      </c>
      <c r="L3027" t="inlineStr">
        <is>
          <t>65A⁴</t>
        </is>
      </c>
      <c r="M3027" t="inlineStr"/>
      <c r="N3027" t="inlineStr">
        <is>
          <t>13A⁰, 1A⁰, 65A⁴, 5A⁰</t>
        </is>
      </c>
      <c r="O3027" t="inlineStr"/>
    </row>
    <row r="3028">
      <c r="A3028">
        <f>HYPERLINK("https://mathstats.uncg.edu/sites/pauli/congruence/csg12.html#group72A12", "72A¹²")</f>
        <v/>
      </c>
      <c r="B3028" t="n">
        <v>12</v>
      </c>
      <c r="C3028" t="inlineStr"/>
      <c r="D3028" t="inlineStr">
        <is>
          <t>144</t>
        </is>
      </c>
      <c r="E3028" t="inlineStr">
        <is>
          <t>1</t>
        </is>
      </c>
      <c r="F3028" t="inlineStr">
        <is>
          <t>36</t>
        </is>
      </c>
      <c r="G3028" t="inlineStr">
        <is>
          <t>0</t>
        </is>
      </c>
      <c r="H3028" t="inlineStr">
        <is>
          <t>0</t>
        </is>
      </c>
      <c r="I3028" t="inlineStr">
        <is>
          <t>72²</t>
        </is>
      </c>
      <c r="J3028" t="n">
        <v>2</v>
      </c>
      <c r="K3028" t="inlineStr">
        <is>
          <t>2², 4², 12²</t>
        </is>
      </c>
      <c r="L3028" t="inlineStr">
        <is>
          <t>24A⁴, 72A⁴, 36A⁶</t>
        </is>
      </c>
      <c r="M3028" t="inlineStr">
        <is>
          <t>72B²³, 72H²³, 144A²⁴, 144B²⁴, 144C²⁴</t>
        </is>
      </c>
      <c r="N3028" t="inlineStr">
        <is>
          <t>2A⁰, 8A⁰, 24A⁴, 8E⁰, 18A², 36A⁶, 1A⁰, 72A⁴, 36A¹, 12A⁰, 24A¹, 4A⁰, 4D⁰, 9A⁰, 12A², 6A¹, 3A⁰</t>
        </is>
      </c>
      <c r="O3028" t="inlineStr">
        <is>
          <t>72H²³, 144B²⁴, 72B²³, 144C²⁴, 144A²⁴</t>
        </is>
      </c>
    </row>
    <row r="3029">
      <c r="A3029">
        <f>HYPERLINK("https://mathstats.uncg.edu/sites/pauli/congruence/csg12.html#group72B12", "72B¹²")</f>
        <v/>
      </c>
      <c r="B3029" t="n">
        <v>12</v>
      </c>
      <c r="C3029" t="inlineStr"/>
      <c r="D3029" t="inlineStr">
        <is>
          <t>144</t>
        </is>
      </c>
      <c r="E3029" t="inlineStr">
        <is>
          <t>1</t>
        </is>
      </c>
      <c r="F3029" t="inlineStr">
        <is>
          <t>36</t>
        </is>
      </c>
      <c r="G3029" t="inlineStr">
        <is>
          <t>0</t>
        </is>
      </c>
      <c r="H3029" t="inlineStr">
        <is>
          <t>0</t>
        </is>
      </c>
      <c r="I3029" t="inlineStr">
        <is>
          <t>72²</t>
        </is>
      </c>
      <c r="J3029" t="n">
        <v>2</v>
      </c>
      <c r="K3029" t="inlineStr">
        <is>
          <t>2², 4², 12²</t>
        </is>
      </c>
      <c r="L3029" t="inlineStr">
        <is>
          <t>24B⁴, 72B⁴, 36A⁶</t>
        </is>
      </c>
      <c r="M3029" t="inlineStr">
        <is>
          <t>72B²³, 72G²³</t>
        </is>
      </c>
      <c r="N3029" t="inlineStr">
        <is>
          <t>36A¹, 2A⁰, 12A⁰, 3A⁰, 72B⁴, 4A⁰, 4D⁰, 9A⁰, 24B⁴, 12A², 6A¹, 18A², 24B¹, 36A⁶, 1A⁰</t>
        </is>
      </c>
      <c r="O3029" t="inlineStr">
        <is>
          <t>72B²³, 72G²³</t>
        </is>
      </c>
    </row>
    <row r="3030">
      <c r="A3030">
        <f>HYPERLINK("https://mathstats.uncg.edu/sites/pauli/congruence/csg12.html#group72C12", "72C¹²")</f>
        <v/>
      </c>
      <c r="B3030" t="n">
        <v>12</v>
      </c>
      <c r="C3030" t="inlineStr"/>
      <c r="D3030" t="inlineStr">
        <is>
          <t>144</t>
        </is>
      </c>
      <c r="E3030" t="inlineStr">
        <is>
          <t>2</t>
        </is>
      </c>
      <c r="F3030" t="inlineStr">
        <is>
          <t>36</t>
        </is>
      </c>
      <c r="G3030" t="inlineStr">
        <is>
          <t>0</t>
        </is>
      </c>
      <c r="H3030" t="inlineStr">
        <is>
          <t>0</t>
        </is>
      </c>
      <c r="I3030" t="inlineStr">
        <is>
          <t>72²</t>
        </is>
      </c>
      <c r="J3030" t="n">
        <v>2</v>
      </c>
      <c r="K3030" t="inlineStr">
        <is>
          <t>4⁶, 12⁴</t>
        </is>
      </c>
      <c r="L3030" t="inlineStr">
        <is>
          <t>24B⁴, 72C⁴, 72D⁴, 36A⁶</t>
        </is>
      </c>
      <c r="M3030" t="inlineStr">
        <is>
          <t>72A²³, 72G²³, 72H²³</t>
        </is>
      </c>
      <c r="N3030" t="inlineStr">
        <is>
          <t>2A⁰, 72C⁴, 24B¹, 18A², 72D⁴, 36A⁶, 1A⁰, 36A¹, 12A⁰, 4A⁰, 4D⁰, 9A⁰, 24B⁴, 12A², 6A¹, 3A⁰</t>
        </is>
      </c>
      <c r="O3030" t="inlineStr">
        <is>
          <t>72H²³, 72A²³, 72G²³</t>
        </is>
      </c>
    </row>
    <row r="3031">
      <c r="A3031">
        <f>HYPERLINK("https://mathstats.uncg.edu/sites/pauli/congruence/csg12.html#group72D12", "72D¹²")</f>
        <v/>
      </c>
      <c r="B3031" t="n">
        <v>12</v>
      </c>
      <c r="C3031" t="inlineStr"/>
      <c r="D3031" t="inlineStr">
        <is>
          <t>216</t>
        </is>
      </c>
      <c r="E3031" t="inlineStr">
        <is>
          <t>1</t>
        </is>
      </c>
      <c r="F3031" t="inlineStr">
        <is>
          <t>54</t>
        </is>
      </c>
      <c r="G3031" t="inlineStr">
        <is>
          <t>4</t>
        </is>
      </c>
      <c r="H3031" t="inlineStr">
        <is>
          <t>0</t>
        </is>
      </c>
      <c r="I3031" t="inlineStr">
        <is>
          <t>6⁶, 18², 24³, 72¹</t>
        </is>
      </c>
      <c r="J3031" t="n">
        <v>12</v>
      </c>
      <c r="K3031" t="inlineStr">
        <is>
          <t>2³, 4³, 6³, 12⁶</t>
        </is>
      </c>
      <c r="L3031" t="inlineStr">
        <is>
          <t>24M³, 36I³</t>
        </is>
      </c>
      <c r="M3031" t="inlineStr">
        <is>
          <t>72I²³</t>
        </is>
      </c>
      <c r="N3031" t="inlineStr">
        <is>
          <t>12G⁰, 18I¹, 6G⁰, 3C⁰, 24M³, 2B⁰, 12D⁰, 36I³, 9E⁰, 3A⁰, 1A⁰, 6D⁰</t>
        </is>
      </c>
      <c r="O3031" t="inlineStr">
        <is>
          <t>72I²³</t>
        </is>
      </c>
    </row>
    <row r="3032">
      <c r="A3032">
        <f>HYPERLINK("https://mathstats.uncg.edu/sites/pauli/congruence/csg12.html#group72E12", "72E¹²")</f>
        <v/>
      </c>
      <c r="B3032" t="n">
        <v>12</v>
      </c>
      <c r="C3032" t="inlineStr"/>
      <c r="D3032" t="inlineStr">
        <is>
          <t>216</t>
        </is>
      </c>
      <c r="E3032" t="inlineStr">
        <is>
          <t>1</t>
        </is>
      </c>
      <c r="F3032" t="inlineStr">
        <is>
          <t>54</t>
        </is>
      </c>
      <c r="G3032" t="inlineStr">
        <is>
          <t>4</t>
        </is>
      </c>
      <c r="H3032" t="inlineStr">
        <is>
          <t>0</t>
        </is>
      </c>
      <c r="I3032" t="inlineStr">
        <is>
          <t>6⁶, 18², 24³, 72¹</t>
        </is>
      </c>
      <c r="J3032" t="n">
        <v>12</v>
      </c>
      <c r="K3032" t="inlineStr">
        <is>
          <t>2³, 4³, 6³, 12⁶</t>
        </is>
      </c>
      <c r="L3032" t="inlineStr">
        <is>
          <t>24M³, 36I³</t>
        </is>
      </c>
      <c r="M3032" t="inlineStr">
        <is>
          <t>72J²³</t>
        </is>
      </c>
      <c r="N3032" t="inlineStr">
        <is>
          <t>12G⁰, 18I¹, 6G⁰, 3C⁰, 24M³, 2B⁰, 12D⁰, 36I³, 9E⁰, 3A⁰, 1A⁰, 6D⁰</t>
        </is>
      </c>
      <c r="O3032" t="inlineStr">
        <is>
          <t>72J²³</t>
        </is>
      </c>
    </row>
    <row r="3033">
      <c r="A3033">
        <f>HYPERLINK("https://mathstats.uncg.edu/sites/pauli/congruence/csg12.html#group72F12", "72F¹²")</f>
        <v/>
      </c>
      <c r="B3033" t="n">
        <v>12</v>
      </c>
      <c r="C3033" t="inlineStr"/>
      <c r="D3033" t="inlineStr">
        <is>
          <t>216</t>
        </is>
      </c>
      <c r="E3033" t="inlineStr">
        <is>
          <t>1</t>
        </is>
      </c>
      <c r="F3033" t="inlineStr">
        <is>
          <t>54</t>
        </is>
      </c>
      <c r="G3033" t="inlineStr">
        <is>
          <t>20</t>
        </is>
      </c>
      <c r="H3033" t="inlineStr">
        <is>
          <t>0</t>
        </is>
      </c>
      <c r="I3033" t="inlineStr">
        <is>
          <t>36², 72²</t>
        </is>
      </c>
      <c r="J3033" t="n">
        <v>4</v>
      </c>
      <c r="K3033" t="inlineStr">
        <is>
          <t>1², 2⁴, 4², 6², 12²</t>
        </is>
      </c>
      <c r="L3033" t="inlineStr">
        <is>
          <t>24L², 72E⁴, 36F⁶, 72C⁶</t>
        </is>
      </c>
      <c r="M3033" t="inlineStr"/>
      <c r="N3033" t="inlineStr">
        <is>
          <t>12C⁰, 8D⁰, 72E⁴, 36B², 4C⁰, 8B⁰, 2B⁰, 24L², 1A⁰, 36A¹, 72C⁶, 8H⁰, 36F⁶, 12A⁰, 24A⁰, 4A⁰, 9A⁰, 24C¹, 12J¹, 4F⁰, 18E¹, 3A⁰, 6D⁰</t>
        </is>
      </c>
      <c r="O3033" t="inlineStr"/>
    </row>
    <row r="3034">
      <c r="A3034">
        <f>HYPERLINK("https://mathstats.uncg.edu/sites/pauli/congruence/csg12.html#group72G12", "72G¹²")</f>
        <v/>
      </c>
      <c r="B3034" t="n">
        <v>12</v>
      </c>
      <c r="C3034" t="inlineStr"/>
      <c r="D3034" t="inlineStr">
        <is>
          <t>216</t>
        </is>
      </c>
      <c r="E3034" t="inlineStr">
        <is>
          <t>1</t>
        </is>
      </c>
      <c r="F3034" t="inlineStr">
        <is>
          <t>54</t>
        </is>
      </c>
      <c r="G3034" t="inlineStr">
        <is>
          <t>20</t>
        </is>
      </c>
      <c r="H3034" t="inlineStr">
        <is>
          <t>0</t>
        </is>
      </c>
      <c r="I3034" t="inlineStr">
        <is>
          <t>36², 72²</t>
        </is>
      </c>
      <c r="J3034" t="n">
        <v>4</v>
      </c>
      <c r="K3034" t="inlineStr">
        <is>
          <t>1², 2⁴, 4², 6², 12²</t>
        </is>
      </c>
      <c r="L3034" t="inlineStr">
        <is>
          <t>24P², 72E⁴, 36E⁶, 72D⁶</t>
        </is>
      </c>
      <c r="M3034" t="inlineStr"/>
      <c r="N3034" t="inlineStr">
        <is>
          <t>24E¹, 12C⁰, 36E⁶, 72E⁴, 4C⁰, 36B², 8B⁰, 24P², 12M¹, 2B⁰, 1A⁰, 24A⁰, 72D⁶, 9A⁰, 18E¹, 3A⁰, 6D⁰</t>
        </is>
      </c>
      <c r="O3034" t="inlineStr"/>
    </row>
    <row r="3035">
      <c r="A3035">
        <f>HYPERLINK("https://mathstats.uncg.edu/sites/pauli/congruence/csg12.html#group72H12", "72H¹²")</f>
        <v/>
      </c>
      <c r="B3035" t="n">
        <v>12</v>
      </c>
      <c r="C3035" t="inlineStr"/>
      <c r="D3035" t="inlineStr">
        <is>
          <t>216</t>
        </is>
      </c>
      <c r="E3035" t="inlineStr">
        <is>
          <t>1</t>
        </is>
      </c>
      <c r="F3035" t="inlineStr">
        <is>
          <t>108</t>
        </is>
      </c>
      <c r="G3035" t="inlineStr">
        <is>
          <t>4</t>
        </is>
      </c>
      <c r="H3035" t="inlineStr">
        <is>
          <t>0</t>
        </is>
      </c>
      <c r="I3035" t="inlineStr">
        <is>
          <t>6⁶, 18², 24³, 72¹</t>
        </is>
      </c>
      <c r="J3035" t="n">
        <v>12</v>
      </c>
      <c r="K3035" t="inlineStr">
        <is>
          <t>1², 2⁴, 3², 4², 6⁶, 12⁴</t>
        </is>
      </c>
      <c r="L3035" t="inlineStr">
        <is>
          <t>24N³, 36I⁵</t>
        </is>
      </c>
      <c r="M3035" t="inlineStr">
        <is>
          <t>72K²³</t>
        </is>
      </c>
      <c r="N3035" t="inlineStr">
        <is>
          <t>36I⁵, 24E¹, 12C⁰, 12C¹, 24N³, 18I¹, 12L¹, 4C⁰, 6G⁰, 3C⁰, 2B⁰, 9E⁰, 3A⁰, 1A⁰, 6D⁰</t>
        </is>
      </c>
      <c r="O3035" t="inlineStr">
        <is>
          <t>72K²³</t>
        </is>
      </c>
    </row>
    <row r="3036">
      <c r="A3036">
        <f>HYPERLINK("https://mathstats.uncg.edu/sites/pauli/congruence/csg12.html#group72I12", "72I¹²")</f>
        <v/>
      </c>
      <c r="B3036" t="n">
        <v>12</v>
      </c>
      <c r="C3036" t="inlineStr"/>
      <c r="D3036" t="inlineStr">
        <is>
          <t>216</t>
        </is>
      </c>
      <c r="E3036" t="inlineStr">
        <is>
          <t>1</t>
        </is>
      </c>
      <c r="F3036" t="inlineStr">
        <is>
          <t>108</t>
        </is>
      </c>
      <c r="G3036" t="inlineStr">
        <is>
          <t>4</t>
        </is>
      </c>
      <c r="H3036" t="inlineStr">
        <is>
          <t>0</t>
        </is>
      </c>
      <c r="I3036" t="inlineStr">
        <is>
          <t>6⁶, 18², 24³, 72¹</t>
        </is>
      </c>
      <c r="J3036" t="n">
        <v>12</v>
      </c>
      <c r="K3036" t="inlineStr">
        <is>
          <t>1², 2⁴, 3², 4², 6⁶, 12⁴</t>
        </is>
      </c>
      <c r="L3036" t="inlineStr">
        <is>
          <t>24O³, 36I⁵</t>
        </is>
      </c>
      <c r="M3036" t="inlineStr">
        <is>
          <t>72K²³</t>
        </is>
      </c>
      <c r="N3036" t="inlineStr">
        <is>
          <t>36I⁵, 24E¹, 12C⁰, 8D⁰, 18I¹, 4C⁰, 6G⁰, 2B⁰, 9E⁰, 12L¹, 1A⁰, 24O³, 12C¹, 24C¹, 3C⁰, 3A⁰, 6D⁰</t>
        </is>
      </c>
      <c r="O3036" t="inlineStr">
        <is>
          <t>72K²³</t>
        </is>
      </c>
    </row>
    <row r="3037">
      <c r="A3037">
        <f>HYPERLINK("https://mathstats.uncg.edu/sites/pauli/congruence/csg12.html#group72J12", "72J¹²")</f>
        <v/>
      </c>
      <c r="B3037" t="n">
        <v>12</v>
      </c>
      <c r="C3037" t="inlineStr"/>
      <c r="D3037" t="inlineStr">
        <is>
          <t>216</t>
        </is>
      </c>
      <c r="E3037" t="inlineStr">
        <is>
          <t>1</t>
        </is>
      </c>
      <c r="F3037" t="inlineStr">
        <is>
          <t>108</t>
        </is>
      </c>
      <c r="G3037" t="inlineStr">
        <is>
          <t>20</t>
        </is>
      </c>
      <c r="H3037" t="inlineStr">
        <is>
          <t>0</t>
        </is>
      </c>
      <c r="I3037" t="inlineStr">
        <is>
          <t>36², 72²</t>
        </is>
      </c>
      <c r="J3037" t="n">
        <v>4</v>
      </c>
      <c r="K3037" t="inlineStr">
        <is>
          <t>1⁴, 2⁶, 4³, 6⁴, 8¹, 12², 24¹</t>
        </is>
      </c>
      <c r="L3037" t="inlineStr">
        <is>
          <t>24M², 72E⁴</t>
        </is>
      </c>
      <c r="M3037" t="inlineStr"/>
      <c r="N3037" t="inlineStr">
        <is>
          <t>12C⁰, 24A⁰, 72E⁴, 24M², 9A⁰, 36B², 4C⁰, 8B⁰, 8L⁰, 2B⁰, 18E¹, 3A⁰, 1A⁰, 6D⁰</t>
        </is>
      </c>
      <c r="O3037" t="inlineStr"/>
    </row>
    <row r="3038">
      <c r="A3038">
        <f>HYPERLINK("https://mathstats.uncg.edu/sites/pauli/congruence/csg12.html#group72K12", "72K¹²")</f>
        <v/>
      </c>
      <c r="B3038" t="n">
        <v>12</v>
      </c>
      <c r="C3038" t="inlineStr"/>
      <c r="D3038" t="inlineStr">
        <is>
          <t>216</t>
        </is>
      </c>
      <c r="E3038" t="inlineStr">
        <is>
          <t>1</t>
        </is>
      </c>
      <c r="F3038" t="inlineStr">
        <is>
          <t>108</t>
        </is>
      </c>
      <c r="G3038" t="inlineStr">
        <is>
          <t>20</t>
        </is>
      </c>
      <c r="H3038" t="inlineStr">
        <is>
          <t>0</t>
        </is>
      </c>
      <c r="I3038" t="inlineStr">
        <is>
          <t>36², 72²</t>
        </is>
      </c>
      <c r="J3038" t="n">
        <v>4</v>
      </c>
      <c r="K3038" t="inlineStr">
        <is>
          <t>1⁴, 2⁶, 4³, 6⁴, 8¹, 12², 24¹</t>
        </is>
      </c>
      <c r="L3038" t="inlineStr">
        <is>
          <t>24Q², 72E⁴</t>
        </is>
      </c>
      <c r="M3038" t="inlineStr"/>
      <c r="N3038" t="inlineStr">
        <is>
          <t>12C⁰, 24A⁰, 72E⁴, 9A⁰, 4C⁰, 36B², 8B⁰, 24Q², 2B⁰, 18E¹, 3A⁰, 1A⁰, 6D⁰</t>
        </is>
      </c>
      <c r="O3038" t="inlineStr"/>
    </row>
    <row r="3039">
      <c r="A3039">
        <f>HYPERLINK("https://mathstats.uncg.edu/sites/pauli/congruence/csg12.html#group72L12", "72L¹²")</f>
        <v/>
      </c>
      <c r="B3039" t="n">
        <v>12</v>
      </c>
      <c r="C3039" t="inlineStr"/>
      <c r="D3039" t="inlineStr">
        <is>
          <t>216</t>
        </is>
      </c>
      <c r="E3039" t="inlineStr">
        <is>
          <t>2</t>
        </is>
      </c>
      <c r="F3039" t="inlineStr">
        <is>
          <t>54</t>
        </is>
      </c>
      <c r="G3039" t="inlineStr">
        <is>
          <t>16</t>
        </is>
      </c>
      <c r="H3039" t="inlineStr">
        <is>
          <t>0</t>
        </is>
      </c>
      <c r="I3039" t="inlineStr">
        <is>
          <t>18⁴, 72²</t>
        </is>
      </c>
      <c r="J3039" t="n">
        <v>6</v>
      </c>
      <c r="K3039" t="inlineStr">
        <is>
          <t>2⁶, 4⁶, 6⁴, 12⁴</t>
        </is>
      </c>
      <c r="L3039" t="inlineStr">
        <is>
          <t>24N², 36R⁴, 72D⁶, 72E⁶</t>
        </is>
      </c>
      <c r="M3039" t="inlineStr"/>
      <c r="N3039" t="inlineStr">
        <is>
          <t>24E¹, 6B⁰, 12C⁰, 3A⁰, 24N², 4C⁰, 36B², 36R⁴, 2B⁰, 1A⁰, 18A⁰, 18L², 72E⁶, 72D⁶, 9A⁰, 18E¹, 12D⁰, 6H⁰, 12H⁰, 6D⁰, 36C²</t>
        </is>
      </c>
      <c r="O3039" t="inlineStr"/>
    </row>
    <row r="3040">
      <c r="A3040">
        <f>HYPERLINK("https://mathstats.uncg.edu/sites/pauli/congruence/csg12.html#group72M12", "72M¹²")</f>
        <v/>
      </c>
      <c r="B3040" t="n">
        <v>12</v>
      </c>
      <c r="C3040" t="inlineStr"/>
      <c r="D3040" t="inlineStr">
        <is>
          <t>216</t>
        </is>
      </c>
      <c r="E3040" t="inlineStr">
        <is>
          <t>2</t>
        </is>
      </c>
      <c r="F3040" t="inlineStr">
        <is>
          <t>54</t>
        </is>
      </c>
      <c r="G3040" t="inlineStr">
        <is>
          <t>16</t>
        </is>
      </c>
      <c r="H3040" t="inlineStr">
        <is>
          <t>0</t>
        </is>
      </c>
      <c r="I3040" t="inlineStr">
        <is>
          <t>18⁴, 72²</t>
        </is>
      </c>
      <c r="J3040" t="n">
        <v>6</v>
      </c>
      <c r="K3040" t="inlineStr">
        <is>
          <t>2⁶, 4⁶, 6⁴, 12⁴</t>
        </is>
      </c>
      <c r="L3040" t="inlineStr">
        <is>
          <t>24O², 36R⁴, 72C⁶, 72E⁶</t>
        </is>
      </c>
      <c r="M3040" t="inlineStr"/>
      <c r="N3040" t="inlineStr">
        <is>
          <t>24O², 24E¹, 6B⁰, 12C⁰, 8D⁰, 4C⁰, 36B², 36R⁴, 2B⁰, 12H⁰, 1A⁰, 18A⁰, 18L², 72C⁶, 72E⁶, 9A⁰, 24C¹, 18E¹, 12D⁰, 6H⁰, 3A⁰, 6D⁰, 36C²</t>
        </is>
      </c>
      <c r="O3040" t="inlineStr"/>
    </row>
    <row r="3041">
      <c r="A3041">
        <f>HYPERLINK("https://mathstats.uncg.edu/sites/pauli/congruence/csg12.html#group72N12", "72N¹²")</f>
        <v/>
      </c>
      <c r="B3041" t="n">
        <v>12</v>
      </c>
      <c r="C3041" t="inlineStr"/>
      <c r="D3041" t="inlineStr">
        <is>
          <t>216</t>
        </is>
      </c>
      <c r="E3041" t="inlineStr">
        <is>
          <t>2</t>
        </is>
      </c>
      <c r="F3041" t="inlineStr">
        <is>
          <t>54</t>
        </is>
      </c>
      <c r="G3041" t="inlineStr">
        <is>
          <t>20</t>
        </is>
      </c>
      <c r="H3041" t="inlineStr">
        <is>
          <t>0</t>
        </is>
      </c>
      <c r="I3041" t="inlineStr">
        <is>
          <t>36², 72²</t>
        </is>
      </c>
      <c r="J3041" t="n">
        <v>4</v>
      </c>
      <c r="K3041" t="inlineStr">
        <is>
          <t>2⁶, 4⁶, 6⁴, 12⁴</t>
        </is>
      </c>
      <c r="L3041" t="inlineStr">
        <is>
          <t>24P², 72E⁴, 36I⁶, 72E⁶</t>
        </is>
      </c>
      <c r="M3041" t="inlineStr"/>
      <c r="N3041" t="inlineStr">
        <is>
          <t>24E¹, 12C⁰, 72E⁴, 36B², 4C⁰, 8B⁰, 24P², 2B⁰, 12M¹, 1A⁰, 72E⁶, 36I⁶, 24A⁰, 9A⁰, 18E¹, 3A⁰, 6D⁰</t>
        </is>
      </c>
      <c r="O3041" t="inlineStr"/>
    </row>
    <row r="3042">
      <c r="A3042">
        <f>HYPERLINK("https://mathstats.uncg.edu/sites/pauli/congruence/csg12.html#group72O12", "72O¹²")</f>
        <v/>
      </c>
      <c r="B3042" t="n">
        <v>12</v>
      </c>
      <c r="C3042" t="inlineStr"/>
      <c r="D3042" t="inlineStr">
        <is>
          <t>216</t>
        </is>
      </c>
      <c r="E3042" t="inlineStr">
        <is>
          <t>2</t>
        </is>
      </c>
      <c r="F3042" t="inlineStr">
        <is>
          <t>108</t>
        </is>
      </c>
      <c r="G3042" t="inlineStr">
        <is>
          <t>20</t>
        </is>
      </c>
      <c r="H3042" t="inlineStr">
        <is>
          <t>0</t>
        </is>
      </c>
      <c r="I3042" t="inlineStr">
        <is>
          <t>36², 72²</t>
        </is>
      </c>
      <c r="J3042" t="n">
        <v>4</v>
      </c>
      <c r="K3042" t="inlineStr">
        <is>
          <t>2¹², 4⁶, 6⁸, 8³, 12⁴, 24²</t>
        </is>
      </c>
      <c r="L3042" t="inlineStr">
        <is>
          <t>24Q², 72E⁴</t>
        </is>
      </c>
      <c r="M3042" t="inlineStr"/>
      <c r="N3042" t="inlineStr">
        <is>
          <t>12C⁰, 24A⁰, 72E⁴, 9A⁰, 4C⁰, 36B², 8B⁰, 24Q², 2B⁰, 18E¹, 3A⁰, 1A⁰, 6D⁰</t>
        </is>
      </c>
      <c r="O3042" t="inlineStr"/>
    </row>
    <row r="3043">
      <c r="A3043">
        <f>HYPERLINK("https://mathstats.uncg.edu/sites/pauli/congruence/csg12.html#group75A12", "75A¹²")</f>
        <v/>
      </c>
      <c r="B3043" t="n">
        <v>12</v>
      </c>
      <c r="C3043" t="inlineStr"/>
      <c r="D3043" t="inlineStr">
        <is>
          <t>180</t>
        </is>
      </c>
      <c r="E3043" t="inlineStr">
        <is>
          <t>1</t>
        </is>
      </c>
      <c r="F3043" t="inlineStr">
        <is>
          <t>90</t>
        </is>
      </c>
      <c r="G3043" t="inlineStr">
        <is>
          <t>8</t>
        </is>
      </c>
      <c r="H3043" t="inlineStr">
        <is>
          <t>0</t>
        </is>
      </c>
      <c r="I3043" t="inlineStr">
        <is>
          <t>15², 75²</t>
        </is>
      </c>
      <c r="J3043" t="n">
        <v>4</v>
      </c>
      <c r="K3043" t="inlineStr">
        <is>
          <t>2², 4⁶, 8⁴, 20², 40²</t>
        </is>
      </c>
      <c r="L3043" t="inlineStr">
        <is>
          <t>15C⁰, 75A⁶</t>
        </is>
      </c>
      <c r="M3043" t="inlineStr"/>
      <c r="N3043" t="inlineStr">
        <is>
          <t>5B⁰, 15B⁰, 25A², 3A⁰, 75A⁶, 1A⁰, 15C⁰</t>
        </is>
      </c>
      <c r="O3043" t="inlineStr"/>
    </row>
    <row r="3044">
      <c r="A3044">
        <f>HYPERLINK("https://mathstats.uncg.edu/sites/pauli/congruence/csg12.html#group75B12", "75B¹²")</f>
        <v/>
      </c>
      <c r="B3044" t="n">
        <v>12</v>
      </c>
      <c r="C3044" t="inlineStr"/>
      <c r="D3044" t="inlineStr">
        <is>
          <t>180</t>
        </is>
      </c>
      <c r="E3044" t="inlineStr">
        <is>
          <t>1</t>
        </is>
      </c>
      <c r="F3044" t="inlineStr">
        <is>
          <t>90</t>
        </is>
      </c>
      <c r="G3044" t="inlineStr">
        <is>
          <t>8</t>
        </is>
      </c>
      <c r="H3044" t="inlineStr">
        <is>
          <t>0</t>
        </is>
      </c>
      <c r="I3044" t="inlineStr">
        <is>
          <t>15², 75²</t>
        </is>
      </c>
      <c r="J3044" t="n">
        <v>4</v>
      </c>
      <c r="K3044" t="inlineStr">
        <is>
          <t>2², 4⁶, 8⁴, 20², 40²</t>
        </is>
      </c>
      <c r="L3044" t="inlineStr">
        <is>
          <t>15C⁰, 75B⁶</t>
        </is>
      </c>
      <c r="M3044" t="inlineStr"/>
      <c r="N3044" t="inlineStr">
        <is>
          <t>5B⁰, 1A⁰, 15B⁰, 3A⁰, 75B⁶, 25B², 15C⁰</t>
        </is>
      </c>
      <c r="O3044" t="inlineStr"/>
    </row>
    <row r="3045">
      <c r="A3045">
        <f>HYPERLINK("https://mathstats.uncg.edu/sites/pauli/congruence/csg12.html#group75C12", "75C¹²")</f>
        <v/>
      </c>
      <c r="B3045" t="n">
        <v>12</v>
      </c>
      <c r="C3045" t="inlineStr"/>
      <c r="D3045" t="inlineStr">
        <is>
          <t>180</t>
        </is>
      </c>
      <c r="E3045" t="inlineStr">
        <is>
          <t>1</t>
        </is>
      </c>
      <c r="F3045" t="inlineStr">
        <is>
          <t>90</t>
        </is>
      </c>
      <c r="G3045" t="inlineStr">
        <is>
          <t>8</t>
        </is>
      </c>
      <c r="H3045" t="inlineStr">
        <is>
          <t>0</t>
        </is>
      </c>
      <c r="I3045" t="inlineStr">
        <is>
          <t>15², 75²</t>
        </is>
      </c>
      <c r="J3045" t="n">
        <v>4</v>
      </c>
      <c r="K3045" t="inlineStr">
        <is>
          <t>2², 4⁶, 8⁴, 20², 40²</t>
        </is>
      </c>
      <c r="L3045" t="inlineStr">
        <is>
          <t>15C⁰, 75C⁶</t>
        </is>
      </c>
      <c r="M3045" t="inlineStr"/>
      <c r="N3045" t="inlineStr">
        <is>
          <t>5B⁰, 15B⁰, 3A⁰, 1A⁰, 25C², 75C⁶, 15C⁰</t>
        </is>
      </c>
      <c r="O3045" t="inlineStr"/>
    </row>
    <row r="3046">
      <c r="A3046">
        <f>HYPERLINK("https://mathstats.uncg.edu/sites/pauli/congruence/csg12.html#group75D12", "75D¹²")</f>
        <v/>
      </c>
      <c r="B3046" t="n">
        <v>12</v>
      </c>
      <c r="C3046" t="inlineStr"/>
      <c r="D3046" t="inlineStr">
        <is>
          <t>180</t>
        </is>
      </c>
      <c r="E3046" t="inlineStr">
        <is>
          <t>1</t>
        </is>
      </c>
      <c r="F3046" t="inlineStr">
        <is>
          <t>90</t>
        </is>
      </c>
      <c r="G3046" t="inlineStr">
        <is>
          <t>8</t>
        </is>
      </c>
      <c r="H3046" t="inlineStr">
        <is>
          <t>0</t>
        </is>
      </c>
      <c r="I3046" t="inlineStr">
        <is>
          <t>15², 75²</t>
        </is>
      </c>
      <c r="J3046" t="n">
        <v>4</v>
      </c>
      <c r="K3046" t="inlineStr">
        <is>
          <t>2², 4⁶, 8⁴, 20², 40²</t>
        </is>
      </c>
      <c r="L3046" t="inlineStr">
        <is>
          <t>15C⁰, 75D⁶</t>
        </is>
      </c>
      <c r="M3046" t="inlineStr"/>
      <c r="N3046" t="inlineStr">
        <is>
          <t>5B⁰, 15B⁰, 75D⁶, 25D², 3A⁰, 1A⁰, 15C⁰</t>
        </is>
      </c>
      <c r="O3046" t="inlineStr"/>
    </row>
    <row r="3047">
      <c r="A3047">
        <f>HYPERLINK("https://mathstats.uncg.edu/sites/pauli/congruence/csg12.html#group84A12", "84A¹²")</f>
        <v/>
      </c>
      <c r="B3047" t="n">
        <v>12</v>
      </c>
      <c r="C3047" t="inlineStr"/>
      <c r="D3047" t="inlineStr">
        <is>
          <t>168</t>
        </is>
      </c>
      <c r="E3047" t="inlineStr">
        <is>
          <t>2</t>
        </is>
      </c>
      <c r="F3047" t="inlineStr">
        <is>
          <t>84</t>
        </is>
      </c>
      <c r="G3047" t="inlineStr">
        <is>
          <t>0</t>
        </is>
      </c>
      <c r="H3047" t="inlineStr">
        <is>
          <t>0</t>
        </is>
      </c>
      <c r="I3047" t="inlineStr">
        <is>
          <t>7², 21², 28¹, 84¹</t>
        </is>
      </c>
      <c r="J3047" t="n">
        <v>6</v>
      </c>
      <c r="K3047" t="inlineStr">
        <is>
          <t>2⁶, 4³, 6¹², 12⁶</t>
        </is>
      </c>
      <c r="L3047" t="inlineStr">
        <is>
          <t>28B², 42C⁶</t>
        </is>
      </c>
      <c r="M3047" t="inlineStr">
        <is>
          <t>84B²³</t>
        </is>
      </c>
      <c r="N3047" t="inlineStr">
        <is>
          <t>3B⁰, 21B², 14B¹, 42C⁶, 1A⁰, 2B⁰, 6F⁰, 28B², 7A⁰</t>
        </is>
      </c>
      <c r="O3047" t="inlineStr">
        <is>
          <t>84B²³</t>
        </is>
      </c>
    </row>
    <row r="3048">
      <c r="A3048">
        <f>HYPERLINK("https://mathstats.uncg.edu/sites/pauli/congruence/csg12.html#group84B12", "84B¹²")</f>
        <v/>
      </c>
      <c r="B3048" t="n">
        <v>12</v>
      </c>
      <c r="C3048" t="inlineStr"/>
      <c r="D3048" t="inlineStr">
        <is>
          <t>168</t>
        </is>
      </c>
      <c r="E3048" t="inlineStr">
        <is>
          <t>2</t>
        </is>
      </c>
      <c r="F3048" t="inlineStr">
        <is>
          <t>84</t>
        </is>
      </c>
      <c r="G3048" t="inlineStr">
        <is>
          <t>0</t>
        </is>
      </c>
      <c r="H3048" t="inlineStr">
        <is>
          <t>0</t>
        </is>
      </c>
      <c r="I3048" t="inlineStr">
        <is>
          <t>7², 21², 28¹, 84¹</t>
        </is>
      </c>
      <c r="J3048" t="n">
        <v>6</v>
      </c>
      <c r="K3048" t="inlineStr">
        <is>
          <t>2⁶, 4³, 6¹², 12⁶</t>
        </is>
      </c>
      <c r="L3048" t="inlineStr">
        <is>
          <t>12E⁰, 28A³, 42C⁶</t>
        </is>
      </c>
      <c r="M3048" t="inlineStr">
        <is>
          <t>84B²³, 84C²⁴, 84D²⁴, 168A²⁴, 168B²⁴</t>
        </is>
      </c>
      <c r="N3048" t="inlineStr">
        <is>
          <t>3B⁰, 21B², 14B¹, 42C⁶, 6F⁰, 28A³, 2B⁰, 4B⁰, 1A⁰, 12E⁰, 7A⁰</t>
        </is>
      </c>
      <c r="O3048" t="inlineStr">
        <is>
          <t>84C²⁴, 84D²⁴, 84B²³, 168B²⁴, 168A²⁴</t>
        </is>
      </c>
    </row>
    <row r="3049">
      <c r="A3049">
        <f>HYPERLINK("https://mathstats.uncg.edu/sites/pauli/congruence/csg12.html#group87A12", "87A¹²")</f>
        <v/>
      </c>
      <c r="B3049" t="n">
        <v>12</v>
      </c>
      <c r="C3049" t="inlineStr"/>
      <c r="D3049" t="inlineStr">
        <is>
          <t>180</t>
        </is>
      </c>
      <c r="E3049" t="inlineStr">
        <is>
          <t>1</t>
        </is>
      </c>
      <c r="F3049" t="inlineStr">
        <is>
          <t>90</t>
        </is>
      </c>
      <c r="G3049" t="inlineStr">
        <is>
          <t>8</t>
        </is>
      </c>
      <c r="H3049" t="inlineStr">
        <is>
          <t>0</t>
        </is>
      </c>
      <c r="I3049" t="inlineStr">
        <is>
          <t>3², 87²</t>
        </is>
      </c>
      <c r="J3049" t="n">
        <v>4</v>
      </c>
      <c r="K3049" t="inlineStr">
        <is>
          <t>1², 2², 28¹, 56¹</t>
        </is>
      </c>
      <c r="L3049" t="inlineStr">
        <is>
          <t>87A⁶</t>
        </is>
      </c>
      <c r="M3049" t="inlineStr"/>
      <c r="N3049" t="inlineStr">
        <is>
          <t>87A⁶, 1A⁰, 29A², 3A⁰</t>
        </is>
      </c>
      <c r="O3049" t="inlineStr"/>
    </row>
    <row r="3050">
      <c r="A3050">
        <f>HYPERLINK("https://mathstats.uncg.edu/sites/pauli/congruence/csg12.html#group88A12", "88A¹²")</f>
        <v/>
      </c>
      <c r="B3050" t="n">
        <v>12</v>
      </c>
      <c r="C3050" t="inlineStr"/>
      <c r="D3050" t="inlineStr">
        <is>
          <t>176</t>
        </is>
      </c>
      <c r="E3050" t="inlineStr">
        <is>
          <t>2</t>
        </is>
      </c>
      <c r="F3050" t="inlineStr">
        <is>
          <t>44</t>
        </is>
      </c>
      <c r="G3050" t="inlineStr">
        <is>
          <t>0</t>
        </is>
      </c>
      <c r="H3050" t="inlineStr">
        <is>
          <t>8</t>
        </is>
      </c>
      <c r="I3050" t="inlineStr">
        <is>
          <t>88²</t>
        </is>
      </c>
      <c r="J3050" t="n">
        <v>2</v>
      </c>
      <c r="K3050" t="inlineStr">
        <is>
          <t>4², 20⁴</t>
        </is>
      </c>
      <c r="L3050" t="inlineStr">
        <is>
          <t>8E⁰, 88A⁵, 88B⁵, 44A⁶</t>
        </is>
      </c>
      <c r="M3050" t="inlineStr">
        <is>
          <t>176A²⁴</t>
        </is>
      </c>
      <c r="N3050" t="inlineStr">
        <is>
          <t>44A⁶, 11A⁰, 2A⁰, 22A¹, 44A², 4A⁰, 4D⁰, 8A⁰, 8E⁰, 88B⁵, 88A⁵, 1A⁰</t>
        </is>
      </c>
      <c r="O3050" t="inlineStr">
        <is>
          <t>176A²⁴</t>
        </is>
      </c>
    </row>
    <row r="3051">
      <c r="A3051">
        <f>HYPERLINK("https://mathstats.uncg.edu/sites/pauli/congruence/csg12.html#group90A12", "90A¹²")</f>
        <v/>
      </c>
      <c r="B3051" t="n">
        <v>12</v>
      </c>
      <c r="C3051" t="inlineStr"/>
      <c r="D3051" t="inlineStr">
        <is>
          <t>180</t>
        </is>
      </c>
      <c r="E3051" t="inlineStr">
        <is>
          <t>1</t>
        </is>
      </c>
      <c r="F3051" t="inlineStr">
        <is>
          <t>15</t>
        </is>
      </c>
      <c r="G3051" t="inlineStr">
        <is>
          <t>12</t>
        </is>
      </c>
      <c r="H3051" t="inlineStr">
        <is>
          <t>0</t>
        </is>
      </c>
      <c r="I3051" t="inlineStr">
        <is>
          <t>90²</t>
        </is>
      </c>
      <c r="J3051" t="n">
        <v>2</v>
      </c>
      <c r="K3051" t="inlineStr">
        <is>
          <t>1¹, 2¹, 4¹, 8¹</t>
        </is>
      </c>
      <c r="L3051" t="inlineStr">
        <is>
          <t>18D⁰, 30A⁴, 45A⁶, 90A⁶</t>
        </is>
      </c>
      <c r="M3051" t="inlineStr"/>
      <c r="N3051" t="inlineStr">
        <is>
          <t>5A⁰, 90A⁶, 6B⁰, 45A⁶, 30A⁴, 1A⁰, 18A⁰, 30A², 9D⁰, 18D⁰, 15A², 6E⁰, 9A⁰, 3C⁰, 3A⁰, 15A¹, 45A³</t>
        </is>
      </c>
      <c r="O3051" t="inlineStr"/>
    </row>
    <row r="3052">
      <c r="A3052">
        <f>HYPERLINK("https://mathstats.uncg.edu/sites/pauli/congruence/csg12.html#group90B12", "90B¹²")</f>
        <v/>
      </c>
      <c r="B3052" t="n">
        <v>12</v>
      </c>
      <c r="C3052" t="inlineStr"/>
      <c r="D3052" t="inlineStr">
        <is>
          <t>180</t>
        </is>
      </c>
      <c r="E3052" t="inlineStr">
        <is>
          <t>1</t>
        </is>
      </c>
      <c r="F3052" t="inlineStr">
        <is>
          <t>30</t>
        </is>
      </c>
      <c r="G3052" t="inlineStr">
        <is>
          <t>12</t>
        </is>
      </c>
      <c r="H3052" t="inlineStr">
        <is>
          <t>0</t>
        </is>
      </c>
      <c r="I3052" t="inlineStr">
        <is>
          <t>90²</t>
        </is>
      </c>
      <c r="J3052" t="n">
        <v>2</v>
      </c>
      <c r="K3052" t="inlineStr">
        <is>
          <t>2¹, 4¹, 8³</t>
        </is>
      </c>
      <c r="L3052" t="inlineStr">
        <is>
          <t>30A⁴, 45B⁶</t>
        </is>
      </c>
      <c r="M3052" t="inlineStr"/>
      <c r="N3052" t="inlineStr">
        <is>
          <t>45B⁶, 5A⁰, 30A², 6B⁰, 15A², 6E⁰, 3C⁰, 30A⁴, 3A⁰, 1A⁰, 15A¹</t>
        </is>
      </c>
      <c r="O3052" t="inlineStr"/>
    </row>
    <row r="3053">
      <c r="A3053">
        <f>HYPERLINK("https://mathstats.uncg.edu/sites/pauli/congruence/csg12.html#group90C12", "90C¹²")</f>
        <v/>
      </c>
      <c r="B3053" t="n">
        <v>12</v>
      </c>
      <c r="C3053" t="inlineStr"/>
      <c r="D3053" t="inlineStr">
        <is>
          <t>180</t>
        </is>
      </c>
      <c r="E3053" t="inlineStr">
        <is>
          <t>1</t>
        </is>
      </c>
      <c r="F3053" t="inlineStr">
        <is>
          <t>60</t>
        </is>
      </c>
      <c r="G3053" t="inlineStr">
        <is>
          <t>0</t>
        </is>
      </c>
      <c r="H3053" t="inlineStr">
        <is>
          <t>0</t>
        </is>
      </c>
      <c r="I3053" t="inlineStr">
        <is>
          <t>5³, 10³, 45¹, 90¹</t>
        </is>
      </c>
      <c r="J3053" t="n">
        <v>8</v>
      </c>
      <c r="K3053" t="inlineStr">
        <is>
          <t>1⁶, 2³, 4⁶, 8³</t>
        </is>
      </c>
      <c r="L3053" t="inlineStr">
        <is>
          <t>18E⁰, 30D⁴, 45A⁴</t>
        </is>
      </c>
      <c r="M3053" t="inlineStr"/>
      <c r="N3053" t="inlineStr">
        <is>
          <t>3B⁰, 5A⁰, 18E⁰, 30D⁴, 10B¹, 15B¹, 9B⁰, 1A⁰, 2B⁰, 45A⁴, 6F⁰</t>
        </is>
      </c>
      <c r="O3053" t="inlineStr"/>
    </row>
    <row r="3054">
      <c r="A3054">
        <f>HYPERLINK("https://mathstats.uncg.edu/sites/pauli/congruence/csg12.html#group90D12", "90D¹²")</f>
        <v/>
      </c>
      <c r="B3054" t="n">
        <v>12</v>
      </c>
      <c r="C3054" t="inlineStr"/>
      <c r="D3054" t="inlineStr">
        <is>
          <t>180</t>
        </is>
      </c>
      <c r="E3054" t="inlineStr">
        <is>
          <t>1</t>
        </is>
      </c>
      <c r="F3054" t="inlineStr">
        <is>
          <t>90</t>
        </is>
      </c>
      <c r="G3054" t="inlineStr">
        <is>
          <t>12</t>
        </is>
      </c>
      <c r="H3054" t="inlineStr">
        <is>
          <t>0</t>
        </is>
      </c>
      <c r="I3054" t="inlineStr">
        <is>
          <t>90²</t>
        </is>
      </c>
      <c r="J3054" t="n">
        <v>2</v>
      </c>
      <c r="K3054" t="inlineStr">
        <is>
          <t>2¹, 4³, 8², 12¹, 24²</t>
        </is>
      </c>
      <c r="L3054" t="inlineStr">
        <is>
          <t>30C⁴, 45E⁵</t>
        </is>
      </c>
      <c r="M3054" t="inlineStr">
        <is>
          <t>90D²³, 90F²³</t>
        </is>
      </c>
      <c r="N3054" t="inlineStr">
        <is>
          <t>30C⁴, 15D¹, 45E⁵, 9A⁰, 5C⁰, 3A⁰, 1A⁰</t>
        </is>
      </c>
      <c r="O3054" t="inlineStr">
        <is>
          <t>90F²³, 90D²³</t>
        </is>
      </c>
    </row>
    <row r="3055">
      <c r="A3055">
        <f>HYPERLINK("https://mathstats.uncg.edu/sites/pauli/congruence/csg12.html#group90E12", "90E¹²")</f>
        <v/>
      </c>
      <c r="B3055" t="n">
        <v>12</v>
      </c>
      <c r="C3055" t="inlineStr"/>
      <c r="D3055" t="inlineStr">
        <is>
          <t>180</t>
        </is>
      </c>
      <c r="E3055" t="inlineStr">
        <is>
          <t>2</t>
        </is>
      </c>
      <c r="F3055" t="inlineStr">
        <is>
          <t>60</t>
        </is>
      </c>
      <c r="G3055" t="inlineStr">
        <is>
          <t>0</t>
        </is>
      </c>
      <c r="H3055" t="inlineStr">
        <is>
          <t>0</t>
        </is>
      </c>
      <c r="I3055" t="inlineStr">
        <is>
          <t>5³, 10³, 45¹, 90¹</t>
        </is>
      </c>
      <c r="J3055" t="n">
        <v>8</v>
      </c>
      <c r="K3055" t="inlineStr">
        <is>
          <t>2⁶, 4³, 8¹²</t>
        </is>
      </c>
      <c r="L3055" t="inlineStr">
        <is>
          <t>45C³, 30D⁴</t>
        </is>
      </c>
      <c r="M3055" t="inlineStr"/>
      <c r="N3055" t="inlineStr">
        <is>
          <t>3B⁰, 45C³, 5A⁰, 30D⁴, 10B¹, 15B¹, 1A⁰, 2B⁰, 6F⁰</t>
        </is>
      </c>
      <c r="O3055" t="inlineStr"/>
    </row>
    <row r="3056">
      <c r="A3056">
        <f>HYPERLINK("https://mathstats.uncg.edu/sites/pauli/congruence/csg12.html#group91A12", "91A¹²")</f>
        <v/>
      </c>
      <c r="B3056" t="n">
        <v>12</v>
      </c>
      <c r="C3056" t="inlineStr"/>
      <c r="D3056" t="inlineStr">
        <is>
          <t>196</t>
        </is>
      </c>
      <c r="E3056" t="inlineStr">
        <is>
          <t>2</t>
        </is>
      </c>
      <c r="F3056" t="inlineStr">
        <is>
          <t>98</t>
        </is>
      </c>
      <c r="G3056" t="inlineStr">
        <is>
          <t>8</t>
        </is>
      </c>
      <c r="H3056" t="inlineStr">
        <is>
          <t>4</t>
        </is>
      </c>
      <c r="I3056" t="inlineStr">
        <is>
          <t>7², 91²</t>
        </is>
      </c>
      <c r="J3056" t="n">
        <v>4</v>
      </c>
      <c r="K3056" t="inlineStr">
        <is>
          <t>2², 6⁴, 24¹, 72²</t>
        </is>
      </c>
      <c r="L3056" t="inlineStr">
        <is>
          <t>91A⁶</t>
        </is>
      </c>
      <c r="M3056" t="inlineStr"/>
      <c r="N3056" t="inlineStr">
        <is>
          <t>13A⁰, 1A⁰, 91A⁶, 7A⁰</t>
        </is>
      </c>
      <c r="O3056" t="inlineStr"/>
    </row>
    <row r="3057">
      <c r="A3057">
        <f>HYPERLINK("https://mathstats.uncg.edu/sites/pauli/congruence/csg12.html#group96A12", "96A¹²")</f>
        <v/>
      </c>
      <c r="B3057" t="n">
        <v>12</v>
      </c>
      <c r="C3057" t="inlineStr"/>
      <c r="D3057" t="inlineStr">
        <is>
          <t>144</t>
        </is>
      </c>
      <c r="E3057" t="inlineStr">
        <is>
          <t>1</t>
        </is>
      </c>
      <c r="F3057" t="inlineStr">
        <is>
          <t>24</t>
        </is>
      </c>
      <c r="G3057" t="inlineStr">
        <is>
          <t>0</t>
        </is>
      </c>
      <c r="H3057" t="inlineStr">
        <is>
          <t>0</t>
        </is>
      </c>
      <c r="I3057" t="inlineStr">
        <is>
          <t>48¹, 96¹</t>
        </is>
      </c>
      <c r="J3057" t="n">
        <v>2</v>
      </c>
      <c r="K3057" t="inlineStr">
        <is>
          <t>2⁸, 8¹</t>
        </is>
      </c>
      <c r="L3057" t="inlineStr">
        <is>
          <t>32A⁴, 48B⁶</t>
        </is>
      </c>
      <c r="M3057" t="inlineStr">
        <is>
          <t>96D²³, 96Y²³, 96W²³, 96AC²³, 96AE²³</t>
        </is>
      </c>
      <c r="N3057" t="inlineStr">
        <is>
          <t>24A³, 8A¹, 12C⁰, 4C⁰, 2B⁰, 32A⁴, 1A⁰, 16B², 48B⁶, 3A⁰, 6D⁰</t>
        </is>
      </c>
      <c r="O3057" t="inlineStr">
        <is>
          <t>96AC²³, 96D²³, 96W²³, 96AE²³, 96Y²³</t>
        </is>
      </c>
    </row>
    <row r="3058">
      <c r="A3058">
        <f>HYPERLINK("https://mathstats.uncg.edu/sites/pauli/congruence/csg12.html#group96B12", "96B¹²")</f>
        <v/>
      </c>
      <c r="B3058" t="n">
        <v>12</v>
      </c>
      <c r="C3058" t="inlineStr"/>
      <c r="D3058" t="inlineStr">
        <is>
          <t>144</t>
        </is>
      </c>
      <c r="E3058" t="inlineStr">
        <is>
          <t>1</t>
        </is>
      </c>
      <c r="F3058" t="inlineStr">
        <is>
          <t>24</t>
        </is>
      </c>
      <c r="G3058" t="inlineStr">
        <is>
          <t>0</t>
        </is>
      </c>
      <c r="H3058" t="inlineStr">
        <is>
          <t>0</t>
        </is>
      </c>
      <c r="I3058" t="inlineStr">
        <is>
          <t>48¹, 96¹</t>
        </is>
      </c>
      <c r="J3058" t="n">
        <v>2</v>
      </c>
      <c r="K3058" t="inlineStr">
        <is>
          <t>2⁸, 8¹</t>
        </is>
      </c>
      <c r="L3058" t="inlineStr">
        <is>
          <t>32B⁴, 48B⁶</t>
        </is>
      </c>
      <c r="M3058" t="inlineStr">
        <is>
          <t>96E²³, 96Z²³, 96X²³, 96AC²³, 96AF²³</t>
        </is>
      </c>
      <c r="N3058" t="inlineStr">
        <is>
          <t>24A³, 16B², 8A¹, 48B⁶, 12C⁰, 6D⁰, 4C⁰, 2B⁰, 3A⁰, 1A⁰, 32B⁴</t>
        </is>
      </c>
      <c r="O3058" t="inlineStr">
        <is>
          <t>96AC²³, 96X²³, 96Z²³, 96AF²³, 96E²³</t>
        </is>
      </c>
    </row>
    <row r="3059">
      <c r="A3059">
        <f>HYPERLINK("https://mathstats.uncg.edu/sites/pauli/congruence/csg12.html#group96C12", "96C¹²")</f>
        <v/>
      </c>
      <c r="B3059" t="n">
        <v>12</v>
      </c>
      <c r="C3059" t="inlineStr"/>
      <c r="D3059" t="inlineStr">
        <is>
          <t>144</t>
        </is>
      </c>
      <c r="E3059" t="inlineStr">
        <is>
          <t>1</t>
        </is>
      </c>
      <c r="F3059" t="inlineStr">
        <is>
          <t>72</t>
        </is>
      </c>
      <c r="G3059" t="inlineStr">
        <is>
          <t>0</t>
        </is>
      </c>
      <c r="H3059" t="inlineStr">
        <is>
          <t>0</t>
        </is>
      </c>
      <c r="I3059" t="inlineStr">
        <is>
          <t>48¹, 96¹</t>
        </is>
      </c>
      <c r="J3059" t="n">
        <v>2</v>
      </c>
      <c r="K3059" t="inlineStr">
        <is>
          <t>2⁸, 4⁸, 8¹, 16¹</t>
        </is>
      </c>
      <c r="L3059" t="inlineStr">
        <is>
          <t>48B⁶</t>
        </is>
      </c>
      <c r="M3059" t="inlineStr">
        <is>
          <t>96K²³, 96Q²³, 96S²³, 96Y²³, 96W²³, 96AD²³, 96AF²³, 96AG²³, 96AH²³</t>
        </is>
      </c>
      <c r="N3059" t="inlineStr">
        <is>
          <t>24A³, 16B², 8A¹, 48B⁶, 12C⁰, 4C⁰, 2B⁰, 3A⁰, 1A⁰, 6D⁰</t>
        </is>
      </c>
      <c r="O3059" t="inlineStr">
        <is>
          <t>96W²³, 96AF²³, 96S²³, 96Q²³, 96AG²³, 96K²³, 96AD²³, 96AH²³, 96Y²³</t>
        </is>
      </c>
    </row>
    <row r="3060">
      <c r="A3060">
        <f>HYPERLINK("https://mathstats.uncg.edu/sites/pauli/congruence/csg12.html#group96D12", "96D¹²")</f>
        <v/>
      </c>
      <c r="B3060" t="n">
        <v>12</v>
      </c>
      <c r="C3060" t="inlineStr"/>
      <c r="D3060" t="inlineStr">
        <is>
          <t>144</t>
        </is>
      </c>
      <c r="E3060" t="inlineStr">
        <is>
          <t>1</t>
        </is>
      </c>
      <c r="F3060" t="inlineStr">
        <is>
          <t>72</t>
        </is>
      </c>
      <c r="G3060" t="inlineStr">
        <is>
          <t>0</t>
        </is>
      </c>
      <c r="H3060" t="inlineStr">
        <is>
          <t>0</t>
        </is>
      </c>
      <c r="I3060" t="inlineStr">
        <is>
          <t>48¹, 96¹</t>
        </is>
      </c>
      <c r="J3060" t="n">
        <v>2</v>
      </c>
      <c r="K3060" t="inlineStr">
        <is>
          <t>2⁸, 4⁸, 8¹, 16¹</t>
        </is>
      </c>
      <c r="L3060" t="inlineStr">
        <is>
          <t>48B⁶</t>
        </is>
      </c>
      <c r="M3060" t="inlineStr">
        <is>
          <t>96L²³, 96R²³, 96T²³, 96Z²³, 96X²³, 96AD²³, 96AE²³, 96AG²³, 96AH²³</t>
        </is>
      </c>
      <c r="N3060" t="inlineStr">
        <is>
          <t>24A³, 16B², 8A¹, 48B⁶, 12C⁰, 4C⁰, 2B⁰, 3A⁰, 1A⁰, 6D⁰</t>
        </is>
      </c>
      <c r="O3060" t="inlineStr">
        <is>
          <t>96X²³, 96Z²³, 96AD²³, 96T²³, 96AG²³, 96R²³, 96AH²³, 96L²³, 96AE²³</t>
        </is>
      </c>
    </row>
    <row r="3061">
      <c r="A3061">
        <f>HYPERLINK("https://mathstats.uncg.edu/sites/pauli/congruence/csg12.html#group99A12", "99A¹²")</f>
        <v/>
      </c>
      <c r="B3061" t="n">
        <v>12</v>
      </c>
      <c r="C3061" t="inlineStr"/>
      <c r="D3061" t="inlineStr">
        <is>
          <t>198</t>
        </is>
      </c>
      <c r="E3061" t="inlineStr">
        <is>
          <t>2</t>
        </is>
      </c>
      <c r="F3061" t="inlineStr">
        <is>
          <t>33</t>
        </is>
      </c>
      <c r="G3061" t="inlineStr">
        <is>
          <t>18</t>
        </is>
      </c>
      <c r="H3061" t="inlineStr">
        <is>
          <t>0</t>
        </is>
      </c>
      <c r="I3061" t="inlineStr">
        <is>
          <t>99²</t>
        </is>
      </c>
      <c r="J3061" t="n">
        <v>2</v>
      </c>
      <c r="K3061" t="inlineStr">
        <is>
          <t>2¹, 4¹, 10², 20²</t>
        </is>
      </c>
      <c r="L3061" t="inlineStr">
        <is>
          <t>9D⁰, 33A⁴, 99A⁵</t>
        </is>
      </c>
      <c r="M3061" t="inlineStr">
        <is>
          <t>198A²⁴</t>
        </is>
      </c>
      <c r="N3061" t="inlineStr">
        <is>
          <t>11A⁰, 9D⁰, 33A¹, 9A⁰, 99A⁵, 3C⁰, 3A⁰, 1A⁰, 33A⁴</t>
        </is>
      </c>
      <c r="O3061" t="inlineStr">
        <is>
          <t>198A²⁴</t>
        </is>
      </c>
    </row>
    <row r="3062">
      <c r="A3062">
        <f>HYPERLINK("https://mathstats.uncg.edu/sites/pauli/congruence/csg12.html#group100A12", "100A¹²")</f>
        <v/>
      </c>
      <c r="B3062" t="n">
        <v>12</v>
      </c>
      <c r="C3062" t="inlineStr"/>
      <c r="D3062" t="inlineStr">
        <is>
          <t>180</t>
        </is>
      </c>
      <c r="E3062" t="inlineStr">
        <is>
          <t>1</t>
        </is>
      </c>
      <c r="F3062" t="inlineStr">
        <is>
          <t>90</t>
        </is>
      </c>
      <c r="G3062" t="inlineStr">
        <is>
          <t>4</t>
        </is>
      </c>
      <c r="H3062" t="inlineStr">
        <is>
          <t>0</t>
        </is>
      </c>
      <c r="I3062" t="inlineStr">
        <is>
          <t>5², 20¹, 25², 100¹</t>
        </is>
      </c>
      <c r="J3062" t="n">
        <v>6</v>
      </c>
      <c r="K3062" t="inlineStr">
        <is>
          <t>2⁶, 4¹², 20⁶</t>
        </is>
      </c>
      <c r="L3062" t="inlineStr">
        <is>
          <t>20A⁰, 50A⁶</t>
        </is>
      </c>
      <c r="M3062" t="inlineStr"/>
      <c r="N3062" t="inlineStr">
        <is>
          <t>5B⁰, 50A⁶, 20A⁰, 10C⁰, 2B⁰, 25A², 1A⁰</t>
        </is>
      </c>
      <c r="O3062" t="inlineStr"/>
    </row>
    <row r="3063">
      <c r="A3063">
        <f>HYPERLINK("https://mathstats.uncg.edu/sites/pauli/congruence/csg12.html#group100B12", "100B¹²")</f>
        <v/>
      </c>
      <c r="B3063" t="n">
        <v>12</v>
      </c>
      <c r="C3063" t="inlineStr"/>
      <c r="D3063" t="inlineStr">
        <is>
          <t>180</t>
        </is>
      </c>
      <c r="E3063" t="inlineStr">
        <is>
          <t>1</t>
        </is>
      </c>
      <c r="F3063" t="inlineStr">
        <is>
          <t>90</t>
        </is>
      </c>
      <c r="G3063" t="inlineStr">
        <is>
          <t>4</t>
        </is>
      </c>
      <c r="H3063" t="inlineStr">
        <is>
          <t>0</t>
        </is>
      </c>
      <c r="I3063" t="inlineStr">
        <is>
          <t>5², 20¹, 25², 100¹</t>
        </is>
      </c>
      <c r="J3063" t="n">
        <v>6</v>
      </c>
      <c r="K3063" t="inlineStr">
        <is>
          <t>2⁶, 4¹², 20⁶</t>
        </is>
      </c>
      <c r="L3063" t="inlineStr">
        <is>
          <t>20A⁰, 50B⁶</t>
        </is>
      </c>
      <c r="M3063" t="inlineStr"/>
      <c r="N3063" t="inlineStr">
        <is>
          <t>20A⁰, 5B⁰, 10C⁰, 2B⁰, 50B⁶, 1A⁰, 25B²</t>
        </is>
      </c>
      <c r="O3063" t="inlineStr"/>
    </row>
    <row r="3064">
      <c r="A3064">
        <f>HYPERLINK("https://mathstats.uncg.edu/sites/pauli/congruence/csg12.html#group100C12", "100C¹²")</f>
        <v/>
      </c>
      <c r="B3064" t="n">
        <v>12</v>
      </c>
      <c r="C3064" t="inlineStr"/>
      <c r="D3064" t="inlineStr">
        <is>
          <t>180</t>
        </is>
      </c>
      <c r="E3064" t="inlineStr">
        <is>
          <t>1</t>
        </is>
      </c>
      <c r="F3064" t="inlineStr">
        <is>
          <t>90</t>
        </is>
      </c>
      <c r="G3064" t="inlineStr">
        <is>
          <t>4</t>
        </is>
      </c>
      <c r="H3064" t="inlineStr">
        <is>
          <t>0</t>
        </is>
      </c>
      <c r="I3064" t="inlineStr">
        <is>
          <t>5², 20¹, 25², 100¹</t>
        </is>
      </c>
      <c r="J3064" t="n">
        <v>6</v>
      </c>
      <c r="K3064" t="inlineStr">
        <is>
          <t>2⁶, 4¹², 20⁶</t>
        </is>
      </c>
      <c r="L3064" t="inlineStr">
        <is>
          <t>20A⁰, 50C⁶</t>
        </is>
      </c>
      <c r="M3064" t="inlineStr"/>
      <c r="N3064" t="inlineStr">
        <is>
          <t>20A⁰, 50C⁶, 5B⁰, 10C⁰, 2B⁰, 1A⁰, 25C²</t>
        </is>
      </c>
      <c r="O3064" t="inlineStr"/>
    </row>
    <row r="3065">
      <c r="A3065">
        <f>HYPERLINK("https://mathstats.uncg.edu/sites/pauli/congruence/csg12.html#group100D12", "100D¹²")</f>
        <v/>
      </c>
      <c r="B3065" t="n">
        <v>12</v>
      </c>
      <c r="C3065" t="inlineStr"/>
      <c r="D3065" t="inlineStr">
        <is>
          <t>180</t>
        </is>
      </c>
      <c r="E3065" t="inlineStr">
        <is>
          <t>1</t>
        </is>
      </c>
      <c r="F3065" t="inlineStr">
        <is>
          <t>90</t>
        </is>
      </c>
      <c r="G3065" t="inlineStr">
        <is>
          <t>4</t>
        </is>
      </c>
      <c r="H3065" t="inlineStr">
        <is>
          <t>0</t>
        </is>
      </c>
      <c r="I3065" t="inlineStr">
        <is>
          <t>5², 20¹, 25², 100¹</t>
        </is>
      </c>
      <c r="J3065" t="n">
        <v>6</v>
      </c>
      <c r="K3065" t="inlineStr">
        <is>
          <t>2⁶, 4¹², 20⁶</t>
        </is>
      </c>
      <c r="L3065" t="inlineStr">
        <is>
          <t>20A⁰, 50D⁶</t>
        </is>
      </c>
      <c r="M3065" t="inlineStr"/>
      <c r="N3065" t="inlineStr">
        <is>
          <t>20A⁰, 50D⁶, 5B⁰, 10C⁰, 2B⁰, 1A⁰, 25D²</t>
        </is>
      </c>
      <c r="O3065" t="inlineStr"/>
    </row>
    <row r="3066">
      <c r="A3066">
        <f>HYPERLINK("https://mathstats.uncg.edu/sites/pauli/congruence/csg12.html#group106A12", "106A¹²")</f>
        <v/>
      </c>
      <c r="B3066" t="n">
        <v>12</v>
      </c>
      <c r="C3066" t="inlineStr">
        <is>
          <t>Γ₀(106)</t>
        </is>
      </c>
      <c r="D3066" t="inlineStr">
        <is>
          <t>162</t>
        </is>
      </c>
      <c r="E3066" t="inlineStr">
        <is>
          <t>1</t>
        </is>
      </c>
      <c r="F3066" t="inlineStr">
        <is>
          <t>162</t>
        </is>
      </c>
      <c r="G3066" t="inlineStr">
        <is>
          <t>2</t>
        </is>
      </c>
      <c r="H3066" t="inlineStr">
        <is>
          <t>0</t>
        </is>
      </c>
      <c r="I3066" t="inlineStr">
        <is>
          <t>1¹, 2¹, 53¹, 106¹</t>
        </is>
      </c>
      <c r="J3066" t="n">
        <v>4</v>
      </c>
      <c r="K3066" t="inlineStr">
        <is>
          <t>1⁶, 52³</t>
        </is>
      </c>
      <c r="L3066" t="inlineStr">
        <is>
          <t>2B⁰, 53A⁴</t>
        </is>
      </c>
      <c r="M3066" t="inlineStr">
        <is>
          <t>106A²⁴, 106B²⁴, 212A²⁴</t>
        </is>
      </c>
      <c r="N3066" t="inlineStr">
        <is>
          <t>1A⁰, 2B⁰, 53A⁴</t>
        </is>
      </c>
      <c r="O3066" t="inlineStr">
        <is>
          <t>106B²⁴, 106A²⁴, 212A²⁴</t>
        </is>
      </c>
    </row>
    <row r="3067">
      <c r="A3067">
        <f>HYPERLINK("https://mathstats.uncg.edu/sites/pauli/congruence/csg12.html#group108A12", "108A¹²")</f>
        <v/>
      </c>
      <c r="B3067" t="n">
        <v>12</v>
      </c>
      <c r="C3067" t="inlineStr"/>
      <c r="D3067" t="inlineStr">
        <is>
          <t>144</t>
        </is>
      </c>
      <c r="E3067" t="inlineStr">
        <is>
          <t>1</t>
        </is>
      </c>
      <c r="F3067" t="inlineStr">
        <is>
          <t>12</t>
        </is>
      </c>
      <c r="G3067" t="inlineStr">
        <is>
          <t>0</t>
        </is>
      </c>
      <c r="H3067" t="inlineStr">
        <is>
          <t>0</t>
        </is>
      </c>
      <c r="I3067" t="inlineStr">
        <is>
          <t>36¹, 108¹</t>
        </is>
      </c>
      <c r="J3067" t="n">
        <v>2</v>
      </c>
      <c r="K3067" t="inlineStr">
        <is>
          <t>1², 2², 6¹</t>
        </is>
      </c>
      <c r="L3067" t="inlineStr">
        <is>
          <t>36A⁰, 54A⁶</t>
        </is>
      </c>
      <c r="M3067" t="inlineStr"/>
      <c r="N3067" t="inlineStr">
        <is>
          <t>3B⁰, 2A⁰, 18B⁰, 54A⁶, 6C⁰, 9C⁰, 1A⁰, 27A³, 36A⁰, 12B⁰</t>
        </is>
      </c>
      <c r="O3067" t="inlineStr"/>
    </row>
    <row r="3068">
      <c r="A3068">
        <f>HYPERLINK("https://mathstats.uncg.edu/sites/pauli/congruence/csg12.html#group108B12", "108B¹²")</f>
        <v/>
      </c>
      <c r="B3068" t="n">
        <v>12</v>
      </c>
      <c r="C3068" t="inlineStr"/>
      <c r="D3068" t="inlineStr">
        <is>
          <t>144</t>
        </is>
      </c>
      <c r="E3068" t="inlineStr">
        <is>
          <t>1</t>
        </is>
      </c>
      <c r="F3068" t="inlineStr">
        <is>
          <t>48</t>
        </is>
      </c>
      <c r="G3068" t="inlineStr">
        <is>
          <t>0</t>
        </is>
      </c>
      <c r="H3068" t="inlineStr">
        <is>
          <t>0</t>
        </is>
      </c>
      <c r="I3068" t="inlineStr">
        <is>
          <t>36¹, 108¹</t>
        </is>
      </c>
      <c r="J3068" t="n">
        <v>2</v>
      </c>
      <c r="K3068" t="inlineStr">
        <is>
          <t>2⁴, 4⁴, 12²</t>
        </is>
      </c>
      <c r="L3068" t="inlineStr">
        <is>
          <t>27A³, 36C³</t>
        </is>
      </c>
      <c r="M3068" t="inlineStr">
        <is>
          <t>108A²³, 216A²⁴</t>
        </is>
      </c>
      <c r="N3068" t="inlineStr">
        <is>
          <t>3B⁰, 4A⁰, 12A¹, 9C⁰, 1A⁰, 27A³, 36C³</t>
        </is>
      </c>
      <c r="O3068" t="inlineStr">
        <is>
          <t>108A²³, 216A²⁴</t>
        </is>
      </c>
    </row>
    <row r="3069">
      <c r="A3069">
        <f>HYPERLINK("https://mathstats.uncg.edu/sites/pauli/congruence/csg12.html#group112A12", "112A¹²")</f>
        <v/>
      </c>
      <c r="B3069" t="n">
        <v>12</v>
      </c>
      <c r="C3069" t="inlineStr"/>
      <c r="D3069" t="inlineStr">
        <is>
          <t>168</t>
        </is>
      </c>
      <c r="E3069" t="inlineStr">
        <is>
          <t>2</t>
        </is>
      </c>
      <c r="F3069" t="inlineStr">
        <is>
          <t>21</t>
        </is>
      </c>
      <c r="G3069" t="inlineStr">
        <is>
          <t>8</t>
        </is>
      </c>
      <c r="H3069" t="inlineStr">
        <is>
          <t>0</t>
        </is>
      </c>
      <c r="I3069" t="inlineStr">
        <is>
          <t>56¹, 112¹</t>
        </is>
      </c>
      <c r="J3069" t="n">
        <v>2</v>
      </c>
      <c r="K3069" t="inlineStr">
        <is>
          <t>2³, 6⁶</t>
        </is>
      </c>
      <c r="L3069" t="inlineStr">
        <is>
          <t>56B⁴</t>
        </is>
      </c>
      <c r="M3069" t="inlineStr">
        <is>
          <t>112A²³</t>
        </is>
      </c>
      <c r="N3069" t="inlineStr">
        <is>
          <t>28C², 14B¹, 4C⁰, 8B⁰, 2B⁰, 1A⁰, 7A⁰, 56B⁴</t>
        </is>
      </c>
      <c r="O3069" t="inlineStr">
        <is>
          <t>112A²³</t>
        </is>
      </c>
    </row>
    <row r="3070">
      <c r="A3070">
        <f>HYPERLINK("https://mathstats.uncg.edu/sites/pauli/congruence/csg12.html#group112B12", "112B¹²")</f>
        <v/>
      </c>
      <c r="B3070" t="n">
        <v>12</v>
      </c>
      <c r="C3070" t="inlineStr"/>
      <c r="D3070" t="inlineStr">
        <is>
          <t>168</t>
        </is>
      </c>
      <c r="E3070" t="inlineStr">
        <is>
          <t>2</t>
        </is>
      </c>
      <c r="F3070" t="inlineStr">
        <is>
          <t>42</t>
        </is>
      </c>
      <c r="G3070" t="inlineStr">
        <is>
          <t>0</t>
        </is>
      </c>
      <c r="H3070" t="inlineStr">
        <is>
          <t>0</t>
        </is>
      </c>
      <c r="I3070" t="inlineStr">
        <is>
          <t>7⁴, 28¹, 112¹</t>
        </is>
      </c>
      <c r="J3070" t="n">
        <v>6</v>
      </c>
      <c r="K3070" t="inlineStr">
        <is>
          <t>2⁴, 4¹, 6⁸, 12²</t>
        </is>
      </c>
      <c r="L3070" t="inlineStr">
        <is>
          <t>56C⁶</t>
        </is>
      </c>
      <c r="M3070" t="inlineStr">
        <is>
          <t>112B²³, 112E²⁴, 112C²⁴</t>
        </is>
      </c>
      <c r="N3070" t="inlineStr">
        <is>
          <t>56C⁶, 14B¹, 28A³, 8C⁰, 2B⁰, 4B⁰, 1A⁰, 7A⁰</t>
        </is>
      </c>
      <c r="O3070" t="inlineStr">
        <is>
          <t>112C²⁴, 112B²³, 112E²⁴</t>
        </is>
      </c>
    </row>
    <row r="3071">
      <c r="A3071">
        <f>HYPERLINK("https://mathstats.uncg.edu/sites/pauli/congruence/csg12.html#group112C12", "112C¹²")</f>
        <v/>
      </c>
      <c r="B3071" t="n">
        <v>12</v>
      </c>
      <c r="C3071" t="inlineStr"/>
      <c r="D3071" t="inlineStr">
        <is>
          <t>168</t>
        </is>
      </c>
      <c r="E3071" t="inlineStr">
        <is>
          <t>2</t>
        </is>
      </c>
      <c r="F3071" t="inlineStr">
        <is>
          <t>42</t>
        </is>
      </c>
      <c r="G3071" t="inlineStr">
        <is>
          <t>0</t>
        </is>
      </c>
      <c r="H3071" t="inlineStr">
        <is>
          <t>0</t>
        </is>
      </c>
      <c r="I3071" t="inlineStr">
        <is>
          <t>7⁴, 28¹, 112¹</t>
        </is>
      </c>
      <c r="J3071" t="n">
        <v>6</v>
      </c>
      <c r="K3071" t="inlineStr">
        <is>
          <t>2⁴, 4¹, 6⁸, 12²</t>
        </is>
      </c>
      <c r="L3071" t="inlineStr">
        <is>
          <t>16C⁰, 56C⁶</t>
        </is>
      </c>
      <c r="M3071" t="inlineStr">
        <is>
          <t>112B²³, 112D²⁴, 112F²⁴, 224A²⁴, 224B²⁴</t>
        </is>
      </c>
      <c r="N3071" t="inlineStr">
        <is>
          <t>56C⁶, 14B¹, 16C⁰, 28A³, 8C⁰, 2B⁰, 4B⁰, 1A⁰, 7A⁰</t>
        </is>
      </c>
      <c r="O3071" t="inlineStr">
        <is>
          <t>224B²⁴, 112F²⁴, 112B²³, 224A²⁴, 112D²⁴</t>
        </is>
      </c>
    </row>
    <row r="3072">
      <c r="A3072">
        <f>HYPERLINK("https://mathstats.uncg.edu/sites/pauli/congruence/csg12.html#group112D12", "112D¹²")</f>
        <v/>
      </c>
      <c r="B3072" t="n">
        <v>12</v>
      </c>
      <c r="C3072" t="inlineStr"/>
      <c r="D3072" t="inlineStr">
        <is>
          <t>168</t>
        </is>
      </c>
      <c r="E3072" t="inlineStr">
        <is>
          <t>2</t>
        </is>
      </c>
      <c r="F3072" t="inlineStr">
        <is>
          <t>84</t>
        </is>
      </c>
      <c r="G3072" t="inlineStr">
        <is>
          <t>0</t>
        </is>
      </c>
      <c r="H3072" t="inlineStr">
        <is>
          <t>0</t>
        </is>
      </c>
      <c r="I3072" t="inlineStr">
        <is>
          <t>7², 14³, 112¹</t>
        </is>
      </c>
      <c r="J3072" t="n">
        <v>6</v>
      </c>
      <c r="K3072" t="inlineStr">
        <is>
          <t>2⁴, 4², 6⁸, 8¹, 12⁴, 24²</t>
        </is>
      </c>
      <c r="L3072" t="inlineStr">
        <is>
          <t>56C⁶</t>
        </is>
      </c>
      <c r="M3072" t="inlineStr">
        <is>
          <t>112F²³, 112A²⁴, 112E²⁴, 112D²⁴, 112G²⁴</t>
        </is>
      </c>
      <c r="N3072" t="inlineStr">
        <is>
          <t>56C⁶, 14B¹, 28A³, 8C⁰, 2B⁰, 4B⁰, 1A⁰, 7A⁰</t>
        </is>
      </c>
      <c r="O3072" t="inlineStr">
        <is>
          <t>112F²³, 112A²⁴, 112G²⁴, 112D²⁴, 112E²⁴</t>
        </is>
      </c>
    </row>
    <row r="3073">
      <c r="A3073">
        <f>HYPERLINK("https://mathstats.uncg.edu/sites/pauli/congruence/csg12.html#group112E12", "112E¹²")</f>
        <v/>
      </c>
      <c r="B3073" t="n">
        <v>12</v>
      </c>
      <c r="C3073" t="inlineStr"/>
      <c r="D3073" t="inlineStr">
        <is>
          <t>168</t>
        </is>
      </c>
      <c r="E3073" t="inlineStr">
        <is>
          <t>2</t>
        </is>
      </c>
      <c r="F3073" t="inlineStr">
        <is>
          <t>84</t>
        </is>
      </c>
      <c r="G3073" t="inlineStr">
        <is>
          <t>0</t>
        </is>
      </c>
      <c r="H3073" t="inlineStr">
        <is>
          <t>0</t>
        </is>
      </c>
      <c r="I3073" t="inlineStr">
        <is>
          <t>7², 14³, 112¹</t>
        </is>
      </c>
      <c r="J3073" t="n">
        <v>6</v>
      </c>
      <c r="K3073" t="inlineStr">
        <is>
          <t>2⁴, 4², 6⁸, 8¹, 12⁴, 24²</t>
        </is>
      </c>
      <c r="L3073" t="inlineStr">
        <is>
          <t>16D⁰, 56C⁶</t>
        </is>
      </c>
      <c r="M3073" t="inlineStr">
        <is>
          <t>112F²³, 112B²⁴, 112C²⁴, 112F²⁴, 112G²⁴</t>
        </is>
      </c>
      <c r="N3073" t="inlineStr">
        <is>
          <t>56C⁶, 14B¹, 16D⁰, 28A³, 8C⁰, 2B⁰, 4B⁰, 1A⁰, 7A⁰</t>
        </is>
      </c>
      <c r="O3073" t="inlineStr">
        <is>
          <t>112F²³, 112F²⁴, 112B²⁴, 112G²⁴, 112C²⁴</t>
        </is>
      </c>
    </row>
    <row r="3074">
      <c r="A3074">
        <f>HYPERLINK("https://mathstats.uncg.edu/sites/pauli/congruence/csg12.html#group112F12", "112F¹²")</f>
        <v/>
      </c>
      <c r="B3074" t="n">
        <v>12</v>
      </c>
      <c r="C3074" t="inlineStr"/>
      <c r="D3074" t="inlineStr">
        <is>
          <t>168</t>
        </is>
      </c>
      <c r="E3074" t="inlineStr">
        <is>
          <t>2</t>
        </is>
      </c>
      <c r="F3074" t="inlineStr">
        <is>
          <t>84</t>
        </is>
      </c>
      <c r="G3074" t="inlineStr">
        <is>
          <t>6</t>
        </is>
      </c>
      <c r="H3074" t="inlineStr">
        <is>
          <t>0</t>
        </is>
      </c>
      <c r="I3074" t="inlineStr">
        <is>
          <t>28², 112¹</t>
        </is>
      </c>
      <c r="J3074" t="n">
        <v>3</v>
      </c>
      <c r="K3074" t="inlineStr">
        <is>
          <t>2², 4¹, 6⁴, 8², 12², 24⁴</t>
        </is>
      </c>
      <c r="L3074" t="inlineStr">
        <is>
          <t>56C⁵</t>
        </is>
      </c>
      <c r="M3074" t="inlineStr">
        <is>
          <t>112J²³, 112H²⁴, 112J²⁴</t>
        </is>
      </c>
      <c r="N3074" t="inlineStr">
        <is>
          <t>28C², 56C⁵, 14B¹, 8D⁰, 4C⁰, 2B⁰, 1A⁰, 7A⁰</t>
        </is>
      </c>
      <c r="O3074" t="inlineStr">
        <is>
          <t>112J²³, 112J²⁴, 112H²⁴</t>
        </is>
      </c>
    </row>
    <row r="3075">
      <c r="A3075">
        <f>HYPERLINK("https://mathstats.uncg.edu/sites/pauli/congruence/csg12.html#group112G12", "112G¹²")</f>
        <v/>
      </c>
      <c r="B3075" t="n">
        <v>12</v>
      </c>
      <c r="C3075" t="inlineStr"/>
      <c r="D3075" t="inlineStr">
        <is>
          <t>168</t>
        </is>
      </c>
      <c r="E3075" t="inlineStr">
        <is>
          <t>2</t>
        </is>
      </c>
      <c r="F3075" t="inlineStr">
        <is>
          <t>84</t>
        </is>
      </c>
      <c r="G3075" t="inlineStr">
        <is>
          <t>6</t>
        </is>
      </c>
      <c r="H3075" t="inlineStr">
        <is>
          <t>0</t>
        </is>
      </c>
      <c r="I3075" t="inlineStr">
        <is>
          <t>28², 112¹</t>
        </is>
      </c>
      <c r="J3075" t="n">
        <v>3</v>
      </c>
      <c r="K3075" t="inlineStr">
        <is>
          <t>2², 4¹, 6⁴, 8², 12², 24⁴</t>
        </is>
      </c>
      <c r="L3075" t="inlineStr">
        <is>
          <t>16C¹, 56C⁵</t>
        </is>
      </c>
      <c r="M3075" t="inlineStr">
        <is>
          <t>112K²³, 112H²⁴, 112I²⁴</t>
        </is>
      </c>
      <c r="N3075" t="inlineStr">
        <is>
          <t>28C², 56C⁵, 14B¹, 8D⁰, 16C¹, 4C⁰, 2B⁰, 1A⁰, 7A⁰</t>
        </is>
      </c>
      <c r="O3075" t="inlineStr">
        <is>
          <t>112I²⁴, 112K²³, 112H²⁴</t>
        </is>
      </c>
    </row>
    <row r="3076">
      <c r="A3076">
        <f>HYPERLINK("https://mathstats.uncg.edu/sites/pauli/congruence/csg12.html#group112H12", "112H¹²")</f>
        <v/>
      </c>
      <c r="B3076" t="n">
        <v>12</v>
      </c>
      <c r="C3076" t="inlineStr"/>
      <c r="D3076" t="inlineStr">
        <is>
          <t>192</t>
        </is>
      </c>
      <c r="E3076" t="inlineStr">
        <is>
          <t>1</t>
        </is>
      </c>
      <c r="F3076" t="inlineStr">
        <is>
          <t>96</t>
        </is>
      </c>
      <c r="G3076" t="inlineStr">
        <is>
          <t>0</t>
        </is>
      </c>
      <c r="H3076" t="inlineStr">
        <is>
          <t>0</t>
        </is>
      </c>
      <c r="I3076" t="inlineStr">
        <is>
          <t>2⁴, 14⁴, 16¹, 112¹</t>
        </is>
      </c>
      <c r="J3076" t="n">
        <v>10</v>
      </c>
      <c r="K3076" t="inlineStr">
        <is>
          <t>1⁴, 2², 4⁴, 6², 12¹, 24²</t>
        </is>
      </c>
      <c r="L3076" t="inlineStr">
        <is>
          <t>16E⁰, 56E⁶</t>
        </is>
      </c>
      <c r="M3076" t="inlineStr">
        <is>
          <t>112P²³</t>
        </is>
      </c>
      <c r="N3076" t="inlineStr">
        <is>
          <t>16E⁰, 8D⁰, 7B⁰, 4C⁰, 14C¹, 1A⁰, 2B⁰, 28C³, 56E⁶</t>
        </is>
      </c>
      <c r="O3076" t="inlineStr">
        <is>
          <t>112P²³</t>
        </is>
      </c>
    </row>
    <row r="3077">
      <c r="A3077">
        <f>HYPERLINK("https://mathstats.uncg.edu/sites/pauli/congruence/csg12.html#group116A12", "116A¹²")</f>
        <v/>
      </c>
      <c r="B3077" t="n">
        <v>12</v>
      </c>
      <c r="C3077" t="inlineStr"/>
      <c r="D3077" t="inlineStr">
        <is>
          <t>180</t>
        </is>
      </c>
      <c r="E3077" t="inlineStr">
        <is>
          <t>1</t>
        </is>
      </c>
      <c r="F3077" t="inlineStr">
        <is>
          <t>90</t>
        </is>
      </c>
      <c r="G3077" t="inlineStr">
        <is>
          <t>4</t>
        </is>
      </c>
      <c r="H3077" t="inlineStr">
        <is>
          <t>0</t>
        </is>
      </c>
      <c r="I3077" t="inlineStr">
        <is>
          <t>1², 4¹, 29², 116¹</t>
        </is>
      </c>
      <c r="J3077" t="n">
        <v>6</v>
      </c>
      <c r="K3077" t="inlineStr">
        <is>
          <t>1⁶, 28³</t>
        </is>
      </c>
      <c r="L3077" t="inlineStr">
        <is>
          <t>58A⁶</t>
        </is>
      </c>
      <c r="M3077" t="inlineStr"/>
      <c r="N3077" t="inlineStr">
        <is>
          <t>1A⁰, 29A², 2B⁰, 58A⁶</t>
        </is>
      </c>
      <c r="O3077" t="inlineStr"/>
    </row>
    <row r="3078">
      <c r="A3078">
        <f>HYPERLINK("https://mathstats.uncg.edu/sites/pauli/congruence/csg12.html#group117A12", "117A¹²")</f>
        <v/>
      </c>
      <c r="B3078" t="n">
        <v>12</v>
      </c>
      <c r="C3078" t="inlineStr"/>
      <c r="D3078" t="inlineStr">
        <is>
          <t>168</t>
        </is>
      </c>
      <c r="E3078" t="inlineStr">
        <is>
          <t>2</t>
        </is>
      </c>
      <c r="F3078" t="inlineStr">
        <is>
          <t>56</t>
        </is>
      </c>
      <c r="G3078" t="inlineStr">
        <is>
          <t>0</t>
        </is>
      </c>
      <c r="H3078" t="inlineStr">
        <is>
          <t>3</t>
        </is>
      </c>
      <c r="I3078" t="inlineStr">
        <is>
          <t>3¹, 9¹, 39¹, 117¹</t>
        </is>
      </c>
      <c r="J3078" t="n">
        <v>4</v>
      </c>
      <c r="K3078" t="inlineStr">
        <is>
          <t>2⁸, 24⁴</t>
        </is>
      </c>
      <c r="L3078" t="inlineStr">
        <is>
          <t>39A³</t>
        </is>
      </c>
      <c r="M3078" t="inlineStr">
        <is>
          <t>117A²³</t>
        </is>
      </c>
      <c r="N3078" t="inlineStr">
        <is>
          <t>13A⁰, 3B⁰, 1A⁰, 39A³</t>
        </is>
      </c>
      <c r="O3078" t="inlineStr">
        <is>
          <t>117A²³</t>
        </is>
      </c>
    </row>
    <row r="3079">
      <c r="A3079">
        <f>HYPERLINK("https://mathstats.uncg.edu/sites/pauli/congruence/csg12.html#group120A12", "120A¹²")</f>
        <v/>
      </c>
      <c r="B3079" t="n">
        <v>12</v>
      </c>
      <c r="C3079" t="inlineStr"/>
      <c r="D3079" t="inlineStr">
        <is>
          <t>160</t>
        </is>
      </c>
      <c r="E3079" t="inlineStr">
        <is>
          <t>2</t>
        </is>
      </c>
      <c r="F3079" t="inlineStr">
        <is>
          <t>80</t>
        </is>
      </c>
      <c r="G3079" t="inlineStr">
        <is>
          <t>0</t>
        </is>
      </c>
      <c r="H3079" t="inlineStr">
        <is>
          <t>4</t>
        </is>
      </c>
      <c r="I3079" t="inlineStr">
        <is>
          <t>40¹, 120¹</t>
        </is>
      </c>
      <c r="J3079" t="n">
        <v>2</v>
      </c>
      <c r="K3079" t="inlineStr">
        <is>
          <t>4⁴, 8², 16⁴, 32²</t>
        </is>
      </c>
      <c r="L3079" t="inlineStr">
        <is>
          <t>24A², 40A², 60A⁶</t>
        </is>
      </c>
      <c r="M3079" t="inlineStr">
        <is>
          <t>120L²³, 240A²⁴</t>
        </is>
      </c>
      <c r="N3079" t="inlineStr">
        <is>
          <t>3B⁰, 5A⁰, 24A², 4A⁰, 12A¹, 8A⁰, 15B¹, 20A¹, 1A⁰, 60A⁶, 40A²</t>
        </is>
      </c>
      <c r="O3079" t="inlineStr">
        <is>
          <t>240A²⁴, 120L²³</t>
        </is>
      </c>
    </row>
    <row r="3080">
      <c r="A3080">
        <f>HYPERLINK("https://mathstats.uncg.edu/sites/pauli/congruence/csg12.html#group120B12", "120B¹²")</f>
        <v/>
      </c>
      <c r="B3080" t="n">
        <v>12</v>
      </c>
      <c r="C3080" t="inlineStr"/>
      <c r="D3080" t="inlineStr">
        <is>
          <t>180</t>
        </is>
      </c>
      <c r="E3080" t="inlineStr">
        <is>
          <t>1</t>
        </is>
      </c>
      <c r="F3080" t="inlineStr">
        <is>
          <t>15</t>
        </is>
      </c>
      <c r="G3080" t="inlineStr">
        <is>
          <t>12</t>
        </is>
      </c>
      <c r="H3080" t="inlineStr">
        <is>
          <t>0</t>
        </is>
      </c>
      <c r="I3080" t="inlineStr">
        <is>
          <t>60¹, 120¹</t>
        </is>
      </c>
      <c r="J3080" t="n">
        <v>2</v>
      </c>
      <c r="K3080" t="inlineStr">
        <is>
          <t>1³, 4³</t>
        </is>
      </c>
      <c r="L3080" t="inlineStr">
        <is>
          <t>24A⁰, 40A⁴, 60B⁶</t>
        </is>
      </c>
      <c r="M3080" t="inlineStr">
        <is>
          <t>240B²⁴</t>
        </is>
      </c>
      <c r="N3080" t="inlineStr">
        <is>
          <t>30D³, 5A⁰, 40A⁴, 12C⁰, 24A⁰, 15A¹, 10B¹, 20B², 4C⁰, 60B⁶, 8B⁰, 2B⁰, 3A⁰, 1A⁰, 6D⁰</t>
        </is>
      </c>
      <c r="O3080" t="inlineStr">
        <is>
          <t>240B²⁴</t>
        </is>
      </c>
    </row>
    <row r="3081">
      <c r="A3081">
        <f>HYPERLINK("https://mathstats.uncg.edu/sites/pauli/congruence/csg12.html#group120C12", "120C¹²")</f>
        <v/>
      </c>
      <c r="B3081" t="n">
        <v>12</v>
      </c>
      <c r="C3081" t="inlineStr"/>
      <c r="D3081" t="inlineStr">
        <is>
          <t>180</t>
        </is>
      </c>
      <c r="E3081" t="inlineStr">
        <is>
          <t>2</t>
        </is>
      </c>
      <c r="F3081" t="inlineStr">
        <is>
          <t>15</t>
        </is>
      </c>
      <c r="G3081" t="inlineStr">
        <is>
          <t>12</t>
        </is>
      </c>
      <c r="H3081" t="inlineStr">
        <is>
          <t>0</t>
        </is>
      </c>
      <c r="I3081" t="inlineStr">
        <is>
          <t>60¹, 120¹</t>
        </is>
      </c>
      <c r="J3081" t="n">
        <v>2</v>
      </c>
      <c r="K3081" t="inlineStr">
        <is>
          <t>2³, 8³</t>
        </is>
      </c>
      <c r="L3081" t="inlineStr">
        <is>
          <t>40A⁴, 60D⁶</t>
        </is>
      </c>
      <c r="M3081" t="inlineStr">
        <is>
          <t>240C²⁴</t>
        </is>
      </c>
      <c r="N3081" t="inlineStr">
        <is>
          <t>5A⁰, 60D⁶, 40A⁴, 30E³, 10B¹, 20B², 4C⁰, 8B⁰, 2B⁰, 1A⁰, 15A⁰</t>
        </is>
      </c>
      <c r="O3081" t="inlineStr">
        <is>
          <t>240C²⁴</t>
        </is>
      </c>
    </row>
    <row r="3082">
      <c r="A3082">
        <f>HYPERLINK("https://mathstats.uncg.edu/sites/pauli/congruence/csg12.html#group125A12", "125A¹²")</f>
        <v/>
      </c>
      <c r="B3082" t="n">
        <v>12</v>
      </c>
      <c r="C3082" t="inlineStr"/>
      <c r="D3082" t="inlineStr">
        <is>
          <t>300</t>
        </is>
      </c>
      <c r="E3082" t="inlineStr">
        <is>
          <t>1</t>
        </is>
      </c>
      <c r="F3082" t="inlineStr">
        <is>
          <t>30</t>
        </is>
      </c>
      <c r="G3082" t="inlineStr">
        <is>
          <t>0</t>
        </is>
      </c>
      <c r="H3082" t="inlineStr">
        <is>
          <t>0</t>
        </is>
      </c>
      <c r="I3082" t="inlineStr">
        <is>
          <t>1²⁰, 5⁶, 125²</t>
        </is>
      </c>
      <c r="J3082" t="n">
        <v>28</v>
      </c>
      <c r="K3082" t="inlineStr">
        <is>
          <t>2², 4⁴, 20²</t>
        </is>
      </c>
      <c r="L3082" t="inlineStr">
        <is>
          <t>25B⁰, 125A⁶</t>
        </is>
      </c>
      <c r="M3082" t="inlineStr"/>
      <c r="N3082" t="inlineStr">
        <is>
          <t>25A⁰, 5B⁰, 5D⁰, 1A⁰, 125A⁶, 25B⁰</t>
        </is>
      </c>
      <c r="O3082" t="inlineStr"/>
    </row>
    <row r="3083">
      <c r="A3083">
        <f>HYPERLINK("https://mathstats.uncg.edu/sites/pauli/congruence/csg12.html#group125B12", "125B¹²")</f>
        <v/>
      </c>
      <c r="B3083" t="n">
        <v>12</v>
      </c>
      <c r="C3083" t="inlineStr"/>
      <c r="D3083" t="inlineStr">
        <is>
          <t>300</t>
        </is>
      </c>
      <c r="E3083" t="inlineStr">
        <is>
          <t>1</t>
        </is>
      </c>
      <c r="F3083" t="inlineStr">
        <is>
          <t>30</t>
        </is>
      </c>
      <c r="G3083" t="inlineStr">
        <is>
          <t>0</t>
        </is>
      </c>
      <c r="H3083" t="inlineStr">
        <is>
          <t>0</t>
        </is>
      </c>
      <c r="I3083" t="inlineStr">
        <is>
          <t>1²⁰, 5⁶, 125²</t>
        </is>
      </c>
      <c r="J3083" t="n">
        <v>28</v>
      </c>
      <c r="K3083" t="inlineStr">
        <is>
          <t>2², 4⁴, 20²</t>
        </is>
      </c>
      <c r="L3083" t="inlineStr">
        <is>
          <t>25B⁰, 125B⁶</t>
        </is>
      </c>
      <c r="M3083" t="inlineStr"/>
      <c r="N3083" t="inlineStr">
        <is>
          <t>25A⁰, 5B⁰, 5D⁰, 125B⁶, 1A⁰, 25B⁰</t>
        </is>
      </c>
      <c r="O3083" t="inlineStr"/>
    </row>
    <row r="3084">
      <c r="A3084">
        <f>HYPERLINK("https://mathstats.uncg.edu/sites/pauli/congruence/csg12.html#group126A12", "126A¹²")</f>
        <v/>
      </c>
      <c r="B3084" t="n">
        <v>12</v>
      </c>
      <c r="C3084" t="inlineStr"/>
      <c r="D3084" t="inlineStr">
        <is>
          <t>144</t>
        </is>
      </c>
      <c r="E3084" t="inlineStr">
        <is>
          <t>1</t>
        </is>
      </c>
      <c r="F3084" t="inlineStr">
        <is>
          <t>72</t>
        </is>
      </c>
      <c r="G3084" t="inlineStr">
        <is>
          <t>0</t>
        </is>
      </c>
      <c r="H3084" t="inlineStr">
        <is>
          <t>0</t>
        </is>
      </c>
      <c r="I3084" t="inlineStr">
        <is>
          <t>18¹, 126¹</t>
        </is>
      </c>
      <c r="J3084" t="n">
        <v>2</v>
      </c>
      <c r="K3084" t="inlineStr">
        <is>
          <t>1², 2², 6³, 12¹, 36¹</t>
        </is>
      </c>
      <c r="L3084" t="inlineStr">
        <is>
          <t>18A¹, 42C⁴, 63A⁶</t>
        </is>
      </c>
      <c r="M3084" t="inlineStr">
        <is>
          <t>126B²³, 126G²³</t>
        </is>
      </c>
      <c r="N3084" t="inlineStr">
        <is>
          <t>6B⁰, 63A⁶, 21A², 7B⁰, 9A⁰, 42C⁴, 3A⁰, 1A⁰, 18A¹</t>
        </is>
      </c>
      <c r="O3084" t="inlineStr">
        <is>
          <t>126G²³, 126B²³</t>
        </is>
      </c>
    </row>
    <row r="3085">
      <c r="A3085">
        <f>HYPERLINK("https://mathstats.uncg.edu/sites/pauli/congruence/csg12.html#group126B12", "126B¹²")</f>
        <v/>
      </c>
      <c r="B3085" t="n">
        <v>12</v>
      </c>
      <c r="C3085" t="inlineStr"/>
      <c r="D3085" t="inlineStr">
        <is>
          <t>144</t>
        </is>
      </c>
      <c r="E3085" t="inlineStr">
        <is>
          <t>1</t>
        </is>
      </c>
      <c r="F3085" t="inlineStr">
        <is>
          <t>72</t>
        </is>
      </c>
      <c r="G3085" t="inlineStr">
        <is>
          <t>0</t>
        </is>
      </c>
      <c r="H3085" t="inlineStr">
        <is>
          <t>0</t>
        </is>
      </c>
      <c r="I3085" t="inlineStr">
        <is>
          <t>18¹, 126¹</t>
        </is>
      </c>
      <c r="J3085" t="n">
        <v>2</v>
      </c>
      <c r="K3085" t="inlineStr">
        <is>
          <t>1², 2², 6³, 12¹, 36¹</t>
        </is>
      </c>
      <c r="L3085" t="inlineStr">
        <is>
          <t>18A², 42B⁴, 63A⁶</t>
        </is>
      </c>
      <c r="M3085" t="inlineStr">
        <is>
          <t>126B²³, 126H²³, 252A²⁴, 252B²⁴, 252D²⁴</t>
        </is>
      </c>
      <c r="N3085" t="inlineStr">
        <is>
          <t>2A⁰, 63A⁶, 42B⁴, 21A², 7B⁰, 9A⁰, 14B⁰, 6A¹, 18A², 3A⁰, 1A⁰</t>
        </is>
      </c>
      <c r="O3085" t="inlineStr">
        <is>
          <t>252A²⁴, 252B²⁴, 252D²⁴, 126H²³, 126B²³</t>
        </is>
      </c>
    </row>
    <row r="3086">
      <c r="A3086">
        <f>HYPERLINK("https://mathstats.uncg.edu/sites/pauli/congruence/csg12.html#group126C12", "126C¹²")</f>
        <v/>
      </c>
      <c r="B3086" t="n">
        <v>12</v>
      </c>
      <c r="C3086" t="inlineStr"/>
      <c r="D3086" t="inlineStr">
        <is>
          <t>144</t>
        </is>
      </c>
      <c r="E3086" t="inlineStr">
        <is>
          <t>1</t>
        </is>
      </c>
      <c r="F3086" t="inlineStr">
        <is>
          <t>144</t>
        </is>
      </c>
      <c r="G3086" t="inlineStr">
        <is>
          <t>0</t>
        </is>
      </c>
      <c r="H3086" t="inlineStr">
        <is>
          <t>0</t>
        </is>
      </c>
      <c r="I3086" t="inlineStr">
        <is>
          <t>18¹, 126¹</t>
        </is>
      </c>
      <c r="J3086" t="n">
        <v>2</v>
      </c>
      <c r="K3086" t="inlineStr">
        <is>
          <t>2⁶, 6⁴, 12³, 36²</t>
        </is>
      </c>
      <c r="L3086" t="inlineStr">
        <is>
          <t>18B¹, 42C⁴</t>
        </is>
      </c>
      <c r="M3086" t="inlineStr">
        <is>
          <t>126E²³, 126I²³</t>
        </is>
      </c>
      <c r="N3086" t="inlineStr">
        <is>
          <t>6B⁰, 21A², 7B⁰, 18B¹, 42C⁴, 3A⁰, 1A⁰</t>
        </is>
      </c>
      <c r="O3086" t="inlineStr">
        <is>
          <t>126E²³, 126I²³</t>
        </is>
      </c>
    </row>
    <row r="3087">
      <c r="A3087">
        <f>HYPERLINK("https://mathstats.uncg.edu/sites/pauli/congruence/csg12.html#group126D12", "126D¹²")</f>
        <v/>
      </c>
      <c r="B3087" t="n">
        <v>12</v>
      </c>
      <c r="C3087" t="inlineStr"/>
      <c r="D3087" t="inlineStr">
        <is>
          <t>144</t>
        </is>
      </c>
      <c r="E3087" t="inlineStr">
        <is>
          <t>2</t>
        </is>
      </c>
      <c r="F3087" t="inlineStr">
        <is>
          <t>72</t>
        </is>
      </c>
      <c r="G3087" t="inlineStr">
        <is>
          <t>0</t>
        </is>
      </c>
      <c r="H3087" t="inlineStr">
        <is>
          <t>0</t>
        </is>
      </c>
      <c r="I3087" t="inlineStr">
        <is>
          <t>18¹, 126¹</t>
        </is>
      </c>
      <c r="J3087" t="n">
        <v>2</v>
      </c>
      <c r="K3087" t="inlineStr">
        <is>
          <t>2⁶, 6⁴, 12³, 36²</t>
        </is>
      </c>
      <c r="L3087" t="inlineStr">
        <is>
          <t>18A⁰, 42C⁴, 63A⁶</t>
        </is>
      </c>
      <c r="M3087" t="inlineStr">
        <is>
          <t>126A²³, 126G²³, 126H²³</t>
        </is>
      </c>
      <c r="N3087" t="inlineStr">
        <is>
          <t>6B⁰, 63A⁶, 21A², 7B⁰, 9A⁰, 42C⁴, 3A⁰, 1A⁰, 18A⁰</t>
        </is>
      </c>
      <c r="O3087" t="inlineStr">
        <is>
          <t>126G²³, 126H²³, 126A²³</t>
        </is>
      </c>
    </row>
    <row r="3088">
      <c r="A3088">
        <f>HYPERLINK("https://mathstats.uncg.edu/sites/pauli/congruence/csg12.html#group126E12", "126E¹²")</f>
        <v/>
      </c>
      <c r="B3088" t="n">
        <v>12</v>
      </c>
      <c r="C3088" t="inlineStr"/>
      <c r="D3088" t="inlineStr">
        <is>
          <t>168</t>
        </is>
      </c>
      <c r="E3088" t="inlineStr">
        <is>
          <t>2</t>
        </is>
      </c>
      <c r="F3088" t="inlineStr">
        <is>
          <t>28</t>
        </is>
      </c>
      <c r="G3088" t="inlineStr">
        <is>
          <t>0</t>
        </is>
      </c>
      <c r="H3088" t="inlineStr">
        <is>
          <t>6</t>
        </is>
      </c>
      <c r="I3088" t="inlineStr">
        <is>
          <t>42¹, 126¹</t>
        </is>
      </c>
      <c r="J3088" t="n">
        <v>2</v>
      </c>
      <c r="K3088" t="inlineStr">
        <is>
          <t>2², 4¹, 6⁴, 12²</t>
        </is>
      </c>
      <c r="L3088" t="inlineStr">
        <is>
          <t>42D⁴, 63C⁶</t>
        </is>
      </c>
      <c r="M3088" t="inlineStr">
        <is>
          <t>126J²³</t>
        </is>
      </c>
      <c r="N3088" t="inlineStr">
        <is>
          <t>3B⁰, 14A⁰, 21B², 63C⁶, 42D⁴, 9C⁰, 1A⁰, 7A⁰</t>
        </is>
      </c>
      <c r="O3088" t="inlineStr">
        <is>
          <t>126J²³</t>
        </is>
      </c>
    </row>
    <row r="3089">
      <c r="A3089">
        <f>HYPERLINK("https://mathstats.uncg.edu/sites/pauli/congruence/csg12.html#group126F12", "126F¹²")</f>
        <v/>
      </c>
      <c r="B3089" t="n">
        <v>12</v>
      </c>
      <c r="C3089" t="inlineStr"/>
      <c r="D3089" t="inlineStr">
        <is>
          <t>168</t>
        </is>
      </c>
      <c r="E3089" t="inlineStr">
        <is>
          <t>2</t>
        </is>
      </c>
      <c r="F3089" t="inlineStr">
        <is>
          <t>28</t>
        </is>
      </c>
      <c r="G3089" t="inlineStr">
        <is>
          <t>0</t>
        </is>
      </c>
      <c r="H3089" t="inlineStr">
        <is>
          <t>6</t>
        </is>
      </c>
      <c r="I3089" t="inlineStr">
        <is>
          <t>42¹, 126¹</t>
        </is>
      </c>
      <c r="J3089" t="n">
        <v>2</v>
      </c>
      <c r="K3089" t="inlineStr">
        <is>
          <t>2², 4¹, 6⁴, 12²</t>
        </is>
      </c>
      <c r="L3089" t="inlineStr">
        <is>
          <t>18B⁰, 42E⁴, 63C⁶</t>
        </is>
      </c>
      <c r="M3089" t="inlineStr">
        <is>
          <t>126J²³, 252E²⁴, 252F²⁴</t>
        </is>
      </c>
      <c r="N3089" t="inlineStr">
        <is>
          <t>3B⁰, 2A⁰, 21B², 63C⁶, 18B⁰, 42E⁴, 6C⁰, 14A¹, 9C⁰, 1A⁰, 7A⁰</t>
        </is>
      </c>
      <c r="O3089" t="inlineStr">
        <is>
          <t>252F²⁴, 252E²⁴, 126J²³</t>
        </is>
      </c>
    </row>
    <row r="3090">
      <c r="A3090">
        <f>HYPERLINK("https://mathstats.uncg.edu/sites/pauli/congruence/csg12.html#group126G12", "126G¹²")</f>
        <v/>
      </c>
      <c r="B3090" t="n">
        <v>12</v>
      </c>
      <c r="C3090" t="inlineStr"/>
      <c r="D3090" t="inlineStr">
        <is>
          <t>168</t>
        </is>
      </c>
      <c r="E3090" t="inlineStr">
        <is>
          <t>2</t>
        </is>
      </c>
      <c r="F3090" t="inlineStr">
        <is>
          <t>56</t>
        </is>
      </c>
      <c r="G3090" t="inlineStr">
        <is>
          <t>0</t>
        </is>
      </c>
      <c r="H3090" t="inlineStr">
        <is>
          <t>3</t>
        </is>
      </c>
      <c r="I3090" t="inlineStr">
        <is>
          <t>14³, 126¹</t>
        </is>
      </c>
      <c r="J3090" t="n">
        <v>4</v>
      </c>
      <c r="K3090" t="inlineStr">
        <is>
          <t>4⁴, 12⁸</t>
        </is>
      </c>
      <c r="L3090" t="inlineStr">
        <is>
          <t>18C⁰, 42E⁴</t>
        </is>
      </c>
      <c r="M3090" t="inlineStr">
        <is>
          <t>126L²³</t>
        </is>
      </c>
      <c r="N3090" t="inlineStr">
        <is>
          <t>18C⁰, 3B⁰, 2A⁰, 21B², 42E⁴, 6C⁰, 14A¹, 1A⁰, 7A⁰</t>
        </is>
      </c>
      <c r="O3090" t="inlineStr">
        <is>
          <t>126L²³</t>
        </is>
      </c>
    </row>
    <row r="3091">
      <c r="A3091">
        <f>HYPERLINK("https://mathstats.uncg.edu/sites/pauli/congruence/csg12.html#group126H12", "126H¹²")</f>
        <v/>
      </c>
      <c r="B3091" t="n">
        <v>12</v>
      </c>
      <c r="C3091" t="inlineStr"/>
      <c r="D3091" t="inlineStr">
        <is>
          <t>189</t>
        </is>
      </c>
      <c r="E3091" t="inlineStr">
        <is>
          <t>2</t>
        </is>
      </c>
      <c r="F3091" t="inlineStr">
        <is>
          <t>189</t>
        </is>
      </c>
      <c r="G3091" t="inlineStr">
        <is>
          <t>15</t>
        </is>
      </c>
      <c r="H3091" t="inlineStr">
        <is>
          <t>0</t>
        </is>
      </c>
      <c r="I3091" t="inlineStr">
        <is>
          <t>63¹, 126¹</t>
        </is>
      </c>
      <c r="J3091" t="n">
        <v>2</v>
      </c>
      <c r="K3091" t="inlineStr">
        <is>
          <t>2³, 4³, 6⁶, 12⁹, 36⁶</t>
        </is>
      </c>
      <c r="L3091" t="inlineStr">
        <is>
          <t>18E¹, 63A², 42C³</t>
        </is>
      </c>
      <c r="M3091" t="inlineStr">
        <is>
          <t>252G²⁴</t>
        </is>
      </c>
      <c r="N3091" t="inlineStr">
        <is>
          <t>14B¹, 7A⁰, 9A⁰, 21A⁰, 2B⁰, 18E¹, 3A⁰, 1A⁰, 42C³, 6D⁰, 63A²</t>
        </is>
      </c>
      <c r="O3091" t="inlineStr">
        <is>
          <t>252G²⁴</t>
        </is>
      </c>
    </row>
    <row r="3092">
      <c r="A3092">
        <f>HYPERLINK("https://mathstats.uncg.edu/sites/pauli/congruence/csg12.html#group126I12", "126I¹²")</f>
        <v/>
      </c>
      <c r="B3092" t="n">
        <v>12</v>
      </c>
      <c r="C3092" t="inlineStr"/>
      <c r="D3092" t="inlineStr">
        <is>
          <t>192</t>
        </is>
      </c>
      <c r="E3092" t="inlineStr">
        <is>
          <t>2</t>
        </is>
      </c>
      <c r="F3092" t="inlineStr">
        <is>
          <t>64</t>
        </is>
      </c>
      <c r="G3092" t="inlineStr">
        <is>
          <t>0</t>
        </is>
      </c>
      <c r="H3092" t="inlineStr">
        <is>
          <t>3</t>
        </is>
      </c>
      <c r="I3092" t="inlineStr">
        <is>
          <t>2³, 14³, 18¹, 126¹</t>
        </is>
      </c>
      <c r="J3092" t="n">
        <v>8</v>
      </c>
      <c r="K3092" t="inlineStr">
        <is>
          <t>2¹⁶, 12⁸</t>
        </is>
      </c>
      <c r="L3092" t="inlineStr">
        <is>
          <t>42E³</t>
        </is>
      </c>
      <c r="M3092" t="inlineStr">
        <is>
          <t>126M²³</t>
        </is>
      </c>
      <c r="N3092" t="inlineStr">
        <is>
          <t>3B⁰, 2A⁰, 21B¹, 7B⁰, 42E³, 6C⁰, 14B⁰, 1A⁰</t>
        </is>
      </c>
      <c r="O3092" t="inlineStr">
        <is>
          <t>126M²³</t>
        </is>
      </c>
    </row>
    <row r="3093">
      <c r="A3093">
        <f>HYPERLINK("https://mathstats.uncg.edu/sites/pauli/congruence/csg12.html#group126J12", "126J¹²")</f>
        <v/>
      </c>
      <c r="B3093" t="n">
        <v>12</v>
      </c>
      <c r="C3093" t="inlineStr"/>
      <c r="D3093" t="inlineStr">
        <is>
          <t>252</t>
        </is>
      </c>
      <c r="E3093" t="inlineStr">
        <is>
          <t>2</t>
        </is>
      </c>
      <c r="F3093" t="inlineStr">
        <is>
          <t>21</t>
        </is>
      </c>
      <c r="G3093" t="inlineStr">
        <is>
          <t>36</t>
        </is>
      </c>
      <c r="H3093" t="inlineStr">
        <is>
          <t>0</t>
        </is>
      </c>
      <c r="I3093" t="inlineStr">
        <is>
          <t>126²</t>
        </is>
      </c>
      <c r="J3093" t="n">
        <v>2</v>
      </c>
      <c r="K3093" t="inlineStr">
        <is>
          <t>2¹, 4¹, 6², 12²</t>
        </is>
      </c>
      <c r="L3093" t="inlineStr">
        <is>
          <t>18D⁰, 42F⁴, 126A⁵, 126B⁵, 63E⁶</t>
        </is>
      </c>
      <c r="M3093" t="inlineStr"/>
      <c r="N3093" t="inlineStr">
        <is>
          <t>21D², 6B⁰, 42F⁴, 63E⁶, 21A⁰, 126A⁵, 1A⁰, 18A⁰, 63A², 9D⁰, 18D⁰, 6E⁰, 9A⁰, 126B⁵, 3C⁰, 42B¹, 3A⁰, 7A⁰</t>
        </is>
      </c>
      <c r="O3093" t="inlineStr"/>
    </row>
    <row r="3094">
      <c r="A3094">
        <f>HYPERLINK("https://mathstats.uncg.edu/sites/pauli/congruence/csg12.html#group132A12", "132A¹²")</f>
        <v/>
      </c>
      <c r="B3094" t="n">
        <v>12</v>
      </c>
      <c r="C3094" t="inlineStr"/>
      <c r="D3094" t="inlineStr">
        <is>
          <t>144</t>
        </is>
      </c>
      <c r="E3094" t="inlineStr">
        <is>
          <t>1</t>
        </is>
      </c>
      <c r="F3094" t="inlineStr">
        <is>
          <t>12</t>
        </is>
      </c>
      <c r="G3094" t="inlineStr">
        <is>
          <t>0</t>
        </is>
      </c>
      <c r="H3094" t="inlineStr">
        <is>
          <t>0</t>
        </is>
      </c>
      <c r="I3094" t="inlineStr">
        <is>
          <t>12¹, 132¹</t>
        </is>
      </c>
      <c r="J3094" t="n">
        <v>2</v>
      </c>
      <c r="K3094" t="inlineStr">
        <is>
          <t>1², 10¹</t>
        </is>
      </c>
      <c r="L3094" t="inlineStr">
        <is>
          <t>44A⁴, 66B⁶</t>
        </is>
      </c>
      <c r="M3094" t="inlineStr">
        <is>
          <t>132B²³</t>
        </is>
      </c>
      <c r="N3094" t="inlineStr">
        <is>
          <t>2A⁰, 44A⁴, 11A¹, 22A², 66B⁶, 6A¹, 3A⁰, 33A³, 1A⁰</t>
        </is>
      </c>
      <c r="O3094" t="inlineStr">
        <is>
          <t>132B²³</t>
        </is>
      </c>
    </row>
    <row r="3095">
      <c r="A3095">
        <f>HYPERLINK("https://mathstats.uncg.edu/sites/pauli/congruence/csg12.html#group132B12", "132B¹²")</f>
        <v/>
      </c>
      <c r="B3095" t="n">
        <v>12</v>
      </c>
      <c r="C3095" t="inlineStr"/>
      <c r="D3095" t="inlineStr">
        <is>
          <t>144</t>
        </is>
      </c>
      <c r="E3095" t="inlineStr">
        <is>
          <t>1</t>
        </is>
      </c>
      <c r="F3095" t="inlineStr">
        <is>
          <t>24</t>
        </is>
      </c>
      <c r="G3095" t="inlineStr">
        <is>
          <t>0</t>
        </is>
      </c>
      <c r="H3095" t="inlineStr">
        <is>
          <t>0</t>
        </is>
      </c>
      <c r="I3095" t="inlineStr">
        <is>
          <t>12¹, 132¹</t>
        </is>
      </c>
      <c r="J3095" t="n">
        <v>2</v>
      </c>
      <c r="K3095" t="inlineStr">
        <is>
          <t>2², 20¹</t>
        </is>
      </c>
      <c r="L3095" t="inlineStr">
        <is>
          <t>44A⁴, 66C⁶</t>
        </is>
      </c>
      <c r="M3095" t="inlineStr"/>
      <c r="N3095" t="inlineStr">
        <is>
          <t>2A⁰, 44A⁴, 6A⁰, 11A¹, 22A², 66C⁶, 1A⁰</t>
        </is>
      </c>
      <c r="O3095" t="inlineStr"/>
    </row>
    <row r="3096">
      <c r="A3096">
        <f>HYPERLINK("https://mathstats.uncg.edu/sites/pauli/congruence/csg12.html#group132C12", "132C¹²")</f>
        <v/>
      </c>
      <c r="B3096" t="n">
        <v>12</v>
      </c>
      <c r="C3096" t="inlineStr"/>
      <c r="D3096" t="inlineStr">
        <is>
          <t>144</t>
        </is>
      </c>
      <c r="E3096" t="inlineStr">
        <is>
          <t>1</t>
        </is>
      </c>
      <c r="F3096" t="inlineStr">
        <is>
          <t>36</t>
        </is>
      </c>
      <c r="G3096" t="inlineStr">
        <is>
          <t>0</t>
        </is>
      </c>
      <c r="H3096" t="inlineStr">
        <is>
          <t>0</t>
        </is>
      </c>
      <c r="I3096" t="inlineStr">
        <is>
          <t>12¹, 132¹</t>
        </is>
      </c>
      <c r="J3096" t="n">
        <v>2</v>
      </c>
      <c r="K3096" t="inlineStr">
        <is>
          <t>1², 2², 10¹, 20¹</t>
        </is>
      </c>
      <c r="L3096" t="inlineStr">
        <is>
          <t>66B⁶</t>
        </is>
      </c>
      <c r="M3096" t="inlineStr">
        <is>
          <t>132A²³, 132B²³</t>
        </is>
      </c>
      <c r="N3096" t="inlineStr">
        <is>
          <t>2A⁰, 11A¹, 22A², 66B⁶, 6A¹, 3A⁰, 33A³, 1A⁰</t>
        </is>
      </c>
      <c r="O3096" t="inlineStr">
        <is>
          <t>132B²³, 132A²³</t>
        </is>
      </c>
    </row>
    <row r="3097">
      <c r="A3097">
        <f>HYPERLINK("https://mathstats.uncg.edu/sites/pauli/congruence/csg12.html#group132D12", "132D¹²")</f>
        <v/>
      </c>
      <c r="B3097" t="n">
        <v>12</v>
      </c>
      <c r="C3097" t="inlineStr"/>
      <c r="D3097" t="inlineStr">
        <is>
          <t>144</t>
        </is>
      </c>
      <c r="E3097" t="inlineStr">
        <is>
          <t>1</t>
        </is>
      </c>
      <c r="F3097" t="inlineStr">
        <is>
          <t>48</t>
        </is>
      </c>
      <c r="G3097" t="inlineStr">
        <is>
          <t>0</t>
        </is>
      </c>
      <c r="H3097" t="inlineStr">
        <is>
          <t>0</t>
        </is>
      </c>
      <c r="I3097" t="inlineStr">
        <is>
          <t>12¹, 132¹</t>
        </is>
      </c>
      <c r="J3097" t="n">
        <v>2</v>
      </c>
      <c r="K3097" t="inlineStr">
        <is>
          <t>2⁴, 20²</t>
        </is>
      </c>
      <c r="L3097" t="inlineStr">
        <is>
          <t>12A⁰, 33A³, 44B⁴</t>
        </is>
      </c>
      <c r="M3097" t="inlineStr">
        <is>
          <t>132C²³, 132F²³, 132G²³, 264A²⁴, 264B²⁴</t>
        </is>
      </c>
      <c r="N3097" t="inlineStr">
        <is>
          <t>12A⁰, 11A¹, 4A⁰, 44B⁴, 3A⁰, 33A³, 1A⁰</t>
        </is>
      </c>
      <c r="O3097" t="inlineStr">
        <is>
          <t>132F²³, 132G²³, 264A²⁴, 132C²³, 264B²⁴</t>
        </is>
      </c>
    </row>
    <row r="3098">
      <c r="A3098">
        <f>HYPERLINK("https://mathstats.uncg.edu/sites/pauli/congruence/csg12.html#group132E12", "132E¹²")</f>
        <v/>
      </c>
      <c r="B3098" t="n">
        <v>12</v>
      </c>
      <c r="C3098" t="inlineStr"/>
      <c r="D3098" t="inlineStr">
        <is>
          <t>176</t>
        </is>
      </c>
      <c r="E3098" t="inlineStr">
        <is>
          <t>2</t>
        </is>
      </c>
      <c r="F3098" t="inlineStr">
        <is>
          <t>44</t>
        </is>
      </c>
      <c r="G3098" t="inlineStr">
        <is>
          <t>0</t>
        </is>
      </c>
      <c r="H3098" t="inlineStr">
        <is>
          <t>8</t>
        </is>
      </c>
      <c r="I3098" t="inlineStr">
        <is>
          <t>44¹, 132¹</t>
        </is>
      </c>
      <c r="J3098" t="n">
        <v>2</v>
      </c>
      <c r="K3098" t="inlineStr">
        <is>
          <t>2², 4¹, 10⁴, 20²</t>
        </is>
      </c>
      <c r="L3098" t="inlineStr">
        <is>
          <t>12B⁰, 66E⁶</t>
        </is>
      </c>
      <c r="M3098" t="inlineStr"/>
      <c r="N3098" t="inlineStr">
        <is>
          <t>11A⁰, 3B⁰, 2A⁰, 22A¹, 33B³, 6C⁰, 66E⁶, 1A⁰, 12B⁰</t>
        </is>
      </c>
      <c r="O3098" t="inlineStr"/>
    </row>
    <row r="3099">
      <c r="A3099">
        <f>HYPERLINK("https://mathstats.uncg.edu/sites/pauli/congruence/csg12.html#group132F12", "132F¹²")</f>
        <v/>
      </c>
      <c r="B3099" t="n">
        <v>12</v>
      </c>
      <c r="C3099" t="inlineStr"/>
      <c r="D3099" t="inlineStr">
        <is>
          <t>198</t>
        </is>
      </c>
      <c r="E3099" t="inlineStr">
        <is>
          <t>2</t>
        </is>
      </c>
      <c r="F3099" t="inlineStr">
        <is>
          <t>33</t>
        </is>
      </c>
      <c r="G3099" t="inlineStr">
        <is>
          <t>18</t>
        </is>
      </c>
      <c r="H3099" t="inlineStr">
        <is>
          <t>0</t>
        </is>
      </c>
      <c r="I3099" t="inlineStr">
        <is>
          <t>66¹, 132¹</t>
        </is>
      </c>
      <c r="J3099" t="n">
        <v>2</v>
      </c>
      <c r="K3099" t="inlineStr">
        <is>
          <t>2³, 10⁶</t>
        </is>
      </c>
      <c r="L3099" t="inlineStr">
        <is>
          <t>12C⁰, 44C⁴, 66F⁶</t>
        </is>
      </c>
      <c r="M3099" t="inlineStr">
        <is>
          <t>264C²⁴</t>
        </is>
      </c>
      <c r="N3099" t="inlineStr">
        <is>
          <t>11A⁰, 12C⁰, 44C⁴, 33A¹, 4C⁰, 2B⁰, 66F⁶, 22B², 3A⁰, 1A⁰, 6D⁰</t>
        </is>
      </c>
      <c r="O3099" t="inlineStr">
        <is>
          <t>264C²⁴</t>
        </is>
      </c>
    </row>
    <row r="3100">
      <c r="A3100">
        <f>HYPERLINK("https://mathstats.uncg.edu/sites/pauli/congruence/csg12.html#group135A12", "135A¹²")</f>
        <v/>
      </c>
      <c r="B3100" t="n">
        <v>12</v>
      </c>
      <c r="C3100" t="inlineStr"/>
      <c r="D3100" t="inlineStr">
        <is>
          <t>180</t>
        </is>
      </c>
      <c r="E3100" t="inlineStr">
        <is>
          <t>1</t>
        </is>
      </c>
      <c r="F3100" t="inlineStr">
        <is>
          <t>60</t>
        </is>
      </c>
      <c r="G3100" t="inlineStr">
        <is>
          <t>0</t>
        </is>
      </c>
      <c r="H3100" t="inlineStr">
        <is>
          <t>0</t>
        </is>
      </c>
      <c r="I3100" t="inlineStr">
        <is>
          <t>5⁶, 15¹, 135¹</t>
        </is>
      </c>
      <c r="J3100" t="n">
        <v>8</v>
      </c>
      <c r="K3100" t="inlineStr">
        <is>
          <t>1², 2², 4², 6¹, 8², 24¹</t>
        </is>
      </c>
      <c r="L3100" t="inlineStr">
        <is>
          <t>27A⁰, 45A⁴</t>
        </is>
      </c>
      <c r="M3100" t="inlineStr"/>
      <c r="N3100" t="inlineStr">
        <is>
          <t>27A⁰, 3B⁰, 9B⁰, 15B¹, 5A⁰, 45A⁴, 1A⁰</t>
        </is>
      </c>
      <c r="O3100" t="inlineStr"/>
    </row>
    <row r="3101">
      <c r="A3101">
        <f>HYPERLINK("https://mathstats.uncg.edu/sites/pauli/congruence/csg12.html#group135B12", "135B¹²")</f>
        <v/>
      </c>
      <c r="B3101" t="n">
        <v>12</v>
      </c>
      <c r="C3101" t="inlineStr"/>
      <c r="D3101" t="inlineStr">
        <is>
          <t>180</t>
        </is>
      </c>
      <c r="E3101" t="inlineStr">
        <is>
          <t>2</t>
        </is>
      </c>
      <c r="F3101" t="inlineStr">
        <is>
          <t>60</t>
        </is>
      </c>
      <c r="G3101" t="inlineStr">
        <is>
          <t>0</t>
        </is>
      </c>
      <c r="H3101" t="inlineStr">
        <is>
          <t>0</t>
        </is>
      </c>
      <c r="I3101" t="inlineStr">
        <is>
          <t>5⁶, 15¹, 135¹</t>
        </is>
      </c>
      <c r="J3101" t="n">
        <v>8</v>
      </c>
      <c r="K3101" t="inlineStr">
        <is>
          <t>2², 4², 8⁶, 12¹, 24²</t>
        </is>
      </c>
      <c r="L3101" t="inlineStr">
        <is>
          <t>45A⁴</t>
        </is>
      </c>
      <c r="M3101" t="inlineStr"/>
      <c r="N3101" t="inlineStr">
        <is>
          <t>3B⁰, 9B⁰, 15B¹, 5A⁰, 45A⁴, 1A⁰</t>
        </is>
      </c>
      <c r="O3101" t="inlineStr"/>
    </row>
    <row r="3102">
      <c r="A3102">
        <f>HYPERLINK("https://mathstats.uncg.edu/sites/pauli/congruence/csg12.html#group135C12", "135C¹²")</f>
        <v/>
      </c>
      <c r="B3102" t="n">
        <v>12</v>
      </c>
      <c r="C3102" t="inlineStr"/>
      <c r="D3102" t="inlineStr">
        <is>
          <t>180</t>
        </is>
      </c>
      <c r="E3102" t="inlineStr">
        <is>
          <t>2</t>
        </is>
      </c>
      <c r="F3102" t="inlineStr">
        <is>
          <t>60</t>
        </is>
      </c>
      <c r="G3102" t="inlineStr">
        <is>
          <t>0</t>
        </is>
      </c>
      <c r="H3102" t="inlineStr">
        <is>
          <t>9</t>
        </is>
      </c>
      <c r="I3102" t="inlineStr">
        <is>
          <t>45¹, 135¹</t>
        </is>
      </c>
      <c r="J3102" t="n">
        <v>2</v>
      </c>
      <c r="K3102" t="inlineStr">
        <is>
          <t>2², 4², 8⁶, 12¹, 24²</t>
        </is>
      </c>
      <c r="L3102" t="inlineStr">
        <is>
          <t>45B³</t>
        </is>
      </c>
      <c r="M3102" t="inlineStr">
        <is>
          <t>270B²⁴</t>
        </is>
      </c>
      <c r="N3102" t="inlineStr">
        <is>
          <t>15B¹, 3B⁰, 5A⁰, 45B³, 9C⁰, 1A⁰</t>
        </is>
      </c>
      <c r="O3102" t="inlineStr">
        <is>
          <t>270B²⁴</t>
        </is>
      </c>
    </row>
    <row r="3103">
      <c r="A3103">
        <f>HYPERLINK("https://mathstats.uncg.edu/sites/pauli/congruence/csg12.html#group138A12", "138A¹²")</f>
        <v/>
      </c>
      <c r="B3103" t="n">
        <v>12</v>
      </c>
      <c r="C3103" t="inlineStr"/>
      <c r="D3103" t="inlineStr">
        <is>
          <t>144</t>
        </is>
      </c>
      <c r="E3103" t="inlineStr">
        <is>
          <t>1</t>
        </is>
      </c>
      <c r="F3103" t="inlineStr">
        <is>
          <t>24</t>
        </is>
      </c>
      <c r="G3103" t="inlineStr">
        <is>
          <t>0</t>
        </is>
      </c>
      <c r="H3103" t="inlineStr">
        <is>
          <t>0</t>
        </is>
      </c>
      <c r="I3103" t="inlineStr">
        <is>
          <t>6¹, 138¹</t>
        </is>
      </c>
      <c r="J3103" t="n">
        <v>2</v>
      </c>
      <c r="K3103" t="inlineStr">
        <is>
          <t>1², 22¹</t>
        </is>
      </c>
      <c r="L3103" t="inlineStr">
        <is>
          <t>6A¹, 46A⁴, 69A⁶</t>
        </is>
      </c>
      <c r="M3103" t="inlineStr">
        <is>
          <t>138B²³, 276A²⁴, 276C²⁴</t>
        </is>
      </c>
      <c r="N3103" t="inlineStr">
        <is>
          <t>2A⁰, 69A⁶, 6A¹, 23A², 3A⁰, 1A⁰, 46A⁴</t>
        </is>
      </c>
      <c r="O3103" t="inlineStr">
        <is>
          <t>276C²⁴, 138B²³, 276A²⁴</t>
        </is>
      </c>
    </row>
    <row r="3104">
      <c r="A3104">
        <f>HYPERLINK("https://mathstats.uncg.edu/sites/pauli/congruence/csg12.html#group138B12", "138B¹²")</f>
        <v/>
      </c>
      <c r="B3104" t="n">
        <v>12</v>
      </c>
      <c r="C3104" t="inlineStr"/>
      <c r="D3104" t="inlineStr">
        <is>
          <t>144</t>
        </is>
      </c>
      <c r="E3104" t="inlineStr">
        <is>
          <t>1</t>
        </is>
      </c>
      <c r="F3104" t="inlineStr">
        <is>
          <t>48</t>
        </is>
      </c>
      <c r="G3104" t="inlineStr">
        <is>
          <t>0</t>
        </is>
      </c>
      <c r="H3104" t="inlineStr">
        <is>
          <t>0</t>
        </is>
      </c>
      <c r="I3104" t="inlineStr">
        <is>
          <t>6¹, 138¹</t>
        </is>
      </c>
      <c r="J3104" t="n">
        <v>2</v>
      </c>
      <c r="K3104" t="inlineStr">
        <is>
          <t>2², 44¹</t>
        </is>
      </c>
      <c r="L3104" t="inlineStr">
        <is>
          <t>6A⁰, 46A⁴</t>
        </is>
      </c>
      <c r="M3104" t="inlineStr">
        <is>
          <t>276B²⁴</t>
        </is>
      </c>
      <c r="N3104" t="inlineStr">
        <is>
          <t>2A⁰, 23A², 6A⁰, 1A⁰, 46A⁴</t>
        </is>
      </c>
      <c r="O3104" t="inlineStr">
        <is>
          <t>276B²⁴</t>
        </is>
      </c>
    </row>
    <row r="3105">
      <c r="A3105">
        <f>HYPERLINK("https://mathstats.uncg.edu/sites/pauli/congruence/csg12.html#group138C12", "138C¹²")</f>
        <v/>
      </c>
      <c r="B3105" t="n">
        <v>12</v>
      </c>
      <c r="C3105" t="inlineStr"/>
      <c r="D3105" t="inlineStr">
        <is>
          <t>144</t>
        </is>
      </c>
      <c r="E3105" t="inlineStr">
        <is>
          <t>1</t>
        </is>
      </c>
      <c r="F3105" t="inlineStr">
        <is>
          <t>72</t>
        </is>
      </c>
      <c r="G3105" t="inlineStr">
        <is>
          <t>0</t>
        </is>
      </c>
      <c r="H3105" t="inlineStr">
        <is>
          <t>0</t>
        </is>
      </c>
      <c r="I3105" t="inlineStr">
        <is>
          <t>6¹, 138¹</t>
        </is>
      </c>
      <c r="J3105" t="n">
        <v>2</v>
      </c>
      <c r="K3105" t="inlineStr">
        <is>
          <t>1², 2², 22¹, 44¹</t>
        </is>
      </c>
      <c r="L3105" t="inlineStr">
        <is>
          <t>6B⁰, 69A⁶</t>
        </is>
      </c>
      <c r="M3105" t="inlineStr">
        <is>
          <t>138A²³, 138B²³</t>
        </is>
      </c>
      <c r="N3105" t="inlineStr">
        <is>
          <t>23A², 6B⁰, 69A⁶, 3A⁰, 1A⁰</t>
        </is>
      </c>
      <c r="O3105" t="inlineStr">
        <is>
          <t>138B²³, 138A²³</t>
        </is>
      </c>
    </row>
    <row r="3106">
      <c r="A3106">
        <f>HYPERLINK("https://mathstats.uncg.edu/sites/pauli/congruence/csg12.html#group140A12", "140A¹²")</f>
        <v/>
      </c>
      <c r="B3106" t="n">
        <v>12</v>
      </c>
      <c r="C3106" t="inlineStr"/>
      <c r="D3106" t="inlineStr">
        <is>
          <t>160</t>
        </is>
      </c>
      <c r="E3106" t="inlineStr">
        <is>
          <t>1</t>
        </is>
      </c>
      <c r="F3106" t="inlineStr">
        <is>
          <t>160</t>
        </is>
      </c>
      <c r="G3106" t="inlineStr">
        <is>
          <t>0</t>
        </is>
      </c>
      <c r="H3106" t="inlineStr">
        <is>
          <t>4</t>
        </is>
      </c>
      <c r="I3106" t="inlineStr">
        <is>
          <t>20¹, 140¹</t>
        </is>
      </c>
      <c r="J3106" t="n">
        <v>2</v>
      </c>
      <c r="K3106" t="inlineStr">
        <is>
          <t>2⁴, 8⁴, 12², 48²</t>
        </is>
      </c>
      <c r="L3106" t="inlineStr">
        <is>
          <t>20A¹, 28A², 35B²</t>
        </is>
      </c>
      <c r="M3106" t="inlineStr">
        <is>
          <t>140C²³, 280A²⁴</t>
        </is>
      </c>
      <c r="N3106" t="inlineStr">
        <is>
          <t>5A⁰, 4A⁰, 7B⁰, 20A¹, 35B², 1A⁰, 28A²</t>
        </is>
      </c>
      <c r="O3106" t="inlineStr">
        <is>
          <t>280A²⁴, 140C²³</t>
        </is>
      </c>
    </row>
    <row r="3107">
      <c r="A3107">
        <f>HYPERLINK("https://mathstats.uncg.edu/sites/pauli/congruence/csg12.html#group141A12", "141A¹²")</f>
        <v/>
      </c>
      <c r="B3107" t="n">
        <v>12</v>
      </c>
      <c r="C3107" t="inlineStr"/>
      <c r="D3107" t="inlineStr">
        <is>
          <t>144</t>
        </is>
      </c>
      <c r="E3107" t="inlineStr">
        <is>
          <t>1</t>
        </is>
      </c>
      <c r="F3107" t="inlineStr">
        <is>
          <t>48</t>
        </is>
      </c>
      <c r="G3107" t="inlineStr">
        <is>
          <t>0</t>
        </is>
      </c>
      <c r="H3107" t="inlineStr">
        <is>
          <t>0</t>
        </is>
      </c>
      <c r="I3107" t="inlineStr">
        <is>
          <t>3¹, 141¹</t>
        </is>
      </c>
      <c r="J3107" t="n">
        <v>2</v>
      </c>
      <c r="K3107" t="inlineStr">
        <is>
          <t>1², 46¹</t>
        </is>
      </c>
      <c r="L3107" t="inlineStr">
        <is>
          <t>3A⁰, 47A⁴</t>
        </is>
      </c>
      <c r="M3107" t="inlineStr">
        <is>
          <t>141A²³, 282A²⁴, 282C²⁴</t>
        </is>
      </c>
      <c r="N3107" t="inlineStr">
        <is>
          <t>3A⁰, 47A⁴, 1A⁰</t>
        </is>
      </c>
      <c r="O3107" t="inlineStr">
        <is>
          <t>141A²³, 282A²⁴, 282C²⁴</t>
        </is>
      </c>
    </row>
    <row r="3108">
      <c r="A3108">
        <f>HYPERLINK("https://mathstats.uncg.edu/sites/pauli/congruence/csg12.html#group142A12", "142A¹²")</f>
        <v/>
      </c>
      <c r="B3108" t="n">
        <v>12</v>
      </c>
      <c r="C3108" t="inlineStr"/>
      <c r="D3108" t="inlineStr">
        <is>
          <t>144</t>
        </is>
      </c>
      <c r="E3108" t="inlineStr">
        <is>
          <t>1</t>
        </is>
      </c>
      <c r="F3108" t="inlineStr">
        <is>
          <t>72</t>
        </is>
      </c>
      <c r="G3108" t="inlineStr">
        <is>
          <t>0</t>
        </is>
      </c>
      <c r="H3108" t="inlineStr">
        <is>
          <t>0</t>
        </is>
      </c>
      <c r="I3108" t="inlineStr">
        <is>
          <t>2¹, 142¹</t>
        </is>
      </c>
      <c r="J3108" t="n">
        <v>2</v>
      </c>
      <c r="K3108" t="inlineStr">
        <is>
          <t>1², 70¹</t>
        </is>
      </c>
      <c r="L3108" t="inlineStr">
        <is>
          <t>2A⁰, 71A⁶</t>
        </is>
      </c>
      <c r="M3108" t="inlineStr">
        <is>
          <t>284A²⁴</t>
        </is>
      </c>
      <c r="N3108" t="inlineStr">
        <is>
          <t>2A⁰, 1A⁰, 71A⁶</t>
        </is>
      </c>
      <c r="O3108" t="inlineStr">
        <is>
          <t>284A²⁴</t>
        </is>
      </c>
    </row>
    <row r="3109">
      <c r="A3109">
        <f>HYPERLINK("https://mathstats.uncg.edu/sites/pauli/congruence/csg12.html#group144A12", "144A¹²")</f>
        <v/>
      </c>
      <c r="B3109" t="n">
        <v>12</v>
      </c>
      <c r="C3109" t="inlineStr"/>
      <c r="D3109" t="inlineStr">
        <is>
          <t>192</t>
        </is>
      </c>
      <c r="E3109" t="inlineStr">
        <is>
          <t>2</t>
        </is>
      </c>
      <c r="F3109" t="inlineStr">
        <is>
          <t>32</t>
        </is>
      </c>
      <c r="G3109" t="inlineStr">
        <is>
          <t>0</t>
        </is>
      </c>
      <c r="H3109" t="inlineStr">
        <is>
          <t>12</t>
        </is>
      </c>
      <c r="I3109" t="inlineStr">
        <is>
          <t>48¹, 144¹</t>
        </is>
      </c>
      <c r="J3109" t="n">
        <v>2</v>
      </c>
      <c r="K3109" t="inlineStr">
        <is>
          <t>8⁴, 16²</t>
        </is>
      </c>
      <c r="L3109" t="inlineStr">
        <is>
          <t>48A⁴, 72A⁶</t>
        </is>
      </c>
      <c r="M3109" t="inlineStr">
        <is>
          <t>144V²³</t>
        </is>
      </c>
      <c r="N3109" t="inlineStr">
        <is>
          <t>3B⁰, 72A⁶, 16A⁰, 24A², 4A⁰, 12A¹, 8A⁰, 48A⁴, 9C⁰, 1A⁰, 36C³</t>
        </is>
      </c>
      <c r="O3109" t="inlineStr">
        <is>
          <t>144V²³</t>
        </is>
      </c>
    </row>
    <row r="3110">
      <c r="A3110">
        <f>HYPERLINK("https://mathstats.uncg.edu/sites/pauli/congruence/csg12.html#group144B12", "144B¹²")</f>
        <v/>
      </c>
      <c r="B3110" t="n">
        <v>12</v>
      </c>
      <c r="C3110" t="inlineStr"/>
      <c r="D3110" t="inlineStr">
        <is>
          <t>216</t>
        </is>
      </c>
      <c r="E3110" t="inlineStr">
        <is>
          <t>1</t>
        </is>
      </c>
      <c r="F3110" t="inlineStr">
        <is>
          <t>27</t>
        </is>
      </c>
      <c r="G3110" t="inlineStr">
        <is>
          <t>24</t>
        </is>
      </c>
      <c r="H3110" t="inlineStr">
        <is>
          <t>0</t>
        </is>
      </c>
      <c r="I3110" t="inlineStr">
        <is>
          <t>72¹, 144¹</t>
        </is>
      </c>
      <c r="J3110" t="n">
        <v>2</v>
      </c>
      <c r="K3110" t="inlineStr">
        <is>
          <t>1³, 2³, 6³</t>
        </is>
      </c>
      <c r="L3110" t="inlineStr">
        <is>
          <t>48C⁴, 72E⁴</t>
        </is>
      </c>
      <c r="M3110" t="inlineStr">
        <is>
          <t>144X²³, 144Y²³</t>
        </is>
      </c>
      <c r="N3110" t="inlineStr">
        <is>
          <t>12C⁰, 24A⁰, 72E⁴, 9A⁰, 36B², 4C⁰, 8B⁰, 2B⁰, 18E¹, 3A⁰, 1A⁰, 6D⁰, 48C⁴</t>
        </is>
      </c>
      <c r="O3110" t="inlineStr">
        <is>
          <t>144X²³, 144Y²³</t>
        </is>
      </c>
    </row>
    <row r="3111">
      <c r="A3111">
        <f>HYPERLINK("https://mathstats.uncg.edu/sites/pauli/congruence/csg12.html#group145A12", "145A¹²")</f>
        <v/>
      </c>
      <c r="B3111" t="n">
        <v>12</v>
      </c>
      <c r="C3111" t="inlineStr"/>
      <c r="D3111" t="inlineStr">
        <is>
          <t>150</t>
        </is>
      </c>
      <c r="E3111" t="inlineStr">
        <is>
          <t>1</t>
        </is>
      </c>
      <c r="F3111" t="inlineStr">
        <is>
          <t>150</t>
        </is>
      </c>
      <c r="G3111" t="inlineStr">
        <is>
          <t>2</t>
        </is>
      </c>
      <c r="H3111" t="inlineStr">
        <is>
          <t>0</t>
        </is>
      </c>
      <c r="I3111" t="inlineStr">
        <is>
          <t>5¹, 145¹</t>
        </is>
      </c>
      <c r="J3111" t="n">
        <v>2</v>
      </c>
      <c r="K3111" t="inlineStr">
        <is>
          <t>1², 4², 28¹, 112¹</t>
        </is>
      </c>
      <c r="L3111" t="inlineStr">
        <is>
          <t>5A⁰, 29A²</t>
        </is>
      </c>
      <c r="M3111" t="inlineStr">
        <is>
          <t>145A²⁴, 290A²⁴</t>
        </is>
      </c>
      <c r="N3111" t="inlineStr">
        <is>
          <t>1A⁰, 5A⁰, 29A²</t>
        </is>
      </c>
      <c r="O3111" t="inlineStr">
        <is>
          <t>290A²⁴, 145A²⁴</t>
        </is>
      </c>
    </row>
    <row r="3112">
      <c r="A3112">
        <f>HYPERLINK("https://mathstats.uncg.edu/sites/pauli/congruence/csg12.html#group149A12", "149A¹²")</f>
        <v/>
      </c>
      <c r="B3112" t="n">
        <v>12</v>
      </c>
      <c r="C3112" t="inlineStr">
        <is>
          <t>Γ₀(149)</t>
        </is>
      </c>
      <c r="D3112" t="inlineStr">
        <is>
          <t>150</t>
        </is>
      </c>
      <c r="E3112" t="inlineStr">
        <is>
          <t>1</t>
        </is>
      </c>
      <c r="F3112" t="inlineStr">
        <is>
          <t>150</t>
        </is>
      </c>
      <c r="G3112" t="inlineStr">
        <is>
          <t>2</t>
        </is>
      </c>
      <c r="H3112" t="inlineStr">
        <is>
          <t>0</t>
        </is>
      </c>
      <c r="I3112" t="inlineStr">
        <is>
          <t>1¹, 149¹</t>
        </is>
      </c>
      <c r="J3112" t="n">
        <v>2</v>
      </c>
      <c r="K3112" t="inlineStr">
        <is>
          <t>1², 148¹</t>
        </is>
      </c>
      <c r="L3112" t="inlineStr">
        <is>
          <t>1A⁰</t>
        </is>
      </c>
      <c r="M3112" t="inlineStr">
        <is>
          <t>149A²⁴, 298A²⁴</t>
        </is>
      </c>
      <c r="N3112" t="inlineStr">
        <is>
          <t>1A⁰</t>
        </is>
      </c>
      <c r="O3112" t="inlineStr">
        <is>
          <t>149A²⁴, 298A²⁴</t>
        </is>
      </c>
    </row>
    <row r="3113">
      <c r="A3113">
        <f>HYPERLINK("https://mathstats.uncg.edu/sites/pauli/congruence/csg12.html#group150A12", "150A¹²")</f>
        <v/>
      </c>
      <c r="B3113" t="n">
        <v>12</v>
      </c>
      <c r="C3113" t="inlineStr"/>
      <c r="D3113" t="inlineStr">
        <is>
          <t>180</t>
        </is>
      </c>
      <c r="E3113" t="inlineStr">
        <is>
          <t>1</t>
        </is>
      </c>
      <c r="F3113" t="inlineStr">
        <is>
          <t>30</t>
        </is>
      </c>
      <c r="G3113" t="inlineStr">
        <is>
          <t>12</t>
        </is>
      </c>
      <c r="H3113" t="inlineStr">
        <is>
          <t>0</t>
        </is>
      </c>
      <c r="I3113" t="inlineStr">
        <is>
          <t>30¹, 150¹</t>
        </is>
      </c>
      <c r="J3113" t="n">
        <v>2</v>
      </c>
      <c r="K3113" t="inlineStr">
        <is>
          <t>2², 4⁴, 20²</t>
        </is>
      </c>
      <c r="L3113" t="inlineStr">
        <is>
          <t>30A⁰, 50A⁴, 75A⁶</t>
        </is>
      </c>
      <c r="M3113" t="inlineStr"/>
      <c r="N3113" t="inlineStr">
        <is>
          <t>30A⁰, 15B⁰, 25A², 3A⁰, 5B⁰, 75A⁶, 1A⁰, 50A⁴, 10B⁰</t>
        </is>
      </c>
      <c r="O3113" t="inlineStr"/>
    </row>
    <row r="3114">
      <c r="A3114">
        <f>HYPERLINK("https://mathstats.uncg.edu/sites/pauli/congruence/csg12.html#group150B12", "150B¹²")</f>
        <v/>
      </c>
      <c r="B3114" t="n">
        <v>12</v>
      </c>
      <c r="C3114" t="inlineStr"/>
      <c r="D3114" t="inlineStr">
        <is>
          <t>180</t>
        </is>
      </c>
      <c r="E3114" t="inlineStr">
        <is>
          <t>1</t>
        </is>
      </c>
      <c r="F3114" t="inlineStr">
        <is>
          <t>30</t>
        </is>
      </c>
      <c r="G3114" t="inlineStr">
        <is>
          <t>12</t>
        </is>
      </c>
      <c r="H3114" t="inlineStr">
        <is>
          <t>0</t>
        </is>
      </c>
      <c r="I3114" t="inlineStr">
        <is>
          <t>30¹, 150¹</t>
        </is>
      </c>
      <c r="J3114" t="n">
        <v>2</v>
      </c>
      <c r="K3114" t="inlineStr">
        <is>
          <t>2², 4⁴, 20²</t>
        </is>
      </c>
      <c r="L3114" t="inlineStr">
        <is>
          <t>30A⁰, 50B⁴, 75B⁶</t>
        </is>
      </c>
      <c r="M3114" t="inlineStr"/>
      <c r="N3114" t="inlineStr">
        <is>
          <t>30A⁰, 15B⁰, 50B⁴, 5B⁰, 1A⁰, 3A⁰, 75B⁶, 25B², 10B⁰</t>
        </is>
      </c>
      <c r="O3114" t="inlineStr"/>
    </row>
    <row r="3115">
      <c r="A3115">
        <f>HYPERLINK("https://mathstats.uncg.edu/sites/pauli/congruence/csg12.html#group150C12", "150C¹²")</f>
        <v/>
      </c>
      <c r="B3115" t="n">
        <v>12</v>
      </c>
      <c r="C3115" t="inlineStr"/>
      <c r="D3115" t="inlineStr">
        <is>
          <t>180</t>
        </is>
      </c>
      <c r="E3115" t="inlineStr">
        <is>
          <t>1</t>
        </is>
      </c>
      <c r="F3115" t="inlineStr">
        <is>
          <t>30</t>
        </is>
      </c>
      <c r="G3115" t="inlineStr">
        <is>
          <t>12</t>
        </is>
      </c>
      <c r="H3115" t="inlineStr">
        <is>
          <t>0</t>
        </is>
      </c>
      <c r="I3115" t="inlineStr">
        <is>
          <t>30¹, 150¹</t>
        </is>
      </c>
      <c r="J3115" t="n">
        <v>2</v>
      </c>
      <c r="K3115" t="inlineStr">
        <is>
          <t>2², 4⁴, 20²</t>
        </is>
      </c>
      <c r="L3115" t="inlineStr">
        <is>
          <t>30A⁰, 50C⁴, 75C⁶</t>
        </is>
      </c>
      <c r="M3115" t="inlineStr"/>
      <c r="N3115" t="inlineStr">
        <is>
          <t>30A⁰, 15B⁰, 75C⁶, 5B⁰, 50C⁴, 3A⁰, 1A⁰, 25C², 10B⁰</t>
        </is>
      </c>
      <c r="O3115" t="inlineStr"/>
    </row>
    <row r="3116">
      <c r="A3116">
        <f>HYPERLINK("https://mathstats.uncg.edu/sites/pauli/congruence/csg12.html#group150D12", "150D¹²")</f>
        <v/>
      </c>
      <c r="B3116" t="n">
        <v>12</v>
      </c>
      <c r="C3116" t="inlineStr"/>
      <c r="D3116" t="inlineStr">
        <is>
          <t>180</t>
        </is>
      </c>
      <c r="E3116" t="inlineStr">
        <is>
          <t>1</t>
        </is>
      </c>
      <c r="F3116" t="inlineStr">
        <is>
          <t>30</t>
        </is>
      </c>
      <c r="G3116" t="inlineStr">
        <is>
          <t>12</t>
        </is>
      </c>
      <c r="H3116" t="inlineStr">
        <is>
          <t>0</t>
        </is>
      </c>
      <c r="I3116" t="inlineStr">
        <is>
          <t>30¹, 150¹</t>
        </is>
      </c>
      <c r="J3116" t="n">
        <v>2</v>
      </c>
      <c r="K3116" t="inlineStr">
        <is>
          <t>2², 4⁴, 20²</t>
        </is>
      </c>
      <c r="L3116" t="inlineStr">
        <is>
          <t>30A⁰, 50D⁴, 75D⁶</t>
        </is>
      </c>
      <c r="M3116" t="inlineStr"/>
      <c r="N3116" t="inlineStr">
        <is>
          <t>30A⁰, 15B⁰, 5B⁰, 50D⁴, 75D⁶, 3A⁰, 1A⁰, 25D², 10B⁰</t>
        </is>
      </c>
      <c r="O3116" t="inlineStr"/>
    </row>
    <row r="3117">
      <c r="A3117">
        <f>HYPERLINK("https://mathstats.uncg.edu/sites/pauli/congruence/csg12.html#group150E12", "150E¹²")</f>
        <v/>
      </c>
      <c r="B3117" t="n">
        <v>12</v>
      </c>
      <c r="C3117" t="inlineStr"/>
      <c r="D3117" t="inlineStr">
        <is>
          <t>180</t>
        </is>
      </c>
      <c r="E3117" t="inlineStr">
        <is>
          <t>1</t>
        </is>
      </c>
      <c r="F3117" t="inlineStr">
        <is>
          <t>90</t>
        </is>
      </c>
      <c r="G3117" t="inlineStr">
        <is>
          <t>4</t>
        </is>
      </c>
      <c r="H3117" t="inlineStr">
        <is>
          <t>0</t>
        </is>
      </c>
      <c r="I3117" t="inlineStr">
        <is>
          <t>6⁵, 150¹</t>
        </is>
      </c>
      <c r="J3117" t="n">
        <v>6</v>
      </c>
      <c r="K3117" t="inlineStr">
        <is>
          <t>1², 2², 4², 8², 20¹, 40¹</t>
        </is>
      </c>
      <c r="L3117" t="inlineStr">
        <is>
          <t>30C², 75A⁴</t>
        </is>
      </c>
      <c r="M3117" t="inlineStr">
        <is>
          <t>150C²³, 150D²³</t>
        </is>
      </c>
      <c r="N3117" t="inlineStr">
        <is>
          <t>25A⁰, 5B⁰, 15B⁰, 75A⁴, 3A⁰, 1A⁰, 30C²</t>
        </is>
      </c>
      <c r="O3117" t="inlineStr">
        <is>
          <t>150C²³, 150D²³</t>
        </is>
      </c>
    </row>
    <row r="3118">
      <c r="A3118">
        <f>HYPERLINK("https://mathstats.uncg.edu/sites/pauli/congruence/csg12.html#group151A12", "151A¹²")</f>
        <v/>
      </c>
      <c r="B3118" t="n">
        <v>12</v>
      </c>
      <c r="C3118" t="inlineStr">
        <is>
          <t>Γ₀(151)</t>
        </is>
      </c>
      <c r="D3118" t="inlineStr">
        <is>
          <t>152</t>
        </is>
      </c>
      <c r="E3118" t="inlineStr">
        <is>
          <t>1</t>
        </is>
      </c>
      <c r="F3118" t="inlineStr">
        <is>
          <t>152</t>
        </is>
      </c>
      <c r="G3118" t="inlineStr">
        <is>
          <t>0</t>
        </is>
      </c>
      <c r="H3118" t="inlineStr">
        <is>
          <t>2</t>
        </is>
      </c>
      <c r="I3118" t="inlineStr">
        <is>
          <t>1¹, 151¹</t>
        </is>
      </c>
      <c r="J3118" t="n">
        <v>2</v>
      </c>
      <c r="K3118" t="inlineStr">
        <is>
          <t>1², 150¹</t>
        </is>
      </c>
      <c r="L3118" t="inlineStr">
        <is>
          <t>1A⁰</t>
        </is>
      </c>
      <c r="M3118" t="inlineStr">
        <is>
          <t>302A²⁴</t>
        </is>
      </c>
      <c r="N3118" t="inlineStr">
        <is>
          <t>1A⁰</t>
        </is>
      </c>
      <c r="O3118" t="inlineStr">
        <is>
          <t>302A²⁴</t>
        </is>
      </c>
    </row>
    <row r="3119">
      <c r="A3119">
        <f>HYPERLINK("https://mathstats.uncg.edu/sites/pauli/congruence/csg12.html#group152A12", "152A¹²")</f>
        <v/>
      </c>
      <c r="B3119" t="n">
        <v>12</v>
      </c>
      <c r="C3119" t="inlineStr"/>
      <c r="D3119" t="inlineStr">
        <is>
          <t>160</t>
        </is>
      </c>
      <c r="E3119" t="inlineStr">
        <is>
          <t>2</t>
        </is>
      </c>
      <c r="F3119" t="inlineStr">
        <is>
          <t>80</t>
        </is>
      </c>
      <c r="G3119" t="inlineStr">
        <is>
          <t>0</t>
        </is>
      </c>
      <c r="H3119" t="inlineStr">
        <is>
          <t>4</t>
        </is>
      </c>
      <c r="I3119" t="inlineStr">
        <is>
          <t>8¹, 152¹</t>
        </is>
      </c>
      <c r="J3119" t="n">
        <v>2</v>
      </c>
      <c r="K3119" t="inlineStr">
        <is>
          <t>4⁴, 72²</t>
        </is>
      </c>
      <c r="L3119" t="inlineStr">
        <is>
          <t>8A⁰, 76A⁶</t>
        </is>
      </c>
      <c r="M3119" t="inlineStr">
        <is>
          <t>152B²³, 304A²⁴</t>
        </is>
      </c>
      <c r="N3119" t="inlineStr">
        <is>
          <t>8A⁰, 19A¹, 76A⁶, 1A⁰, 4A⁰</t>
        </is>
      </c>
      <c r="O3119" t="inlineStr">
        <is>
          <t>152B²³, 304A²⁴</t>
        </is>
      </c>
    </row>
    <row r="3120">
      <c r="A3120">
        <f>HYPERLINK("https://mathstats.uncg.edu/sites/pauli/congruence/csg12.html#group154A12", "154A¹²")</f>
        <v/>
      </c>
      <c r="B3120" t="n">
        <v>12</v>
      </c>
      <c r="C3120" t="inlineStr"/>
      <c r="D3120" t="inlineStr">
        <is>
          <t>154</t>
        </is>
      </c>
      <c r="E3120" t="inlineStr">
        <is>
          <t>2</t>
        </is>
      </c>
      <c r="F3120" t="inlineStr">
        <is>
          <t>77</t>
        </is>
      </c>
      <c r="G3120" t="inlineStr">
        <is>
          <t>0</t>
        </is>
      </c>
      <c r="H3120" t="inlineStr">
        <is>
          <t>4</t>
        </is>
      </c>
      <c r="I3120" t="inlineStr">
        <is>
          <t>154¹</t>
        </is>
      </c>
      <c r="J3120" t="n">
        <v>1</v>
      </c>
      <c r="K3120" t="inlineStr">
        <is>
          <t>4¹, 12², 20², 60⁴</t>
        </is>
      </c>
      <c r="L3120" t="inlineStr">
        <is>
          <t>22A¹, 77A⁴</t>
        </is>
      </c>
      <c r="M3120" t="inlineStr">
        <is>
          <t>154A²³</t>
        </is>
      </c>
      <c r="N3120" t="inlineStr">
        <is>
          <t>11A⁰, 2A⁰, 22A¹, 1A⁰, 7A⁰, 77A⁴</t>
        </is>
      </c>
      <c r="O3120" t="inlineStr">
        <is>
          <t>154A²³</t>
        </is>
      </c>
    </row>
    <row r="3121">
      <c r="A3121">
        <f>HYPERLINK("https://mathstats.uncg.edu/sites/pauli/congruence/csg12.html#group154B12", "154B¹²")</f>
        <v/>
      </c>
      <c r="B3121" t="n">
        <v>12</v>
      </c>
      <c r="C3121" t="inlineStr"/>
      <c r="D3121" t="inlineStr">
        <is>
          <t>154</t>
        </is>
      </c>
      <c r="E3121" t="inlineStr">
        <is>
          <t>2</t>
        </is>
      </c>
      <c r="F3121" t="inlineStr">
        <is>
          <t>77</t>
        </is>
      </c>
      <c r="G3121" t="inlineStr">
        <is>
          <t>0</t>
        </is>
      </c>
      <c r="H3121" t="inlineStr">
        <is>
          <t>4</t>
        </is>
      </c>
      <c r="I3121" t="inlineStr">
        <is>
          <t>154¹</t>
        </is>
      </c>
      <c r="J3121" t="n">
        <v>1</v>
      </c>
      <c r="K3121" t="inlineStr">
        <is>
          <t>4¹, 12², 20², 60⁴</t>
        </is>
      </c>
      <c r="L3121" t="inlineStr">
        <is>
          <t>22A¹, 77B⁴</t>
        </is>
      </c>
      <c r="M3121" t="inlineStr">
        <is>
          <t>154B²³</t>
        </is>
      </c>
      <c r="N3121" t="inlineStr">
        <is>
          <t>11A⁰, 2A⁰, 22A¹, 77B⁴, 1A⁰, 7A⁰</t>
        </is>
      </c>
      <c r="O3121" t="inlineStr">
        <is>
          <t>154B²³</t>
        </is>
      </c>
    </row>
    <row r="3122">
      <c r="A3122">
        <f>HYPERLINK("https://mathstats.uncg.edu/sites/pauli/congruence/csg12.html#group154C12", "154C¹²")</f>
        <v/>
      </c>
      <c r="B3122" t="n">
        <v>12</v>
      </c>
      <c r="C3122" t="inlineStr"/>
      <c r="D3122" t="inlineStr">
        <is>
          <t>176</t>
        </is>
      </c>
      <c r="E3122" t="inlineStr">
        <is>
          <t>2</t>
        </is>
      </c>
      <c r="F3122" t="inlineStr">
        <is>
          <t>88</t>
        </is>
      </c>
      <c r="G3122" t="inlineStr">
        <is>
          <t>0</t>
        </is>
      </c>
      <c r="H3122" t="inlineStr">
        <is>
          <t>8</t>
        </is>
      </c>
      <c r="I3122" t="inlineStr">
        <is>
          <t>22¹, 154¹</t>
        </is>
      </c>
      <c r="J3122" t="n">
        <v>2</v>
      </c>
      <c r="K3122" t="inlineStr">
        <is>
          <t>2², 10⁴, 12¹, 60²</t>
        </is>
      </c>
      <c r="L3122" t="inlineStr">
        <is>
          <t>22A¹, 77A⁶</t>
        </is>
      </c>
      <c r="M3122" t="inlineStr">
        <is>
          <t>308A²⁴</t>
        </is>
      </c>
      <c r="N3122" t="inlineStr">
        <is>
          <t>11A⁰, 2A⁰, 22A¹, 1A⁰, 7B⁰, 77A⁶</t>
        </is>
      </c>
      <c r="O3122" t="inlineStr">
        <is>
          <t>308A²⁴</t>
        </is>
      </c>
    </row>
    <row r="3123">
      <c r="A3123">
        <f>HYPERLINK("https://mathstats.uncg.edu/sites/pauli/congruence/csg12.html#group155A12", "155A¹²")</f>
        <v/>
      </c>
      <c r="B3123" t="n">
        <v>12</v>
      </c>
      <c r="C3123" t="inlineStr"/>
      <c r="D3123" t="inlineStr">
        <is>
          <t>160</t>
        </is>
      </c>
      <c r="E3123" t="inlineStr">
        <is>
          <t>1</t>
        </is>
      </c>
      <c r="F3123" t="inlineStr">
        <is>
          <t>160</t>
        </is>
      </c>
      <c r="G3123" t="inlineStr">
        <is>
          <t>0</t>
        </is>
      </c>
      <c r="H3123" t="inlineStr">
        <is>
          <t>4</t>
        </is>
      </c>
      <c r="I3123" t="inlineStr">
        <is>
          <t>5¹, 155¹</t>
        </is>
      </c>
      <c r="J3123" t="n">
        <v>2</v>
      </c>
      <c r="K3123" t="inlineStr">
        <is>
          <t>1², 4², 30¹, 120¹</t>
        </is>
      </c>
      <c r="L3123" t="inlineStr">
        <is>
          <t>5A⁰, 31A²</t>
        </is>
      </c>
      <c r="M3123" t="inlineStr">
        <is>
          <t>310A²⁴</t>
        </is>
      </c>
      <c r="N3123" t="inlineStr">
        <is>
          <t>31A², 5A⁰, 1A⁰</t>
        </is>
      </c>
      <c r="O3123" t="inlineStr">
        <is>
          <t>310A²⁴</t>
        </is>
      </c>
    </row>
    <row r="3124">
      <c r="A3124">
        <f>HYPERLINK("https://mathstats.uncg.edu/sites/pauli/congruence/csg12.html#group157A12", "157A¹²")</f>
        <v/>
      </c>
      <c r="B3124" t="n">
        <v>12</v>
      </c>
      <c r="C3124" t="inlineStr">
        <is>
          <t>Γ₀(157)</t>
        </is>
      </c>
      <c r="D3124" t="inlineStr">
        <is>
          <t>158</t>
        </is>
      </c>
      <c r="E3124" t="inlineStr">
        <is>
          <t>1</t>
        </is>
      </c>
      <c r="F3124" t="inlineStr">
        <is>
          <t>158</t>
        </is>
      </c>
      <c r="G3124" t="inlineStr">
        <is>
          <t>2</t>
        </is>
      </c>
      <c r="H3124" t="inlineStr">
        <is>
          <t>2</t>
        </is>
      </c>
      <c r="I3124" t="inlineStr">
        <is>
          <t>1¹, 157¹</t>
        </is>
      </c>
      <c r="J3124" t="n">
        <v>2</v>
      </c>
      <c r="K3124" t="inlineStr">
        <is>
          <t>1², 156¹</t>
        </is>
      </c>
      <c r="L3124" t="inlineStr">
        <is>
          <t>1A⁰</t>
        </is>
      </c>
      <c r="M3124" t="inlineStr">
        <is>
          <t>157A²⁴, 314A²⁴</t>
        </is>
      </c>
      <c r="N3124" t="inlineStr">
        <is>
          <t>1A⁰</t>
        </is>
      </c>
      <c r="O3124" t="inlineStr">
        <is>
          <t>157A²⁴, 314A²⁴</t>
        </is>
      </c>
    </row>
    <row r="3125">
      <c r="A3125">
        <f>HYPERLINK("https://mathstats.uncg.edu/sites/pauli/congruence/csg12.html#group158A12", "158A¹²")</f>
        <v/>
      </c>
      <c r="B3125" t="n">
        <v>12</v>
      </c>
      <c r="C3125" t="inlineStr"/>
      <c r="D3125" t="inlineStr">
        <is>
          <t>160</t>
        </is>
      </c>
      <c r="E3125" t="inlineStr">
        <is>
          <t>1</t>
        </is>
      </c>
      <c r="F3125" t="inlineStr">
        <is>
          <t>80</t>
        </is>
      </c>
      <c r="G3125" t="inlineStr">
        <is>
          <t>0</t>
        </is>
      </c>
      <c r="H3125" t="inlineStr">
        <is>
          <t>4</t>
        </is>
      </c>
      <c r="I3125" t="inlineStr">
        <is>
          <t>2¹, 158¹</t>
        </is>
      </c>
      <c r="J3125" t="n">
        <v>2</v>
      </c>
      <c r="K3125" t="inlineStr">
        <is>
          <t>1², 78¹</t>
        </is>
      </c>
      <c r="L3125" t="inlineStr">
        <is>
          <t>2A⁰, 79A⁶</t>
        </is>
      </c>
      <c r="M3125" t="inlineStr">
        <is>
          <t>316A²⁴</t>
        </is>
      </c>
      <c r="N3125" t="inlineStr">
        <is>
          <t>2A⁰, 1A⁰, 79A⁶</t>
        </is>
      </c>
      <c r="O3125" t="inlineStr">
        <is>
          <t>316A²⁴</t>
        </is>
      </c>
    </row>
    <row r="3126">
      <c r="A3126">
        <f>HYPERLINK("https://mathstats.uncg.edu/sites/pauli/congruence/csg12.html#group159A12", "159A¹²")</f>
        <v/>
      </c>
      <c r="B3126" t="n">
        <v>12</v>
      </c>
      <c r="C3126" t="inlineStr"/>
      <c r="D3126" t="inlineStr">
        <is>
          <t>162</t>
        </is>
      </c>
      <c r="E3126" t="inlineStr">
        <is>
          <t>1</t>
        </is>
      </c>
      <c r="F3126" t="inlineStr">
        <is>
          <t>54</t>
        </is>
      </c>
      <c r="G3126" t="inlineStr">
        <is>
          <t>6</t>
        </is>
      </c>
      <c r="H3126" t="inlineStr">
        <is>
          <t>0</t>
        </is>
      </c>
      <c r="I3126" t="inlineStr">
        <is>
          <t>3¹, 159¹</t>
        </is>
      </c>
      <c r="J3126" t="n">
        <v>2</v>
      </c>
      <c r="K3126" t="inlineStr">
        <is>
          <t>1², 52¹</t>
        </is>
      </c>
      <c r="L3126" t="inlineStr">
        <is>
          <t>3A⁰, 53A⁴</t>
        </is>
      </c>
      <c r="M3126" t="inlineStr">
        <is>
          <t>159A²⁴, 318A²⁴</t>
        </is>
      </c>
      <c r="N3126" t="inlineStr">
        <is>
          <t>3A⁰, 1A⁰, 53A⁴</t>
        </is>
      </c>
      <c r="O3126" t="inlineStr">
        <is>
          <t>318A²⁴, 159A²⁴</t>
        </is>
      </c>
    </row>
    <row r="3127">
      <c r="A3127">
        <f>HYPERLINK("https://mathstats.uncg.edu/sites/pauli/congruence/csg12.html#group165A12", "165A¹²")</f>
        <v/>
      </c>
      <c r="B3127" t="n">
        <v>12</v>
      </c>
      <c r="C3127" t="inlineStr"/>
      <c r="D3127" t="inlineStr">
        <is>
          <t>165</t>
        </is>
      </c>
      <c r="E3127" t="inlineStr">
        <is>
          <t>2</t>
        </is>
      </c>
      <c r="F3127" t="inlineStr">
        <is>
          <t>55</t>
        </is>
      </c>
      <c r="G3127" t="inlineStr">
        <is>
          <t>9</t>
        </is>
      </c>
      <c r="H3127" t="inlineStr">
        <is>
          <t>0</t>
        </is>
      </c>
      <c r="I3127" t="inlineStr">
        <is>
          <t>165¹</t>
        </is>
      </c>
      <c r="J3127" t="n">
        <v>1</v>
      </c>
      <c r="K3127" t="inlineStr">
        <is>
          <t>2¹, 8¹, 10², 40²</t>
        </is>
      </c>
      <c r="L3127" t="inlineStr">
        <is>
          <t>15A¹, 33A¹, 55A³</t>
        </is>
      </c>
      <c r="M3127" t="inlineStr"/>
      <c r="N3127" t="inlineStr">
        <is>
          <t>11A⁰, 55A³, 5A⁰, 33A¹, 3A⁰, 1A⁰, 15A¹</t>
        </is>
      </c>
      <c r="O3127" t="inlineStr"/>
    </row>
    <row r="3128">
      <c r="A3128">
        <f>HYPERLINK("https://mathstats.uncg.edu/sites/pauli/congruence/csg12.html#group165B12", "165B¹²")</f>
        <v/>
      </c>
      <c r="B3128" t="n">
        <v>12</v>
      </c>
      <c r="C3128" t="inlineStr"/>
      <c r="D3128" t="inlineStr">
        <is>
          <t>198</t>
        </is>
      </c>
      <c r="E3128" t="inlineStr">
        <is>
          <t>2</t>
        </is>
      </c>
      <c r="F3128" t="inlineStr">
        <is>
          <t>66</t>
        </is>
      </c>
      <c r="G3128" t="inlineStr">
        <is>
          <t>18</t>
        </is>
      </c>
      <c r="H3128" t="inlineStr">
        <is>
          <t>0</t>
        </is>
      </c>
      <c r="I3128" t="inlineStr">
        <is>
          <t>33¹, 165¹</t>
        </is>
      </c>
      <c r="J3128" t="n">
        <v>2</v>
      </c>
      <c r="K3128" t="inlineStr">
        <is>
          <t>2², 8¹, 10⁴, 40²</t>
        </is>
      </c>
      <c r="L3128" t="inlineStr">
        <is>
          <t>15B⁰, 33A¹, 55A⁴</t>
        </is>
      </c>
      <c r="M3128" t="inlineStr">
        <is>
          <t>330D²⁴</t>
        </is>
      </c>
      <c r="N3128" t="inlineStr">
        <is>
          <t>11A⁰, 55A⁴, 15B⁰, 33A¹, 5B⁰, 3A⁰, 1A⁰</t>
        </is>
      </c>
      <c r="O3128" t="inlineStr">
        <is>
          <t>330D²⁴</t>
        </is>
      </c>
    </row>
    <row r="3129">
      <c r="A3129">
        <f>HYPERLINK("https://mathstats.uncg.edu/sites/pauli/congruence/csg12.html#group168A12", "168A¹²")</f>
        <v/>
      </c>
      <c r="B3129" t="n">
        <v>12</v>
      </c>
      <c r="C3129" t="inlineStr"/>
      <c r="D3129" t="inlineStr">
        <is>
          <t>252</t>
        </is>
      </c>
      <c r="E3129" t="inlineStr">
        <is>
          <t>2</t>
        </is>
      </c>
      <c r="F3129" t="inlineStr">
        <is>
          <t>21</t>
        </is>
      </c>
      <c r="G3129" t="inlineStr">
        <is>
          <t>36</t>
        </is>
      </c>
      <c r="H3129" t="inlineStr">
        <is>
          <t>0</t>
        </is>
      </c>
      <c r="I3129" t="inlineStr">
        <is>
          <t>84¹, 168¹</t>
        </is>
      </c>
      <c r="J3129" t="n">
        <v>2</v>
      </c>
      <c r="K3129" t="inlineStr">
        <is>
          <t>2³, 6⁶</t>
        </is>
      </c>
      <c r="L3129" t="inlineStr">
        <is>
          <t>24A⁰, 56B⁴, 84B⁶</t>
        </is>
      </c>
      <c r="M3129" t="inlineStr">
        <is>
          <t>336I²⁴</t>
        </is>
      </c>
      <c r="N3129" t="inlineStr">
        <is>
          <t>12C⁰, 14B¹, 4C⁰, 8B⁰, 21A⁰, 2B⁰, 1A⁰, 28C², 24A⁰, 3A⁰, 42C³, 84B⁶, 6D⁰, 7A⁰, 56B⁴</t>
        </is>
      </c>
      <c r="O3129" t="inlineStr">
        <is>
          <t>336I²⁴</t>
        </is>
      </c>
    </row>
    <row r="3130">
      <c r="A3130">
        <f>HYPERLINK("https://mathstats.uncg.edu/sites/pauli/congruence/csg12.html#group172A12", "172A¹²")</f>
        <v/>
      </c>
      <c r="B3130" t="n">
        <v>12</v>
      </c>
      <c r="C3130" t="inlineStr"/>
      <c r="D3130" t="inlineStr">
        <is>
          <t>176</t>
        </is>
      </c>
      <c r="E3130" t="inlineStr">
        <is>
          <t>1</t>
        </is>
      </c>
      <c r="F3130" t="inlineStr">
        <is>
          <t>44</t>
        </is>
      </c>
      <c r="G3130" t="inlineStr">
        <is>
          <t>0</t>
        </is>
      </c>
      <c r="H3130" t="inlineStr">
        <is>
          <t>8</t>
        </is>
      </c>
      <c r="I3130" t="inlineStr">
        <is>
          <t>4¹, 172¹</t>
        </is>
      </c>
      <c r="J3130" t="n">
        <v>2</v>
      </c>
      <c r="K3130" t="inlineStr">
        <is>
          <t>1², 42¹</t>
        </is>
      </c>
      <c r="L3130" t="inlineStr">
        <is>
          <t>86A⁶</t>
        </is>
      </c>
      <c r="M3130" t="inlineStr"/>
      <c r="N3130" t="inlineStr">
        <is>
          <t>43A³, 2A⁰, 86A⁶, 1A⁰</t>
        </is>
      </c>
      <c r="O3130" t="inlineStr"/>
    </row>
    <row r="3131">
      <c r="A3131">
        <f>HYPERLINK("https://mathstats.uncg.edu/sites/pauli/congruence/csg12.html#group174A12", "174A¹²")</f>
        <v/>
      </c>
      <c r="B3131" t="n">
        <v>12</v>
      </c>
      <c r="C3131" t="inlineStr"/>
      <c r="D3131" t="inlineStr">
        <is>
          <t>180</t>
        </is>
      </c>
      <c r="E3131" t="inlineStr">
        <is>
          <t>1</t>
        </is>
      </c>
      <c r="F3131" t="inlineStr">
        <is>
          <t>30</t>
        </is>
      </c>
      <c r="G3131" t="inlineStr">
        <is>
          <t>12</t>
        </is>
      </c>
      <c r="H3131" t="inlineStr">
        <is>
          <t>0</t>
        </is>
      </c>
      <c r="I3131" t="inlineStr">
        <is>
          <t>6¹, 174¹</t>
        </is>
      </c>
      <c r="J3131" t="n">
        <v>2</v>
      </c>
      <c r="K3131" t="inlineStr">
        <is>
          <t>1², 28¹</t>
        </is>
      </c>
      <c r="L3131" t="inlineStr">
        <is>
          <t>58A⁴, 87A⁶</t>
        </is>
      </c>
      <c r="M3131" t="inlineStr"/>
      <c r="N3131" t="inlineStr">
        <is>
          <t>87A⁶, 3A⁰, 58A⁴, 1A⁰, 29A²</t>
        </is>
      </c>
      <c r="O3131" t="inlineStr"/>
    </row>
    <row r="3132">
      <c r="A3132">
        <f>HYPERLINK("https://mathstats.uncg.edu/sites/pauli/congruence/csg12.html#group180A12", "180A¹²")</f>
        <v/>
      </c>
      <c r="B3132" t="n">
        <v>12</v>
      </c>
      <c r="C3132" t="inlineStr"/>
      <c r="D3132" t="inlineStr">
        <is>
          <t>240</t>
        </is>
      </c>
      <c r="E3132" t="inlineStr">
        <is>
          <t>1</t>
        </is>
      </c>
      <c r="F3132" t="inlineStr">
        <is>
          <t>20</t>
        </is>
      </c>
      <c r="G3132" t="inlineStr">
        <is>
          <t>0</t>
        </is>
      </c>
      <c r="H3132" t="inlineStr">
        <is>
          <t>24</t>
        </is>
      </c>
      <c r="I3132" t="inlineStr">
        <is>
          <t>60¹, 180¹</t>
        </is>
      </c>
      <c r="J3132" t="n">
        <v>2</v>
      </c>
      <c r="K3132" t="inlineStr">
        <is>
          <t>1², 2¹, 4², 8¹</t>
        </is>
      </c>
      <c r="L3132" t="inlineStr">
        <is>
          <t>36A⁰, 60B⁴, 90C⁶</t>
        </is>
      </c>
      <c r="M3132" t="inlineStr"/>
      <c r="N3132" t="inlineStr">
        <is>
          <t>3B⁰, 2A⁰, 5A⁰, 45B³, 10A⁰, 90C⁶, 18B⁰, 30D², 60B⁴, 6C⁰, 15B¹, 9C⁰, 1A⁰, 36A⁰, 12B⁰</t>
        </is>
      </c>
      <c r="O3132" t="inlineStr"/>
    </row>
    <row r="3133">
      <c r="A3133">
        <f>HYPERLINK("https://mathstats.uncg.edu/sites/pauli/congruence/csg12.html#group182A12", "182A¹²")</f>
        <v/>
      </c>
      <c r="B3133" t="n">
        <v>12</v>
      </c>
      <c r="C3133" t="inlineStr"/>
      <c r="D3133" t="inlineStr">
        <is>
          <t>196</t>
        </is>
      </c>
      <c r="E3133" t="inlineStr">
        <is>
          <t>2</t>
        </is>
      </c>
      <c r="F3133" t="inlineStr">
        <is>
          <t>98</t>
        </is>
      </c>
      <c r="G3133" t="inlineStr">
        <is>
          <t>12</t>
        </is>
      </c>
      <c r="H3133" t="inlineStr">
        <is>
          <t>4</t>
        </is>
      </c>
      <c r="I3133" t="inlineStr">
        <is>
          <t>14¹, 182¹</t>
        </is>
      </c>
      <c r="J3133" t="n">
        <v>2</v>
      </c>
      <c r="K3133" t="inlineStr">
        <is>
          <t>2², 6⁴, 24¹, 72²</t>
        </is>
      </c>
      <c r="L3133" t="inlineStr">
        <is>
          <t>26A⁰, 91A⁶</t>
        </is>
      </c>
      <c r="M3133" t="inlineStr"/>
      <c r="N3133" t="inlineStr">
        <is>
          <t>13A⁰, 26A⁰, 91A⁶, 1A⁰, 7A⁰</t>
        </is>
      </c>
      <c r="O3133" t="inlineStr"/>
    </row>
    <row r="3134">
      <c r="A3134">
        <f>HYPERLINK("https://mathstats.uncg.edu/sites/pauli/congruence/csg12.html#group210A12", "210A¹²")</f>
        <v/>
      </c>
      <c r="B3134" t="n">
        <v>12</v>
      </c>
      <c r="C3134" t="inlineStr"/>
      <c r="D3134" t="inlineStr">
        <is>
          <t>252</t>
        </is>
      </c>
      <c r="E3134" t="inlineStr">
        <is>
          <t>2</t>
        </is>
      </c>
      <c r="F3134" t="inlineStr">
        <is>
          <t>42</t>
        </is>
      </c>
      <c r="G3134" t="inlineStr">
        <is>
          <t>36</t>
        </is>
      </c>
      <c r="H3134" t="inlineStr">
        <is>
          <t>0</t>
        </is>
      </c>
      <c r="I3134" t="inlineStr">
        <is>
          <t>42¹, 210¹</t>
        </is>
      </c>
      <c r="J3134" t="n">
        <v>2</v>
      </c>
      <c r="K3134" t="inlineStr">
        <is>
          <t>2², 6⁴, 8¹, 24²</t>
        </is>
      </c>
      <c r="L3134" t="inlineStr">
        <is>
          <t>30A⁰, 70C⁴, 105C⁶</t>
        </is>
      </c>
      <c r="M3134" t="inlineStr"/>
      <c r="N3134" t="inlineStr">
        <is>
          <t>30A⁰, 35C², 15B⁰, 70C⁴, 105C⁶, 5B⁰, 21A⁰, 3A⁰, 1A⁰, 7A⁰, 10B⁰</t>
        </is>
      </c>
      <c r="O3134" t="inlineStr"/>
    </row>
    <row r="3135">
      <c r="A3135">
        <f>HYPERLINK("https://mathstats.uncg.edu/sites/pauli/congruence/csg13.html#group10A13", "10A¹³")</f>
        <v/>
      </c>
      <c r="B3135" t="n">
        <v>13</v>
      </c>
      <c r="C3135" t="inlineStr">
        <is>
          <t>Γ(10)</t>
        </is>
      </c>
      <c r="D3135" t="inlineStr">
        <is>
          <t>360</t>
        </is>
      </c>
      <c r="E3135" t="inlineStr">
        <is>
          <t>1</t>
        </is>
      </c>
      <c r="F3135" t="inlineStr">
        <is>
          <t>1</t>
        </is>
      </c>
      <c r="G3135" t="inlineStr">
        <is>
          <t>0</t>
        </is>
      </c>
      <c r="H3135" t="inlineStr">
        <is>
          <t>0</t>
        </is>
      </c>
      <c r="I3135" t="inlineStr">
        <is>
          <t>10³⁶</t>
        </is>
      </c>
      <c r="J3135" t="n">
        <v>36</v>
      </c>
      <c r="K3135" t="inlineStr">
        <is>
          <t>1¹</t>
        </is>
      </c>
      <c r="L3135" t="inlineStr">
        <is>
          <t>10K¹, 10D³, 10B⁴, 10A⁵, 10B⁵, 10A⁶, 10A⁷</t>
        </is>
      </c>
      <c r="M3135" t="inlineStr"/>
      <c r="N3135" t="inlineStr">
        <is>
          <t>10H¹, 2A⁰, 5A⁰, 10A², 10G⁰, 10A⁵, 10D⁰, 5B⁰, 5F⁰, 10A¹, 5D⁰, 10A³, 2B⁰, 10D¹, 1A⁰, 10B⁵, 10J¹, 10A⁰, 10I¹, 10F², 10C², 10C⁰, 10B⁴, 5G⁰, 10A⁶, 10A⁴, 10D³, 10A⁷, 10B¹, 10B², 10E¹, 10D², 5H⁰, 10F⁰, 10B⁰, 10F¹, 10C³, 10E², 10E⁰, 10B³, 5E⁰, 10C¹, 10K¹, 5C⁰, 2C⁰, 10G¹</t>
        </is>
      </c>
      <c r="O3135" t="inlineStr"/>
    </row>
    <row r="3136">
      <c r="A3136">
        <f>HYPERLINK("https://mathstats.uncg.edu/sites/pauli/congruence/csg13.html#group12A13", "12A¹³")</f>
        <v/>
      </c>
      <c r="B3136" t="n">
        <v>13</v>
      </c>
      <c r="C3136" t="inlineStr"/>
      <c r="D3136" t="inlineStr">
        <is>
          <t>288</t>
        </is>
      </c>
      <c r="E3136" t="inlineStr">
        <is>
          <t>1</t>
        </is>
      </c>
      <c r="F3136" t="inlineStr">
        <is>
          <t>1</t>
        </is>
      </c>
      <c r="G3136" t="inlineStr">
        <is>
          <t>0</t>
        </is>
      </c>
      <c r="H3136" t="inlineStr">
        <is>
          <t>0</t>
        </is>
      </c>
      <c r="I3136" t="inlineStr">
        <is>
          <t>12²⁴</t>
        </is>
      </c>
      <c r="J3136" t="n">
        <v>24</v>
      </c>
      <c r="K3136" t="inlineStr">
        <is>
          <t>1¹</t>
        </is>
      </c>
      <c r="L3136" t="inlineStr">
        <is>
          <t>12K³, 12D⁴, 12A⁵, 12B⁵, 12D⁵, 12B⁷, 12C⁷, 12D⁷</t>
        </is>
      </c>
      <c r="M3136" t="inlineStr"/>
      <c r="N3136" t="inlineStr">
        <is>
          <t>12T¹, 12C⁰, 12F³, 6C¹, 12B², 12E², 12M¹, 2B⁰, 12A⁵, 12G³, 1A⁰, 4B⁰, 12A⁴, 4D⁰, 3C⁰, 12Q¹, 12B¹, 6H⁰, 6E¹, 3B⁰, 12G¹, 12H¹, 12C³, 12F⁰, 12P¹, 12L¹, 12J³, 12G⁰, 12C¹, 6A⁰, 12I³, 12D³, 12E³, 12J¹, 12K³, 4F⁰, 12G², 3D⁰, 2C⁰, 6D⁰, 2A⁰, 12I², 12K¹, 12B⁵, 12D², 4C⁰, 6G⁰, 12B⁴, 12S¹, 4E⁰, 4G⁰, 12N¹, 12H², 12D⁴, 6B¹, 12A¹, 12B⁷, 12A², 6K⁰, 6A¹, 3A⁰, 6F⁰, 6B⁰, 12I¹, 12B³, 12F¹, 6I⁰, 6F¹, 6C⁰, 12E¹, 12D⁵, 12D⁷, 12A⁰, 6D¹, 6E⁰, 6L⁰, 4A⁰, 6J⁰, 12C⁷, 12D⁰, 12C⁴, 12H⁰, 12C², 12E⁰</t>
        </is>
      </c>
      <c r="O3136" t="inlineStr"/>
    </row>
    <row r="3137">
      <c r="A3137">
        <f>HYPERLINK("https://mathstats.uncg.edu/sites/pauli/congruence/csg13.html#group12B13", "12B¹³")</f>
        <v/>
      </c>
      <c r="B3137" t="n">
        <v>13</v>
      </c>
      <c r="C3137" t="inlineStr"/>
      <c r="D3137" t="inlineStr">
        <is>
          <t>288</t>
        </is>
      </c>
      <c r="E3137" t="inlineStr">
        <is>
          <t>1</t>
        </is>
      </c>
      <c r="F3137" t="inlineStr">
        <is>
          <t>3</t>
        </is>
      </c>
      <c r="G3137" t="inlineStr">
        <is>
          <t>0</t>
        </is>
      </c>
      <c r="H3137" t="inlineStr">
        <is>
          <t>0</t>
        </is>
      </c>
      <c r="I3137" t="inlineStr">
        <is>
          <t>12²⁴</t>
        </is>
      </c>
      <c r="J3137" t="n">
        <v>24</v>
      </c>
      <c r="K3137" t="inlineStr">
        <is>
          <t>1³</t>
        </is>
      </c>
      <c r="L3137" t="inlineStr">
        <is>
          <t>12L³, 12N³, 12B⁵, 12C⁵, 12A⁷, 12E⁷</t>
        </is>
      </c>
      <c r="M3137" t="inlineStr"/>
      <c r="N3137" t="inlineStr">
        <is>
          <t>12T¹, 2A⁰, 12D¹, 12C⁰, 12K¹, 12B⁵, 12D², 12I⁰, 6C¹, 12F³, 12E⁷, 6G⁰, 4C⁰, 12E², 2B⁰, 12S¹, 12N³, 4E⁰, 12B², 12N¹, 1A⁰, 4B⁰, 12G³, 12F², 12C⁵, 6B¹, 12L³, 12E⁰, 3C⁰, 6K⁰, 6A¹, 12B¹, 6H⁰, 3A⁰, 12O¹, 6F⁰, 12H³, 6E¹, 3B⁰, 12U¹, 6B⁰, 12A³, 6I⁰, 12F¹, 6F¹, 6C⁰, 12P¹, 12L¹, 12A⁷, 12G⁰, 6D¹, 6A⁰, 6E⁰, 6L⁰, 12D³, 12C¹, 6J⁰, 12E³, 12D⁰, 12H⁰, 12C², 3D⁰, 2C⁰, 6D⁰, 12B⁰</t>
        </is>
      </c>
      <c r="O3137" t="inlineStr"/>
    </row>
    <row r="3138">
      <c r="A3138">
        <f>HYPERLINK("https://mathstats.uncg.edu/sites/pauli/congruence/csg13.html#group14A13", "14A¹³")</f>
        <v/>
      </c>
      <c r="B3138" t="n">
        <v>13</v>
      </c>
      <c r="C3138" t="inlineStr"/>
      <c r="D3138" t="inlineStr">
        <is>
          <t>252</t>
        </is>
      </c>
      <c r="E3138" t="inlineStr">
        <is>
          <t>1</t>
        </is>
      </c>
      <c r="F3138" t="inlineStr">
        <is>
          <t>21</t>
        </is>
      </c>
      <c r="G3138" t="inlineStr">
        <is>
          <t>0</t>
        </is>
      </c>
      <c r="H3138" t="inlineStr">
        <is>
          <t>0</t>
        </is>
      </c>
      <c r="I3138" t="inlineStr">
        <is>
          <t>14¹⁸</t>
        </is>
      </c>
      <c r="J3138" t="n">
        <v>18</v>
      </c>
      <c r="K3138" t="inlineStr">
        <is>
          <t>3¹, 6³</t>
        </is>
      </c>
      <c r="L3138" t="inlineStr">
        <is>
          <t>14B⁵, 14F⁵, 14G⁵, 14A⁷</t>
        </is>
      </c>
      <c r="M3138" t="inlineStr"/>
      <c r="N3138" t="inlineStr">
        <is>
          <t>2A⁰, 7D⁰, 14B¹, 14B³, 14A¹, 14B⁵, 2B⁰, 14F⁵, 1A⁰, 14A⁷, 14G⁵, 14A³, 7A¹, 14F², 14E¹, 2C⁰, 7A⁰</t>
        </is>
      </c>
      <c r="O3138" t="inlineStr"/>
    </row>
    <row r="3139">
      <c r="A3139">
        <f>HYPERLINK("https://mathstats.uncg.edu/sites/pauli/congruence/csg13.html#group14B13", "14B¹³")</f>
        <v/>
      </c>
      <c r="B3139" t="n">
        <v>13</v>
      </c>
      <c r="C3139" t="inlineStr"/>
      <c r="D3139" t="inlineStr">
        <is>
          <t>252</t>
        </is>
      </c>
      <c r="E3139" t="inlineStr">
        <is>
          <t>1</t>
        </is>
      </c>
      <c r="F3139" t="inlineStr">
        <is>
          <t>63</t>
        </is>
      </c>
      <c r="G3139" t="inlineStr">
        <is>
          <t>0</t>
        </is>
      </c>
      <c r="H3139" t="inlineStr">
        <is>
          <t>0</t>
        </is>
      </c>
      <c r="I3139" t="inlineStr">
        <is>
          <t>14¹⁸</t>
        </is>
      </c>
      <c r="J3139" t="n">
        <v>18</v>
      </c>
      <c r="K3139" t="inlineStr">
        <is>
          <t>3³, 6⁹</t>
        </is>
      </c>
      <c r="L3139" t="inlineStr">
        <is>
          <t>14A⁵, 14F⁵, 14A⁶</t>
        </is>
      </c>
      <c r="M3139" t="inlineStr"/>
      <c r="N3139" t="inlineStr">
        <is>
          <t>14A⁰, 14B², 14F¹, 14A⁵, 7D⁰, 14B¹, 14C², 7A¹, 14F², 2B⁰, 14F⁵, 1A⁰, 14A⁶, 7A⁰</t>
        </is>
      </c>
      <c r="O3139" t="inlineStr"/>
    </row>
    <row r="3140">
      <c r="A3140">
        <f>HYPERLINK("https://mathstats.uncg.edu/sites/pauli/congruence/csg13.html#group14C13", "14C¹³")</f>
        <v/>
      </c>
      <c r="B3140" t="n">
        <v>13</v>
      </c>
      <c r="C3140" t="inlineStr"/>
      <c r="D3140" t="inlineStr">
        <is>
          <t>252</t>
        </is>
      </c>
      <c r="E3140" t="inlineStr">
        <is>
          <t>2</t>
        </is>
      </c>
      <c r="F3140" t="inlineStr">
        <is>
          <t>7</t>
        </is>
      </c>
      <c r="G3140" t="inlineStr">
        <is>
          <t>0</t>
        </is>
      </c>
      <c r="H3140" t="inlineStr">
        <is>
          <t>0</t>
        </is>
      </c>
      <c r="I3140" t="inlineStr">
        <is>
          <t>14¹⁸</t>
        </is>
      </c>
      <c r="J3140" t="n">
        <v>18</v>
      </c>
      <c r="K3140" t="inlineStr">
        <is>
          <t>2¹, 6²</t>
        </is>
      </c>
      <c r="L3140" t="inlineStr">
        <is>
          <t>14E³, 14A⁴, 14C⁵, 14D⁵, 14A⁶, 14A⁷</t>
        </is>
      </c>
      <c r="M3140" t="inlineStr"/>
      <c r="N3140" t="inlineStr">
        <is>
          <t>2A⁰, 14A⁰, 14A⁴, 14B², 7D⁰, 14B¹, 14B³, 14D⁵, 14A¹, 14C², 14C⁵, 2B⁰, 7G⁰, 1A⁰, 14D¹, 14A⁶, 14A⁷, 14A², 14F¹, 14E³, 14A³, 7C⁰, 14F², 2C⁰, 7A⁰</t>
        </is>
      </c>
      <c r="O3140" t="inlineStr"/>
    </row>
    <row r="3141">
      <c r="A3141">
        <f>HYPERLINK("https://mathstats.uncg.edu/sites/pauli/congruence/csg13.html#group15A13", "15A¹³")</f>
        <v/>
      </c>
      <c r="B3141" t="n">
        <v>13</v>
      </c>
      <c r="C3141" t="inlineStr"/>
      <c r="D3141" t="inlineStr">
        <is>
          <t>240</t>
        </is>
      </c>
      <c r="E3141" t="inlineStr">
        <is>
          <t>1</t>
        </is>
      </c>
      <c r="F3141" t="inlineStr">
        <is>
          <t>10</t>
        </is>
      </c>
      <c r="G3141" t="inlineStr">
        <is>
          <t>0</t>
        </is>
      </c>
      <c r="H3141" t="inlineStr">
        <is>
          <t>0</t>
        </is>
      </c>
      <c r="I3141" t="inlineStr">
        <is>
          <t>15¹⁶</t>
        </is>
      </c>
      <c r="J3141" t="n">
        <v>16</v>
      </c>
      <c r="K3141" t="inlineStr">
        <is>
          <t>2¹, 4²</t>
        </is>
      </c>
      <c r="L3141" t="inlineStr">
        <is>
          <t>15G³, 15A⁴, 15A⁵, 15A⁷, 15B⁷</t>
        </is>
      </c>
      <c r="M3141" t="inlineStr"/>
      <c r="N3141" t="inlineStr">
        <is>
          <t>3B⁰, 5A⁰, 15B⁷, 15A⁴, 15B⁴, 15D², 15A⁵, 5F⁰, 15A⁷, 15C³, 1A⁰, 3D⁰, 15D¹, 15A², 15G³, 15B¹, 3C⁰, 15C², 3A⁰, 5C⁰, 15A¹</t>
        </is>
      </c>
      <c r="O3141" t="inlineStr"/>
    </row>
    <row r="3142">
      <c r="A3142">
        <f>HYPERLINK("https://mathstats.uncg.edu/sites/pauli/congruence/csg13.html#group16A13", "16A¹³")</f>
        <v/>
      </c>
      <c r="B3142" t="n">
        <v>13</v>
      </c>
      <c r="C3142" t="inlineStr"/>
      <c r="D3142" t="inlineStr">
        <is>
          <t>256</t>
        </is>
      </c>
      <c r="E3142" t="inlineStr">
        <is>
          <t>1</t>
        </is>
      </c>
      <c r="F3142" t="inlineStr">
        <is>
          <t>64</t>
        </is>
      </c>
      <c r="G3142" t="inlineStr">
        <is>
          <t>0</t>
        </is>
      </c>
      <c r="H3142" t="inlineStr">
        <is>
          <t>4</t>
        </is>
      </c>
      <c r="I3142" t="inlineStr">
        <is>
          <t>16¹⁶</t>
        </is>
      </c>
      <c r="J3142" t="n">
        <v>16</v>
      </c>
      <c r="K3142" t="inlineStr">
        <is>
          <t>8⁸</t>
        </is>
      </c>
      <c r="L3142" t="inlineStr">
        <is>
          <t>8J¹, 16L⁵, 16A⁷</t>
        </is>
      </c>
      <c r="M3142" t="inlineStr"/>
      <c r="N3142" t="inlineStr">
        <is>
          <t>2A⁰, 8F⁰, 16A⁷, 4A⁰, 4D⁰, 16L⁵, 8A⁰, 8E⁰, 16G², 8E¹, 8M⁰, 8J¹, 1A⁰</t>
        </is>
      </c>
      <c r="O3142" t="inlineStr"/>
    </row>
    <row r="3143">
      <c r="A3143">
        <f>HYPERLINK("https://mathstats.uncg.edu/sites/pauli/congruence/csg13.html#group16B13", "16B¹³")</f>
        <v/>
      </c>
      <c r="B3143" t="n">
        <v>13</v>
      </c>
      <c r="C3143" t="inlineStr"/>
      <c r="D3143" t="inlineStr">
        <is>
          <t>384</t>
        </is>
      </c>
      <c r="E3143" t="inlineStr">
        <is>
          <t>1</t>
        </is>
      </c>
      <c r="F3143" t="inlineStr">
        <is>
          <t>3</t>
        </is>
      </c>
      <c r="G3143" t="inlineStr">
        <is>
          <t>0</t>
        </is>
      </c>
      <c r="H3143" t="inlineStr">
        <is>
          <t>0</t>
        </is>
      </c>
      <c r="I3143" t="inlineStr">
        <is>
          <t>8³², 16⁸</t>
        </is>
      </c>
      <c r="J3143" t="n">
        <v>40</v>
      </c>
      <c r="K3143" t="inlineStr">
        <is>
          <t>1³</t>
        </is>
      </c>
      <c r="L3143" t="inlineStr">
        <is>
          <t>8A⁵, 16O⁵, 16C⁶, 16B⁷</t>
        </is>
      </c>
      <c r="M3143" t="inlineStr"/>
      <c r="N3143" t="inlineStr">
        <is>
          <t>2A⁰, 8B³, 16A⁴, 4C⁰, 8C², 8A⁰, 16B⁷, 16P³, 8L⁰, 2B⁰, 4G⁰, 4E⁰, 8C⁰, 4B⁰, 8F¹, 1A⁰, 8K⁰, 8H¹, 8E¹, 8J¹, 8G⁰, 4D⁰, 16O⁵, 8G¹, 8M⁰, 16Q³, 16C⁶, 8P⁰, 16K¹, 8N⁰, 8A¹, 8A³, 8D⁰, 8K¹, 16I², 16O³, 8B², 8B⁰, 8E⁰, 8B¹, 8I⁰, 8A⁵, 8D¹, 16K², 8H⁰, 16L¹, 8A², 8F⁰, 8C¹, 4A⁰, 8I¹, 4F⁰, 8J⁰, 2C⁰, 8O⁰</t>
        </is>
      </c>
      <c r="O3143" t="inlineStr"/>
    </row>
    <row r="3144">
      <c r="A3144">
        <f>HYPERLINK("https://mathstats.uncg.edu/sites/pauli/congruence/csg13.html#group16C13", "16C¹³")</f>
        <v/>
      </c>
      <c r="B3144" t="n">
        <v>13</v>
      </c>
      <c r="C3144" t="inlineStr"/>
      <c r="D3144" t="inlineStr">
        <is>
          <t>384</t>
        </is>
      </c>
      <c r="E3144" t="inlineStr">
        <is>
          <t>1</t>
        </is>
      </c>
      <c r="F3144" t="inlineStr">
        <is>
          <t>6</t>
        </is>
      </c>
      <c r="G3144" t="inlineStr">
        <is>
          <t>0</t>
        </is>
      </c>
      <c r="H3144" t="inlineStr">
        <is>
          <t>0</t>
        </is>
      </c>
      <c r="I3144" t="inlineStr">
        <is>
          <t>4¹⁶, 8⁸, 16¹⁶</t>
        </is>
      </c>
      <c r="J3144" t="n">
        <v>40</v>
      </c>
      <c r="K3144" t="inlineStr">
        <is>
          <t>1⁴, 2¹</t>
        </is>
      </c>
      <c r="L3144" t="inlineStr">
        <is>
          <t>16M⁵, 16N⁵, 16O⁵, 16C⁷</t>
        </is>
      </c>
      <c r="M3144" t="inlineStr"/>
      <c r="N3144" t="inlineStr">
        <is>
          <t>2A⁰, 16G⁰, 16I¹, 16M⁵, 4C⁰, 4G⁰, 2B⁰, 4E⁰, 8L⁰, 8C⁰, 4B⁰, 8F¹, 8K⁰, 1A⁰, 16A¹, 16J³, 16J², 16H⁰, 16E⁰, 8G⁰, 8G¹, 16O⁵, 4D⁰, 16C⁰, 16M¹, 8P⁰, 16H¹, 16K¹, 16D², 8N⁰, 16N⁵, 8A¹, 16C², 8K¹, 8D⁰, 16E¹, 16O³, 16I², 8B⁰, 8B¹, 16C⁷, 8I⁰, 16L², 16K², 16I³, 16H³, 8H⁰, 16N³, 16L¹, 8C¹, 16G¹, 4A⁰, 16C¹, 16D⁰, 4F⁰, 8J⁰, 2C⁰, 8O⁰</t>
        </is>
      </c>
      <c r="O3144" t="inlineStr"/>
    </row>
    <row r="3145">
      <c r="A3145">
        <f>HYPERLINK("https://mathstats.uncg.edu/sites/pauli/congruence/csg13.html#group18A13", "18A¹³")</f>
        <v/>
      </c>
      <c r="B3145" t="n">
        <v>13</v>
      </c>
      <c r="C3145" t="inlineStr"/>
      <c r="D3145" t="inlineStr">
        <is>
          <t>216</t>
        </is>
      </c>
      <c r="E3145" t="inlineStr">
        <is>
          <t>1</t>
        </is>
      </c>
      <c r="F3145" t="inlineStr">
        <is>
          <t>3</t>
        </is>
      </c>
      <c r="G3145" t="inlineStr">
        <is>
          <t>0</t>
        </is>
      </c>
      <c r="H3145" t="inlineStr">
        <is>
          <t>0</t>
        </is>
      </c>
      <c r="I3145" t="inlineStr">
        <is>
          <t>18¹²</t>
        </is>
      </c>
      <c r="J3145" t="n">
        <v>12</v>
      </c>
      <c r="K3145" t="inlineStr">
        <is>
          <t>1¹, 2¹</t>
        </is>
      </c>
      <c r="L3145" t="inlineStr">
        <is>
          <t>18F³, 9A⁴, 18S⁴, 18A⁵, 18B⁶, 18C⁷, 18F⁷</t>
        </is>
      </c>
      <c r="M3145" t="inlineStr"/>
      <c r="N3145" t="inlineStr">
        <is>
          <t>2A⁰, 18S⁴, 18A⁵, 18K², 18A³, 9B², 9E⁰, 18C⁷, 1A⁰, 18A⁰, 9B¹, 18F³, 9A², 6B¹, 3C⁰, 6A¹, 3A⁰, 9F¹, 18F², 3B⁰, 6B⁰, 18B⁴, 18H¹, 18B⁶, 9G⁰, 6C⁰, 18A², 9D⁰, 18D⁰, 6D¹, 6E⁰, 9A⁰, 18C³, 18F⁷, 18G², 9A⁴, 18F¹, 9H⁰, 3D⁰, 18A¹</t>
        </is>
      </c>
      <c r="O3145" t="inlineStr"/>
    </row>
    <row r="3146">
      <c r="A3146">
        <f>HYPERLINK("https://mathstats.uncg.edu/sites/pauli/congruence/csg13.html#group18B13", "18B¹³")</f>
        <v/>
      </c>
      <c r="B3146" t="n">
        <v>13</v>
      </c>
      <c r="C3146" t="inlineStr"/>
      <c r="D3146" t="inlineStr">
        <is>
          <t>216</t>
        </is>
      </c>
      <c r="E3146" t="inlineStr">
        <is>
          <t>1</t>
        </is>
      </c>
      <c r="F3146" t="inlineStr">
        <is>
          <t>3</t>
        </is>
      </c>
      <c r="G3146" t="inlineStr">
        <is>
          <t>0</t>
        </is>
      </c>
      <c r="H3146" t="inlineStr">
        <is>
          <t>0</t>
        </is>
      </c>
      <c r="I3146" t="inlineStr">
        <is>
          <t>18¹²</t>
        </is>
      </c>
      <c r="J3146" t="n">
        <v>12</v>
      </c>
      <c r="K3146" t="inlineStr">
        <is>
          <t>1¹, 2¹</t>
        </is>
      </c>
      <c r="L3146" t="inlineStr">
        <is>
          <t>6F¹, 18L⁴, 18A⁵, 18B⁵, 18A⁶, 18D⁶, 18A⁷, 18E⁷</t>
        </is>
      </c>
      <c r="M3146" t="inlineStr"/>
      <c r="N3146" t="inlineStr">
        <is>
          <t>2A⁰, 18A⁷, 18E⁷, 18A⁵, 6C¹, 18A³, 18B¹, 6G⁰, 2B⁰, 18I², 1A⁰, 9B¹, 18A⁰, 18L², 18D³, 9A², 6B¹, 18A⁴, 18B³, 3C⁰, 6K⁰, 6A¹, 6H⁰, 18E¹, 3A⁰, 6F⁰, 6E¹, 3B⁰, 6B⁰, 18L⁴, 6I⁰, 6F¹, 6C⁰, 18A², 18E³, 18D⁶, 9D⁰, 6A⁰, 18H², 18A⁶, 6E⁰, 6L⁰, 18D⁰, 9A⁰, 6D¹, 18C³, 6J⁰, 18B⁵, 18G², 3D⁰, 2C⁰, 18A¹, 6D⁰</t>
        </is>
      </c>
      <c r="O3146" t="inlineStr"/>
    </row>
    <row r="3147">
      <c r="A3147">
        <f>HYPERLINK("https://mathstats.uncg.edu/sites/pauli/congruence/csg13.html#group18C13", "18C¹³")</f>
        <v/>
      </c>
      <c r="B3147" t="n">
        <v>13</v>
      </c>
      <c r="C3147" t="inlineStr"/>
      <c r="D3147" t="inlineStr">
        <is>
          <t>216</t>
        </is>
      </c>
      <c r="E3147" t="inlineStr">
        <is>
          <t>1</t>
        </is>
      </c>
      <c r="F3147" t="inlineStr">
        <is>
          <t>6</t>
        </is>
      </c>
      <c r="G3147" t="inlineStr">
        <is>
          <t>0</t>
        </is>
      </c>
      <c r="H3147" t="inlineStr">
        <is>
          <t>0</t>
        </is>
      </c>
      <c r="I3147" t="inlineStr">
        <is>
          <t>18¹²</t>
        </is>
      </c>
      <c r="J3147" t="n">
        <v>12</v>
      </c>
      <c r="K3147" t="inlineStr">
        <is>
          <t>1², 2²</t>
        </is>
      </c>
      <c r="L3147" t="inlineStr">
        <is>
          <t>18F³, 9B⁴, 18E⁴, 18O⁴, 18A⁵, 18B⁷</t>
        </is>
      </c>
      <c r="M3147" t="inlineStr"/>
      <c r="N3147" t="inlineStr">
        <is>
          <t>2A⁰, 18A⁵, 18A³, 9E⁰, 9C⁰, 1A⁰, 9B¹, 18A⁰, 18F³, 9A², 6B¹, 18C¹, 3C⁰, 6A¹, 18E⁴, 3A⁰, 18O⁴, 18F², 3B⁰, 6B⁰, 18B⁰, 6C⁰, 9B⁰, 18B⁷, 9E¹, 18A², 18B², 9D⁰, 6D¹, 9B⁴, 6E⁰, 18D⁰, 9A⁰, 9A¹, 18C³, 9C¹, 18F¹, 9H⁰, 18G², 3D⁰, 18A¹</t>
        </is>
      </c>
      <c r="O3147" t="inlineStr"/>
    </row>
    <row r="3148">
      <c r="A3148">
        <f>HYPERLINK("https://mathstats.uncg.edu/sites/pauli/congruence/csg13.html#group18D13", "18D¹³")</f>
        <v/>
      </c>
      <c r="B3148" t="n">
        <v>13</v>
      </c>
      <c r="C3148" t="inlineStr"/>
      <c r="D3148" t="inlineStr">
        <is>
          <t>216</t>
        </is>
      </c>
      <c r="E3148" t="inlineStr">
        <is>
          <t>1</t>
        </is>
      </c>
      <c r="F3148" t="inlineStr">
        <is>
          <t>12</t>
        </is>
      </c>
      <c r="G3148" t="inlineStr">
        <is>
          <t>0</t>
        </is>
      </c>
      <c r="H3148" t="inlineStr">
        <is>
          <t>0</t>
        </is>
      </c>
      <c r="I3148" t="inlineStr">
        <is>
          <t>18¹²</t>
        </is>
      </c>
      <c r="J3148" t="n">
        <v>12</v>
      </c>
      <c r="K3148" t="inlineStr">
        <is>
          <t>2⁶</t>
        </is>
      </c>
      <c r="L3148" t="inlineStr">
        <is>
          <t>18F³, 18H⁴, 18B⁵, 18D⁷</t>
        </is>
      </c>
      <c r="M3148" t="inlineStr"/>
      <c r="N3148" t="inlineStr">
        <is>
          <t>2A⁰, 3B⁰, 18F², 6B⁰, 18D¹, 6C⁰, 18B¹, 9E⁰, 1A⁰, 18H⁴, 18C⁰, 18D⁷, 18F³, 6D¹, 18H², 6E⁰, 6B¹, 18B³, 18B⁵, 3C⁰, 6A¹, 18F¹, 9H⁰, 3A⁰, 3D⁰, 18C²</t>
        </is>
      </c>
      <c r="O3148" t="inlineStr"/>
    </row>
    <row r="3149">
      <c r="A3149">
        <f>HYPERLINK("https://mathstats.uncg.edu/sites/pauli/congruence/csg13.html#group18E13", "18E¹³")</f>
        <v/>
      </c>
      <c r="B3149" t="n">
        <v>13</v>
      </c>
      <c r="C3149" t="inlineStr"/>
      <c r="D3149" t="inlineStr">
        <is>
          <t>216</t>
        </is>
      </c>
      <c r="E3149" t="inlineStr">
        <is>
          <t>1</t>
        </is>
      </c>
      <c r="F3149" t="inlineStr">
        <is>
          <t>12</t>
        </is>
      </c>
      <c r="G3149" t="inlineStr">
        <is>
          <t>0</t>
        </is>
      </c>
      <c r="H3149" t="inlineStr">
        <is>
          <t>0</t>
        </is>
      </c>
      <c r="I3149" t="inlineStr">
        <is>
          <t>18¹²</t>
        </is>
      </c>
      <c r="J3149" t="n">
        <v>12</v>
      </c>
      <c r="K3149" t="inlineStr">
        <is>
          <t>1², 2⁵</t>
        </is>
      </c>
      <c r="L3149" t="inlineStr">
        <is>
          <t>18F³, 18H³, 18B⁵, 18C⁶</t>
        </is>
      </c>
      <c r="M3149" t="inlineStr"/>
      <c r="N3149" t="inlineStr">
        <is>
          <t>2A⁰, 3B⁰, 18F², 6B⁰, 6C⁰, 18B¹, 9E⁰, 1A⁰, 18C⁶, 18F³, 6D¹, 18H², 6E⁰, 6B¹, 18H³, 18B³, 18B⁵, 3C⁰, 6A¹, 18G¹, 18F¹, 9H⁰, 3A⁰, 3D⁰</t>
        </is>
      </c>
      <c r="O3149" t="inlineStr"/>
    </row>
    <row r="3150">
      <c r="A3150">
        <f>HYPERLINK("https://mathstats.uncg.edu/sites/pauli/congruence/csg13.html#group18F13", "18F¹³")</f>
        <v/>
      </c>
      <c r="B3150" t="n">
        <v>13</v>
      </c>
      <c r="C3150" t="inlineStr"/>
      <c r="D3150" t="inlineStr">
        <is>
          <t>216</t>
        </is>
      </c>
      <c r="E3150" t="inlineStr">
        <is>
          <t>1</t>
        </is>
      </c>
      <c r="F3150" t="inlineStr">
        <is>
          <t>12</t>
        </is>
      </c>
      <c r="G3150" t="inlineStr">
        <is>
          <t>0</t>
        </is>
      </c>
      <c r="H3150" t="inlineStr">
        <is>
          <t>0</t>
        </is>
      </c>
      <c r="I3150" t="inlineStr">
        <is>
          <t>18¹²</t>
        </is>
      </c>
      <c r="J3150" t="n">
        <v>12</v>
      </c>
      <c r="K3150" t="inlineStr">
        <is>
          <t>1², 2⁵</t>
        </is>
      </c>
      <c r="L3150" t="inlineStr">
        <is>
          <t>18H³, 18H⁴, 18R⁴, 18A⁵</t>
        </is>
      </c>
      <c r="M3150" t="inlineStr"/>
      <c r="N3150" t="inlineStr">
        <is>
          <t>2A⁰, 18A⁵, 18A³, 18R⁴, 1A⁰, 18A⁰, 9B¹, 18C⁰, 9A², 6B¹, 18C², 18H³, 3C⁰, 6A¹, 18G¹, 3A⁰, 3B⁰, 6B⁰, 6C⁰, 18A², 18H⁴, 9D⁰, 18D⁰, 6D¹, 6E⁰, 9A⁰, 18C³, 18G², 3D⁰, 18A¹, 18D¹</t>
        </is>
      </c>
      <c r="O3150" t="inlineStr"/>
    </row>
    <row r="3151">
      <c r="A3151">
        <f>HYPERLINK("https://mathstats.uncg.edu/sites/pauli/congruence/csg13.html#group18G13", "18G¹³")</f>
        <v/>
      </c>
      <c r="B3151" t="n">
        <v>13</v>
      </c>
      <c r="C3151" t="inlineStr"/>
      <c r="D3151" t="inlineStr">
        <is>
          <t>216</t>
        </is>
      </c>
      <c r="E3151" t="inlineStr">
        <is>
          <t>1</t>
        </is>
      </c>
      <c r="F3151" t="inlineStr">
        <is>
          <t>24</t>
        </is>
      </c>
      <c r="G3151" t="inlineStr">
        <is>
          <t>0</t>
        </is>
      </c>
      <c r="H3151" t="inlineStr">
        <is>
          <t>0</t>
        </is>
      </c>
      <c r="I3151" t="inlineStr">
        <is>
          <t>18¹²</t>
        </is>
      </c>
      <c r="J3151" t="n">
        <v>12</v>
      </c>
      <c r="K3151" t="inlineStr">
        <is>
          <t>2¹²</t>
        </is>
      </c>
      <c r="L3151" t="inlineStr">
        <is>
          <t>18H³, 18E⁴, 18H⁴, 18B⁵</t>
        </is>
      </c>
      <c r="M3151" t="inlineStr"/>
      <c r="N3151" t="inlineStr">
        <is>
          <t>2A⁰, 3B⁰, 6B⁰, 18D¹, 18B⁰, 6C⁰, 18B¹, 9B⁰, 9C⁰, 1A⁰, 18H⁴, 18C⁰, 18B², 6D¹, 18H², 6E⁰, 6B¹, 18H³, 18B³, 18C¹, 9A¹, 18B⁵, 3C⁰, 6A¹, 18G¹, 18E⁴, 9C¹, 3A⁰, 3D⁰, 18C²</t>
        </is>
      </c>
      <c r="O3151" t="inlineStr"/>
    </row>
    <row r="3152">
      <c r="A3152">
        <f>HYPERLINK("https://mathstats.uncg.edu/sites/pauli/congruence/csg13.html#group18H13", "18H¹³")</f>
        <v/>
      </c>
      <c r="B3152" t="n">
        <v>13</v>
      </c>
      <c r="C3152" t="inlineStr"/>
      <c r="D3152" t="inlineStr">
        <is>
          <t>216</t>
        </is>
      </c>
      <c r="E3152" t="inlineStr">
        <is>
          <t>2</t>
        </is>
      </c>
      <c r="F3152" t="inlineStr">
        <is>
          <t>6</t>
        </is>
      </c>
      <c r="G3152" t="inlineStr">
        <is>
          <t>0</t>
        </is>
      </c>
      <c r="H3152" t="inlineStr">
        <is>
          <t>0</t>
        </is>
      </c>
      <c r="I3152" t="inlineStr">
        <is>
          <t>18¹²</t>
        </is>
      </c>
      <c r="J3152" t="n">
        <v>12</v>
      </c>
      <c r="K3152" t="inlineStr">
        <is>
          <t>2⁶</t>
        </is>
      </c>
      <c r="L3152" t="inlineStr">
        <is>
          <t>18H³, 18T⁴, 18A⁵, 18B⁵, 18E⁶, 18G⁷</t>
        </is>
      </c>
      <c r="M3152" t="inlineStr"/>
      <c r="N3152" t="inlineStr">
        <is>
          <t>2A⁰, 18A⁵, 18A³, 18B¹, 1A⁰, 9B¹, 18A⁰, 9A², 6B¹, 18H³, 18B³, 3C⁰, 18T⁴, 6A¹, 18G¹, 3A⁰, 3B⁰, 18E⁶, 6B⁰, 18G⁷, 6C⁰, 18A², 18M², 9D⁰, 6D¹, 18H², 6E⁰, 18D⁰, 9A⁰, 18C³, 18B⁵, 18G², 3D⁰, 18A¹</t>
        </is>
      </c>
      <c r="O3152" t="inlineStr"/>
    </row>
    <row r="3153">
      <c r="A3153">
        <f>HYPERLINK("https://mathstats.uncg.edu/sites/pauli/congruence/csg13.html#group20A13", "20A¹³")</f>
        <v/>
      </c>
      <c r="B3153" t="n">
        <v>13</v>
      </c>
      <c r="C3153" t="inlineStr"/>
      <c r="D3153" t="inlineStr">
        <is>
          <t>240</t>
        </is>
      </c>
      <c r="E3153" t="inlineStr">
        <is>
          <t>1</t>
        </is>
      </c>
      <c r="F3153" t="inlineStr">
        <is>
          <t>30</t>
        </is>
      </c>
      <c r="G3153" t="inlineStr">
        <is>
          <t>0</t>
        </is>
      </c>
      <c r="H3153" t="inlineStr">
        <is>
          <t>0</t>
        </is>
      </c>
      <c r="I3153" t="inlineStr">
        <is>
          <t>10⁸, 20⁸</t>
        </is>
      </c>
      <c r="J3153" t="n">
        <v>16</v>
      </c>
      <c r="K3153" t="inlineStr">
        <is>
          <t>2³, 4⁶</t>
        </is>
      </c>
      <c r="L3153" t="inlineStr">
        <is>
          <t>20A⁴, 10B⁵, 20E⁵, 20F⁵, 20A⁷, 20B⁷, 20C⁷, 20D⁷</t>
        </is>
      </c>
      <c r="M3153" t="inlineStr"/>
      <c r="N3153" t="inlineStr">
        <is>
          <t>20D⁷, 2A⁰, 5A⁰, 10H¹, 20E³, 10D⁰, 4C⁰, 5F⁰, 10A³, 2B⁰, 4E⁰, 4B⁰, 1A⁰, 10B⁵, 10A⁰, 20F⁵, 20A², 20E⁵, 20B⁷, 10B¹, 20B², 10B², 20F², 10D², 20F³, 10F¹, 10E², 20A⁷, 20A⁴, 20C⁷, 20B⁴, 10C¹, 5C⁰, 2C⁰</t>
        </is>
      </c>
      <c r="O3153" t="inlineStr"/>
    </row>
    <row r="3154">
      <c r="A3154">
        <f>HYPERLINK("https://mathstats.uncg.edu/sites/pauli/congruence/csg13.html#group20B13", "20B¹³")</f>
        <v/>
      </c>
      <c r="B3154" t="n">
        <v>13</v>
      </c>
      <c r="C3154" t="inlineStr"/>
      <c r="D3154" t="inlineStr">
        <is>
          <t>240</t>
        </is>
      </c>
      <c r="E3154" t="inlineStr">
        <is>
          <t>1</t>
        </is>
      </c>
      <c r="F3154" t="inlineStr">
        <is>
          <t>60</t>
        </is>
      </c>
      <c r="G3154" t="inlineStr">
        <is>
          <t>8</t>
        </is>
      </c>
      <c r="H3154" t="inlineStr">
        <is>
          <t>0</t>
        </is>
      </c>
      <c r="I3154" t="inlineStr">
        <is>
          <t>20¹²</t>
        </is>
      </c>
      <c r="J3154" t="n">
        <v>12</v>
      </c>
      <c r="K3154" t="inlineStr">
        <is>
          <t>2², 4², 8⁶</t>
        </is>
      </c>
      <c r="L3154" t="inlineStr">
        <is>
          <t>20G¹, 10C², 20O³, 20B⁶, 20F⁷</t>
        </is>
      </c>
      <c r="M3154" t="inlineStr"/>
      <c r="N3154" t="inlineStr">
        <is>
          <t>5A⁰, 20O³, 20B⁶, 10D⁰, 5B⁰, 20A¹, 10E¹, 20F⁷, 1A⁰, 20B¹, 10B⁰, 4A⁰, 20G¹, 10C², 5E⁰, 5C⁰, 20E², 5G⁰, 20D³</t>
        </is>
      </c>
      <c r="O3154" t="inlineStr"/>
    </row>
    <row r="3155">
      <c r="A3155">
        <f>HYPERLINK("https://mathstats.uncg.edu/sites/pauli/congruence/csg13.html#group20C13", "20C¹³")</f>
        <v/>
      </c>
      <c r="B3155" t="n">
        <v>13</v>
      </c>
      <c r="C3155" t="inlineStr"/>
      <c r="D3155" t="inlineStr">
        <is>
          <t>240</t>
        </is>
      </c>
      <c r="E3155" t="inlineStr">
        <is>
          <t>1</t>
        </is>
      </c>
      <c r="F3155" t="inlineStr">
        <is>
          <t>60</t>
        </is>
      </c>
      <c r="G3155" t="inlineStr">
        <is>
          <t>8</t>
        </is>
      </c>
      <c r="H3155" t="inlineStr">
        <is>
          <t>0</t>
        </is>
      </c>
      <c r="I3155" t="inlineStr">
        <is>
          <t>20¹²</t>
        </is>
      </c>
      <c r="J3155" t="n">
        <v>12</v>
      </c>
      <c r="K3155" t="inlineStr">
        <is>
          <t>2², 4⁶, 8⁴</t>
        </is>
      </c>
      <c r="L3155" t="inlineStr">
        <is>
          <t>20O³, 20F⁵, 20G⁷, 20H⁷</t>
        </is>
      </c>
      <c r="M3155" t="inlineStr"/>
      <c r="N3155" t="inlineStr">
        <is>
          <t>20O³, 10D⁰, 4C⁰, 2B⁰, 20F², 1A⁰, 20F³, 10F¹, 10E², 20H⁷, 20F⁵, 20G⁷, 4A⁰, 4F⁰, 5C⁰, 20E²</t>
        </is>
      </c>
      <c r="O3155" t="inlineStr"/>
    </row>
    <row r="3156">
      <c r="A3156">
        <f>HYPERLINK("https://mathstats.uncg.edu/sites/pauli/congruence/csg13.html#group20D13", "20D¹³")</f>
        <v/>
      </c>
      <c r="B3156" t="n">
        <v>13</v>
      </c>
      <c r="C3156" t="inlineStr"/>
      <c r="D3156" t="inlineStr">
        <is>
          <t>240</t>
        </is>
      </c>
      <c r="E3156" t="inlineStr">
        <is>
          <t>2</t>
        </is>
      </c>
      <c r="F3156" t="inlineStr">
        <is>
          <t>30</t>
        </is>
      </c>
      <c r="G3156" t="inlineStr">
        <is>
          <t>8</t>
        </is>
      </c>
      <c r="H3156" t="inlineStr">
        <is>
          <t>0</t>
        </is>
      </c>
      <c r="I3156" t="inlineStr">
        <is>
          <t>20¹²</t>
        </is>
      </c>
      <c r="J3156" t="n">
        <v>12</v>
      </c>
      <c r="K3156" t="inlineStr">
        <is>
          <t>4³, 8⁶</t>
        </is>
      </c>
      <c r="L3156" t="inlineStr">
        <is>
          <t>20F⁵, 20G⁵, 20I⁷</t>
        </is>
      </c>
      <c r="M3156" t="inlineStr"/>
      <c r="N3156" t="inlineStr">
        <is>
          <t>10E², 20F⁵, 20G⁵, 10D⁰, 20F¹, 4C⁰, 5C⁰, 2B⁰, 20I⁷, 20F², 1A⁰, 20F³, 10F¹</t>
        </is>
      </c>
      <c r="O3156" t="inlineStr"/>
    </row>
    <row r="3157">
      <c r="A3157">
        <f>HYPERLINK("https://mathstats.uncg.edu/sites/pauli/congruence/csg13.html#group20E13", "20E¹³")</f>
        <v/>
      </c>
      <c r="B3157" t="n">
        <v>13</v>
      </c>
      <c r="C3157" t="inlineStr"/>
      <c r="D3157" t="inlineStr">
        <is>
          <t>288</t>
        </is>
      </c>
      <c r="E3157" t="inlineStr">
        <is>
          <t>1</t>
        </is>
      </c>
      <c r="F3157" t="inlineStr">
        <is>
          <t>6</t>
        </is>
      </c>
      <c r="G3157" t="inlineStr">
        <is>
          <t>0</t>
        </is>
      </c>
      <c r="H3157" t="inlineStr">
        <is>
          <t>0</t>
        </is>
      </c>
      <c r="I3157" t="inlineStr">
        <is>
          <t>4¹², 20¹²</t>
        </is>
      </c>
      <c r="J3157" t="n">
        <v>24</v>
      </c>
      <c r="K3157" t="inlineStr">
        <is>
          <t>1², 4¹</t>
        </is>
      </c>
      <c r="L3157" t="inlineStr">
        <is>
          <t>20D⁵, 20I⁵, 20J⁵, 20K⁷, 20L⁷, 20M⁷</t>
        </is>
      </c>
      <c r="M3157" t="inlineStr"/>
      <c r="N3157" t="inlineStr">
        <is>
          <t>2A⁰, 20E¹, 20L⁷, 10G⁰, 20J⁵, 20I⁵, 20D⁵, 4C⁰, 5B⁰, 10A¹, 5D⁰, 2B⁰, 4E⁰, 4G⁰, 20H¹, 20K³, 4B⁰, 1A⁰, 10D¹, 20H³, 20B¹, 20K⁷, 4D⁰, 10C⁰, 20J³, 20C², 20M⁷, 20G³, 20C³, 20D¹, 20B³, 10F⁰, 10B⁰, 20A⁰, 20I¹, 4A⁰, 20G¹, 4F⁰, 10K¹, 20I³, 20L³, 2C⁰, 10G¹</t>
        </is>
      </c>
      <c r="O3157" t="inlineStr"/>
    </row>
    <row r="3158">
      <c r="A3158">
        <f>HYPERLINK("https://mathstats.uncg.edu/sites/pauli/congruence/csg13.html#group20F13", "20F¹³")</f>
        <v/>
      </c>
      <c r="B3158" t="n">
        <v>13</v>
      </c>
      <c r="C3158" t="inlineStr"/>
      <c r="D3158" t="inlineStr">
        <is>
          <t>288</t>
        </is>
      </c>
      <c r="E3158" t="inlineStr">
        <is>
          <t>1</t>
        </is>
      </c>
      <c r="F3158" t="inlineStr">
        <is>
          <t>18</t>
        </is>
      </c>
      <c r="G3158" t="inlineStr">
        <is>
          <t>0</t>
        </is>
      </c>
      <c r="H3158" t="inlineStr">
        <is>
          <t>0</t>
        </is>
      </c>
      <c r="I3158" t="inlineStr">
        <is>
          <t>4¹², 20¹²</t>
        </is>
      </c>
      <c r="J3158" t="n">
        <v>24</v>
      </c>
      <c r="K3158" t="inlineStr">
        <is>
          <t>1⁶, 4³</t>
        </is>
      </c>
      <c r="L3158" t="inlineStr">
        <is>
          <t>20R³, 20I⁵, 20K⁵, 20J⁷, 20N⁷</t>
        </is>
      </c>
      <c r="M3158" t="inlineStr"/>
      <c r="N3158" t="inlineStr">
        <is>
          <t>20E¹, 20C¹, 2A⁰, 10G⁰, 20I⁵, 4C⁰, 5B⁰, 5D⁰, 10A¹, 2B⁰, 4E⁰, 20H¹, 4B⁰, 10D¹, 1A⁰, 20J¹, 20H³, 20A³, 20K⁵, 20N⁷, 20R³, 10C⁰, 20J³, 20C², 20M³, 20G³, 20D¹, 10F⁰, 10B⁰, 20A⁰, 20I¹, 20J⁷, 10K¹, 20I³, 2C⁰, 10G¹</t>
        </is>
      </c>
      <c r="O3158" t="inlineStr"/>
    </row>
    <row r="3159">
      <c r="A3159">
        <f>HYPERLINK("https://mathstats.uncg.edu/sites/pauli/congruence/csg13.html#group20G13", "20G¹³")</f>
        <v/>
      </c>
      <c r="B3159" t="n">
        <v>13</v>
      </c>
      <c r="C3159" t="inlineStr"/>
      <c r="D3159" t="inlineStr">
        <is>
          <t>360</t>
        </is>
      </c>
      <c r="E3159" t="inlineStr">
        <is>
          <t>1</t>
        </is>
      </c>
      <c r="F3159" t="inlineStr">
        <is>
          <t>3</t>
        </is>
      </c>
      <c r="G3159" t="inlineStr">
        <is>
          <t>0</t>
        </is>
      </c>
      <c r="H3159" t="inlineStr">
        <is>
          <t>0</t>
        </is>
      </c>
      <c r="I3159" t="inlineStr">
        <is>
          <t>5²⁴, 20¹²</t>
        </is>
      </c>
      <c r="J3159" t="n">
        <v>36</v>
      </c>
      <c r="K3159" t="inlineStr">
        <is>
          <t>1³</t>
        </is>
      </c>
      <c r="L3159" t="inlineStr">
        <is>
          <t>20H¹, 10B⁴, 20E⁵, 20D⁶, 20P⁷</t>
        </is>
      </c>
      <c r="M3159" t="inlineStr"/>
      <c r="N3159" t="inlineStr">
        <is>
          <t>20A², 20D⁴, 5A⁰, 20E⁵, 10B¹, 20E³, 5B⁰, 5F⁰, 5D⁰, 2B⁰, 20D¹, 20H¹, 20F², 4B⁰, 1A⁰, 10D², 5H⁰, 10F⁰, 10F¹, 20D⁶, 20A⁰, 10I¹, 10F², 5E⁰, 20P³, 10C⁰, 10B⁴, 20P⁷, 5C⁰, 5G⁰</t>
        </is>
      </c>
      <c r="O3159" t="inlineStr"/>
    </row>
    <row r="3160">
      <c r="A3160">
        <f>HYPERLINK("https://mathstats.uncg.edu/sites/pauli/congruence/csg13.html#group21A13", "21A¹³")</f>
        <v/>
      </c>
      <c r="B3160" t="n">
        <v>13</v>
      </c>
      <c r="C3160" t="inlineStr"/>
      <c r="D3160" t="inlineStr">
        <is>
          <t>252</t>
        </is>
      </c>
      <c r="E3160" t="inlineStr">
        <is>
          <t>1</t>
        </is>
      </c>
      <c r="F3160" t="inlineStr">
        <is>
          <t>21</t>
        </is>
      </c>
      <c r="G3160" t="inlineStr">
        <is>
          <t>12</t>
        </is>
      </c>
      <c r="H3160" t="inlineStr">
        <is>
          <t>0</t>
        </is>
      </c>
      <c r="I3160" t="inlineStr">
        <is>
          <t>21¹²</t>
        </is>
      </c>
      <c r="J3160" t="n">
        <v>12</v>
      </c>
      <c r="K3160" t="inlineStr">
        <is>
          <t>3¹, 6³</t>
        </is>
      </c>
      <c r="L3160" t="inlineStr">
        <is>
          <t>7C¹, 21C³, 21E⁴, 21A⁷</t>
        </is>
      </c>
      <c r="M3160" t="inlineStr"/>
      <c r="N3160" t="inlineStr">
        <is>
          <t>7D⁰, 21C², 21A⁰, 7G⁰, 7C¹, 1A⁰, 21C³, 21E¹, 7C⁰, 7A¹, 7F⁰, 21C¹, 21A⁷, 3A⁰, 21E⁴, 7A⁰</t>
        </is>
      </c>
      <c r="O3160" t="inlineStr"/>
    </row>
    <row r="3161">
      <c r="A3161">
        <f>HYPERLINK("https://mathstats.uncg.edu/sites/pauli/congruence/csg13.html#group21B13", "21B¹³")</f>
        <v/>
      </c>
      <c r="B3161" t="n">
        <v>13</v>
      </c>
      <c r="C3161" t="inlineStr"/>
      <c r="D3161" t="inlineStr">
        <is>
          <t>252</t>
        </is>
      </c>
      <c r="E3161" t="inlineStr">
        <is>
          <t>2</t>
        </is>
      </c>
      <c r="F3161" t="inlineStr">
        <is>
          <t>21</t>
        </is>
      </c>
      <c r="G3161" t="inlineStr">
        <is>
          <t>12</t>
        </is>
      </c>
      <c r="H3161" t="inlineStr">
        <is>
          <t>0</t>
        </is>
      </c>
      <c r="I3161" t="inlineStr">
        <is>
          <t>21¹²</t>
        </is>
      </c>
      <c r="J3161" t="n">
        <v>12</v>
      </c>
      <c r="K3161" t="inlineStr">
        <is>
          <t>2¹, 4¹, 6², 12²</t>
        </is>
      </c>
      <c r="L3161" t="inlineStr">
        <is>
          <t>21E⁴, 21B⁵, 21D⁵, 21C⁶</t>
        </is>
      </c>
      <c r="M3161" t="inlineStr"/>
      <c r="N3161" t="inlineStr">
        <is>
          <t>21D², 7D⁰, 21B⁵, 21D¹, 21C², 21A⁰, 7G⁰, 1A⁰, 21D⁵, 21C⁶, 21E¹, 7C⁰, 21C¹, 3C⁰, 3A⁰, 21E⁴, 7A⁰</t>
        </is>
      </c>
      <c r="O3161" t="inlineStr"/>
    </row>
    <row r="3162">
      <c r="A3162">
        <f>HYPERLINK("https://mathstats.uncg.edu/sites/pauli/congruence/csg13.html#group21C13", "21C¹³")</f>
        <v/>
      </c>
      <c r="B3162" t="n">
        <v>13</v>
      </c>
      <c r="C3162" t="inlineStr"/>
      <c r="D3162" t="inlineStr">
        <is>
          <t>288</t>
        </is>
      </c>
      <c r="E3162" t="inlineStr">
        <is>
          <t>1</t>
        </is>
      </c>
      <c r="F3162" t="inlineStr">
        <is>
          <t>8</t>
        </is>
      </c>
      <c r="G3162" t="inlineStr">
        <is>
          <t>0</t>
        </is>
      </c>
      <c r="H3162" t="inlineStr">
        <is>
          <t>0</t>
        </is>
      </c>
      <c r="I3162" t="inlineStr">
        <is>
          <t>3¹², 21¹²</t>
        </is>
      </c>
      <c r="J3162" t="n">
        <v>24</v>
      </c>
      <c r="K3162" t="inlineStr">
        <is>
          <t>1², 6¹</t>
        </is>
      </c>
      <c r="L3162" t="inlineStr">
        <is>
          <t>21D³, 21C⁴, 21C⁵, 21B⁷</t>
        </is>
      </c>
      <c r="M3162" t="inlineStr"/>
      <c r="N3162" t="inlineStr">
        <is>
          <t>3B⁰, 21A¹, 21A⁴, 7E⁰, 1A⁰, 21A³, 21B⁷, 21B¹, 21C⁵, 21A², 21D³, 7B⁰, 3C⁰, 3A⁰, 3D⁰, 21C⁴</t>
        </is>
      </c>
      <c r="O3162" t="inlineStr"/>
    </row>
    <row r="3163">
      <c r="A3163">
        <f>HYPERLINK("https://mathstats.uncg.edu/sites/pauli/congruence/csg13.html#group22A13", "22A¹³")</f>
        <v/>
      </c>
      <c r="B3163" t="n">
        <v>13</v>
      </c>
      <c r="C3163" t="inlineStr"/>
      <c r="D3163" t="inlineStr">
        <is>
          <t>220</t>
        </is>
      </c>
      <c r="E3163" t="inlineStr">
        <is>
          <t>1</t>
        </is>
      </c>
      <c r="F3163" t="inlineStr">
        <is>
          <t>55</t>
        </is>
      </c>
      <c r="G3163" t="inlineStr">
        <is>
          <t>0</t>
        </is>
      </c>
      <c r="H3163" t="inlineStr">
        <is>
          <t>4</t>
        </is>
      </c>
      <c r="I3163" t="inlineStr">
        <is>
          <t>22¹⁰</t>
        </is>
      </c>
      <c r="J3163" t="n">
        <v>10</v>
      </c>
      <c r="K3163" t="inlineStr">
        <is>
          <t>5¹, 10⁵</t>
        </is>
      </c>
      <c r="L3163" t="inlineStr">
        <is>
          <t>11A⁴, 22B⁴, 22A⁷</t>
        </is>
      </c>
      <c r="M3163" t="inlineStr"/>
      <c r="N3163" t="inlineStr">
        <is>
          <t>2A⁰, 11C¹, 1A⁰, 22A⁷, 11A⁴, 22B⁴</t>
        </is>
      </c>
      <c r="O3163" t="inlineStr"/>
    </row>
    <row r="3164">
      <c r="A3164">
        <f>HYPERLINK("https://mathstats.uncg.edu/sites/pauli/congruence/csg13.html#group22B13", "22B¹³")</f>
        <v/>
      </c>
      <c r="B3164" t="n">
        <v>13</v>
      </c>
      <c r="C3164" t="inlineStr"/>
      <c r="D3164" t="inlineStr">
        <is>
          <t>220</t>
        </is>
      </c>
      <c r="E3164" t="inlineStr">
        <is>
          <t>2</t>
        </is>
      </c>
      <c r="F3164" t="inlineStr">
        <is>
          <t>55</t>
        </is>
      </c>
      <c r="G3164" t="inlineStr">
        <is>
          <t>0</t>
        </is>
      </c>
      <c r="H3164" t="inlineStr">
        <is>
          <t>4</t>
        </is>
      </c>
      <c r="I3164" t="inlineStr">
        <is>
          <t>22¹⁰</t>
        </is>
      </c>
      <c r="J3164" t="n">
        <v>10</v>
      </c>
      <c r="K3164" t="inlineStr">
        <is>
          <t>10¹¹</t>
        </is>
      </c>
      <c r="L3164" t="inlineStr">
        <is>
          <t>22A¹, 11A³, 22C⁵, 22A⁷</t>
        </is>
      </c>
      <c r="M3164" t="inlineStr"/>
      <c r="N3164" t="inlineStr">
        <is>
          <t>11A⁰, 2A⁰, 11C¹, 22C⁵, 22A¹, 22A⁷, 11A³, 1A⁰</t>
        </is>
      </c>
      <c r="O3164" t="inlineStr"/>
    </row>
    <row r="3165">
      <c r="A3165">
        <f>HYPERLINK("https://mathstats.uncg.edu/sites/pauli/congruence/csg13.html#group23A13", "23A¹³")</f>
        <v/>
      </c>
      <c r="B3165" t="n">
        <v>13</v>
      </c>
      <c r="C3165" t="inlineStr"/>
      <c r="D3165" t="inlineStr">
        <is>
          <t>253</t>
        </is>
      </c>
      <c r="E3165" t="inlineStr">
        <is>
          <t>1</t>
        </is>
      </c>
      <c r="F3165" t="inlineStr">
        <is>
          <t>253</t>
        </is>
      </c>
      <c r="G3165" t="inlineStr">
        <is>
          <t>13</t>
        </is>
      </c>
      <c r="H3165" t="inlineStr">
        <is>
          <t>1</t>
        </is>
      </c>
      <c r="I3165" t="inlineStr">
        <is>
          <t>23¹¹</t>
        </is>
      </c>
      <c r="J3165" t="n">
        <v>11</v>
      </c>
      <c r="K3165" t="inlineStr">
        <is>
          <t>11¹, 22¹¹</t>
        </is>
      </c>
      <c r="L3165" t="inlineStr">
        <is>
          <t>1A⁰</t>
        </is>
      </c>
      <c r="M3165" t="inlineStr"/>
      <c r="N3165" t="inlineStr">
        <is>
          <t>1A⁰</t>
        </is>
      </c>
      <c r="O3165" t="inlineStr"/>
    </row>
    <row r="3166">
      <c r="A3166">
        <f>HYPERLINK("https://mathstats.uncg.edu/sites/pauli/congruence/csg13.html#group23B13", "23B¹³")</f>
        <v/>
      </c>
      <c r="B3166" t="n">
        <v>13</v>
      </c>
      <c r="C3166" t="inlineStr"/>
      <c r="D3166" t="inlineStr">
        <is>
          <t>253</t>
        </is>
      </c>
      <c r="E3166" t="inlineStr">
        <is>
          <t>2</t>
        </is>
      </c>
      <c r="F3166" t="inlineStr">
        <is>
          <t>253</t>
        </is>
      </c>
      <c r="G3166" t="inlineStr">
        <is>
          <t>9</t>
        </is>
      </c>
      <c r="H3166" t="inlineStr">
        <is>
          <t>4</t>
        </is>
      </c>
      <c r="I3166" t="inlineStr">
        <is>
          <t>23¹¹</t>
        </is>
      </c>
      <c r="J3166" t="n">
        <v>11</v>
      </c>
      <c r="K3166" t="inlineStr">
        <is>
          <t>22²³</t>
        </is>
      </c>
      <c r="L3166" t="inlineStr">
        <is>
          <t>1A⁰</t>
        </is>
      </c>
      <c r="M3166" t="inlineStr"/>
      <c r="N3166" t="inlineStr">
        <is>
          <t>1A⁰</t>
        </is>
      </c>
      <c r="O3166" t="inlineStr"/>
    </row>
    <row r="3167">
      <c r="A3167">
        <f>HYPERLINK("https://mathstats.uncg.edu/sites/pauli/congruence/csg13.html#group24A13", "24A¹³")</f>
        <v/>
      </c>
      <c r="B3167" t="n">
        <v>13</v>
      </c>
      <c r="C3167" t="inlineStr"/>
      <c r="D3167" t="inlineStr">
        <is>
          <t>192</t>
        </is>
      </c>
      <c r="E3167" t="inlineStr">
        <is>
          <t>1</t>
        </is>
      </c>
      <c r="F3167" t="inlineStr">
        <is>
          <t>4</t>
        </is>
      </c>
      <c r="G3167" t="inlineStr">
        <is>
          <t>0</t>
        </is>
      </c>
      <c r="H3167" t="inlineStr">
        <is>
          <t>0</t>
        </is>
      </c>
      <c r="I3167" t="inlineStr">
        <is>
          <t>24⁸</t>
        </is>
      </c>
      <c r="J3167" t="n">
        <v>8</v>
      </c>
      <c r="K3167" t="inlineStr">
        <is>
          <t>2²</t>
        </is>
      </c>
      <c r="L3167" t="inlineStr">
        <is>
          <t>24F³, 12A⁵, 24L⁵</t>
        </is>
      </c>
      <c r="M3167" t="inlineStr"/>
      <c r="N3167" t="inlineStr">
        <is>
          <t>12G¹, 2A⁰, 3B⁰, 6B⁰, 12I¹, 12B³, 6C⁰, 12C³, 12F⁰, 12A⁵, 1A⁰, 24F³, 12A⁰, 6D¹, 6E⁰, 6B¹, 4A⁰, 4D⁰, 12A¹, 12A², 12Q¹, 3C⁰, 6A¹, 3A⁰, 3D⁰, 24L⁵</t>
        </is>
      </c>
      <c r="O3167" t="inlineStr"/>
    </row>
    <row r="3168">
      <c r="A3168">
        <f>HYPERLINK("https://mathstats.uncg.edu/sites/pauli/congruence/csg13.html#group24B13", "24B¹³")</f>
        <v/>
      </c>
      <c r="B3168" t="n">
        <v>13</v>
      </c>
      <c r="C3168" t="inlineStr"/>
      <c r="D3168" t="inlineStr">
        <is>
          <t>192</t>
        </is>
      </c>
      <c r="E3168" t="inlineStr">
        <is>
          <t>1</t>
        </is>
      </c>
      <c r="F3168" t="inlineStr">
        <is>
          <t>4</t>
        </is>
      </c>
      <c r="G3168" t="inlineStr">
        <is>
          <t>0</t>
        </is>
      </c>
      <c r="H3168" t="inlineStr">
        <is>
          <t>0</t>
        </is>
      </c>
      <c r="I3168" t="inlineStr">
        <is>
          <t>24⁸</t>
        </is>
      </c>
      <c r="J3168" t="n">
        <v>8</v>
      </c>
      <c r="K3168" t="inlineStr">
        <is>
          <t>2²</t>
        </is>
      </c>
      <c r="L3168" t="inlineStr">
        <is>
          <t>24G³, 12A⁵, 24P⁵, 24A⁷, 24B⁷, 24D⁷</t>
        </is>
      </c>
      <c r="M3168" t="inlineStr"/>
      <c r="N3168" t="inlineStr">
        <is>
          <t>2A⁰, 24A², 8A⁰, 24D⁷, 12A⁵, 1A⁰, 24A¹, 6B¹, 4D⁰, 12A¹, 24B⁴, 12A², 3C⁰, 12Q¹, 6A¹, 3A⁰, 24G², 24P⁵, 12G¹, 3B⁰, 6B⁰, 12I¹, 24D³, 12B³, 6C⁰, 12C³, 12F⁰, 8E⁰, 24A⁴, 24B¹, 24A⁷, 24G³, 24E³, 12A⁰, 24K², 6D¹, 6E⁰, 4A⁰, 3D⁰, 24H², 24B⁷</t>
        </is>
      </c>
      <c r="O3168" t="inlineStr"/>
    </row>
    <row r="3169">
      <c r="A3169">
        <f>HYPERLINK("https://mathstats.uncg.edu/sites/pauli/congruence/csg13.html#group24C13", "24C¹³")</f>
        <v/>
      </c>
      <c r="B3169" t="n">
        <v>13</v>
      </c>
      <c r="C3169" t="inlineStr"/>
      <c r="D3169" t="inlineStr">
        <is>
          <t>192</t>
        </is>
      </c>
      <c r="E3169" t="inlineStr">
        <is>
          <t>1</t>
        </is>
      </c>
      <c r="F3169" t="inlineStr">
        <is>
          <t>16</t>
        </is>
      </c>
      <c r="G3169" t="inlineStr">
        <is>
          <t>0</t>
        </is>
      </c>
      <c r="H3169" t="inlineStr">
        <is>
          <t>0</t>
        </is>
      </c>
      <c r="I3169" t="inlineStr">
        <is>
          <t>24⁸</t>
        </is>
      </c>
      <c r="J3169" t="n">
        <v>8</v>
      </c>
      <c r="K3169" t="inlineStr">
        <is>
          <t>4⁴</t>
        </is>
      </c>
      <c r="L3169" t="inlineStr">
        <is>
          <t>12B³, 24C⁴, 24O⁵</t>
        </is>
      </c>
      <c r="M3169" t="inlineStr"/>
      <c r="N3169" t="inlineStr">
        <is>
          <t>12G¹, 24C⁴, 3B⁰, 24F¹, 12A⁰, 8F⁰, 12B³, 4A⁰, 12A¹, 24O⁵, 3C⁰, 3A⁰, 1A⁰, 3D⁰</t>
        </is>
      </c>
      <c r="O3169" t="inlineStr"/>
    </row>
    <row r="3170">
      <c r="A3170">
        <f>HYPERLINK("https://mathstats.uncg.edu/sites/pauli/congruence/csg13.html#group24D13", "24D¹³")</f>
        <v/>
      </c>
      <c r="B3170" t="n">
        <v>13</v>
      </c>
      <c r="C3170" t="inlineStr"/>
      <c r="D3170" t="inlineStr">
        <is>
          <t>192</t>
        </is>
      </c>
      <c r="E3170" t="inlineStr">
        <is>
          <t>1</t>
        </is>
      </c>
      <c r="F3170" t="inlineStr">
        <is>
          <t>16</t>
        </is>
      </c>
      <c r="G3170" t="inlineStr">
        <is>
          <t>0</t>
        </is>
      </c>
      <c r="H3170" t="inlineStr">
        <is>
          <t>0</t>
        </is>
      </c>
      <c r="I3170" t="inlineStr">
        <is>
          <t>24⁸</t>
        </is>
      </c>
      <c r="J3170" t="n">
        <v>8</v>
      </c>
      <c r="K3170" t="inlineStr">
        <is>
          <t>4⁴</t>
        </is>
      </c>
      <c r="L3170" t="inlineStr">
        <is>
          <t>8J¹, 24A⁴, 24S⁴, 24C⁷</t>
        </is>
      </c>
      <c r="M3170" t="inlineStr"/>
      <c r="N3170" t="inlineStr">
        <is>
          <t>2A⁰, 3A⁰, 24S⁴, 8A⁰, 24A⁴, 8E⁰, 8E¹, 8J¹, 1A⁰, 24F¹, 24C⁷, 8F⁰, 12A⁰, 24A¹, 4A⁰, 4D⁰, 12A², 6A¹, 8M⁰</t>
        </is>
      </c>
      <c r="O3170" t="inlineStr"/>
    </row>
    <row r="3171">
      <c r="A3171">
        <f>HYPERLINK("https://mathstats.uncg.edu/sites/pauli/congruence/csg13.html#group24E13", "24E¹³")</f>
        <v/>
      </c>
      <c r="B3171" t="n">
        <v>13</v>
      </c>
      <c r="C3171" t="inlineStr"/>
      <c r="D3171" t="inlineStr">
        <is>
          <t>192</t>
        </is>
      </c>
      <c r="E3171" t="inlineStr">
        <is>
          <t>1</t>
        </is>
      </c>
      <c r="F3171" t="inlineStr">
        <is>
          <t>48</t>
        </is>
      </c>
      <c r="G3171" t="inlineStr">
        <is>
          <t>0</t>
        </is>
      </c>
      <c r="H3171" t="inlineStr">
        <is>
          <t>0</t>
        </is>
      </c>
      <c r="I3171" t="inlineStr">
        <is>
          <t>24⁸</t>
        </is>
      </c>
      <c r="J3171" t="n">
        <v>8</v>
      </c>
      <c r="K3171" t="inlineStr">
        <is>
          <t>4⁴, 8⁴</t>
        </is>
      </c>
      <c r="L3171" t="inlineStr">
        <is>
          <t>24B⁴, 24T⁴, 24C⁷</t>
        </is>
      </c>
      <c r="M3171" t="inlineStr"/>
      <c r="N3171" t="inlineStr">
        <is>
          <t>2A⁰, 24B¹, 8E¹, 1A⁰, 24F¹, 24C⁷, 12A⁰, 8F⁰, 4A⁰, 4D⁰, 24B⁴, 12A², 6A¹, 3A⁰, 24T⁴</t>
        </is>
      </c>
      <c r="O3171" t="inlineStr"/>
    </row>
    <row r="3172">
      <c r="A3172">
        <f>HYPERLINK("https://mathstats.uncg.edu/sites/pauli/congruence/csg13.html#group24F13", "24F¹³")</f>
        <v/>
      </c>
      <c r="B3172" t="n">
        <v>13</v>
      </c>
      <c r="C3172" t="inlineStr"/>
      <c r="D3172" t="inlineStr">
        <is>
          <t>192</t>
        </is>
      </c>
      <c r="E3172" t="inlineStr">
        <is>
          <t>1</t>
        </is>
      </c>
      <c r="F3172" t="inlineStr">
        <is>
          <t>48</t>
        </is>
      </c>
      <c r="G3172" t="inlineStr">
        <is>
          <t>0</t>
        </is>
      </c>
      <c r="H3172" t="inlineStr">
        <is>
          <t>0</t>
        </is>
      </c>
      <c r="I3172" t="inlineStr">
        <is>
          <t>24⁸</t>
        </is>
      </c>
      <c r="J3172" t="n">
        <v>8</v>
      </c>
      <c r="K3172" t="inlineStr">
        <is>
          <t>4⁴, 8⁴</t>
        </is>
      </c>
      <c r="L3172" t="inlineStr">
        <is>
          <t>12C³, 24AB³, 24O⁵, 24C⁷</t>
        </is>
      </c>
      <c r="M3172" t="inlineStr"/>
      <c r="N3172" t="inlineStr">
        <is>
          <t>12G¹, 2A⁰, 6B⁰, 24O⁵, 12C³, 12F⁰, 8E¹, 1A⁰, 24F¹, 24C⁷, 12A⁰, 8F⁰, 6B¹, 4A⁰, 4D⁰, 12A², 3C⁰, 6A¹, 24AB³, 3A⁰</t>
        </is>
      </c>
      <c r="O3172" t="inlineStr"/>
    </row>
    <row r="3173">
      <c r="A3173">
        <f>HYPERLINK("https://mathstats.uncg.edu/sites/pauli/congruence/csg13.html#group24G13", "24G¹³")</f>
        <v/>
      </c>
      <c r="B3173" t="n">
        <v>13</v>
      </c>
      <c r="C3173" t="inlineStr"/>
      <c r="D3173" t="inlineStr">
        <is>
          <t>256</t>
        </is>
      </c>
      <c r="E3173" t="inlineStr">
        <is>
          <t>1</t>
        </is>
      </c>
      <c r="F3173" t="inlineStr">
        <is>
          <t>64</t>
        </is>
      </c>
      <c r="G3173" t="inlineStr">
        <is>
          <t>0</t>
        </is>
      </c>
      <c r="H3173" t="inlineStr">
        <is>
          <t>4</t>
        </is>
      </c>
      <c r="I3173" t="inlineStr">
        <is>
          <t>8⁸, 24⁸</t>
        </is>
      </c>
      <c r="J3173" t="n">
        <v>16</v>
      </c>
      <c r="K3173" t="inlineStr">
        <is>
          <t>4⁸, 8⁴</t>
        </is>
      </c>
      <c r="L3173" t="inlineStr">
        <is>
          <t>12R¹, 24E⁷</t>
        </is>
      </c>
      <c r="M3173" t="inlineStr"/>
      <c r="N3173" t="inlineStr">
        <is>
          <t>2A⁰, 3B⁰, 24C⁴, 8F⁰, 12I¹, 4A⁰, 4D⁰, 12A¹, 6C⁰, 8E¹, 12R¹, 12B⁰, 1A⁰, 24E⁷</t>
        </is>
      </c>
      <c r="O3173" t="inlineStr"/>
    </row>
    <row r="3174">
      <c r="A3174">
        <f>HYPERLINK("https://mathstats.uncg.edu/sites/pauli/congruence/csg13.html#group24H13", "24H¹³")</f>
        <v/>
      </c>
      <c r="B3174" t="n">
        <v>13</v>
      </c>
      <c r="C3174" t="inlineStr"/>
      <c r="D3174" t="inlineStr">
        <is>
          <t>256</t>
        </is>
      </c>
      <c r="E3174" t="inlineStr">
        <is>
          <t>1</t>
        </is>
      </c>
      <c r="F3174" t="inlineStr">
        <is>
          <t>64</t>
        </is>
      </c>
      <c r="G3174" t="inlineStr">
        <is>
          <t>0</t>
        </is>
      </c>
      <c r="H3174" t="inlineStr">
        <is>
          <t>4</t>
        </is>
      </c>
      <c r="I3174" t="inlineStr">
        <is>
          <t>8⁸, 24⁸</t>
        </is>
      </c>
      <c r="J3174" t="n">
        <v>16</v>
      </c>
      <c r="K3174" t="inlineStr">
        <is>
          <t>4⁸, 8⁴</t>
        </is>
      </c>
      <c r="L3174" t="inlineStr">
        <is>
          <t>24F³, 24E⁷</t>
        </is>
      </c>
      <c r="M3174" t="inlineStr"/>
      <c r="N3174" t="inlineStr">
        <is>
          <t>24C⁴, 3B⁰, 2A⁰, 8F⁰, 12I¹, 4A⁰, 4D⁰, 12A¹, 6C⁰, 8E¹, 1A⁰, 24F³, 24E⁷</t>
        </is>
      </c>
      <c r="O3174" t="inlineStr"/>
    </row>
    <row r="3175">
      <c r="A3175">
        <f>HYPERLINK("https://mathstats.uncg.edu/sites/pauli/congruence/csg13.html#group24I13", "24I¹³")</f>
        <v/>
      </c>
      <c r="B3175" t="n">
        <v>13</v>
      </c>
      <c r="C3175" t="inlineStr"/>
      <c r="D3175" t="inlineStr">
        <is>
          <t>256</t>
        </is>
      </c>
      <c r="E3175" t="inlineStr">
        <is>
          <t>1</t>
        </is>
      </c>
      <c r="F3175" t="inlineStr">
        <is>
          <t>64</t>
        </is>
      </c>
      <c r="G3175" t="inlineStr">
        <is>
          <t>0</t>
        </is>
      </c>
      <c r="H3175" t="inlineStr">
        <is>
          <t>4</t>
        </is>
      </c>
      <c r="I3175" t="inlineStr">
        <is>
          <t>8⁸, 24⁸</t>
        </is>
      </c>
      <c r="J3175" t="n">
        <v>16</v>
      </c>
      <c r="K3175" t="inlineStr">
        <is>
          <t>4⁸, 8⁴</t>
        </is>
      </c>
      <c r="L3175" t="inlineStr">
        <is>
          <t>8J¹, 24G³, 24E⁷, 24F⁷</t>
        </is>
      </c>
      <c r="M3175" t="inlineStr"/>
      <c r="N3175" t="inlineStr">
        <is>
          <t>2A⁰, 24C⁴, 3B⁰, 12I¹, 24A², 6C⁰, 8A⁰, 8E⁰, 8E¹, 24G³, 8J¹, 1A⁰, 24E⁷, 8F⁰, 4A⁰, 4D⁰, 12A¹, 24F⁷, 8M⁰</t>
        </is>
      </c>
      <c r="O3175" t="inlineStr"/>
    </row>
    <row r="3176">
      <c r="A3176">
        <f>HYPERLINK("https://mathstats.uncg.edu/sites/pauli/congruence/csg13.html#group24J13", "24J¹³")</f>
        <v/>
      </c>
      <c r="B3176" t="n">
        <v>13</v>
      </c>
      <c r="C3176" t="inlineStr"/>
      <c r="D3176" t="inlineStr">
        <is>
          <t>288</t>
        </is>
      </c>
      <c r="E3176" t="inlineStr">
        <is>
          <t>1</t>
        </is>
      </c>
      <c r="F3176" t="inlineStr">
        <is>
          <t>3</t>
        </is>
      </c>
      <c r="G3176" t="inlineStr">
        <is>
          <t>0</t>
        </is>
      </c>
      <c r="H3176" t="inlineStr">
        <is>
          <t>0</t>
        </is>
      </c>
      <c r="I3176" t="inlineStr">
        <is>
          <t>6¹⁶, 24⁸</t>
        </is>
      </c>
      <c r="J3176" t="n">
        <v>24</v>
      </c>
      <c r="K3176" t="inlineStr">
        <is>
          <t>1³</t>
        </is>
      </c>
      <c r="L3176" t="inlineStr">
        <is>
          <t>24U³, 24AC³, 12B⁵, 24T⁵, 24G⁷, 24M⁷</t>
        </is>
      </c>
      <c r="M3176" t="inlineStr"/>
      <c r="N3176" t="inlineStr">
        <is>
          <t>12T¹, 24M⁷, 12C⁰, 12F³, 6C¹, 12B², 12E², 2B⁰, 4B⁰, 12G³, 1A⁰, 24U³, 3C⁰, 24G⁷, 12B¹, 6H⁰, 6E¹, 3B⁰, 24AC³, 12P¹, 12L¹, 12G⁰, 6A⁰, 12C¹, 24B⁰, 12D³, 12E³, 3D⁰, 2C⁰, 6D⁰, 2A⁰, 12K¹, 12B⁵, 12D², 4C⁰, 6G⁰, 24M³, 12S¹, 4E⁰, 12N¹, 12H⁰, 6B¹, 6K⁰, 6A¹, 3A⁰, 6F⁰, 24I¹, 6B⁰, 6I⁰, 12F¹, 6F¹, 6C⁰, 6D¹, 6E⁰, 6L⁰, 24T⁵, 6J⁰, 12D⁰, 24F², 12C², 12E⁰</t>
        </is>
      </c>
      <c r="O3176" t="inlineStr"/>
    </row>
    <row r="3177">
      <c r="A3177">
        <f>HYPERLINK("https://mathstats.uncg.edu/sites/pauli/congruence/csg13.html#group24K13", "24K¹³")</f>
        <v/>
      </c>
      <c r="B3177" t="n">
        <v>13</v>
      </c>
      <c r="C3177" t="inlineStr"/>
      <c r="D3177" t="inlineStr">
        <is>
          <t>288</t>
        </is>
      </c>
      <c r="E3177" t="inlineStr">
        <is>
          <t>1</t>
        </is>
      </c>
      <c r="F3177" t="inlineStr">
        <is>
          <t>3</t>
        </is>
      </c>
      <c r="G3177" t="inlineStr">
        <is>
          <t>0</t>
        </is>
      </c>
      <c r="H3177" t="inlineStr">
        <is>
          <t>0</t>
        </is>
      </c>
      <c r="I3177" t="inlineStr">
        <is>
          <t>6¹⁶, 24⁸</t>
        </is>
      </c>
      <c r="J3177" t="n">
        <v>24</v>
      </c>
      <c r="K3177" t="inlineStr">
        <is>
          <t>1³</t>
        </is>
      </c>
      <c r="L3177" t="inlineStr">
        <is>
          <t>24V³, 12B⁵, 24R⁵, 24U⁵, 24H⁷, 24I⁷, 24J⁷, 24N⁷</t>
        </is>
      </c>
      <c r="M3177" t="inlineStr"/>
      <c r="N3177" t="inlineStr">
        <is>
          <t>12T¹, 24O², 24E¹, 12C⁰, 12F³, 6C¹, 12B², 12E², 24J⁷, 2B⁰, 4B⁰, 12G³, 1A⁰, 24O³, 24B², 24R⁵, 3C⁰, 12B¹, 24K³, 6H⁰, 6E¹, 3B⁰, 8D⁰, 24J⁴, 12P¹, 12L¹, 24D⁴, 12G⁰, 24I², 12D³, 12C¹, 6A⁰, 24C¹, 12E³, 24L³, 3D⁰, 2C⁰, 6D⁰, 24I⁴, 2A⁰, 24V³, 12K¹, 12B⁵, 12D², 24G¹, 4C⁰, 6G⁰, 12S¹, 8C⁰, 4E⁰, 12N¹, 6B¹, 8G⁰, 24N³, 24U⁵, 24D², 24I⁷, 6K⁰, 6A¹, 3A⁰, 6F⁰, 6B⁰, 24N², 12F¹, 6I⁰, 6F¹, 24N⁷, 6C⁰, 6D¹, 6E⁰, 6L⁰, 6J⁰, 24E⁴, 12D⁰, 12H⁰, 24H⁷, 12C², 12E⁰</t>
        </is>
      </c>
      <c r="O3177" t="inlineStr"/>
    </row>
    <row r="3178">
      <c r="A3178">
        <f>HYPERLINK("https://mathstats.uncg.edu/sites/pauli/congruence/csg13.html#group24L13", "24L¹³")</f>
        <v/>
      </c>
      <c r="B3178" t="n">
        <v>13</v>
      </c>
      <c r="C3178" t="inlineStr"/>
      <c r="D3178" t="inlineStr">
        <is>
          <t>288</t>
        </is>
      </c>
      <c r="E3178" t="inlineStr">
        <is>
          <t>1</t>
        </is>
      </c>
      <c r="F3178" t="inlineStr">
        <is>
          <t>6</t>
        </is>
      </c>
      <c r="G3178" t="inlineStr">
        <is>
          <t>0</t>
        </is>
      </c>
      <c r="H3178" t="inlineStr">
        <is>
          <t>0</t>
        </is>
      </c>
      <c r="I3178" t="inlineStr">
        <is>
          <t>6¹⁶, 24⁸</t>
        </is>
      </c>
      <c r="J3178" t="n">
        <v>24</v>
      </c>
      <c r="K3178" t="inlineStr">
        <is>
          <t>1⁴, 2¹</t>
        </is>
      </c>
      <c r="L3178" t="inlineStr">
        <is>
          <t>12O³, 24W³, 24R⁵, 24G⁷</t>
        </is>
      </c>
      <c r="M3178" t="inlineStr"/>
      <c r="N3178" t="inlineStr">
        <is>
          <t>24F², 12O³, 3B⁰, 12K¹, 24G¹, 12J⁰, 6G⁰, 12S¹, 2B⁰, 8C⁰, 24M³, 4B⁰, 1A⁰, 24B², 12G⁰, 24L³, 24D², 6F⁰, 24R⁵, 24W³, 3C⁰, 24G⁷, 6K⁰, 12B¹, 12D⁰, 3A⁰, 12E⁰, 3D⁰, 24K³, 6D⁰</t>
        </is>
      </c>
      <c r="O3178" t="inlineStr"/>
    </row>
    <row r="3179">
      <c r="A3179">
        <f>HYPERLINK("https://mathstats.uncg.edu/sites/pauli/congruence/csg13.html#group24M13", "24M¹³")</f>
        <v/>
      </c>
      <c r="B3179" t="n">
        <v>13</v>
      </c>
      <c r="C3179" t="inlineStr"/>
      <c r="D3179" t="inlineStr">
        <is>
          <t>288</t>
        </is>
      </c>
      <c r="E3179" t="inlineStr">
        <is>
          <t>1</t>
        </is>
      </c>
      <c r="F3179" t="inlineStr">
        <is>
          <t>12</t>
        </is>
      </c>
      <c r="G3179" t="inlineStr">
        <is>
          <t>0</t>
        </is>
      </c>
      <c r="H3179" t="inlineStr">
        <is>
          <t>0</t>
        </is>
      </c>
      <c r="I3179" t="inlineStr">
        <is>
          <t>3⁸, 6⁴, 12⁴, 24⁸</t>
        </is>
      </c>
      <c r="J3179" t="n">
        <v>24</v>
      </c>
      <c r="K3179" t="inlineStr">
        <is>
          <t>1⁴, 2², 4¹</t>
        </is>
      </c>
      <c r="L3179" t="inlineStr">
        <is>
          <t>24X³, 24R⁵</t>
        </is>
      </c>
      <c r="M3179" t="inlineStr"/>
      <c r="N3179" t="inlineStr">
        <is>
          <t>3B⁰, 12K¹, 24G¹, 6G⁰, 12S¹, 2B⁰, 8C⁰, 4B⁰, 1A⁰, 24B², 24X³, 12G⁰, 6D⁰, 24D², 24R⁵, 3C⁰, 6K⁰, 12B¹, 24K³, 12D⁰, 6F⁰, 3A⁰, 24L³, 3D⁰, 12E⁰</t>
        </is>
      </c>
      <c r="O3179" t="inlineStr"/>
    </row>
    <row r="3180">
      <c r="A3180">
        <f>HYPERLINK("https://mathstats.uncg.edu/sites/pauli/congruence/csg13.html#group24N13", "24N¹³")</f>
        <v/>
      </c>
      <c r="B3180" t="n">
        <v>13</v>
      </c>
      <c r="C3180" t="inlineStr"/>
      <c r="D3180" t="inlineStr">
        <is>
          <t>288</t>
        </is>
      </c>
      <c r="E3180" t="inlineStr">
        <is>
          <t>1</t>
        </is>
      </c>
      <c r="F3180" t="inlineStr">
        <is>
          <t>12</t>
        </is>
      </c>
      <c r="G3180" t="inlineStr">
        <is>
          <t>0</t>
        </is>
      </c>
      <c r="H3180" t="inlineStr">
        <is>
          <t>0</t>
        </is>
      </c>
      <c r="I3180" t="inlineStr">
        <is>
          <t>3⁸, 6⁴, 12⁴, 24⁸</t>
        </is>
      </c>
      <c r="J3180" t="n">
        <v>24</v>
      </c>
      <c r="K3180" t="inlineStr">
        <is>
          <t>1⁴, 2², 4¹</t>
        </is>
      </c>
      <c r="L3180" t="inlineStr">
        <is>
          <t>24Y³, 24R⁵, 24T⁷, 24U⁷</t>
        </is>
      </c>
      <c r="M3180" t="inlineStr"/>
      <c r="N3180" t="inlineStr">
        <is>
          <t>12K¹, 24T⁷, 24G¹, 6G⁰, 12S¹, 2B⁰, 8C⁰, 4B⁰, 1A⁰, 24B², 24M⁴, 24D², 24R⁵, 3C⁰, 6K⁰, 12B¹, 24K³, 12E⁰, 3A⁰, 6F⁰, 3B⁰, 24U⁷, 24F⁴, 8I⁰, 12G⁰, 12D⁰, 24Y³, 24L³, 3D⁰, 6D⁰</t>
        </is>
      </c>
      <c r="O3180" t="inlineStr"/>
    </row>
    <row r="3181">
      <c r="A3181">
        <f>HYPERLINK("https://mathstats.uncg.edu/sites/pauli/congruence/csg13.html#group24O13", "24O¹³")</f>
        <v/>
      </c>
      <c r="B3181" t="n">
        <v>13</v>
      </c>
      <c r="C3181" t="inlineStr"/>
      <c r="D3181" t="inlineStr">
        <is>
          <t>288</t>
        </is>
      </c>
      <c r="E3181" t="inlineStr">
        <is>
          <t>1</t>
        </is>
      </c>
      <c r="F3181" t="inlineStr">
        <is>
          <t>12</t>
        </is>
      </c>
      <c r="G3181" t="inlineStr">
        <is>
          <t>0</t>
        </is>
      </c>
      <c r="H3181" t="inlineStr">
        <is>
          <t>0</t>
        </is>
      </c>
      <c r="I3181" t="inlineStr">
        <is>
          <t>6⁸, 12¹², 24⁴</t>
        </is>
      </c>
      <c r="J3181" t="n">
        <v>24</v>
      </c>
      <c r="K3181" t="inlineStr">
        <is>
          <t>1⁸, 2²</t>
        </is>
      </c>
      <c r="L3181" t="inlineStr">
        <is>
          <t>24Z³, 12B⁵</t>
        </is>
      </c>
      <c r="M3181" t="inlineStr"/>
      <c r="N3181" t="inlineStr">
        <is>
          <t>12T¹, 2A⁰, 12C⁰, 12K¹, 12B⁵, 12D², 12F³, 4C⁰, 6C¹, 6G⁰, 12E², 12S¹, 2B⁰, 4E⁰, 12B², 12N¹, 4B⁰, 12G³, 1A⁰, 6B¹, 6D⁰, 3C⁰, 6K⁰, 6A¹, 12B¹, 6H⁰, 3A⁰, 6F⁰, 6E¹, 3B⁰, 6B⁰, 24Z³, 12F¹, 6I⁰, 6F¹, 6C⁰, 12P¹, 12L¹, 12G⁰, 12D³, 12C¹, 6E⁰, 6L⁰, 6D¹, 6A⁰, 6J⁰, 12E³, 12D⁰, 12H⁰, 12C², 3D⁰, 2C⁰, 12E⁰</t>
        </is>
      </c>
      <c r="O3181" t="inlineStr"/>
    </row>
    <row r="3182">
      <c r="A3182">
        <f>HYPERLINK("https://mathstats.uncg.edu/sites/pauli/congruence/csg13.html#group24P13", "24P¹³")</f>
        <v/>
      </c>
      <c r="B3182" t="n">
        <v>13</v>
      </c>
      <c r="C3182" t="inlineStr"/>
      <c r="D3182" t="inlineStr">
        <is>
          <t>288</t>
        </is>
      </c>
      <c r="E3182" t="inlineStr">
        <is>
          <t>1</t>
        </is>
      </c>
      <c r="F3182" t="inlineStr">
        <is>
          <t>12</t>
        </is>
      </c>
      <c r="G3182" t="inlineStr">
        <is>
          <t>0</t>
        </is>
      </c>
      <c r="H3182" t="inlineStr">
        <is>
          <t>0</t>
        </is>
      </c>
      <c r="I3182" t="inlineStr">
        <is>
          <t>6⁸, 12¹², 24⁴</t>
        </is>
      </c>
      <c r="J3182" t="n">
        <v>24</v>
      </c>
      <c r="K3182" t="inlineStr">
        <is>
          <t>1⁸, 2²</t>
        </is>
      </c>
      <c r="L3182" t="inlineStr">
        <is>
          <t>24AA³, 12B⁵, 24V⁷, 24W⁷</t>
        </is>
      </c>
      <c r="M3182" t="inlineStr"/>
      <c r="N3182" t="inlineStr">
        <is>
          <t>12T¹, 2A⁰, 12C⁰, 12K¹, 12B⁵, 24AA³, 12D², 12F³, 4C⁰, 6C¹, 6G⁰, 12E², 12S¹, 2B⁰, 4E⁰, 12B², 12N¹, 4B⁰, 12G³, 1A⁰, 6B¹, 24N⁴, 6D⁰, 3C⁰, 6K⁰, 6A¹, 12B¹, 6H⁰, 3A⁰, 6F⁰, 8J⁰, 6E¹, 3B⁰, 6B⁰, 24V⁷, 12F¹, 6I⁰, 6F¹, 6C⁰, 12P¹, 24W⁷, 12L¹, 12G⁰, 12D³, 12C¹, 6E⁰, 6L⁰, 6D¹, 6A⁰, 6J⁰, 12E³, 12D⁰, 12H⁰, 12C², 3D⁰, 2C⁰, 12E⁰, 24G⁴</t>
        </is>
      </c>
      <c r="O3182" t="inlineStr"/>
    </row>
    <row r="3183">
      <c r="A3183">
        <f>HYPERLINK("https://mathstats.uncg.edu/sites/pauli/congruence/csg13.html#group24Q13", "24Q¹³")</f>
        <v/>
      </c>
      <c r="B3183" t="n">
        <v>13</v>
      </c>
      <c r="C3183" t="inlineStr"/>
      <c r="D3183" t="inlineStr">
        <is>
          <t>288</t>
        </is>
      </c>
      <c r="E3183" t="inlineStr">
        <is>
          <t>1</t>
        </is>
      </c>
      <c r="F3183" t="inlineStr">
        <is>
          <t>18</t>
        </is>
      </c>
      <c r="G3183" t="inlineStr">
        <is>
          <t>16</t>
        </is>
      </c>
      <c r="H3183" t="inlineStr">
        <is>
          <t>0</t>
        </is>
      </c>
      <c r="I3183" t="inlineStr">
        <is>
          <t>12⁸, 24⁸</t>
        </is>
      </c>
      <c r="J3183" t="n">
        <v>16</v>
      </c>
      <c r="K3183" t="inlineStr">
        <is>
          <t>2³, 4³</t>
        </is>
      </c>
      <c r="L3183" t="inlineStr">
        <is>
          <t>12C⁵, 24S⁵, 24T⁵</t>
        </is>
      </c>
      <c r="M3183" t="inlineStr"/>
      <c r="N3183" t="inlineStr">
        <is>
          <t>12T¹, 12D¹, 12C⁰, 4C⁰, 24I³, 6G⁰, 24M³, 2B⁰, 24C², 12N¹, 1A⁰, 12C⁵, 24H³, 24A⁰, 24S³, 24S⁵, 3C⁰, 6H⁰, 3A⁰, 24H¹, 12H³, 12U¹, 6B⁰, 24I¹, 24D¹, 8B⁰, 12L¹, 12G⁰, 12C¹, 6E⁰, 6L⁰, 24T⁵, 12D⁰, 12H⁰, 6D⁰</t>
        </is>
      </c>
      <c r="O3183" t="inlineStr"/>
    </row>
    <row r="3184">
      <c r="A3184">
        <f>HYPERLINK("https://mathstats.uncg.edu/sites/pauli/congruence/csg13.html#group24R13", "24R¹³")</f>
        <v/>
      </c>
      <c r="B3184" t="n">
        <v>13</v>
      </c>
      <c r="C3184" t="inlineStr"/>
      <c r="D3184" t="inlineStr">
        <is>
          <t>288</t>
        </is>
      </c>
      <c r="E3184" t="inlineStr">
        <is>
          <t>1</t>
        </is>
      </c>
      <c r="F3184" t="inlineStr">
        <is>
          <t>18</t>
        </is>
      </c>
      <c r="G3184" t="inlineStr">
        <is>
          <t>16</t>
        </is>
      </c>
      <c r="H3184" t="inlineStr">
        <is>
          <t>0</t>
        </is>
      </c>
      <c r="I3184" t="inlineStr">
        <is>
          <t>12⁸, 24⁸</t>
        </is>
      </c>
      <c r="J3184" t="n">
        <v>16</v>
      </c>
      <c r="K3184" t="inlineStr">
        <is>
          <t>1², 2⁴, 4²</t>
        </is>
      </c>
      <c r="L3184" t="inlineStr">
        <is>
          <t>12D⁵, 24S⁵, 24U⁵, 24V⁵, 24W⁵, 24O⁷, 24Q⁷, 24P⁷, 24R⁷, 24AE⁷, 24AD⁷</t>
        </is>
      </c>
      <c r="M3184" t="inlineStr"/>
      <c r="N3184" t="inlineStr">
        <is>
          <t>12T¹, 24O², 24E¹, 12C⁰, 24P⁴, 24P², 2B⁰, 12M¹, 1A⁰, 24W⁵, 24O³, 24R⁷, 24AE⁷, 24S³, 3C⁰, 12Q¹, 6H⁰, 24H¹, 24AD⁷, 12G¹, 8D⁰, 8B⁰, 12F⁰, 12L¹, 12J³, 12G⁰, 12C¹, 12I³, 24K⁴, 24C¹, 12J¹, 4F⁰, 6D⁰, 24Q³, 12I², 4C⁰, 24I³, 6G⁰, 24P³, 24C², 12N¹, 12H², 24V⁵, 24H³, 24A⁰, 24N³, 24U⁵, 24S⁵, 24T³, 3A⁰, 24P⁷, 6B⁰, 24O⁷, 24N², 24D¹, 12D⁵, 24L², 24Q⁷, 8H⁰, 12A⁰, 6E⁰, 6L⁰, 4A⁰, 12D⁰, 12H⁰, 24L⁴</t>
        </is>
      </c>
      <c r="O3184" t="inlineStr"/>
    </row>
    <row r="3185">
      <c r="A3185">
        <f>HYPERLINK("https://mathstats.uncg.edu/sites/pauli/congruence/csg13.html#group24S13", "24S¹³")</f>
        <v/>
      </c>
      <c r="B3185" t="n">
        <v>13</v>
      </c>
      <c r="C3185" t="inlineStr"/>
      <c r="D3185" t="inlineStr">
        <is>
          <t>288</t>
        </is>
      </c>
      <c r="E3185" t="inlineStr">
        <is>
          <t>1</t>
        </is>
      </c>
      <c r="F3185" t="inlineStr">
        <is>
          <t>18</t>
        </is>
      </c>
      <c r="G3185" t="inlineStr">
        <is>
          <t>16</t>
        </is>
      </c>
      <c r="H3185" t="inlineStr">
        <is>
          <t>0</t>
        </is>
      </c>
      <c r="I3185" t="inlineStr">
        <is>
          <t>12⁸, 24⁸</t>
        </is>
      </c>
      <c r="J3185" t="n">
        <v>16</v>
      </c>
      <c r="K3185" t="inlineStr">
        <is>
          <t>2⁷, 4¹</t>
        </is>
      </c>
      <c r="L3185" t="inlineStr">
        <is>
          <t>12P³, 24S⁵, 24S⁷</t>
        </is>
      </c>
      <c r="M3185" t="inlineStr"/>
      <c r="N3185" t="inlineStr">
        <is>
          <t>12T¹, 24Q⁴, 6B⁰, 12C⁰, 4C⁰, 24D¹, 24I³, 6G⁰, 8B⁰, 2B⁰, 24C², 12N¹, 12H⁰, 1A⁰, 12L¹, 12G⁰, 12C¹, 24H³, 6E⁰, 6L⁰, 24S³, 12P³, 24A⁰, 24S⁵, 3C⁰, 12D⁰, 6H⁰, 3A⁰, 24H¹, 6D⁰, 24S⁷</t>
        </is>
      </c>
      <c r="O3185" t="inlineStr"/>
    </row>
    <row r="3186">
      <c r="A3186">
        <f>HYPERLINK("https://mathstats.uncg.edu/sites/pauli/congruence/csg13.html#group24T13", "24T¹³")</f>
        <v/>
      </c>
      <c r="B3186" t="n">
        <v>13</v>
      </c>
      <c r="C3186" t="inlineStr"/>
      <c r="D3186" t="inlineStr">
        <is>
          <t>288</t>
        </is>
      </c>
      <c r="E3186" t="inlineStr">
        <is>
          <t>1</t>
        </is>
      </c>
      <c r="F3186" t="inlineStr">
        <is>
          <t>36</t>
        </is>
      </c>
      <c r="G3186" t="inlineStr">
        <is>
          <t>8</t>
        </is>
      </c>
      <c r="H3186" t="inlineStr">
        <is>
          <t>0</t>
        </is>
      </c>
      <c r="I3186" t="inlineStr">
        <is>
          <t>12¹⁶, 24⁴</t>
        </is>
      </c>
      <c r="J3186" t="n">
        <v>20</v>
      </c>
      <c r="K3186" t="inlineStr">
        <is>
          <t>2², 4⁴, 8²</t>
        </is>
      </c>
      <c r="L3186" t="inlineStr">
        <is>
          <t>12D⁵, 24J⁶</t>
        </is>
      </c>
      <c r="M3186" t="inlineStr"/>
      <c r="N3186" t="inlineStr">
        <is>
          <t>12T¹, 12I², 12C⁰, 4C⁰, 6G⁰, 2B⁰, 12M¹, 12N¹, 1A⁰, 12H², 12Q¹, 3C⁰, 6H⁰, 3A⁰, 12G¹, 6B⁰, 12F⁰, 12D⁵, 24J⁶, 12L¹, 12J³, 12G⁰, 12A⁰, 12C¹, 12I³, 6E⁰, 6L⁰, 4A⁰, 12J¹, 12D⁰, 4F⁰, 12H⁰, 6D⁰</t>
        </is>
      </c>
      <c r="O3186" t="inlineStr"/>
    </row>
    <row r="3187">
      <c r="A3187">
        <f>HYPERLINK("https://mathstats.uncg.edu/sites/pauli/congruence/csg13.html#group24U13", "24U¹³")</f>
        <v/>
      </c>
      <c r="B3187" t="n">
        <v>13</v>
      </c>
      <c r="C3187" t="inlineStr"/>
      <c r="D3187" t="inlineStr">
        <is>
          <t>288</t>
        </is>
      </c>
      <c r="E3187" t="inlineStr">
        <is>
          <t>1</t>
        </is>
      </c>
      <c r="F3187" t="inlineStr">
        <is>
          <t>36</t>
        </is>
      </c>
      <c r="G3187" t="inlineStr">
        <is>
          <t>8</t>
        </is>
      </c>
      <c r="H3187" t="inlineStr">
        <is>
          <t>0</t>
        </is>
      </c>
      <c r="I3187" t="inlineStr">
        <is>
          <t>12¹⁶, 24⁴</t>
        </is>
      </c>
      <c r="J3187" t="n">
        <v>20</v>
      </c>
      <c r="K3187" t="inlineStr">
        <is>
          <t>2², 4⁴, 8²</t>
        </is>
      </c>
      <c r="L3187" t="inlineStr">
        <is>
          <t>12D⁵, 24E⁶, 24F⁶, 24X⁷, 24Y⁷</t>
        </is>
      </c>
      <c r="M3187" t="inlineStr"/>
      <c r="N3187" t="inlineStr">
        <is>
          <t>12T¹, 12I², 12C⁰, 4C⁰, 24X⁷, 24F⁶, 6G⁰, 12M¹, 2B⁰, 12N¹, 1A⁰, 8K⁰, 12H², 3C⁰, 12Q¹, 24R³, 6H⁰, 3A⁰, 12G¹, 6B⁰, 24E⁶, 12F⁰, 12D⁵, 12L¹, 12J³, 24J³, 12G⁰, 12A⁰, 12C¹, 12I³, 6E⁰, 4A⁰, 6L⁰, 12J¹, 12D⁰, 4F⁰, 12H⁰, 24Y⁷, 6D⁰</t>
        </is>
      </c>
      <c r="O3187" t="inlineStr"/>
    </row>
    <row r="3188">
      <c r="A3188">
        <f>HYPERLINK("https://mathstats.uncg.edu/sites/pauli/congruence/csg13.html#group24V13", "24V¹³")</f>
        <v/>
      </c>
      <c r="B3188" t="n">
        <v>13</v>
      </c>
      <c r="C3188" t="inlineStr"/>
      <c r="D3188" t="inlineStr">
        <is>
          <t>288</t>
        </is>
      </c>
      <c r="E3188" t="inlineStr">
        <is>
          <t>1</t>
        </is>
      </c>
      <c r="F3188" t="inlineStr">
        <is>
          <t>36</t>
        </is>
      </c>
      <c r="G3188" t="inlineStr">
        <is>
          <t>16</t>
        </is>
      </c>
      <c r="H3188" t="inlineStr">
        <is>
          <t>0</t>
        </is>
      </c>
      <c r="I3188" t="inlineStr">
        <is>
          <t>12⁸, 24⁸</t>
        </is>
      </c>
      <c r="J3188" t="n">
        <v>16</v>
      </c>
      <c r="K3188" t="inlineStr">
        <is>
          <t>2², 4⁸</t>
        </is>
      </c>
      <c r="L3188" t="inlineStr">
        <is>
          <t>24W⁵, 24X⁵, 24G⁶, 24H⁶, 24I⁶</t>
        </is>
      </c>
      <c r="M3188" t="inlineStr"/>
      <c r="N3188" t="inlineStr">
        <is>
          <t>24X⁵, 12I², 24E¹, 24O², 24Q³, 12C⁰, 4C⁰, 24Q², 24P², 2B⁰, 12M¹, 24P³, 1A⁰, 24W⁵, 24A⁰, 24H⁶, 6H⁰, 3A⁰, 24H¹, 24I⁶, 6B⁰, 8D⁰, 24D¹, 8B⁰, 12F⁰, 24L², 8H⁰, 24G⁶, 12A⁰, 4A⁰, 24C¹, 12J¹, 12D⁰, 4F⁰, 12H⁰, 6D⁰</t>
        </is>
      </c>
      <c r="O3188" t="inlineStr"/>
    </row>
    <row r="3189">
      <c r="A3189">
        <f>HYPERLINK("https://mathstats.uncg.edu/sites/pauli/congruence/csg13.html#group24W13", "24W¹³")</f>
        <v/>
      </c>
      <c r="B3189" t="n">
        <v>13</v>
      </c>
      <c r="C3189" t="inlineStr"/>
      <c r="D3189" t="inlineStr">
        <is>
          <t>288</t>
        </is>
      </c>
      <c r="E3189" t="inlineStr">
        <is>
          <t>1</t>
        </is>
      </c>
      <c r="F3189" t="inlineStr">
        <is>
          <t>36</t>
        </is>
      </c>
      <c r="G3189" t="inlineStr">
        <is>
          <t>16</t>
        </is>
      </c>
      <c r="H3189" t="inlineStr">
        <is>
          <t>0</t>
        </is>
      </c>
      <c r="I3189" t="inlineStr">
        <is>
          <t>12⁸, 24⁸</t>
        </is>
      </c>
      <c r="J3189" t="n">
        <v>16</v>
      </c>
      <c r="K3189" t="inlineStr">
        <is>
          <t>2⁸, 4³, 8¹</t>
        </is>
      </c>
      <c r="L3189" t="inlineStr">
        <is>
          <t>24S⁵</t>
        </is>
      </c>
      <c r="M3189" t="inlineStr"/>
      <c r="N3189" t="inlineStr">
        <is>
          <t>12T¹, 6B⁰, 12C⁰, 4C⁰, 24D¹, 24I³, 6G⁰, 8B⁰, 2B⁰, 24C², 12N¹, 12H⁰, 1A⁰, 12L¹, 12G⁰, 12C¹, 24H³, 6E⁰, 6L⁰, 24S³, 24A⁰, 24S⁵, 3C⁰, 12D⁰, 6H⁰, 3A⁰, 24H¹, 6D⁰</t>
        </is>
      </c>
      <c r="O3189" t="inlineStr"/>
    </row>
    <row r="3190">
      <c r="A3190">
        <f>HYPERLINK("https://mathstats.uncg.edu/sites/pauli/congruence/csg13.html#group24X13", "24X¹³")</f>
        <v/>
      </c>
      <c r="B3190" t="n">
        <v>13</v>
      </c>
      <c r="C3190" t="inlineStr"/>
      <c r="D3190" t="inlineStr">
        <is>
          <t>288</t>
        </is>
      </c>
      <c r="E3190" t="inlineStr">
        <is>
          <t>1</t>
        </is>
      </c>
      <c r="F3190" t="inlineStr">
        <is>
          <t>36</t>
        </is>
      </c>
      <c r="G3190" t="inlineStr">
        <is>
          <t>16</t>
        </is>
      </c>
      <c r="H3190" t="inlineStr">
        <is>
          <t>0</t>
        </is>
      </c>
      <c r="I3190" t="inlineStr">
        <is>
          <t>12⁸, 24⁸</t>
        </is>
      </c>
      <c r="J3190" t="n">
        <v>16</v>
      </c>
      <c r="K3190" t="inlineStr">
        <is>
          <t>2⁶, 4⁶</t>
        </is>
      </c>
      <c r="L3190" t="inlineStr">
        <is>
          <t>24W⁵, 24Y⁵, 24D⁶, 24G⁶, 24K⁶</t>
        </is>
      </c>
      <c r="M3190" t="inlineStr"/>
      <c r="N3190" t="inlineStr">
        <is>
          <t>12I², 24E¹, 24O², 24D⁶, 24Q³, 12C⁰, 4C⁰, 24Q², 8L⁰, 2B⁰, 24P², 12M¹, 24P³, 1A⁰, 24W⁵, 24A⁰, 24K⁶, 6H⁰, 3A⁰, 24H¹, 8P⁰, 6B⁰, 8D⁰, 24D¹, 8B⁰, 12F⁰, 24Y⁵, 24L², 8H⁰, 24G⁶, 12A⁰, 4A⁰, 24M², 24C¹, 12J¹, 12D⁰, 4F⁰, 12H⁰, 6D⁰</t>
        </is>
      </c>
      <c r="O3190" t="inlineStr"/>
    </row>
    <row r="3191">
      <c r="A3191">
        <f>HYPERLINK("https://mathstats.uncg.edu/sites/pauli/congruence/csg13.html#group24Y13", "24Y¹³")</f>
        <v/>
      </c>
      <c r="B3191" t="n">
        <v>13</v>
      </c>
      <c r="C3191" t="inlineStr"/>
      <c r="D3191" t="inlineStr">
        <is>
          <t>288</t>
        </is>
      </c>
      <c r="E3191" t="inlineStr">
        <is>
          <t>1</t>
        </is>
      </c>
      <c r="F3191" t="inlineStr">
        <is>
          <t>36</t>
        </is>
      </c>
      <c r="G3191" t="inlineStr">
        <is>
          <t>16</t>
        </is>
      </c>
      <c r="H3191" t="inlineStr">
        <is>
          <t>0</t>
        </is>
      </c>
      <c r="I3191" t="inlineStr">
        <is>
          <t>12⁸, 24⁸</t>
        </is>
      </c>
      <c r="J3191" t="n">
        <v>16</v>
      </c>
      <c r="K3191" t="inlineStr">
        <is>
          <t>1⁴, 2⁶, 4³, 8¹</t>
        </is>
      </c>
      <c r="L3191" t="inlineStr">
        <is>
          <t>24S⁵, 24X⁵, 24Y⁵, 24Z⁷, 24AA⁷</t>
        </is>
      </c>
      <c r="M3191" t="inlineStr"/>
      <c r="N3191" t="inlineStr">
        <is>
          <t>24X⁵, 12T¹, 12C⁰, 24AA⁷, 4C⁰, 24I³, 6G⁰, 24Q², 8L⁰, 2B⁰, 24C², 12N¹, 1A⁰, 24H³, 24A⁰, 24S³, 24S⁵, 3C⁰, 6H⁰, 3A⁰, 24H¹, 6B⁰, 24Z⁷, 24D¹, 8B⁰, 24Y⁵, 12L¹, 12G⁰, 12C¹, 6E⁰, 6L⁰, 24M², 12D⁰, 12H⁰, 6D⁰</t>
        </is>
      </c>
      <c r="O3191" t="inlineStr"/>
    </row>
    <row r="3192">
      <c r="A3192">
        <f>HYPERLINK("https://mathstats.uncg.edu/sites/pauli/congruence/csg13.html#group24Z13", "24Z¹³")</f>
        <v/>
      </c>
      <c r="B3192" t="n">
        <v>13</v>
      </c>
      <c r="C3192" t="inlineStr"/>
      <c r="D3192" t="inlineStr">
        <is>
          <t>288</t>
        </is>
      </c>
      <c r="E3192" t="inlineStr">
        <is>
          <t>1</t>
        </is>
      </c>
      <c r="F3192" t="inlineStr">
        <is>
          <t>36</t>
        </is>
      </c>
      <c r="G3192" t="inlineStr">
        <is>
          <t>16</t>
        </is>
      </c>
      <c r="H3192" t="inlineStr">
        <is>
          <t>0</t>
        </is>
      </c>
      <c r="I3192" t="inlineStr">
        <is>
          <t>12⁸, 24⁸</t>
        </is>
      </c>
      <c r="J3192" t="n">
        <v>16</v>
      </c>
      <c r="K3192" t="inlineStr">
        <is>
          <t>2⁴, 4¹⁰, 8³</t>
        </is>
      </c>
      <c r="L3192" t="inlineStr">
        <is>
          <t>24V⁵, 24X⁵, 24Y⁵, 24H⁶, 24K⁶</t>
        </is>
      </c>
      <c r="M3192" t="inlineStr"/>
      <c r="N3192" t="inlineStr">
        <is>
          <t>24X⁵, 24E¹, 6B⁰, 12C⁰, 3A⁰, 24N², 4C⁰, 24D¹, 8B⁰, 24Q², 24P², 24Y⁵, 2B⁰, 12M¹, 8L⁰, 1A⁰, 12H², 24V⁵, 24A⁰, 24M², 24H⁶, 24T³, 24K⁶, 12D⁰, 6H⁰, 12H⁰, 24H¹, 6D⁰</t>
        </is>
      </c>
      <c r="O3192" t="inlineStr"/>
    </row>
    <row r="3193">
      <c r="A3193">
        <f>HYPERLINK("https://mathstats.uncg.edu/sites/pauli/congruence/csg13.html#group24AA13", "24AA¹³")</f>
        <v/>
      </c>
      <c r="B3193" t="n">
        <v>13</v>
      </c>
      <c r="C3193" t="inlineStr"/>
      <c r="D3193" t="inlineStr">
        <is>
          <t>288</t>
        </is>
      </c>
      <c r="E3193" t="inlineStr">
        <is>
          <t>1</t>
        </is>
      </c>
      <c r="F3193" t="inlineStr">
        <is>
          <t>36</t>
        </is>
      </c>
      <c r="G3193" t="inlineStr">
        <is>
          <t>16</t>
        </is>
      </c>
      <c r="H3193" t="inlineStr">
        <is>
          <t>0</t>
        </is>
      </c>
      <c r="I3193" t="inlineStr">
        <is>
          <t>12⁸, 24⁸</t>
        </is>
      </c>
      <c r="J3193" t="n">
        <v>16</v>
      </c>
      <c r="K3193" t="inlineStr">
        <is>
          <t>2⁴, 4¹⁰, 8³</t>
        </is>
      </c>
      <c r="L3193" t="inlineStr">
        <is>
          <t>24V⁵, 24X⁵, 24Y⁵, 24I⁶, 24K⁶</t>
        </is>
      </c>
      <c r="M3193" t="inlineStr"/>
      <c r="N3193" t="inlineStr">
        <is>
          <t>24X⁵, 24E¹, 24I⁶, 6B⁰, 12C⁰, 3A⁰, 24N², 4C⁰, 24D¹, 8B⁰, 24Q², 24P², 24Y⁵, 2B⁰, 12M¹, 8L⁰, 1A⁰, 12H², 24V⁵, 24A⁰, 24M², 24T³, 24K⁶, 12D⁰, 6H⁰, 12H⁰, 24H¹, 6D⁰</t>
        </is>
      </c>
      <c r="O3193" t="inlineStr"/>
    </row>
    <row r="3194">
      <c r="A3194">
        <f>HYPERLINK("https://mathstats.uncg.edu/sites/pauli/congruence/csg13.html#group24AB13", "24AB¹³")</f>
        <v/>
      </c>
      <c r="B3194" t="n">
        <v>13</v>
      </c>
      <c r="C3194" t="inlineStr"/>
      <c r="D3194" t="inlineStr">
        <is>
          <t>384</t>
        </is>
      </c>
      <c r="E3194" t="inlineStr">
        <is>
          <t>1</t>
        </is>
      </c>
      <c r="F3194" t="inlineStr">
        <is>
          <t>12</t>
        </is>
      </c>
      <c r="G3194" t="inlineStr">
        <is>
          <t>0</t>
        </is>
      </c>
      <c r="H3194" t="inlineStr">
        <is>
          <t>0</t>
        </is>
      </c>
      <c r="I3194" t="inlineStr">
        <is>
          <t>4¹⁶, 8⁴, 12¹⁶, 24⁴</t>
        </is>
      </c>
      <c r="J3194" t="n">
        <v>40</v>
      </c>
      <c r="K3194" t="inlineStr">
        <is>
          <t>1⁶, 2³</t>
        </is>
      </c>
      <c r="L3194" t="inlineStr">
        <is>
          <t>12E⁵, 24AB⁵, 24AF⁷, 24AG⁷, 24AL⁷</t>
        </is>
      </c>
      <c r="M3194" t="inlineStr"/>
      <c r="N3194" t="inlineStr">
        <is>
          <t>2A⁰, 24AA³, 4C⁰, 12I⁰, 12J⁰, 4G⁰, 2B⁰, 4E⁰, 4B⁰, 1A⁰, 12E⁵, 8K⁰, 12F², 4D⁰, 12A¹, 12L³, 12R¹, 6F⁰, 3B⁰, 8N⁰, 24AF⁷, 12I¹, 24Z³, 12V¹, 12F¹, 6I⁰, 6C⁰, 24AG⁷, 24AB⁵, 12P¹, 24AL⁷, 4A⁰, 24R⁴, 12G², 12K³, 4F⁰, 8J⁰, 2C⁰, 12E⁰, 12B⁰</t>
        </is>
      </c>
      <c r="O3194" t="inlineStr"/>
    </row>
    <row r="3195">
      <c r="A3195">
        <f>HYPERLINK("https://mathstats.uncg.edu/sites/pauli/congruence/csg13.html#group24AC13", "24AC¹³")</f>
        <v/>
      </c>
      <c r="B3195" t="n">
        <v>13</v>
      </c>
      <c r="C3195" t="inlineStr"/>
      <c r="D3195" t="inlineStr">
        <is>
          <t>384</t>
        </is>
      </c>
      <c r="E3195" t="inlineStr">
        <is>
          <t>1</t>
        </is>
      </c>
      <c r="F3195" t="inlineStr">
        <is>
          <t>24</t>
        </is>
      </c>
      <c r="G3195" t="inlineStr">
        <is>
          <t>0</t>
        </is>
      </c>
      <c r="H3195" t="inlineStr">
        <is>
          <t>0</t>
        </is>
      </c>
      <c r="I3195" t="inlineStr">
        <is>
          <t>2⁸, 4⁴, 6⁸, 8⁸, 12⁴, 24⁸</t>
        </is>
      </c>
      <c r="J3195" t="n">
        <v>40</v>
      </c>
      <c r="K3195" t="inlineStr">
        <is>
          <t>1⁸, 2⁶, 4¹</t>
        </is>
      </c>
      <c r="L3195" t="inlineStr">
        <is>
          <t>24Z⁵, 24AA⁵, 24AB⁵, 24AH⁷, 24AI⁷, 24AJ⁷, 24AK⁷</t>
        </is>
      </c>
      <c r="M3195" t="inlineStr"/>
      <c r="N3195" t="inlineStr">
        <is>
          <t>2A⁰, 24AK⁷, 24V³, 24AA³, 24AA⁵, 24G¹, 4C⁰, 12I⁰, 12J⁰, 24AH⁷, 2B⁰, 8C⁰, 4E⁰, 4B⁰, 1A⁰, 24Z⁵, 24J¹, 24U³, 8G⁰, 12E⁰, 6F⁰, 24F², 3B⁰, 24Z³, 12V¹, 8D⁰, 6I⁰, 12F¹, 6C⁰, 24AB⁵, 8I⁰, 12P¹, 24X³, 24I², 24B⁰, 24W³, 24Y³, 24AJ⁷, 8J⁰, 2C⁰, 24AI⁷, 8O⁰</t>
        </is>
      </c>
      <c r="O3195" t="inlineStr"/>
    </row>
    <row r="3196">
      <c r="A3196">
        <f>HYPERLINK("https://mathstats.uncg.edu/sites/pauli/congruence/csg13.html#group26A13", "26A¹³")</f>
        <v/>
      </c>
      <c r="B3196" t="n">
        <v>13</v>
      </c>
      <c r="C3196" t="inlineStr"/>
      <c r="D3196" t="inlineStr">
        <is>
          <t>234</t>
        </is>
      </c>
      <c r="E3196" t="inlineStr">
        <is>
          <t>1</t>
        </is>
      </c>
      <c r="F3196" t="inlineStr">
        <is>
          <t>234</t>
        </is>
      </c>
      <c r="G3196" t="inlineStr">
        <is>
          <t>6</t>
        </is>
      </c>
      <c r="H3196" t="inlineStr">
        <is>
          <t>0</t>
        </is>
      </c>
      <c r="I3196" t="inlineStr">
        <is>
          <t>13⁶, 26⁶</t>
        </is>
      </c>
      <c r="J3196" t="n">
        <v>12</v>
      </c>
      <c r="K3196" t="inlineStr">
        <is>
          <t>6³, 12¹⁸</t>
        </is>
      </c>
      <c r="L3196" t="inlineStr">
        <is>
          <t>2B⁰, 13A³</t>
        </is>
      </c>
      <c r="M3196" t="inlineStr"/>
      <c r="N3196" t="inlineStr">
        <is>
          <t>13A³, 1A⁰, 2B⁰</t>
        </is>
      </c>
      <c r="O3196" t="inlineStr"/>
    </row>
    <row r="3197">
      <c r="A3197">
        <f>HYPERLINK("https://mathstats.uncg.edu/sites/pauli/congruence/csg13.html#group26B13", "26B¹³")</f>
        <v/>
      </c>
      <c r="B3197" t="n">
        <v>13</v>
      </c>
      <c r="C3197" t="inlineStr"/>
      <c r="D3197" t="inlineStr">
        <is>
          <t>252</t>
        </is>
      </c>
      <c r="E3197" t="inlineStr">
        <is>
          <t>1</t>
        </is>
      </c>
      <c r="F3197" t="inlineStr">
        <is>
          <t>14</t>
        </is>
      </c>
      <c r="G3197" t="inlineStr">
        <is>
          <t>0</t>
        </is>
      </c>
      <c r="H3197" t="inlineStr">
        <is>
          <t>0</t>
        </is>
      </c>
      <c r="I3197" t="inlineStr">
        <is>
          <t>2⁹, 26⁹</t>
        </is>
      </c>
      <c r="J3197" t="n">
        <v>18</v>
      </c>
      <c r="K3197" t="inlineStr">
        <is>
          <t>1², 12¹</t>
        </is>
      </c>
      <c r="L3197" t="inlineStr">
        <is>
          <t>26A³, 26C⁴, 26A⁵, 26B⁵</t>
        </is>
      </c>
      <c r="M3197" t="inlineStr"/>
      <c r="N3197" t="inlineStr">
        <is>
          <t>26B⁵, 2A⁰, 26A⁵, 26A¹, 13A⁰, 26C⁴, 26A³, 2B⁰, 13C⁰, 1A⁰, 2C⁰, 26A²</t>
        </is>
      </c>
      <c r="O3197" t="inlineStr"/>
    </row>
    <row r="3198">
      <c r="A3198">
        <f>HYPERLINK("https://mathstats.uncg.edu/sites/pauli/congruence/csg13.html#group27A13", "27A¹³")</f>
        <v/>
      </c>
      <c r="B3198" t="n">
        <v>13</v>
      </c>
      <c r="C3198" t="inlineStr"/>
      <c r="D3198" t="inlineStr">
        <is>
          <t>243</t>
        </is>
      </c>
      <c r="E3198" t="inlineStr">
        <is>
          <t>1</t>
        </is>
      </c>
      <c r="F3198" t="inlineStr">
        <is>
          <t>243</t>
        </is>
      </c>
      <c r="G3198" t="inlineStr">
        <is>
          <t>15</t>
        </is>
      </c>
      <c r="H3198" t="inlineStr">
        <is>
          <t>0</t>
        </is>
      </c>
      <c r="I3198" t="inlineStr">
        <is>
          <t>27⁹</t>
        </is>
      </c>
      <c r="J3198" t="n">
        <v>9</v>
      </c>
      <c r="K3198" t="inlineStr">
        <is>
          <t>3¹, 6¹³, 18⁹</t>
        </is>
      </c>
      <c r="L3198" t="inlineStr">
        <is>
          <t>9G¹, 27B³</t>
        </is>
      </c>
      <c r="M3198" t="inlineStr"/>
      <c r="N3198" t="inlineStr">
        <is>
          <t>9G⁰, 9A⁰, 27B³, 9G¹, 3A⁰, 9F⁰, 1A⁰</t>
        </is>
      </c>
      <c r="O3198" t="inlineStr"/>
    </row>
    <row r="3199">
      <c r="A3199">
        <f>HYPERLINK("https://mathstats.uncg.edu/sites/pauli/congruence/csg13.html#group27B13", "27B¹³")</f>
        <v/>
      </c>
      <c r="B3199" t="n">
        <v>13</v>
      </c>
      <c r="C3199" t="inlineStr">
        <is>
          <t>Γ₁(27)</t>
        </is>
      </c>
      <c r="D3199" t="inlineStr">
        <is>
          <t>324</t>
        </is>
      </c>
      <c r="E3199" t="inlineStr">
        <is>
          <t>1</t>
        </is>
      </c>
      <c r="F3199" t="inlineStr">
        <is>
          <t>36</t>
        </is>
      </c>
      <c r="G3199" t="inlineStr">
        <is>
          <t>0</t>
        </is>
      </c>
      <c r="H3199" t="inlineStr">
        <is>
          <t>0</t>
        </is>
      </c>
      <c r="I3199" t="inlineStr">
        <is>
          <t>1⁹, 3⁶, 9⁶, 27⁹</t>
        </is>
      </c>
      <c r="J3199" t="n">
        <v>30</v>
      </c>
      <c r="K3199" t="inlineStr">
        <is>
          <t>1², 2², 6², 18¹</t>
        </is>
      </c>
      <c r="L3199" t="inlineStr">
        <is>
          <t>27C¹</t>
        </is>
      </c>
      <c r="M3199" t="inlineStr"/>
      <c r="N3199" t="inlineStr">
        <is>
          <t>9I⁰, 27A⁰, 3B⁰, 9B⁰, 27A¹, 27C¹, 1A⁰</t>
        </is>
      </c>
      <c r="O3199" t="inlineStr"/>
    </row>
    <row r="3200">
      <c r="A3200">
        <f>HYPERLINK("https://mathstats.uncg.edu/sites/pauli/congruence/csg13.html#group27C13", "27C¹³")</f>
        <v/>
      </c>
      <c r="B3200" t="n">
        <v>13</v>
      </c>
      <c r="C3200" t="inlineStr"/>
      <c r="D3200" t="inlineStr">
        <is>
          <t>324</t>
        </is>
      </c>
      <c r="E3200" t="inlineStr">
        <is>
          <t>1</t>
        </is>
      </c>
      <c r="F3200" t="inlineStr">
        <is>
          <t>36</t>
        </is>
      </c>
      <c r="G3200" t="inlineStr">
        <is>
          <t>0</t>
        </is>
      </c>
      <c r="H3200" t="inlineStr">
        <is>
          <t>0</t>
        </is>
      </c>
      <c r="I3200" t="inlineStr">
        <is>
          <t>3⁹, 9¹⁵, 27⁶</t>
        </is>
      </c>
      <c r="J3200" t="n">
        <v>30</v>
      </c>
      <c r="K3200" t="inlineStr">
        <is>
          <t>1², 2⁸, 6³</t>
        </is>
      </c>
      <c r="L3200" t="inlineStr">
        <is>
          <t>9H¹</t>
        </is>
      </c>
      <c r="M3200" t="inlineStr"/>
      <c r="N3200" t="inlineStr">
        <is>
          <t>3B⁰, 9J⁰, 9A¹, 9H¹, 9I⁰, 9B⁰, 9C¹, 3C⁰, 9H⁰, 9C⁰, 9E⁰, 3A⁰, 9D¹, 1A⁰, 3D⁰</t>
        </is>
      </c>
      <c r="O3200" t="inlineStr"/>
    </row>
    <row r="3201">
      <c r="A3201">
        <f>HYPERLINK("https://mathstats.uncg.edu/sites/pauli/congruence/csg13.html#group28A13", "28A¹³")</f>
        <v/>
      </c>
      <c r="B3201" t="n">
        <v>13</v>
      </c>
      <c r="C3201" t="inlineStr"/>
      <c r="D3201" t="inlineStr">
        <is>
          <t>224</t>
        </is>
      </c>
      <c r="E3201" t="inlineStr">
        <is>
          <t>1</t>
        </is>
      </c>
      <c r="F3201" t="inlineStr">
        <is>
          <t>28</t>
        </is>
      </c>
      <c r="G3201" t="inlineStr">
        <is>
          <t>0</t>
        </is>
      </c>
      <c r="H3201" t="inlineStr">
        <is>
          <t>8</t>
        </is>
      </c>
      <c r="I3201" t="inlineStr">
        <is>
          <t>28⁸</t>
        </is>
      </c>
      <c r="J3201" t="n">
        <v>8</v>
      </c>
      <c r="K3201" t="inlineStr">
        <is>
          <t>1¹, 3¹, 6⁴</t>
        </is>
      </c>
      <c r="L3201" t="inlineStr">
        <is>
          <t>28A⁰, 14E⁵, 28F⁵, 28G⁵</t>
        </is>
      </c>
      <c r="M3201" t="inlineStr"/>
      <c r="N3201" t="inlineStr">
        <is>
          <t>28F⁵, 2A⁰, 14A⁰, 28A⁰, 28G⁵, 14A¹, 14G¹, 1A⁰, 14D¹, 14E⁵, 7B⁰, 7C⁰, 14C³, 14B⁰, 7F⁰, 7B¹, 7A⁰</t>
        </is>
      </c>
      <c r="O3201" t="inlineStr"/>
    </row>
    <row r="3202">
      <c r="A3202">
        <f>HYPERLINK("https://mathstats.uncg.edu/sites/pauli/congruence/csg13.html#group28B13", "28B¹³")</f>
        <v/>
      </c>
      <c r="B3202" t="n">
        <v>13</v>
      </c>
      <c r="C3202" t="inlineStr"/>
      <c r="D3202" t="inlineStr">
        <is>
          <t>252</t>
        </is>
      </c>
      <c r="E3202" t="inlineStr">
        <is>
          <t>1</t>
        </is>
      </c>
      <c r="F3202" t="inlineStr">
        <is>
          <t>63</t>
        </is>
      </c>
      <c r="G3202" t="inlineStr">
        <is>
          <t>0</t>
        </is>
      </c>
      <c r="H3202" t="inlineStr">
        <is>
          <t>0</t>
        </is>
      </c>
      <c r="I3202" t="inlineStr">
        <is>
          <t>7¹², 28⁶</t>
        </is>
      </c>
      <c r="J3202" t="n">
        <v>18</v>
      </c>
      <c r="K3202" t="inlineStr">
        <is>
          <t>3³, 6⁹</t>
        </is>
      </c>
      <c r="L3202" t="inlineStr">
        <is>
          <t>14F⁵, 28J⁶</t>
        </is>
      </c>
      <c r="M3202" t="inlineStr"/>
      <c r="N3202" t="inlineStr">
        <is>
          <t>28J⁶, 7D⁰, 14B¹, 7A¹, 14F², 2B⁰, 14F⁵, 1A⁰, 28B², 7A⁰</t>
        </is>
      </c>
      <c r="O3202" t="inlineStr"/>
    </row>
    <row r="3203">
      <c r="A3203">
        <f>HYPERLINK("https://mathstats.uncg.edu/sites/pauli/congruence/csg13.html#group28C13", "28C¹³")</f>
        <v/>
      </c>
      <c r="B3203" t="n">
        <v>13</v>
      </c>
      <c r="C3203" t="inlineStr"/>
      <c r="D3203" t="inlineStr">
        <is>
          <t>252</t>
        </is>
      </c>
      <c r="E3203" t="inlineStr">
        <is>
          <t>1</t>
        </is>
      </c>
      <c r="F3203" t="inlineStr">
        <is>
          <t>63</t>
        </is>
      </c>
      <c r="G3203" t="inlineStr">
        <is>
          <t>0</t>
        </is>
      </c>
      <c r="H3203" t="inlineStr">
        <is>
          <t>0</t>
        </is>
      </c>
      <c r="I3203" t="inlineStr">
        <is>
          <t>7¹², 28⁶</t>
        </is>
      </c>
      <c r="J3203" t="n">
        <v>18</v>
      </c>
      <c r="K3203" t="inlineStr">
        <is>
          <t>3³, 6⁹</t>
        </is>
      </c>
      <c r="L3203" t="inlineStr">
        <is>
          <t>14F⁵, 28H⁵, 28B⁷</t>
        </is>
      </c>
      <c r="M3203" t="inlineStr"/>
      <c r="N3203" t="inlineStr">
        <is>
          <t>7D⁰, 14B¹, 4B⁰, 28H⁵, 7A¹, 28B⁷, 14F², 2B⁰, 28A³, 14F⁵, 1A⁰, 7A⁰</t>
        </is>
      </c>
      <c r="O3203" t="inlineStr"/>
    </row>
    <row r="3204">
      <c r="A3204">
        <f>HYPERLINK("https://mathstats.uncg.edu/sites/pauli/congruence/csg13.html#group28D13", "28D¹³")</f>
        <v/>
      </c>
      <c r="B3204" t="n">
        <v>13</v>
      </c>
      <c r="C3204" t="inlineStr"/>
      <c r="D3204" t="inlineStr">
        <is>
          <t>252</t>
        </is>
      </c>
      <c r="E3204" t="inlineStr">
        <is>
          <t>2</t>
        </is>
      </c>
      <c r="F3204" t="inlineStr">
        <is>
          <t>21</t>
        </is>
      </c>
      <c r="G3204" t="inlineStr">
        <is>
          <t>0</t>
        </is>
      </c>
      <c r="H3204" t="inlineStr">
        <is>
          <t>0</t>
        </is>
      </c>
      <c r="I3204" t="inlineStr">
        <is>
          <t>7¹², 28⁶</t>
        </is>
      </c>
      <c r="J3204" t="n">
        <v>18</v>
      </c>
      <c r="K3204" t="inlineStr">
        <is>
          <t>2³, 6⁶</t>
        </is>
      </c>
      <c r="L3204" t="inlineStr">
        <is>
          <t>14A⁴, 28A⁵, 28J⁶, 28B⁷</t>
        </is>
      </c>
      <c r="M3204" t="inlineStr"/>
      <c r="N3204" t="inlineStr">
        <is>
          <t>14A⁴, 7D⁰, 14B¹, 28A³, 2B⁰, 7G⁰, 4B⁰, 28A⁵, 1A⁰, 28J⁶, 14A², 7C⁰, 28B⁷, 14F², 28B², 7A⁰</t>
        </is>
      </c>
      <c r="O3204" t="inlineStr"/>
    </row>
    <row r="3205">
      <c r="A3205">
        <f>HYPERLINK("https://mathstats.uncg.edu/sites/pauli/congruence/csg13.html#group28E13", "28E¹³")</f>
        <v/>
      </c>
      <c r="B3205" t="n">
        <v>13</v>
      </c>
      <c r="C3205" t="inlineStr"/>
      <c r="D3205" t="inlineStr">
        <is>
          <t>252</t>
        </is>
      </c>
      <c r="E3205" t="inlineStr">
        <is>
          <t>2</t>
        </is>
      </c>
      <c r="F3205" t="inlineStr">
        <is>
          <t>21</t>
        </is>
      </c>
      <c r="G3205" t="inlineStr">
        <is>
          <t>12</t>
        </is>
      </c>
      <c r="H3205" t="inlineStr">
        <is>
          <t>0</t>
        </is>
      </c>
      <c r="I3205" t="inlineStr">
        <is>
          <t>14⁶, 28⁶</t>
        </is>
      </c>
      <c r="J3205" t="n">
        <v>12</v>
      </c>
      <c r="K3205" t="inlineStr">
        <is>
          <t>2³, 6⁶</t>
        </is>
      </c>
      <c r="L3205" t="inlineStr">
        <is>
          <t>14A⁴, 28B⁵, 28I⁶, 28C⁷</t>
        </is>
      </c>
      <c r="M3205" t="inlineStr"/>
      <c r="N3205" t="inlineStr">
        <is>
          <t>14A⁴, 7D⁰, 14B¹, 4C⁰, 2B⁰, 7G⁰, 28I⁶, 28B⁵, 1A⁰, 28C², 14A², 28C⁷, 7C⁰, 14F², 28B³, 7A⁰</t>
        </is>
      </c>
      <c r="O3205" t="inlineStr"/>
    </row>
    <row r="3206">
      <c r="A3206">
        <f>HYPERLINK("https://mathstats.uncg.edu/sites/pauli/congruence/csg13.html#group28F13", "28F¹³")</f>
        <v/>
      </c>
      <c r="B3206" t="n">
        <v>13</v>
      </c>
      <c r="C3206" t="inlineStr"/>
      <c r="D3206" t="inlineStr">
        <is>
          <t>288</t>
        </is>
      </c>
      <c r="E3206" t="inlineStr">
        <is>
          <t>1</t>
        </is>
      </c>
      <c r="F3206" t="inlineStr">
        <is>
          <t>24</t>
        </is>
      </c>
      <c r="G3206" t="inlineStr">
        <is>
          <t>0</t>
        </is>
      </c>
      <c r="H3206" t="inlineStr">
        <is>
          <t>0</t>
        </is>
      </c>
      <c r="I3206" t="inlineStr">
        <is>
          <t>2⁶, 4⁶, 14⁶, 28⁶</t>
        </is>
      </c>
      <c r="J3206" t="n">
        <v>24</v>
      </c>
      <c r="K3206" t="inlineStr">
        <is>
          <t>1⁶, 6³</t>
        </is>
      </c>
      <c r="L3206" t="inlineStr">
        <is>
          <t>14B⁴, 28F⁴, 28E⁵, 28D⁷</t>
        </is>
      </c>
      <c r="M3206" t="inlineStr"/>
      <c r="N3206" t="inlineStr">
        <is>
          <t>14C⁰, 2A⁰, 28F⁴, 2C⁰, 4C⁰, 14D², 28D², 14B⁴, 2B⁰, 7E⁰, 14E², 4E⁰, 4B⁰, 1A⁰, 28E⁵, 7B⁰, 14H¹, 14C¹, 14B⁰, 28C³, 28D⁷</t>
        </is>
      </c>
      <c r="O3206" t="inlineStr"/>
    </row>
    <row r="3207">
      <c r="A3207">
        <f>HYPERLINK("https://mathstats.uncg.edu/sites/pauli/congruence/csg13.html#group30A13", "30A¹³")</f>
        <v/>
      </c>
      <c r="B3207" t="n">
        <v>13</v>
      </c>
      <c r="C3207" t="inlineStr"/>
      <c r="D3207" t="inlineStr">
        <is>
          <t>180</t>
        </is>
      </c>
      <c r="E3207" t="inlineStr">
        <is>
          <t>1</t>
        </is>
      </c>
      <c r="F3207" t="inlineStr">
        <is>
          <t>10</t>
        </is>
      </c>
      <c r="G3207" t="inlineStr">
        <is>
          <t>0</t>
        </is>
      </c>
      <c r="H3207" t="inlineStr">
        <is>
          <t>0</t>
        </is>
      </c>
      <c r="I3207" t="inlineStr">
        <is>
          <t>30⁶</t>
        </is>
      </c>
      <c r="J3207" t="n">
        <v>6</v>
      </c>
      <c r="K3207" t="inlineStr">
        <is>
          <t>2¹, 4²</t>
        </is>
      </c>
      <c r="L3207" t="inlineStr">
        <is>
          <t>6C¹, 10A³, 30B⁴, 30A⁵, 30K⁵</t>
        </is>
      </c>
      <c r="M3207" t="inlineStr"/>
      <c r="N3207" t="inlineStr">
        <is>
          <t>2A⁰, 30B⁴, 6C¹, 10A³, 2B⁰, 30A⁵, 1A⁰, 10F¹, 30K⁵, 15D¹, 6A⁰, 10C¹, 6A¹, 3A⁰, 5C⁰, 2C⁰, 6D⁰</t>
        </is>
      </c>
      <c r="O3207" t="inlineStr"/>
    </row>
    <row r="3208">
      <c r="A3208">
        <f>HYPERLINK("https://mathstats.uncg.edu/sites/pauli/congruence/csg13.html#group30B13", "30B¹³")</f>
        <v/>
      </c>
      <c r="B3208" t="n">
        <v>13</v>
      </c>
      <c r="C3208" t="inlineStr"/>
      <c r="D3208" t="inlineStr">
        <is>
          <t>180</t>
        </is>
      </c>
      <c r="E3208" t="inlineStr">
        <is>
          <t>1</t>
        </is>
      </c>
      <c r="F3208" t="inlineStr">
        <is>
          <t>15</t>
        </is>
      </c>
      <c r="G3208" t="inlineStr">
        <is>
          <t>0</t>
        </is>
      </c>
      <c r="H3208" t="inlineStr">
        <is>
          <t>0</t>
        </is>
      </c>
      <c r="I3208" t="inlineStr">
        <is>
          <t>30⁶</t>
        </is>
      </c>
      <c r="J3208" t="n">
        <v>6</v>
      </c>
      <c r="K3208" t="inlineStr">
        <is>
          <t>1¹, 2¹, 4¹, 8¹</t>
        </is>
      </c>
      <c r="L3208" t="inlineStr">
        <is>
          <t>15C⁴, 30E⁴, 30B⁵, 30A⁷</t>
        </is>
      </c>
      <c r="M3208" t="inlineStr"/>
      <c r="N3208" t="inlineStr">
        <is>
          <t>2A⁰, 30A³, 5A⁰, 6B⁰, 10A², 30A⁷, 15F¹, 1A⁰, 30B⁵, 15C⁴, 30A², 30E⁴, 10A⁰, 15A², 6B¹, 30B¹, 5E⁰, 3C⁰, 6A¹, 3A⁰, 15A¹, 15A⁰</t>
        </is>
      </c>
      <c r="O3208" t="inlineStr"/>
    </row>
    <row r="3209">
      <c r="A3209">
        <f>HYPERLINK("https://mathstats.uncg.edu/sites/pauli/congruence/csg13.html#group30C13", "30C¹³")</f>
        <v/>
      </c>
      <c r="B3209" t="n">
        <v>13</v>
      </c>
      <c r="C3209" t="inlineStr"/>
      <c r="D3209" t="inlineStr">
        <is>
          <t>180</t>
        </is>
      </c>
      <c r="E3209" t="inlineStr">
        <is>
          <t>1</t>
        </is>
      </c>
      <c r="F3209" t="inlineStr">
        <is>
          <t>15</t>
        </is>
      </c>
      <c r="G3209" t="inlineStr">
        <is>
          <t>0</t>
        </is>
      </c>
      <c r="H3209" t="inlineStr">
        <is>
          <t>0</t>
        </is>
      </c>
      <c r="I3209" t="inlineStr">
        <is>
          <t>30⁶</t>
        </is>
      </c>
      <c r="J3209" t="n">
        <v>6</v>
      </c>
      <c r="K3209" t="inlineStr">
        <is>
          <t>1¹, 2¹, 4¹, 8¹</t>
        </is>
      </c>
      <c r="L3209" t="inlineStr">
        <is>
          <t>6E¹, 30B⁵, 30A⁶, 30B⁶, 30B⁷</t>
        </is>
      </c>
      <c r="M3209" t="inlineStr"/>
      <c r="N3209" t="inlineStr">
        <is>
          <t>6E¹, 2A⁰, 30A³, 5A⁰, 6B⁰, 15A¹, 10B¹, 6C¹, 6G⁰, 30B⁷, 2B⁰, 10B², 30B⁶, 1A⁰, 30B⁵, 30D³, 30A¹, 10A⁰, 30A², 6A⁰, 15A², 6B¹, 3C⁰, 30A⁶, 6A¹, 6H⁰, 3A⁰, 2C⁰, 6D⁰</t>
        </is>
      </c>
      <c r="O3209" t="inlineStr"/>
    </row>
    <row r="3210">
      <c r="A3210">
        <f>HYPERLINK("https://mathstats.uncg.edu/sites/pauli/congruence/csg13.html#group30D13", "30D¹³")</f>
        <v/>
      </c>
      <c r="B3210" t="n">
        <v>13</v>
      </c>
      <c r="C3210" t="inlineStr"/>
      <c r="D3210" t="inlineStr">
        <is>
          <t>180</t>
        </is>
      </c>
      <c r="E3210" t="inlineStr">
        <is>
          <t>1</t>
        </is>
      </c>
      <c r="F3210" t="inlineStr">
        <is>
          <t>15</t>
        </is>
      </c>
      <c r="G3210" t="inlineStr">
        <is>
          <t>0</t>
        </is>
      </c>
      <c r="H3210" t="inlineStr">
        <is>
          <t>0</t>
        </is>
      </c>
      <c r="I3210" t="inlineStr">
        <is>
          <t>30⁶</t>
        </is>
      </c>
      <c r="J3210" t="n">
        <v>6</v>
      </c>
      <c r="K3210" t="inlineStr">
        <is>
          <t>1¹, 2¹, 4³</t>
        </is>
      </c>
      <c r="L3210" t="inlineStr">
        <is>
          <t>10B³, 30B³, 15D⁴, 30F⁴, 30A⁵, 30A⁷</t>
        </is>
      </c>
      <c r="M3210" t="inlineStr"/>
      <c r="N3210" t="inlineStr">
        <is>
          <t>2A⁰, 30A³, 5A⁰, 15D⁴, 10A², 30A⁷, 15F¹, 5B⁰, 10A¹, 30A⁵, 10E¹, 1A⁰, 30B³, 15D¹, 30F⁴, 15B⁰, 10A⁰, 30B¹, 10B³, 5E⁰, 10C¹, 6A¹, 3A⁰, 5C⁰, 5G⁰, 15A¹, 15A⁰</t>
        </is>
      </c>
      <c r="O3210" t="inlineStr"/>
    </row>
    <row r="3211">
      <c r="A3211">
        <f>HYPERLINK("https://mathstats.uncg.edu/sites/pauli/congruence/csg13.html#group30E13", "30E¹³")</f>
        <v/>
      </c>
      <c r="B3211" t="n">
        <v>13</v>
      </c>
      <c r="C3211" t="inlineStr"/>
      <c r="D3211" t="inlineStr">
        <is>
          <t>180</t>
        </is>
      </c>
      <c r="E3211" t="inlineStr">
        <is>
          <t>1</t>
        </is>
      </c>
      <c r="F3211" t="inlineStr">
        <is>
          <t>30</t>
        </is>
      </c>
      <c r="G3211" t="inlineStr">
        <is>
          <t>0</t>
        </is>
      </c>
      <c r="H3211" t="inlineStr">
        <is>
          <t>0</t>
        </is>
      </c>
      <c r="I3211" t="inlineStr">
        <is>
          <t>30⁶</t>
        </is>
      </c>
      <c r="J3211" t="n">
        <v>6</v>
      </c>
      <c r="K3211" t="inlineStr">
        <is>
          <t>2¹, 4¹, 8³</t>
        </is>
      </c>
      <c r="L3211" t="inlineStr">
        <is>
          <t>10B³, 30C³, 30B⁴, 30C⁷</t>
        </is>
      </c>
      <c r="M3211" t="inlineStr"/>
      <c r="N3211" t="inlineStr">
        <is>
          <t>2A⁰, 5A⁰, 30B⁴, 10A², 30C³, 5B⁰, 10A¹, 10E¹, 1A⁰, 30C⁷, 30B², 30A¹, 10A⁰, 6A⁰, 10B³, 5E⁰, 10C¹, 5C⁰, 5G⁰</t>
        </is>
      </c>
      <c r="O3211" t="inlineStr"/>
    </row>
    <row r="3212">
      <c r="A3212">
        <f>HYPERLINK("https://mathstats.uncg.edu/sites/pauli/congruence/csg13.html#group30F13", "30F¹³")</f>
        <v/>
      </c>
      <c r="B3212" t="n">
        <v>13</v>
      </c>
      <c r="C3212" t="inlineStr"/>
      <c r="D3212" t="inlineStr">
        <is>
          <t>180</t>
        </is>
      </c>
      <c r="E3212" t="inlineStr">
        <is>
          <t>1</t>
        </is>
      </c>
      <c r="F3212" t="inlineStr">
        <is>
          <t>30</t>
        </is>
      </c>
      <c r="G3212" t="inlineStr">
        <is>
          <t>0</t>
        </is>
      </c>
      <c r="H3212" t="inlineStr">
        <is>
          <t>0</t>
        </is>
      </c>
      <c r="I3212" t="inlineStr">
        <is>
          <t>30⁶</t>
        </is>
      </c>
      <c r="J3212" t="n">
        <v>6</v>
      </c>
      <c r="K3212" t="inlineStr">
        <is>
          <t>2¹, 4³, 8²</t>
        </is>
      </c>
      <c r="L3212" t="inlineStr">
        <is>
          <t>30B⁵, 30D⁷</t>
        </is>
      </c>
      <c r="M3212" t="inlineStr"/>
      <c r="N3212" t="inlineStr">
        <is>
          <t>2A⁰, 30A³, 5A⁰, 6B⁰, 1A⁰, 30B⁵, 30B², 10A⁰, 30A², 15A², 6B¹, 10E⁰, 30D⁷, 3C⁰, 6A¹, 3A⁰, 15A¹</t>
        </is>
      </c>
      <c r="O3212" t="inlineStr"/>
    </row>
    <row r="3213">
      <c r="A3213">
        <f>HYPERLINK("https://mathstats.uncg.edu/sites/pauli/congruence/csg13.html#group30G13", "30G¹³")</f>
        <v/>
      </c>
      <c r="B3213" t="n">
        <v>13</v>
      </c>
      <c r="C3213" t="inlineStr"/>
      <c r="D3213" t="inlineStr">
        <is>
          <t>180</t>
        </is>
      </c>
      <c r="E3213" t="inlineStr">
        <is>
          <t>1</t>
        </is>
      </c>
      <c r="F3213" t="inlineStr">
        <is>
          <t>45</t>
        </is>
      </c>
      <c r="G3213" t="inlineStr">
        <is>
          <t>0</t>
        </is>
      </c>
      <c r="H3213" t="inlineStr">
        <is>
          <t>0</t>
        </is>
      </c>
      <c r="I3213" t="inlineStr">
        <is>
          <t>30⁶</t>
        </is>
      </c>
      <c r="J3213" t="n">
        <v>6</v>
      </c>
      <c r="K3213" t="inlineStr">
        <is>
          <t>1¹, 2², 4⁴, 8³</t>
        </is>
      </c>
      <c r="L3213" t="inlineStr">
        <is>
          <t>15H³, 30L⁵, 30A⁷</t>
        </is>
      </c>
      <c r="M3213" t="inlineStr"/>
      <c r="N3213" t="inlineStr">
        <is>
          <t>2A⁰, 30A³, 5A⁰, 10A², 30A⁷, 15A¹, 15F¹, 1A⁰, 10A⁰, 30L⁵, 30B¹, 5E⁰, 6A¹, 3A⁰, 15H³, 15A⁰</t>
        </is>
      </c>
      <c r="O3213" t="inlineStr"/>
    </row>
    <row r="3214">
      <c r="A3214">
        <f>HYPERLINK("https://mathstats.uncg.edu/sites/pauli/congruence/csg13.html#group30H13", "30H¹³")</f>
        <v/>
      </c>
      <c r="B3214" t="n">
        <v>13</v>
      </c>
      <c r="C3214" t="inlineStr"/>
      <c r="D3214" t="inlineStr">
        <is>
          <t>216</t>
        </is>
      </c>
      <c r="E3214" t="inlineStr">
        <is>
          <t>1</t>
        </is>
      </c>
      <c r="F3214" t="inlineStr">
        <is>
          <t>6</t>
        </is>
      </c>
      <c r="G3214" t="inlineStr">
        <is>
          <t>0</t>
        </is>
      </c>
      <c r="H3214" t="inlineStr">
        <is>
          <t>0</t>
        </is>
      </c>
      <c r="I3214" t="inlineStr">
        <is>
          <t>6⁶, 30⁶</t>
        </is>
      </c>
      <c r="J3214" t="n">
        <v>12</v>
      </c>
      <c r="K3214" t="inlineStr">
        <is>
          <t>1², 4¹</t>
        </is>
      </c>
      <c r="L3214" t="inlineStr">
        <is>
          <t>10K¹, 30H⁴, 30C⁵, 30D⁵, 30C⁶, 30F⁷</t>
        </is>
      </c>
      <c r="M3214" t="inlineStr"/>
      <c r="N3214" t="inlineStr">
        <is>
          <t>30A⁰, 2A⁰, 30C⁵, 10G⁰, 30C³, 6C¹, 30C⁶, 5B⁰, 5D⁰, 10A¹, 2B⁰, 10D¹, 1A⁰, 10F⁰, 30B³, 10B⁰, 15B⁰, 30E², 6A⁰, 30F⁷, 6D⁰, 15B², 10C⁰, 6A¹, 30H⁴, 10K¹, 3A⁰, 2C⁰, 30D⁵, 10G¹</t>
        </is>
      </c>
      <c r="O3214" t="inlineStr"/>
    </row>
    <row r="3215">
      <c r="A3215">
        <f>HYPERLINK("https://mathstats.uncg.edu/sites/pauli/congruence/csg13.html#group30I13", "30I¹³")</f>
        <v/>
      </c>
      <c r="B3215" t="n">
        <v>13</v>
      </c>
      <c r="C3215" t="inlineStr"/>
      <c r="D3215" t="inlineStr">
        <is>
          <t>216</t>
        </is>
      </c>
      <c r="E3215" t="inlineStr">
        <is>
          <t>1</t>
        </is>
      </c>
      <c r="F3215" t="inlineStr">
        <is>
          <t>18</t>
        </is>
      </c>
      <c r="G3215" t="inlineStr">
        <is>
          <t>0</t>
        </is>
      </c>
      <c r="H3215" t="inlineStr">
        <is>
          <t>0</t>
        </is>
      </c>
      <c r="I3215" t="inlineStr">
        <is>
          <t>6⁶, 30⁶</t>
        </is>
      </c>
      <c r="J3215" t="n">
        <v>12</v>
      </c>
      <c r="K3215" t="inlineStr">
        <is>
          <t>1², 2², 4¹, 8¹</t>
        </is>
      </c>
      <c r="L3215" t="inlineStr">
        <is>
          <t>30I⁴, 30F⁵, 30D⁶, 30F⁷</t>
        </is>
      </c>
      <c r="M3215" t="inlineStr"/>
      <c r="N3215" t="inlineStr">
        <is>
          <t>2A⁰, 30C³, 6C¹, 5B⁰, 10A¹, 2B⁰, 1A⁰, 30F⁵, 30B³, 15B⁰, 30D⁶, 30E², 30F⁷, 6A⁰, 30I⁴, 10C⁰, 6A¹, 15C⁰, 3A⁰, 2C⁰, 6D⁰, 10G¹, 30C²</t>
        </is>
      </c>
      <c r="O3215" t="inlineStr"/>
    </row>
    <row r="3216">
      <c r="A3216">
        <f>HYPERLINK("https://mathstats.uncg.edu/sites/pauli/congruence/csg13.html#group30J13", "30J¹³")</f>
        <v/>
      </c>
      <c r="B3216" t="n">
        <v>13</v>
      </c>
      <c r="C3216" t="inlineStr"/>
      <c r="D3216" t="inlineStr">
        <is>
          <t>216</t>
        </is>
      </c>
      <c r="E3216" t="inlineStr">
        <is>
          <t>1</t>
        </is>
      </c>
      <c r="F3216" t="inlineStr">
        <is>
          <t>18</t>
        </is>
      </c>
      <c r="G3216" t="inlineStr">
        <is>
          <t>0</t>
        </is>
      </c>
      <c r="H3216" t="inlineStr">
        <is>
          <t>0</t>
        </is>
      </c>
      <c r="I3216" t="inlineStr">
        <is>
          <t>6⁶, 30⁶</t>
        </is>
      </c>
      <c r="J3216" t="n">
        <v>12</v>
      </c>
      <c r="K3216" t="inlineStr">
        <is>
          <t>1², 2², 4¹, 8¹</t>
        </is>
      </c>
      <c r="L3216" t="inlineStr">
        <is>
          <t>6E¹, 30H⁵, 30O⁵, 30P⁵, 30F⁷</t>
        </is>
      </c>
      <c r="M3216" t="inlineStr"/>
      <c r="N3216" t="inlineStr">
        <is>
          <t>6E¹, 2A⁰, 6B⁰, 30C³, 30C¹, 6C¹, 5B⁰, 6G⁰, 10A¹, 2B⁰, 30O⁵, 1A⁰, 30P⁵, 30B³, 30H⁵, 15B⁰, 6A⁰, 30E², 30F⁷, 6B¹, 15E¹, 10C⁰, 3C⁰, 6A¹, 6H⁰, 3A⁰, 2C⁰, 6D⁰, 10G¹</t>
        </is>
      </c>
      <c r="O3216" t="inlineStr"/>
    </row>
    <row r="3217">
      <c r="A3217">
        <f>HYPERLINK("https://mathstats.uncg.edu/sites/pauli/congruence/csg13.html#group30K13", "30K¹³")</f>
        <v/>
      </c>
      <c r="B3217" t="n">
        <v>13</v>
      </c>
      <c r="C3217" t="inlineStr"/>
      <c r="D3217" t="inlineStr">
        <is>
          <t>216</t>
        </is>
      </c>
      <c r="E3217" t="inlineStr">
        <is>
          <t>1</t>
        </is>
      </c>
      <c r="F3217" t="inlineStr">
        <is>
          <t>54</t>
        </is>
      </c>
      <c r="G3217" t="inlineStr">
        <is>
          <t>0</t>
        </is>
      </c>
      <c r="H3217" t="inlineStr">
        <is>
          <t>0</t>
        </is>
      </c>
      <c r="I3217" t="inlineStr">
        <is>
          <t>6⁶, 30⁶</t>
        </is>
      </c>
      <c r="J3217" t="n">
        <v>12</v>
      </c>
      <c r="K3217" t="inlineStr">
        <is>
          <t>1⁶, 2⁶, 4³, 8³</t>
        </is>
      </c>
      <c r="L3217" t="inlineStr">
        <is>
          <t>30E⁵, 30O⁵, 30D⁶</t>
        </is>
      </c>
      <c r="M3217" t="inlineStr"/>
      <c r="N3217" t="inlineStr">
        <is>
          <t>5B⁰, 6G⁰, 2B⁰, 30O⁵, 1A⁰, 15B⁰, 30D⁶, 30E², 30E⁵, 10C⁰, 3C⁰, 3A⁰, 6D⁰, 15E¹, 30C²</t>
        </is>
      </c>
      <c r="O3217" t="inlineStr"/>
    </row>
    <row r="3218">
      <c r="A3218">
        <f>HYPERLINK("https://mathstats.uncg.edu/sites/pauli/congruence/csg13.html#group30L13", "30L¹³")</f>
        <v/>
      </c>
      <c r="B3218" t="n">
        <v>13</v>
      </c>
      <c r="C3218" t="inlineStr"/>
      <c r="D3218" t="inlineStr">
        <is>
          <t>216</t>
        </is>
      </c>
      <c r="E3218" t="inlineStr">
        <is>
          <t>1</t>
        </is>
      </c>
      <c r="F3218" t="inlineStr">
        <is>
          <t>54</t>
        </is>
      </c>
      <c r="G3218" t="inlineStr">
        <is>
          <t>0</t>
        </is>
      </c>
      <c r="H3218" t="inlineStr">
        <is>
          <t>0</t>
        </is>
      </c>
      <c r="I3218" t="inlineStr">
        <is>
          <t>6⁶, 30⁶</t>
        </is>
      </c>
      <c r="J3218" t="n">
        <v>12</v>
      </c>
      <c r="K3218" t="inlineStr">
        <is>
          <t>1⁶, 2⁶, 4³, 8³</t>
        </is>
      </c>
      <c r="L3218" t="inlineStr">
        <is>
          <t>30G⁵, 30P⁵, 30C⁶, 30D⁶</t>
        </is>
      </c>
      <c r="M3218" t="inlineStr"/>
      <c r="N3218" t="inlineStr">
        <is>
          <t>6B⁰, 30C⁶, 5B⁰, 5D⁰, 30G⁵, 2B⁰, 1A⁰, 30P⁵, 10F⁰, 15B⁰, 30D⁶, 30E², 15B², 10C⁰, 6H⁰, 3A⁰, 6D⁰, 30C¹, 30C²</t>
        </is>
      </c>
      <c r="O3218" t="inlineStr"/>
    </row>
    <row r="3219">
      <c r="A3219">
        <f>HYPERLINK("https://mathstats.uncg.edu/sites/pauli/congruence/csg13.html#group30M13", "30M¹³")</f>
        <v/>
      </c>
      <c r="B3219" t="n">
        <v>13</v>
      </c>
      <c r="C3219" t="inlineStr"/>
      <c r="D3219" t="inlineStr">
        <is>
          <t>240</t>
        </is>
      </c>
      <c r="E3219" t="inlineStr">
        <is>
          <t>1</t>
        </is>
      </c>
      <c r="F3219" t="inlineStr">
        <is>
          <t>30</t>
        </is>
      </c>
      <c r="G3219" t="inlineStr">
        <is>
          <t>16</t>
        </is>
      </c>
      <c r="H3219" t="inlineStr">
        <is>
          <t>0</t>
        </is>
      </c>
      <c r="I3219" t="inlineStr">
        <is>
          <t>30⁸</t>
        </is>
      </c>
      <c r="J3219" t="n">
        <v>8</v>
      </c>
      <c r="K3219" t="inlineStr">
        <is>
          <t>2¹, 4³, 8²</t>
        </is>
      </c>
      <c r="L3219" t="inlineStr">
        <is>
          <t>15A⁵, 30Q⁵, 30I⁷, 30J⁷, 30N⁷</t>
        </is>
      </c>
      <c r="M3219" t="inlineStr"/>
      <c r="N3219" t="inlineStr">
        <is>
          <t>6B⁰, 30I⁷, 10D⁰, 15D², 15A⁵, 15C³, 30H³, 30F², 1A⁰, 30J⁷, 30Q⁵, 15D¹, 30C⁴, 6E⁰, 30N⁷, 3C⁰, 3A⁰, 5C⁰</t>
        </is>
      </c>
      <c r="O3219" t="inlineStr"/>
    </row>
    <row r="3220">
      <c r="A3220">
        <f>HYPERLINK("https://mathstats.uncg.edu/sites/pauli/congruence/csg13.html#group30N13", "30N¹³")</f>
        <v/>
      </c>
      <c r="B3220" t="n">
        <v>13</v>
      </c>
      <c r="C3220" t="inlineStr"/>
      <c r="D3220" t="inlineStr">
        <is>
          <t>240</t>
        </is>
      </c>
      <c r="E3220" t="inlineStr">
        <is>
          <t>1</t>
        </is>
      </c>
      <c r="F3220" t="inlineStr">
        <is>
          <t>120</t>
        </is>
      </c>
      <c r="G3220" t="inlineStr">
        <is>
          <t>0</t>
        </is>
      </c>
      <c r="H3220" t="inlineStr">
        <is>
          <t>0</t>
        </is>
      </c>
      <c r="I3220" t="inlineStr">
        <is>
          <t>5⁴, 10⁴, 15⁴, 30⁴</t>
        </is>
      </c>
      <c r="J3220" t="n">
        <v>16</v>
      </c>
      <c r="K3220" t="inlineStr">
        <is>
          <t>2⁶, 4¹⁵, 8⁶</t>
        </is>
      </c>
      <c r="L3220" t="inlineStr">
        <is>
          <t>10D², 15G³, 30D⁴, 30L⁷</t>
        </is>
      </c>
      <c r="M3220" t="inlineStr"/>
      <c r="N3220" t="inlineStr">
        <is>
          <t>3B⁰, 5A⁰, 10B¹, 5F⁰, 2B⁰, 30L⁷, 1A⁰, 10D², 10F¹, 30D⁴, 15G³, 6F⁰, 15B¹, 15C², 5C⁰</t>
        </is>
      </c>
      <c r="O3220" t="inlineStr"/>
    </row>
    <row r="3221">
      <c r="A3221">
        <f>HYPERLINK("https://mathstats.uncg.edu/sites/pauli/congruence/csg13.html#group30O13", "30O¹³")</f>
        <v/>
      </c>
      <c r="B3221" t="n">
        <v>13</v>
      </c>
      <c r="C3221" t="inlineStr"/>
      <c r="D3221" t="inlineStr">
        <is>
          <t>240</t>
        </is>
      </c>
      <c r="E3221" t="inlineStr">
        <is>
          <t>2</t>
        </is>
      </c>
      <c r="F3221" t="inlineStr">
        <is>
          <t>60</t>
        </is>
      </c>
      <c r="G3221" t="inlineStr">
        <is>
          <t>0</t>
        </is>
      </c>
      <c r="H3221" t="inlineStr">
        <is>
          <t>12</t>
        </is>
      </c>
      <c r="I3221" t="inlineStr">
        <is>
          <t>30⁸</t>
        </is>
      </c>
      <c r="J3221" t="n">
        <v>8</v>
      </c>
      <c r="K3221" t="inlineStr">
        <is>
          <t>8¹⁵</t>
        </is>
      </c>
      <c r="L3221" t="inlineStr">
        <is>
          <t>15E⁴, 30F⁶, 30O⁷</t>
        </is>
      </c>
      <c r="M3221" t="inlineStr"/>
      <c r="N3221" t="inlineStr">
        <is>
          <t>2A⁰, 15E², 5A⁰, 15E⁴, 10A⁰, 30B¹, 1A⁰, 30O⁷, 30F⁶, 15A⁰</t>
        </is>
      </c>
      <c r="O3221" t="inlineStr"/>
    </row>
    <row r="3222">
      <c r="A3222">
        <f>HYPERLINK("https://mathstats.uncg.edu/sites/pauli/congruence/csg13.html#group30P13", "30P¹³")</f>
        <v/>
      </c>
      <c r="B3222" t="n">
        <v>13</v>
      </c>
      <c r="C3222" t="inlineStr"/>
      <c r="D3222" t="inlineStr">
        <is>
          <t>288</t>
        </is>
      </c>
      <c r="E3222" t="inlineStr">
        <is>
          <t>1</t>
        </is>
      </c>
      <c r="F3222" t="inlineStr">
        <is>
          <t>24</t>
        </is>
      </c>
      <c r="G3222" t="inlineStr">
        <is>
          <t>0</t>
        </is>
      </c>
      <c r="H3222" t="inlineStr">
        <is>
          <t>0</t>
        </is>
      </c>
      <c r="I3222" t="inlineStr">
        <is>
          <t>2⁶, 6⁶, 10⁶, 30⁶</t>
        </is>
      </c>
      <c r="J3222" t="n">
        <v>24</v>
      </c>
      <c r="K3222" t="inlineStr">
        <is>
          <t>1⁴, 2², 4², 8¹</t>
        </is>
      </c>
      <c r="L3222" t="inlineStr">
        <is>
          <t>10K¹, 30N⁵, 30S⁵, 30Q⁷, 30S⁷</t>
        </is>
      </c>
      <c r="M3222" t="inlineStr"/>
      <c r="N3222" t="inlineStr">
        <is>
          <t>30Q⁷, 3B⁰, 2A⁰, 10G⁰, 6I⁰, 6C⁰, 30N⁵, 5B⁰, 10A¹, 15G¹, 2B⁰, 5D⁰, 30S⁷, 30G³, 10D¹, 1A⁰, 10F⁰, 10B⁰, 15C¹, 30F³, 10C⁰, 30S⁵, 30K³, 10K¹, 6F⁰, 2C⁰, 10G¹</t>
        </is>
      </c>
      <c r="O3222" t="inlineStr"/>
    </row>
    <row r="3223">
      <c r="A3223">
        <f>HYPERLINK("https://mathstats.uncg.edu/sites/pauli/congruence/csg13.html#group30Q13", "30Q¹³")</f>
        <v/>
      </c>
      <c r="B3223" t="n">
        <v>13</v>
      </c>
      <c r="C3223" t="inlineStr"/>
      <c r="D3223" t="inlineStr">
        <is>
          <t>288</t>
        </is>
      </c>
      <c r="E3223" t="inlineStr">
        <is>
          <t>1</t>
        </is>
      </c>
      <c r="F3223" t="inlineStr">
        <is>
          <t>36</t>
        </is>
      </c>
      <c r="G3223" t="inlineStr">
        <is>
          <t>16</t>
        </is>
      </c>
      <c r="H3223" t="inlineStr">
        <is>
          <t>0</t>
        </is>
      </c>
      <c r="I3223" t="inlineStr">
        <is>
          <t>6⁸, 30⁸</t>
        </is>
      </c>
      <c r="J3223" t="n">
        <v>16</v>
      </c>
      <c r="K3223" t="inlineStr">
        <is>
          <t>2⁶, 8³</t>
        </is>
      </c>
      <c r="L3223" t="inlineStr">
        <is>
          <t>15I³, 30R⁵, 30R⁷</t>
        </is>
      </c>
      <c r="M3223" t="inlineStr"/>
      <c r="N3223" t="inlineStr">
        <is>
          <t>30A⁰, 30L³, 6B⁰, 30I³, 30C¹, 30J³, 5B⁰, 15H¹, 1A⁰, 15I³, 30R⁷, 30D¹, 10B⁰, 15B⁰, 30R⁵, 6E⁰, 15E¹, 3C⁰, 3A⁰, 15C⁰, 30C²</t>
        </is>
      </c>
      <c r="O3223" t="inlineStr"/>
    </row>
    <row r="3224">
      <c r="A3224">
        <f>HYPERLINK("https://mathstats.uncg.edu/sites/pauli/congruence/csg13.html#group30R13", "30R¹³")</f>
        <v/>
      </c>
      <c r="B3224" t="n">
        <v>13</v>
      </c>
      <c r="C3224" t="inlineStr"/>
      <c r="D3224" t="inlineStr">
        <is>
          <t>288</t>
        </is>
      </c>
      <c r="E3224" t="inlineStr">
        <is>
          <t>1</t>
        </is>
      </c>
      <c r="F3224" t="inlineStr">
        <is>
          <t>72</t>
        </is>
      </c>
      <c r="G3224" t="inlineStr">
        <is>
          <t>0</t>
        </is>
      </c>
      <c r="H3224" t="inlineStr">
        <is>
          <t>0</t>
        </is>
      </c>
      <c r="I3224" t="inlineStr">
        <is>
          <t>2⁶, 6⁶, 10⁶, 30⁶</t>
        </is>
      </c>
      <c r="J3224" t="n">
        <v>24</v>
      </c>
      <c r="K3224" t="inlineStr">
        <is>
          <t>1¹², 2⁶, 4⁶, 8³</t>
        </is>
      </c>
      <c r="L3224" t="inlineStr">
        <is>
          <t>30M⁵, 30S⁵</t>
        </is>
      </c>
      <c r="M3224" t="inlineStr"/>
      <c r="N3224" t="inlineStr">
        <is>
          <t>3B⁰, 30M⁵, 5B⁰, 15G¹, 5D⁰, 2B⁰, 1A⁰, 10F⁰, 15C¹, 10C⁰, 30S⁵, 30K³, 6F⁰</t>
        </is>
      </c>
      <c r="O3224" t="inlineStr"/>
    </row>
    <row r="3225">
      <c r="A3225">
        <f>HYPERLINK("https://mathstats.uncg.edu/sites/pauli/congruence/csg13.html#group32A13", "32A¹³")</f>
        <v/>
      </c>
      <c r="B3225" t="n">
        <v>13</v>
      </c>
      <c r="C3225" t="inlineStr"/>
      <c r="D3225" t="inlineStr">
        <is>
          <t>192</t>
        </is>
      </c>
      <c r="E3225" t="inlineStr">
        <is>
          <t>1</t>
        </is>
      </c>
      <c r="F3225" t="inlineStr">
        <is>
          <t>6</t>
        </is>
      </c>
      <c r="G3225" t="inlineStr">
        <is>
          <t>0</t>
        </is>
      </c>
      <c r="H3225" t="inlineStr">
        <is>
          <t>0</t>
        </is>
      </c>
      <c r="I3225" t="inlineStr">
        <is>
          <t>16⁴, 32⁴</t>
        </is>
      </c>
      <c r="J3225" t="n">
        <v>8</v>
      </c>
      <c r="K3225" t="inlineStr">
        <is>
          <t>1², 2²</t>
        </is>
      </c>
      <c r="L3225" t="inlineStr">
        <is>
          <t>16B⁵, 32E⁵, 32F⁵, 32F⁷</t>
        </is>
      </c>
      <c r="M3225" t="inlineStr"/>
      <c r="N3225" t="inlineStr">
        <is>
          <t>2A⁰, 32F⁷, 32E⁵, 4C⁰, 16A³, 4G⁰, 2B⁰, 4E⁰, 8C⁰, 4B⁰, 8F¹, 1A⁰, 16A², 16B⁰, 8G⁰, 4D⁰, 16F¹, 32F⁵, 8A¹, 16C³, 8D⁰, 8B⁰, 16B³, 16B¹, 8B¹, 8H⁰, 16B⁵, 8C¹, 4A⁰, 4F⁰, 2C⁰</t>
        </is>
      </c>
      <c r="O3225" t="inlineStr"/>
    </row>
    <row r="3226">
      <c r="A3226">
        <f>HYPERLINK("https://mathstats.uncg.edu/sites/pauli/congruence/csg13.html#group32B13", "32B¹³")</f>
        <v/>
      </c>
      <c r="B3226" t="n">
        <v>13</v>
      </c>
      <c r="C3226" t="inlineStr"/>
      <c r="D3226" t="inlineStr">
        <is>
          <t>192</t>
        </is>
      </c>
      <c r="E3226" t="inlineStr">
        <is>
          <t>1</t>
        </is>
      </c>
      <c r="F3226" t="inlineStr">
        <is>
          <t>6</t>
        </is>
      </c>
      <c r="G3226" t="inlineStr">
        <is>
          <t>0</t>
        </is>
      </c>
      <c r="H3226" t="inlineStr">
        <is>
          <t>0</t>
        </is>
      </c>
      <c r="I3226" t="inlineStr">
        <is>
          <t>16⁴, 32⁴</t>
        </is>
      </c>
      <c r="J3226" t="n">
        <v>8</v>
      </c>
      <c r="K3226" t="inlineStr">
        <is>
          <t>1², 2²</t>
        </is>
      </c>
      <c r="L3226" t="inlineStr">
        <is>
          <t>32L³, 16B⁵, 32G⁵, 32A⁷, 32G⁷</t>
        </is>
      </c>
      <c r="M3226" t="inlineStr"/>
      <c r="N3226" t="inlineStr">
        <is>
          <t>32G⁷, 2A⁰, 32A⁷, 4C⁰, 16A³, 4G⁰, 2B⁰, 4E⁰, 32G⁵, 8C⁰, 4B⁰, 8F¹, 1A⁰, 16A², 16B⁰, 8G⁰, 4D⁰, 32D³, 32B¹, 16F¹, 8A¹, 16C³, 8D⁰, 16B³, 8B⁰, 16B¹, 8B¹, 8H⁰, 16B⁵, 8C¹, 4A⁰, 4F⁰, 32L³, 2C⁰</t>
        </is>
      </c>
      <c r="O3226" t="inlineStr"/>
    </row>
    <row r="3227">
      <c r="A3227">
        <f>HYPERLINK("https://mathstats.uncg.edu/sites/pauli/congruence/csg13.html#group32C13", "32C¹³")</f>
        <v/>
      </c>
      <c r="B3227" t="n">
        <v>13</v>
      </c>
      <c r="C3227" t="inlineStr"/>
      <c r="D3227" t="inlineStr">
        <is>
          <t>192</t>
        </is>
      </c>
      <c r="E3227" t="inlineStr">
        <is>
          <t>1</t>
        </is>
      </c>
      <c r="F3227" t="inlineStr">
        <is>
          <t>6</t>
        </is>
      </c>
      <c r="G3227" t="inlineStr">
        <is>
          <t>0</t>
        </is>
      </c>
      <c r="H3227" t="inlineStr">
        <is>
          <t>0</t>
        </is>
      </c>
      <c r="I3227" t="inlineStr">
        <is>
          <t>16⁴, 32⁴</t>
        </is>
      </c>
      <c r="J3227" t="n">
        <v>8</v>
      </c>
      <c r="K3227" t="inlineStr">
        <is>
          <t>1⁴, 2¹</t>
        </is>
      </c>
      <c r="L3227" t="inlineStr">
        <is>
          <t>16A⁵, 32C⁶, 32B⁷, 32C⁷</t>
        </is>
      </c>
      <c r="M3227" t="inlineStr"/>
      <c r="N3227" t="inlineStr">
        <is>
          <t>2A⁰, 4C⁰, 4G⁰, 2B⁰, 4E⁰, 32G³, 8C⁰, 4B⁰, 8F¹, 1A⁰, 16E², 16D¹, 16B², 8G⁰, 4D⁰, 16E³, 16D³, 8A¹, 8D⁰, 8B⁰, 32C⁷, 8B¹, 8H⁰, 8C¹, 32C⁶, 4A⁰, 16A⁵, 32E³, 32B⁷, 4F⁰, 2C⁰</t>
        </is>
      </c>
      <c r="O3227" t="inlineStr"/>
    </row>
    <row r="3228">
      <c r="A3228">
        <f>HYPERLINK("https://mathstats.uncg.edu/sites/pauli/congruence/csg13.html#group32D13", "32D¹³")</f>
        <v/>
      </c>
      <c r="B3228" t="n">
        <v>13</v>
      </c>
      <c r="C3228" t="inlineStr"/>
      <c r="D3228" t="inlineStr">
        <is>
          <t>192</t>
        </is>
      </c>
      <c r="E3228" t="inlineStr">
        <is>
          <t>1</t>
        </is>
      </c>
      <c r="F3228" t="inlineStr">
        <is>
          <t>6</t>
        </is>
      </c>
      <c r="G3228" t="inlineStr">
        <is>
          <t>0</t>
        </is>
      </c>
      <c r="H3228" t="inlineStr">
        <is>
          <t>0</t>
        </is>
      </c>
      <c r="I3228" t="inlineStr">
        <is>
          <t>16⁴, 32⁴</t>
        </is>
      </c>
      <c r="J3228" t="n">
        <v>8</v>
      </c>
      <c r="K3228" t="inlineStr">
        <is>
          <t>1⁴, 2¹</t>
        </is>
      </c>
      <c r="L3228" t="inlineStr">
        <is>
          <t>16C⁵, 32E⁶, 32B⁷, 32E⁷</t>
        </is>
      </c>
      <c r="M3228" t="inlineStr"/>
      <c r="N3228" t="inlineStr">
        <is>
          <t>2A⁰, 16D³, 8A¹, 16C⁵, 32E⁷, 4C⁰, 16A³, 8B⁰, 16B¹, 8L⁰, 2B⁰, 8B¹, 4E⁰, 4B⁰, 1A⁰, 32B⁴, 16D¹, 32E⁶, 16B², 16F², 8G¹, 32E³, 32B⁷, 8J⁰, 2C⁰, 32H³</t>
        </is>
      </c>
      <c r="O3228" t="inlineStr"/>
    </row>
    <row r="3229">
      <c r="A3229">
        <f>HYPERLINK("https://mathstats.uncg.edu/sites/pauli/congruence/csg13.html#group32E13", "32E¹³")</f>
        <v/>
      </c>
      <c r="B3229" t="n">
        <v>13</v>
      </c>
      <c r="C3229" t="inlineStr"/>
      <c r="D3229" t="inlineStr">
        <is>
          <t>192</t>
        </is>
      </c>
      <c r="E3229" t="inlineStr">
        <is>
          <t>1</t>
        </is>
      </c>
      <c r="F3229" t="inlineStr">
        <is>
          <t>6</t>
        </is>
      </c>
      <c r="G3229" t="inlineStr">
        <is>
          <t>0</t>
        </is>
      </c>
      <c r="H3229" t="inlineStr">
        <is>
          <t>0</t>
        </is>
      </c>
      <c r="I3229" t="inlineStr">
        <is>
          <t>16⁴, 32⁴</t>
        </is>
      </c>
      <c r="J3229" t="n">
        <v>8</v>
      </c>
      <c r="K3229" t="inlineStr">
        <is>
          <t>1⁴, 2¹</t>
        </is>
      </c>
      <c r="L3229" t="inlineStr">
        <is>
          <t>16C⁵, 32F⁶, 32C⁷, 32D⁷</t>
        </is>
      </c>
      <c r="M3229" t="inlineStr"/>
      <c r="N3229" t="inlineStr">
        <is>
          <t>2A⁰, 32F⁶, 16D³, 8A¹, 16C⁵, 4C⁰, 16A³, 8B⁰, 16B¹, 8L⁰, 32C⁷, 2B⁰, 8B¹, 4E⁰, 4B⁰, 32G³, 1A⁰, 32F³, 32A⁴, 16D¹, 16B², 16F², 8G¹, 32D⁷, 8J⁰, 2C⁰</t>
        </is>
      </c>
      <c r="O3229" t="inlineStr"/>
    </row>
    <row r="3230">
      <c r="A3230">
        <f>HYPERLINK("https://mathstats.uncg.edu/sites/pauli/congruence/csg13.html#group32F13", "32F¹³")</f>
        <v/>
      </c>
      <c r="B3230" t="n">
        <v>13</v>
      </c>
      <c r="C3230" t="inlineStr"/>
      <c r="D3230" t="inlineStr">
        <is>
          <t>192</t>
        </is>
      </c>
      <c r="E3230" t="inlineStr">
        <is>
          <t>1</t>
        </is>
      </c>
      <c r="F3230" t="inlineStr">
        <is>
          <t>6</t>
        </is>
      </c>
      <c r="G3230" t="inlineStr">
        <is>
          <t>0</t>
        </is>
      </c>
      <c r="H3230" t="inlineStr">
        <is>
          <t>0</t>
        </is>
      </c>
      <c r="I3230" t="inlineStr">
        <is>
          <t>16⁴, 32⁴</t>
        </is>
      </c>
      <c r="J3230" t="n">
        <v>8</v>
      </c>
      <c r="K3230" t="inlineStr">
        <is>
          <t>1⁴, 2¹</t>
        </is>
      </c>
      <c r="L3230" t="inlineStr">
        <is>
          <t>16A⁵, 32D⁶, 32E⁷, 32D⁷, 32K⁷</t>
        </is>
      </c>
      <c r="M3230" t="inlineStr"/>
      <c r="N3230" t="inlineStr">
        <is>
          <t>2A⁰, 32K⁷, 32E⁷, 4C⁰, 4G⁰, 2B⁰, 4E⁰, 8C⁰, 32F³, 32A⁴, 4B⁰, 1A⁰, 8F¹, 16E², 32B⁴, 16D¹, 16B², 8G⁰, 4D⁰, 16E³, 16D³, 8A¹, 8D⁰, 32D⁶, 8B⁰, 8B¹, 8H⁰, 8C¹, 4A⁰, 16A⁵, 32D⁷, 4F⁰, 2C⁰, 32H³</t>
        </is>
      </c>
      <c r="O3230" t="inlineStr"/>
    </row>
    <row r="3231">
      <c r="A3231">
        <f>HYPERLINK("https://mathstats.uncg.edu/sites/pauli/congruence/csg13.html#group32G13", "32G¹³")</f>
        <v/>
      </c>
      <c r="B3231" t="n">
        <v>13</v>
      </c>
      <c r="C3231" t="inlineStr"/>
      <c r="D3231" t="inlineStr">
        <is>
          <t>192</t>
        </is>
      </c>
      <c r="E3231" t="inlineStr">
        <is>
          <t>1</t>
        </is>
      </c>
      <c r="F3231" t="inlineStr">
        <is>
          <t>6</t>
        </is>
      </c>
      <c r="G3231" t="inlineStr">
        <is>
          <t>0</t>
        </is>
      </c>
      <c r="H3231" t="inlineStr">
        <is>
          <t>0</t>
        </is>
      </c>
      <c r="I3231" t="inlineStr">
        <is>
          <t>16⁴, 32⁴</t>
        </is>
      </c>
      <c r="J3231" t="n">
        <v>8</v>
      </c>
      <c r="K3231" t="inlineStr">
        <is>
          <t>1⁴, 2¹</t>
        </is>
      </c>
      <c r="L3231" t="inlineStr">
        <is>
          <t>16D⁵, 32J⁵, 32B⁷, 32D⁷, 32I⁷</t>
        </is>
      </c>
      <c r="M3231" t="inlineStr"/>
      <c r="N3231" t="inlineStr">
        <is>
          <t>2A⁰, 16D³, 16D⁵, 32J⁵, 8A¹, 4C⁰, 16B³, 8B⁰, 8L⁰, 2B⁰, 8B¹, 4E⁰, 32F³, 16J¹, 4B⁰, 1A⁰, 32A⁴, 16A², 16B⁰, 16D¹, 16B², 32I⁷, 8G¹, 16F³, 32D⁷, 32E³, 32B⁷, 8J⁰, 2C⁰</t>
        </is>
      </c>
      <c r="O3231" t="inlineStr"/>
    </row>
    <row r="3232">
      <c r="A3232">
        <f>HYPERLINK("https://mathstats.uncg.edu/sites/pauli/congruence/csg13.html#group32H13", "32H¹³")</f>
        <v/>
      </c>
      <c r="B3232" t="n">
        <v>13</v>
      </c>
      <c r="C3232" t="inlineStr"/>
      <c r="D3232" t="inlineStr">
        <is>
          <t>192</t>
        </is>
      </c>
      <c r="E3232" t="inlineStr">
        <is>
          <t>1</t>
        </is>
      </c>
      <c r="F3232" t="inlineStr">
        <is>
          <t>6</t>
        </is>
      </c>
      <c r="G3232" t="inlineStr">
        <is>
          <t>0</t>
        </is>
      </c>
      <c r="H3232" t="inlineStr">
        <is>
          <t>0</t>
        </is>
      </c>
      <c r="I3232" t="inlineStr">
        <is>
          <t>16⁴, 32⁴</t>
        </is>
      </c>
      <c r="J3232" t="n">
        <v>8</v>
      </c>
      <c r="K3232" t="inlineStr">
        <is>
          <t>1⁴, 2¹</t>
        </is>
      </c>
      <c r="L3232" t="inlineStr">
        <is>
          <t>16D⁵, 32K⁵, 32C⁷, 32E⁷, 32J⁷</t>
        </is>
      </c>
      <c r="M3232" t="inlineStr"/>
      <c r="N3232" t="inlineStr">
        <is>
          <t>2A⁰, 16D³, 16D⁵, 8A¹, 32K⁵, 32E⁷, 4C⁰, 16B³, 8B⁰, 32J⁷, 8L⁰, 32C⁷, 2B⁰, 8B¹, 4E⁰, 16J¹, 4B⁰, 1A⁰, 32G³, 32B⁴, 16A², 16B⁰, 16D¹, 16B², 8G¹, 16F³, 8J⁰, 2C⁰, 32H³</t>
        </is>
      </c>
      <c r="O3232" t="inlineStr"/>
    </row>
    <row r="3233">
      <c r="A3233">
        <f>HYPERLINK("https://mathstats.uncg.edu/sites/pauli/congruence/csg13.html#group32I13", "32I¹³")</f>
        <v/>
      </c>
      <c r="B3233" t="n">
        <v>13</v>
      </c>
      <c r="C3233" t="inlineStr"/>
      <c r="D3233" t="inlineStr">
        <is>
          <t>192</t>
        </is>
      </c>
      <c r="E3233" t="inlineStr">
        <is>
          <t>1</t>
        </is>
      </c>
      <c r="F3233" t="inlineStr">
        <is>
          <t>12</t>
        </is>
      </c>
      <c r="G3233" t="inlineStr">
        <is>
          <t>0</t>
        </is>
      </c>
      <c r="H3233" t="inlineStr">
        <is>
          <t>0</t>
        </is>
      </c>
      <c r="I3233" t="inlineStr">
        <is>
          <t>16⁴, 32⁴</t>
        </is>
      </c>
      <c r="J3233" t="n">
        <v>8</v>
      </c>
      <c r="K3233" t="inlineStr">
        <is>
          <t>2², 4²</t>
        </is>
      </c>
      <c r="L3233" t="inlineStr">
        <is>
          <t>16K³, 32E⁵, 32A⁷</t>
        </is>
      </c>
      <c r="M3233" t="inlineStr"/>
      <c r="N3233" t="inlineStr">
        <is>
          <t>32A⁷, 32E⁵, 8D⁰, 4C⁰, 8B⁰, 8A⁰, 16B¹, 2B⁰, 8K⁰, 1A⁰, 8D¹, 8H¹, 8H⁰, 16B⁰, 16K³, 4A⁰, 32D³, 4F⁰, 16F¹, 16H¹</t>
        </is>
      </c>
      <c r="O3233" t="inlineStr"/>
    </row>
    <row r="3234">
      <c r="A3234">
        <f>HYPERLINK("https://mathstats.uncg.edu/sites/pauli/congruence/csg13.html#group32J13", "32J¹³")</f>
        <v/>
      </c>
      <c r="B3234" t="n">
        <v>13</v>
      </c>
      <c r="C3234" t="inlineStr"/>
      <c r="D3234" t="inlineStr">
        <is>
          <t>192</t>
        </is>
      </c>
      <c r="E3234" t="inlineStr">
        <is>
          <t>1</t>
        </is>
      </c>
      <c r="F3234" t="inlineStr">
        <is>
          <t>12</t>
        </is>
      </c>
      <c r="G3234" t="inlineStr">
        <is>
          <t>0</t>
        </is>
      </c>
      <c r="H3234" t="inlineStr">
        <is>
          <t>0</t>
        </is>
      </c>
      <c r="I3234" t="inlineStr">
        <is>
          <t>16⁴, 32⁴</t>
        </is>
      </c>
      <c r="J3234" t="n">
        <v>8</v>
      </c>
      <c r="K3234" t="inlineStr">
        <is>
          <t>1², 2¹, 4²</t>
        </is>
      </c>
      <c r="L3234" t="inlineStr">
        <is>
          <t>16L³, 32F⁵, 32A⁷</t>
        </is>
      </c>
      <c r="M3234" t="inlineStr"/>
      <c r="N3234" t="inlineStr">
        <is>
          <t>32F⁵, 32A⁷, 16I¹, 8D⁰, 4C⁰, 8B⁰, 16B¹, 2B⁰, 1A⁰, 8H⁰, 16B⁰, 16E⁰, 8F⁰, 16L³, 4A⁰, 8I¹, 16C¹, 32D³, 4F⁰, 16F¹</t>
        </is>
      </c>
      <c r="O3234" t="inlineStr"/>
    </row>
    <row r="3235">
      <c r="A3235">
        <f>HYPERLINK("https://mathstats.uncg.edu/sites/pauli/congruence/csg13.html#group32K13", "32K¹³")</f>
        <v/>
      </c>
      <c r="B3235" t="n">
        <v>13</v>
      </c>
      <c r="C3235" t="inlineStr"/>
      <c r="D3235" t="inlineStr">
        <is>
          <t>192</t>
        </is>
      </c>
      <c r="E3235" t="inlineStr">
        <is>
          <t>1</t>
        </is>
      </c>
      <c r="F3235" t="inlineStr">
        <is>
          <t>12</t>
        </is>
      </c>
      <c r="G3235" t="inlineStr">
        <is>
          <t>0</t>
        </is>
      </c>
      <c r="H3235" t="inlineStr">
        <is>
          <t>0</t>
        </is>
      </c>
      <c r="I3235" t="inlineStr">
        <is>
          <t>16⁴, 32⁴</t>
        </is>
      </c>
      <c r="J3235" t="n">
        <v>8</v>
      </c>
      <c r="K3235" t="inlineStr">
        <is>
          <t>2⁶</t>
        </is>
      </c>
      <c r="L3235" t="inlineStr">
        <is>
          <t>16M³, 32G⁵, 32L⁵, 32A⁷, 32H⁷</t>
        </is>
      </c>
      <c r="M3235" t="inlineStr"/>
      <c r="N3235" t="inlineStr">
        <is>
          <t>32L⁵, 32A⁷, 8D⁰, 16M³, 4C⁰, 8B⁰, 16B¹, 8L⁰, 2B⁰, 32G⁵, 16J¹, 1A⁰, 16E², 16B⁰, 8H⁰, 16D¹, 16F², 4A⁰, 32D³, 32B¹, 32H⁷, 4F⁰, 16F¹, 8P⁰</t>
        </is>
      </c>
      <c r="O3235" t="inlineStr"/>
    </row>
    <row r="3236">
      <c r="A3236">
        <f>HYPERLINK("https://mathstats.uncg.edu/sites/pauli/congruence/csg13.html#group32L13", "32L¹³")</f>
        <v/>
      </c>
      <c r="B3236" t="n">
        <v>13</v>
      </c>
      <c r="C3236" t="inlineStr"/>
      <c r="D3236" t="inlineStr">
        <is>
          <t>192</t>
        </is>
      </c>
      <c r="E3236" t="inlineStr">
        <is>
          <t>1</t>
        </is>
      </c>
      <c r="F3236" t="inlineStr">
        <is>
          <t>12</t>
        </is>
      </c>
      <c r="G3236" t="inlineStr">
        <is>
          <t>0</t>
        </is>
      </c>
      <c r="H3236" t="inlineStr">
        <is>
          <t>0</t>
        </is>
      </c>
      <c r="I3236" t="inlineStr">
        <is>
          <t>16⁴, 32⁴</t>
        </is>
      </c>
      <c r="J3236" t="n">
        <v>8</v>
      </c>
      <c r="K3236" t="inlineStr">
        <is>
          <t>1⁴, 2², 4¹</t>
        </is>
      </c>
      <c r="L3236" t="inlineStr">
        <is>
          <t>16C⁵, 32F⁷</t>
        </is>
      </c>
      <c r="M3236" t="inlineStr"/>
      <c r="N3236" t="inlineStr">
        <is>
          <t>2A⁰, 32F⁷, 16D³, 8A¹, 16C⁵, 4C⁰, 16A³, 8B⁰, 16B¹, 8L⁰, 2B⁰, 8B¹, 4E⁰, 4B⁰, 1A⁰, 16D¹, 16B², 16F², 8G¹, 8J⁰, 2C⁰</t>
        </is>
      </c>
      <c r="O3236" t="inlineStr"/>
    </row>
    <row r="3237">
      <c r="A3237">
        <f>HYPERLINK("https://mathstats.uncg.edu/sites/pauli/congruence/csg13.html#group32M13", "32M¹³")</f>
        <v/>
      </c>
      <c r="B3237" t="n">
        <v>13</v>
      </c>
      <c r="C3237" t="inlineStr"/>
      <c r="D3237" t="inlineStr">
        <is>
          <t>192</t>
        </is>
      </c>
      <c r="E3237" t="inlineStr">
        <is>
          <t>1</t>
        </is>
      </c>
      <c r="F3237" t="inlineStr">
        <is>
          <t>12</t>
        </is>
      </c>
      <c r="G3237" t="inlineStr">
        <is>
          <t>0</t>
        </is>
      </c>
      <c r="H3237" t="inlineStr">
        <is>
          <t>0</t>
        </is>
      </c>
      <c r="I3237" t="inlineStr">
        <is>
          <t>16⁴, 32⁴</t>
        </is>
      </c>
      <c r="J3237" t="n">
        <v>8</v>
      </c>
      <c r="K3237" t="inlineStr">
        <is>
          <t>1⁴, 2², 4¹</t>
        </is>
      </c>
      <c r="L3237" t="inlineStr">
        <is>
          <t>32N³, 16D⁵, 32L⁵, 32G⁷, 32H⁷</t>
        </is>
      </c>
      <c r="M3237" t="inlineStr"/>
      <c r="N3237" t="inlineStr">
        <is>
          <t>32L⁵, 32G⁷, 2A⁰, 16D³, 16D⁵, 8A¹, 4C⁰, 8B⁰, 16B³, 8L⁰, 2B⁰, 8B¹, 4E⁰, 16J¹, 4B⁰, 1A⁰, 32N³, 16B⁰, 16A², 16D¹, 16B², 8G¹, 16F³, 32D³, 32B¹, 32H⁷, 8J⁰, 2C⁰</t>
        </is>
      </c>
      <c r="O3237" t="inlineStr"/>
    </row>
    <row r="3238">
      <c r="A3238">
        <f>HYPERLINK("https://mathstats.uncg.edu/sites/pauli/congruence/csg13.html#group32N13", "32N¹³")</f>
        <v/>
      </c>
      <c r="B3238" t="n">
        <v>13</v>
      </c>
      <c r="C3238" t="inlineStr"/>
      <c r="D3238" t="inlineStr">
        <is>
          <t>192</t>
        </is>
      </c>
      <c r="E3238" t="inlineStr">
        <is>
          <t>1</t>
        </is>
      </c>
      <c r="F3238" t="inlineStr">
        <is>
          <t>24</t>
        </is>
      </c>
      <c r="G3238" t="inlineStr">
        <is>
          <t>0</t>
        </is>
      </c>
      <c r="H3238" t="inlineStr">
        <is>
          <t>0</t>
        </is>
      </c>
      <c r="I3238" t="inlineStr">
        <is>
          <t>16⁴, 32⁴</t>
        </is>
      </c>
      <c r="J3238" t="n">
        <v>8</v>
      </c>
      <c r="K3238" t="inlineStr">
        <is>
          <t>2⁸, 8¹</t>
        </is>
      </c>
      <c r="L3238" t="inlineStr">
        <is>
          <t>16R³, 32K⁵, 32H⁷</t>
        </is>
      </c>
      <c r="M3238" t="inlineStr"/>
      <c r="N3238" t="inlineStr">
        <is>
          <t>16B⁰, 16D¹, 32K⁵, 4C⁰, 8B⁰, 8L⁰, 2B⁰, 32H⁷, 32G³, 16R³, 16J¹, 32D³, 1A⁰, 32H³</t>
        </is>
      </c>
      <c r="O3238" t="inlineStr"/>
    </row>
    <row r="3239">
      <c r="A3239">
        <f>HYPERLINK("https://mathstats.uncg.edu/sites/pauli/congruence/csg13.html#group32O13", "32O¹³")</f>
        <v/>
      </c>
      <c r="B3239" t="n">
        <v>13</v>
      </c>
      <c r="C3239" t="inlineStr"/>
      <c r="D3239" t="inlineStr">
        <is>
          <t>192</t>
        </is>
      </c>
      <c r="E3239" t="inlineStr">
        <is>
          <t>1</t>
        </is>
      </c>
      <c r="F3239" t="inlineStr">
        <is>
          <t>24</t>
        </is>
      </c>
      <c r="G3239" t="inlineStr">
        <is>
          <t>0</t>
        </is>
      </c>
      <c r="H3239" t="inlineStr">
        <is>
          <t>0</t>
        </is>
      </c>
      <c r="I3239" t="inlineStr">
        <is>
          <t>16⁴, 32⁴</t>
        </is>
      </c>
      <c r="J3239" t="n">
        <v>8</v>
      </c>
      <c r="K3239" t="inlineStr">
        <is>
          <t>2⁸, 8¹</t>
        </is>
      </c>
      <c r="L3239" t="inlineStr">
        <is>
          <t>16S³, 32J⁵, 32H⁷</t>
        </is>
      </c>
      <c r="M3239" t="inlineStr"/>
      <c r="N3239" t="inlineStr">
        <is>
          <t>16B⁰, 32F³, 16D¹, 32J⁵, 4C⁰, 8B⁰, 16S³, 8L⁰, 2B⁰, 32H⁷, 32D³, 32E³, 16J¹, 1A⁰</t>
        </is>
      </c>
      <c r="O3239" t="inlineStr"/>
    </row>
    <row r="3240">
      <c r="A3240">
        <f>HYPERLINK("https://mathstats.uncg.edu/sites/pauli/congruence/csg13.html#group32P13", "32P¹³")</f>
        <v/>
      </c>
      <c r="B3240" t="n">
        <v>13</v>
      </c>
      <c r="C3240" t="inlineStr"/>
      <c r="D3240" t="inlineStr">
        <is>
          <t>192</t>
        </is>
      </c>
      <c r="E3240" t="inlineStr">
        <is>
          <t>1</t>
        </is>
      </c>
      <c r="F3240" t="inlineStr">
        <is>
          <t>48</t>
        </is>
      </c>
      <c r="G3240" t="inlineStr">
        <is>
          <t>0</t>
        </is>
      </c>
      <c r="H3240" t="inlineStr">
        <is>
          <t>0</t>
        </is>
      </c>
      <c r="I3240" t="inlineStr">
        <is>
          <t>16⁴, 32⁴</t>
        </is>
      </c>
      <c r="J3240" t="n">
        <v>8</v>
      </c>
      <c r="K3240" t="inlineStr">
        <is>
          <t>4¹⁰, 8¹</t>
        </is>
      </c>
      <c r="L3240" t="inlineStr">
        <is>
          <t>16H⁵, 32K⁷</t>
        </is>
      </c>
      <c r="M3240" t="inlineStr"/>
      <c r="N3240" t="inlineStr">
        <is>
          <t>16D², 8A¹, 16H⁵, 8D⁰, 32K⁷, 4C⁰, 8B², 8A⁰, 2B⁰, 32A⁴, 1A⁰, 8K⁰, 8D¹, 32B⁴, 16E⁰, 8C¹, 16B², 4A⁰, 16C¹, 4F⁰, 16E³</t>
        </is>
      </c>
      <c r="O3240" t="inlineStr"/>
    </row>
    <row r="3241">
      <c r="A3241">
        <f>HYPERLINK("https://mathstats.uncg.edu/sites/pauli/congruence/csg13.html#group32Q13", "32Q¹³")</f>
        <v/>
      </c>
      <c r="B3241" t="n">
        <v>13</v>
      </c>
      <c r="C3241" t="inlineStr"/>
      <c r="D3241" t="inlineStr">
        <is>
          <t>192</t>
        </is>
      </c>
      <c r="E3241" t="inlineStr">
        <is>
          <t>2</t>
        </is>
      </c>
      <c r="F3241" t="inlineStr">
        <is>
          <t>24</t>
        </is>
      </c>
      <c r="G3241" t="inlineStr">
        <is>
          <t>0</t>
        </is>
      </c>
      <c r="H3241" t="inlineStr">
        <is>
          <t>0</t>
        </is>
      </c>
      <c r="I3241" t="inlineStr">
        <is>
          <t>16⁴, 32⁴</t>
        </is>
      </c>
      <c r="J3241" t="n">
        <v>8</v>
      </c>
      <c r="K3241" t="inlineStr">
        <is>
          <t>2⁸, 4⁴, 8²</t>
        </is>
      </c>
      <c r="L3241" t="inlineStr">
        <is>
          <t>16G⁵, 32C⁶, 32D⁶, 32E⁶, 32F⁶, 32I⁷, 32J⁷</t>
        </is>
      </c>
      <c r="M3241" t="inlineStr"/>
      <c r="N3241" t="inlineStr">
        <is>
          <t>32F⁶, 16C³, 8D⁰, 32D⁶, 4C⁰, 8B⁰, 16G⁵, 32J⁷, 16B¹, 8L⁰, 2B⁰, 32G³, 32F³, 1A⁰, 16E², 16A², 8H⁰, 16D¹, 32E⁶, 32C⁶, 32I⁷, 16F², 4A⁰, 16F³, 32E³, 4F⁰, 8P⁰, 32H³</t>
        </is>
      </c>
      <c r="O3241" t="inlineStr"/>
    </row>
    <row r="3242">
      <c r="A3242">
        <f>HYPERLINK("https://mathstats.uncg.edu/sites/pauli/congruence/csg13.html#group32R13", "32R¹³")</f>
        <v/>
      </c>
      <c r="B3242" t="n">
        <v>13</v>
      </c>
      <c r="C3242" t="inlineStr"/>
      <c r="D3242" t="inlineStr">
        <is>
          <t>192</t>
        </is>
      </c>
      <c r="E3242" t="inlineStr">
        <is>
          <t>2</t>
        </is>
      </c>
      <c r="F3242" t="inlineStr">
        <is>
          <t>96</t>
        </is>
      </c>
      <c r="G3242" t="inlineStr">
        <is>
          <t>4</t>
        </is>
      </c>
      <c r="H3242" t="inlineStr">
        <is>
          <t>0</t>
        </is>
      </c>
      <c r="I3242" t="inlineStr">
        <is>
          <t>32⁶</t>
        </is>
      </c>
      <c r="J3242" t="n">
        <v>6</v>
      </c>
      <c r="K3242" t="inlineStr">
        <is>
          <t>16¹²</t>
        </is>
      </c>
      <c r="L3242" t="inlineStr">
        <is>
          <t>16I⁵</t>
        </is>
      </c>
      <c r="M3242" t="inlineStr"/>
      <c r="N3242" t="inlineStr">
        <is>
          <t>8H⁰, 8D⁰, 4A⁰, 16I⁵, 4C⁰, 8B⁰, 8A⁰, 1A⁰, 2B⁰, 4F⁰, 8K⁰, 8D¹, 8H¹</t>
        </is>
      </c>
      <c r="O3242" t="inlineStr"/>
    </row>
    <row r="3243">
      <c r="A3243">
        <f>HYPERLINK("https://mathstats.uncg.edu/sites/pauli/congruence/csg13.html#group32S13", "32S¹³")</f>
        <v/>
      </c>
      <c r="B3243" t="n">
        <v>13</v>
      </c>
      <c r="C3243" t="inlineStr"/>
      <c r="D3243" t="inlineStr">
        <is>
          <t>256</t>
        </is>
      </c>
      <c r="E3243" t="inlineStr">
        <is>
          <t>1</t>
        </is>
      </c>
      <c r="F3243" t="inlineStr">
        <is>
          <t>16</t>
        </is>
      </c>
      <c r="G3243" t="inlineStr">
        <is>
          <t>0</t>
        </is>
      </c>
      <c r="H3243" t="inlineStr">
        <is>
          <t>16</t>
        </is>
      </c>
      <c r="I3243" t="inlineStr">
        <is>
          <t>32⁸</t>
        </is>
      </c>
      <c r="J3243" t="n">
        <v>8</v>
      </c>
      <c r="K3243" t="inlineStr">
        <is>
          <t>4⁴</t>
        </is>
      </c>
      <c r="L3243" t="inlineStr">
        <is>
          <t>16K⁵, 32G⁶</t>
        </is>
      </c>
      <c r="M3243" t="inlineStr"/>
      <c r="N3243" t="inlineStr">
        <is>
          <t>2A⁰, 8F⁰, 16A⁰, 16H², 4A⁰, 16F⁰, 4D⁰, 8A⁰, 8E⁰, 1A⁰, 8E¹, 8M⁰, 8J¹, 16K⁵, 32G⁶</t>
        </is>
      </c>
      <c r="O3243" t="inlineStr"/>
    </row>
    <row r="3244">
      <c r="A3244">
        <f>HYPERLINK("https://mathstats.uncg.edu/sites/pauli/congruence/csg13.html#group32T13", "32T¹³")</f>
        <v/>
      </c>
      <c r="B3244" t="n">
        <v>13</v>
      </c>
      <c r="C3244" t="inlineStr"/>
      <c r="D3244" t="inlineStr">
        <is>
          <t>384</t>
        </is>
      </c>
      <c r="E3244" t="inlineStr">
        <is>
          <t>1</t>
        </is>
      </c>
      <c r="F3244" t="inlineStr">
        <is>
          <t>3</t>
        </is>
      </c>
      <c r="G3244" t="inlineStr">
        <is>
          <t>0</t>
        </is>
      </c>
      <c r="H3244" t="inlineStr">
        <is>
          <t>0</t>
        </is>
      </c>
      <c r="I3244" t="inlineStr">
        <is>
          <t>4³², 32⁸</t>
        </is>
      </c>
      <c r="J3244" t="n">
        <v>40</v>
      </c>
      <c r="K3244" t="inlineStr">
        <is>
          <t>1³</t>
        </is>
      </c>
      <c r="L3244" t="inlineStr">
        <is>
          <t>16M⁵, 32N⁵, 32H⁶, 32L⁷</t>
        </is>
      </c>
      <c r="M3244" t="inlineStr"/>
      <c r="N3244" t="inlineStr">
        <is>
          <t>16G⁰, 2A⁰, 16I¹, 16M⁵, 32N⁵, 4C⁰, 8L⁰, 2B⁰, 32D¹, 8C⁰, 4E⁰, 4G⁰, 4B⁰, 1A⁰, 8F¹, 32Q³, 16J³, 8K⁰, 16H⁰, 16E⁰, 8G⁰, 32O³, 4D⁰, 8G¹, 16C⁰, 16M¹, 8P⁰, 16H¹, 32L⁷, 8J⁰, 16D², 8N⁰, 8A¹, 32C⁴, 16C², 32C², 8D⁰, 8K¹, 16E¹, 8B⁰, 8B¹, 8I⁰, 16L², 16I³, 16A¹, 16H³, 8H⁰, 32B², 32C¹, 8C¹, 16G¹, 4A⁰, 16C¹, 16D⁰, 4F⁰, 32H⁶, 32P³, 2C⁰, 8O⁰</t>
        </is>
      </c>
      <c r="O3244" t="inlineStr"/>
    </row>
    <row r="3245">
      <c r="A3245">
        <f>HYPERLINK("https://mathstats.uncg.edu/sites/pauli/congruence/csg13.html#group32U13", "32U¹³")</f>
        <v/>
      </c>
      <c r="B3245" t="n">
        <v>13</v>
      </c>
      <c r="C3245" t="inlineStr"/>
      <c r="D3245" t="inlineStr">
        <is>
          <t>384</t>
        </is>
      </c>
      <c r="E3245" t="inlineStr">
        <is>
          <t>1</t>
        </is>
      </c>
      <c r="F3245" t="inlineStr">
        <is>
          <t>12</t>
        </is>
      </c>
      <c r="G3245" t="inlineStr">
        <is>
          <t>0</t>
        </is>
      </c>
      <c r="H3245" t="inlineStr">
        <is>
          <t>0</t>
        </is>
      </c>
      <c r="I3245" t="inlineStr">
        <is>
          <t>2¹⁶, 4⁸, 8⁸, 32⁸</t>
        </is>
      </c>
      <c r="J3245" t="n">
        <v>40</v>
      </c>
      <c r="K3245" t="inlineStr">
        <is>
          <t>1⁴, 2², 4¹</t>
        </is>
      </c>
      <c r="L3245" t="inlineStr">
        <is>
          <t>16N⁵, 32M⁵, 32N⁵, 32O⁵, 32M⁷</t>
        </is>
      </c>
      <c r="M3245" t="inlineStr"/>
      <c r="N3245" t="inlineStr">
        <is>
          <t>16G⁰, 2A⁰, 32N⁵, 4C⁰, 32M³, 16A¹, 8C⁰, 32M⁷, 2B⁰, 4E⁰, 4B⁰, 32D¹, 1A⁰, 16J², 32M⁵, 16H⁰, 16E⁰, 32A¹, 8G⁰, 32O³, 16C⁰, 32A⁰, 16M¹, 32E¹, 16N⁵, 32C², 8D⁰, 16E¹, 32O⁵, 8I⁰, 32K³, 16K², 32J³, 16N³, 32B², 32C¹, 16G¹, 16D⁰, 32A², 8J⁰, 2C⁰, 8O⁰</t>
        </is>
      </c>
      <c r="O3245" t="inlineStr"/>
    </row>
    <row r="3246">
      <c r="A3246">
        <f>HYPERLINK("https://mathstats.uncg.edu/sites/pauli/congruence/csg13.html#group33A13", "33A¹³")</f>
        <v/>
      </c>
      <c r="B3246" t="n">
        <v>13</v>
      </c>
      <c r="C3246" t="inlineStr"/>
      <c r="D3246" t="inlineStr">
        <is>
          <t>220</t>
        </is>
      </c>
      <c r="E3246" t="inlineStr">
        <is>
          <t>1</t>
        </is>
      </c>
      <c r="F3246" t="inlineStr">
        <is>
          <t>220</t>
        </is>
      </c>
      <c r="G3246" t="inlineStr">
        <is>
          <t>0</t>
        </is>
      </c>
      <c r="H3246" t="inlineStr">
        <is>
          <t>4</t>
        </is>
      </c>
      <c r="I3246" t="inlineStr">
        <is>
          <t>11⁵, 33⁵</t>
        </is>
      </c>
      <c r="J3246" t="n">
        <v>10</v>
      </c>
      <c r="K3246" t="inlineStr">
        <is>
          <t>5², 10¹¹, 20⁵</t>
        </is>
      </c>
      <c r="L3246" t="inlineStr">
        <is>
          <t>11B¹, 33B³</t>
        </is>
      </c>
      <c r="M3246" t="inlineStr"/>
      <c r="N3246" t="inlineStr">
        <is>
          <t>11A⁰, 3B⁰, 1A⁰, 11B¹, 33B³</t>
        </is>
      </c>
      <c r="O3246" t="inlineStr"/>
    </row>
    <row r="3247">
      <c r="A3247">
        <f>HYPERLINK("https://mathstats.uncg.edu/sites/pauli/congruence/csg13.html#group34A13", "34A¹³")</f>
        <v/>
      </c>
      <c r="B3247" t="n">
        <v>13</v>
      </c>
      <c r="C3247" t="inlineStr"/>
      <c r="D3247" t="inlineStr">
        <is>
          <t>204</t>
        </is>
      </c>
      <c r="E3247" t="inlineStr">
        <is>
          <t>1</t>
        </is>
      </c>
      <c r="F3247" t="inlineStr">
        <is>
          <t>102</t>
        </is>
      </c>
      <c r="G3247" t="inlineStr">
        <is>
          <t>0</t>
        </is>
      </c>
      <c r="H3247" t="inlineStr">
        <is>
          <t>6</t>
        </is>
      </c>
      <c r="I3247" t="inlineStr">
        <is>
          <t>34⁶</t>
        </is>
      </c>
      <c r="J3247" t="n">
        <v>6</v>
      </c>
      <c r="K3247" t="inlineStr">
        <is>
          <t>4¹, 8¹, 16¹²</t>
        </is>
      </c>
      <c r="L3247" t="inlineStr">
        <is>
          <t>2A⁰, 17A⁴</t>
        </is>
      </c>
      <c r="M3247" t="inlineStr"/>
      <c r="N3247" t="inlineStr">
        <is>
          <t>2A⁰, 1A⁰, 17A⁴</t>
        </is>
      </c>
      <c r="O3247" t="inlineStr"/>
    </row>
    <row r="3248">
      <c r="A3248">
        <f>HYPERLINK("https://mathstats.uncg.edu/sites/pauli/congruence/csg13.html#group34B13", "34B¹³")</f>
        <v/>
      </c>
      <c r="B3248" t="n">
        <v>13</v>
      </c>
      <c r="C3248" t="inlineStr"/>
      <c r="D3248" t="inlineStr">
        <is>
          <t>204</t>
        </is>
      </c>
      <c r="E3248" t="inlineStr">
        <is>
          <t>1</t>
        </is>
      </c>
      <c r="F3248" t="inlineStr">
        <is>
          <t>102</t>
        </is>
      </c>
      <c r="G3248" t="inlineStr">
        <is>
          <t>0</t>
        </is>
      </c>
      <c r="H3248" t="inlineStr">
        <is>
          <t>6</t>
        </is>
      </c>
      <c r="I3248" t="inlineStr">
        <is>
          <t>34⁶</t>
        </is>
      </c>
      <c r="J3248" t="n">
        <v>6</v>
      </c>
      <c r="K3248" t="inlineStr">
        <is>
          <t>4¹, 8¹, 16¹²</t>
        </is>
      </c>
      <c r="L3248" t="inlineStr">
        <is>
          <t>2A⁰, 17B⁴</t>
        </is>
      </c>
      <c r="M3248" t="inlineStr"/>
      <c r="N3248" t="inlineStr">
        <is>
          <t>2A⁰, 1A⁰, 17B⁴</t>
        </is>
      </c>
      <c r="O3248" t="inlineStr"/>
    </row>
    <row r="3249">
      <c r="A3249">
        <f>HYPERLINK("https://mathstats.uncg.edu/sites/pauli/congruence/csg13.html#group34C13", "34C¹³")</f>
        <v/>
      </c>
      <c r="B3249" t="n">
        <v>13</v>
      </c>
      <c r="C3249" t="inlineStr"/>
      <c r="D3249" t="inlineStr">
        <is>
          <t>216</t>
        </is>
      </c>
      <c r="E3249" t="inlineStr">
        <is>
          <t>1</t>
        </is>
      </c>
      <c r="F3249" t="inlineStr">
        <is>
          <t>18</t>
        </is>
      </c>
      <c r="G3249" t="inlineStr">
        <is>
          <t>0</t>
        </is>
      </c>
      <c r="H3249" t="inlineStr">
        <is>
          <t>0</t>
        </is>
      </c>
      <c r="I3249" t="inlineStr">
        <is>
          <t>2⁶, 34⁶</t>
        </is>
      </c>
      <c r="J3249" t="n">
        <v>12</v>
      </c>
      <c r="K3249" t="inlineStr">
        <is>
          <t>1², 16¹</t>
        </is>
      </c>
      <c r="L3249" t="inlineStr">
        <is>
          <t>34B⁵, 34C⁵, 34A⁷, 34B⁷</t>
        </is>
      </c>
      <c r="M3249" t="inlineStr"/>
      <c r="N3249" t="inlineStr">
        <is>
          <t>2A⁰, 34C³, 34A⁷, 17B¹, 34C⁵, 34B⁵, 34B⁷, 17A¹, 2B⁰, 34B³, 1A⁰, 2C⁰, 34A³</t>
        </is>
      </c>
      <c r="O3249" t="inlineStr"/>
    </row>
    <row r="3250">
      <c r="A3250">
        <f>HYPERLINK("https://mathstats.uncg.edu/sites/pauli/congruence/csg13.html#group34D13", "34D¹³")</f>
        <v/>
      </c>
      <c r="B3250" t="n">
        <v>13</v>
      </c>
      <c r="C3250" t="inlineStr"/>
      <c r="D3250" t="inlineStr">
        <is>
          <t>216</t>
        </is>
      </c>
      <c r="E3250" t="inlineStr">
        <is>
          <t>1</t>
        </is>
      </c>
      <c r="F3250" t="inlineStr">
        <is>
          <t>54</t>
        </is>
      </c>
      <c r="G3250" t="inlineStr">
        <is>
          <t>0</t>
        </is>
      </c>
      <c r="H3250" t="inlineStr">
        <is>
          <t>0</t>
        </is>
      </c>
      <c r="I3250" t="inlineStr">
        <is>
          <t>2⁶, 34⁶</t>
        </is>
      </c>
      <c r="J3250" t="n">
        <v>12</v>
      </c>
      <c r="K3250" t="inlineStr">
        <is>
          <t>1⁶, 16³</t>
        </is>
      </c>
      <c r="L3250" t="inlineStr">
        <is>
          <t>34A⁵, 34C⁵</t>
        </is>
      </c>
      <c r="M3250" t="inlineStr"/>
      <c r="N3250" t="inlineStr">
        <is>
          <t>34C³, 34A⁵, 17B¹, 34C⁵, 17A¹, 2B⁰, 1A⁰</t>
        </is>
      </c>
      <c r="O3250" t="inlineStr"/>
    </row>
    <row r="3251">
      <c r="A3251">
        <f>HYPERLINK("https://mathstats.uncg.edu/sites/pauli/congruence/csg13.html#group35A13", "35A¹³")</f>
        <v/>
      </c>
      <c r="B3251" t="n">
        <v>13</v>
      </c>
      <c r="C3251" t="inlineStr"/>
      <c r="D3251" t="inlineStr">
        <is>
          <t>210</t>
        </is>
      </c>
      <c r="E3251" t="inlineStr">
        <is>
          <t>1</t>
        </is>
      </c>
      <c r="F3251" t="inlineStr">
        <is>
          <t>210</t>
        </is>
      </c>
      <c r="G3251" t="inlineStr">
        <is>
          <t>10</t>
        </is>
      </c>
      <c r="H3251" t="inlineStr">
        <is>
          <t>0</t>
        </is>
      </c>
      <c r="I3251" t="inlineStr">
        <is>
          <t>35⁶</t>
        </is>
      </c>
      <c r="J3251" t="n">
        <v>6</v>
      </c>
      <c r="K3251" t="inlineStr">
        <is>
          <t>6¹, 12⁵, 24⁶</t>
        </is>
      </c>
      <c r="L3251" t="inlineStr">
        <is>
          <t>7D⁰, 35B⁴</t>
        </is>
      </c>
      <c r="M3251" t="inlineStr"/>
      <c r="N3251" t="inlineStr">
        <is>
          <t>5C⁰, 7D⁰, 1A⁰, 35B⁴, 7A⁰</t>
        </is>
      </c>
      <c r="O3251" t="inlineStr"/>
    </row>
    <row r="3252">
      <c r="A3252">
        <f>HYPERLINK("https://mathstats.uncg.edu/sites/pauli/congruence/csg13.html#group35B13", "35B¹³")</f>
        <v/>
      </c>
      <c r="B3252" t="n">
        <v>13</v>
      </c>
      <c r="C3252" t="inlineStr"/>
      <c r="D3252" t="inlineStr">
        <is>
          <t>210</t>
        </is>
      </c>
      <c r="E3252" t="inlineStr">
        <is>
          <t>2</t>
        </is>
      </c>
      <c r="F3252" t="inlineStr">
        <is>
          <t>105</t>
        </is>
      </c>
      <c r="G3252" t="inlineStr">
        <is>
          <t>10</t>
        </is>
      </c>
      <c r="H3252" t="inlineStr">
        <is>
          <t>0</t>
        </is>
      </c>
      <c r="I3252" t="inlineStr">
        <is>
          <t>35⁶</t>
        </is>
      </c>
      <c r="J3252" t="n">
        <v>6</v>
      </c>
      <c r="K3252" t="inlineStr">
        <is>
          <t>2¹, 4¹, 6², 8³, 12², 24⁶</t>
        </is>
      </c>
      <c r="L3252" t="inlineStr">
        <is>
          <t>35B⁶</t>
        </is>
      </c>
      <c r="M3252" t="inlineStr"/>
      <c r="N3252" t="inlineStr">
        <is>
          <t>5E⁰, 5A⁰, 35B⁶, 1A⁰, 35A², 7A⁰</t>
        </is>
      </c>
      <c r="O3252" t="inlineStr"/>
    </row>
    <row r="3253">
      <c r="A3253">
        <f>HYPERLINK("https://mathstats.uncg.edu/sites/pauli/congruence/csg13.html#group35C13", "35C¹³")</f>
        <v/>
      </c>
      <c r="B3253" t="n">
        <v>13</v>
      </c>
      <c r="C3253" t="inlineStr"/>
      <c r="D3253" t="inlineStr">
        <is>
          <t>252</t>
        </is>
      </c>
      <c r="E3253" t="inlineStr">
        <is>
          <t>2</t>
        </is>
      </c>
      <c r="F3253" t="inlineStr">
        <is>
          <t>42</t>
        </is>
      </c>
      <c r="G3253" t="inlineStr">
        <is>
          <t>12</t>
        </is>
      </c>
      <c r="H3253" t="inlineStr">
        <is>
          <t>0</t>
        </is>
      </c>
      <c r="I3253" t="inlineStr">
        <is>
          <t>7⁶, 35⁶</t>
        </is>
      </c>
      <c r="J3253" t="n">
        <v>12</v>
      </c>
      <c r="K3253" t="inlineStr">
        <is>
          <t>2², 6⁴, 8¹, 24²</t>
        </is>
      </c>
      <c r="L3253" t="inlineStr">
        <is>
          <t>7G⁰, 35B⁵, 35E⁶</t>
        </is>
      </c>
      <c r="M3253" t="inlineStr"/>
      <c r="N3253" t="inlineStr">
        <is>
          <t>35C², 7D⁰, 35E⁶, 7C⁰, 5B⁰, 35B⁵, 7G⁰, 1A⁰, 7A⁰</t>
        </is>
      </c>
      <c r="O3253" t="inlineStr"/>
    </row>
    <row r="3254">
      <c r="A3254">
        <f>HYPERLINK("https://mathstats.uncg.edu/sites/pauli/congruence/csg13.html#group35D13", "35D¹³")</f>
        <v/>
      </c>
      <c r="B3254" t="n">
        <v>13</v>
      </c>
      <c r="C3254" t="inlineStr"/>
      <c r="D3254" t="inlineStr">
        <is>
          <t>288</t>
        </is>
      </c>
      <c r="E3254" t="inlineStr">
        <is>
          <t>1</t>
        </is>
      </c>
      <c r="F3254" t="inlineStr">
        <is>
          <t>48</t>
        </is>
      </c>
      <c r="G3254" t="inlineStr">
        <is>
          <t>0</t>
        </is>
      </c>
      <c r="H3254" t="inlineStr">
        <is>
          <t>0</t>
        </is>
      </c>
      <c r="I3254" t="inlineStr">
        <is>
          <t>1⁶, 5⁶, 7⁶, 35⁶</t>
        </is>
      </c>
      <c r="J3254" t="n">
        <v>24</v>
      </c>
      <c r="K3254" t="inlineStr">
        <is>
          <t>1⁴, 4², 6², 24¹</t>
        </is>
      </c>
      <c r="L3254" t="inlineStr">
        <is>
          <t>35C⁵, 35B⁷</t>
        </is>
      </c>
      <c r="M3254" t="inlineStr"/>
      <c r="N3254" t="inlineStr">
        <is>
          <t>35B⁷, 7B⁰, 5B⁰, 5D⁰, 7E⁰, 1A⁰, 35A³, 35C⁵</t>
        </is>
      </c>
      <c r="O3254" t="inlineStr"/>
    </row>
    <row r="3255">
      <c r="A3255">
        <f>HYPERLINK("https://mathstats.uncg.edu/sites/pauli/congruence/csg13.html#group36A13", "36A¹³")</f>
        <v/>
      </c>
      <c r="B3255" t="n">
        <v>13</v>
      </c>
      <c r="C3255" t="inlineStr"/>
      <c r="D3255" t="inlineStr">
        <is>
          <t>192</t>
        </is>
      </c>
      <c r="E3255" t="inlineStr">
        <is>
          <t>1</t>
        </is>
      </c>
      <c r="F3255" t="inlineStr">
        <is>
          <t>16</t>
        </is>
      </c>
      <c r="G3255" t="inlineStr">
        <is>
          <t>0</t>
        </is>
      </c>
      <c r="H3255" t="inlineStr">
        <is>
          <t>0</t>
        </is>
      </c>
      <c r="I3255" t="inlineStr">
        <is>
          <t>12⁴, 36⁴</t>
        </is>
      </c>
      <c r="J3255" t="n">
        <v>8</v>
      </c>
      <c r="K3255" t="inlineStr">
        <is>
          <t>2⁴, 4²</t>
        </is>
      </c>
      <c r="L3255" t="inlineStr">
        <is>
          <t>12R¹, 36A⁴, 36A⁷</t>
        </is>
      </c>
      <c r="M3255" t="inlineStr"/>
      <c r="N3255" t="inlineStr">
        <is>
          <t>3B⁰, 2A⁰, 12I¹, 6C⁰, 1A⁰, 36A⁷, 18B², 4A⁰, 4D⁰, 12A¹, 9A¹, 36A⁴, 36C⁴, 12R¹, 12B⁰</t>
        </is>
      </c>
      <c r="O3255" t="inlineStr"/>
    </row>
    <row r="3256">
      <c r="A3256">
        <f>HYPERLINK("https://mathstats.uncg.edu/sites/pauli/congruence/csg13.html#group36B13", "36B¹³")</f>
        <v/>
      </c>
      <c r="B3256" t="n">
        <v>13</v>
      </c>
      <c r="C3256" t="inlineStr"/>
      <c r="D3256" t="inlineStr">
        <is>
          <t>192</t>
        </is>
      </c>
      <c r="E3256" t="inlineStr">
        <is>
          <t>1</t>
        </is>
      </c>
      <c r="F3256" t="inlineStr">
        <is>
          <t>32</t>
        </is>
      </c>
      <c r="G3256" t="inlineStr">
        <is>
          <t>0</t>
        </is>
      </c>
      <c r="H3256" t="inlineStr">
        <is>
          <t>0</t>
        </is>
      </c>
      <c r="I3256" t="inlineStr">
        <is>
          <t>12⁴, 36⁴</t>
        </is>
      </c>
      <c r="J3256" t="n">
        <v>8</v>
      </c>
      <c r="K3256" t="inlineStr">
        <is>
          <t>4⁸</t>
        </is>
      </c>
      <c r="L3256" t="inlineStr">
        <is>
          <t>12R¹, 36B⁴, 36B⁷</t>
        </is>
      </c>
      <c r="M3256" t="inlineStr"/>
      <c r="N3256" t="inlineStr">
        <is>
          <t>2A⁰, 3B⁰, 12I¹, 4A⁰, 36B⁷, 4D⁰, 12A¹, 6C⁰, 36B⁴, 12R¹, 12B⁰, 1A⁰, 18C²</t>
        </is>
      </c>
      <c r="O3256" t="inlineStr"/>
    </row>
    <row r="3257">
      <c r="A3257">
        <f>HYPERLINK("https://mathstats.uncg.edu/sites/pauli/congruence/csg13.html#group36C13", "36C¹³")</f>
        <v/>
      </c>
      <c r="B3257" t="n">
        <v>13</v>
      </c>
      <c r="C3257" t="inlineStr"/>
      <c r="D3257" t="inlineStr">
        <is>
          <t>216</t>
        </is>
      </c>
      <c r="E3257" t="inlineStr">
        <is>
          <t>1</t>
        </is>
      </c>
      <c r="F3257" t="inlineStr">
        <is>
          <t>9</t>
        </is>
      </c>
      <c r="G3257" t="inlineStr">
        <is>
          <t>0</t>
        </is>
      </c>
      <c r="H3257" t="inlineStr">
        <is>
          <t>0</t>
        </is>
      </c>
      <c r="I3257" t="inlineStr">
        <is>
          <t>9⁸, 36⁴</t>
        </is>
      </c>
      <c r="J3257" t="n">
        <v>12</v>
      </c>
      <c r="K3257" t="inlineStr">
        <is>
          <t>1³, 2³</t>
        </is>
      </c>
      <c r="L3257" t="inlineStr">
        <is>
          <t>12S¹, 36P⁴, 18A⁶, 36H⁶, 36C⁷, 36D⁷</t>
        </is>
      </c>
      <c r="M3257" t="inlineStr"/>
      <c r="N3257" t="inlineStr">
        <is>
          <t>3B⁰, 12K¹, 36P⁴, 6G⁰, 12S¹, 2B⁰, 4B⁰, 36D⁷, 1A⁰, 9B¹, 18E³, 36H⁶, 3D⁰, 36C⁷, 12G⁰, 9D⁰, 9A², 18A⁶, 9A⁰, 36D⁴, 12E⁰, 3C⁰, 6K⁰, 12B¹, 12D⁰, 18E¹, 3A⁰, 6F⁰, 36D³, 18I², 6D⁰, 36C²</t>
        </is>
      </c>
      <c r="O3257" t="inlineStr"/>
    </row>
    <row r="3258">
      <c r="A3258">
        <f>HYPERLINK("https://mathstats.uncg.edu/sites/pauli/congruence/csg13.html#group36D13", "36D¹³")</f>
        <v/>
      </c>
      <c r="B3258" t="n">
        <v>13</v>
      </c>
      <c r="C3258" t="inlineStr"/>
      <c r="D3258" t="inlineStr">
        <is>
          <t>216</t>
        </is>
      </c>
      <c r="E3258" t="inlineStr">
        <is>
          <t>1</t>
        </is>
      </c>
      <c r="F3258" t="inlineStr">
        <is>
          <t>12</t>
        </is>
      </c>
      <c r="G3258" t="inlineStr">
        <is>
          <t>0</t>
        </is>
      </c>
      <c r="H3258" t="inlineStr">
        <is>
          <t>0</t>
        </is>
      </c>
      <c r="I3258" t="inlineStr">
        <is>
          <t>6³, 12³, 18³, 36³</t>
        </is>
      </c>
      <c r="J3258" t="n">
        <v>12</v>
      </c>
      <c r="K3258" t="inlineStr">
        <is>
          <t>1⁶, 2³</t>
        </is>
      </c>
      <c r="L3258" t="inlineStr">
        <is>
          <t>12D³, 36G³, 18M⁴, 36A⁵, 36B⁵</t>
        </is>
      </c>
      <c r="M3258" t="inlineStr"/>
      <c r="N3258" t="inlineStr">
        <is>
          <t>3B⁰, 12C⁰, 12F¹, 4C⁰, 12C², 18E², 6G⁰, 9B⁰, 18D², 36B⁵, 2B⁰, 36A⁵, 9C⁰, 1A⁰, 12L¹, 18E⁰, 12D³, 12C¹, 9A¹, 6F⁰, 3C⁰, 6K⁰, 9C¹, 18M⁴, 3A⁰, 3D⁰, 36G³, 6D⁰</t>
        </is>
      </c>
      <c r="O3258" t="inlineStr"/>
    </row>
    <row r="3259">
      <c r="A3259">
        <f>HYPERLINK("https://mathstats.uncg.edu/sites/pauli/congruence/csg13.html#group36E13", "36E¹³")</f>
        <v/>
      </c>
      <c r="B3259" t="n">
        <v>13</v>
      </c>
      <c r="C3259" t="inlineStr"/>
      <c r="D3259" t="inlineStr">
        <is>
          <t>216</t>
        </is>
      </c>
      <c r="E3259" t="inlineStr">
        <is>
          <t>1</t>
        </is>
      </c>
      <c r="F3259" t="inlineStr">
        <is>
          <t>18</t>
        </is>
      </c>
      <c r="G3259" t="inlineStr">
        <is>
          <t>12</t>
        </is>
      </c>
      <c r="H3259" t="inlineStr">
        <is>
          <t>0</t>
        </is>
      </c>
      <c r="I3259" t="inlineStr">
        <is>
          <t>36⁶</t>
        </is>
      </c>
      <c r="J3259" t="n">
        <v>6</v>
      </c>
      <c r="K3259" t="inlineStr">
        <is>
          <t>2¹, 4¹, 6¹, 12²</t>
        </is>
      </c>
      <c r="L3259" t="inlineStr">
        <is>
          <t>36F³, 18O⁴, 36H⁴</t>
        </is>
      </c>
      <c r="M3259" t="inlineStr"/>
      <c r="N3259" t="inlineStr">
        <is>
          <t>12D¹, 6B⁰, 9D⁰, 18D⁰, 9E⁰, 6E⁰, 3A⁰, 9A⁰, 36F³, 3C⁰, 9E¹, 18F¹, 36H⁴, 18O⁴, 1A⁰, 18A⁰</t>
        </is>
      </c>
      <c r="O3259" t="inlineStr"/>
    </row>
    <row r="3260">
      <c r="A3260">
        <f>HYPERLINK("https://mathstats.uncg.edu/sites/pauli/congruence/csg13.html#group36F13", "36F¹³")</f>
        <v/>
      </c>
      <c r="B3260" t="n">
        <v>13</v>
      </c>
      <c r="C3260" t="inlineStr"/>
      <c r="D3260" t="inlineStr">
        <is>
          <t>216</t>
        </is>
      </c>
      <c r="E3260" t="inlineStr">
        <is>
          <t>1</t>
        </is>
      </c>
      <c r="F3260" t="inlineStr">
        <is>
          <t>18</t>
        </is>
      </c>
      <c r="G3260" t="inlineStr">
        <is>
          <t>12</t>
        </is>
      </c>
      <c r="H3260" t="inlineStr">
        <is>
          <t>0</t>
        </is>
      </c>
      <c r="I3260" t="inlineStr">
        <is>
          <t>36⁶</t>
        </is>
      </c>
      <c r="J3260" t="n">
        <v>6</v>
      </c>
      <c r="K3260" t="inlineStr">
        <is>
          <t>2¹, 4¹, 6¹, 12²</t>
        </is>
      </c>
      <c r="L3260" t="inlineStr">
        <is>
          <t>36F³, 18O⁴, 36I⁴</t>
        </is>
      </c>
      <c r="M3260" t="inlineStr"/>
      <c r="N3260" t="inlineStr">
        <is>
          <t>12D¹, 6B⁰, 36I⁴, 9D⁰, 18D⁰, 6E⁰, 3A⁰, 9A⁰, 36F³, 3C⁰, 9E¹, 18F¹, 9E⁰, 18O⁴, 1A⁰, 18A⁰</t>
        </is>
      </c>
      <c r="O3260" t="inlineStr"/>
    </row>
    <row r="3261">
      <c r="A3261">
        <f>HYPERLINK("https://mathstats.uncg.edu/sites/pauli/congruence/csg13.html#group36G13", "36G¹³")</f>
        <v/>
      </c>
      <c r="B3261" t="n">
        <v>13</v>
      </c>
      <c r="C3261" t="inlineStr"/>
      <c r="D3261" t="inlineStr">
        <is>
          <t>216</t>
        </is>
      </c>
      <c r="E3261" t="inlineStr">
        <is>
          <t>1</t>
        </is>
      </c>
      <c r="F3261" t="inlineStr">
        <is>
          <t>18</t>
        </is>
      </c>
      <c r="G3261" t="inlineStr">
        <is>
          <t>12</t>
        </is>
      </c>
      <c r="H3261" t="inlineStr">
        <is>
          <t>0</t>
        </is>
      </c>
      <c r="I3261" t="inlineStr">
        <is>
          <t>36⁶</t>
        </is>
      </c>
      <c r="J3261" t="n">
        <v>6</v>
      </c>
      <c r="K3261" t="inlineStr">
        <is>
          <t>2³, 4³</t>
        </is>
      </c>
      <c r="L3261" t="inlineStr">
        <is>
          <t>12H³, 36F³, 18L⁴</t>
        </is>
      </c>
      <c r="M3261" t="inlineStr"/>
      <c r="N3261" t="inlineStr">
        <is>
          <t>12D¹, 6B⁰, 18L⁴, 6H⁰, 6G⁰, 2B⁰, 1A⁰, 18A⁰, 18L², 9D⁰, 18D⁰, 6E⁰, 6L⁰, 9A⁰, 36F³, 3C⁰, 18E¹, 3A⁰, 12H³, 18I², 6D⁰</t>
        </is>
      </c>
      <c r="O3261" t="inlineStr"/>
    </row>
    <row r="3262">
      <c r="A3262">
        <f>HYPERLINK("https://mathstats.uncg.edu/sites/pauli/congruence/csg13.html#group36H13", "36H¹³")</f>
        <v/>
      </c>
      <c r="B3262" t="n">
        <v>13</v>
      </c>
      <c r="C3262" t="inlineStr"/>
      <c r="D3262" t="inlineStr">
        <is>
          <t>216</t>
        </is>
      </c>
      <c r="E3262" t="inlineStr">
        <is>
          <t>1</t>
        </is>
      </c>
      <c r="F3262" t="inlineStr">
        <is>
          <t>18</t>
        </is>
      </c>
      <c r="G3262" t="inlineStr">
        <is>
          <t>12</t>
        </is>
      </c>
      <c r="H3262" t="inlineStr">
        <is>
          <t>0</t>
        </is>
      </c>
      <c r="I3262" t="inlineStr">
        <is>
          <t>36⁶</t>
        </is>
      </c>
      <c r="J3262" t="n">
        <v>6</v>
      </c>
      <c r="K3262" t="inlineStr">
        <is>
          <t>1², 2⁴, 4²</t>
        </is>
      </c>
      <c r="L3262" t="inlineStr">
        <is>
          <t>12I³, 36H⁵, 36I⁶</t>
        </is>
      </c>
      <c r="M3262" t="inlineStr"/>
      <c r="N3262" t="inlineStr">
        <is>
          <t>12C⁰, 36E³, 4C⁰, 36B², 6G⁰, 12M¹, 36H⁵, 2B⁰, 12L¹, 1A⁰, 9D⁰, 36I⁶, 12C¹, 12I³, 9A⁰, 3C⁰, 18E¹, 3A⁰, 18I², 6D⁰</t>
        </is>
      </c>
      <c r="O3262" t="inlineStr"/>
    </row>
    <row r="3263">
      <c r="A3263">
        <f>HYPERLINK("https://mathstats.uncg.edu/sites/pauli/congruence/csg13.html#group36I13", "36I¹³")</f>
        <v/>
      </c>
      <c r="B3263" t="n">
        <v>13</v>
      </c>
      <c r="C3263" t="inlineStr"/>
      <c r="D3263" t="inlineStr">
        <is>
          <t>216</t>
        </is>
      </c>
      <c r="E3263" t="inlineStr">
        <is>
          <t>1</t>
        </is>
      </c>
      <c r="F3263" t="inlineStr">
        <is>
          <t>18</t>
        </is>
      </c>
      <c r="G3263" t="inlineStr">
        <is>
          <t>12</t>
        </is>
      </c>
      <c r="H3263" t="inlineStr">
        <is>
          <t>0</t>
        </is>
      </c>
      <c r="I3263" t="inlineStr">
        <is>
          <t>36⁶</t>
        </is>
      </c>
      <c r="J3263" t="n">
        <v>6</v>
      </c>
      <c r="K3263" t="inlineStr">
        <is>
          <t>1², 2⁴, 4²</t>
        </is>
      </c>
      <c r="L3263" t="inlineStr">
        <is>
          <t>12J³, 36H³, 36H⁵, 36E⁶, 36F⁶</t>
        </is>
      </c>
      <c r="M3263" t="inlineStr"/>
      <c r="N3263" t="inlineStr">
        <is>
          <t>12G¹, 12C⁰, 36E⁶, 36E³, 36B², 36H³, 4C⁰, 6G⁰, 2B⁰, 36H⁵, 12M¹, 1A⁰, 12L¹, 12J³, 36A¹, 36F⁶, 12A⁰, 9D⁰, 12C¹, 4A⁰, 9A⁰, 3C⁰, 12J¹, 4F⁰, 18E¹, 3A⁰, 18I², 6D⁰</t>
        </is>
      </c>
      <c r="O3263" t="inlineStr"/>
    </row>
    <row r="3264">
      <c r="A3264">
        <f>HYPERLINK("https://mathstats.uncg.edu/sites/pauli/congruence/csg13.html#group36J13", "36J¹³")</f>
        <v/>
      </c>
      <c r="B3264" t="n">
        <v>13</v>
      </c>
      <c r="C3264" t="inlineStr"/>
      <c r="D3264" t="inlineStr">
        <is>
          <t>216</t>
        </is>
      </c>
      <c r="E3264" t="inlineStr">
        <is>
          <t>1</t>
        </is>
      </c>
      <c r="F3264" t="inlineStr">
        <is>
          <t>36</t>
        </is>
      </c>
      <c r="G3264" t="inlineStr">
        <is>
          <t>0</t>
        </is>
      </c>
      <c r="H3264" t="inlineStr">
        <is>
          <t>0</t>
        </is>
      </c>
      <c r="I3264" t="inlineStr">
        <is>
          <t>6³, 12³, 18³, 36³</t>
        </is>
      </c>
      <c r="J3264" t="n">
        <v>12</v>
      </c>
      <c r="K3264" t="inlineStr">
        <is>
          <t>1⁶, 2⁶, 6³</t>
        </is>
      </c>
      <c r="L3264" t="inlineStr">
        <is>
          <t>18P⁴, 36A⁵</t>
        </is>
      </c>
      <c r="M3264" t="inlineStr"/>
      <c r="N3264" t="inlineStr">
        <is>
          <t>3B⁰, 18P⁴, 9J⁰, 12F¹, 4C⁰, 9C⁰, 18D², 1A⁰, 2B⁰, 36A⁵, 6F⁰</t>
        </is>
      </c>
      <c r="O3264" t="inlineStr"/>
    </row>
    <row r="3265">
      <c r="A3265">
        <f>HYPERLINK("https://mathstats.uncg.edu/sites/pauli/congruence/csg13.html#group36K13", "36K¹³")</f>
        <v/>
      </c>
      <c r="B3265" t="n">
        <v>13</v>
      </c>
      <c r="C3265" t="inlineStr"/>
      <c r="D3265" t="inlineStr">
        <is>
          <t>216</t>
        </is>
      </c>
      <c r="E3265" t="inlineStr">
        <is>
          <t>1</t>
        </is>
      </c>
      <c r="F3265" t="inlineStr">
        <is>
          <t>36</t>
        </is>
      </c>
      <c r="G3265" t="inlineStr">
        <is>
          <t>0</t>
        </is>
      </c>
      <c r="H3265" t="inlineStr">
        <is>
          <t>0</t>
        </is>
      </c>
      <c r="I3265" t="inlineStr">
        <is>
          <t>6³, 12³, 18³, 36³</t>
        </is>
      </c>
      <c r="J3265" t="n">
        <v>12</v>
      </c>
      <c r="K3265" t="inlineStr">
        <is>
          <t>1⁶, 2⁶, 6³</t>
        </is>
      </c>
      <c r="L3265" t="inlineStr">
        <is>
          <t>18Q⁴, 36B⁵</t>
        </is>
      </c>
      <c r="M3265" t="inlineStr"/>
      <c r="N3265" t="inlineStr">
        <is>
          <t>3B⁰, 12F¹, 9A¹, 18E², 4C⁰, 18Q⁴, 1A⁰, 36B⁵, 2B⁰, 9D¹, 6F⁰</t>
        </is>
      </c>
      <c r="O3265" t="inlineStr"/>
    </row>
    <row r="3266">
      <c r="A3266">
        <f>HYPERLINK("https://mathstats.uncg.edu/sites/pauli/congruence/csg13.html#group36L13", "36L¹³")</f>
        <v/>
      </c>
      <c r="B3266" t="n">
        <v>13</v>
      </c>
      <c r="C3266" t="inlineStr"/>
      <c r="D3266" t="inlineStr">
        <is>
          <t>216</t>
        </is>
      </c>
      <c r="E3266" t="inlineStr">
        <is>
          <t>1</t>
        </is>
      </c>
      <c r="F3266" t="inlineStr">
        <is>
          <t>36</t>
        </is>
      </c>
      <c r="G3266" t="inlineStr">
        <is>
          <t>12</t>
        </is>
      </c>
      <c r="H3266" t="inlineStr">
        <is>
          <t>0</t>
        </is>
      </c>
      <c r="I3266" t="inlineStr">
        <is>
          <t>36⁶</t>
        </is>
      </c>
      <c r="J3266" t="n">
        <v>6</v>
      </c>
      <c r="K3266" t="inlineStr">
        <is>
          <t>4³, 6², 12⁴</t>
        </is>
      </c>
      <c r="L3266" t="inlineStr">
        <is>
          <t>36F³, 18R⁴, 36J⁴</t>
        </is>
      </c>
      <c r="M3266" t="inlineStr"/>
      <c r="N3266" t="inlineStr">
        <is>
          <t>36J⁴, 12D¹, 6B⁰, 9D⁰, 18D⁰, 6E⁰, 9A⁰, 36F³, 18R⁴, 3C⁰, 18G¹, 3A⁰, 1A⁰, 18A⁰</t>
        </is>
      </c>
      <c r="O3266" t="inlineStr"/>
    </row>
    <row r="3267">
      <c r="A3267">
        <f>HYPERLINK("https://mathstats.uncg.edu/sites/pauli/congruence/csg13.html#group36M13", "36M¹³")</f>
        <v/>
      </c>
      <c r="B3267" t="n">
        <v>13</v>
      </c>
      <c r="C3267" t="inlineStr"/>
      <c r="D3267" t="inlineStr">
        <is>
          <t>216</t>
        </is>
      </c>
      <c r="E3267" t="inlineStr">
        <is>
          <t>1</t>
        </is>
      </c>
      <c r="F3267" t="inlineStr">
        <is>
          <t>36</t>
        </is>
      </c>
      <c r="G3267" t="inlineStr">
        <is>
          <t>12</t>
        </is>
      </c>
      <c r="H3267" t="inlineStr">
        <is>
          <t>0</t>
        </is>
      </c>
      <c r="I3267" t="inlineStr">
        <is>
          <t>36⁶</t>
        </is>
      </c>
      <c r="J3267" t="n">
        <v>6</v>
      </c>
      <c r="K3267" t="inlineStr">
        <is>
          <t>4³, 6², 12⁴</t>
        </is>
      </c>
      <c r="L3267" t="inlineStr">
        <is>
          <t>36F³, 18R⁴, 36K⁴</t>
        </is>
      </c>
      <c r="M3267" t="inlineStr"/>
      <c r="N3267" t="inlineStr">
        <is>
          <t>36K⁴, 12D¹, 6B⁰, 18R⁴, 1A⁰, 18A⁰, 9D⁰, 18D⁰, 6E⁰, 9A⁰, 36F³, 3C⁰, 18G¹, 3A⁰</t>
        </is>
      </c>
      <c r="O3267" t="inlineStr"/>
    </row>
    <row r="3268">
      <c r="A3268">
        <f>HYPERLINK("https://mathstats.uncg.edu/sites/pauli/congruence/csg13.html#group36N13", "36N¹³")</f>
        <v/>
      </c>
      <c r="B3268" t="n">
        <v>13</v>
      </c>
      <c r="C3268" t="inlineStr"/>
      <c r="D3268" t="inlineStr">
        <is>
          <t>216</t>
        </is>
      </c>
      <c r="E3268" t="inlineStr">
        <is>
          <t>1</t>
        </is>
      </c>
      <c r="F3268" t="inlineStr">
        <is>
          <t>72</t>
        </is>
      </c>
      <c r="G3268" t="inlineStr">
        <is>
          <t>12</t>
        </is>
      </c>
      <c r="H3268" t="inlineStr">
        <is>
          <t>0</t>
        </is>
      </c>
      <c r="I3268" t="inlineStr">
        <is>
          <t>36⁶</t>
        </is>
      </c>
      <c r="J3268" t="n">
        <v>6</v>
      </c>
      <c r="K3268" t="inlineStr">
        <is>
          <t>2², 4², 6², 12⁴</t>
        </is>
      </c>
      <c r="L3268" t="inlineStr">
        <is>
          <t>9E¹, 36H³, 36M⁴</t>
        </is>
      </c>
      <c r="M3268" t="inlineStr"/>
      <c r="N3268" t="inlineStr">
        <is>
          <t>12G¹, 36A¹, 12A⁰, 9D⁰, 4A⁰, 9A⁰, 36H³, 36M⁴, 3C⁰, 9E¹, 9E⁰, 3A⁰, 1A⁰</t>
        </is>
      </c>
      <c r="O3268" t="inlineStr"/>
    </row>
    <row r="3269">
      <c r="A3269">
        <f>HYPERLINK("https://mathstats.uncg.edu/sites/pauli/congruence/csg13.html#group36O13", "36O¹³")</f>
        <v/>
      </c>
      <c r="B3269" t="n">
        <v>13</v>
      </c>
      <c r="C3269" t="inlineStr"/>
      <c r="D3269" t="inlineStr">
        <is>
          <t>216</t>
        </is>
      </c>
      <c r="E3269" t="inlineStr">
        <is>
          <t>2</t>
        </is>
      </c>
      <c r="F3269" t="inlineStr">
        <is>
          <t>18</t>
        </is>
      </c>
      <c r="G3269" t="inlineStr">
        <is>
          <t>12</t>
        </is>
      </c>
      <c r="H3269" t="inlineStr">
        <is>
          <t>0</t>
        </is>
      </c>
      <c r="I3269" t="inlineStr">
        <is>
          <t>36⁶</t>
        </is>
      </c>
      <c r="J3269" t="n">
        <v>6</v>
      </c>
      <c r="K3269" t="inlineStr">
        <is>
          <t>4³, 12²</t>
        </is>
      </c>
      <c r="L3269" t="inlineStr">
        <is>
          <t>36F³, 18S⁴, 36C⁵</t>
        </is>
      </c>
      <c r="M3269" t="inlineStr"/>
      <c r="N3269" t="inlineStr">
        <is>
          <t>18S⁴, 12D¹, 6B⁰, 18H¹, 9G⁰, 18K², 1A⁰, 18A⁰, 9B¹, 36C⁵, 9D⁰, 18D⁰, 6E⁰, 9A⁰, 36F³, 3C⁰, 18G², 3A⁰, 18A¹, 9F¹</t>
        </is>
      </c>
      <c r="O3269" t="inlineStr"/>
    </row>
    <row r="3270">
      <c r="A3270">
        <f>HYPERLINK("https://mathstats.uncg.edu/sites/pauli/congruence/csg13.html#group36P13", "36P¹³")</f>
        <v/>
      </c>
      <c r="B3270" t="n">
        <v>13</v>
      </c>
      <c r="C3270" t="inlineStr"/>
      <c r="D3270" t="inlineStr">
        <is>
          <t>216</t>
        </is>
      </c>
      <c r="E3270" t="inlineStr">
        <is>
          <t>2</t>
        </is>
      </c>
      <c r="F3270" t="inlineStr">
        <is>
          <t>27</t>
        </is>
      </c>
      <c r="G3270" t="inlineStr">
        <is>
          <t>8</t>
        </is>
      </c>
      <c r="H3270" t="inlineStr">
        <is>
          <t>0</t>
        </is>
      </c>
      <c r="I3270" t="inlineStr">
        <is>
          <t>18⁴, 36⁴</t>
        </is>
      </c>
      <c r="J3270" t="n">
        <v>8</v>
      </c>
      <c r="K3270" t="inlineStr">
        <is>
          <t>2⁹, 6⁶</t>
        </is>
      </c>
      <c r="L3270" t="inlineStr">
        <is>
          <t>12T¹, 36R⁴, 18D⁶, 36C⁶, 36H⁶, 36E⁷, 36F⁷, 36G⁷</t>
        </is>
      </c>
      <c r="M3270" t="inlineStr"/>
      <c r="N3270" t="inlineStr">
        <is>
          <t>12T¹, 12C⁰, 4C⁰, 36B², 36R⁴, 6G⁰, 18B¹, 2B⁰, 36E⁴, 12N¹, 1A⁰, 9B¹, 18A⁰, 18L², 36H⁶, 18D³, 36E⁷, 3C⁰, 6H⁰, 3A⁰, 18E¹, 36G⁷, 36D³, 6B⁰, 12L¹, 36F⁷, 18E³, 18D⁶, 12G⁰, 12C¹, 18H², 6E⁰, 6L⁰, 36C⁶, 9A⁰, 12D⁰, 18G², 12H⁰, 18A¹, 6D⁰, 36C²</t>
        </is>
      </c>
      <c r="O3270" t="inlineStr"/>
    </row>
    <row r="3271">
      <c r="A3271">
        <f>HYPERLINK("https://mathstats.uncg.edu/sites/pauli/congruence/csg13.html#group36Q13", "36Q¹³")</f>
        <v/>
      </c>
      <c r="B3271" t="n">
        <v>13</v>
      </c>
      <c r="C3271" t="inlineStr"/>
      <c r="D3271" t="inlineStr">
        <is>
          <t>216</t>
        </is>
      </c>
      <c r="E3271" t="inlineStr">
        <is>
          <t>2</t>
        </is>
      </c>
      <c r="F3271" t="inlineStr">
        <is>
          <t>36</t>
        </is>
      </c>
      <c r="G3271" t="inlineStr">
        <is>
          <t>12</t>
        </is>
      </c>
      <c r="H3271" t="inlineStr">
        <is>
          <t>0</t>
        </is>
      </c>
      <c r="I3271" t="inlineStr">
        <is>
          <t>36⁶</t>
        </is>
      </c>
      <c r="J3271" t="n">
        <v>6</v>
      </c>
      <c r="K3271" t="inlineStr">
        <is>
          <t>4⁶, 12⁴</t>
        </is>
      </c>
      <c r="L3271" t="inlineStr">
        <is>
          <t>36F³, 18T⁴, 36D⁵</t>
        </is>
      </c>
      <c r="M3271" t="inlineStr"/>
      <c r="N3271" t="inlineStr">
        <is>
          <t>12D¹, 6B⁰, 18B¹, 18M², 1A⁰, 18A⁰, 9D⁰, 18D⁰, 18H², 6E⁰, 36D⁵, 9A⁰, 36F³, 18T⁴, 3C⁰, 3A⁰</t>
        </is>
      </c>
      <c r="O3271" t="inlineStr"/>
    </row>
    <row r="3272">
      <c r="A3272">
        <f>HYPERLINK("https://mathstats.uncg.edu/sites/pauli/congruence/csg13.html#group36R13", "36R¹³")</f>
        <v/>
      </c>
      <c r="B3272" t="n">
        <v>13</v>
      </c>
      <c r="C3272" t="inlineStr"/>
      <c r="D3272" t="inlineStr">
        <is>
          <t>216</t>
        </is>
      </c>
      <c r="E3272" t="inlineStr">
        <is>
          <t>2</t>
        </is>
      </c>
      <c r="F3272" t="inlineStr">
        <is>
          <t>36</t>
        </is>
      </c>
      <c r="G3272" t="inlineStr">
        <is>
          <t>12</t>
        </is>
      </c>
      <c r="H3272" t="inlineStr">
        <is>
          <t>0</t>
        </is>
      </c>
      <c r="I3272" t="inlineStr">
        <is>
          <t>36⁶</t>
        </is>
      </c>
      <c r="J3272" t="n">
        <v>6</v>
      </c>
      <c r="K3272" t="inlineStr">
        <is>
          <t>4⁶, 12⁴</t>
        </is>
      </c>
      <c r="L3272" t="inlineStr">
        <is>
          <t>9F¹, 36H³, 36E⁵, 36J⁵</t>
        </is>
      </c>
      <c r="M3272" t="inlineStr"/>
      <c r="N3272" t="inlineStr">
        <is>
          <t>12G¹, 36J⁵, 9G⁰, 36H³, 1A⁰, 9B¹, 36A¹, 12A⁰, 9D⁰, 4A⁰, 36E⁵, 9A⁰, 3C⁰, 3A⁰, 9F¹</t>
        </is>
      </c>
      <c r="O3272" t="inlineStr"/>
    </row>
    <row r="3273">
      <c r="A3273">
        <f>HYPERLINK("https://mathstats.uncg.edu/sites/pauli/congruence/csg13.html#group36S13", "36S¹³")</f>
        <v/>
      </c>
      <c r="B3273" t="n">
        <v>13</v>
      </c>
      <c r="C3273" t="inlineStr"/>
      <c r="D3273" t="inlineStr">
        <is>
          <t>216</t>
        </is>
      </c>
      <c r="E3273" t="inlineStr">
        <is>
          <t>2</t>
        </is>
      </c>
      <c r="F3273" t="inlineStr">
        <is>
          <t>54</t>
        </is>
      </c>
      <c r="G3273" t="inlineStr">
        <is>
          <t>4</t>
        </is>
      </c>
      <c r="H3273" t="inlineStr">
        <is>
          <t>0</t>
        </is>
      </c>
      <c r="I3273" t="inlineStr">
        <is>
          <t>18⁸, 36²</t>
        </is>
      </c>
      <c r="J3273" t="n">
        <v>10</v>
      </c>
      <c r="K3273" t="inlineStr">
        <is>
          <t>4⁹, 12⁶</t>
        </is>
      </c>
      <c r="L3273" t="inlineStr">
        <is>
          <t>12U¹, 18D⁶</t>
        </is>
      </c>
      <c r="M3273" t="inlineStr"/>
      <c r="N3273" t="inlineStr">
        <is>
          <t>12U¹, 6B⁰, 6H⁰, 18B¹, 6G⁰, 2B⁰, 1A⁰, 9B¹, 18A⁰, 18L², 18E³, 18D⁶, 18D³, 18H², 6E⁰, 6L⁰, 9A⁰, 3C⁰, 18G², 18E¹, 3A⁰, 18A¹, 6D⁰</t>
        </is>
      </c>
      <c r="O3273" t="inlineStr"/>
    </row>
    <row r="3274">
      <c r="A3274">
        <f>HYPERLINK("https://mathstats.uncg.edu/sites/pauli/congruence/csg13.html#group36T13", "36T¹³")</f>
        <v/>
      </c>
      <c r="B3274" t="n">
        <v>13</v>
      </c>
      <c r="C3274" t="inlineStr"/>
      <c r="D3274" t="inlineStr">
        <is>
          <t>288</t>
        </is>
      </c>
      <c r="E3274" t="inlineStr">
        <is>
          <t>1</t>
        </is>
      </c>
      <c r="F3274" t="inlineStr">
        <is>
          <t>4</t>
        </is>
      </c>
      <c r="G3274" t="inlineStr">
        <is>
          <t>0</t>
        </is>
      </c>
      <c r="H3274" t="inlineStr">
        <is>
          <t>0</t>
        </is>
      </c>
      <c r="I3274" t="inlineStr">
        <is>
          <t>4¹⁸, 36⁶</t>
        </is>
      </c>
      <c r="J3274" t="n">
        <v>24</v>
      </c>
      <c r="K3274" t="inlineStr">
        <is>
          <t>1², 2¹</t>
        </is>
      </c>
      <c r="L3274" t="inlineStr">
        <is>
          <t>12K³, 36O⁴, 36F⁵, 36L⁵, 36I⁷</t>
        </is>
      </c>
      <c r="M3274" t="inlineStr"/>
      <c r="N3274" t="inlineStr">
        <is>
          <t>2A⁰, 4C⁰, 4G⁰, 2B⁰, 4E⁰, 4B⁰, 36O⁴, 1A⁰, 36I⁷, 18C⁰, 18C¹, 12A¹, 4D⁰, 36B³, 6F⁰, 36F⁵, 36G³, 3B⁰, 36L⁵, 12I¹, 12F¹, 6I⁰, 6C⁰, 9B⁰, 12P¹, 18J¹, 18E⁰, 4A⁰, 12G², 12K³, 4F⁰, 36C¹, 2C⁰, 12E⁰</t>
        </is>
      </c>
      <c r="O3274" t="inlineStr"/>
    </row>
    <row r="3275">
      <c r="A3275">
        <f>HYPERLINK("https://mathstats.uncg.edu/sites/pauli/congruence/csg13.html#group36U13", "36U¹³")</f>
        <v/>
      </c>
      <c r="B3275" t="n">
        <v>13</v>
      </c>
      <c r="C3275" t="inlineStr"/>
      <c r="D3275" t="inlineStr">
        <is>
          <t>288</t>
        </is>
      </c>
      <c r="E3275" t="inlineStr">
        <is>
          <t>1</t>
        </is>
      </c>
      <c r="F3275" t="inlineStr">
        <is>
          <t>12</t>
        </is>
      </c>
      <c r="G3275" t="inlineStr">
        <is>
          <t>0</t>
        </is>
      </c>
      <c r="H3275" t="inlineStr">
        <is>
          <t>0</t>
        </is>
      </c>
      <c r="I3275" t="inlineStr">
        <is>
          <t>4¹⁸, 36⁶</t>
        </is>
      </c>
      <c r="J3275" t="n">
        <v>24</v>
      </c>
      <c r="K3275" t="inlineStr">
        <is>
          <t>1⁶, 2³</t>
        </is>
      </c>
      <c r="L3275" t="inlineStr">
        <is>
          <t>12L³, 36J³, 36L⁵, 36H⁷</t>
        </is>
      </c>
      <c r="M3275" t="inlineStr"/>
      <c r="N3275" t="inlineStr">
        <is>
          <t>3B⁰, 2A⁰, 36L⁵, 6I⁰, 12F¹, 6C⁰, 12I⁰, 4C⁰, 9B⁰, 2B⁰, 4E⁰, 36H⁷, 12P¹, 18J¹, 4B⁰, 1A⁰, 36A³, 18C⁰, 12F², 18E⁰, 18C¹, 12L³, 36B¹, 12E⁰, 36C¹, 36J³, 6F⁰, 2C⁰, 36G³, 12B⁰</t>
        </is>
      </c>
      <c r="O3275" t="inlineStr"/>
    </row>
    <row r="3276">
      <c r="A3276">
        <f>HYPERLINK("https://mathstats.uncg.edu/sites/pauli/congruence/csg13.html#group39A13", "39A¹³")</f>
        <v/>
      </c>
      <c r="B3276" t="n">
        <v>13</v>
      </c>
      <c r="C3276" t="inlineStr"/>
      <c r="D3276" t="inlineStr">
        <is>
          <t>234</t>
        </is>
      </c>
      <c r="E3276" t="inlineStr">
        <is>
          <t>1</t>
        </is>
      </c>
      <c r="F3276" t="inlineStr">
        <is>
          <t>78</t>
        </is>
      </c>
      <c r="G3276" t="inlineStr">
        <is>
          <t>18</t>
        </is>
      </c>
      <c r="H3276" t="inlineStr">
        <is>
          <t>0</t>
        </is>
      </c>
      <c r="I3276" t="inlineStr">
        <is>
          <t>39⁶</t>
        </is>
      </c>
      <c r="J3276" t="n">
        <v>6</v>
      </c>
      <c r="K3276" t="inlineStr">
        <is>
          <t>6¹, 12⁶</t>
        </is>
      </c>
      <c r="L3276" t="inlineStr">
        <is>
          <t>3A⁰, 13A³</t>
        </is>
      </c>
      <c r="M3276" t="inlineStr"/>
      <c r="N3276" t="inlineStr">
        <is>
          <t>3A⁰, 13A³, 1A⁰</t>
        </is>
      </c>
      <c r="O3276" t="inlineStr"/>
    </row>
    <row r="3277">
      <c r="A3277">
        <f>HYPERLINK("https://mathstats.uncg.edu/sites/pauli/congruence/csg13.html#group39B13", "39B¹³")</f>
        <v/>
      </c>
      <c r="B3277" t="n">
        <v>13</v>
      </c>
      <c r="C3277" t="inlineStr"/>
      <c r="D3277" t="inlineStr">
        <is>
          <t>252</t>
        </is>
      </c>
      <c r="E3277" t="inlineStr">
        <is>
          <t>1</t>
        </is>
      </c>
      <c r="F3277" t="inlineStr">
        <is>
          <t>42</t>
        </is>
      </c>
      <c r="G3277" t="inlineStr">
        <is>
          <t>12</t>
        </is>
      </c>
      <c r="H3277" t="inlineStr">
        <is>
          <t>0</t>
        </is>
      </c>
      <c r="I3277" t="inlineStr">
        <is>
          <t>3⁶, 39⁶</t>
        </is>
      </c>
      <c r="J3277" t="n">
        <v>12</v>
      </c>
      <c r="K3277" t="inlineStr">
        <is>
          <t>1², 2², 12¹, 24¹</t>
        </is>
      </c>
      <c r="L3277" t="inlineStr">
        <is>
          <t>39C⁴, 39A⁵</t>
        </is>
      </c>
      <c r="M3277" t="inlineStr"/>
      <c r="N3277" t="inlineStr">
        <is>
          <t>39A², 39A⁵, 13A⁰, 3C⁰, 39C⁴, 13C⁰, 39A¹, 3A⁰, 1A⁰</t>
        </is>
      </c>
      <c r="O3277" t="inlineStr"/>
    </row>
    <row r="3278">
      <c r="A3278">
        <f>HYPERLINK("https://mathstats.uncg.edu/sites/pauli/congruence/csg13.html#group40A13", "40A¹³")</f>
        <v/>
      </c>
      <c r="B3278" t="n">
        <v>13</v>
      </c>
      <c r="C3278" t="inlineStr"/>
      <c r="D3278" t="inlineStr">
        <is>
          <t>180</t>
        </is>
      </c>
      <c r="E3278" t="inlineStr">
        <is>
          <t>1</t>
        </is>
      </c>
      <c r="F3278" t="inlineStr">
        <is>
          <t>15</t>
        </is>
      </c>
      <c r="G3278" t="inlineStr">
        <is>
          <t>0</t>
        </is>
      </c>
      <c r="H3278" t="inlineStr">
        <is>
          <t>0</t>
        </is>
      </c>
      <c r="I3278" t="inlineStr">
        <is>
          <t>20³, 40³</t>
        </is>
      </c>
      <c r="J3278" t="n">
        <v>6</v>
      </c>
      <c r="K3278" t="inlineStr">
        <is>
          <t>1³, 4³</t>
        </is>
      </c>
      <c r="L3278" t="inlineStr">
        <is>
          <t>20E⁴, 40A⁵</t>
        </is>
      </c>
      <c r="M3278" t="inlineStr"/>
      <c r="N3278" t="inlineStr">
        <is>
          <t>5A⁰, 8A¹, 20E⁴, 10I¹, 10B¹, 20B², 4C⁰, 5E⁰, 2B⁰, 40A⁵, 1A⁰</t>
        </is>
      </c>
      <c r="O3278" t="inlineStr"/>
    </row>
    <row r="3279">
      <c r="A3279">
        <f>HYPERLINK("https://mathstats.uncg.edu/sites/pauli/congruence/csg13.html#group40B13", "40B¹³")</f>
        <v/>
      </c>
      <c r="B3279" t="n">
        <v>13</v>
      </c>
      <c r="C3279" t="inlineStr"/>
      <c r="D3279" t="inlineStr">
        <is>
          <t>192</t>
        </is>
      </c>
      <c r="E3279" t="inlineStr">
        <is>
          <t>1</t>
        </is>
      </c>
      <c r="F3279" t="inlineStr">
        <is>
          <t>24</t>
        </is>
      </c>
      <c r="G3279" t="inlineStr">
        <is>
          <t>0</t>
        </is>
      </c>
      <c r="H3279" t="inlineStr">
        <is>
          <t>0</t>
        </is>
      </c>
      <c r="I3279" t="inlineStr">
        <is>
          <t>8⁴, 40⁴</t>
        </is>
      </c>
      <c r="J3279" t="n">
        <v>8</v>
      </c>
      <c r="K3279" t="inlineStr">
        <is>
          <t>2⁴, 8²</t>
        </is>
      </c>
      <c r="L3279" t="inlineStr">
        <is>
          <t>20D⁵, 40G⁵, 40H⁵</t>
        </is>
      </c>
      <c r="M3279" t="inlineStr"/>
      <c r="N3279" t="inlineStr">
        <is>
          <t>2A⁰, 40G⁵, 20C³, 5B⁰, 5D⁰, 10A¹, 10D¹, 1A⁰, 20B³, 20B¹, 10B⁰, 40H⁵, 4A⁰, 4D⁰, 20G¹, 20D⁵</t>
        </is>
      </c>
      <c r="O3279" t="inlineStr"/>
    </row>
    <row r="3280">
      <c r="A3280">
        <f>HYPERLINK("https://mathstats.uncg.edu/sites/pauli/congruence/csg13.html#group40C13", "40C¹³")</f>
        <v/>
      </c>
      <c r="B3280" t="n">
        <v>13</v>
      </c>
      <c r="C3280" t="inlineStr"/>
      <c r="D3280" t="inlineStr">
        <is>
          <t>192</t>
        </is>
      </c>
      <c r="E3280" t="inlineStr">
        <is>
          <t>1</t>
        </is>
      </c>
      <c r="F3280" t="inlineStr">
        <is>
          <t>24</t>
        </is>
      </c>
      <c r="G3280" t="inlineStr">
        <is>
          <t>0</t>
        </is>
      </c>
      <c r="H3280" t="inlineStr">
        <is>
          <t>0</t>
        </is>
      </c>
      <c r="I3280" t="inlineStr">
        <is>
          <t>8⁴, 40⁴</t>
        </is>
      </c>
      <c r="J3280" t="n">
        <v>8</v>
      </c>
      <c r="K3280" t="inlineStr">
        <is>
          <t>2⁴, 8²</t>
        </is>
      </c>
      <c r="L3280" t="inlineStr">
        <is>
          <t>20D⁵, 40J⁵, 40A⁷, 40B⁷, 40C⁷</t>
        </is>
      </c>
      <c r="M3280" t="inlineStr"/>
      <c r="N3280" t="inlineStr">
        <is>
          <t>2A⁰, 40A³, 40C⁷, 20C³, 5B⁰, 8A⁰, 10A¹, 5D⁰, 8E⁰, 10D¹, 1A⁰, 20B³, 20B¹, 10B⁰, 40A⁷, 4A⁰, 40J⁵, 4D⁰, 40B⁷, 40B³, 20G¹, 20D⁵</t>
        </is>
      </c>
      <c r="O3280" t="inlineStr"/>
    </row>
    <row r="3281">
      <c r="A3281">
        <f>HYPERLINK("https://mathstats.uncg.edu/sites/pauli/congruence/csg13.html#group40D13", "40D¹³")</f>
        <v/>
      </c>
      <c r="B3281" t="n">
        <v>13</v>
      </c>
      <c r="C3281" t="inlineStr"/>
      <c r="D3281" t="inlineStr">
        <is>
          <t>192</t>
        </is>
      </c>
      <c r="E3281" t="inlineStr">
        <is>
          <t>1</t>
        </is>
      </c>
      <c r="F3281" t="inlineStr">
        <is>
          <t>96</t>
        </is>
      </c>
      <c r="G3281" t="inlineStr">
        <is>
          <t>0</t>
        </is>
      </c>
      <c r="H3281" t="inlineStr">
        <is>
          <t>0</t>
        </is>
      </c>
      <c r="I3281" t="inlineStr">
        <is>
          <t>8⁴, 40⁴</t>
        </is>
      </c>
      <c r="J3281" t="n">
        <v>8</v>
      </c>
      <c r="K3281" t="inlineStr">
        <is>
          <t>4⁸, 16⁴</t>
        </is>
      </c>
      <c r="L3281" t="inlineStr">
        <is>
          <t>20B³, 40I⁵</t>
        </is>
      </c>
      <c r="M3281" t="inlineStr"/>
      <c r="N3281" t="inlineStr">
        <is>
          <t>40I⁵, 8F⁰, 4A⁰, 5B⁰, 5D⁰, 1A⁰, 20B³, 20B¹</t>
        </is>
      </c>
      <c r="O3281" t="inlineStr"/>
    </row>
    <row r="3282">
      <c r="A3282">
        <f>HYPERLINK("https://mathstats.uncg.edu/sites/pauli/congruence/csg13.html#group40E13", "40E¹³")</f>
        <v/>
      </c>
      <c r="B3282" t="n">
        <v>13</v>
      </c>
      <c r="C3282" t="inlineStr"/>
      <c r="D3282" t="inlineStr">
        <is>
          <t>192</t>
        </is>
      </c>
      <c r="E3282" t="inlineStr">
        <is>
          <t>1</t>
        </is>
      </c>
      <c r="F3282" t="inlineStr">
        <is>
          <t>96</t>
        </is>
      </c>
      <c r="G3282" t="inlineStr">
        <is>
          <t>0</t>
        </is>
      </c>
      <c r="H3282" t="inlineStr">
        <is>
          <t>0</t>
        </is>
      </c>
      <c r="I3282" t="inlineStr">
        <is>
          <t>8⁴, 40⁴</t>
        </is>
      </c>
      <c r="J3282" t="n">
        <v>8</v>
      </c>
      <c r="K3282" t="inlineStr">
        <is>
          <t>4⁸, 16⁴</t>
        </is>
      </c>
      <c r="L3282" t="inlineStr">
        <is>
          <t>8E¹, 20C³, 40I⁵</t>
        </is>
      </c>
      <c r="M3282" t="inlineStr"/>
      <c r="N3282" t="inlineStr">
        <is>
          <t>40I⁵, 2A⁰, 8F⁰, 4A⁰, 4D⁰, 20C³, 5B⁰, 10A¹, 8E¹, 1A⁰, 20B¹</t>
        </is>
      </c>
      <c r="O3282" t="inlineStr"/>
    </row>
    <row r="3283">
      <c r="A3283">
        <f>HYPERLINK("https://mathstats.uncg.edu/sites/pauli/congruence/csg13.html#group40F13", "40F¹³")</f>
        <v/>
      </c>
      <c r="B3283" t="n">
        <v>13</v>
      </c>
      <c r="C3283" t="inlineStr"/>
      <c r="D3283" t="inlineStr">
        <is>
          <t>240</t>
        </is>
      </c>
      <c r="E3283" t="inlineStr">
        <is>
          <t>1</t>
        </is>
      </c>
      <c r="F3283" t="inlineStr">
        <is>
          <t>30</t>
        </is>
      </c>
      <c r="G3283" t="inlineStr">
        <is>
          <t>16</t>
        </is>
      </c>
      <c r="H3283" t="inlineStr">
        <is>
          <t>0</t>
        </is>
      </c>
      <c r="I3283" t="inlineStr">
        <is>
          <t>20⁴, 40⁴</t>
        </is>
      </c>
      <c r="J3283" t="n">
        <v>8</v>
      </c>
      <c r="K3283" t="inlineStr">
        <is>
          <t>2³, 4⁶</t>
        </is>
      </c>
      <c r="L3283" t="inlineStr">
        <is>
          <t>20F⁵, 40D⁷, 40E⁷</t>
        </is>
      </c>
      <c r="M3283" t="inlineStr"/>
      <c r="N3283" t="inlineStr">
        <is>
          <t>40E⁷, 10E², 20F⁵, 10D⁰, 4C⁰, 5C⁰, 8B⁰, 10F¹, 2B⁰, 20F², 1A⁰, 20F³, 40D⁷</t>
        </is>
      </c>
      <c r="O3283" t="inlineStr"/>
    </row>
    <row r="3284">
      <c r="A3284">
        <f>HYPERLINK("https://mathstats.uncg.edu/sites/pauli/congruence/csg13.html#group40G13", "40G¹³")</f>
        <v/>
      </c>
      <c r="B3284" t="n">
        <v>13</v>
      </c>
      <c r="C3284" t="inlineStr"/>
      <c r="D3284" t="inlineStr">
        <is>
          <t>240</t>
        </is>
      </c>
      <c r="E3284" t="inlineStr">
        <is>
          <t>1</t>
        </is>
      </c>
      <c r="F3284" t="inlineStr">
        <is>
          <t>60</t>
        </is>
      </c>
      <c r="G3284" t="inlineStr">
        <is>
          <t>0</t>
        </is>
      </c>
      <c r="H3284" t="inlineStr">
        <is>
          <t>0</t>
        </is>
      </c>
      <c r="I3284" t="inlineStr">
        <is>
          <t>5⁸, 10⁴, 40⁴</t>
        </is>
      </c>
      <c r="J3284" t="n">
        <v>16</v>
      </c>
      <c r="K3284" t="inlineStr">
        <is>
          <t>2⁴, 4⁹, 8²</t>
        </is>
      </c>
      <c r="L3284" t="inlineStr">
        <is>
          <t>40B⁴, 20E⁵, 40F⁷, 40G⁷</t>
        </is>
      </c>
      <c r="M3284" t="inlineStr"/>
      <c r="N3284" t="inlineStr">
        <is>
          <t>20A², 40G⁷, 5A⁰, 20E⁵, 10B¹, 20E³, 5F⁰, 8C⁰, 2B⁰, 20F², 4B⁰, 40B⁴, 1A⁰, 10D², 40F⁷, 10F¹, 5C⁰</t>
        </is>
      </c>
      <c r="O3284" t="inlineStr"/>
    </row>
    <row r="3285">
      <c r="A3285">
        <f>HYPERLINK("https://mathstats.uncg.edu/sites/pauli/congruence/csg13.html#group40H13", "40H¹³")</f>
        <v/>
      </c>
      <c r="B3285" t="n">
        <v>13</v>
      </c>
      <c r="C3285" t="inlineStr"/>
      <c r="D3285" t="inlineStr">
        <is>
          <t>240</t>
        </is>
      </c>
      <c r="E3285" t="inlineStr">
        <is>
          <t>1</t>
        </is>
      </c>
      <c r="F3285" t="inlineStr">
        <is>
          <t>60</t>
        </is>
      </c>
      <c r="G3285" t="inlineStr">
        <is>
          <t>8</t>
        </is>
      </c>
      <c r="H3285" t="inlineStr">
        <is>
          <t>0</t>
        </is>
      </c>
      <c r="I3285" t="inlineStr">
        <is>
          <t>10⁸, 40⁴</t>
        </is>
      </c>
      <c r="J3285" t="n">
        <v>12</v>
      </c>
      <c r="K3285" t="inlineStr">
        <is>
          <t>2², 4⁶, 8⁴</t>
        </is>
      </c>
      <c r="L3285" t="inlineStr">
        <is>
          <t>20F⁵, 40H⁷, 40I⁷</t>
        </is>
      </c>
      <c r="M3285" t="inlineStr"/>
      <c r="N3285" t="inlineStr">
        <is>
          <t>10E², 40I⁷, 20F⁵, 8D⁰, 10D⁰, 5C⁰, 4C⁰, 40H⁷, 2B⁰, 20F², 1A⁰, 20F³, 10F¹</t>
        </is>
      </c>
      <c r="O3285" t="inlineStr"/>
    </row>
    <row r="3286">
      <c r="A3286">
        <f>HYPERLINK("https://mathstats.uncg.edu/sites/pauli/congruence/csg13.html#group40I13", "40I¹³")</f>
        <v/>
      </c>
      <c r="B3286" t="n">
        <v>13</v>
      </c>
      <c r="C3286" t="inlineStr"/>
      <c r="D3286" t="inlineStr">
        <is>
          <t>240</t>
        </is>
      </c>
      <c r="E3286" t="inlineStr">
        <is>
          <t>2</t>
        </is>
      </c>
      <c r="F3286" t="inlineStr">
        <is>
          <t>30</t>
        </is>
      </c>
      <c r="G3286" t="inlineStr">
        <is>
          <t>8</t>
        </is>
      </c>
      <c r="H3286" t="inlineStr">
        <is>
          <t>0</t>
        </is>
      </c>
      <c r="I3286" t="inlineStr">
        <is>
          <t>10⁸, 40⁴</t>
        </is>
      </c>
      <c r="J3286" t="n">
        <v>12</v>
      </c>
      <c r="K3286" t="inlineStr">
        <is>
          <t>4³, 8⁶</t>
        </is>
      </c>
      <c r="L3286" t="inlineStr">
        <is>
          <t>20F⁵, 40K⁵, 40J⁷</t>
        </is>
      </c>
      <c r="M3286" t="inlineStr"/>
      <c r="N3286" t="inlineStr">
        <is>
          <t>10E², 20F⁵, 10D⁰, 4C⁰, 5C⁰, 40J⁷, 2B⁰, 20F², 1A⁰, 40K⁵, 20F³, 10F¹</t>
        </is>
      </c>
      <c r="O3286" t="inlineStr"/>
    </row>
    <row r="3287">
      <c r="A3287">
        <f>HYPERLINK("https://mathstats.uncg.edu/sites/pauli/congruence/csg13.html#group40J13", "40J¹³")</f>
        <v/>
      </c>
      <c r="B3287" t="n">
        <v>13</v>
      </c>
      <c r="C3287" t="inlineStr"/>
      <c r="D3287" t="inlineStr">
        <is>
          <t>288</t>
        </is>
      </c>
      <c r="E3287" t="inlineStr">
        <is>
          <t>1</t>
        </is>
      </c>
      <c r="F3287" t="inlineStr">
        <is>
          <t>18</t>
        </is>
      </c>
      <c r="G3287" t="inlineStr">
        <is>
          <t>0</t>
        </is>
      </c>
      <c r="H3287" t="inlineStr">
        <is>
          <t>0</t>
        </is>
      </c>
      <c r="I3287" t="inlineStr">
        <is>
          <t>2⁸, 8⁴, 10⁸, 40⁴</t>
        </is>
      </c>
      <c r="J3287" t="n">
        <v>24</v>
      </c>
      <c r="K3287" t="inlineStr">
        <is>
          <t>1⁶, 4³</t>
        </is>
      </c>
      <c r="L3287" t="inlineStr">
        <is>
          <t>40J³, 20I⁵, 40O⁵, 40K⁷, 40AC⁷</t>
        </is>
      </c>
      <c r="M3287" t="inlineStr"/>
      <c r="N3287" t="inlineStr">
        <is>
          <t>20E¹, 2A⁰, 40A¹, 10G⁰, 20I⁵, 4C⁰, 40AC⁷, 5B⁰, 5D⁰, 10A¹, 2B⁰, 4E⁰, 20H¹, 4B⁰, 10D¹, 1A⁰, 20H³, 10C⁰, 20J³, 20C², 40O⁵, 20G³, 20D¹, 40J³, 10F⁰, 10B⁰, 20A⁰, 20I¹, 40I³, 40K⁷, 10K¹, 20I³, 2C⁰, 10G¹</t>
        </is>
      </c>
      <c r="O3287" t="inlineStr"/>
    </row>
    <row r="3288">
      <c r="A3288">
        <f>HYPERLINK("https://mathstats.uncg.edu/sites/pauli/congruence/csg13.html#group40K13", "40K¹³")</f>
        <v/>
      </c>
      <c r="B3288" t="n">
        <v>13</v>
      </c>
      <c r="C3288" t="inlineStr"/>
      <c r="D3288" t="inlineStr">
        <is>
          <t>288</t>
        </is>
      </c>
      <c r="E3288" t="inlineStr">
        <is>
          <t>1</t>
        </is>
      </c>
      <c r="F3288" t="inlineStr">
        <is>
          <t>18</t>
        </is>
      </c>
      <c r="G3288" t="inlineStr">
        <is>
          <t>0</t>
        </is>
      </c>
      <c r="H3288" t="inlineStr">
        <is>
          <t>0</t>
        </is>
      </c>
      <c r="I3288" t="inlineStr">
        <is>
          <t>2⁸, 8⁴, 10⁸, 40⁴</t>
        </is>
      </c>
      <c r="J3288" t="n">
        <v>24</v>
      </c>
      <c r="K3288" t="inlineStr">
        <is>
          <t>1⁶, 4³</t>
        </is>
      </c>
      <c r="L3288" t="inlineStr">
        <is>
          <t>20I⁵, 40M⁵, 40N⁵, 40L⁷, 40M⁷, 40N⁷, 40O⁷</t>
        </is>
      </c>
      <c r="M3288" t="inlineStr"/>
      <c r="N3288" t="inlineStr">
        <is>
          <t>20E¹, 2A⁰, 40L⁷, 10G⁰, 20I⁵, 4C⁰, 5B⁰, 5D⁰, 10A¹, 2B⁰, 4E⁰, 8C⁰, 20H¹, 4B⁰, 10D¹, 1A⁰, 20H³, 40N⁷, 40F³, 8G⁰, 40M⁵, 10C⁰, 40E³, 20J³, 20C², 40H³, 40O⁷, 8D⁰, 20G³, 20D¹, 10F⁰, 10B⁰, 20A⁰, 20I¹, 40M⁷, 40N⁵, 10K¹, 20I³, 2C⁰, 10G¹, 40G³</t>
        </is>
      </c>
      <c r="O3288" t="inlineStr"/>
    </row>
    <row r="3289">
      <c r="A3289">
        <f>HYPERLINK("https://mathstats.uncg.edu/sites/pauli/congruence/csg13.html#group40L13", "40L¹³")</f>
        <v/>
      </c>
      <c r="B3289" t="n">
        <v>13</v>
      </c>
      <c r="C3289" t="inlineStr"/>
      <c r="D3289" t="inlineStr">
        <is>
          <t>288</t>
        </is>
      </c>
      <c r="E3289" t="inlineStr">
        <is>
          <t>1</t>
        </is>
      </c>
      <c r="F3289" t="inlineStr">
        <is>
          <t>36</t>
        </is>
      </c>
      <c r="G3289" t="inlineStr">
        <is>
          <t>0</t>
        </is>
      </c>
      <c r="H3289" t="inlineStr">
        <is>
          <t>0</t>
        </is>
      </c>
      <c r="I3289" t="inlineStr">
        <is>
          <t>2⁸, 8⁴, 10⁸, 40⁴</t>
        </is>
      </c>
      <c r="J3289" t="n">
        <v>24</v>
      </c>
      <c r="K3289" t="inlineStr">
        <is>
          <t>1⁸, 2², 4⁴, 8¹</t>
        </is>
      </c>
      <c r="L3289" t="inlineStr">
        <is>
          <t>20S³, 40M⁵, 40K⁷</t>
        </is>
      </c>
      <c r="M3289" t="inlineStr"/>
      <c r="N3289" t="inlineStr">
        <is>
          <t>5B⁰, 5D⁰, 20D¹, 8C⁰, 20H¹, 2B⁰, 4B⁰, 1A⁰, 10F⁰, 20S³, 20A⁰, 40F³, 40I³, 40M⁵, 40K⁷, 10C⁰, 40E³</t>
        </is>
      </c>
      <c r="O3289" t="inlineStr"/>
    </row>
    <row r="3290">
      <c r="A3290">
        <f>HYPERLINK("https://mathstats.uncg.edu/sites/pauli/congruence/csg13.html#group40M13", "40M¹³")</f>
        <v/>
      </c>
      <c r="B3290" t="n">
        <v>13</v>
      </c>
      <c r="C3290" t="inlineStr"/>
      <c r="D3290" t="inlineStr">
        <is>
          <t>288</t>
        </is>
      </c>
      <c r="E3290" t="inlineStr">
        <is>
          <t>1</t>
        </is>
      </c>
      <c r="F3290" t="inlineStr">
        <is>
          <t>36</t>
        </is>
      </c>
      <c r="G3290" t="inlineStr">
        <is>
          <t>16</t>
        </is>
      </c>
      <c r="H3290" t="inlineStr">
        <is>
          <t>0</t>
        </is>
      </c>
      <c r="I3290" t="inlineStr">
        <is>
          <t>4⁴, 8⁴, 20⁴, 40⁴</t>
        </is>
      </c>
      <c r="J3290" t="n">
        <v>16</v>
      </c>
      <c r="K3290" t="inlineStr">
        <is>
          <t>1⁴, 2⁴, 4², 8²</t>
        </is>
      </c>
      <c r="L3290" t="inlineStr">
        <is>
          <t>20J⁵, 40L⁵, 40N⁵, 40R⁷, 40Q⁷, 40P⁷, 40S⁷</t>
        </is>
      </c>
      <c r="M3290" t="inlineStr"/>
      <c r="N3290" t="inlineStr">
        <is>
          <t>20E¹, 40D³, 40Q⁷, 10G⁰, 20J⁵, 40H³, 8D⁰, 4C⁰, 5B⁰, 8B⁰, 2B⁰, 20K³, 1A⁰, 40P⁷, 40S⁷, 20B¹, 10B⁰, 8H⁰, 20A⁰, 40C³, 20I¹, 4A⁰, 20G¹, 10C⁰, 40R⁷, 40N⁵, 4F⁰, 40L⁵, 20L³, 40G³</t>
        </is>
      </c>
      <c r="O3290" t="inlineStr"/>
    </row>
    <row r="3291">
      <c r="A3291">
        <f>HYPERLINK("https://mathstats.uncg.edu/sites/pauli/congruence/csg13.html#group40N13", "40N¹³")</f>
        <v/>
      </c>
      <c r="B3291" t="n">
        <v>13</v>
      </c>
      <c r="C3291" t="inlineStr"/>
      <c r="D3291" t="inlineStr">
        <is>
          <t>288</t>
        </is>
      </c>
      <c r="E3291" t="inlineStr">
        <is>
          <t>1</t>
        </is>
      </c>
      <c r="F3291" t="inlineStr">
        <is>
          <t>36</t>
        </is>
      </c>
      <c r="G3291" t="inlineStr">
        <is>
          <t>16</t>
        </is>
      </c>
      <c r="H3291" t="inlineStr">
        <is>
          <t>0</t>
        </is>
      </c>
      <c r="I3291" t="inlineStr">
        <is>
          <t>4⁴, 8⁴, 20⁴, 40⁴</t>
        </is>
      </c>
      <c r="J3291" t="n">
        <v>16</v>
      </c>
      <c r="K3291" t="inlineStr">
        <is>
          <t>1⁸, 2², 4⁴, 8¹</t>
        </is>
      </c>
      <c r="L3291" t="inlineStr">
        <is>
          <t>20T³, 40L⁵, 40T⁷</t>
        </is>
      </c>
      <c r="M3291" t="inlineStr"/>
      <c r="N3291" t="inlineStr">
        <is>
          <t>20E¹, 40D³, 10G⁰, 40T⁷, 4C⁰, 5B⁰, 8B⁰, 2B⁰, 1A⁰, 20T³, 10B⁰, 40C³, 20A⁰, 20I¹, 10C⁰, 40L⁵</t>
        </is>
      </c>
      <c r="O3291" t="inlineStr"/>
    </row>
    <row r="3292">
      <c r="A3292">
        <f>HYPERLINK("https://mathstats.uncg.edu/sites/pauli/congruence/csg13.html#group40O13", "40O¹³")</f>
        <v/>
      </c>
      <c r="B3292" t="n">
        <v>13</v>
      </c>
      <c r="C3292" t="inlineStr"/>
      <c r="D3292" t="inlineStr">
        <is>
          <t>288</t>
        </is>
      </c>
      <c r="E3292" t="inlineStr">
        <is>
          <t>1</t>
        </is>
      </c>
      <c r="F3292" t="inlineStr">
        <is>
          <t>72</t>
        </is>
      </c>
      <c r="G3292" t="inlineStr">
        <is>
          <t>0</t>
        </is>
      </c>
      <c r="H3292" t="inlineStr">
        <is>
          <t>0</t>
        </is>
      </c>
      <c r="I3292" t="inlineStr">
        <is>
          <t>1⁴, 2², 4², 5⁴, 8⁴, 10², 20², 40⁴</t>
        </is>
      </c>
      <c r="J3292" t="n">
        <v>24</v>
      </c>
      <c r="K3292" t="inlineStr">
        <is>
          <t>1⁸, 2⁴, 4⁶, 8², 16¹</t>
        </is>
      </c>
      <c r="L3292" t="inlineStr">
        <is>
          <t>40M⁵</t>
        </is>
      </c>
      <c r="M3292" t="inlineStr"/>
      <c r="N3292" t="inlineStr">
        <is>
          <t>20A⁰, 40F³, 40M⁵, 5B⁰, 10C⁰, 5D⁰, 40E³, 20D¹, 8C⁰, 20H¹, 2B⁰, 4B⁰, 1A⁰, 10F⁰</t>
        </is>
      </c>
      <c r="O3292" t="inlineStr"/>
    </row>
    <row r="3293">
      <c r="A3293">
        <f>HYPERLINK("https://mathstats.uncg.edu/sites/pauli/congruence/csg13.html#group40P13", "40P¹³")</f>
        <v/>
      </c>
      <c r="B3293" t="n">
        <v>13</v>
      </c>
      <c r="C3293" t="inlineStr"/>
      <c r="D3293" t="inlineStr">
        <is>
          <t>288</t>
        </is>
      </c>
      <c r="E3293" t="inlineStr">
        <is>
          <t>1</t>
        </is>
      </c>
      <c r="F3293" t="inlineStr">
        <is>
          <t>72</t>
        </is>
      </c>
      <c r="G3293" t="inlineStr">
        <is>
          <t>0</t>
        </is>
      </c>
      <c r="H3293" t="inlineStr">
        <is>
          <t>0</t>
        </is>
      </c>
      <c r="I3293" t="inlineStr">
        <is>
          <t>1⁴, 2², 4², 5⁴, 8⁴, 10², 20², 40⁴</t>
        </is>
      </c>
      <c r="J3293" t="n">
        <v>24</v>
      </c>
      <c r="K3293" t="inlineStr">
        <is>
          <t>1⁸, 2⁴, 4⁶, 8², 16¹</t>
        </is>
      </c>
      <c r="L3293" t="inlineStr">
        <is>
          <t>40M⁵, 40U⁷, 40V⁷</t>
        </is>
      </c>
      <c r="M3293" t="inlineStr"/>
      <c r="N3293" t="inlineStr">
        <is>
          <t>40U⁷, 5B⁰, 5D⁰, 20D¹, 8C⁰, 20H¹, 2B⁰, 4B⁰, 8I⁰, 1A⁰, 10F⁰, 40V⁷, 20A⁰, 40F³, 40M⁵, 10C⁰, 40E³</t>
        </is>
      </c>
      <c r="O3293" t="inlineStr"/>
    </row>
    <row r="3294">
      <c r="A3294">
        <f>HYPERLINK("https://mathstats.uncg.edu/sites/pauli/congruence/csg13.html#group40Q13", "40Q¹³")</f>
        <v/>
      </c>
      <c r="B3294" t="n">
        <v>13</v>
      </c>
      <c r="C3294" t="inlineStr"/>
      <c r="D3294" t="inlineStr">
        <is>
          <t>288</t>
        </is>
      </c>
      <c r="E3294" t="inlineStr">
        <is>
          <t>1</t>
        </is>
      </c>
      <c r="F3294" t="inlineStr">
        <is>
          <t>72</t>
        </is>
      </c>
      <c r="G3294" t="inlineStr">
        <is>
          <t>0</t>
        </is>
      </c>
      <c r="H3294" t="inlineStr">
        <is>
          <t>0</t>
        </is>
      </c>
      <c r="I3294" t="inlineStr">
        <is>
          <t>2⁴, 4⁶, 8², 10⁴, 20⁶, 40²</t>
        </is>
      </c>
      <c r="J3294" t="n">
        <v>24</v>
      </c>
      <c r="K3294" t="inlineStr">
        <is>
          <t>1¹⁶, 2⁴, 4⁸, 8²</t>
        </is>
      </c>
      <c r="L3294" t="inlineStr">
        <is>
          <t>20I⁵</t>
        </is>
      </c>
      <c r="M3294" t="inlineStr"/>
      <c r="N3294" t="inlineStr">
        <is>
          <t>20E¹, 2A⁰, 10G⁰, 20I⁵, 20G³, 4C⁰, 5B⁰, 5D⁰, 10A¹, 2B⁰, 20D¹, 20H¹, 4E⁰, 4B⁰, 10D¹, 1A⁰, 20H³, 10F⁰, 10B⁰, 20A⁰, 20I¹, 10C⁰, 10K¹, 20I³, 20J³, 2C⁰, 20C², 10G¹</t>
        </is>
      </c>
      <c r="O3294" t="inlineStr"/>
    </row>
    <row r="3295">
      <c r="A3295">
        <f>HYPERLINK("https://mathstats.uncg.edu/sites/pauli/congruence/csg13.html#group40R13", "40R¹³")</f>
        <v/>
      </c>
      <c r="B3295" t="n">
        <v>13</v>
      </c>
      <c r="C3295" t="inlineStr"/>
      <c r="D3295" t="inlineStr">
        <is>
          <t>288</t>
        </is>
      </c>
      <c r="E3295" t="inlineStr">
        <is>
          <t>1</t>
        </is>
      </c>
      <c r="F3295" t="inlineStr">
        <is>
          <t>72</t>
        </is>
      </c>
      <c r="G3295" t="inlineStr">
        <is>
          <t>0</t>
        </is>
      </c>
      <c r="H3295" t="inlineStr">
        <is>
          <t>0</t>
        </is>
      </c>
      <c r="I3295" t="inlineStr">
        <is>
          <t>2⁴, 4⁶, 8², 10⁴, 20⁶, 40²</t>
        </is>
      </c>
      <c r="J3295" t="n">
        <v>24</v>
      </c>
      <c r="K3295" t="inlineStr">
        <is>
          <t>1¹⁶, 2⁴, 4⁸, 8²</t>
        </is>
      </c>
      <c r="L3295" t="inlineStr">
        <is>
          <t>20I⁵, 40W⁷, 40X⁷</t>
        </is>
      </c>
      <c r="M3295" t="inlineStr"/>
      <c r="N3295" t="inlineStr">
        <is>
          <t>2A⁰, 20E¹, 10G⁰, 20I⁵, 4C⁰, 40X⁷, 5B⁰, 10A¹, 5D⁰, 2B⁰, 4E⁰, 20H¹, 4B⁰, 10D¹, 1A⁰, 20H³, 10C⁰, 20J³, 20C², 40W⁷, 20G³, 20D¹, 10F⁰, 10B⁰, 20A⁰, 20I¹, 10K¹, 20I³, 8J⁰, 2C⁰, 10G¹</t>
        </is>
      </c>
      <c r="O3295" t="inlineStr"/>
    </row>
    <row r="3296">
      <c r="A3296">
        <f>HYPERLINK("https://mathstats.uncg.edu/sites/pauli/congruence/csg13.html#group40S13", "40S¹³")</f>
        <v/>
      </c>
      <c r="B3296" t="n">
        <v>13</v>
      </c>
      <c r="C3296" t="inlineStr"/>
      <c r="D3296" t="inlineStr">
        <is>
          <t>288</t>
        </is>
      </c>
      <c r="E3296" t="inlineStr">
        <is>
          <t>1</t>
        </is>
      </c>
      <c r="F3296" t="inlineStr">
        <is>
          <t>72</t>
        </is>
      </c>
      <c r="G3296" t="inlineStr">
        <is>
          <t>8</t>
        </is>
      </c>
      <c r="H3296" t="inlineStr">
        <is>
          <t>0</t>
        </is>
      </c>
      <c r="I3296" t="inlineStr">
        <is>
          <t>4⁸, 8², 20⁸, 40²</t>
        </is>
      </c>
      <c r="J3296" t="n">
        <v>20</v>
      </c>
      <c r="K3296" t="inlineStr">
        <is>
          <t>2⁴, 4⁴, 8², 16²</t>
        </is>
      </c>
      <c r="L3296" t="inlineStr">
        <is>
          <t>20J⁵</t>
        </is>
      </c>
      <c r="M3296" t="inlineStr"/>
      <c r="N3296" t="inlineStr">
        <is>
          <t>20E¹, 10G⁰, 20J⁵, 4C⁰, 5B⁰, 2B⁰, 20K³, 1A⁰, 20B¹, 10B⁰, 20A⁰, 20I¹, 4A⁰, 20G¹, 10C⁰, 4F⁰, 20L³</t>
        </is>
      </c>
      <c r="O3296" t="inlineStr"/>
    </row>
    <row r="3297">
      <c r="A3297">
        <f>HYPERLINK("https://mathstats.uncg.edu/sites/pauli/congruence/csg13.html#group40T13", "40T¹³")</f>
        <v/>
      </c>
      <c r="B3297" t="n">
        <v>13</v>
      </c>
      <c r="C3297" t="inlineStr"/>
      <c r="D3297" t="inlineStr">
        <is>
          <t>288</t>
        </is>
      </c>
      <c r="E3297" t="inlineStr">
        <is>
          <t>1</t>
        </is>
      </c>
      <c r="F3297" t="inlineStr">
        <is>
          <t>72</t>
        </is>
      </c>
      <c r="G3297" t="inlineStr">
        <is>
          <t>8</t>
        </is>
      </c>
      <c r="H3297" t="inlineStr">
        <is>
          <t>0</t>
        </is>
      </c>
      <c r="I3297" t="inlineStr">
        <is>
          <t>4⁸, 8², 20⁸, 40²</t>
        </is>
      </c>
      <c r="J3297" t="n">
        <v>20</v>
      </c>
      <c r="K3297" t="inlineStr">
        <is>
          <t>2⁴, 4⁴, 8², 16²</t>
        </is>
      </c>
      <c r="L3297" t="inlineStr">
        <is>
          <t>20J⁵, 40Y⁷, 40Z⁷</t>
        </is>
      </c>
      <c r="M3297" t="inlineStr"/>
      <c r="N3297" t="inlineStr">
        <is>
          <t>20E¹, 10G⁰, 20J⁵, 4C⁰, 5B⁰, 2B⁰, 20K³, 8K⁰, 1A⁰, 20B¹, 10B⁰, 20A⁰, 20I¹, 4A⁰, 20G¹, 10C⁰, 40Y⁷, 4F⁰, 40Z⁷, 20L³</t>
        </is>
      </c>
      <c r="O3297" t="inlineStr"/>
    </row>
    <row r="3298">
      <c r="A3298">
        <f>HYPERLINK("https://mathstats.uncg.edu/sites/pauli/congruence/csg13.html#group40U13", "40U¹³")</f>
        <v/>
      </c>
      <c r="B3298" t="n">
        <v>13</v>
      </c>
      <c r="C3298" t="inlineStr"/>
      <c r="D3298" t="inlineStr">
        <is>
          <t>288</t>
        </is>
      </c>
      <c r="E3298" t="inlineStr">
        <is>
          <t>1</t>
        </is>
      </c>
      <c r="F3298" t="inlineStr">
        <is>
          <t>72</t>
        </is>
      </c>
      <c r="G3298" t="inlineStr">
        <is>
          <t>16</t>
        </is>
      </c>
      <c r="H3298" t="inlineStr">
        <is>
          <t>0</t>
        </is>
      </c>
      <c r="I3298" t="inlineStr">
        <is>
          <t>4⁴, 8⁴, 20⁴, 40⁴</t>
        </is>
      </c>
      <c r="J3298" t="n">
        <v>16</v>
      </c>
      <c r="K3298" t="inlineStr">
        <is>
          <t>1⁸, 2⁴, 4⁶, 8², 16¹</t>
        </is>
      </c>
      <c r="L3298" t="inlineStr">
        <is>
          <t>40L⁵</t>
        </is>
      </c>
      <c r="M3298" t="inlineStr"/>
      <c r="N3298" t="inlineStr">
        <is>
          <t>40C³, 20E¹, 20A⁰, 40D³, 10G⁰, 20I¹, 4C⁰, 5B⁰, 10C⁰, 8B⁰, 1A⁰, 2B⁰, 40L⁵, 10B⁰</t>
        </is>
      </c>
      <c r="O3298" t="inlineStr"/>
    </row>
    <row r="3299">
      <c r="A3299">
        <f>HYPERLINK("https://mathstats.uncg.edu/sites/pauli/congruence/csg13.html#group40V13", "40V¹³")</f>
        <v/>
      </c>
      <c r="B3299" t="n">
        <v>13</v>
      </c>
      <c r="C3299" t="inlineStr"/>
      <c r="D3299" t="inlineStr">
        <is>
          <t>288</t>
        </is>
      </c>
      <c r="E3299" t="inlineStr">
        <is>
          <t>1</t>
        </is>
      </c>
      <c r="F3299" t="inlineStr">
        <is>
          <t>72</t>
        </is>
      </c>
      <c r="G3299" t="inlineStr">
        <is>
          <t>16</t>
        </is>
      </c>
      <c r="H3299" t="inlineStr">
        <is>
          <t>0</t>
        </is>
      </c>
      <c r="I3299" t="inlineStr">
        <is>
          <t>4⁴, 8⁴, 20⁴, 40⁴</t>
        </is>
      </c>
      <c r="J3299" t="n">
        <v>16</v>
      </c>
      <c r="K3299" t="inlineStr">
        <is>
          <t>1⁸, 2⁴, 4⁶, 8², 16¹</t>
        </is>
      </c>
      <c r="L3299" t="inlineStr">
        <is>
          <t>40L⁵, 40AA⁷, 40AB⁷</t>
        </is>
      </c>
      <c r="M3299" t="inlineStr"/>
      <c r="N3299" t="inlineStr">
        <is>
          <t>20E¹, 40D³, 10G⁰, 4C⁰, 5B⁰, 8B⁰, 8L⁰, 2B⁰, 1A⁰, 10B⁰, 40C³, 20A⁰, 40AA⁷, 20I¹, 10C⁰, 40L⁵, 40AB⁷</t>
        </is>
      </c>
      <c r="O3299" t="inlineStr"/>
    </row>
    <row r="3300">
      <c r="A3300">
        <f>HYPERLINK("https://mathstats.uncg.edu/sites/pauli/congruence/csg13.html#group40W13", "40W¹³")</f>
        <v/>
      </c>
      <c r="B3300" t="n">
        <v>13</v>
      </c>
      <c r="C3300" t="inlineStr"/>
      <c r="D3300" t="inlineStr">
        <is>
          <t>288</t>
        </is>
      </c>
      <c r="E3300" t="inlineStr">
        <is>
          <t>2</t>
        </is>
      </c>
      <c r="F3300" t="inlineStr">
        <is>
          <t>18</t>
        </is>
      </c>
      <c r="G3300" t="inlineStr">
        <is>
          <t>16</t>
        </is>
      </c>
      <c r="H3300" t="inlineStr">
        <is>
          <t>0</t>
        </is>
      </c>
      <c r="I3300" t="inlineStr">
        <is>
          <t>4⁴, 8⁴, 20⁴, 40⁴</t>
        </is>
      </c>
      <c r="J3300" t="n">
        <v>16</v>
      </c>
      <c r="K3300" t="inlineStr">
        <is>
          <t>2⁶, 8³</t>
        </is>
      </c>
      <c r="L3300" t="inlineStr">
        <is>
          <t>20K⁵, 40L⁵, 40O⁵</t>
        </is>
      </c>
      <c r="M3300" t="inlineStr"/>
      <c r="N3300" t="inlineStr">
        <is>
          <t>20E¹, 20C¹, 40D³, 20M³, 10G⁰, 40A¹, 40O⁵, 4C⁰, 5B⁰, 8B⁰, 2B⁰, 1A⁰, 20J¹, 10B⁰, 40C³, 20A⁰, 20K⁵, 20I¹, 40I³, 10C⁰, 40L⁵</t>
        </is>
      </c>
      <c r="O3300" t="inlineStr"/>
    </row>
    <row r="3301">
      <c r="A3301">
        <f>HYPERLINK("https://mathstats.uncg.edu/sites/pauli/congruence/csg13.html#group42A13", "42A¹³")</f>
        <v/>
      </c>
      <c r="B3301" t="n">
        <v>13</v>
      </c>
      <c r="C3301" t="inlineStr"/>
      <c r="D3301" t="inlineStr">
        <is>
          <t>168</t>
        </is>
      </c>
      <c r="E3301" t="inlineStr">
        <is>
          <t>1</t>
        </is>
      </c>
      <c r="F3301" t="inlineStr">
        <is>
          <t>28</t>
        </is>
      </c>
      <c r="G3301" t="inlineStr">
        <is>
          <t>0</t>
        </is>
      </c>
      <c r="H3301" t="inlineStr">
        <is>
          <t>0</t>
        </is>
      </c>
      <c r="I3301" t="inlineStr">
        <is>
          <t>42⁴</t>
        </is>
      </c>
      <c r="J3301" t="n">
        <v>4</v>
      </c>
      <c r="K3301" t="inlineStr">
        <is>
          <t>1¹, 3¹, 6⁴</t>
        </is>
      </c>
      <c r="L3301" t="inlineStr">
        <is>
          <t>14C³, 21C³, 42A⁴</t>
        </is>
      </c>
      <c r="M3301" t="inlineStr"/>
      <c r="N3301" t="inlineStr">
        <is>
          <t>2A⁰, 14C³, 14A¹, 7F⁰, 21A⁰, 6A¹, 42A⁴, 3A⁰, 1A⁰, 21C³, 7A⁰</t>
        </is>
      </c>
      <c r="O3301" t="inlineStr"/>
    </row>
    <row r="3302">
      <c r="A3302">
        <f>HYPERLINK("https://mathstats.uncg.edu/sites/pauli/congruence/csg13.html#group42B13", "42B¹³")</f>
        <v/>
      </c>
      <c r="B3302" t="n">
        <v>13</v>
      </c>
      <c r="C3302" t="inlineStr"/>
      <c r="D3302" t="inlineStr">
        <is>
          <t>168</t>
        </is>
      </c>
      <c r="E3302" t="inlineStr">
        <is>
          <t>2</t>
        </is>
      </c>
      <c r="F3302" t="inlineStr">
        <is>
          <t>7</t>
        </is>
      </c>
      <c r="G3302" t="inlineStr">
        <is>
          <t>0</t>
        </is>
      </c>
      <c r="H3302" t="inlineStr">
        <is>
          <t>0</t>
        </is>
      </c>
      <c r="I3302" t="inlineStr">
        <is>
          <t>42⁴</t>
        </is>
      </c>
      <c r="J3302" t="n">
        <v>4</v>
      </c>
      <c r="K3302" t="inlineStr">
        <is>
          <t>2¹, 6²</t>
        </is>
      </c>
      <c r="L3302" t="inlineStr">
        <is>
          <t>42D⁴, 42E⁵, 21A⁶, 42A⁶</t>
        </is>
      </c>
      <c r="M3302" t="inlineStr"/>
      <c r="N3302" t="inlineStr">
        <is>
          <t>3B⁰, 14A⁰, 21D², 42A¹, 21A⁰, 1A⁰, 21A⁶, 42A², 21B², 42A⁶, 42E⁵, 42D⁴, 3C⁰, 3A⁰, 3D⁰, 7A⁰</t>
        </is>
      </c>
      <c r="O3302" t="inlineStr"/>
    </row>
    <row r="3303">
      <c r="A3303">
        <f>HYPERLINK("https://mathstats.uncg.edu/sites/pauli/congruence/csg13.html#group42C13", "42C¹³")</f>
        <v/>
      </c>
      <c r="B3303" t="n">
        <v>13</v>
      </c>
      <c r="C3303" t="inlineStr"/>
      <c r="D3303" t="inlineStr">
        <is>
          <t>168</t>
        </is>
      </c>
      <c r="E3303" t="inlineStr">
        <is>
          <t>2</t>
        </is>
      </c>
      <c r="F3303" t="inlineStr">
        <is>
          <t>7</t>
        </is>
      </c>
      <c r="G3303" t="inlineStr">
        <is>
          <t>0</t>
        </is>
      </c>
      <c r="H3303" t="inlineStr">
        <is>
          <t>0</t>
        </is>
      </c>
      <c r="I3303" t="inlineStr">
        <is>
          <t>42⁴</t>
        </is>
      </c>
      <c r="J3303" t="n">
        <v>4</v>
      </c>
      <c r="K3303" t="inlineStr">
        <is>
          <t>2¹, 6²</t>
        </is>
      </c>
      <c r="L3303" t="inlineStr">
        <is>
          <t>6D¹, 42E⁴, 42F⁴, 21A⁶, 42C⁷</t>
        </is>
      </c>
      <c r="M3303" t="inlineStr"/>
      <c r="N3303" t="inlineStr">
        <is>
          <t>3B⁰, 2A⁰, 21D², 6B⁰, 42F⁴, 6C⁰, 14A¹, 21A⁰, 42A⁴, 1A⁰, 21A⁶, 21B², 6D¹, 42C⁷, 6E⁰, 6B¹, 42E⁴, 3C⁰, 6A¹, 42B¹, 3A⁰, 3D⁰, 7A⁰</t>
        </is>
      </c>
      <c r="O3303" t="inlineStr"/>
    </row>
    <row r="3304">
      <c r="A3304">
        <f>HYPERLINK("https://mathstats.uncg.edu/sites/pauli/congruence/csg13.html#group42D13", "42D¹³")</f>
        <v/>
      </c>
      <c r="B3304" t="n">
        <v>13</v>
      </c>
      <c r="C3304" t="inlineStr"/>
      <c r="D3304" t="inlineStr">
        <is>
          <t>168</t>
        </is>
      </c>
      <c r="E3304" t="inlineStr">
        <is>
          <t>2</t>
        </is>
      </c>
      <c r="F3304" t="inlineStr">
        <is>
          <t>21</t>
        </is>
      </c>
      <c r="G3304" t="inlineStr">
        <is>
          <t>0</t>
        </is>
      </c>
      <c r="H3304" t="inlineStr">
        <is>
          <t>0</t>
        </is>
      </c>
      <c r="I3304" t="inlineStr">
        <is>
          <t>42⁴</t>
        </is>
      </c>
      <c r="J3304" t="n">
        <v>4</v>
      </c>
      <c r="K3304" t="inlineStr">
        <is>
          <t>2¹, 4¹, 6², 12²</t>
        </is>
      </c>
      <c r="L3304" t="inlineStr">
        <is>
          <t>21B⁴, 42G⁴, 42H⁴, 42A⁶, 42B⁷, 42C⁷</t>
        </is>
      </c>
      <c r="M3304" t="inlineStr"/>
      <c r="N3304" t="inlineStr">
        <is>
          <t>2A⁰, 21D², 6B⁰, 42H⁴, 21D¹, 14A¹, 21A⁰, 42B⁷, 42A⁴, 1A⁰, 42A², 42C⁷, 42A⁶, 6B¹, 42G⁴, 3C⁰, 21B⁴, 6A¹, 42B¹, 3A⁰, 7A⁰</t>
        </is>
      </c>
      <c r="O3304" t="inlineStr"/>
    </row>
    <row r="3305">
      <c r="A3305">
        <f>HYPERLINK("https://mathstats.uncg.edu/sites/pauli/congruence/csg13.html#group42E13", "42E¹³")</f>
        <v/>
      </c>
      <c r="B3305" t="n">
        <v>13</v>
      </c>
      <c r="C3305" t="inlineStr"/>
      <c r="D3305" t="inlineStr">
        <is>
          <t>168</t>
        </is>
      </c>
      <c r="E3305" t="inlineStr">
        <is>
          <t>2</t>
        </is>
      </c>
      <c r="F3305" t="inlineStr">
        <is>
          <t>21</t>
        </is>
      </c>
      <c r="G3305" t="inlineStr">
        <is>
          <t>0</t>
        </is>
      </c>
      <c r="H3305" t="inlineStr">
        <is>
          <t>0</t>
        </is>
      </c>
      <c r="I3305" t="inlineStr">
        <is>
          <t>42⁴</t>
        </is>
      </c>
      <c r="J3305" t="n">
        <v>4</v>
      </c>
      <c r="K3305" t="inlineStr">
        <is>
          <t>2¹, 4¹, 6², 12²</t>
        </is>
      </c>
      <c r="L3305" t="inlineStr">
        <is>
          <t>42F³, 21B⁵, 42E⁵, 42F⁵, 42A⁷, 42B⁷, 42C⁷</t>
        </is>
      </c>
      <c r="M3305" t="inlineStr"/>
      <c r="N3305" t="inlineStr">
        <is>
          <t>2A⁰, 14A⁰, 21D², 42F⁵, 6B⁰, 3A⁰, 42A¹, 21B⁵, 21D¹, 14A¹, 21C², 21A⁰, 42B⁷, 42A⁴, 1A⁰, 14D¹, 42A², 6B¹, 42E⁵, 7C⁰, 42A⁷, 3C⁰, 6A¹, 42B¹, 42C⁷, 42F³, 7A⁰</t>
        </is>
      </c>
      <c r="O3305" t="inlineStr"/>
    </row>
    <row r="3306">
      <c r="A3306">
        <f>HYPERLINK("https://mathstats.uncg.edu/sites/pauli/congruence/csg13.html#group42F13", "42F¹³")</f>
        <v/>
      </c>
      <c r="B3306" t="n">
        <v>13</v>
      </c>
      <c r="C3306" t="inlineStr"/>
      <c r="D3306" t="inlineStr">
        <is>
          <t>192</t>
        </is>
      </c>
      <c r="E3306" t="inlineStr">
        <is>
          <t>1</t>
        </is>
      </c>
      <c r="F3306" t="inlineStr">
        <is>
          <t>8</t>
        </is>
      </c>
      <c r="G3306" t="inlineStr">
        <is>
          <t>0</t>
        </is>
      </c>
      <c r="H3306" t="inlineStr">
        <is>
          <t>0</t>
        </is>
      </c>
      <c r="I3306" t="inlineStr">
        <is>
          <t>6⁴, 42⁴</t>
        </is>
      </c>
      <c r="J3306" t="n">
        <v>8</v>
      </c>
      <c r="K3306" t="inlineStr">
        <is>
          <t>1², 6¹</t>
        </is>
      </c>
      <c r="L3306" t="inlineStr">
        <is>
          <t>42D³, 21C⁵</t>
        </is>
      </c>
      <c r="M3306" t="inlineStr"/>
      <c r="N3306" t="inlineStr">
        <is>
          <t>3B⁰, 21B¹, 21C⁵, 21A², 7B⁰, 3C⁰, 42D³, 3A⁰, 1A⁰, 21A³, 3D⁰</t>
        </is>
      </c>
      <c r="O3306" t="inlineStr"/>
    </row>
    <row r="3307">
      <c r="A3307">
        <f>HYPERLINK("https://mathstats.uncg.edu/sites/pauli/congruence/csg13.html#group42G13", "42G¹³")</f>
        <v/>
      </c>
      <c r="B3307" t="n">
        <v>13</v>
      </c>
      <c r="C3307" t="inlineStr"/>
      <c r="D3307" t="inlineStr">
        <is>
          <t>192</t>
        </is>
      </c>
      <c r="E3307" t="inlineStr">
        <is>
          <t>1</t>
        </is>
      </c>
      <c r="F3307" t="inlineStr">
        <is>
          <t>8</t>
        </is>
      </c>
      <c r="G3307" t="inlineStr">
        <is>
          <t>0</t>
        </is>
      </c>
      <c r="H3307" t="inlineStr">
        <is>
          <t>0</t>
        </is>
      </c>
      <c r="I3307" t="inlineStr">
        <is>
          <t>6⁴, 42⁴</t>
        </is>
      </c>
      <c r="J3307" t="n">
        <v>8</v>
      </c>
      <c r="K3307" t="inlineStr">
        <is>
          <t>1², 6¹</t>
        </is>
      </c>
      <c r="L3307" t="inlineStr">
        <is>
          <t>6D¹, 42E³, 21C⁵, 42D⁷, 42E⁷</t>
        </is>
      </c>
      <c r="M3307" t="inlineStr"/>
      <c r="N3307" t="inlineStr">
        <is>
          <t>42E⁷, 2A⁰, 3B⁰, 42D⁷, 6B⁰, 6C⁰, 42C⁴, 1A⁰, 21A³, 6D¹, 21C⁵, 21A², 42B⁴, 6B¹, 7B⁰, 42E³, 6E⁰, 14B⁰, 21B¹, 3C⁰, 6A¹, 3A⁰, 3D⁰</t>
        </is>
      </c>
      <c r="O3307" t="inlineStr"/>
    </row>
    <row r="3308">
      <c r="A3308">
        <f>HYPERLINK("https://mathstats.uncg.edu/sites/pauli/congruence/csg13.html#group42H13", "42H¹³")</f>
        <v/>
      </c>
      <c r="B3308" t="n">
        <v>13</v>
      </c>
      <c r="C3308" t="inlineStr"/>
      <c r="D3308" t="inlineStr">
        <is>
          <t>216</t>
        </is>
      </c>
      <c r="E3308" t="inlineStr">
        <is>
          <t>1</t>
        </is>
      </c>
      <c r="F3308" t="inlineStr">
        <is>
          <t>24</t>
        </is>
      </c>
      <c r="G3308" t="inlineStr">
        <is>
          <t>0</t>
        </is>
      </c>
      <c r="H3308" t="inlineStr">
        <is>
          <t>0</t>
        </is>
      </c>
      <c r="I3308" t="inlineStr">
        <is>
          <t>3³, 6³, 21³, 42³</t>
        </is>
      </c>
      <c r="J3308" t="n">
        <v>12</v>
      </c>
      <c r="K3308" t="inlineStr">
        <is>
          <t>1⁶, 6³</t>
        </is>
      </c>
      <c r="L3308" t="inlineStr">
        <is>
          <t>14H¹, 21A⁴, 42A⁵, 42B⁵</t>
        </is>
      </c>
      <c r="M3308" t="inlineStr"/>
      <c r="N3308" t="inlineStr">
        <is>
          <t>21A², 42B⁵, 42A⁵, 7B⁰, 14H¹, 14C¹, 21A⁴, 2B⁰, 7E⁰, 3A⁰, 1A⁰, 6D⁰, 21A¹</t>
        </is>
      </c>
      <c r="O3308" t="inlineStr"/>
    </row>
    <row r="3309">
      <c r="A3309">
        <f>HYPERLINK("https://mathstats.uncg.edu/sites/pauli/congruence/csg13.html#group42I13", "42I¹³")</f>
        <v/>
      </c>
      <c r="B3309" t="n">
        <v>13</v>
      </c>
      <c r="C3309" t="inlineStr"/>
      <c r="D3309" t="inlineStr">
        <is>
          <t>252</t>
        </is>
      </c>
      <c r="E3309" t="inlineStr">
        <is>
          <t>2</t>
        </is>
      </c>
      <c r="F3309" t="inlineStr">
        <is>
          <t>21</t>
        </is>
      </c>
      <c r="G3309" t="inlineStr">
        <is>
          <t>24</t>
        </is>
      </c>
      <c r="H3309" t="inlineStr">
        <is>
          <t>0</t>
        </is>
      </c>
      <c r="I3309" t="inlineStr">
        <is>
          <t>42⁶</t>
        </is>
      </c>
      <c r="J3309" t="n">
        <v>6</v>
      </c>
      <c r="K3309" t="inlineStr">
        <is>
          <t>2¹, 4¹, 6², 12²</t>
        </is>
      </c>
      <c r="L3309" t="inlineStr">
        <is>
          <t>21E⁴, 42F⁵, 42H⁵, 42D⁶</t>
        </is>
      </c>
      <c r="M3309" t="inlineStr"/>
      <c r="N3309" t="inlineStr">
        <is>
          <t>42F⁵, 6B⁰, 7D⁰, 21C², 21A⁰, 42D⁶, 7G⁰, 1A⁰, 42A², 21E¹, 7C⁰, 42H⁵, 21C¹, 42B¹, 3A⁰, 21E⁴, 7A⁰</t>
        </is>
      </c>
      <c r="O3309" t="inlineStr"/>
    </row>
    <row r="3310">
      <c r="A3310">
        <f>HYPERLINK("https://mathstats.uncg.edu/sites/pauli/congruence/csg13.html#group42J13", "42J¹³")</f>
        <v/>
      </c>
      <c r="B3310" t="n">
        <v>13</v>
      </c>
      <c r="C3310" t="inlineStr"/>
      <c r="D3310" t="inlineStr">
        <is>
          <t>252</t>
        </is>
      </c>
      <c r="E3310" t="inlineStr">
        <is>
          <t>2</t>
        </is>
      </c>
      <c r="F3310" t="inlineStr">
        <is>
          <t>21</t>
        </is>
      </c>
      <c r="G3310" t="inlineStr">
        <is>
          <t>24</t>
        </is>
      </c>
      <c r="H3310" t="inlineStr">
        <is>
          <t>0</t>
        </is>
      </c>
      <c r="I3310" t="inlineStr">
        <is>
          <t>42⁶</t>
        </is>
      </c>
      <c r="J3310" t="n">
        <v>6</v>
      </c>
      <c r="K3310" t="inlineStr">
        <is>
          <t>6⁷</t>
        </is>
      </c>
      <c r="L3310" t="inlineStr">
        <is>
          <t>14F³, 21E⁴, 42I⁴, 42H⁷</t>
        </is>
      </c>
      <c r="M3310" t="inlineStr"/>
      <c r="N3310" t="inlineStr">
        <is>
          <t>14A⁰, 42I⁴, 14B², 42A¹, 7D⁰, 42H⁷, 21C², 21A⁰, 7G⁰, 1A⁰, 21E¹, 7C⁰, 21C¹, 14F³, 3A⁰, 14E¹, 21E⁴, 7A⁰</t>
        </is>
      </c>
      <c r="O3310" t="inlineStr"/>
    </row>
    <row r="3311">
      <c r="A3311">
        <f>HYPERLINK("https://mathstats.uncg.edu/sites/pauli/congruence/csg13.html#group42K13", "42K¹³")</f>
        <v/>
      </c>
      <c r="B3311" t="n">
        <v>13</v>
      </c>
      <c r="C3311" t="inlineStr"/>
      <c r="D3311" t="inlineStr">
        <is>
          <t>252</t>
        </is>
      </c>
      <c r="E3311" t="inlineStr">
        <is>
          <t>2</t>
        </is>
      </c>
      <c r="F3311" t="inlineStr">
        <is>
          <t>63</t>
        </is>
      </c>
      <c r="G3311" t="inlineStr">
        <is>
          <t>24</t>
        </is>
      </c>
      <c r="H3311" t="inlineStr">
        <is>
          <t>0</t>
        </is>
      </c>
      <c r="I3311" t="inlineStr">
        <is>
          <t>42⁶</t>
        </is>
      </c>
      <c r="J3311" t="n">
        <v>6</v>
      </c>
      <c r="K3311" t="inlineStr">
        <is>
          <t>6⁷, 12⁷</t>
        </is>
      </c>
      <c r="L3311" t="inlineStr">
        <is>
          <t>42I⁴, 21D⁵, 42D⁶</t>
        </is>
      </c>
      <c r="M3311" t="inlineStr"/>
      <c r="N3311" t="inlineStr">
        <is>
          <t>21D⁵, 14E¹, 42I⁴, 42A², 7D⁰, 21E¹, 21D¹, 21A⁰, 42D⁶, 3A⁰, 1A⁰, 7A⁰</t>
        </is>
      </c>
      <c r="O3311" t="inlineStr"/>
    </row>
    <row r="3312">
      <c r="A3312">
        <f>HYPERLINK("https://mathstats.uncg.edu/sites/pauli/congruence/csg13.html#group42L13", "42L¹³")</f>
        <v/>
      </c>
      <c r="B3312" t="n">
        <v>13</v>
      </c>
      <c r="C3312" t="inlineStr"/>
      <c r="D3312" t="inlineStr">
        <is>
          <t>288</t>
        </is>
      </c>
      <c r="E3312" t="inlineStr">
        <is>
          <t>1</t>
        </is>
      </c>
      <c r="F3312" t="inlineStr">
        <is>
          <t>96</t>
        </is>
      </c>
      <c r="G3312" t="inlineStr">
        <is>
          <t>0</t>
        </is>
      </c>
      <c r="H3312" t="inlineStr">
        <is>
          <t>0</t>
        </is>
      </c>
      <c r="I3312" t="inlineStr">
        <is>
          <t>1³, 2³, 3³, 6³, 7³, 14³, 21³, 42³</t>
        </is>
      </c>
      <c r="J3312" t="n">
        <v>24</v>
      </c>
      <c r="K3312" t="inlineStr">
        <is>
          <t>1¹², 2⁶, 6⁶, 12³</t>
        </is>
      </c>
      <c r="L3312" t="inlineStr">
        <is>
          <t>14H¹, 21D³, 42G⁵</t>
        </is>
      </c>
      <c r="M3312" t="inlineStr"/>
      <c r="N3312" t="inlineStr">
        <is>
          <t>3B⁰, 21B¹, 21D³, 7B⁰, 14H¹, 14C¹, 1A⁰, 2B⁰, 7E⁰, 42G⁵, 6F⁰</t>
        </is>
      </c>
      <c r="O3312" t="inlineStr"/>
    </row>
    <row r="3313">
      <c r="A3313">
        <f>HYPERLINK("https://mathstats.uncg.edu/sites/pauli/congruence/csg13.html#group44A13", "44A¹³")</f>
        <v/>
      </c>
      <c r="B3313" t="n">
        <v>13</v>
      </c>
      <c r="C3313" t="inlineStr"/>
      <c r="D3313" t="inlineStr">
        <is>
          <t>192</t>
        </is>
      </c>
      <c r="E3313" t="inlineStr">
        <is>
          <t>1</t>
        </is>
      </c>
      <c r="F3313" t="inlineStr">
        <is>
          <t>48</t>
        </is>
      </c>
      <c r="G3313" t="inlineStr">
        <is>
          <t>0</t>
        </is>
      </c>
      <c r="H3313" t="inlineStr">
        <is>
          <t>0</t>
        </is>
      </c>
      <c r="I3313" t="inlineStr">
        <is>
          <t>4⁴, 44⁴</t>
        </is>
      </c>
      <c r="J3313" t="n">
        <v>8</v>
      </c>
      <c r="K3313" t="inlineStr">
        <is>
          <t>2⁴, 20²</t>
        </is>
      </c>
      <c r="L3313" t="inlineStr">
        <is>
          <t>44A⁴, 44A⁷</t>
        </is>
      </c>
      <c r="M3313" t="inlineStr"/>
      <c r="N3313" t="inlineStr">
        <is>
          <t>2A⁰, 44A⁴, 11A¹, 22A², 4A⁰, 44B⁴, 4D⁰, 44A⁷, 1A⁰</t>
        </is>
      </c>
      <c r="O3313" t="inlineStr"/>
    </row>
    <row r="3314">
      <c r="A3314">
        <f>HYPERLINK("https://mathstats.uncg.edu/sites/pauli/congruence/csg13.html#group44B13", "44B¹³")</f>
        <v/>
      </c>
      <c r="B3314" t="n">
        <v>13</v>
      </c>
      <c r="C3314" t="inlineStr"/>
      <c r="D3314" t="inlineStr">
        <is>
          <t>220</t>
        </is>
      </c>
      <c r="E3314" t="inlineStr">
        <is>
          <t>1</t>
        </is>
      </c>
      <c r="F3314" t="inlineStr">
        <is>
          <t>220</t>
        </is>
      </c>
      <c r="G3314" t="inlineStr">
        <is>
          <t>14</t>
        </is>
      </c>
      <c r="H3314" t="inlineStr">
        <is>
          <t>1</t>
        </is>
      </c>
      <c r="I3314" t="inlineStr">
        <is>
          <t>44⁵</t>
        </is>
      </c>
      <c r="J3314" t="n">
        <v>5</v>
      </c>
      <c r="K3314" t="inlineStr">
        <is>
          <t>10², 20¹⁰</t>
        </is>
      </c>
      <c r="L3314" t="inlineStr">
        <is>
          <t>4A⁰, 11C¹</t>
        </is>
      </c>
      <c r="M3314" t="inlineStr"/>
      <c r="N3314" t="inlineStr">
        <is>
          <t>11C¹, 4A⁰, 1A⁰</t>
        </is>
      </c>
      <c r="O3314" t="inlineStr"/>
    </row>
    <row r="3315">
      <c r="A3315">
        <f>HYPERLINK("https://mathstats.uncg.edu/sites/pauli/congruence/csg13.html#group45A13", "45A¹³")</f>
        <v/>
      </c>
      <c r="B3315" t="n">
        <v>13</v>
      </c>
      <c r="C3315" t="inlineStr"/>
      <c r="D3315" t="inlineStr">
        <is>
          <t>180</t>
        </is>
      </c>
      <c r="E3315" t="inlineStr">
        <is>
          <t>1</t>
        </is>
      </c>
      <c r="F3315" t="inlineStr">
        <is>
          <t>20</t>
        </is>
      </c>
      <c r="G3315" t="inlineStr">
        <is>
          <t>0</t>
        </is>
      </c>
      <c r="H3315" t="inlineStr">
        <is>
          <t>0</t>
        </is>
      </c>
      <c r="I3315" t="inlineStr">
        <is>
          <t>15³, 45³</t>
        </is>
      </c>
      <c r="J3315" t="n">
        <v>6</v>
      </c>
      <c r="K3315" t="inlineStr">
        <is>
          <t>1², 2¹, 4², 8¹</t>
        </is>
      </c>
      <c r="L3315" t="inlineStr">
        <is>
          <t>15A³, 45B³, 45B⁵</t>
        </is>
      </c>
      <c r="M3315" t="inlineStr"/>
      <c r="N3315" t="inlineStr">
        <is>
          <t>3B⁰, 15A³, 5A⁰, 45B³, 9C⁰, 5E⁰, 15B¹, 45B⁵, 1A⁰</t>
        </is>
      </c>
      <c r="O3315" t="inlineStr"/>
    </row>
    <row r="3316">
      <c r="A3316">
        <f>HYPERLINK("https://mathstats.uncg.edu/sites/pauli/congruence/csg13.html#group45B13", "45B¹³")</f>
        <v/>
      </c>
      <c r="B3316" t="n">
        <v>13</v>
      </c>
      <c r="C3316" t="inlineStr"/>
      <c r="D3316" t="inlineStr">
        <is>
          <t>180</t>
        </is>
      </c>
      <c r="E3316" t="inlineStr">
        <is>
          <t>1</t>
        </is>
      </c>
      <c r="F3316" t="inlineStr">
        <is>
          <t>20</t>
        </is>
      </c>
      <c r="G3316" t="inlineStr">
        <is>
          <t>0</t>
        </is>
      </c>
      <c r="H3316" t="inlineStr">
        <is>
          <t>0</t>
        </is>
      </c>
      <c r="I3316" t="inlineStr">
        <is>
          <t>15³, 45³</t>
        </is>
      </c>
      <c r="J3316" t="n">
        <v>6</v>
      </c>
      <c r="K3316" t="inlineStr">
        <is>
          <t>1², 2¹, 4², 8¹</t>
        </is>
      </c>
      <c r="L3316" t="inlineStr">
        <is>
          <t>15A³, 45B⁴, 45A⁵</t>
        </is>
      </c>
      <c r="M3316" t="inlineStr"/>
      <c r="N3316" t="inlineStr">
        <is>
          <t>3B⁰, 15A³, 5A⁰, 45A⁵, 45B⁴, 9A¹, 5E⁰, 15B¹, 1A⁰</t>
        </is>
      </c>
      <c r="O3316" t="inlineStr"/>
    </row>
    <row r="3317">
      <c r="A3317">
        <f>HYPERLINK("https://mathstats.uncg.edu/sites/pauli/congruence/csg13.html#group45C13", "45C¹³")</f>
        <v/>
      </c>
      <c r="B3317" t="n">
        <v>13</v>
      </c>
      <c r="C3317" t="inlineStr"/>
      <c r="D3317" t="inlineStr">
        <is>
          <t>180</t>
        </is>
      </c>
      <c r="E3317" t="inlineStr">
        <is>
          <t>1</t>
        </is>
      </c>
      <c r="F3317" t="inlineStr">
        <is>
          <t>20</t>
        </is>
      </c>
      <c r="G3317" t="inlineStr">
        <is>
          <t>0</t>
        </is>
      </c>
      <c r="H3317" t="inlineStr">
        <is>
          <t>0</t>
        </is>
      </c>
      <c r="I3317" t="inlineStr">
        <is>
          <t>15³, 45³</t>
        </is>
      </c>
      <c r="J3317" t="n">
        <v>6</v>
      </c>
      <c r="K3317" t="inlineStr">
        <is>
          <t>1², 2¹, 4², 8¹</t>
        </is>
      </c>
      <c r="L3317" t="inlineStr">
        <is>
          <t>9C¹, 45B³, 15A⁴, 45A⁴, 45A⁵</t>
        </is>
      </c>
      <c r="M3317" t="inlineStr"/>
      <c r="N3317" t="inlineStr">
        <is>
          <t>3B⁰, 5A⁰, 15A⁴, 3A⁰, 45A⁵, 9B⁰, 9C⁰, 1A⁰, 45B³, 15A², 9A¹, 15B¹, 3C⁰, 9C¹, 45A⁴, 3D⁰, 15A¹</t>
        </is>
      </c>
      <c r="O3317" t="inlineStr"/>
    </row>
    <row r="3318">
      <c r="A3318">
        <f>HYPERLINK("https://mathstats.uncg.edu/sites/pauli/congruence/csg13.html#group45D13", "45D¹³")</f>
        <v/>
      </c>
      <c r="B3318" t="n">
        <v>13</v>
      </c>
      <c r="C3318" t="inlineStr"/>
      <c r="D3318" t="inlineStr">
        <is>
          <t>180</t>
        </is>
      </c>
      <c r="E3318" t="inlineStr">
        <is>
          <t>1</t>
        </is>
      </c>
      <c r="F3318" t="inlineStr">
        <is>
          <t>60</t>
        </is>
      </c>
      <c r="G3318" t="inlineStr">
        <is>
          <t>0</t>
        </is>
      </c>
      <c r="H3318" t="inlineStr">
        <is>
          <t>0</t>
        </is>
      </c>
      <c r="I3318" t="inlineStr">
        <is>
          <t>15³, 45³</t>
        </is>
      </c>
      <c r="J3318" t="n">
        <v>6</v>
      </c>
      <c r="K3318" t="inlineStr">
        <is>
          <t>1², 2², 4², 6¹, 8², 24¹</t>
        </is>
      </c>
      <c r="L3318" t="inlineStr">
        <is>
          <t>9D¹, 45A⁵</t>
        </is>
      </c>
      <c r="M3318" t="inlineStr"/>
      <c r="N3318" t="inlineStr">
        <is>
          <t>3B⁰, 5A⁰, 45A⁵, 9A¹, 15B¹, 9D¹, 1A⁰</t>
        </is>
      </c>
      <c r="O3318" t="inlineStr"/>
    </row>
    <row r="3319">
      <c r="A3319">
        <f>HYPERLINK("https://mathstats.uncg.edu/sites/pauli/congruence/csg13.html#group45E13", "45E¹³")</f>
        <v/>
      </c>
      <c r="B3319" t="n">
        <v>13</v>
      </c>
      <c r="C3319" t="inlineStr"/>
      <c r="D3319" t="inlineStr">
        <is>
          <t>180</t>
        </is>
      </c>
      <c r="E3319" t="inlineStr">
        <is>
          <t>1</t>
        </is>
      </c>
      <c r="F3319" t="inlineStr">
        <is>
          <t>60</t>
        </is>
      </c>
      <c r="G3319" t="inlineStr">
        <is>
          <t>0</t>
        </is>
      </c>
      <c r="H3319" t="inlineStr">
        <is>
          <t>0</t>
        </is>
      </c>
      <c r="I3319" t="inlineStr">
        <is>
          <t>15³, 45³</t>
        </is>
      </c>
      <c r="J3319" t="n">
        <v>6</v>
      </c>
      <c r="K3319" t="inlineStr">
        <is>
          <t>2², 4⁶, 8⁴, 12¹, 24²</t>
        </is>
      </c>
      <c r="L3319" t="inlineStr">
        <is>
          <t>45A⁵</t>
        </is>
      </c>
      <c r="M3319" t="inlineStr"/>
      <c r="N3319" t="inlineStr">
        <is>
          <t>15B¹, 3B⁰, 5A⁰, 1A⁰, 45A⁵, 9A¹</t>
        </is>
      </c>
      <c r="O3319" t="inlineStr"/>
    </row>
    <row r="3320">
      <c r="A3320">
        <f>HYPERLINK("https://mathstats.uncg.edu/sites/pauli/congruence/csg13.html#group45F13", "45F¹³")</f>
        <v/>
      </c>
      <c r="B3320" t="n">
        <v>13</v>
      </c>
      <c r="C3320" t="inlineStr"/>
      <c r="D3320" t="inlineStr">
        <is>
          <t>180</t>
        </is>
      </c>
      <c r="E3320" t="inlineStr">
        <is>
          <t>1</t>
        </is>
      </c>
      <c r="F3320" t="inlineStr">
        <is>
          <t>60</t>
        </is>
      </c>
      <c r="G3320" t="inlineStr">
        <is>
          <t>0</t>
        </is>
      </c>
      <c r="H3320" t="inlineStr">
        <is>
          <t>0</t>
        </is>
      </c>
      <c r="I3320" t="inlineStr">
        <is>
          <t>15³, 45³</t>
        </is>
      </c>
      <c r="J3320" t="n">
        <v>6</v>
      </c>
      <c r="K3320" t="inlineStr">
        <is>
          <t>2², 4⁶, 8⁴, 12¹, 24²</t>
        </is>
      </c>
      <c r="L3320" t="inlineStr">
        <is>
          <t>45A⁵</t>
        </is>
      </c>
      <c r="M3320" t="inlineStr"/>
      <c r="N3320" t="inlineStr">
        <is>
          <t>15B¹, 3B⁰, 5A⁰, 1A⁰, 45A⁵, 9A¹</t>
        </is>
      </c>
      <c r="O3320" t="inlineStr"/>
    </row>
    <row r="3321">
      <c r="A3321">
        <f>HYPERLINK("https://mathstats.uncg.edu/sites/pauli/congruence/csg13.html#group45G13", "45G¹³")</f>
        <v/>
      </c>
      <c r="B3321" t="n">
        <v>13</v>
      </c>
      <c r="C3321" t="inlineStr"/>
      <c r="D3321" t="inlineStr">
        <is>
          <t>180</t>
        </is>
      </c>
      <c r="E3321" t="inlineStr">
        <is>
          <t>2</t>
        </is>
      </c>
      <c r="F3321" t="inlineStr">
        <is>
          <t>20</t>
        </is>
      </c>
      <c r="G3321" t="inlineStr">
        <is>
          <t>0</t>
        </is>
      </c>
      <c r="H3321" t="inlineStr">
        <is>
          <t>0</t>
        </is>
      </c>
      <c r="I3321" t="inlineStr">
        <is>
          <t>15³, 45³</t>
        </is>
      </c>
      <c r="J3321" t="n">
        <v>6</v>
      </c>
      <c r="K3321" t="inlineStr">
        <is>
          <t>2², 4¹, 8⁴</t>
        </is>
      </c>
      <c r="L3321" t="inlineStr">
        <is>
          <t>15D³, 45C³, 45A⁵, 45B⁵</t>
        </is>
      </c>
      <c r="M3321" t="inlineStr"/>
      <c r="N3321" t="inlineStr">
        <is>
          <t>3B⁰, 45C³, 5A⁰, 15D³, 45A⁵, 9A¹, 15B¹, 45B⁵, 1A⁰, 15A⁰</t>
        </is>
      </c>
      <c r="O3321" t="inlineStr"/>
    </row>
    <row r="3322">
      <c r="A3322">
        <f>HYPERLINK("https://mathstats.uncg.edu/sites/pauli/congruence/csg13.html#group45H13", "45H¹³")</f>
        <v/>
      </c>
      <c r="B3322" t="n">
        <v>13</v>
      </c>
      <c r="C3322" t="inlineStr"/>
      <c r="D3322" t="inlineStr">
        <is>
          <t>180</t>
        </is>
      </c>
      <c r="E3322" t="inlineStr">
        <is>
          <t>2</t>
        </is>
      </c>
      <c r="F3322" t="inlineStr">
        <is>
          <t>20</t>
        </is>
      </c>
      <c r="G3322" t="inlineStr">
        <is>
          <t>0</t>
        </is>
      </c>
      <c r="H3322" t="inlineStr">
        <is>
          <t>0</t>
        </is>
      </c>
      <c r="I3322" t="inlineStr">
        <is>
          <t>15³, 45³</t>
        </is>
      </c>
      <c r="J3322" t="n">
        <v>6</v>
      </c>
      <c r="K3322" t="inlineStr">
        <is>
          <t>2², 4¹, 8⁴</t>
        </is>
      </c>
      <c r="L3322" t="inlineStr">
        <is>
          <t>15D³, 45A⁴, 45B⁴, 45B⁵</t>
        </is>
      </c>
      <c r="M3322" t="inlineStr"/>
      <c r="N3322" t="inlineStr">
        <is>
          <t>3B⁰, 5A⁰, 15D³, 45B⁴, 15B¹, 9B⁰, 45B⁵, 45A⁴, 1A⁰, 15A⁰</t>
        </is>
      </c>
      <c r="O3322" t="inlineStr"/>
    </row>
    <row r="3323">
      <c r="A3323">
        <f>HYPERLINK("https://mathstats.uncg.edu/sites/pauli/congruence/csg13.html#group45I13", "45I¹³")</f>
        <v/>
      </c>
      <c r="B3323" t="n">
        <v>13</v>
      </c>
      <c r="C3323" t="inlineStr"/>
      <c r="D3323" t="inlineStr">
        <is>
          <t>180</t>
        </is>
      </c>
      <c r="E3323" t="inlineStr">
        <is>
          <t>2</t>
        </is>
      </c>
      <c r="F3323" t="inlineStr">
        <is>
          <t>20</t>
        </is>
      </c>
      <c r="G3323" t="inlineStr">
        <is>
          <t>0</t>
        </is>
      </c>
      <c r="H3323" t="inlineStr">
        <is>
          <t>0</t>
        </is>
      </c>
      <c r="I3323" t="inlineStr">
        <is>
          <t>15³, 45³</t>
        </is>
      </c>
      <c r="J3323" t="n">
        <v>6</v>
      </c>
      <c r="K3323" t="inlineStr">
        <is>
          <t>2², 4¹, 8⁴</t>
        </is>
      </c>
      <c r="L3323" t="inlineStr">
        <is>
          <t>45C³, 15A⁴, 45B⁴, 45B⁵</t>
        </is>
      </c>
      <c r="M3323" t="inlineStr"/>
      <c r="N3323" t="inlineStr">
        <is>
          <t>3B⁰, 45C³, 5A⁰, 15A⁴, 15A², 45B⁴, 15B¹, 3C⁰, 45B⁵, 3A⁰, 1A⁰, 15A¹, 3D⁰</t>
        </is>
      </c>
      <c r="O3323" t="inlineStr"/>
    </row>
    <row r="3324">
      <c r="A3324">
        <f>HYPERLINK("https://mathstats.uncg.edu/sites/pauli/congruence/csg13.html#group45J13", "45J¹³")</f>
        <v/>
      </c>
      <c r="B3324" t="n">
        <v>13</v>
      </c>
      <c r="C3324" t="inlineStr"/>
      <c r="D3324" t="inlineStr">
        <is>
          <t>180</t>
        </is>
      </c>
      <c r="E3324" t="inlineStr">
        <is>
          <t>2</t>
        </is>
      </c>
      <c r="F3324" t="inlineStr">
        <is>
          <t>90</t>
        </is>
      </c>
      <c r="G3324" t="inlineStr">
        <is>
          <t>4</t>
        </is>
      </c>
      <c r="H3324" t="inlineStr">
        <is>
          <t>0</t>
        </is>
      </c>
      <c r="I3324" t="inlineStr">
        <is>
          <t>45⁴</t>
        </is>
      </c>
      <c r="J3324" t="n">
        <v>4</v>
      </c>
      <c r="K3324" t="inlineStr">
        <is>
          <t>4³, 8⁶, 12², 24⁴</t>
        </is>
      </c>
      <c r="L3324" t="inlineStr">
        <is>
          <t>9B¹, 15C³, 45E⁵</t>
        </is>
      </c>
      <c r="M3324" t="inlineStr"/>
      <c r="N3324" t="inlineStr">
        <is>
          <t>15D¹, 45E⁵, 9A⁰, 5C⁰, 3C⁰, 15C³, 3A⁰, 1A⁰, 9B¹</t>
        </is>
      </c>
      <c r="O3324" t="inlineStr"/>
    </row>
    <row r="3325">
      <c r="A3325">
        <f>HYPERLINK("https://mathstats.uncg.edu/sites/pauli/congruence/csg13.html#group45K13", "45K¹³")</f>
        <v/>
      </c>
      <c r="B3325" t="n">
        <v>13</v>
      </c>
      <c r="C3325" t="inlineStr"/>
      <c r="D3325" t="inlineStr">
        <is>
          <t>216</t>
        </is>
      </c>
      <c r="E3325" t="inlineStr">
        <is>
          <t>1</t>
        </is>
      </c>
      <c r="F3325" t="inlineStr">
        <is>
          <t>24</t>
        </is>
      </c>
      <c r="G3325" t="inlineStr">
        <is>
          <t>0</t>
        </is>
      </c>
      <c r="H3325" t="inlineStr">
        <is>
          <t>0</t>
        </is>
      </c>
      <c r="I3325" t="inlineStr">
        <is>
          <t>3³, 9³, 15³, 45³</t>
        </is>
      </c>
      <c r="J3325" t="n">
        <v>12</v>
      </c>
      <c r="K3325" t="inlineStr">
        <is>
          <t>1⁴, 2², 4², 8¹</t>
        </is>
      </c>
      <c r="L3325" t="inlineStr">
        <is>
          <t>9C¹, 15E³, 45D³, 45C⁵, 45D⁵</t>
        </is>
      </c>
      <c r="M3325" t="inlineStr"/>
      <c r="N3325" t="inlineStr">
        <is>
          <t>3B⁰, 5B⁰, 9B⁰, 45D³, 9C⁰, 1A⁰, 45D⁵, 45C⁵, 15C¹, 15B⁰, 15E³, 9A¹, 3C⁰, 9C¹, 3A⁰, 3D⁰, 15E¹</t>
        </is>
      </c>
      <c r="O3325" t="inlineStr"/>
    </row>
    <row r="3326">
      <c r="A3326">
        <f>HYPERLINK("https://mathstats.uncg.edu/sites/pauli/congruence/csg13.html#group45L13", "45L¹³")</f>
        <v/>
      </c>
      <c r="B3326" t="n">
        <v>13</v>
      </c>
      <c r="C3326" t="inlineStr"/>
      <c r="D3326" t="inlineStr">
        <is>
          <t>216</t>
        </is>
      </c>
      <c r="E3326" t="inlineStr">
        <is>
          <t>1</t>
        </is>
      </c>
      <c r="F3326" t="inlineStr">
        <is>
          <t>72</t>
        </is>
      </c>
      <c r="G3326" t="inlineStr">
        <is>
          <t>0</t>
        </is>
      </c>
      <c r="H3326" t="inlineStr">
        <is>
          <t>0</t>
        </is>
      </c>
      <c r="I3326" t="inlineStr">
        <is>
          <t>3³, 9³, 15³, 45³</t>
        </is>
      </c>
      <c r="J3326" t="n">
        <v>12</v>
      </c>
      <c r="K3326" t="inlineStr">
        <is>
          <t>1⁴, 2⁴, 4², 6², 8², 24¹</t>
        </is>
      </c>
      <c r="L3326" t="inlineStr">
        <is>
          <t>9J⁰, 45C⁵</t>
        </is>
      </c>
      <c r="M3326" t="inlineStr"/>
      <c r="N3326" t="inlineStr">
        <is>
          <t>45C⁵, 5B⁰, 15C¹, 9J⁰, 3B⁰, 9C⁰, 1A⁰</t>
        </is>
      </c>
      <c r="O3326" t="inlineStr"/>
    </row>
    <row r="3327">
      <c r="A3327">
        <f>HYPERLINK("https://mathstats.uncg.edu/sites/pauli/congruence/csg13.html#group45M13", "45M¹³")</f>
        <v/>
      </c>
      <c r="B3327" t="n">
        <v>13</v>
      </c>
      <c r="C3327" t="inlineStr"/>
      <c r="D3327" t="inlineStr">
        <is>
          <t>216</t>
        </is>
      </c>
      <c r="E3327" t="inlineStr">
        <is>
          <t>1</t>
        </is>
      </c>
      <c r="F3327" t="inlineStr">
        <is>
          <t>72</t>
        </is>
      </c>
      <c r="G3327" t="inlineStr">
        <is>
          <t>0</t>
        </is>
      </c>
      <c r="H3327" t="inlineStr">
        <is>
          <t>0</t>
        </is>
      </c>
      <c r="I3327" t="inlineStr">
        <is>
          <t>3³, 9³, 15³, 45³</t>
        </is>
      </c>
      <c r="J3327" t="n">
        <v>12</v>
      </c>
      <c r="K3327" t="inlineStr">
        <is>
          <t>1⁴, 2⁴, 4², 6², 8², 24¹</t>
        </is>
      </c>
      <c r="L3327" t="inlineStr">
        <is>
          <t>9D¹, 45D⁵</t>
        </is>
      </c>
      <c r="M3327" t="inlineStr"/>
      <c r="N3327" t="inlineStr">
        <is>
          <t>3B⁰, 15C¹, 9A¹, 5B⁰, 9D¹, 1A⁰, 45D⁵</t>
        </is>
      </c>
      <c r="O3327" t="inlineStr"/>
    </row>
    <row r="3328">
      <c r="A3328">
        <f>HYPERLINK("https://mathstats.uncg.edu/sites/pauli/congruence/csg13.html#group45N13", "45N¹³")</f>
        <v/>
      </c>
      <c r="B3328" t="n">
        <v>13</v>
      </c>
      <c r="C3328" t="inlineStr"/>
      <c r="D3328" t="inlineStr">
        <is>
          <t>216</t>
        </is>
      </c>
      <c r="E3328" t="inlineStr">
        <is>
          <t>2</t>
        </is>
      </c>
      <c r="F3328" t="inlineStr">
        <is>
          <t>54</t>
        </is>
      </c>
      <c r="G3328" t="inlineStr">
        <is>
          <t>8</t>
        </is>
      </c>
      <c r="H3328" t="inlineStr">
        <is>
          <t>0</t>
        </is>
      </c>
      <c r="I3328" t="inlineStr">
        <is>
          <t>9⁴, 45⁴</t>
        </is>
      </c>
      <c r="J3328" t="n">
        <v>8</v>
      </c>
      <c r="K3328" t="inlineStr">
        <is>
          <t>2⁶, 6⁴, 8³, 24²</t>
        </is>
      </c>
      <c r="L3328" t="inlineStr">
        <is>
          <t>15H¹, 45C⁴, 45D⁶, 45B⁷</t>
        </is>
      </c>
      <c r="M3328" t="inlineStr"/>
      <c r="N3328" t="inlineStr">
        <is>
          <t>45A², 15B⁰, 45D⁶, 15E¹, 9A⁰, 45C⁴, 45B⁷, 5B⁰, 3C⁰, 3A⁰, 15H¹, 1A⁰, 9B¹, 15C⁰</t>
        </is>
      </c>
      <c r="O3328" t="inlineStr"/>
    </row>
    <row r="3329">
      <c r="A3329">
        <f>HYPERLINK("https://mathstats.uncg.edu/sites/pauli/congruence/csg13.html#group45O13", "45O¹³")</f>
        <v/>
      </c>
      <c r="B3329" t="n">
        <v>13</v>
      </c>
      <c r="C3329" t="inlineStr"/>
      <c r="D3329" t="inlineStr">
        <is>
          <t>240</t>
        </is>
      </c>
      <c r="E3329" t="inlineStr">
        <is>
          <t>1</t>
        </is>
      </c>
      <c r="F3329" t="inlineStr">
        <is>
          <t>40</t>
        </is>
      </c>
      <c r="G3329" t="inlineStr">
        <is>
          <t>0</t>
        </is>
      </c>
      <c r="H3329" t="inlineStr">
        <is>
          <t>0</t>
        </is>
      </c>
      <c r="I3329" t="inlineStr">
        <is>
          <t>5¹², 45⁴</t>
        </is>
      </c>
      <c r="J3329" t="n">
        <v>16</v>
      </c>
      <c r="K3329" t="inlineStr">
        <is>
          <t>2², 4⁵, 8²</t>
        </is>
      </c>
      <c r="L3329" t="inlineStr">
        <is>
          <t>15G³, 45A⁴, 45C⁷</t>
        </is>
      </c>
      <c r="M3329" t="inlineStr"/>
      <c r="N3329" t="inlineStr">
        <is>
          <t>3B⁰, 5A⁰, 5C⁰, 15G³, 9B⁰, 15B¹, 5F⁰, 45C⁷, 15C², 45A⁴, 1A⁰</t>
        </is>
      </c>
      <c r="O3329" t="inlineStr"/>
    </row>
    <row r="3330">
      <c r="A3330">
        <f>HYPERLINK("https://mathstats.uncg.edu/sites/pauli/congruence/csg13.html#group48A13", "48A¹³")</f>
        <v/>
      </c>
      <c r="B3330" t="n">
        <v>13</v>
      </c>
      <c r="C3330" t="inlineStr"/>
      <c r="D3330" t="inlineStr">
        <is>
          <t>192</t>
        </is>
      </c>
      <c r="E3330" t="inlineStr">
        <is>
          <t>1</t>
        </is>
      </c>
      <c r="F3330" t="inlineStr">
        <is>
          <t>12</t>
        </is>
      </c>
      <c r="G3330" t="inlineStr">
        <is>
          <t>0</t>
        </is>
      </c>
      <c r="H3330" t="inlineStr">
        <is>
          <t>0</t>
        </is>
      </c>
      <c r="I3330" t="inlineStr">
        <is>
          <t>8², 16², 24², 48²</t>
        </is>
      </c>
      <c r="J3330" t="n">
        <v>8</v>
      </c>
      <c r="K3330" t="inlineStr">
        <is>
          <t>1⁶, 2³</t>
        </is>
      </c>
      <c r="L3330" t="inlineStr">
        <is>
          <t>24I⁵, 48E⁷</t>
        </is>
      </c>
      <c r="M3330" t="inlineStr"/>
      <c r="N3330" t="inlineStr">
        <is>
          <t>3B⁰, 2A⁰, 8A¹, 24B³, 12F¹, 6I⁰, 4C⁰, 6C⁰, 8B⁰, 2B⁰, 8B¹, 4E⁰, 12P¹, 4B⁰, 1A⁰, 24C³, 48E⁷, 24I⁵, 6F⁰, 2C⁰, 12E⁰</t>
        </is>
      </c>
      <c r="O3330" t="inlineStr"/>
    </row>
    <row r="3331">
      <c r="A3331">
        <f>HYPERLINK("https://mathstats.uncg.edu/sites/pauli/congruence/csg13.html#group48B13", "48B¹³")</f>
        <v/>
      </c>
      <c r="B3331" t="n">
        <v>13</v>
      </c>
      <c r="C3331" t="inlineStr"/>
      <c r="D3331" t="inlineStr">
        <is>
          <t>192</t>
        </is>
      </c>
      <c r="E3331" t="inlineStr">
        <is>
          <t>1</t>
        </is>
      </c>
      <c r="F3331" t="inlineStr">
        <is>
          <t>12</t>
        </is>
      </c>
      <c r="G3331" t="inlineStr">
        <is>
          <t>0</t>
        </is>
      </c>
      <c r="H3331" t="inlineStr">
        <is>
          <t>0</t>
        </is>
      </c>
      <c r="I3331" t="inlineStr">
        <is>
          <t>8², 16², 24², 48²</t>
        </is>
      </c>
      <c r="J3331" t="n">
        <v>8</v>
      </c>
      <c r="K3331" t="inlineStr">
        <is>
          <t>1⁶, 2³</t>
        </is>
      </c>
      <c r="L3331" t="inlineStr">
        <is>
          <t>16A³, 24I⁵, 48F⁷</t>
        </is>
      </c>
      <c r="M3331" t="inlineStr"/>
      <c r="N3331" t="inlineStr">
        <is>
          <t>2A⁰, 4C⁰, 16A³, 2B⁰, 4E⁰, 4B⁰, 1A⁰, 48F⁷, 6F⁰, 3B⁰, 8A¹, 24B³, 12F¹, 6I⁰, 6C⁰, 8B⁰, 16B¹, 8B¹, 12P¹, 24C³, 24I⁵, 2C⁰, 12E⁰</t>
        </is>
      </c>
      <c r="O3331" t="inlineStr"/>
    </row>
    <row r="3332">
      <c r="A3332">
        <f>HYPERLINK("https://mathstats.uncg.edu/sites/pauli/congruence/csg13.html#group48C13", "48C¹³")</f>
        <v/>
      </c>
      <c r="B3332" t="n">
        <v>13</v>
      </c>
      <c r="C3332" t="inlineStr"/>
      <c r="D3332" t="inlineStr">
        <is>
          <t>192</t>
        </is>
      </c>
      <c r="E3332" t="inlineStr">
        <is>
          <t>1</t>
        </is>
      </c>
      <c r="F3332" t="inlineStr">
        <is>
          <t>12</t>
        </is>
      </c>
      <c r="G3332" t="inlineStr">
        <is>
          <t>0</t>
        </is>
      </c>
      <c r="H3332" t="inlineStr">
        <is>
          <t>0</t>
        </is>
      </c>
      <c r="I3332" t="inlineStr">
        <is>
          <t>8², 16², 24², 48²</t>
        </is>
      </c>
      <c r="J3332" t="n">
        <v>8</v>
      </c>
      <c r="K3332" t="inlineStr">
        <is>
          <t>1⁶, 2³</t>
        </is>
      </c>
      <c r="L3332" t="inlineStr">
        <is>
          <t>24I⁵, 48A⁷, 48B⁷</t>
        </is>
      </c>
      <c r="M3332" t="inlineStr"/>
      <c r="N3332" t="inlineStr">
        <is>
          <t>3B⁰, 2A⁰, 8A¹, 24B³, 12F¹, 6I⁰, 48A⁷, 4C⁰, 6C⁰, 8B⁰, 2B⁰, 8B¹, 4E⁰, 12P¹, 4B⁰, 1A⁰, 24C³, 24I⁵, 6F⁰, 2C⁰, 12E⁰, 48B⁷</t>
        </is>
      </c>
      <c r="O3332" t="inlineStr"/>
    </row>
    <row r="3333">
      <c r="A3333">
        <f>HYPERLINK("https://mathstats.uncg.edu/sites/pauli/congruence/csg13.html#group48D13", "48D¹³")</f>
        <v/>
      </c>
      <c r="B3333" t="n">
        <v>13</v>
      </c>
      <c r="C3333" t="inlineStr"/>
      <c r="D3333" t="inlineStr">
        <is>
          <t>192</t>
        </is>
      </c>
      <c r="E3333" t="inlineStr">
        <is>
          <t>1</t>
        </is>
      </c>
      <c r="F3333" t="inlineStr">
        <is>
          <t>12</t>
        </is>
      </c>
      <c r="G3333" t="inlineStr">
        <is>
          <t>0</t>
        </is>
      </c>
      <c r="H3333" t="inlineStr">
        <is>
          <t>0</t>
        </is>
      </c>
      <c r="I3333" t="inlineStr">
        <is>
          <t>8², 16², 24², 48²</t>
        </is>
      </c>
      <c r="J3333" t="n">
        <v>8</v>
      </c>
      <c r="K3333" t="inlineStr">
        <is>
          <t>1⁶, 2³</t>
        </is>
      </c>
      <c r="L3333" t="inlineStr">
        <is>
          <t>16B³, 24I⁵, 48C⁷, 48D⁷</t>
        </is>
      </c>
      <c r="M3333" t="inlineStr"/>
      <c r="N3333" t="inlineStr">
        <is>
          <t>2A⁰, 3B⁰, 8A¹, 24B³, 12F¹, 6I⁰, 4C⁰, 6C⁰, 16B³, 8B⁰, 2B⁰, 8B¹, 4E⁰, 12P¹, 4B⁰, 1A⁰, 16A², 48D⁷, 16B⁰, 24C³, 24I⁵, 48C⁷, 6F⁰, 2C⁰, 12E⁰</t>
        </is>
      </c>
      <c r="O3333" t="inlineStr"/>
    </row>
    <row r="3334">
      <c r="A3334">
        <f>HYPERLINK("https://mathstats.uncg.edu/sites/pauli/congruence/csg13.html#group48E13", "48E¹³")</f>
        <v/>
      </c>
      <c r="B3334" t="n">
        <v>13</v>
      </c>
      <c r="C3334" t="inlineStr"/>
      <c r="D3334" t="inlineStr">
        <is>
          <t>192</t>
        </is>
      </c>
      <c r="E3334" t="inlineStr">
        <is>
          <t>1</t>
        </is>
      </c>
      <c r="F3334" t="inlineStr">
        <is>
          <t>24</t>
        </is>
      </c>
      <c r="G3334" t="inlineStr">
        <is>
          <t>0</t>
        </is>
      </c>
      <c r="H3334" t="inlineStr">
        <is>
          <t>0</t>
        </is>
      </c>
      <c r="I3334" t="inlineStr">
        <is>
          <t>8², 16², 24², 48²</t>
        </is>
      </c>
      <c r="J3334" t="n">
        <v>8</v>
      </c>
      <c r="K3334" t="inlineStr">
        <is>
          <t>1⁴, 2⁶, 4²</t>
        </is>
      </c>
      <c r="L3334" t="inlineStr">
        <is>
          <t>24K⁵, 48A⁷, 48E⁷</t>
        </is>
      </c>
      <c r="M3334" t="inlineStr"/>
      <c r="N3334" t="inlineStr">
        <is>
          <t>3B⁰, 24K⁵, 8A¹, 8D⁰, 12F¹, 48A⁷, 4C⁰, 2B⁰, 1A⁰, 24C³, 48E⁷, 8C¹, 24I², 4A⁰, 12A¹, 12G², 4F⁰, 6F⁰</t>
        </is>
      </c>
      <c r="O3334" t="inlineStr"/>
    </row>
    <row r="3335">
      <c r="A3335">
        <f>HYPERLINK("https://mathstats.uncg.edu/sites/pauli/congruence/csg13.html#group48F13", "48F¹³")</f>
        <v/>
      </c>
      <c r="B3335" t="n">
        <v>13</v>
      </c>
      <c r="C3335" t="inlineStr"/>
      <c r="D3335" t="inlineStr">
        <is>
          <t>192</t>
        </is>
      </c>
      <c r="E3335" t="inlineStr">
        <is>
          <t>1</t>
        </is>
      </c>
      <c r="F3335" t="inlineStr">
        <is>
          <t>24</t>
        </is>
      </c>
      <c r="G3335" t="inlineStr">
        <is>
          <t>0</t>
        </is>
      </c>
      <c r="H3335" t="inlineStr">
        <is>
          <t>0</t>
        </is>
      </c>
      <c r="I3335" t="inlineStr">
        <is>
          <t>8², 16², 24², 48²</t>
        </is>
      </c>
      <c r="J3335" t="n">
        <v>8</v>
      </c>
      <c r="K3335" t="inlineStr">
        <is>
          <t>1⁴, 2⁶, 4²</t>
        </is>
      </c>
      <c r="L3335" t="inlineStr">
        <is>
          <t>24K⁵, 48B⁷, 48E⁷</t>
        </is>
      </c>
      <c r="M3335" t="inlineStr"/>
      <c r="N3335" t="inlineStr">
        <is>
          <t>3B⁰, 24K⁵, 8A¹, 8D⁰, 12F¹, 4C⁰, 2B⁰, 1A⁰, 24C³, 48E⁷, 8C¹, 24I², 4A⁰, 12A¹, 12G², 4F⁰, 6F⁰, 48B⁷</t>
        </is>
      </c>
      <c r="O3335" t="inlineStr"/>
    </row>
    <row r="3336">
      <c r="A3336">
        <f>HYPERLINK("https://mathstats.uncg.edu/sites/pauli/congruence/csg13.html#group48G13", "48G¹³")</f>
        <v/>
      </c>
      <c r="B3336" t="n">
        <v>13</v>
      </c>
      <c r="C3336" t="inlineStr"/>
      <c r="D3336" t="inlineStr">
        <is>
          <t>192</t>
        </is>
      </c>
      <c r="E3336" t="inlineStr">
        <is>
          <t>1</t>
        </is>
      </c>
      <c r="F3336" t="inlineStr">
        <is>
          <t>24</t>
        </is>
      </c>
      <c r="G3336" t="inlineStr">
        <is>
          <t>0</t>
        </is>
      </c>
      <c r="H3336" t="inlineStr">
        <is>
          <t>0</t>
        </is>
      </c>
      <c r="I3336" t="inlineStr">
        <is>
          <t>8², 16², 24², 48²</t>
        </is>
      </c>
      <c r="J3336" t="n">
        <v>8</v>
      </c>
      <c r="K3336" t="inlineStr">
        <is>
          <t>1⁴, 2⁶, 4²</t>
        </is>
      </c>
      <c r="L3336" t="inlineStr">
        <is>
          <t>16F¹, 24J⁵, 48C⁷, 48F⁷</t>
        </is>
      </c>
      <c r="M3336" t="inlineStr"/>
      <c r="N3336" t="inlineStr">
        <is>
          <t>3B⁰, 24B³, 8D⁰, 12F¹, 4C⁰, 8B⁰, 16B¹, 2B⁰, 1A⁰, 16B⁰, 8H⁰, 24I², 4A⁰, 12A¹, 12G², 48F⁷, 16F¹, 24J⁵, 48C⁷, 6F⁰, 4F⁰</t>
        </is>
      </c>
      <c r="O3336" t="inlineStr"/>
    </row>
    <row r="3337">
      <c r="A3337">
        <f>HYPERLINK("https://mathstats.uncg.edu/sites/pauli/congruence/csg13.html#group48H13", "48H¹³")</f>
        <v/>
      </c>
      <c r="B3337" t="n">
        <v>13</v>
      </c>
      <c r="C3337" t="inlineStr"/>
      <c r="D3337" t="inlineStr">
        <is>
          <t>192</t>
        </is>
      </c>
      <c r="E3337" t="inlineStr">
        <is>
          <t>1</t>
        </is>
      </c>
      <c r="F3337" t="inlineStr">
        <is>
          <t>24</t>
        </is>
      </c>
      <c r="G3337" t="inlineStr">
        <is>
          <t>0</t>
        </is>
      </c>
      <c r="H3337" t="inlineStr">
        <is>
          <t>0</t>
        </is>
      </c>
      <c r="I3337" t="inlineStr">
        <is>
          <t>8², 16², 24², 48²</t>
        </is>
      </c>
      <c r="J3337" t="n">
        <v>8</v>
      </c>
      <c r="K3337" t="inlineStr">
        <is>
          <t>1⁴, 2⁶, 4²</t>
        </is>
      </c>
      <c r="L3337" t="inlineStr">
        <is>
          <t>16C³, 24J⁵, 48D⁷, 48F⁷</t>
        </is>
      </c>
      <c r="M3337" t="inlineStr"/>
      <c r="N3337" t="inlineStr">
        <is>
          <t>3B⁰, 16C³, 24B³, 12F¹, 8D⁰, 4C⁰, 8B⁰, 16B¹, 2B⁰, 1A⁰, 16A², 48D⁷, 8H⁰, 24I², 4A⁰, 12A¹, 12G², 48F⁷, 24J⁵, 4F⁰, 6F⁰</t>
        </is>
      </c>
      <c r="O3337" t="inlineStr"/>
    </row>
    <row r="3338">
      <c r="A3338">
        <f>HYPERLINK("https://mathstats.uncg.edu/sites/pauli/congruence/csg13.html#group48I13", "48I¹³")</f>
        <v/>
      </c>
      <c r="B3338" t="n">
        <v>13</v>
      </c>
      <c r="C3338" t="inlineStr"/>
      <c r="D3338" t="inlineStr">
        <is>
          <t>192</t>
        </is>
      </c>
      <c r="E3338" t="inlineStr">
        <is>
          <t>1</t>
        </is>
      </c>
      <c r="F3338" t="inlineStr">
        <is>
          <t>24</t>
        </is>
      </c>
      <c r="G3338" t="inlineStr">
        <is>
          <t>0</t>
        </is>
      </c>
      <c r="H3338" t="inlineStr">
        <is>
          <t>0</t>
        </is>
      </c>
      <c r="I3338" t="inlineStr">
        <is>
          <t>8², 16², 24², 48²</t>
        </is>
      </c>
      <c r="J3338" t="n">
        <v>8</v>
      </c>
      <c r="K3338" t="inlineStr">
        <is>
          <t>1⁸, 2⁶, 4¹</t>
        </is>
      </c>
      <c r="L3338" t="inlineStr">
        <is>
          <t>24I⁵</t>
        </is>
      </c>
      <c r="M3338" t="inlineStr"/>
      <c r="N3338" t="inlineStr">
        <is>
          <t>3B⁰, 2A⁰, 8A¹, 24B³, 12F¹, 6I⁰, 4C⁰, 6C⁰, 8B⁰, 2B⁰, 8B¹, 4E⁰, 12P¹, 4B⁰, 1A⁰, 24C³, 24I⁵, 6F⁰, 2C⁰, 12E⁰</t>
        </is>
      </c>
      <c r="O3338" t="inlineStr"/>
    </row>
    <row r="3339">
      <c r="A3339">
        <f>HYPERLINK("https://mathstats.uncg.edu/sites/pauli/congruence/csg13.html#group48J13", "48J¹³")</f>
        <v/>
      </c>
      <c r="B3339" t="n">
        <v>13</v>
      </c>
      <c r="C3339" t="inlineStr"/>
      <c r="D3339" t="inlineStr">
        <is>
          <t>192</t>
        </is>
      </c>
      <c r="E3339" t="inlineStr">
        <is>
          <t>1</t>
        </is>
      </c>
      <c r="F3339" t="inlineStr">
        <is>
          <t>24</t>
        </is>
      </c>
      <c r="G3339" t="inlineStr">
        <is>
          <t>0</t>
        </is>
      </c>
      <c r="H3339" t="inlineStr">
        <is>
          <t>0</t>
        </is>
      </c>
      <c r="I3339" t="inlineStr">
        <is>
          <t>8², 16², 24², 48²</t>
        </is>
      </c>
      <c r="J3339" t="n">
        <v>8</v>
      </c>
      <c r="K3339" t="inlineStr">
        <is>
          <t>1⁸, 2⁶, 4¹</t>
        </is>
      </c>
      <c r="L3339" t="inlineStr">
        <is>
          <t>16D³, 24I⁵, 48G⁷, 48H⁷</t>
        </is>
      </c>
      <c r="M3339" t="inlineStr"/>
      <c r="N3339" t="inlineStr">
        <is>
          <t>2A⁰, 48H⁷, 4C⁰, 2B⁰, 4E⁰, 4B⁰, 1A⁰, 16D¹, 16B², 48G⁷, 6F⁰, 3B⁰, 16D³, 8A¹, 24B³, 12F¹, 6I⁰, 6C⁰, 8B⁰, 8B¹, 12P¹, 24C³, 24I⁵, 2C⁰, 12E⁰</t>
        </is>
      </c>
      <c r="O3339" t="inlineStr"/>
    </row>
    <row r="3340">
      <c r="A3340">
        <f>HYPERLINK("https://mathstats.uncg.edu/sites/pauli/congruence/csg13.html#group48K13", "48K¹³")</f>
        <v/>
      </c>
      <c r="B3340" t="n">
        <v>13</v>
      </c>
      <c r="C3340" t="inlineStr"/>
      <c r="D3340" t="inlineStr">
        <is>
          <t>192</t>
        </is>
      </c>
      <c r="E3340" t="inlineStr">
        <is>
          <t>1</t>
        </is>
      </c>
      <c r="F3340" t="inlineStr">
        <is>
          <t>48</t>
        </is>
      </c>
      <c r="G3340" t="inlineStr">
        <is>
          <t>0</t>
        </is>
      </c>
      <c r="H3340" t="inlineStr">
        <is>
          <t>0</t>
        </is>
      </c>
      <c r="I3340" t="inlineStr">
        <is>
          <t>8², 16², 24², 48²</t>
        </is>
      </c>
      <c r="J3340" t="n">
        <v>8</v>
      </c>
      <c r="K3340" t="inlineStr">
        <is>
          <t>2¹², 4⁶</t>
        </is>
      </c>
      <c r="L3340" t="inlineStr">
        <is>
          <t>16E², 24J⁵, 48G⁷</t>
        </is>
      </c>
      <c r="M3340" t="inlineStr"/>
      <c r="N3340" t="inlineStr">
        <is>
          <t>3B⁰, 24B³, 8D⁰, 12F¹, 4C⁰, 8B⁰, 2B⁰, 1A⁰, 16E², 8H⁰, 16D¹, 24I², 48G⁷, 4A⁰, 12A¹, 12G², 24J⁵, 4F⁰, 6F⁰</t>
        </is>
      </c>
      <c r="O3340" t="inlineStr"/>
    </row>
    <row r="3341">
      <c r="A3341">
        <f>HYPERLINK("https://mathstats.uncg.edu/sites/pauli/congruence/csg13.html#group48L13", "48L¹³")</f>
        <v/>
      </c>
      <c r="B3341" t="n">
        <v>13</v>
      </c>
      <c r="C3341" t="inlineStr"/>
      <c r="D3341" t="inlineStr">
        <is>
          <t>192</t>
        </is>
      </c>
      <c r="E3341" t="inlineStr">
        <is>
          <t>1</t>
        </is>
      </c>
      <c r="F3341" t="inlineStr">
        <is>
          <t>48</t>
        </is>
      </c>
      <c r="G3341" t="inlineStr">
        <is>
          <t>0</t>
        </is>
      </c>
      <c r="H3341" t="inlineStr">
        <is>
          <t>0</t>
        </is>
      </c>
      <c r="I3341" t="inlineStr">
        <is>
          <t>8², 16², 24², 48²</t>
        </is>
      </c>
      <c r="J3341" t="n">
        <v>8</v>
      </c>
      <c r="K3341" t="inlineStr">
        <is>
          <t>2¹², 4⁶</t>
        </is>
      </c>
      <c r="L3341" t="inlineStr">
        <is>
          <t>16E³, 24K⁵, 48H⁷</t>
        </is>
      </c>
      <c r="M3341" t="inlineStr"/>
      <c r="N3341" t="inlineStr">
        <is>
          <t>3B⁰, 24K⁵, 8A¹, 48H⁷, 12F¹, 8D⁰, 4C⁰, 2B⁰, 1A⁰, 24C³, 16B², 8C¹, 24I², 4A⁰, 12A¹, 12G², 4F⁰, 6F⁰, 16E³</t>
        </is>
      </c>
      <c r="O3341" t="inlineStr"/>
    </row>
    <row r="3342">
      <c r="A3342">
        <f>HYPERLINK("https://mathstats.uncg.edu/sites/pauli/congruence/csg13.html#group48M13", "48M¹³")</f>
        <v/>
      </c>
      <c r="B3342" t="n">
        <v>13</v>
      </c>
      <c r="C3342" t="inlineStr"/>
      <c r="D3342" t="inlineStr">
        <is>
          <t>192</t>
        </is>
      </c>
      <c r="E3342" t="inlineStr">
        <is>
          <t>1</t>
        </is>
      </c>
      <c r="F3342" t="inlineStr">
        <is>
          <t>48</t>
        </is>
      </c>
      <c r="G3342" t="inlineStr">
        <is>
          <t>0</t>
        </is>
      </c>
      <c r="H3342" t="inlineStr">
        <is>
          <t>0</t>
        </is>
      </c>
      <c r="I3342" t="inlineStr">
        <is>
          <t>8², 16², 24², 48²</t>
        </is>
      </c>
      <c r="J3342" t="n">
        <v>8</v>
      </c>
      <c r="K3342" t="inlineStr">
        <is>
          <t>1⁸, 2⁸, 4⁴, 8¹</t>
        </is>
      </c>
      <c r="L3342" t="inlineStr">
        <is>
          <t>24M⁵, 48A⁷, 48H⁷</t>
        </is>
      </c>
      <c r="M3342" t="inlineStr"/>
      <c r="N3342" t="inlineStr">
        <is>
          <t>24C³, 3B⁰, 8A¹, 16B², 24M⁵, 48H⁷, 12F¹, 48A⁷, 4C⁰, 6F⁰, 2B⁰, 1A⁰</t>
        </is>
      </c>
      <c r="O3342" t="inlineStr"/>
    </row>
    <row r="3343">
      <c r="A3343">
        <f>HYPERLINK("https://mathstats.uncg.edu/sites/pauli/congruence/csg13.html#group48N13", "48N¹³")</f>
        <v/>
      </c>
      <c r="B3343" t="n">
        <v>13</v>
      </c>
      <c r="C3343" t="inlineStr"/>
      <c r="D3343" t="inlineStr">
        <is>
          <t>192</t>
        </is>
      </c>
      <c r="E3343" t="inlineStr">
        <is>
          <t>1</t>
        </is>
      </c>
      <c r="F3343" t="inlineStr">
        <is>
          <t>48</t>
        </is>
      </c>
      <c r="G3343" t="inlineStr">
        <is>
          <t>0</t>
        </is>
      </c>
      <c r="H3343" t="inlineStr">
        <is>
          <t>0</t>
        </is>
      </c>
      <c r="I3343" t="inlineStr">
        <is>
          <t>8², 16², 24², 48²</t>
        </is>
      </c>
      <c r="J3343" t="n">
        <v>8</v>
      </c>
      <c r="K3343" t="inlineStr">
        <is>
          <t>1⁸, 2⁸, 4⁴, 8¹</t>
        </is>
      </c>
      <c r="L3343" t="inlineStr">
        <is>
          <t>24M⁵, 48B⁷, 48H⁷</t>
        </is>
      </c>
      <c r="M3343" t="inlineStr"/>
      <c r="N3343" t="inlineStr">
        <is>
          <t>24C³, 3B⁰, 8A¹, 16B², 24M⁵, 48H⁷, 12F¹, 4C⁰, 6F⁰, 2B⁰, 1A⁰, 48B⁷</t>
        </is>
      </c>
      <c r="O3343" t="inlineStr"/>
    </row>
    <row r="3344">
      <c r="A3344">
        <f>HYPERLINK("https://mathstats.uncg.edu/sites/pauli/congruence/csg13.html#group48O13", "48O¹³")</f>
        <v/>
      </c>
      <c r="B3344" t="n">
        <v>13</v>
      </c>
      <c r="C3344" t="inlineStr"/>
      <c r="D3344" t="inlineStr">
        <is>
          <t>192</t>
        </is>
      </c>
      <c r="E3344" t="inlineStr">
        <is>
          <t>1</t>
        </is>
      </c>
      <c r="F3344" t="inlineStr">
        <is>
          <t>48</t>
        </is>
      </c>
      <c r="G3344" t="inlineStr">
        <is>
          <t>0</t>
        </is>
      </c>
      <c r="H3344" t="inlineStr">
        <is>
          <t>0</t>
        </is>
      </c>
      <c r="I3344" t="inlineStr">
        <is>
          <t>8², 16², 24², 48²</t>
        </is>
      </c>
      <c r="J3344" t="n">
        <v>8</v>
      </c>
      <c r="K3344" t="inlineStr">
        <is>
          <t>1⁸, 2⁸, 4⁴, 8¹</t>
        </is>
      </c>
      <c r="L3344" t="inlineStr">
        <is>
          <t>16J¹, 24N⁵, 48C⁷, 48G⁷</t>
        </is>
      </c>
      <c r="M3344" t="inlineStr"/>
      <c r="N3344" t="inlineStr">
        <is>
          <t>3B⁰, 24N⁵, 24B³, 12F¹, 4C⁰, 8B⁰, 8L⁰, 2B⁰, 16J¹, 1A⁰, 16B⁰, 16D¹, 48G⁷, 48C⁷, 6F⁰</t>
        </is>
      </c>
      <c r="O3344" t="inlineStr"/>
    </row>
    <row r="3345">
      <c r="A3345">
        <f>HYPERLINK("https://mathstats.uncg.edu/sites/pauli/congruence/csg13.html#group48P13", "48P¹³")</f>
        <v/>
      </c>
      <c r="B3345" t="n">
        <v>13</v>
      </c>
      <c r="C3345" t="inlineStr"/>
      <c r="D3345" t="inlineStr">
        <is>
          <t>192</t>
        </is>
      </c>
      <c r="E3345" t="inlineStr">
        <is>
          <t>1</t>
        </is>
      </c>
      <c r="F3345" t="inlineStr">
        <is>
          <t>48</t>
        </is>
      </c>
      <c r="G3345" t="inlineStr">
        <is>
          <t>0</t>
        </is>
      </c>
      <c r="H3345" t="inlineStr">
        <is>
          <t>0</t>
        </is>
      </c>
      <c r="I3345" t="inlineStr">
        <is>
          <t>8², 16², 24², 48²</t>
        </is>
      </c>
      <c r="J3345" t="n">
        <v>8</v>
      </c>
      <c r="K3345" t="inlineStr">
        <is>
          <t>1⁸, 2⁸, 4⁴, 8¹</t>
        </is>
      </c>
      <c r="L3345" t="inlineStr">
        <is>
          <t>16F³, 24N⁵, 48D⁷, 48G⁷</t>
        </is>
      </c>
      <c r="M3345" t="inlineStr"/>
      <c r="N3345" t="inlineStr">
        <is>
          <t>48D⁷, 3B⁰, 16D¹, 24N⁵, 24B³, 48G⁷, 12F¹, 16F³, 4C⁰, 8B⁰, 6F⁰, 8L⁰, 2B⁰, 1A⁰, 16A²</t>
        </is>
      </c>
      <c r="O3345" t="inlineStr"/>
    </row>
    <row r="3346">
      <c r="A3346">
        <f>HYPERLINK("https://mathstats.uncg.edu/sites/pauli/congruence/csg13.html#group48Q13", "48Q¹³")</f>
        <v/>
      </c>
      <c r="B3346" t="n">
        <v>13</v>
      </c>
      <c r="C3346" t="inlineStr"/>
      <c r="D3346" t="inlineStr">
        <is>
          <t>192</t>
        </is>
      </c>
      <c r="E3346" t="inlineStr">
        <is>
          <t>2</t>
        </is>
      </c>
      <c r="F3346" t="inlineStr">
        <is>
          <t>24</t>
        </is>
      </c>
      <c r="G3346" t="inlineStr">
        <is>
          <t>8</t>
        </is>
      </c>
      <c r="H3346" t="inlineStr">
        <is>
          <t>0</t>
        </is>
      </c>
      <c r="I3346" t="inlineStr">
        <is>
          <t>48⁴</t>
        </is>
      </c>
      <c r="J3346" t="n">
        <v>4</v>
      </c>
      <c r="K3346" t="inlineStr">
        <is>
          <t>8², 16²</t>
        </is>
      </c>
      <c r="L3346" t="inlineStr">
        <is>
          <t>24P⁵, 48E⁶, 48F⁶</t>
        </is>
      </c>
      <c r="M3346" t="inlineStr"/>
      <c r="N3346" t="inlineStr">
        <is>
          <t>12G¹, 6B⁰, 24D³, 12F⁰, 8A⁰, 48E⁶, 24B¹, 1A⁰, 24P⁵, 48F⁶, 24E³, 12A⁰, 24K², 24A¹, 6E⁰, 4A⁰, 12Q¹, 3C⁰, 3A⁰, 24G², 24H²</t>
        </is>
      </c>
      <c r="O3346" t="inlineStr"/>
    </row>
    <row r="3347">
      <c r="A3347">
        <f>HYPERLINK("https://mathstats.uncg.edu/sites/pauli/congruence/csg13.html#group48R13", "48R¹³")</f>
        <v/>
      </c>
      <c r="B3347" t="n">
        <v>13</v>
      </c>
      <c r="C3347" t="inlineStr"/>
      <c r="D3347" t="inlineStr">
        <is>
          <t>192</t>
        </is>
      </c>
      <c r="E3347" t="inlineStr">
        <is>
          <t>2</t>
        </is>
      </c>
      <c r="F3347" t="inlineStr">
        <is>
          <t>24</t>
        </is>
      </c>
      <c r="G3347" t="inlineStr">
        <is>
          <t>8</t>
        </is>
      </c>
      <c r="H3347" t="inlineStr">
        <is>
          <t>0</t>
        </is>
      </c>
      <c r="I3347" t="inlineStr">
        <is>
          <t>48⁴</t>
        </is>
      </c>
      <c r="J3347" t="n">
        <v>4</v>
      </c>
      <c r="K3347" t="inlineStr">
        <is>
          <t>8², 16²</t>
        </is>
      </c>
      <c r="L3347" t="inlineStr">
        <is>
          <t>24P⁵, 48G⁶, 48H⁶, 48I⁷, 48J⁷</t>
        </is>
      </c>
      <c r="M3347" t="inlineStr"/>
      <c r="N3347" t="inlineStr">
        <is>
          <t>48I⁷, 12G¹, 6B⁰, 16A⁰, 24D³, 48H⁶, 8A⁰, 12F⁰, 24B¹, 1A⁰, 48G⁶, 24E³, 12A⁰, 24A¹, 48A³, 24K², 6E⁰, 48J⁷, 4A⁰, 3C⁰, 12Q¹, 3A⁰, 24G², 24H², 24P⁵, 48B³</t>
        </is>
      </c>
      <c r="O3347" t="inlineStr"/>
    </row>
    <row r="3348">
      <c r="A3348">
        <f>HYPERLINK("https://mathstats.uncg.edu/sites/pauli/congruence/csg13.html#group48S13", "48S¹³")</f>
        <v/>
      </c>
      <c r="B3348" t="n">
        <v>13</v>
      </c>
      <c r="C3348" t="inlineStr"/>
      <c r="D3348" t="inlineStr">
        <is>
          <t>192</t>
        </is>
      </c>
      <c r="E3348" t="inlineStr">
        <is>
          <t>2</t>
        </is>
      </c>
      <c r="F3348" t="inlineStr">
        <is>
          <t>48</t>
        </is>
      </c>
      <c r="G3348" t="inlineStr">
        <is>
          <t>0</t>
        </is>
      </c>
      <c r="H3348" t="inlineStr">
        <is>
          <t>0</t>
        </is>
      </c>
      <c r="I3348" t="inlineStr">
        <is>
          <t>8², 16², 24², 48²</t>
        </is>
      </c>
      <c r="J3348" t="n">
        <v>8</v>
      </c>
      <c r="K3348" t="inlineStr">
        <is>
          <t>2¹⁶, 4¹², 8²</t>
        </is>
      </c>
      <c r="L3348" t="inlineStr">
        <is>
          <t>24M⁵, 48E⁷, 48H⁷</t>
        </is>
      </c>
      <c r="M3348" t="inlineStr"/>
      <c r="N3348" t="inlineStr">
        <is>
          <t>24C³, 3B⁰, 48E⁷, 8A¹, 16B², 24M⁵, 48H⁷, 12F¹, 4C⁰, 6F⁰, 2B⁰, 1A⁰</t>
        </is>
      </c>
      <c r="O3348" t="inlineStr"/>
    </row>
    <row r="3349">
      <c r="A3349">
        <f>HYPERLINK("https://mathstats.uncg.edu/sites/pauli/congruence/csg13.html#group48T13", "48T¹³")</f>
        <v/>
      </c>
      <c r="B3349" t="n">
        <v>13</v>
      </c>
      <c r="C3349" t="inlineStr"/>
      <c r="D3349" t="inlineStr">
        <is>
          <t>192</t>
        </is>
      </c>
      <c r="E3349" t="inlineStr">
        <is>
          <t>2</t>
        </is>
      </c>
      <c r="F3349" t="inlineStr">
        <is>
          <t>48</t>
        </is>
      </c>
      <c r="G3349" t="inlineStr">
        <is>
          <t>0</t>
        </is>
      </c>
      <c r="H3349" t="inlineStr">
        <is>
          <t>0</t>
        </is>
      </c>
      <c r="I3349" t="inlineStr">
        <is>
          <t>8², 16², 24², 48²</t>
        </is>
      </c>
      <c r="J3349" t="n">
        <v>8</v>
      </c>
      <c r="K3349" t="inlineStr">
        <is>
          <t>2¹⁶, 4¹², 8²</t>
        </is>
      </c>
      <c r="L3349" t="inlineStr">
        <is>
          <t>16F², 24N⁵, 48F⁷, 48G⁷</t>
        </is>
      </c>
      <c r="M3349" t="inlineStr"/>
      <c r="N3349" t="inlineStr">
        <is>
          <t>3B⁰, 16D¹, 24N⁵, 24B³, 16F², 48G⁷, 12F¹, 4C⁰, 8B⁰, 6F⁰, 16B¹, 8L⁰, 2B⁰, 48F⁷, 1A⁰</t>
        </is>
      </c>
      <c r="O3349" t="inlineStr"/>
    </row>
    <row r="3350">
      <c r="A3350">
        <f>HYPERLINK("https://mathstats.uncg.edu/sites/pauli/congruence/csg13.html#group48U13", "48U¹³")</f>
        <v/>
      </c>
      <c r="B3350" t="n">
        <v>13</v>
      </c>
      <c r="C3350" t="inlineStr"/>
      <c r="D3350" t="inlineStr">
        <is>
          <t>256</t>
        </is>
      </c>
      <c r="E3350" t="inlineStr">
        <is>
          <t>1</t>
        </is>
      </c>
      <c r="F3350" t="inlineStr">
        <is>
          <t>16</t>
        </is>
      </c>
      <c r="G3350" t="inlineStr">
        <is>
          <t>0</t>
        </is>
      </c>
      <c r="H3350" t="inlineStr">
        <is>
          <t>16</t>
        </is>
      </c>
      <c r="I3350" t="inlineStr">
        <is>
          <t>16⁴, 48⁴</t>
        </is>
      </c>
      <c r="J3350" t="n">
        <v>8</v>
      </c>
      <c r="K3350" t="inlineStr">
        <is>
          <t>2⁴, 4²</t>
        </is>
      </c>
      <c r="L3350" t="inlineStr">
        <is>
          <t>24Q⁵, 48K⁷, 48L⁷</t>
        </is>
      </c>
      <c r="M3350" t="inlineStr"/>
      <c r="N3350" t="inlineStr">
        <is>
          <t>2A⁰, 3B⁰, 16A⁰, 48K⁷, 12I¹, 24A², 6C⁰, 8A⁰, 8E⁰, 24G³, 1A⁰, 24F³, 48L⁷, 4A⁰, 4D⁰, 16F⁰, 12A¹, 24Q⁵, 48A⁴, 12R¹, 12B⁰</t>
        </is>
      </c>
      <c r="O3350" t="inlineStr"/>
    </row>
    <row r="3351">
      <c r="A3351">
        <f>HYPERLINK("https://mathstats.uncg.edu/sites/pauli/congruence/csg13.html#group48V13", "48V¹³")</f>
        <v/>
      </c>
      <c r="B3351" t="n">
        <v>13</v>
      </c>
      <c r="C3351" t="inlineStr"/>
      <c r="D3351" t="inlineStr">
        <is>
          <t>288</t>
        </is>
      </c>
      <c r="E3351" t="inlineStr">
        <is>
          <t>1</t>
        </is>
      </c>
      <c r="F3351" t="inlineStr">
        <is>
          <t>6</t>
        </is>
      </c>
      <c r="G3351" t="inlineStr">
        <is>
          <t>0</t>
        </is>
      </c>
      <c r="H3351" t="inlineStr">
        <is>
          <t>0</t>
        </is>
      </c>
      <c r="I3351" t="inlineStr">
        <is>
          <t>3¹⁶, 12⁴, 48⁴</t>
        </is>
      </c>
      <c r="J3351" t="n">
        <v>24</v>
      </c>
      <c r="K3351" t="inlineStr">
        <is>
          <t>1⁴, 2¹</t>
        </is>
      </c>
      <c r="L3351" t="inlineStr">
        <is>
          <t>48I³, 24R⁵, 48W⁷</t>
        </is>
      </c>
      <c r="M3351" t="inlineStr"/>
      <c r="N3351" t="inlineStr">
        <is>
          <t>3B⁰, 48W⁷, 12K¹, 24G¹, 6G⁰, 12S¹, 2B⁰, 8C⁰, 6F⁰, 4B⁰, 1A⁰, 24B², 12G⁰, 6D⁰, 24D², 24R⁵, 3C⁰, 6K⁰, 12B¹, 48I³, 24K³, 12D⁰, 3A⁰, 24L³, 3D⁰, 12E⁰</t>
        </is>
      </c>
      <c r="O3351" t="inlineStr"/>
    </row>
    <row r="3352">
      <c r="A3352">
        <f>HYPERLINK("https://mathstats.uncg.edu/sites/pauli/congruence/csg13.html#group48W13", "48W¹³")</f>
        <v/>
      </c>
      <c r="B3352" t="n">
        <v>13</v>
      </c>
      <c r="C3352" t="inlineStr"/>
      <c r="D3352" t="inlineStr">
        <is>
          <t>288</t>
        </is>
      </c>
      <c r="E3352" t="inlineStr">
        <is>
          <t>1</t>
        </is>
      </c>
      <c r="F3352" t="inlineStr">
        <is>
          <t>6</t>
        </is>
      </c>
      <c r="G3352" t="inlineStr">
        <is>
          <t>0</t>
        </is>
      </c>
      <c r="H3352" t="inlineStr">
        <is>
          <t>0</t>
        </is>
      </c>
      <c r="I3352" t="inlineStr">
        <is>
          <t>3¹⁶, 12⁴, 48⁴</t>
        </is>
      </c>
      <c r="J3352" t="n">
        <v>24</v>
      </c>
      <c r="K3352" t="inlineStr">
        <is>
          <t>1⁴, 2¹</t>
        </is>
      </c>
      <c r="L3352" t="inlineStr">
        <is>
          <t>48J³, 24R⁵, 48Q⁷, 48R⁷</t>
        </is>
      </c>
      <c r="M3352" t="inlineStr"/>
      <c r="N3352" t="inlineStr">
        <is>
          <t>3B⁰, 12K¹, 24G¹, 48F⁴, 6G⁰, 12S¹, 2B⁰, 8C⁰, 4B⁰, 1A⁰, 48B⁴, 48Q⁷, 24B², 12G⁰, 48R⁷, 48J³, 16C⁰, 6D⁰, 24D², 24R⁵, 3C⁰, 6K⁰, 12B¹, 24K³, 12D⁰, 6F⁰, 3A⁰, 24L³, 3D⁰, 12E⁰</t>
        </is>
      </c>
      <c r="O3352" t="inlineStr"/>
    </row>
    <row r="3353">
      <c r="A3353">
        <f>HYPERLINK("https://mathstats.uncg.edu/sites/pauli/congruence/csg13.html#group48X13", "48X¹³")</f>
        <v/>
      </c>
      <c r="B3353" t="n">
        <v>13</v>
      </c>
      <c r="C3353" t="inlineStr"/>
      <c r="D3353" t="inlineStr">
        <is>
          <t>288</t>
        </is>
      </c>
      <c r="E3353" t="inlineStr">
        <is>
          <t>1</t>
        </is>
      </c>
      <c r="F3353" t="inlineStr">
        <is>
          <t>9</t>
        </is>
      </c>
      <c r="G3353" t="inlineStr">
        <is>
          <t>32</t>
        </is>
      </c>
      <c r="H3353" t="inlineStr">
        <is>
          <t>0</t>
        </is>
      </c>
      <c r="I3353" t="inlineStr">
        <is>
          <t>24⁴, 48⁴</t>
        </is>
      </c>
      <c r="J3353" t="n">
        <v>8</v>
      </c>
      <c r="K3353" t="inlineStr">
        <is>
          <t>1³, 2³</t>
        </is>
      </c>
      <c r="L3353" t="inlineStr">
        <is>
          <t>48M³, 24S⁵, 48M⁷, 48N⁷, 48AH⁷</t>
        </is>
      </c>
      <c r="M3353" t="inlineStr"/>
      <c r="N3353" t="inlineStr">
        <is>
          <t>12T¹, 12C⁰, 4C⁰, 24I³, 6G⁰, 2B⁰, 24C², 12N¹, 1A⁰, 16B⁰, 48M⁷, 24H³, 24A⁰, 24S³, 24S⁵, 3C⁰, 6H⁰, 3A⁰, 24H¹, 48AH⁷, 6B⁰, 24D¹, 8B⁰, 48A⁰, 12L¹, 48C⁴, 12G⁰, 12C¹, 48M³, 6E⁰, 48N⁷, 6L⁰, 48A², 12D⁰, 12H⁰, 6D⁰</t>
        </is>
      </c>
      <c r="O3353" t="inlineStr"/>
    </row>
    <row r="3354">
      <c r="A3354">
        <f>HYPERLINK("https://mathstats.uncg.edu/sites/pauli/congruence/csg13.html#group48Y13", "48Y¹³")</f>
        <v/>
      </c>
      <c r="B3354" t="n">
        <v>13</v>
      </c>
      <c r="C3354" t="inlineStr"/>
      <c r="D3354" t="inlineStr">
        <is>
          <t>288</t>
        </is>
      </c>
      <c r="E3354" t="inlineStr">
        <is>
          <t>1</t>
        </is>
      </c>
      <c r="F3354" t="inlineStr">
        <is>
          <t>12</t>
        </is>
      </c>
      <c r="G3354" t="inlineStr">
        <is>
          <t>0</t>
        </is>
      </c>
      <c r="H3354" t="inlineStr">
        <is>
          <t>0</t>
        </is>
      </c>
      <c r="I3354" t="inlineStr">
        <is>
          <t>3⁸, 6¹², 48⁴</t>
        </is>
      </c>
      <c r="J3354" t="n">
        <v>24</v>
      </c>
      <c r="K3354" t="inlineStr">
        <is>
          <t>1⁴, 2², 4¹</t>
        </is>
      </c>
      <c r="L3354" t="inlineStr">
        <is>
          <t>48K³, 24R⁵</t>
        </is>
      </c>
      <c r="M3354" t="inlineStr"/>
      <c r="N3354" t="inlineStr">
        <is>
          <t>3B⁰, 12K¹, 48K³, 24G¹, 6G⁰, 12S¹, 2B⁰, 8C⁰, 4B⁰, 1A⁰, 24B², 12G⁰, 6D⁰, 24D², 24R⁵, 3C⁰, 6K⁰, 12B¹, 24K³, 12D⁰, 6F⁰, 3A⁰, 24L³, 3D⁰, 12E⁰</t>
        </is>
      </c>
      <c r="O3354" t="inlineStr"/>
    </row>
    <row r="3355">
      <c r="A3355">
        <f>HYPERLINK("https://mathstats.uncg.edu/sites/pauli/congruence/csg13.html#group48Z13", "48Z¹³")</f>
        <v/>
      </c>
      <c r="B3355" t="n">
        <v>13</v>
      </c>
      <c r="C3355" t="inlineStr"/>
      <c r="D3355" t="inlineStr">
        <is>
          <t>288</t>
        </is>
      </c>
      <c r="E3355" t="inlineStr">
        <is>
          <t>1</t>
        </is>
      </c>
      <c r="F3355" t="inlineStr">
        <is>
          <t>12</t>
        </is>
      </c>
      <c r="G3355" t="inlineStr">
        <is>
          <t>0</t>
        </is>
      </c>
      <c r="H3355" t="inlineStr">
        <is>
          <t>0</t>
        </is>
      </c>
      <c r="I3355" t="inlineStr">
        <is>
          <t>3⁸, 6¹², 48⁴</t>
        </is>
      </c>
      <c r="J3355" t="n">
        <v>24</v>
      </c>
      <c r="K3355" t="inlineStr">
        <is>
          <t>1⁴, 2², 4¹</t>
        </is>
      </c>
      <c r="L3355" t="inlineStr">
        <is>
          <t>48L³, 24R⁵, 48X⁷, 48Y⁷</t>
        </is>
      </c>
      <c r="M3355" t="inlineStr"/>
      <c r="N3355" t="inlineStr">
        <is>
          <t>3B⁰, 12K¹, 24G¹, 6G⁰, 12S¹, 2B⁰, 8C⁰, 6F⁰, 4B⁰, 1A⁰, 48G⁴, 48Y⁷, 24B², 12G⁰, 6D⁰, 16D⁰, 24D², 24R⁵, 12E⁰, 3C⁰, 6K⁰, 12B¹, 24K³, 12D⁰, 3A⁰, 24L³, 3D⁰, 48X⁷, 48D⁴, 48L³</t>
        </is>
      </c>
      <c r="O3355" t="inlineStr"/>
    </row>
    <row r="3356">
      <c r="A3356">
        <f>HYPERLINK("https://mathstats.uncg.edu/sites/pauli/congruence/csg13.html#group48AA13", "48AA¹³")</f>
        <v/>
      </c>
      <c r="B3356" t="n">
        <v>13</v>
      </c>
      <c r="C3356" t="inlineStr"/>
      <c r="D3356" t="inlineStr">
        <is>
          <t>288</t>
        </is>
      </c>
      <c r="E3356" t="inlineStr">
        <is>
          <t>1</t>
        </is>
      </c>
      <c r="F3356" t="inlineStr">
        <is>
          <t>18</t>
        </is>
      </c>
      <c r="G3356" t="inlineStr">
        <is>
          <t>32</t>
        </is>
      </c>
      <c r="H3356" t="inlineStr">
        <is>
          <t>0</t>
        </is>
      </c>
      <c r="I3356" t="inlineStr">
        <is>
          <t>24⁴, 48⁴</t>
        </is>
      </c>
      <c r="J3356" t="n">
        <v>8</v>
      </c>
      <c r="K3356" t="inlineStr">
        <is>
          <t>2⁵, 4²</t>
        </is>
      </c>
      <c r="L3356" t="inlineStr">
        <is>
          <t>48M³, 24V⁵, 48G⁵, 48S⁷, 48AI⁷</t>
        </is>
      </c>
      <c r="M3356" t="inlineStr"/>
      <c r="N3356" t="inlineStr">
        <is>
          <t>48AI⁷, 24E¹, 6B⁰, 12C⁰, 24N², 6H⁰, 4C⁰, 24D¹, 8B⁰, 24P², 48A⁰, 12M¹, 2B⁰, 12H⁰, 48G⁵, 1A⁰, 48S⁷, 16B⁰, 12H², 24V⁵, 48M³, 24A⁰, 24T³, 48A², 12D⁰, 48F³, 3A⁰, 24H¹, 6D⁰</t>
        </is>
      </c>
      <c r="O3356" t="inlineStr"/>
    </row>
    <row r="3357">
      <c r="A3357">
        <f>HYPERLINK("https://mathstats.uncg.edu/sites/pauli/congruence/csg13.html#group48AB13", "48AB¹³")</f>
        <v/>
      </c>
      <c r="B3357" t="n">
        <v>13</v>
      </c>
      <c r="C3357" t="inlineStr"/>
      <c r="D3357" t="inlineStr">
        <is>
          <t>288</t>
        </is>
      </c>
      <c r="E3357" t="inlineStr">
        <is>
          <t>1</t>
        </is>
      </c>
      <c r="F3357" t="inlineStr">
        <is>
          <t>18</t>
        </is>
      </c>
      <c r="G3357" t="inlineStr">
        <is>
          <t>32</t>
        </is>
      </c>
      <c r="H3357" t="inlineStr">
        <is>
          <t>0</t>
        </is>
      </c>
      <c r="I3357" t="inlineStr">
        <is>
          <t>24⁴, 48⁴</t>
        </is>
      </c>
      <c r="J3357" t="n">
        <v>8</v>
      </c>
      <c r="K3357" t="inlineStr">
        <is>
          <t>1², 2⁴, 4²</t>
        </is>
      </c>
      <c r="L3357" t="inlineStr">
        <is>
          <t>48M³, 24W⁵, 48E⁵, 48G⁵, 48T⁷, 48U⁷, 48V⁷</t>
        </is>
      </c>
      <c r="M3357" t="inlineStr"/>
      <c r="N3357" t="inlineStr">
        <is>
          <t>12I², 24E¹, 24O², 24Q³, 12C⁰, 4C⁰, 24P², 2B⁰, 12M¹, 24P³, 1A⁰, 24W⁵, 48T⁷, 16B⁰, 24A⁰, 6H⁰, 3A⁰, 24H¹, 16F¹, 48E⁵, 6B⁰, 8D⁰, 24D¹, 8B⁰, 12F⁰, 16B¹, 48A⁰, 48U⁷, 24L², 48G⁵, 8H⁰, 48C³, 48V⁷, 12A⁰, 48M³, 4A⁰, 24C¹, 48A², 12J¹, 12D⁰, 4F⁰, 48F³, 12H⁰, 6D⁰</t>
        </is>
      </c>
      <c r="O3357" t="inlineStr"/>
    </row>
    <row r="3358">
      <c r="A3358">
        <f>HYPERLINK("https://mathstats.uncg.edu/sites/pauli/congruence/csg13.html#group48AC13", "48AC¹³")</f>
        <v/>
      </c>
      <c r="B3358" t="n">
        <v>13</v>
      </c>
      <c r="C3358" t="inlineStr"/>
      <c r="D3358" t="inlineStr">
        <is>
          <t>288</t>
        </is>
      </c>
      <c r="E3358" t="inlineStr">
        <is>
          <t>1</t>
        </is>
      </c>
      <c r="F3358" t="inlineStr">
        <is>
          <t>36</t>
        </is>
      </c>
      <c r="G3358" t="inlineStr">
        <is>
          <t>8</t>
        </is>
      </c>
      <c r="H3358" t="inlineStr">
        <is>
          <t>0</t>
        </is>
      </c>
      <c r="I3358" t="inlineStr">
        <is>
          <t>6¹⁶, 48⁴</t>
        </is>
      </c>
      <c r="J3358" t="n">
        <v>20</v>
      </c>
      <c r="K3358" t="inlineStr">
        <is>
          <t>2⁴, 4³, 8²</t>
        </is>
      </c>
      <c r="L3358" t="inlineStr">
        <is>
          <t>24U⁵, 48K⁶</t>
        </is>
      </c>
      <c r="M3358" t="inlineStr"/>
      <c r="N3358" t="inlineStr">
        <is>
          <t>12T¹, 24O², 24E¹, 12C⁰, 4C⁰, 6G⁰, 2B⁰, 12N¹, 48K⁶, 1A⁰, 24O³, 24N³, 24U⁵, 3C⁰, 6H⁰, 3A⁰, 6B⁰, 24N², 8D⁰, 12L¹, 12G⁰, 12C¹, 6E⁰, 6L⁰, 24C¹, 12D⁰, 12H⁰, 6D⁰</t>
        </is>
      </c>
      <c r="O3358" t="inlineStr"/>
    </row>
    <row r="3359">
      <c r="A3359">
        <f>HYPERLINK("https://mathstats.uncg.edu/sites/pauli/congruence/csg13.html#group48AD13", "48AD¹³")</f>
        <v/>
      </c>
      <c r="B3359" t="n">
        <v>13</v>
      </c>
      <c r="C3359" t="inlineStr"/>
      <c r="D3359" t="inlineStr">
        <is>
          <t>288</t>
        </is>
      </c>
      <c r="E3359" t="inlineStr">
        <is>
          <t>1</t>
        </is>
      </c>
      <c r="F3359" t="inlineStr">
        <is>
          <t>36</t>
        </is>
      </c>
      <c r="G3359" t="inlineStr">
        <is>
          <t>8</t>
        </is>
      </c>
      <c r="H3359" t="inlineStr">
        <is>
          <t>0</t>
        </is>
      </c>
      <c r="I3359" t="inlineStr">
        <is>
          <t>6¹⁶, 48⁴</t>
        </is>
      </c>
      <c r="J3359" t="n">
        <v>20</v>
      </c>
      <c r="K3359" t="inlineStr">
        <is>
          <t>1², 2³, 4³, 8²</t>
        </is>
      </c>
      <c r="L3359" t="inlineStr">
        <is>
          <t>24U⁵, 48I⁶, 48J⁶, 48Z⁷, 48AA⁷</t>
        </is>
      </c>
      <c r="M3359" t="inlineStr"/>
      <c r="N3359" t="inlineStr">
        <is>
          <t>12T¹, 24O², 24E¹, 12C⁰, 48G³, 4C⁰, 6G⁰, 2B⁰, 12N¹, 1A⁰, 24O³, 16E⁰, 48AA⁷, 24N³, 24U⁵, 3C⁰, 48D³, 6H⁰, 3A⁰, 6B⁰, 48I⁶, 8D⁰, 24N², 48Z⁷, 12L¹, 12G⁰, 12C¹, 6E⁰, 6L⁰, 48J⁶, 24C¹, 12D⁰, 12H⁰, 6D⁰</t>
        </is>
      </c>
      <c r="O3359" t="inlineStr"/>
    </row>
    <row r="3360">
      <c r="A3360">
        <f>HYPERLINK("https://mathstats.uncg.edu/sites/pauli/congruence/csg13.html#group48AE13", "48AE¹³")</f>
        <v/>
      </c>
      <c r="B3360" t="n">
        <v>13</v>
      </c>
      <c r="C3360" t="inlineStr"/>
      <c r="D3360" t="inlineStr">
        <is>
          <t>288</t>
        </is>
      </c>
      <c r="E3360" t="inlineStr">
        <is>
          <t>1</t>
        </is>
      </c>
      <c r="F3360" t="inlineStr">
        <is>
          <t>36</t>
        </is>
      </c>
      <c r="G3360" t="inlineStr">
        <is>
          <t>32</t>
        </is>
      </c>
      <c r="H3360" t="inlineStr">
        <is>
          <t>0</t>
        </is>
      </c>
      <c r="I3360" t="inlineStr">
        <is>
          <t>24⁴, 48⁴</t>
        </is>
      </c>
      <c r="J3360" t="n">
        <v>8</v>
      </c>
      <c r="K3360" t="inlineStr">
        <is>
          <t>2⁸, 4³, 8¹</t>
        </is>
      </c>
      <c r="L3360" t="inlineStr">
        <is>
          <t>48M³, 24X⁵, 48H⁵, 48AD⁷, 48AJ⁷</t>
        </is>
      </c>
      <c r="M3360" t="inlineStr"/>
      <c r="N3360" t="inlineStr">
        <is>
          <t>24X⁵, 6B⁰, 12C⁰, 3A⁰, 4C⁰, 24D¹, 8B⁰, 24Q², 48AJ⁷, 48H⁵, 2B⁰, 48A⁰, 1A⁰, 48H³, 48AD⁷, 16B⁰, 48M³, 24A⁰, 48A², 12D⁰, 6H⁰, 12H⁰, 24H¹, 6D⁰</t>
        </is>
      </c>
      <c r="O3360" t="inlineStr"/>
    </row>
    <row r="3361">
      <c r="A3361">
        <f>HYPERLINK("https://mathstats.uncg.edu/sites/pauli/congruence/csg13.html#group48AF13", "48AF¹³")</f>
        <v/>
      </c>
      <c r="B3361" t="n">
        <v>13</v>
      </c>
      <c r="C3361" t="inlineStr"/>
      <c r="D3361" t="inlineStr">
        <is>
          <t>288</t>
        </is>
      </c>
      <c r="E3361" t="inlineStr">
        <is>
          <t>1</t>
        </is>
      </c>
      <c r="F3361" t="inlineStr">
        <is>
          <t>36</t>
        </is>
      </c>
      <c r="G3361" t="inlineStr">
        <is>
          <t>32</t>
        </is>
      </c>
      <c r="H3361" t="inlineStr">
        <is>
          <t>0</t>
        </is>
      </c>
      <c r="I3361" t="inlineStr">
        <is>
          <t>24⁴, 48⁴</t>
        </is>
      </c>
      <c r="J3361" t="n">
        <v>8</v>
      </c>
      <c r="K3361" t="inlineStr">
        <is>
          <t>1⁴, 2⁶, 4³, 8¹</t>
        </is>
      </c>
      <c r="L3361" t="inlineStr">
        <is>
          <t>48M³, 24Y⁵, 48F⁵, 48H⁵, 48AE⁷, 48AF⁷, 48AG⁷</t>
        </is>
      </c>
      <c r="M3361" t="inlineStr"/>
      <c r="N3361" t="inlineStr">
        <is>
          <t>48F⁵, 48AG⁷, 6B⁰, 12C⁰, 6H⁰, 4C⁰, 24D¹, 8B⁰, 24Q², 48H⁵, 24Y⁵, 48A⁰, 8L⁰, 2B⁰, 16J¹, 12H⁰, 1A⁰, 48H³, 16B⁰, 16D¹, 48M³, 48E³, 24A⁰, 24M², 48A², 12D⁰, 48AE⁷, 3A⁰, 24H¹, 48AF⁷, 6D⁰</t>
        </is>
      </c>
      <c r="O3361" t="inlineStr"/>
    </row>
    <row r="3362">
      <c r="A3362">
        <f>HYPERLINK("https://mathstats.uncg.edu/sites/pauli/congruence/csg13.html#group48AG13", "48AG¹³")</f>
        <v/>
      </c>
      <c r="B3362" t="n">
        <v>13</v>
      </c>
      <c r="C3362" t="inlineStr"/>
      <c r="D3362" t="inlineStr">
        <is>
          <t>384</t>
        </is>
      </c>
      <c r="E3362" t="inlineStr">
        <is>
          <t>1</t>
        </is>
      </c>
      <c r="F3362" t="inlineStr">
        <is>
          <t>12</t>
        </is>
      </c>
      <c r="G3362" t="inlineStr">
        <is>
          <t>0</t>
        </is>
      </c>
      <c r="H3362" t="inlineStr">
        <is>
          <t>0</t>
        </is>
      </c>
      <c r="I3362" t="inlineStr">
        <is>
          <t>2¹⁶, 6¹⁶, 16⁴, 48⁴</t>
        </is>
      </c>
      <c r="J3362" t="n">
        <v>40</v>
      </c>
      <c r="K3362" t="inlineStr">
        <is>
          <t>1⁶, 2³</t>
        </is>
      </c>
      <c r="L3362" t="inlineStr">
        <is>
          <t>24Z⁵, 48J⁵, 48AK⁷, 48AL⁷, 48AQ⁷</t>
        </is>
      </c>
      <c r="M3362" t="inlineStr"/>
      <c r="N3362" t="inlineStr">
        <is>
          <t>2A⁰, 16G⁰, 24V³, 24G¹, 4C⁰, 12I⁰, 12J⁰, 2B⁰, 8C⁰, 4E⁰, 4B⁰, 1A⁰, 24Z⁵, 24J¹, 16E⁰, 48AL⁷, 24U³, 48AQ⁷, 8G⁰, 6F⁰, 48L³, 3B⁰, 12V¹, 8D⁰, 6I⁰, 12F¹, 48K³, 6C⁰, 12P¹, 48AK⁷, 24I², 24B⁰, 48J⁴, 16D⁰, 24W³, 48J⁵, 24F², 2C⁰, 12E⁰</t>
        </is>
      </c>
      <c r="O3362" t="inlineStr"/>
    </row>
    <row r="3363">
      <c r="A3363">
        <f>HYPERLINK("https://mathstats.uncg.edu/sites/pauli/congruence/csg13.html#group48AH13", "48AH¹³")</f>
        <v/>
      </c>
      <c r="B3363" t="n">
        <v>13</v>
      </c>
      <c r="C3363" t="inlineStr"/>
      <c r="D3363" t="inlineStr">
        <is>
          <t>384</t>
        </is>
      </c>
      <c r="E3363" t="inlineStr">
        <is>
          <t>1</t>
        </is>
      </c>
      <c r="F3363" t="inlineStr">
        <is>
          <t>48</t>
        </is>
      </c>
      <c r="G3363" t="inlineStr">
        <is>
          <t>0</t>
        </is>
      </c>
      <c r="H3363" t="inlineStr">
        <is>
          <t>0</t>
        </is>
      </c>
      <c r="I3363" t="inlineStr">
        <is>
          <t>1⁸, 2⁴, 3⁸, 4⁴, 6⁴, 12⁴, 16⁴, 48⁴</t>
        </is>
      </c>
      <c r="J3363" t="n">
        <v>40</v>
      </c>
      <c r="K3363" t="inlineStr">
        <is>
          <t>1⁸, 2⁸, 4⁴, 8¹</t>
        </is>
      </c>
      <c r="L3363" t="inlineStr">
        <is>
          <t>24AA⁵, 48I⁵, 48J⁵, 48AO⁷, 48AN⁷, 48AM⁷, 48AP⁷</t>
        </is>
      </c>
      <c r="M3363" t="inlineStr"/>
      <c r="N3363" t="inlineStr">
        <is>
          <t>3B⁰, 48I⁵, 24AA⁵, 48K³, 24G¹, 12J⁰, 48AO⁷, 8C⁰, 2B⁰, 8I⁰, 4B⁰, 1A⁰, 16H⁰, 24J¹, 24X³, 48AN⁷, 24B⁰, 48J³, 16C⁰, 16D⁰, 48AM⁷, 48I³, 24Y³, 48J⁵, 6F⁰, 48AP⁷, 12E⁰, 48L³</t>
        </is>
      </c>
      <c r="O3363" t="inlineStr"/>
    </row>
    <row r="3364">
      <c r="A3364">
        <f>HYPERLINK("https://mathstats.uncg.edu/sites/pauli/congruence/csg13.html#group50A13", "50A¹³")</f>
        <v/>
      </c>
      <c r="B3364" t="n">
        <v>13</v>
      </c>
      <c r="C3364" t="inlineStr"/>
      <c r="D3364" t="inlineStr">
        <is>
          <t>180</t>
        </is>
      </c>
      <c r="E3364" t="inlineStr">
        <is>
          <t>1</t>
        </is>
      </c>
      <c r="F3364" t="inlineStr">
        <is>
          <t>30</t>
        </is>
      </c>
      <c r="G3364" t="inlineStr">
        <is>
          <t>0</t>
        </is>
      </c>
      <c r="H3364" t="inlineStr">
        <is>
          <t>0</t>
        </is>
      </c>
      <c r="I3364" t="inlineStr">
        <is>
          <t>10³, 50³</t>
        </is>
      </c>
      <c r="J3364" t="n">
        <v>6</v>
      </c>
      <c r="K3364" t="inlineStr">
        <is>
          <t>2², 4⁴, 20²</t>
        </is>
      </c>
      <c r="L3364" t="inlineStr">
        <is>
          <t>10G¹, 50A⁵, 50A⁶</t>
        </is>
      </c>
      <c r="M3364" t="inlineStr"/>
      <c r="N3364" t="inlineStr">
        <is>
          <t>50A⁶, 2A⁰, 25A², 50A⁵, 5B⁰, 10C⁰, 10A¹, 2B⁰, 1A⁰, 2C⁰, 10G¹</t>
        </is>
      </c>
      <c r="O3364" t="inlineStr"/>
    </row>
    <row r="3365">
      <c r="A3365">
        <f>HYPERLINK("https://mathstats.uncg.edu/sites/pauli/congruence/csg13.html#group50B13", "50B¹³")</f>
        <v/>
      </c>
      <c r="B3365" t="n">
        <v>13</v>
      </c>
      <c r="C3365" t="inlineStr"/>
      <c r="D3365" t="inlineStr">
        <is>
          <t>180</t>
        </is>
      </c>
      <c r="E3365" t="inlineStr">
        <is>
          <t>1</t>
        </is>
      </c>
      <c r="F3365" t="inlineStr">
        <is>
          <t>30</t>
        </is>
      </c>
      <c r="G3365" t="inlineStr">
        <is>
          <t>0</t>
        </is>
      </c>
      <c r="H3365" t="inlineStr">
        <is>
          <t>0</t>
        </is>
      </c>
      <c r="I3365" t="inlineStr">
        <is>
          <t>10³, 50³</t>
        </is>
      </c>
      <c r="J3365" t="n">
        <v>6</v>
      </c>
      <c r="K3365" t="inlineStr">
        <is>
          <t>2², 4⁴, 20²</t>
        </is>
      </c>
      <c r="L3365" t="inlineStr">
        <is>
          <t>10G¹, 50B⁵, 50B⁶</t>
        </is>
      </c>
      <c r="M3365" t="inlineStr"/>
      <c r="N3365" t="inlineStr">
        <is>
          <t>2A⁰, 50B⁵, 25B², 5B⁰, 10C⁰, 10A¹, 2B⁰, 50B⁶, 1A⁰, 2C⁰, 10G¹</t>
        </is>
      </c>
      <c r="O3365" t="inlineStr"/>
    </row>
    <row r="3366">
      <c r="A3366">
        <f>HYPERLINK("https://mathstats.uncg.edu/sites/pauli/congruence/csg13.html#group50C13", "50C¹³")</f>
        <v/>
      </c>
      <c r="B3366" t="n">
        <v>13</v>
      </c>
      <c r="C3366" t="inlineStr"/>
      <c r="D3366" t="inlineStr">
        <is>
          <t>180</t>
        </is>
      </c>
      <c r="E3366" t="inlineStr">
        <is>
          <t>1</t>
        </is>
      </c>
      <c r="F3366" t="inlineStr">
        <is>
          <t>30</t>
        </is>
      </c>
      <c r="G3366" t="inlineStr">
        <is>
          <t>0</t>
        </is>
      </c>
      <c r="H3366" t="inlineStr">
        <is>
          <t>0</t>
        </is>
      </c>
      <c r="I3366" t="inlineStr">
        <is>
          <t>10³, 50³</t>
        </is>
      </c>
      <c r="J3366" t="n">
        <v>6</v>
      </c>
      <c r="K3366" t="inlineStr">
        <is>
          <t>2², 4⁴, 20²</t>
        </is>
      </c>
      <c r="L3366" t="inlineStr">
        <is>
          <t>10G¹, 50C⁵, 50C⁶</t>
        </is>
      </c>
      <c r="M3366" t="inlineStr"/>
      <c r="N3366" t="inlineStr">
        <is>
          <t>2A⁰, 50C⁶, 2C⁰, 5B⁰, 10C⁰, 50C⁵, 10A¹, 2B⁰, 1A⁰, 25C², 10G¹</t>
        </is>
      </c>
      <c r="O3366" t="inlineStr"/>
    </row>
    <row r="3367">
      <c r="A3367">
        <f>HYPERLINK("https://mathstats.uncg.edu/sites/pauli/congruence/csg13.html#group50D13", "50D¹³")</f>
        <v/>
      </c>
      <c r="B3367" t="n">
        <v>13</v>
      </c>
      <c r="C3367" t="inlineStr"/>
      <c r="D3367" t="inlineStr">
        <is>
          <t>180</t>
        </is>
      </c>
      <c r="E3367" t="inlineStr">
        <is>
          <t>1</t>
        </is>
      </c>
      <c r="F3367" t="inlineStr">
        <is>
          <t>30</t>
        </is>
      </c>
      <c r="G3367" t="inlineStr">
        <is>
          <t>0</t>
        </is>
      </c>
      <c r="H3367" t="inlineStr">
        <is>
          <t>0</t>
        </is>
      </c>
      <c r="I3367" t="inlineStr">
        <is>
          <t>10³, 50³</t>
        </is>
      </c>
      <c r="J3367" t="n">
        <v>6</v>
      </c>
      <c r="K3367" t="inlineStr">
        <is>
          <t>2², 4⁴, 20²</t>
        </is>
      </c>
      <c r="L3367" t="inlineStr">
        <is>
          <t>10G¹, 50D⁵, 50D⁶</t>
        </is>
      </c>
      <c r="M3367" t="inlineStr"/>
      <c r="N3367" t="inlineStr">
        <is>
          <t>2A⁰, 25D², 50D⁶, 5B⁰, 10C⁰, 50D⁵, 10A¹, 2B⁰, 1A⁰, 2C⁰, 10G¹</t>
        </is>
      </c>
      <c r="O3367" t="inlineStr"/>
    </row>
    <row r="3368">
      <c r="A3368">
        <f>HYPERLINK("https://mathstats.uncg.edu/sites/pauli/congruence/csg13.html#group50E13", "50E¹³")</f>
        <v/>
      </c>
      <c r="B3368" t="n">
        <v>13</v>
      </c>
      <c r="C3368" t="inlineStr"/>
      <c r="D3368" t="inlineStr">
        <is>
          <t>360</t>
        </is>
      </c>
      <c r="E3368" t="inlineStr">
        <is>
          <t>1</t>
        </is>
      </c>
      <c r="F3368" t="inlineStr">
        <is>
          <t>6</t>
        </is>
      </c>
      <c r="G3368" t="inlineStr">
        <is>
          <t>0</t>
        </is>
      </c>
      <c r="H3368" t="inlineStr">
        <is>
          <t>0</t>
        </is>
      </c>
      <c r="I3368" t="inlineStr">
        <is>
          <t>2³⁰, 50⁶</t>
        </is>
      </c>
      <c r="J3368" t="n">
        <v>36</v>
      </c>
      <c r="K3368" t="inlineStr">
        <is>
          <t>1², 4¹</t>
        </is>
      </c>
      <c r="L3368" t="inlineStr">
        <is>
          <t>10K¹, 50F⁴, 50F⁵, 50E⁶, 50C⁷</t>
        </is>
      </c>
      <c r="M3368" t="inlineStr"/>
      <c r="N3368" t="inlineStr">
        <is>
          <t>2A⁰, 10G⁰, 50F⁴, 2C⁰, 50C⁷, 5B⁰, 5D⁰, 50A³, 2B⁰, 10A¹, 50B², 1A⁰, 10D¹, 10F⁰, 10B⁰, 50E⁶, 50A², 25A⁰, 10C⁰, 10K¹, 25B⁰, 10G¹, 50F⁵</t>
        </is>
      </c>
      <c r="O3368" t="inlineStr"/>
    </row>
    <row r="3369">
      <c r="A3369">
        <f>HYPERLINK("https://mathstats.uncg.edu/sites/pauli/congruence/csg13.html#group51A13", "51A¹³")</f>
        <v/>
      </c>
      <c r="B3369" t="n">
        <v>13</v>
      </c>
      <c r="C3369" t="inlineStr"/>
      <c r="D3369" t="inlineStr">
        <is>
          <t>216</t>
        </is>
      </c>
      <c r="E3369" t="inlineStr">
        <is>
          <t>1</t>
        </is>
      </c>
      <c r="F3369" t="inlineStr">
        <is>
          <t>54</t>
        </is>
      </c>
      <c r="G3369" t="inlineStr">
        <is>
          <t>8</t>
        </is>
      </c>
      <c r="H3369" t="inlineStr">
        <is>
          <t>0</t>
        </is>
      </c>
      <c r="I3369" t="inlineStr">
        <is>
          <t>3⁴, 51⁴</t>
        </is>
      </c>
      <c r="J3369" t="n">
        <v>8</v>
      </c>
      <c r="K3369" t="inlineStr">
        <is>
          <t>1², 2², 16¹, 32¹</t>
        </is>
      </c>
      <c r="L3369" t="inlineStr">
        <is>
          <t>51B⁵</t>
        </is>
      </c>
      <c r="M3369" t="inlineStr"/>
      <c r="N3369" t="inlineStr">
        <is>
          <t>17A¹, 51B⁵, 51A³, 3A⁰, 1A⁰, 17B¹</t>
        </is>
      </c>
      <c r="O3369" t="inlineStr"/>
    </row>
    <row r="3370">
      <c r="A3370">
        <f>HYPERLINK("https://mathstats.uncg.edu/sites/pauli/congruence/csg13.html#group51B13", "51B¹³")</f>
        <v/>
      </c>
      <c r="B3370" t="n">
        <v>13</v>
      </c>
      <c r="C3370" t="inlineStr"/>
      <c r="D3370" t="inlineStr">
        <is>
          <t>216</t>
        </is>
      </c>
      <c r="E3370" t="inlineStr">
        <is>
          <t>1</t>
        </is>
      </c>
      <c r="F3370" t="inlineStr">
        <is>
          <t>54</t>
        </is>
      </c>
      <c r="G3370" t="inlineStr">
        <is>
          <t>8</t>
        </is>
      </c>
      <c r="H3370" t="inlineStr">
        <is>
          <t>0</t>
        </is>
      </c>
      <c r="I3370" t="inlineStr">
        <is>
          <t>3⁴, 51⁴</t>
        </is>
      </c>
      <c r="J3370" t="n">
        <v>8</v>
      </c>
      <c r="K3370" t="inlineStr">
        <is>
          <t>1², 2², 16¹, 32¹</t>
        </is>
      </c>
      <c r="L3370" t="inlineStr">
        <is>
          <t>51B⁵, 51A⁷, 51B⁷</t>
        </is>
      </c>
      <c r="M3370" t="inlineStr"/>
      <c r="N3370" t="inlineStr">
        <is>
          <t>51A³, 51A⁷, 17B¹, 51B⁷, 3C⁰, 17A¹, 51B⁵, 3A⁰, 1A⁰</t>
        </is>
      </c>
      <c r="O3370" t="inlineStr"/>
    </row>
    <row r="3371">
      <c r="A3371">
        <f>HYPERLINK("https://mathstats.uncg.edu/sites/pauli/congruence/csg13.html#group52A13", "52A¹³")</f>
        <v/>
      </c>
      <c r="B3371" t="n">
        <v>13</v>
      </c>
      <c r="C3371" t="inlineStr"/>
      <c r="D3371" t="inlineStr">
        <is>
          <t>224</t>
        </is>
      </c>
      <c r="E3371" t="inlineStr">
        <is>
          <t>1</t>
        </is>
      </c>
      <c r="F3371" t="inlineStr">
        <is>
          <t>56</t>
        </is>
      </c>
      <c r="G3371" t="inlineStr">
        <is>
          <t>0</t>
        </is>
      </c>
      <c r="H3371" t="inlineStr">
        <is>
          <t>8</t>
        </is>
      </c>
      <c r="I3371" t="inlineStr">
        <is>
          <t>4⁴, 52⁴</t>
        </is>
      </c>
      <c r="J3371" t="n">
        <v>8</v>
      </c>
      <c r="K3371" t="inlineStr">
        <is>
          <t>2⁴, 24²</t>
        </is>
      </c>
      <c r="L3371" t="inlineStr">
        <is>
          <t>26B¹, 52C⁵, 52A⁷, 52B⁷</t>
        </is>
      </c>
      <c r="M3371" t="inlineStr"/>
      <c r="N3371" t="inlineStr">
        <is>
          <t>52A⁷, 2A⁰, 26B¹, 26A¹, 52A³, 4A⁰, 4D⁰, 13A⁰, 52B⁷, 13B⁰, 26A⁰, 1A⁰, 52C⁵</t>
        </is>
      </c>
      <c r="O3371" t="inlineStr"/>
    </row>
    <row r="3372">
      <c r="A3372">
        <f>HYPERLINK("https://mathstats.uncg.edu/sites/pauli/congruence/csg13.html#group52B13", "52B¹³")</f>
        <v/>
      </c>
      <c r="B3372" t="n">
        <v>13</v>
      </c>
      <c r="C3372" t="inlineStr"/>
      <c r="D3372" t="inlineStr">
        <is>
          <t>252</t>
        </is>
      </c>
      <c r="E3372" t="inlineStr">
        <is>
          <t>1</t>
        </is>
      </c>
      <c r="F3372" t="inlineStr">
        <is>
          <t>42</t>
        </is>
      </c>
      <c r="G3372" t="inlineStr">
        <is>
          <t>0</t>
        </is>
      </c>
      <c r="H3372" t="inlineStr">
        <is>
          <t>0</t>
        </is>
      </c>
      <c r="I3372" t="inlineStr">
        <is>
          <t>1⁶, 4³, 13⁶, 52³</t>
        </is>
      </c>
      <c r="J3372" t="n">
        <v>18</v>
      </c>
      <c r="K3372" t="inlineStr">
        <is>
          <t>1⁶, 12³</t>
        </is>
      </c>
      <c r="L3372" t="inlineStr">
        <is>
          <t>26C⁴, 52A⁵</t>
        </is>
      </c>
      <c r="M3372" t="inlineStr"/>
      <c r="N3372" t="inlineStr">
        <is>
          <t>52A⁵, 13A⁰, 26C⁴, 2B⁰, 13C⁰, 4B⁰, 1A⁰, 26A²</t>
        </is>
      </c>
      <c r="O3372" t="inlineStr"/>
    </row>
    <row r="3373">
      <c r="A3373">
        <f>HYPERLINK("https://mathstats.uncg.edu/sites/pauli/congruence/csg13.html#group52C13", "52C¹³")</f>
        <v/>
      </c>
      <c r="B3373" t="n">
        <v>13</v>
      </c>
      <c r="C3373" t="inlineStr"/>
      <c r="D3373" t="inlineStr">
        <is>
          <t>252</t>
        </is>
      </c>
      <c r="E3373" t="inlineStr">
        <is>
          <t>1</t>
        </is>
      </c>
      <c r="F3373" t="inlineStr">
        <is>
          <t>42</t>
        </is>
      </c>
      <c r="G3373" t="inlineStr">
        <is>
          <t>12</t>
        </is>
      </c>
      <c r="H3373" t="inlineStr">
        <is>
          <t>0</t>
        </is>
      </c>
      <c r="I3373" t="inlineStr">
        <is>
          <t>2³, 4³, 26³, 52³</t>
        </is>
      </c>
      <c r="J3373" t="n">
        <v>12</v>
      </c>
      <c r="K3373" t="inlineStr">
        <is>
          <t>1⁶, 12³</t>
        </is>
      </c>
      <c r="L3373" t="inlineStr">
        <is>
          <t>26C⁴, 52B⁵</t>
        </is>
      </c>
      <c r="M3373" t="inlineStr"/>
      <c r="N3373" t="inlineStr">
        <is>
          <t>4C⁰, 13A⁰, 26C⁴, 52B⁵, 13C⁰, 2B⁰, 1A⁰, 26A²</t>
        </is>
      </c>
      <c r="O3373" t="inlineStr"/>
    </row>
    <row r="3374">
      <c r="A3374">
        <f>HYPERLINK("https://mathstats.uncg.edu/sites/pauli/congruence/csg13.html#group54A13", "54A¹³")</f>
        <v/>
      </c>
      <c r="B3374" t="n">
        <v>13</v>
      </c>
      <c r="C3374" t="inlineStr"/>
      <c r="D3374" t="inlineStr">
        <is>
          <t>162</t>
        </is>
      </c>
      <c r="E3374" t="inlineStr">
        <is>
          <t>2</t>
        </is>
      </c>
      <c r="F3374" t="inlineStr">
        <is>
          <t>81</t>
        </is>
      </c>
      <c r="G3374" t="inlineStr">
        <is>
          <t>0</t>
        </is>
      </c>
      <c r="H3374" t="inlineStr">
        <is>
          <t>0</t>
        </is>
      </c>
      <c r="I3374" t="inlineStr">
        <is>
          <t>54³</t>
        </is>
      </c>
      <c r="J3374" t="n">
        <v>3</v>
      </c>
      <c r="K3374" t="inlineStr">
        <is>
          <t>6⁹, 18⁶</t>
        </is>
      </c>
      <c r="L3374" t="inlineStr">
        <is>
          <t>27B³, 18B⁴</t>
        </is>
      </c>
      <c r="M3374" t="inlineStr"/>
      <c r="N3374" t="inlineStr">
        <is>
          <t>2A⁰, 18B⁴, 9G⁰, 9A⁰, 27B³, 6A¹, 18A², 3A⁰, 1A⁰</t>
        </is>
      </c>
      <c r="O3374" t="inlineStr"/>
    </row>
    <row r="3375">
      <c r="A3375">
        <f>HYPERLINK("https://mathstats.uncg.edu/sites/pauli/congruence/csg13.html#group54B13", "54B¹³")</f>
        <v/>
      </c>
      <c r="B3375" t="n">
        <v>13</v>
      </c>
      <c r="C3375" t="inlineStr"/>
      <c r="D3375" t="inlineStr">
        <is>
          <t>216</t>
        </is>
      </c>
      <c r="E3375" t="inlineStr">
        <is>
          <t>1</t>
        </is>
      </c>
      <c r="F3375" t="inlineStr">
        <is>
          <t>12</t>
        </is>
      </c>
      <c r="G3375" t="inlineStr">
        <is>
          <t>0</t>
        </is>
      </c>
      <c r="H3375" t="inlineStr">
        <is>
          <t>0</t>
        </is>
      </c>
      <c r="I3375" t="inlineStr">
        <is>
          <t>6⁹, 54³</t>
        </is>
      </c>
      <c r="J3375" t="n">
        <v>12</v>
      </c>
      <c r="K3375" t="inlineStr">
        <is>
          <t>1², 2², 6¹</t>
        </is>
      </c>
      <c r="L3375" t="inlineStr">
        <is>
          <t>18J¹, 54A⁵, 54B⁵, 54B⁶</t>
        </is>
      </c>
      <c r="M3375" t="inlineStr"/>
      <c r="N3375" t="inlineStr">
        <is>
          <t>3B⁰, 2A⁰, 27A², 54B⁶, 6I⁰, 6C⁰, 9B⁰, 2B⁰, 18J¹, 1A⁰, 54A⁵, 18C⁰, 18E⁰, 18C¹, 6F⁰, 2C⁰, 54B⁵</t>
        </is>
      </c>
      <c r="O3375" t="inlineStr"/>
    </row>
    <row r="3376">
      <c r="A3376">
        <f>HYPERLINK("https://mathstats.uncg.edu/sites/pauli/congruence/csg13.html#group54C13", "54C¹³")</f>
        <v/>
      </c>
      <c r="B3376" t="n">
        <v>13</v>
      </c>
      <c r="C3376" t="inlineStr"/>
      <c r="D3376" t="inlineStr">
        <is>
          <t>216</t>
        </is>
      </c>
      <c r="E3376" t="inlineStr">
        <is>
          <t>1</t>
        </is>
      </c>
      <c r="F3376" t="inlineStr">
        <is>
          <t>12</t>
        </is>
      </c>
      <c r="G3376" t="inlineStr">
        <is>
          <t>0</t>
        </is>
      </c>
      <c r="H3376" t="inlineStr">
        <is>
          <t>0</t>
        </is>
      </c>
      <c r="I3376" t="inlineStr">
        <is>
          <t>6⁹, 54³</t>
        </is>
      </c>
      <c r="J3376" t="n">
        <v>12</v>
      </c>
      <c r="K3376" t="inlineStr">
        <is>
          <t>1², 2², 6¹</t>
        </is>
      </c>
      <c r="L3376" t="inlineStr">
        <is>
          <t>18G³, 54A³, 27A⁴, 54A⁵</t>
        </is>
      </c>
      <c r="M3376" t="inlineStr"/>
      <c r="N3376" t="inlineStr">
        <is>
          <t>3B⁰, 2A⁰, 27A², 18G³, 18C¹, 6C⁰, 9I⁰, 9B⁰, 54A³, 27A⁰, 1A⁰, 54A⁵, 27A⁴</t>
        </is>
      </c>
      <c r="O3376" t="inlineStr"/>
    </row>
    <row r="3377">
      <c r="A3377">
        <f>HYPERLINK("https://mathstats.uncg.edu/sites/pauli/congruence/csg13.html#group54D13", "54D¹³")</f>
        <v/>
      </c>
      <c r="B3377" t="n">
        <v>13</v>
      </c>
      <c r="C3377" t="inlineStr"/>
      <c r="D3377" t="inlineStr">
        <is>
          <t>216</t>
        </is>
      </c>
      <c r="E3377" t="inlineStr">
        <is>
          <t>1</t>
        </is>
      </c>
      <c r="F3377" t="inlineStr">
        <is>
          <t>12</t>
        </is>
      </c>
      <c r="G3377" t="inlineStr">
        <is>
          <t>0</t>
        </is>
      </c>
      <c r="H3377" t="inlineStr">
        <is>
          <t>0</t>
        </is>
      </c>
      <c r="I3377" t="inlineStr">
        <is>
          <t>6⁹, 54³</t>
        </is>
      </c>
      <c r="J3377" t="n">
        <v>12</v>
      </c>
      <c r="K3377" t="inlineStr">
        <is>
          <t>1², 2², 6¹</t>
        </is>
      </c>
      <c r="L3377" t="inlineStr">
        <is>
          <t>18G³, 27B⁴, 54A⁴, 54A⁵</t>
        </is>
      </c>
      <c r="M3377" t="inlineStr"/>
      <c r="N3377" t="inlineStr">
        <is>
          <t>27B⁴, 3B⁰, 2A⁰, 27A¹, 27A², 18G³, 18C¹, 6C⁰, 9I⁰, 9B⁰, 54A⁴, 1A⁰, 54A⁵</t>
        </is>
      </c>
      <c r="O3377" t="inlineStr"/>
    </row>
    <row r="3378">
      <c r="A3378">
        <f>HYPERLINK("https://mathstats.uncg.edu/sites/pauli/congruence/csg13.html#group54E13", "54E¹³")</f>
        <v/>
      </c>
      <c r="B3378" t="n">
        <v>13</v>
      </c>
      <c r="C3378" t="inlineStr"/>
      <c r="D3378" t="inlineStr">
        <is>
          <t>216</t>
        </is>
      </c>
      <c r="E3378" t="inlineStr">
        <is>
          <t>1</t>
        </is>
      </c>
      <c r="F3378" t="inlineStr">
        <is>
          <t>12</t>
        </is>
      </c>
      <c r="G3378" t="inlineStr">
        <is>
          <t>0</t>
        </is>
      </c>
      <c r="H3378" t="inlineStr">
        <is>
          <t>0</t>
        </is>
      </c>
      <c r="I3378" t="inlineStr">
        <is>
          <t>6⁹, 54³</t>
        </is>
      </c>
      <c r="J3378" t="n">
        <v>12</v>
      </c>
      <c r="K3378" t="inlineStr">
        <is>
          <t>1², 2², 6¹</t>
        </is>
      </c>
      <c r="L3378" t="inlineStr">
        <is>
          <t>54A³, 18E⁴, 27C⁴, 54A⁴, 54A⁵</t>
        </is>
      </c>
      <c r="M3378" t="inlineStr"/>
      <c r="N3378" t="inlineStr">
        <is>
          <t>3B⁰, 2A⁰, 6B⁰, 27A², 27C⁴, 18B⁰, 6C⁰, 9B⁰, 9C⁰, 1A⁰, 54A⁵, 18B², 27A¹, 6D¹, 6E⁰, 6B¹, 18C¹, 9A¹, 27A⁰, 3C⁰, 54A³, 9C¹, 6A¹, 54A⁴, 18E⁴, 3A⁰, 3D⁰</t>
        </is>
      </c>
      <c r="O3378" t="inlineStr"/>
    </row>
    <row r="3379">
      <c r="A3379">
        <f>HYPERLINK("https://mathstats.uncg.edu/sites/pauli/congruence/csg13.html#group54F13", "54F¹³")</f>
        <v/>
      </c>
      <c r="B3379" t="n">
        <v>13</v>
      </c>
      <c r="C3379" t="inlineStr"/>
      <c r="D3379" t="inlineStr">
        <is>
          <t>216</t>
        </is>
      </c>
      <c r="E3379" t="inlineStr">
        <is>
          <t>1</t>
        </is>
      </c>
      <c r="F3379" t="inlineStr">
        <is>
          <t>24</t>
        </is>
      </c>
      <c r="G3379" t="inlineStr">
        <is>
          <t>0</t>
        </is>
      </c>
      <c r="H3379" t="inlineStr">
        <is>
          <t>0</t>
        </is>
      </c>
      <c r="I3379" t="inlineStr">
        <is>
          <t>6⁹, 54³</t>
        </is>
      </c>
      <c r="J3379" t="n">
        <v>12</v>
      </c>
      <c r="K3379" t="inlineStr">
        <is>
          <t>2⁶, 6²</t>
        </is>
      </c>
      <c r="L3379" t="inlineStr">
        <is>
          <t>18G³, 54B³, 54B⁵</t>
        </is>
      </c>
      <c r="M3379" t="inlineStr"/>
      <c r="N3379" t="inlineStr">
        <is>
          <t>3B⁰, 2A⁰, 18G³, 54B³, 18C¹, 6C⁰, 9I⁰, 9B⁰, 1A⁰, 54B⁵</t>
        </is>
      </c>
      <c r="O3379" t="inlineStr"/>
    </row>
    <row r="3380">
      <c r="A3380">
        <f>HYPERLINK("https://mathstats.uncg.edu/sites/pauli/congruence/csg13.html#group54G13", "54G¹³")</f>
        <v/>
      </c>
      <c r="B3380" t="n">
        <v>13</v>
      </c>
      <c r="C3380" t="inlineStr"/>
      <c r="D3380" t="inlineStr">
        <is>
          <t>216</t>
        </is>
      </c>
      <c r="E3380" t="inlineStr">
        <is>
          <t>1</t>
        </is>
      </c>
      <c r="F3380" t="inlineStr">
        <is>
          <t>24</t>
        </is>
      </c>
      <c r="G3380" t="inlineStr">
        <is>
          <t>0</t>
        </is>
      </c>
      <c r="H3380" t="inlineStr">
        <is>
          <t>0</t>
        </is>
      </c>
      <c r="I3380" t="inlineStr">
        <is>
          <t>6⁹, 54³</t>
        </is>
      </c>
      <c r="J3380" t="n">
        <v>12</v>
      </c>
      <c r="K3380" t="inlineStr">
        <is>
          <t>2⁶, 6²</t>
        </is>
      </c>
      <c r="L3380" t="inlineStr">
        <is>
          <t>18G³, 54C⁴, 54B⁵</t>
        </is>
      </c>
      <c r="M3380" t="inlineStr"/>
      <c r="N3380" t="inlineStr">
        <is>
          <t>3B⁰, 2A⁰, 18G³, 18C¹, 6C⁰, 9I⁰, 9B⁰, 54C⁴, 1A⁰, 54B⁵</t>
        </is>
      </c>
      <c r="O3380" t="inlineStr"/>
    </row>
    <row r="3381">
      <c r="A3381">
        <f>HYPERLINK("https://mathstats.uncg.edu/sites/pauli/congruence/csg13.html#group54H13", "54H¹³")</f>
        <v/>
      </c>
      <c r="B3381" t="n">
        <v>13</v>
      </c>
      <c r="C3381" t="inlineStr"/>
      <c r="D3381" t="inlineStr">
        <is>
          <t>216</t>
        </is>
      </c>
      <c r="E3381" t="inlineStr">
        <is>
          <t>1</t>
        </is>
      </c>
      <c r="F3381" t="inlineStr">
        <is>
          <t>24</t>
        </is>
      </c>
      <c r="G3381" t="inlineStr">
        <is>
          <t>0</t>
        </is>
      </c>
      <c r="H3381" t="inlineStr">
        <is>
          <t>0</t>
        </is>
      </c>
      <c r="I3381" t="inlineStr">
        <is>
          <t>6⁹, 54³</t>
        </is>
      </c>
      <c r="J3381" t="n">
        <v>12</v>
      </c>
      <c r="K3381" t="inlineStr">
        <is>
          <t>2⁶, 6²</t>
        </is>
      </c>
      <c r="L3381" t="inlineStr">
        <is>
          <t>54A³, 18G⁴, 54C⁴, 54B⁵</t>
        </is>
      </c>
      <c r="M3381" t="inlineStr"/>
      <c r="N3381" t="inlineStr">
        <is>
          <t>3B⁰, 2A⁰, 6A⁰, 18D¹, 18C¹, 18C², 6C⁰, 6J⁰, 27A⁰, 9B⁰, 54A³, 54C⁴, 1A⁰, 54B⁵, 18G⁴</t>
        </is>
      </c>
      <c r="O3381" t="inlineStr"/>
    </row>
    <row r="3382">
      <c r="A3382">
        <f>HYPERLINK("https://mathstats.uncg.edu/sites/pauli/congruence/csg13.html#group54I13", "54I¹³")</f>
        <v/>
      </c>
      <c r="B3382" t="n">
        <v>13</v>
      </c>
      <c r="C3382" t="inlineStr"/>
      <c r="D3382" t="inlineStr">
        <is>
          <t>216</t>
        </is>
      </c>
      <c r="E3382" t="inlineStr">
        <is>
          <t>1</t>
        </is>
      </c>
      <c r="F3382" t="inlineStr">
        <is>
          <t>24</t>
        </is>
      </c>
      <c r="G3382" t="inlineStr">
        <is>
          <t>0</t>
        </is>
      </c>
      <c r="H3382" t="inlineStr">
        <is>
          <t>0</t>
        </is>
      </c>
      <c r="I3382" t="inlineStr">
        <is>
          <t>6⁹, 54³</t>
        </is>
      </c>
      <c r="J3382" t="n">
        <v>12</v>
      </c>
      <c r="K3382" t="inlineStr">
        <is>
          <t>2⁶, 6²</t>
        </is>
      </c>
      <c r="L3382" t="inlineStr">
        <is>
          <t>54B³, 18E⁴, 54C⁴, 54B⁵</t>
        </is>
      </c>
      <c r="M3382" t="inlineStr"/>
      <c r="N3382" t="inlineStr">
        <is>
          <t>3B⁰, 2A⁰, 6B⁰, 18B⁰, 6C⁰, 9B⁰, 9C⁰, 1A⁰, 18B², 6D¹, 6E⁰, 6B¹, 54B³, 18C¹, 9A¹, 3C⁰, 9C¹, 54C⁴, 6A¹, 18E⁴, 3A⁰, 3D⁰, 54B⁵</t>
        </is>
      </c>
      <c r="O3382" t="inlineStr"/>
    </row>
    <row r="3383">
      <c r="A3383">
        <f>HYPERLINK("https://mathstats.uncg.edu/sites/pauli/congruence/csg13.html#group54J13", "54J¹³")</f>
        <v/>
      </c>
      <c r="B3383" t="n">
        <v>13</v>
      </c>
      <c r="C3383" t="inlineStr"/>
      <c r="D3383" t="inlineStr">
        <is>
          <t>216</t>
        </is>
      </c>
      <c r="E3383" t="inlineStr">
        <is>
          <t>1</t>
        </is>
      </c>
      <c r="F3383" t="inlineStr">
        <is>
          <t>24</t>
        </is>
      </c>
      <c r="G3383" t="inlineStr">
        <is>
          <t>0</t>
        </is>
      </c>
      <c r="H3383" t="inlineStr">
        <is>
          <t>0</t>
        </is>
      </c>
      <c r="I3383" t="inlineStr">
        <is>
          <t>6⁹, 54³</t>
        </is>
      </c>
      <c r="J3383" t="n">
        <v>12</v>
      </c>
      <c r="K3383" t="inlineStr">
        <is>
          <t>2⁶, 6²</t>
        </is>
      </c>
      <c r="L3383" t="inlineStr">
        <is>
          <t>54B³, 18G⁴, 54A⁴, 54B⁵</t>
        </is>
      </c>
      <c r="M3383" t="inlineStr"/>
      <c r="N3383" t="inlineStr">
        <is>
          <t>3B⁰, 2A⁰, 27A¹, 6A⁰, 18D¹, 54B³, 18C¹, 6C⁰, 18C², 6J⁰, 9B⁰, 54A⁴, 1A⁰, 54B⁵, 18G⁴</t>
        </is>
      </c>
      <c r="O3383" t="inlineStr"/>
    </row>
    <row r="3384">
      <c r="A3384">
        <f>HYPERLINK("https://mathstats.uncg.edu/sites/pauli/congruence/csg13.html#group54K13", "54K¹³")</f>
        <v/>
      </c>
      <c r="B3384" t="n">
        <v>13</v>
      </c>
      <c r="C3384" t="inlineStr"/>
      <c r="D3384" t="inlineStr">
        <is>
          <t>216</t>
        </is>
      </c>
      <c r="E3384" t="inlineStr">
        <is>
          <t>1</t>
        </is>
      </c>
      <c r="F3384" t="inlineStr">
        <is>
          <t>24</t>
        </is>
      </c>
      <c r="G3384" t="inlineStr">
        <is>
          <t>0</t>
        </is>
      </c>
      <c r="H3384" t="inlineStr">
        <is>
          <t>0</t>
        </is>
      </c>
      <c r="I3384" t="inlineStr">
        <is>
          <t>6⁹, 54³</t>
        </is>
      </c>
      <c r="J3384" t="n">
        <v>12</v>
      </c>
      <c r="K3384" t="inlineStr">
        <is>
          <t>2⁶, 6²</t>
        </is>
      </c>
      <c r="L3384" t="inlineStr">
        <is>
          <t>54B³, 18G⁴, 54C⁴, 54A⁵</t>
        </is>
      </c>
      <c r="M3384" t="inlineStr"/>
      <c r="N3384" t="inlineStr">
        <is>
          <t>3B⁰, 2A⁰, 27A², 6A⁰, 18D¹, 54B³, 18C¹, 6C⁰, 18C², 6J⁰, 9B⁰, 54C⁴, 1A⁰, 54A⁵, 18G⁴</t>
        </is>
      </c>
      <c r="O3384" t="inlineStr"/>
    </row>
    <row r="3385">
      <c r="A3385">
        <f>HYPERLINK("https://mathstats.uncg.edu/sites/pauli/congruence/csg13.html#group54L13", "54L¹³")</f>
        <v/>
      </c>
      <c r="B3385" t="n">
        <v>13</v>
      </c>
      <c r="C3385" t="inlineStr"/>
      <c r="D3385" t="inlineStr">
        <is>
          <t>216</t>
        </is>
      </c>
      <c r="E3385" t="inlineStr">
        <is>
          <t>1</t>
        </is>
      </c>
      <c r="F3385" t="inlineStr">
        <is>
          <t>24</t>
        </is>
      </c>
      <c r="G3385" t="inlineStr">
        <is>
          <t>0</t>
        </is>
      </c>
      <c r="H3385" t="inlineStr">
        <is>
          <t>0</t>
        </is>
      </c>
      <c r="I3385" t="inlineStr">
        <is>
          <t>6⁹, 54³</t>
        </is>
      </c>
      <c r="J3385" t="n">
        <v>12</v>
      </c>
      <c r="K3385" t="inlineStr">
        <is>
          <t>1⁴, 2⁴, 6²</t>
        </is>
      </c>
      <c r="L3385" t="inlineStr">
        <is>
          <t>18I³, 54A³, 54B⁵</t>
        </is>
      </c>
      <c r="M3385" t="inlineStr"/>
      <c r="N3385" t="inlineStr">
        <is>
          <t>3B⁰, 2A⁰, 18C¹, 6C⁰, 9B⁰, 27A⁰, 54A³, 18I³, 1A⁰, 54B⁵</t>
        </is>
      </c>
      <c r="O3385" t="inlineStr"/>
    </row>
    <row r="3386">
      <c r="A3386">
        <f>HYPERLINK("https://mathstats.uncg.edu/sites/pauli/congruence/csg13.html#group54M13", "54M¹³")</f>
        <v/>
      </c>
      <c r="B3386" t="n">
        <v>13</v>
      </c>
      <c r="C3386" t="inlineStr"/>
      <c r="D3386" t="inlineStr">
        <is>
          <t>216</t>
        </is>
      </c>
      <c r="E3386" t="inlineStr">
        <is>
          <t>1</t>
        </is>
      </c>
      <c r="F3386" t="inlineStr">
        <is>
          <t>24</t>
        </is>
      </c>
      <c r="G3386" t="inlineStr">
        <is>
          <t>0</t>
        </is>
      </c>
      <c r="H3386" t="inlineStr">
        <is>
          <t>0</t>
        </is>
      </c>
      <c r="I3386" t="inlineStr">
        <is>
          <t>6⁹, 54³</t>
        </is>
      </c>
      <c r="J3386" t="n">
        <v>12</v>
      </c>
      <c r="K3386" t="inlineStr">
        <is>
          <t>1⁴, 2⁴, 6²</t>
        </is>
      </c>
      <c r="L3386" t="inlineStr">
        <is>
          <t>18I³, 54C⁴, 54A⁵</t>
        </is>
      </c>
      <c r="M3386" t="inlineStr"/>
      <c r="N3386" t="inlineStr">
        <is>
          <t>3B⁰, 2A⁰, 27A², 18C¹, 6C⁰, 9B⁰, 54C⁴, 18I³, 1A⁰, 54A⁵</t>
        </is>
      </c>
      <c r="O3386" t="inlineStr"/>
    </row>
    <row r="3387">
      <c r="A3387">
        <f>HYPERLINK("https://mathstats.uncg.edu/sites/pauli/congruence/csg13.html#group54N13", "54N¹³")</f>
        <v/>
      </c>
      <c r="B3387" t="n">
        <v>13</v>
      </c>
      <c r="C3387" t="inlineStr"/>
      <c r="D3387" t="inlineStr">
        <is>
          <t>216</t>
        </is>
      </c>
      <c r="E3387" t="inlineStr">
        <is>
          <t>1</t>
        </is>
      </c>
      <c r="F3387" t="inlineStr">
        <is>
          <t>24</t>
        </is>
      </c>
      <c r="G3387" t="inlineStr">
        <is>
          <t>0</t>
        </is>
      </c>
      <c r="H3387" t="inlineStr">
        <is>
          <t>9</t>
        </is>
      </c>
      <c r="I3387" t="inlineStr">
        <is>
          <t>18³, 54³</t>
        </is>
      </c>
      <c r="J3387" t="n">
        <v>6</v>
      </c>
      <c r="K3387" t="inlineStr">
        <is>
          <t>2⁶, 6²</t>
        </is>
      </c>
      <c r="L3387" t="inlineStr">
        <is>
          <t>18N², 54C³, 54D⁴</t>
        </is>
      </c>
      <c r="M3387" t="inlineStr"/>
      <c r="N3387" t="inlineStr">
        <is>
          <t>3B⁰, 2A⁰, 9J⁰, 18B⁰, 18N², 6C⁰, 54D⁴, 9C⁰, 1A⁰, 54C³</t>
        </is>
      </c>
      <c r="O3387" t="inlineStr"/>
    </row>
    <row r="3388">
      <c r="A3388">
        <f>HYPERLINK("https://mathstats.uncg.edu/sites/pauli/congruence/csg13.html#group54O13", "54O¹³")</f>
        <v/>
      </c>
      <c r="B3388" t="n">
        <v>13</v>
      </c>
      <c r="C3388" t="inlineStr"/>
      <c r="D3388" t="inlineStr">
        <is>
          <t>216</t>
        </is>
      </c>
      <c r="E3388" t="inlineStr">
        <is>
          <t>1</t>
        </is>
      </c>
      <c r="F3388" t="inlineStr">
        <is>
          <t>24</t>
        </is>
      </c>
      <c r="G3388" t="inlineStr">
        <is>
          <t>0</t>
        </is>
      </c>
      <c r="H3388" t="inlineStr">
        <is>
          <t>9</t>
        </is>
      </c>
      <c r="I3388" t="inlineStr">
        <is>
          <t>18³, 54³</t>
        </is>
      </c>
      <c r="J3388" t="n">
        <v>6</v>
      </c>
      <c r="K3388" t="inlineStr">
        <is>
          <t>2⁶, 6²</t>
        </is>
      </c>
      <c r="L3388" t="inlineStr">
        <is>
          <t>18N², 54C³, 54C⁵</t>
        </is>
      </c>
      <c r="M3388" t="inlineStr"/>
      <c r="N3388" t="inlineStr">
        <is>
          <t>3B⁰, 2A⁰, 9J⁰, 18B⁰, 18N², 6C⁰, 54C⁵, 9C⁰, 1A⁰, 54C³</t>
        </is>
      </c>
      <c r="O3388" t="inlineStr"/>
    </row>
    <row r="3389">
      <c r="A3389">
        <f>HYPERLINK("https://mathstats.uncg.edu/sites/pauli/congruence/csg13.html#group54P13", "54P¹³")</f>
        <v/>
      </c>
      <c r="B3389" t="n">
        <v>13</v>
      </c>
      <c r="C3389" t="inlineStr"/>
      <c r="D3389" t="inlineStr">
        <is>
          <t>216</t>
        </is>
      </c>
      <c r="E3389" t="inlineStr">
        <is>
          <t>1</t>
        </is>
      </c>
      <c r="F3389" t="inlineStr">
        <is>
          <t>24</t>
        </is>
      </c>
      <c r="G3389" t="inlineStr">
        <is>
          <t>0</t>
        </is>
      </c>
      <c r="H3389" t="inlineStr">
        <is>
          <t>9</t>
        </is>
      </c>
      <c r="I3389" t="inlineStr">
        <is>
          <t>18³, 54³</t>
        </is>
      </c>
      <c r="J3389" t="n">
        <v>6</v>
      </c>
      <c r="K3389" t="inlineStr">
        <is>
          <t>2⁶, 6²</t>
        </is>
      </c>
      <c r="L3389" t="inlineStr">
        <is>
          <t>18K¹, 54C³, 54B⁴, 54C⁵</t>
        </is>
      </c>
      <c r="M3389" t="inlineStr"/>
      <c r="N3389" t="inlineStr">
        <is>
          <t>18C⁰, 3B⁰, 2A⁰, 6A⁰, 27B², 18K¹, 18B⁰, 6C⁰, 54B⁴, 6J⁰, 54C⁵, 9C⁰, 1A⁰, 54C³, 18D¹</t>
        </is>
      </c>
      <c r="O3389" t="inlineStr"/>
    </row>
    <row r="3390">
      <c r="A3390">
        <f>HYPERLINK("https://mathstats.uncg.edu/sites/pauli/congruence/csg13.html#group54Q13", "54Q¹³")</f>
        <v/>
      </c>
      <c r="B3390" t="n">
        <v>13</v>
      </c>
      <c r="C3390" t="inlineStr"/>
      <c r="D3390" t="inlineStr">
        <is>
          <t>216</t>
        </is>
      </c>
      <c r="E3390" t="inlineStr">
        <is>
          <t>2</t>
        </is>
      </c>
      <c r="F3390" t="inlineStr">
        <is>
          <t>24</t>
        </is>
      </c>
      <c r="G3390" t="inlineStr">
        <is>
          <t>0</t>
        </is>
      </c>
      <c r="H3390" t="inlineStr">
        <is>
          <t>0</t>
        </is>
      </c>
      <c r="I3390" t="inlineStr">
        <is>
          <t>6⁹, 54³</t>
        </is>
      </c>
      <c r="J3390" t="n">
        <v>12</v>
      </c>
      <c r="K3390" t="inlineStr">
        <is>
          <t>2¹², 6⁴</t>
        </is>
      </c>
      <c r="L3390" t="inlineStr">
        <is>
          <t>18I³, 54B³, 54A⁵, 54B⁵</t>
        </is>
      </c>
      <c r="M3390" t="inlineStr"/>
      <c r="N3390" t="inlineStr">
        <is>
          <t>3B⁰, 2A⁰, 27A², 54B³, 18C¹, 6C⁰, 9B⁰, 18I³, 1A⁰, 54A⁵, 54B⁵</t>
        </is>
      </c>
      <c r="O3390" t="inlineStr"/>
    </row>
    <row r="3391">
      <c r="A3391">
        <f>HYPERLINK("https://mathstats.uncg.edu/sites/pauli/congruence/csg13.html#group54R13", "54R¹³")</f>
        <v/>
      </c>
      <c r="B3391" t="n">
        <v>13</v>
      </c>
      <c r="C3391" t="inlineStr"/>
      <c r="D3391" t="inlineStr">
        <is>
          <t>216</t>
        </is>
      </c>
      <c r="E3391" t="inlineStr">
        <is>
          <t>2</t>
        </is>
      </c>
      <c r="F3391" t="inlineStr">
        <is>
          <t>24</t>
        </is>
      </c>
      <c r="G3391" t="inlineStr">
        <is>
          <t>0</t>
        </is>
      </c>
      <c r="H3391" t="inlineStr">
        <is>
          <t>0</t>
        </is>
      </c>
      <c r="I3391" t="inlineStr">
        <is>
          <t>6⁹, 54³</t>
        </is>
      </c>
      <c r="J3391" t="n">
        <v>12</v>
      </c>
      <c r="K3391" t="inlineStr">
        <is>
          <t>2¹², 6⁴</t>
        </is>
      </c>
      <c r="L3391" t="inlineStr">
        <is>
          <t>18I³, 54A⁴, 54C⁴, 54B⁵</t>
        </is>
      </c>
      <c r="M3391" t="inlineStr"/>
      <c r="N3391" t="inlineStr">
        <is>
          <t>3B⁰, 2A⁰, 27A¹, 18C¹, 6C⁰, 9B⁰, 54C⁴, 54A⁴, 18I³, 1A⁰, 54B⁵</t>
        </is>
      </c>
      <c r="O3391" t="inlineStr"/>
    </row>
    <row r="3392">
      <c r="A3392">
        <f>HYPERLINK("https://mathstats.uncg.edu/sites/pauli/congruence/csg13.html#group54S13", "54S¹³")</f>
        <v/>
      </c>
      <c r="B3392" t="n">
        <v>13</v>
      </c>
      <c r="C3392" t="inlineStr"/>
      <c r="D3392" t="inlineStr">
        <is>
          <t>216</t>
        </is>
      </c>
      <c r="E3392" t="inlineStr">
        <is>
          <t>2</t>
        </is>
      </c>
      <c r="F3392" t="inlineStr">
        <is>
          <t>24</t>
        </is>
      </c>
      <c r="G3392" t="inlineStr">
        <is>
          <t>0</t>
        </is>
      </c>
      <c r="H3392" t="inlineStr">
        <is>
          <t>9</t>
        </is>
      </c>
      <c r="I3392" t="inlineStr">
        <is>
          <t>18³, 54³</t>
        </is>
      </c>
      <c r="J3392" t="n">
        <v>6</v>
      </c>
      <c r="K3392" t="inlineStr">
        <is>
          <t>2¹², 6⁴</t>
        </is>
      </c>
      <c r="L3392" t="inlineStr">
        <is>
          <t>18O², 54A², 54D⁴, 54C⁵</t>
        </is>
      </c>
      <c r="M3392" t="inlineStr"/>
      <c r="N3392" t="inlineStr">
        <is>
          <t>3B⁰, 2A⁰, 18B⁰, 6C⁰, 9C⁰, 54D⁴, 27B¹, 54A², 54C⁵, 18O², 1A⁰</t>
        </is>
      </c>
      <c r="O3392" t="inlineStr"/>
    </row>
    <row r="3393">
      <c r="A3393">
        <f>HYPERLINK("https://mathstats.uncg.edu/sites/pauli/congruence/csg13.html#group54T13", "54T¹³")</f>
        <v/>
      </c>
      <c r="B3393" t="n">
        <v>13</v>
      </c>
      <c r="C3393" t="inlineStr"/>
      <c r="D3393" t="inlineStr">
        <is>
          <t>216</t>
        </is>
      </c>
      <c r="E3393" t="inlineStr">
        <is>
          <t>2</t>
        </is>
      </c>
      <c r="F3393" t="inlineStr">
        <is>
          <t>24</t>
        </is>
      </c>
      <c r="G3393" t="inlineStr">
        <is>
          <t>0</t>
        </is>
      </c>
      <c r="H3393" t="inlineStr">
        <is>
          <t>9</t>
        </is>
      </c>
      <c r="I3393" t="inlineStr">
        <is>
          <t>18³, 54³</t>
        </is>
      </c>
      <c r="J3393" t="n">
        <v>6</v>
      </c>
      <c r="K3393" t="inlineStr">
        <is>
          <t>2¹², 6⁴</t>
        </is>
      </c>
      <c r="L3393" t="inlineStr">
        <is>
          <t>18O², 54C³, 54B⁴, 54D⁴</t>
        </is>
      </c>
      <c r="M3393" t="inlineStr"/>
      <c r="N3393" t="inlineStr">
        <is>
          <t>3B⁰, 2A⁰, 27B², 18B⁰, 6C⁰, 54B⁴, 9C⁰, 54D⁴, 18O², 1A⁰, 54C³</t>
        </is>
      </c>
      <c r="O3393" t="inlineStr"/>
    </row>
    <row r="3394">
      <c r="A3394">
        <f>HYPERLINK("https://mathstats.uncg.edu/sites/pauli/congruence/csg13.html#group55A13", "55A¹³")</f>
        <v/>
      </c>
      <c r="B3394" t="n">
        <v>13</v>
      </c>
      <c r="C3394" t="inlineStr"/>
      <c r="D3394" t="inlineStr">
        <is>
          <t>180</t>
        </is>
      </c>
      <c r="E3394" t="inlineStr">
        <is>
          <t>1</t>
        </is>
      </c>
      <c r="F3394" t="inlineStr">
        <is>
          <t>60</t>
        </is>
      </c>
      <c r="G3394" t="inlineStr">
        <is>
          <t>0</t>
        </is>
      </c>
      <c r="H3394" t="inlineStr">
        <is>
          <t>0</t>
        </is>
      </c>
      <c r="I3394" t="inlineStr">
        <is>
          <t>5³, 55³</t>
        </is>
      </c>
      <c r="J3394" t="n">
        <v>6</v>
      </c>
      <c r="K3394" t="inlineStr">
        <is>
          <t>1², 4², 10¹, 40¹</t>
        </is>
      </c>
      <c r="L3394" t="inlineStr">
        <is>
          <t>5E⁰, 55A⁵</t>
        </is>
      </c>
      <c r="M3394" t="inlineStr"/>
      <c r="N3394" t="inlineStr">
        <is>
          <t>5E⁰, 5A⁰, 55A⁵, 1A⁰, 11A¹</t>
        </is>
      </c>
      <c r="O3394" t="inlineStr"/>
    </row>
    <row r="3395">
      <c r="A3395">
        <f>HYPERLINK("https://mathstats.uncg.edu/sites/pauli/congruence/csg13.html#group56A13", "56A¹³")</f>
        <v/>
      </c>
      <c r="B3395" t="n">
        <v>13</v>
      </c>
      <c r="C3395" t="inlineStr"/>
      <c r="D3395" t="inlineStr">
        <is>
          <t>168</t>
        </is>
      </c>
      <c r="E3395" t="inlineStr">
        <is>
          <t>2</t>
        </is>
      </c>
      <c r="F3395" t="inlineStr">
        <is>
          <t>21</t>
        </is>
      </c>
      <c r="G3395" t="inlineStr">
        <is>
          <t>0</t>
        </is>
      </c>
      <c r="H3395" t="inlineStr">
        <is>
          <t>0</t>
        </is>
      </c>
      <c r="I3395" t="inlineStr">
        <is>
          <t>28², 56²</t>
        </is>
      </c>
      <c r="J3395" t="n">
        <v>4</v>
      </c>
      <c r="K3395" t="inlineStr">
        <is>
          <t>2³, 6⁶</t>
        </is>
      </c>
      <c r="L3395" t="inlineStr">
        <is>
          <t>28C⁴, 56A⁶, 56A⁷</t>
        </is>
      </c>
      <c r="M3395" t="inlineStr"/>
      <c r="N3395" t="inlineStr">
        <is>
          <t>28C², 14A⁰, 8A¹, 56A⁷, 28C⁴, 14B¹, 14C², 4C⁰, 2B⁰, 1A⁰, 56A⁶, 28B², 7A⁰</t>
        </is>
      </c>
      <c r="O3395" t="inlineStr"/>
    </row>
    <row r="3396">
      <c r="A3396">
        <f>HYPERLINK("https://mathstats.uncg.edu/sites/pauli/congruence/csg13.html#group56B13", "56B¹³")</f>
        <v/>
      </c>
      <c r="B3396" t="n">
        <v>13</v>
      </c>
      <c r="C3396" t="inlineStr"/>
      <c r="D3396" t="inlineStr">
        <is>
          <t>168</t>
        </is>
      </c>
      <c r="E3396" t="inlineStr">
        <is>
          <t>2</t>
        </is>
      </c>
      <c r="F3396" t="inlineStr">
        <is>
          <t>21</t>
        </is>
      </c>
      <c r="G3396" t="inlineStr">
        <is>
          <t>0</t>
        </is>
      </c>
      <c r="H3396" t="inlineStr">
        <is>
          <t>0</t>
        </is>
      </c>
      <c r="I3396" t="inlineStr">
        <is>
          <t>28², 56²</t>
        </is>
      </c>
      <c r="J3396" t="n">
        <v>4</v>
      </c>
      <c r="K3396" t="inlineStr">
        <is>
          <t>2³, 6⁶</t>
        </is>
      </c>
      <c r="L3396" t="inlineStr">
        <is>
          <t>28B⁵, 56A⁵, 56A⁷</t>
        </is>
      </c>
      <c r="M3396" t="inlineStr"/>
      <c r="N3396" t="inlineStr">
        <is>
          <t>28C², 14A², 56A⁷, 8A¹, 14B¹, 7C⁰, 4C⁰, 2B⁰, 56A⁵, 28B³, 28B⁵, 1A⁰, 7A⁰</t>
        </is>
      </c>
      <c r="O3396" t="inlineStr"/>
    </row>
    <row r="3397">
      <c r="A3397">
        <f>HYPERLINK("https://mathstats.uncg.edu/sites/pauli/congruence/csg13.html#group56C13", "56C¹³")</f>
        <v/>
      </c>
      <c r="B3397" t="n">
        <v>13</v>
      </c>
      <c r="C3397" t="inlineStr"/>
      <c r="D3397" t="inlineStr">
        <is>
          <t>168</t>
        </is>
      </c>
      <c r="E3397" t="inlineStr">
        <is>
          <t>2</t>
        </is>
      </c>
      <c r="F3397" t="inlineStr">
        <is>
          <t>21</t>
        </is>
      </c>
      <c r="G3397" t="inlineStr">
        <is>
          <t>0</t>
        </is>
      </c>
      <c r="H3397" t="inlineStr">
        <is>
          <t>0</t>
        </is>
      </c>
      <c r="I3397" t="inlineStr">
        <is>
          <t>28², 56²</t>
        </is>
      </c>
      <c r="J3397" t="n">
        <v>4</v>
      </c>
      <c r="K3397" t="inlineStr">
        <is>
          <t>2³, 6⁶</t>
        </is>
      </c>
      <c r="L3397" t="inlineStr">
        <is>
          <t>56A⁵, 28C⁶, 56A⁶</t>
        </is>
      </c>
      <c r="M3397" t="inlineStr"/>
      <c r="N3397" t="inlineStr">
        <is>
          <t>2A⁰, 14B¹, 14B³, 4C⁰, 14A¹, 28A³, 2B⁰, 4E⁰, 4B⁰, 1A⁰, 56A⁶, 28C², 28C⁶, 56A⁵, 2C⁰, 7A⁰</t>
        </is>
      </c>
      <c r="O3397" t="inlineStr"/>
    </row>
    <row r="3398">
      <c r="A3398">
        <f>HYPERLINK("https://mathstats.uncg.edu/sites/pauli/congruence/csg13.html#group56D13", "56D¹³")</f>
        <v/>
      </c>
      <c r="B3398" t="n">
        <v>13</v>
      </c>
      <c r="C3398" t="inlineStr"/>
      <c r="D3398" t="inlineStr">
        <is>
          <t>168</t>
        </is>
      </c>
      <c r="E3398" t="inlineStr">
        <is>
          <t>2</t>
        </is>
      </c>
      <c r="F3398" t="inlineStr">
        <is>
          <t>21</t>
        </is>
      </c>
      <c r="G3398" t="inlineStr">
        <is>
          <t>0</t>
        </is>
      </c>
      <c r="H3398" t="inlineStr">
        <is>
          <t>0</t>
        </is>
      </c>
      <c r="I3398" t="inlineStr">
        <is>
          <t>28², 56²</t>
        </is>
      </c>
      <c r="J3398" t="n">
        <v>4</v>
      </c>
      <c r="K3398" t="inlineStr">
        <is>
          <t>2³, 6⁶</t>
        </is>
      </c>
      <c r="L3398" t="inlineStr">
        <is>
          <t>8B¹, 56B⁴, 28C⁶, 56A⁷</t>
        </is>
      </c>
      <c r="M3398" t="inlineStr"/>
      <c r="N3398" t="inlineStr">
        <is>
          <t>2A⁰, 8A¹, 56A⁷, 14B³, 14B¹, 4C⁰, 14A¹, 8B⁰, 28A³, 2B⁰, 8B¹, 4E⁰, 4B⁰, 1A⁰, 28C², 28C⁶, 2C⁰, 7A⁰, 56B⁴</t>
        </is>
      </c>
      <c r="O3398" t="inlineStr"/>
    </row>
    <row r="3399">
      <c r="A3399">
        <f>HYPERLINK("https://mathstats.uncg.edu/sites/pauli/congruence/csg13.html#group56E13", "56E¹³")</f>
        <v/>
      </c>
      <c r="B3399" t="n">
        <v>13</v>
      </c>
      <c r="C3399" t="inlineStr"/>
      <c r="D3399" t="inlineStr">
        <is>
          <t>168</t>
        </is>
      </c>
      <c r="E3399" t="inlineStr">
        <is>
          <t>2</t>
        </is>
      </c>
      <c r="F3399" t="inlineStr">
        <is>
          <t>42</t>
        </is>
      </c>
      <c r="G3399" t="inlineStr">
        <is>
          <t>0</t>
        </is>
      </c>
      <c r="H3399" t="inlineStr">
        <is>
          <t>0</t>
        </is>
      </c>
      <c r="I3399" t="inlineStr">
        <is>
          <t>28², 56²</t>
        </is>
      </c>
      <c r="J3399" t="n">
        <v>4</v>
      </c>
      <c r="K3399" t="inlineStr">
        <is>
          <t>2², 4², 6⁴, 12⁴</t>
        </is>
      </c>
      <c r="L3399" t="inlineStr">
        <is>
          <t>28C⁵, 56B⁵, 56A⁷</t>
        </is>
      </c>
      <c r="M3399" t="inlineStr"/>
      <c r="N3399" t="inlineStr">
        <is>
          <t>28C², 56B⁵, 8A¹, 56A⁷, 14B¹, 4C⁰, 28C⁵, 2B⁰, 1A⁰, 7A⁰</t>
        </is>
      </c>
      <c r="O3399" t="inlineStr"/>
    </row>
    <row r="3400">
      <c r="A3400">
        <f>HYPERLINK("https://mathstats.uncg.edu/sites/pauli/congruence/csg13.html#group56F13", "56F¹³")</f>
        <v/>
      </c>
      <c r="B3400" t="n">
        <v>13</v>
      </c>
      <c r="C3400" t="inlineStr"/>
      <c r="D3400" t="inlineStr">
        <is>
          <t>168</t>
        </is>
      </c>
      <c r="E3400" t="inlineStr">
        <is>
          <t>2</t>
        </is>
      </c>
      <c r="F3400" t="inlineStr">
        <is>
          <t>42</t>
        </is>
      </c>
      <c r="G3400" t="inlineStr">
        <is>
          <t>0</t>
        </is>
      </c>
      <c r="H3400" t="inlineStr">
        <is>
          <t>0</t>
        </is>
      </c>
      <c r="I3400" t="inlineStr">
        <is>
          <t>28², 56²</t>
        </is>
      </c>
      <c r="J3400" t="n">
        <v>4</v>
      </c>
      <c r="K3400" t="inlineStr">
        <is>
          <t>2², 4², 6⁴, 12⁴</t>
        </is>
      </c>
      <c r="L3400" t="inlineStr">
        <is>
          <t>8C¹, 28D⁵, 56C⁵, 56A⁷</t>
        </is>
      </c>
      <c r="M3400" t="inlineStr"/>
      <c r="N3400" t="inlineStr">
        <is>
          <t>28C², 56C⁵, 8C¹, 56A⁷, 8A¹, 14B¹, 8D⁰, 4A⁰, 28D⁵, 4C⁰, 2B⁰, 4F⁰, 28A¹, 1A⁰, 7A⁰</t>
        </is>
      </c>
      <c r="O3400" t="inlineStr"/>
    </row>
    <row r="3401">
      <c r="A3401">
        <f>HYPERLINK("https://mathstats.uncg.edu/sites/pauli/congruence/csg13.html#group56G13", "56G¹³")</f>
        <v/>
      </c>
      <c r="B3401" t="n">
        <v>13</v>
      </c>
      <c r="C3401" t="inlineStr"/>
      <c r="D3401" t="inlineStr">
        <is>
          <t>192</t>
        </is>
      </c>
      <c r="E3401" t="inlineStr">
        <is>
          <t>1</t>
        </is>
      </c>
      <c r="F3401" t="inlineStr">
        <is>
          <t>24</t>
        </is>
      </c>
      <c r="G3401" t="inlineStr">
        <is>
          <t>0</t>
        </is>
      </c>
      <c r="H3401" t="inlineStr">
        <is>
          <t>0</t>
        </is>
      </c>
      <c r="I3401" t="inlineStr">
        <is>
          <t>4², 8², 28², 56²</t>
        </is>
      </c>
      <c r="J3401" t="n">
        <v>8</v>
      </c>
      <c r="K3401" t="inlineStr">
        <is>
          <t>1⁶, 6³</t>
        </is>
      </c>
      <c r="L3401" t="inlineStr">
        <is>
          <t>28E⁵</t>
        </is>
      </c>
      <c r="M3401" t="inlineStr"/>
      <c r="N3401" t="inlineStr">
        <is>
          <t>2A⁰, 28E⁵, 28C³, 7B⁰, 28D², 4C⁰, 14C¹, 14B⁰, 2B⁰, 4E⁰, 14E², 4B⁰, 1A⁰, 2C⁰</t>
        </is>
      </c>
      <c r="O3401" t="inlineStr"/>
    </row>
    <row r="3402">
      <c r="A3402">
        <f>HYPERLINK("https://mathstats.uncg.edu/sites/pauli/congruence/csg13.html#group56H13", "56H¹³")</f>
        <v/>
      </c>
      <c r="B3402" t="n">
        <v>13</v>
      </c>
      <c r="C3402" t="inlineStr"/>
      <c r="D3402" t="inlineStr">
        <is>
          <t>192</t>
        </is>
      </c>
      <c r="E3402" t="inlineStr">
        <is>
          <t>1</t>
        </is>
      </c>
      <c r="F3402" t="inlineStr">
        <is>
          <t>24</t>
        </is>
      </c>
      <c r="G3402" t="inlineStr">
        <is>
          <t>0</t>
        </is>
      </c>
      <c r="H3402" t="inlineStr">
        <is>
          <t>0</t>
        </is>
      </c>
      <c r="I3402" t="inlineStr">
        <is>
          <t>4², 8², 28², 56²</t>
        </is>
      </c>
      <c r="J3402" t="n">
        <v>8</v>
      </c>
      <c r="K3402" t="inlineStr">
        <is>
          <t>1⁶, 6³</t>
        </is>
      </c>
      <c r="L3402" t="inlineStr">
        <is>
          <t>8B¹, 28E⁵, 56B⁷, 56C⁷</t>
        </is>
      </c>
      <c r="M3402" t="inlineStr"/>
      <c r="N3402" t="inlineStr">
        <is>
          <t>2A⁰, 8A¹, 28D², 4C⁰, 8B⁰, 2B⁰, 8B¹, 4E⁰, 14E², 4B⁰, 1A⁰, 56B⁷, 28E⁵, 7B⁰, 14C¹, 14B⁰, 56C⁷, 28C³, 2C⁰</t>
        </is>
      </c>
      <c r="O3402" t="inlineStr"/>
    </row>
    <row r="3403">
      <c r="A3403">
        <f>HYPERLINK("https://mathstats.uncg.edu/sites/pauli/congruence/csg13.html#group56I13", "56I¹³")</f>
        <v/>
      </c>
      <c r="B3403" t="n">
        <v>13</v>
      </c>
      <c r="C3403" t="inlineStr"/>
      <c r="D3403" t="inlineStr">
        <is>
          <t>192</t>
        </is>
      </c>
      <c r="E3403" t="inlineStr">
        <is>
          <t>1</t>
        </is>
      </c>
      <c r="F3403" t="inlineStr">
        <is>
          <t>48</t>
        </is>
      </c>
      <c r="G3403" t="inlineStr">
        <is>
          <t>0</t>
        </is>
      </c>
      <c r="H3403" t="inlineStr">
        <is>
          <t>0</t>
        </is>
      </c>
      <c r="I3403" t="inlineStr">
        <is>
          <t>4², 8², 28², 56²</t>
        </is>
      </c>
      <c r="J3403" t="n">
        <v>8</v>
      </c>
      <c r="K3403" t="inlineStr">
        <is>
          <t>1⁴, 2⁴, 6², 12²</t>
        </is>
      </c>
      <c r="L3403" t="inlineStr">
        <is>
          <t>8H⁰, 28G⁶, 56E⁶, 56B⁷</t>
        </is>
      </c>
      <c r="M3403" t="inlineStr"/>
      <c r="N3403" t="inlineStr">
        <is>
          <t>8D⁰, 4C⁰, 8B⁰, 2B⁰, 28G⁶, 1A⁰, 28A², 56B⁷, 8H⁰, 4A⁰, 7B⁰, 14C¹, 4F⁰, 28C³, 56E⁶</t>
        </is>
      </c>
      <c r="O3403" t="inlineStr"/>
    </row>
    <row r="3404">
      <c r="A3404">
        <f>HYPERLINK("https://mathstats.uncg.edu/sites/pauli/congruence/csg13.html#group56J13", "56J¹³")</f>
        <v/>
      </c>
      <c r="B3404" t="n">
        <v>13</v>
      </c>
      <c r="C3404" t="inlineStr"/>
      <c r="D3404" t="inlineStr">
        <is>
          <t>192</t>
        </is>
      </c>
      <c r="E3404" t="inlineStr">
        <is>
          <t>1</t>
        </is>
      </c>
      <c r="F3404" t="inlineStr">
        <is>
          <t>48</t>
        </is>
      </c>
      <c r="G3404" t="inlineStr">
        <is>
          <t>0</t>
        </is>
      </c>
      <c r="H3404" t="inlineStr">
        <is>
          <t>0</t>
        </is>
      </c>
      <c r="I3404" t="inlineStr">
        <is>
          <t>4², 8², 28², 56²</t>
        </is>
      </c>
      <c r="J3404" t="n">
        <v>8</v>
      </c>
      <c r="K3404" t="inlineStr">
        <is>
          <t>1⁴, 2⁴, 6², 12²</t>
        </is>
      </c>
      <c r="L3404" t="inlineStr">
        <is>
          <t>8C¹, 28G⁶, 56E⁶, 56C⁷</t>
        </is>
      </c>
      <c r="M3404" t="inlineStr"/>
      <c r="N3404" t="inlineStr">
        <is>
          <t>8A¹, 8D⁰, 4C⁰, 2B⁰, 28G⁶, 1A⁰, 28A², 8C¹, 7B⁰, 4A⁰, 14C¹, 56C⁷, 4F⁰, 28C³, 56E⁶</t>
        </is>
      </c>
      <c r="O3404" t="inlineStr"/>
    </row>
    <row r="3405">
      <c r="A3405">
        <f>HYPERLINK("https://mathstats.uncg.edu/sites/pauli/congruence/csg13.html#group56K13", "56K¹³")</f>
        <v/>
      </c>
      <c r="B3405" t="n">
        <v>13</v>
      </c>
      <c r="C3405" t="inlineStr"/>
      <c r="D3405" t="inlineStr">
        <is>
          <t>192</t>
        </is>
      </c>
      <c r="E3405" t="inlineStr">
        <is>
          <t>1</t>
        </is>
      </c>
      <c r="F3405" t="inlineStr">
        <is>
          <t>96</t>
        </is>
      </c>
      <c r="G3405" t="inlineStr">
        <is>
          <t>0</t>
        </is>
      </c>
      <c r="H3405" t="inlineStr">
        <is>
          <t>0</t>
        </is>
      </c>
      <c r="I3405" t="inlineStr">
        <is>
          <t>4², 8², 28², 56²</t>
        </is>
      </c>
      <c r="J3405" t="n">
        <v>8</v>
      </c>
      <c r="K3405" t="inlineStr">
        <is>
          <t>1⁸, 2⁴, 4², 6⁴, 12², 24¹</t>
        </is>
      </c>
      <c r="L3405" t="inlineStr">
        <is>
          <t>56C⁷</t>
        </is>
      </c>
      <c r="M3405" t="inlineStr"/>
      <c r="N3405" t="inlineStr">
        <is>
          <t>8A¹, 7B⁰, 4C⁰, 14C¹, 2B⁰, 56C⁷, 28C³, 1A⁰</t>
        </is>
      </c>
      <c r="O3405" t="inlineStr"/>
    </row>
    <row r="3406">
      <c r="A3406">
        <f>HYPERLINK("https://mathstats.uncg.edu/sites/pauli/congruence/csg13.html#group56L13", "56L¹³")</f>
        <v/>
      </c>
      <c r="B3406" t="n">
        <v>13</v>
      </c>
      <c r="C3406" t="inlineStr"/>
      <c r="D3406" t="inlineStr">
        <is>
          <t>192</t>
        </is>
      </c>
      <c r="E3406" t="inlineStr">
        <is>
          <t>1</t>
        </is>
      </c>
      <c r="F3406" t="inlineStr">
        <is>
          <t>96</t>
        </is>
      </c>
      <c r="G3406" t="inlineStr">
        <is>
          <t>0</t>
        </is>
      </c>
      <c r="H3406" t="inlineStr">
        <is>
          <t>0</t>
        </is>
      </c>
      <c r="I3406" t="inlineStr">
        <is>
          <t>4², 8², 28², 56²</t>
        </is>
      </c>
      <c r="J3406" t="n">
        <v>8</v>
      </c>
      <c r="K3406" t="inlineStr">
        <is>
          <t>1⁸, 2⁴, 4², 6⁴, 12², 24¹</t>
        </is>
      </c>
      <c r="L3406" t="inlineStr">
        <is>
          <t>8L⁰, 56B⁷</t>
        </is>
      </c>
      <c r="M3406" t="inlineStr"/>
      <c r="N3406" t="inlineStr">
        <is>
          <t>7B⁰, 4C⁰, 14C¹, 8B⁰, 8L⁰, 2B⁰, 28C³, 1A⁰, 56B⁷</t>
        </is>
      </c>
      <c r="O3406" t="inlineStr"/>
    </row>
    <row r="3407">
      <c r="A3407">
        <f>HYPERLINK("https://mathstats.uncg.edu/sites/pauli/congruence/csg13.html#group56M13", "56M¹³")</f>
        <v/>
      </c>
      <c r="B3407" t="n">
        <v>13</v>
      </c>
      <c r="C3407" t="inlineStr"/>
      <c r="D3407" t="inlineStr">
        <is>
          <t>224</t>
        </is>
      </c>
      <c r="E3407" t="inlineStr">
        <is>
          <t>2</t>
        </is>
      </c>
      <c r="F3407" t="inlineStr">
        <is>
          <t>112</t>
        </is>
      </c>
      <c r="G3407" t="inlineStr">
        <is>
          <t>16</t>
        </is>
      </c>
      <c r="H3407" t="inlineStr">
        <is>
          <t>2</t>
        </is>
      </c>
      <c r="I3407" t="inlineStr">
        <is>
          <t>56⁴</t>
        </is>
      </c>
      <c r="J3407" t="n">
        <v>4</v>
      </c>
      <c r="K3407" t="inlineStr">
        <is>
          <t>8⁴, 24⁸</t>
        </is>
      </c>
      <c r="L3407" t="inlineStr">
        <is>
          <t>28E², 56H⁶</t>
        </is>
      </c>
      <c r="M3407" t="inlineStr"/>
      <c r="N3407" t="inlineStr">
        <is>
          <t>28E², 14A⁰, 8F⁰, 4A⁰, 56H⁶, 28A¹, 1A⁰, 7A⁰</t>
        </is>
      </c>
      <c r="O3407" t="inlineStr"/>
    </row>
    <row r="3408">
      <c r="A3408">
        <f>HYPERLINK("https://mathstats.uncg.edu/sites/pauli/congruence/csg13.html#group56N13", "56N¹³")</f>
        <v/>
      </c>
      <c r="B3408" t="n">
        <v>13</v>
      </c>
      <c r="C3408" t="inlineStr"/>
      <c r="D3408" t="inlineStr">
        <is>
          <t>256</t>
        </is>
      </c>
      <c r="E3408" t="inlineStr">
        <is>
          <t>1</t>
        </is>
      </c>
      <c r="F3408" t="inlineStr">
        <is>
          <t>32</t>
        </is>
      </c>
      <c r="G3408" t="inlineStr">
        <is>
          <t>0</t>
        </is>
      </c>
      <c r="H3408" t="inlineStr">
        <is>
          <t>16</t>
        </is>
      </c>
      <c r="I3408" t="inlineStr">
        <is>
          <t>8⁴, 56⁴</t>
        </is>
      </c>
      <c r="J3408" t="n">
        <v>8</v>
      </c>
      <c r="K3408" t="inlineStr">
        <is>
          <t>2⁴, 12²</t>
        </is>
      </c>
      <c r="L3408" t="inlineStr">
        <is>
          <t>28I⁵, 56F⁷, 56G⁷</t>
        </is>
      </c>
      <c r="M3408" t="inlineStr"/>
      <c r="N3408" t="inlineStr">
        <is>
          <t>56G⁷, 2A⁰, 56A⁴, 28A⁰, 56F⁷, 4A⁰, 4D⁰, 7B⁰, 14B⁰, 8A⁰, 8E⁰, 28I⁵, 28E³, 1A⁰, 28A²</t>
        </is>
      </c>
      <c r="O3408" t="inlineStr"/>
    </row>
    <row r="3409">
      <c r="A3409">
        <f>HYPERLINK("https://mathstats.uncg.edu/sites/pauli/congruence/csg13.html#group56O13", "56O¹³")</f>
        <v/>
      </c>
      <c r="B3409" t="n">
        <v>13</v>
      </c>
      <c r="C3409" t="inlineStr"/>
      <c r="D3409" t="inlineStr">
        <is>
          <t>288</t>
        </is>
      </c>
      <c r="E3409" t="inlineStr">
        <is>
          <t>1</t>
        </is>
      </c>
      <c r="F3409" t="inlineStr">
        <is>
          <t>48</t>
        </is>
      </c>
      <c r="G3409" t="inlineStr">
        <is>
          <t>0</t>
        </is>
      </c>
      <c r="H3409" t="inlineStr">
        <is>
          <t>0</t>
        </is>
      </c>
      <c r="I3409" t="inlineStr">
        <is>
          <t>1⁶, 2³, 7⁶, 8³, 14³, 56³</t>
        </is>
      </c>
      <c r="J3409" t="n">
        <v>24</v>
      </c>
      <c r="K3409" t="inlineStr">
        <is>
          <t>1⁸, 2², 6⁴, 12¹</t>
        </is>
      </c>
      <c r="L3409" t="inlineStr">
        <is>
          <t>28F⁴, 56D⁵</t>
        </is>
      </c>
      <c r="M3409" t="inlineStr"/>
      <c r="N3409" t="inlineStr">
        <is>
          <t>28F⁴, 7B⁰, 28D², 14C¹, 14H¹, 8C⁰, 2B⁰, 7E⁰, 4B⁰, 56D⁵, 1A⁰</t>
        </is>
      </c>
      <c r="O3409" t="inlineStr"/>
    </row>
    <row r="3410">
      <c r="A3410">
        <f>HYPERLINK("https://mathstats.uncg.edu/sites/pauli/congruence/csg13.html#group57A13", "57A¹³")</f>
        <v/>
      </c>
      <c r="B3410" t="n">
        <v>13</v>
      </c>
      <c r="C3410" t="inlineStr"/>
      <c r="D3410" t="inlineStr">
        <is>
          <t>180</t>
        </is>
      </c>
      <c r="E3410" t="inlineStr">
        <is>
          <t>1</t>
        </is>
      </c>
      <c r="F3410" t="inlineStr">
        <is>
          <t>20</t>
        </is>
      </c>
      <c r="G3410" t="inlineStr">
        <is>
          <t>0</t>
        </is>
      </c>
      <c r="H3410" t="inlineStr">
        <is>
          <t>0</t>
        </is>
      </c>
      <c r="I3410" t="inlineStr">
        <is>
          <t>3³, 57³</t>
        </is>
      </c>
      <c r="J3410" t="n">
        <v>6</v>
      </c>
      <c r="K3410" t="inlineStr">
        <is>
          <t>1², 18¹</t>
        </is>
      </c>
      <c r="L3410" t="inlineStr">
        <is>
          <t>19B¹, 57A⁵, 57B⁵</t>
        </is>
      </c>
      <c r="M3410" t="inlineStr"/>
      <c r="N3410" t="inlineStr">
        <is>
          <t>19A¹, 57A⁵, 19B¹, 3A⁰, 57B⁵, 1A⁰</t>
        </is>
      </c>
      <c r="O3410" t="inlineStr"/>
    </row>
    <row r="3411">
      <c r="A3411">
        <f>HYPERLINK("https://mathstats.uncg.edu/sites/pauli/congruence/csg13.html#group57B13", "57B¹³")</f>
        <v/>
      </c>
      <c r="B3411" t="n">
        <v>13</v>
      </c>
      <c r="C3411" t="inlineStr"/>
      <c r="D3411" t="inlineStr">
        <is>
          <t>240</t>
        </is>
      </c>
      <c r="E3411" t="inlineStr">
        <is>
          <t>1</t>
        </is>
      </c>
      <c r="F3411" t="inlineStr">
        <is>
          <t>80</t>
        </is>
      </c>
      <c r="G3411" t="inlineStr">
        <is>
          <t>0</t>
        </is>
      </c>
      <c r="H3411" t="inlineStr">
        <is>
          <t>6</t>
        </is>
      </c>
      <c r="I3411" t="inlineStr">
        <is>
          <t>1³, 3³, 19³, 57³</t>
        </is>
      </c>
      <c r="J3411" t="n">
        <v>12</v>
      </c>
      <c r="K3411" t="inlineStr">
        <is>
          <t>1⁴, 2², 18², 36¹</t>
        </is>
      </c>
      <c r="L3411" t="inlineStr">
        <is>
          <t>19B¹, 57C⁵</t>
        </is>
      </c>
      <c r="M3411" t="inlineStr"/>
      <c r="N3411" t="inlineStr">
        <is>
          <t>19A¹, 3B⁰, 19B¹, 1A⁰, 57C⁵</t>
        </is>
      </c>
      <c r="O3411" t="inlineStr"/>
    </row>
    <row r="3412">
      <c r="A3412">
        <f>HYPERLINK("https://mathstats.uncg.edu/sites/pauli/congruence/csg13.html#group58A13", "58A¹³")</f>
        <v/>
      </c>
      <c r="B3412" t="n">
        <v>13</v>
      </c>
      <c r="C3412" t="inlineStr"/>
      <c r="D3412" t="inlineStr">
        <is>
          <t>180</t>
        </is>
      </c>
      <c r="E3412" t="inlineStr">
        <is>
          <t>1</t>
        </is>
      </c>
      <c r="F3412" t="inlineStr">
        <is>
          <t>30</t>
        </is>
      </c>
      <c r="G3412" t="inlineStr">
        <is>
          <t>0</t>
        </is>
      </c>
      <c r="H3412" t="inlineStr">
        <is>
          <t>0</t>
        </is>
      </c>
      <c r="I3412" t="inlineStr">
        <is>
          <t>2³, 58³</t>
        </is>
      </c>
      <c r="J3412" t="n">
        <v>6</v>
      </c>
      <c r="K3412" t="inlineStr">
        <is>
          <t>1², 28¹</t>
        </is>
      </c>
      <c r="L3412" t="inlineStr">
        <is>
          <t>2C⁰, 58A⁵, 58A⁶</t>
        </is>
      </c>
      <c r="M3412" t="inlineStr"/>
      <c r="N3412" t="inlineStr">
        <is>
          <t>2A⁰, 29A², 58A⁶, 2B⁰, 58A⁵, 1A⁰, 2C⁰</t>
        </is>
      </c>
      <c r="O3412" t="inlineStr"/>
    </row>
    <row r="3413">
      <c r="A3413">
        <f>HYPERLINK("https://mathstats.uncg.edu/sites/pauli/congruence/csg13.html#group60A13", "60A¹³")</f>
        <v/>
      </c>
      <c r="B3413" t="n">
        <v>13</v>
      </c>
      <c r="C3413" t="inlineStr"/>
      <c r="D3413" t="inlineStr">
        <is>
          <t>180</t>
        </is>
      </c>
      <c r="E3413" t="inlineStr">
        <is>
          <t>1</t>
        </is>
      </c>
      <c r="F3413" t="inlineStr">
        <is>
          <t>30</t>
        </is>
      </c>
      <c r="G3413" t="inlineStr">
        <is>
          <t>0</t>
        </is>
      </c>
      <c r="H3413" t="inlineStr">
        <is>
          <t>0</t>
        </is>
      </c>
      <c r="I3413" t="inlineStr">
        <is>
          <t>15⁴, 60²</t>
        </is>
      </c>
      <c r="J3413" t="n">
        <v>6</v>
      </c>
      <c r="K3413" t="inlineStr">
        <is>
          <t>2³, 4⁶</t>
        </is>
      </c>
      <c r="L3413" t="inlineStr">
        <is>
          <t>12B¹, 20E³, 30K⁵</t>
        </is>
      </c>
      <c r="M3413" t="inlineStr"/>
      <c r="N3413" t="inlineStr">
        <is>
          <t>30K⁵, 15D¹, 4B⁰, 20E³, 1A⁰, 12B¹, 2B⁰, 3A⁰, 5C⁰, 6D⁰, 10F¹</t>
        </is>
      </c>
      <c r="O3413" t="inlineStr"/>
    </row>
    <row r="3414">
      <c r="A3414">
        <f>HYPERLINK("https://mathstats.uncg.edu/sites/pauli/congruence/csg13.html#group60B13", "60B¹³")</f>
        <v/>
      </c>
      <c r="B3414" t="n">
        <v>13</v>
      </c>
      <c r="C3414" t="inlineStr"/>
      <c r="D3414" t="inlineStr">
        <is>
          <t>180</t>
        </is>
      </c>
      <c r="E3414" t="inlineStr">
        <is>
          <t>1</t>
        </is>
      </c>
      <c r="F3414" t="inlineStr">
        <is>
          <t>30</t>
        </is>
      </c>
      <c r="G3414" t="inlineStr">
        <is>
          <t>6</t>
        </is>
      </c>
      <c r="H3414" t="inlineStr">
        <is>
          <t>0</t>
        </is>
      </c>
      <c r="I3414" t="inlineStr">
        <is>
          <t>60³</t>
        </is>
      </c>
      <c r="J3414" t="n">
        <v>3</v>
      </c>
      <c r="K3414" t="inlineStr">
        <is>
          <t>1², 2², 4², 8²</t>
        </is>
      </c>
      <c r="L3414" t="inlineStr">
        <is>
          <t>12J¹, 20C⁴, 60A⁴, 60B⁶</t>
        </is>
      </c>
      <c r="M3414" t="inlineStr"/>
      <c r="N3414" t="inlineStr">
        <is>
          <t>5A⁰, 12C⁰, 10B¹, 20B², 4C⁰, 60B⁶, 20A¹, 20C⁴, 2B⁰, 1A⁰, 30D³, 12A⁰, 4A⁰, 6D⁰, 60A⁴, 12J¹, 4F⁰, 3A⁰, 15A¹</t>
        </is>
      </c>
      <c r="O3414" t="inlineStr"/>
    </row>
    <row r="3415">
      <c r="A3415">
        <f>HYPERLINK("https://mathstats.uncg.edu/sites/pauli/congruence/csg13.html#group60C13", "60C¹³")</f>
        <v/>
      </c>
      <c r="B3415" t="n">
        <v>13</v>
      </c>
      <c r="C3415" t="inlineStr"/>
      <c r="D3415" t="inlineStr">
        <is>
          <t>180</t>
        </is>
      </c>
      <c r="E3415" t="inlineStr">
        <is>
          <t>1</t>
        </is>
      </c>
      <c r="F3415" t="inlineStr">
        <is>
          <t>45</t>
        </is>
      </c>
      <c r="G3415" t="inlineStr">
        <is>
          <t>0</t>
        </is>
      </c>
      <c r="H3415" t="inlineStr">
        <is>
          <t>0</t>
        </is>
      </c>
      <c r="I3415" t="inlineStr">
        <is>
          <t>15⁴, 60²</t>
        </is>
      </c>
      <c r="J3415" t="n">
        <v>6</v>
      </c>
      <c r="K3415" t="inlineStr">
        <is>
          <t>1³, 2³, 4³, 8³</t>
        </is>
      </c>
      <c r="L3415" t="inlineStr">
        <is>
          <t>12K¹, 30A⁶, 60C⁶, 60A⁷</t>
        </is>
      </c>
      <c r="M3415" t="inlineStr"/>
      <c r="N3415" t="inlineStr">
        <is>
          <t>20A², 5A⁰, 12K¹, 60C⁶, 15A¹, 10B¹, 6G⁰, 2B⁰, 4B⁰, 1A⁰, 60A⁷, 30D³, 15A², 3C⁰, 30A⁶, 12B¹, 12D⁰, 3A⁰, 6D⁰</t>
        </is>
      </c>
      <c r="O3415" t="inlineStr"/>
    </row>
    <row r="3416">
      <c r="A3416">
        <f>HYPERLINK("https://mathstats.uncg.edu/sites/pauli/congruence/csg13.html#group60D13", "60D¹³")</f>
        <v/>
      </c>
      <c r="B3416" t="n">
        <v>13</v>
      </c>
      <c r="C3416" t="inlineStr"/>
      <c r="D3416" t="inlineStr">
        <is>
          <t>180</t>
        </is>
      </c>
      <c r="E3416" t="inlineStr">
        <is>
          <t>1</t>
        </is>
      </c>
      <c r="F3416" t="inlineStr">
        <is>
          <t>45</t>
        </is>
      </c>
      <c r="G3416" t="inlineStr">
        <is>
          <t>4</t>
        </is>
      </c>
      <c r="H3416" t="inlineStr">
        <is>
          <t>0</t>
        </is>
      </c>
      <c r="I3416" t="inlineStr">
        <is>
          <t>30², 60²</t>
        </is>
      </c>
      <c r="J3416" t="n">
        <v>4</v>
      </c>
      <c r="K3416" t="inlineStr">
        <is>
          <t>1³, 2³, 4³, 8³</t>
        </is>
      </c>
      <c r="L3416" t="inlineStr">
        <is>
          <t>12L¹, 30A⁶, 60B⁶, 60B⁷</t>
        </is>
      </c>
      <c r="M3416" t="inlineStr"/>
      <c r="N3416" t="inlineStr">
        <is>
          <t>5A⁰, 12C⁰, 10B¹, 20B², 4C⁰, 60B⁶, 60B⁷, 6G⁰, 2B⁰, 1A⁰, 12L¹, 30D³, 12C¹, 15A², 6D⁰, 3C⁰, 30A⁶, 3A⁰, 15A¹</t>
        </is>
      </c>
      <c r="O3416" t="inlineStr"/>
    </row>
    <row r="3417">
      <c r="A3417">
        <f>HYPERLINK("https://mathstats.uncg.edu/sites/pauli/congruence/csg13.html#group60E13", "60E¹³")</f>
        <v/>
      </c>
      <c r="B3417" t="n">
        <v>13</v>
      </c>
      <c r="C3417" t="inlineStr"/>
      <c r="D3417" t="inlineStr">
        <is>
          <t>180</t>
        </is>
      </c>
      <c r="E3417" t="inlineStr">
        <is>
          <t>1</t>
        </is>
      </c>
      <c r="F3417" t="inlineStr">
        <is>
          <t>90</t>
        </is>
      </c>
      <c r="G3417" t="inlineStr">
        <is>
          <t>4</t>
        </is>
      </c>
      <c r="H3417" t="inlineStr">
        <is>
          <t>0</t>
        </is>
      </c>
      <c r="I3417" t="inlineStr">
        <is>
          <t>30², 60²</t>
        </is>
      </c>
      <c r="J3417" t="n">
        <v>4</v>
      </c>
      <c r="K3417" t="inlineStr">
        <is>
          <t>2³, 4⁹, 8⁶</t>
        </is>
      </c>
      <c r="L3417" t="inlineStr">
        <is>
          <t>12C¹, 30K⁵</t>
        </is>
      </c>
      <c r="M3417" t="inlineStr"/>
      <c r="N3417" t="inlineStr">
        <is>
          <t>30K⁵, 15D¹, 12C¹, 1A⁰, 2B⁰, 3A⁰, 5C⁰, 6D⁰, 10F¹</t>
        </is>
      </c>
      <c r="O3417" t="inlineStr"/>
    </row>
    <row r="3418">
      <c r="A3418">
        <f>HYPERLINK("https://mathstats.uncg.edu/sites/pauli/congruence/csg13.html#group60F13", "60F¹³")</f>
        <v/>
      </c>
      <c r="B3418" t="n">
        <v>13</v>
      </c>
      <c r="C3418" t="inlineStr"/>
      <c r="D3418" t="inlineStr">
        <is>
          <t>180</t>
        </is>
      </c>
      <c r="E3418" t="inlineStr">
        <is>
          <t>1</t>
        </is>
      </c>
      <c r="F3418" t="inlineStr">
        <is>
          <t>90</t>
        </is>
      </c>
      <c r="G3418" t="inlineStr">
        <is>
          <t>6</t>
        </is>
      </c>
      <c r="H3418" t="inlineStr">
        <is>
          <t>0</t>
        </is>
      </c>
      <c r="I3418" t="inlineStr">
        <is>
          <t>60³</t>
        </is>
      </c>
      <c r="J3418" t="n">
        <v>3</v>
      </c>
      <c r="K3418" t="inlineStr">
        <is>
          <t>1², 2⁴, 4⁴, 8⁴, 16²</t>
        </is>
      </c>
      <c r="L3418" t="inlineStr">
        <is>
          <t>12M¹, 60B⁶</t>
        </is>
      </c>
      <c r="M3418" t="inlineStr"/>
      <c r="N3418" t="inlineStr">
        <is>
          <t>30D³, 5A⁰, 12C⁰, 15A¹, 10B¹, 20B², 4C⁰, 60B⁶, 12M¹, 2B⁰, 3A⁰, 1A⁰, 6D⁰</t>
        </is>
      </c>
      <c r="O3418" t="inlineStr"/>
    </row>
    <row r="3419">
      <c r="A3419">
        <f>HYPERLINK("https://mathstats.uncg.edu/sites/pauli/congruence/csg13.html#group60G13", "60G¹³")</f>
        <v/>
      </c>
      <c r="B3419" t="n">
        <v>13</v>
      </c>
      <c r="C3419" t="inlineStr"/>
      <c r="D3419" t="inlineStr">
        <is>
          <t>180</t>
        </is>
      </c>
      <c r="E3419" t="inlineStr">
        <is>
          <t>2</t>
        </is>
      </c>
      <c r="F3419" t="inlineStr">
        <is>
          <t>30</t>
        </is>
      </c>
      <c r="G3419" t="inlineStr">
        <is>
          <t>6</t>
        </is>
      </c>
      <c r="H3419" t="inlineStr">
        <is>
          <t>0</t>
        </is>
      </c>
      <c r="I3419" t="inlineStr">
        <is>
          <t>60³</t>
        </is>
      </c>
      <c r="J3419" t="n">
        <v>3</v>
      </c>
      <c r="K3419" t="inlineStr">
        <is>
          <t>2², 4², 8², 16²</t>
        </is>
      </c>
      <c r="L3419" t="inlineStr">
        <is>
          <t>60A³, 20C⁴, 60D⁶</t>
        </is>
      </c>
      <c r="M3419" t="inlineStr"/>
      <c r="N3419" t="inlineStr">
        <is>
          <t>5A⁰, 60D⁶, 30E³, 4A⁰, 10B¹, 20B², 4C⁰, 20A¹, 20C⁴, 2B⁰, 4F⁰, 15A⁰, 1A⁰, 60A³</t>
        </is>
      </c>
      <c r="O3419" t="inlineStr"/>
    </row>
    <row r="3420">
      <c r="A3420">
        <f>HYPERLINK("https://mathstats.uncg.edu/sites/pauli/congruence/csg13.html#group60H13", "60H¹³")</f>
        <v/>
      </c>
      <c r="B3420" t="n">
        <v>13</v>
      </c>
      <c r="C3420" t="inlineStr"/>
      <c r="D3420" t="inlineStr">
        <is>
          <t>180</t>
        </is>
      </c>
      <c r="E3420" t="inlineStr">
        <is>
          <t>2</t>
        </is>
      </c>
      <c r="F3420" t="inlineStr">
        <is>
          <t>45</t>
        </is>
      </c>
      <c r="G3420" t="inlineStr">
        <is>
          <t>4</t>
        </is>
      </c>
      <c r="H3420" t="inlineStr">
        <is>
          <t>0</t>
        </is>
      </c>
      <c r="I3420" t="inlineStr">
        <is>
          <t>30², 60²</t>
        </is>
      </c>
      <c r="J3420" t="n">
        <v>4</v>
      </c>
      <c r="K3420" t="inlineStr">
        <is>
          <t>2⁹, 8⁹</t>
        </is>
      </c>
      <c r="L3420" t="inlineStr">
        <is>
          <t>12N¹, 30B⁶, 60C⁶, 60B⁷</t>
        </is>
      </c>
      <c r="M3420" t="inlineStr"/>
      <c r="N3420" t="inlineStr">
        <is>
          <t>5A⁰, 6B⁰, 60C⁶, 10B¹, 60B⁷, 2B⁰, 12N¹, 30B⁶, 1A⁰, 30D³, 30A², 12C¹, 6D⁰, 12D⁰, 6H⁰, 3A⁰, 15A¹</t>
        </is>
      </c>
      <c r="O3420" t="inlineStr"/>
    </row>
    <row r="3421">
      <c r="A3421">
        <f>HYPERLINK("https://mathstats.uncg.edu/sites/pauli/congruence/csg13.html#group60I13", "60I¹³")</f>
        <v/>
      </c>
      <c r="B3421" t="n">
        <v>13</v>
      </c>
      <c r="C3421" t="inlineStr"/>
      <c r="D3421" t="inlineStr">
        <is>
          <t>192</t>
        </is>
      </c>
      <c r="E3421" t="inlineStr">
        <is>
          <t>1</t>
        </is>
      </c>
      <c r="F3421" t="inlineStr">
        <is>
          <t>24</t>
        </is>
      </c>
      <c r="G3421" t="inlineStr">
        <is>
          <t>0</t>
        </is>
      </c>
      <c r="H3421" t="inlineStr">
        <is>
          <t>0</t>
        </is>
      </c>
      <c r="I3421" t="inlineStr">
        <is>
          <t>4², 12², 20², 60²</t>
        </is>
      </c>
      <c r="J3421" t="n">
        <v>8</v>
      </c>
      <c r="K3421" t="inlineStr">
        <is>
          <t>1⁴, 2², 4², 8¹</t>
        </is>
      </c>
      <c r="L3421" t="inlineStr">
        <is>
          <t>20A³, 30N⁵, 60G⁷</t>
        </is>
      </c>
      <c r="M3421" t="inlineStr"/>
      <c r="N3421" t="inlineStr">
        <is>
          <t>3B⁰, 20C¹, 2A⁰, 6C⁰, 30N⁵, 5B⁰, 5D⁰, 10A¹, 15G¹, 30G³, 10D¹, 1A⁰, 60G⁷, 20A³, 10B⁰, 15C¹, 30F³</t>
        </is>
      </c>
      <c r="O3421" t="inlineStr"/>
    </row>
    <row r="3422">
      <c r="A3422">
        <f>HYPERLINK("https://mathstats.uncg.edu/sites/pauli/congruence/csg13.html#group60J13", "60J¹³")</f>
        <v/>
      </c>
      <c r="B3422" t="n">
        <v>13</v>
      </c>
      <c r="C3422" t="inlineStr"/>
      <c r="D3422" t="inlineStr">
        <is>
          <t>192</t>
        </is>
      </c>
      <c r="E3422" t="inlineStr">
        <is>
          <t>1</t>
        </is>
      </c>
      <c r="F3422" t="inlineStr">
        <is>
          <t>24</t>
        </is>
      </c>
      <c r="G3422" t="inlineStr">
        <is>
          <t>0</t>
        </is>
      </c>
      <c r="H3422" t="inlineStr">
        <is>
          <t>0</t>
        </is>
      </c>
      <c r="I3422" t="inlineStr">
        <is>
          <t>4², 12², 20², 60²</t>
        </is>
      </c>
      <c r="J3422" t="n">
        <v>8</v>
      </c>
      <c r="K3422" t="inlineStr">
        <is>
          <t>1⁴, 2², 4², 8¹</t>
        </is>
      </c>
      <c r="L3422" t="inlineStr">
        <is>
          <t>30N⁵, 60D⁷, 60E⁷</t>
        </is>
      </c>
      <c r="M3422" t="inlineStr"/>
      <c r="N3422" t="inlineStr">
        <is>
          <t>3B⁰, 2A⁰, 6C⁰, 30N⁵, 5B⁰, 10A¹, 15G¹, 5D⁰, 30G³, 10D¹, 1A⁰, 60D⁷, 10B⁰, 15C¹, 30F³, 60E⁷, 12B⁰</t>
        </is>
      </c>
      <c r="O3422" t="inlineStr"/>
    </row>
    <row r="3423">
      <c r="A3423">
        <f>HYPERLINK("https://mathstats.uncg.edu/sites/pauli/congruence/csg13.html#group60K13", "60K¹³")</f>
        <v/>
      </c>
      <c r="B3423" t="n">
        <v>13</v>
      </c>
      <c r="C3423" t="inlineStr"/>
      <c r="D3423" t="inlineStr">
        <is>
          <t>192</t>
        </is>
      </c>
      <c r="E3423" t="inlineStr">
        <is>
          <t>1</t>
        </is>
      </c>
      <c r="F3423" t="inlineStr">
        <is>
          <t>96</t>
        </is>
      </c>
      <c r="G3423" t="inlineStr">
        <is>
          <t>0</t>
        </is>
      </c>
      <c r="H3423" t="inlineStr">
        <is>
          <t>0</t>
        </is>
      </c>
      <c r="I3423" t="inlineStr">
        <is>
          <t>4², 12², 20², 60²</t>
        </is>
      </c>
      <c r="J3423" t="n">
        <v>8</v>
      </c>
      <c r="K3423" t="inlineStr">
        <is>
          <t>2⁸, 4⁴, 8⁴, 16²</t>
        </is>
      </c>
      <c r="L3423" t="inlineStr">
        <is>
          <t>15G¹, 20B³, 60F⁷</t>
        </is>
      </c>
      <c r="M3423" t="inlineStr"/>
      <c r="N3423" t="inlineStr">
        <is>
          <t>15C¹, 3B⁰, 60F⁷, 4A⁰, 12A¹, 5B⁰, 15G¹, 5D⁰, 1A⁰, 20B³, 20B¹</t>
        </is>
      </c>
      <c r="O3423" t="inlineStr"/>
    </row>
    <row r="3424">
      <c r="A3424">
        <f>HYPERLINK("https://mathstats.uncg.edu/sites/pauli/congruence/csg13.html#group60L13", "60L¹³")</f>
        <v/>
      </c>
      <c r="B3424" t="n">
        <v>13</v>
      </c>
      <c r="C3424" t="inlineStr"/>
      <c r="D3424" t="inlineStr">
        <is>
          <t>192</t>
        </is>
      </c>
      <c r="E3424" t="inlineStr">
        <is>
          <t>1</t>
        </is>
      </c>
      <c r="F3424" t="inlineStr">
        <is>
          <t>96</t>
        </is>
      </c>
      <c r="G3424" t="inlineStr">
        <is>
          <t>0</t>
        </is>
      </c>
      <c r="H3424" t="inlineStr">
        <is>
          <t>0</t>
        </is>
      </c>
      <c r="I3424" t="inlineStr">
        <is>
          <t>4², 12², 20², 60²</t>
        </is>
      </c>
      <c r="J3424" t="n">
        <v>8</v>
      </c>
      <c r="K3424" t="inlineStr">
        <is>
          <t>2⁸, 4⁴, 8⁴, 16²</t>
        </is>
      </c>
      <c r="L3424" t="inlineStr">
        <is>
          <t>20G¹, 30F³, 60F⁷</t>
        </is>
      </c>
      <c r="M3424" t="inlineStr"/>
      <c r="N3424" t="inlineStr">
        <is>
          <t>15C¹, 3B⁰, 30F³, 60F⁷, 4A⁰, 12A¹, 20G¹, 5B⁰, 1A⁰, 20B¹, 10B⁰</t>
        </is>
      </c>
      <c r="O3424" t="inlineStr"/>
    </row>
    <row r="3425">
      <c r="A3425">
        <f>HYPERLINK("https://mathstats.uncg.edu/sites/pauli/congruence/csg13.html#group60M13", "60M¹³")</f>
        <v/>
      </c>
      <c r="B3425" t="n">
        <v>13</v>
      </c>
      <c r="C3425" t="inlineStr"/>
      <c r="D3425" t="inlineStr">
        <is>
          <t>192</t>
        </is>
      </c>
      <c r="E3425" t="inlineStr">
        <is>
          <t>1</t>
        </is>
      </c>
      <c r="F3425" t="inlineStr">
        <is>
          <t>96</t>
        </is>
      </c>
      <c r="G3425" t="inlineStr">
        <is>
          <t>0</t>
        </is>
      </c>
      <c r="H3425" t="inlineStr">
        <is>
          <t>0</t>
        </is>
      </c>
      <c r="I3425" t="inlineStr">
        <is>
          <t>4², 12², 20², 60²</t>
        </is>
      </c>
      <c r="J3425" t="n">
        <v>8</v>
      </c>
      <c r="K3425" t="inlineStr">
        <is>
          <t>2⁸, 4⁴, 8⁴, 16²</t>
        </is>
      </c>
      <c r="L3425" t="inlineStr">
        <is>
          <t>12I¹, 20C³, 30G³, 60F⁷</t>
        </is>
      </c>
      <c r="M3425" t="inlineStr"/>
      <c r="N3425" t="inlineStr">
        <is>
          <t>3B⁰, 2A⁰, 12I¹, 6C⁰, 20C³, 5B⁰, 10A¹, 30G³, 1A⁰, 20B¹, 15C¹, 60F⁷, 4A⁰, 12A¹, 4D⁰</t>
        </is>
      </c>
      <c r="O3425" t="inlineStr"/>
    </row>
    <row r="3426">
      <c r="A3426">
        <f>HYPERLINK("https://mathstats.uncg.edu/sites/pauli/congruence/csg13.html#group60N13", "60N¹³")</f>
        <v/>
      </c>
      <c r="B3426" t="n">
        <v>13</v>
      </c>
      <c r="C3426" t="inlineStr"/>
      <c r="D3426" t="inlineStr">
        <is>
          <t>216</t>
        </is>
      </c>
      <c r="E3426" t="inlineStr">
        <is>
          <t>1</t>
        </is>
      </c>
      <c r="F3426" t="inlineStr">
        <is>
          <t>18</t>
        </is>
      </c>
      <c r="G3426" t="inlineStr">
        <is>
          <t>0</t>
        </is>
      </c>
      <c r="H3426" t="inlineStr">
        <is>
          <t>0</t>
        </is>
      </c>
      <c r="I3426" t="inlineStr">
        <is>
          <t>3⁴, 12², 15⁴, 60²</t>
        </is>
      </c>
      <c r="J3426" t="n">
        <v>12</v>
      </c>
      <c r="K3426" t="inlineStr">
        <is>
          <t>1⁶, 4³</t>
        </is>
      </c>
      <c r="L3426" t="inlineStr">
        <is>
          <t>20H¹, 60C⁴, 30C⁶, 60H⁷</t>
        </is>
      </c>
      <c r="M3426" t="inlineStr"/>
      <c r="N3426" t="inlineStr">
        <is>
          <t>60H⁷, 30C⁶, 5B⁰, 60C⁴, 5D⁰, 2B⁰, 20D¹, 20H¹, 4B⁰, 1A⁰, 10F⁰, 20A⁰, 15B⁰, 30E², 15B², 10C⁰, 12B¹, 3A⁰, 6D⁰</t>
        </is>
      </c>
      <c r="O3426" t="inlineStr"/>
    </row>
    <row r="3427">
      <c r="A3427">
        <f>HYPERLINK("https://mathstats.uncg.edu/sites/pauli/congruence/csg13.html#group60O13", "60O¹³")</f>
        <v/>
      </c>
      <c r="B3427" t="n">
        <v>13</v>
      </c>
      <c r="C3427" t="inlineStr"/>
      <c r="D3427" t="inlineStr">
        <is>
          <t>216</t>
        </is>
      </c>
      <c r="E3427" t="inlineStr">
        <is>
          <t>1</t>
        </is>
      </c>
      <c r="F3427" t="inlineStr">
        <is>
          <t>36</t>
        </is>
      </c>
      <c r="G3427" t="inlineStr">
        <is>
          <t>12</t>
        </is>
      </c>
      <c r="H3427" t="inlineStr">
        <is>
          <t>0</t>
        </is>
      </c>
      <c r="I3427" t="inlineStr">
        <is>
          <t>12³, 60³</t>
        </is>
      </c>
      <c r="J3427" t="n">
        <v>6</v>
      </c>
      <c r="K3427" t="inlineStr">
        <is>
          <t>1⁴, 2⁴, 4², 8²</t>
        </is>
      </c>
      <c r="L3427" t="inlineStr">
        <is>
          <t>20K³, 60A⁵</t>
        </is>
      </c>
      <c r="M3427" t="inlineStr"/>
      <c r="N3427" t="inlineStr">
        <is>
          <t>20E¹, 12C⁰, 4C⁰, 5B⁰, 2B⁰, 20K³, 1A⁰, 15B⁰, 30E², 60A⁵, 10C⁰, 3A⁰, 6D⁰</t>
        </is>
      </c>
      <c r="O3427" t="inlineStr"/>
    </row>
    <row r="3428">
      <c r="A3428">
        <f>HYPERLINK("https://mathstats.uncg.edu/sites/pauli/congruence/csg13.html#group60P13", "60P¹³")</f>
        <v/>
      </c>
      <c r="B3428" t="n">
        <v>13</v>
      </c>
      <c r="C3428" t="inlineStr"/>
      <c r="D3428" t="inlineStr">
        <is>
          <t>216</t>
        </is>
      </c>
      <c r="E3428" t="inlineStr">
        <is>
          <t>1</t>
        </is>
      </c>
      <c r="F3428" t="inlineStr">
        <is>
          <t>36</t>
        </is>
      </c>
      <c r="G3428" t="inlineStr">
        <is>
          <t>12</t>
        </is>
      </c>
      <c r="H3428" t="inlineStr">
        <is>
          <t>0</t>
        </is>
      </c>
      <c r="I3428" t="inlineStr">
        <is>
          <t>12³, 60³</t>
        </is>
      </c>
      <c r="J3428" t="n">
        <v>6</v>
      </c>
      <c r="K3428" t="inlineStr">
        <is>
          <t>1⁴, 2⁴, 4², 8²</t>
        </is>
      </c>
      <c r="L3428" t="inlineStr">
        <is>
          <t>12J¹, 20L³, 60B³, 60A⁵</t>
        </is>
      </c>
      <c r="M3428" t="inlineStr"/>
      <c r="N3428" t="inlineStr">
        <is>
          <t>20E¹, 12C⁰, 4C⁰, 5B⁰, 2B⁰, 1A⁰, 20B¹, 15B⁰, 12A⁰, 30E², 60A⁵, 4A⁰, 10C⁰, 12J¹, 60B³, 4F⁰, 3A⁰, 20L³, 6D⁰</t>
        </is>
      </c>
      <c r="O3428" t="inlineStr"/>
    </row>
    <row r="3429">
      <c r="A3429">
        <f>HYPERLINK("https://mathstats.uncg.edu/sites/pauli/congruence/csg13.html#group60Q13", "60Q¹³")</f>
        <v/>
      </c>
      <c r="B3429" t="n">
        <v>13</v>
      </c>
      <c r="C3429" t="inlineStr"/>
      <c r="D3429" t="inlineStr">
        <is>
          <t>216</t>
        </is>
      </c>
      <c r="E3429" t="inlineStr">
        <is>
          <t>1</t>
        </is>
      </c>
      <c r="F3429" t="inlineStr">
        <is>
          <t>54</t>
        </is>
      </c>
      <c r="G3429" t="inlineStr">
        <is>
          <t>0</t>
        </is>
      </c>
      <c r="H3429" t="inlineStr">
        <is>
          <t>0</t>
        </is>
      </c>
      <c r="I3429" t="inlineStr">
        <is>
          <t>3⁴, 12², 15⁴, 60²</t>
        </is>
      </c>
      <c r="J3429" t="n">
        <v>12</v>
      </c>
      <c r="K3429" t="inlineStr">
        <is>
          <t>1⁶, 2⁶, 4³, 8³</t>
        </is>
      </c>
      <c r="L3429" t="inlineStr">
        <is>
          <t>30O⁵, 60E⁶</t>
        </is>
      </c>
      <c r="M3429" t="inlineStr"/>
      <c r="N3429" t="inlineStr">
        <is>
          <t>15B⁰, 60E⁶, 30E², 5B⁰, 10C⁰, 6G⁰, 3C⁰, 2B⁰, 30O⁵, 3A⁰, 1A⁰, 6D⁰, 15E¹</t>
        </is>
      </c>
      <c r="O3429" t="inlineStr"/>
    </row>
    <row r="3430">
      <c r="A3430">
        <f>HYPERLINK("https://mathstats.uncg.edu/sites/pauli/congruence/csg13.html#group60R13", "60R¹³")</f>
        <v/>
      </c>
      <c r="B3430" t="n">
        <v>13</v>
      </c>
      <c r="C3430" t="inlineStr"/>
      <c r="D3430" t="inlineStr">
        <is>
          <t>216</t>
        </is>
      </c>
      <c r="E3430" t="inlineStr">
        <is>
          <t>1</t>
        </is>
      </c>
      <c r="F3430" t="inlineStr">
        <is>
          <t>54</t>
        </is>
      </c>
      <c r="G3430" t="inlineStr">
        <is>
          <t>0</t>
        </is>
      </c>
      <c r="H3430" t="inlineStr">
        <is>
          <t>0</t>
        </is>
      </c>
      <c r="I3430" t="inlineStr">
        <is>
          <t>3⁴, 12², 15⁴, 60²</t>
        </is>
      </c>
      <c r="J3430" t="n">
        <v>12</v>
      </c>
      <c r="K3430" t="inlineStr">
        <is>
          <t>1⁶, 2⁶, 4³, 8³</t>
        </is>
      </c>
      <c r="L3430" t="inlineStr">
        <is>
          <t>30I⁴, 60E⁶, 60H⁷</t>
        </is>
      </c>
      <c r="M3430" t="inlineStr"/>
      <c r="N3430" t="inlineStr">
        <is>
          <t>15B⁰, 60E⁶, 30E², 60H⁷, 4B⁰, 30I⁴, 5B⁰, 10C⁰, 20D¹, 12B¹, 2B⁰, 3A⁰, 1A⁰, 6D⁰, 15C⁰</t>
        </is>
      </c>
      <c r="O3430" t="inlineStr"/>
    </row>
    <row r="3431">
      <c r="A3431">
        <f>HYPERLINK("https://mathstats.uncg.edu/sites/pauli/congruence/csg13.html#group60S13", "60S¹³")</f>
        <v/>
      </c>
      <c r="B3431" t="n">
        <v>13</v>
      </c>
      <c r="C3431" t="inlineStr"/>
      <c r="D3431" t="inlineStr">
        <is>
          <t>216</t>
        </is>
      </c>
      <c r="E3431" t="inlineStr">
        <is>
          <t>1</t>
        </is>
      </c>
      <c r="F3431" t="inlineStr">
        <is>
          <t>54</t>
        </is>
      </c>
      <c r="G3431" t="inlineStr">
        <is>
          <t>0</t>
        </is>
      </c>
      <c r="H3431" t="inlineStr">
        <is>
          <t>0</t>
        </is>
      </c>
      <c r="I3431" t="inlineStr">
        <is>
          <t>3⁴, 12², 15⁴, 60²</t>
        </is>
      </c>
      <c r="J3431" t="n">
        <v>12</v>
      </c>
      <c r="K3431" t="inlineStr">
        <is>
          <t>1⁶, 2⁶, 4³, 8³</t>
        </is>
      </c>
      <c r="L3431" t="inlineStr">
        <is>
          <t>60B⁵, 30C⁶, 60E⁶</t>
        </is>
      </c>
      <c r="M3431" t="inlineStr"/>
      <c r="N3431" t="inlineStr">
        <is>
          <t>15B⁰, 60E⁶, 30E², 30C⁶, 15B², 5B⁰, 5D⁰, 10C⁰, 2B⁰, 12D⁰, 3A⁰, 1A⁰, 10F⁰, 6D⁰, 60B⁵</t>
        </is>
      </c>
      <c r="O3431" t="inlineStr"/>
    </row>
    <row r="3432">
      <c r="A3432">
        <f>HYPERLINK("https://mathstats.uncg.edu/sites/pauli/congruence/csg13.html#group60T13", "60T¹³")</f>
        <v/>
      </c>
      <c r="B3432" t="n">
        <v>13</v>
      </c>
      <c r="C3432" t="inlineStr"/>
      <c r="D3432" t="inlineStr">
        <is>
          <t>216</t>
        </is>
      </c>
      <c r="E3432" t="inlineStr">
        <is>
          <t>1</t>
        </is>
      </c>
      <c r="F3432" t="inlineStr">
        <is>
          <t>54</t>
        </is>
      </c>
      <c r="G3432" t="inlineStr">
        <is>
          <t>0</t>
        </is>
      </c>
      <c r="H3432" t="inlineStr">
        <is>
          <t>0</t>
        </is>
      </c>
      <c r="I3432" t="inlineStr">
        <is>
          <t>3⁴, 12², 15⁴, 60²</t>
        </is>
      </c>
      <c r="J3432" t="n">
        <v>12</v>
      </c>
      <c r="K3432" t="inlineStr">
        <is>
          <t>1⁶, 2⁶, 4³, 8³</t>
        </is>
      </c>
      <c r="L3432" t="inlineStr">
        <is>
          <t>12K¹, 30O⁵, 60B⁵, 60H⁷</t>
        </is>
      </c>
      <c r="M3432" t="inlineStr"/>
      <c r="N3432" t="inlineStr">
        <is>
          <t>12K¹, 60H⁷, 5B⁰, 6G⁰, 2B⁰, 20D¹, 30O⁵, 4B⁰, 1A⁰, 15B⁰, 30E², 15E¹, 10C⁰, 3C⁰, 12B¹, 12D⁰, 3A⁰, 6D⁰, 60B⁵</t>
        </is>
      </c>
      <c r="O3432" t="inlineStr"/>
    </row>
    <row r="3433">
      <c r="A3433">
        <f>HYPERLINK("https://mathstats.uncg.edu/sites/pauli/congruence/csg13.html#group60U13", "60U¹³")</f>
        <v/>
      </c>
      <c r="B3433" t="n">
        <v>13</v>
      </c>
      <c r="C3433" t="inlineStr"/>
      <c r="D3433" t="inlineStr">
        <is>
          <t>216</t>
        </is>
      </c>
      <c r="E3433" t="inlineStr">
        <is>
          <t>1</t>
        </is>
      </c>
      <c r="F3433" t="inlineStr">
        <is>
          <t>54</t>
        </is>
      </c>
      <c r="G3433" t="inlineStr">
        <is>
          <t>8</t>
        </is>
      </c>
      <c r="H3433" t="inlineStr">
        <is>
          <t>0</t>
        </is>
      </c>
      <c r="I3433" t="inlineStr">
        <is>
          <t>6², 12², 30², 60²</t>
        </is>
      </c>
      <c r="J3433" t="n">
        <v>8</v>
      </c>
      <c r="K3433" t="inlineStr">
        <is>
          <t>1⁶, 2⁶, 4³, 8³</t>
        </is>
      </c>
      <c r="L3433" t="inlineStr">
        <is>
          <t>30O⁵, 60F⁶</t>
        </is>
      </c>
      <c r="M3433" t="inlineStr"/>
      <c r="N3433" t="inlineStr">
        <is>
          <t>15B⁰, 60F⁶, 30E², 5B⁰, 10C⁰, 6G⁰, 3C⁰, 2B⁰, 30O⁵, 3A⁰, 1A⁰, 6D⁰, 15E¹</t>
        </is>
      </c>
      <c r="O3433" t="inlineStr"/>
    </row>
    <row r="3434">
      <c r="A3434">
        <f>HYPERLINK("https://mathstats.uncg.edu/sites/pauli/congruence/csg13.html#group60V13", "60V¹³")</f>
        <v/>
      </c>
      <c r="B3434" t="n">
        <v>13</v>
      </c>
      <c r="C3434" t="inlineStr"/>
      <c r="D3434" t="inlineStr">
        <is>
          <t>216</t>
        </is>
      </c>
      <c r="E3434" t="inlineStr">
        <is>
          <t>1</t>
        </is>
      </c>
      <c r="F3434" t="inlineStr">
        <is>
          <t>54</t>
        </is>
      </c>
      <c r="G3434" t="inlineStr">
        <is>
          <t>8</t>
        </is>
      </c>
      <c r="H3434" t="inlineStr">
        <is>
          <t>0</t>
        </is>
      </c>
      <c r="I3434" t="inlineStr">
        <is>
          <t>6², 12², 30², 60²</t>
        </is>
      </c>
      <c r="J3434" t="n">
        <v>8</v>
      </c>
      <c r="K3434" t="inlineStr">
        <is>
          <t>1⁶, 2⁶, 4³, 8³</t>
        </is>
      </c>
      <c r="L3434" t="inlineStr">
        <is>
          <t>30H⁴, 60E⁶, 60I⁷</t>
        </is>
      </c>
      <c r="M3434" t="inlineStr"/>
      <c r="N3434" t="inlineStr">
        <is>
          <t>30A⁰, 60E⁶, 10G⁰, 5B⁰, 2B⁰, 1A⁰, 10B⁰, 15B⁰, 30E², 12C¹, 60I⁷, 10C⁰, 30H⁴, 3A⁰, 6D⁰</t>
        </is>
      </c>
      <c r="O3434" t="inlineStr"/>
    </row>
    <row r="3435">
      <c r="A3435">
        <f>HYPERLINK("https://mathstats.uncg.edu/sites/pauli/congruence/csg13.html#group60W13", "60W¹³")</f>
        <v/>
      </c>
      <c r="B3435" t="n">
        <v>13</v>
      </c>
      <c r="C3435" t="inlineStr"/>
      <c r="D3435" t="inlineStr">
        <is>
          <t>216</t>
        </is>
      </c>
      <c r="E3435" t="inlineStr">
        <is>
          <t>1</t>
        </is>
      </c>
      <c r="F3435" t="inlineStr">
        <is>
          <t>54</t>
        </is>
      </c>
      <c r="G3435" t="inlineStr">
        <is>
          <t>8</t>
        </is>
      </c>
      <c r="H3435" t="inlineStr">
        <is>
          <t>0</t>
        </is>
      </c>
      <c r="I3435" t="inlineStr">
        <is>
          <t>6², 12², 30², 60²</t>
        </is>
      </c>
      <c r="J3435" t="n">
        <v>8</v>
      </c>
      <c r="K3435" t="inlineStr">
        <is>
          <t>1⁶, 2⁶, 4³, 8³</t>
        </is>
      </c>
      <c r="L3435" t="inlineStr">
        <is>
          <t>60C⁴, 30D⁶, 60I⁷</t>
        </is>
      </c>
      <c r="M3435" t="inlineStr"/>
      <c r="N3435" t="inlineStr">
        <is>
          <t>20A⁰, 15B⁰, 30D⁶, 30E², 60I⁷, 12C¹, 5B⁰, 10C⁰, 60C⁴, 2B⁰, 3A⁰, 1A⁰, 6D⁰, 30C²</t>
        </is>
      </c>
      <c r="O3435" t="inlineStr"/>
    </row>
    <row r="3436">
      <c r="A3436">
        <f>HYPERLINK("https://mathstats.uncg.edu/sites/pauli/congruence/csg13.html#group60X13", "60X¹³")</f>
        <v/>
      </c>
      <c r="B3436" t="n">
        <v>13</v>
      </c>
      <c r="C3436" t="inlineStr"/>
      <c r="D3436" t="inlineStr">
        <is>
          <t>216</t>
        </is>
      </c>
      <c r="E3436" t="inlineStr">
        <is>
          <t>1</t>
        </is>
      </c>
      <c r="F3436" t="inlineStr">
        <is>
          <t>54</t>
        </is>
      </c>
      <c r="G3436" t="inlineStr">
        <is>
          <t>8</t>
        </is>
      </c>
      <c r="H3436" t="inlineStr">
        <is>
          <t>0</t>
        </is>
      </c>
      <c r="I3436" t="inlineStr">
        <is>
          <t>6², 12², 30², 60²</t>
        </is>
      </c>
      <c r="J3436" t="n">
        <v>8</v>
      </c>
      <c r="K3436" t="inlineStr">
        <is>
          <t>1⁶, 2⁶, 4³, 8³</t>
        </is>
      </c>
      <c r="L3436" t="inlineStr">
        <is>
          <t>60A⁵, 30D⁶, 60E⁶</t>
        </is>
      </c>
      <c r="M3436" t="inlineStr"/>
      <c r="N3436" t="inlineStr">
        <is>
          <t>20E¹, 15B⁰, 60E⁶, 12C⁰, 30D⁶, 30E², 60A⁵, 4C⁰, 5B⁰, 10C⁰, 2B⁰, 3A⁰, 1A⁰, 6D⁰, 30C²</t>
        </is>
      </c>
      <c r="O3436" t="inlineStr"/>
    </row>
    <row r="3437">
      <c r="A3437">
        <f>HYPERLINK("https://mathstats.uncg.edu/sites/pauli/congruence/csg13.html#group60Y13", "60Y¹³")</f>
        <v/>
      </c>
      <c r="B3437" t="n">
        <v>13</v>
      </c>
      <c r="C3437" t="inlineStr"/>
      <c r="D3437" t="inlineStr">
        <is>
          <t>216</t>
        </is>
      </c>
      <c r="E3437" t="inlineStr">
        <is>
          <t>1</t>
        </is>
      </c>
      <c r="F3437" t="inlineStr">
        <is>
          <t>54</t>
        </is>
      </c>
      <c r="G3437" t="inlineStr">
        <is>
          <t>8</t>
        </is>
      </c>
      <c r="H3437" t="inlineStr">
        <is>
          <t>0</t>
        </is>
      </c>
      <c r="I3437" t="inlineStr">
        <is>
          <t>6², 12², 30², 60²</t>
        </is>
      </c>
      <c r="J3437" t="n">
        <v>8</v>
      </c>
      <c r="K3437" t="inlineStr">
        <is>
          <t>1⁶, 2⁶, 4³, 8³</t>
        </is>
      </c>
      <c r="L3437" t="inlineStr">
        <is>
          <t>12L¹, 30O⁵, 60A⁵, 60I⁷</t>
        </is>
      </c>
      <c r="M3437" t="inlineStr"/>
      <c r="N3437" t="inlineStr">
        <is>
          <t>20E¹, 12C⁰, 4C⁰, 5B⁰, 6G⁰, 2B⁰, 30O⁵, 1A⁰, 12L¹, 15B⁰, 30E², 12C¹, 60A⁵, 60I⁷, 10C⁰, 3C⁰, 3A⁰, 6D⁰, 15E¹</t>
        </is>
      </c>
      <c r="O3437" t="inlineStr"/>
    </row>
    <row r="3438">
      <c r="A3438">
        <f>HYPERLINK("https://mathstats.uncg.edu/sites/pauli/congruence/csg13.html#group60Z13", "60Z¹³")</f>
        <v/>
      </c>
      <c r="B3438" t="n">
        <v>13</v>
      </c>
      <c r="C3438" t="inlineStr"/>
      <c r="D3438" t="inlineStr">
        <is>
          <t>216</t>
        </is>
      </c>
      <c r="E3438" t="inlineStr">
        <is>
          <t>1</t>
        </is>
      </c>
      <c r="F3438" t="inlineStr">
        <is>
          <t>108</t>
        </is>
      </c>
      <c r="G3438" t="inlineStr">
        <is>
          <t>12</t>
        </is>
      </c>
      <c r="H3438" t="inlineStr">
        <is>
          <t>0</t>
        </is>
      </c>
      <c r="I3438" t="inlineStr">
        <is>
          <t>12³, 60³</t>
        </is>
      </c>
      <c r="J3438" t="n">
        <v>6</v>
      </c>
      <c r="K3438" t="inlineStr">
        <is>
          <t>1⁴, 2⁸, 4⁶, 8⁴, 16²</t>
        </is>
      </c>
      <c r="L3438" t="inlineStr">
        <is>
          <t>60A⁵</t>
        </is>
      </c>
      <c r="M3438" t="inlineStr"/>
      <c r="N3438" t="inlineStr">
        <is>
          <t>20E¹, 15B⁰, 12C⁰, 30E², 60A⁵, 4C⁰, 5B⁰, 10C⁰, 2B⁰, 3A⁰, 1A⁰, 6D⁰</t>
        </is>
      </c>
      <c r="O3438" t="inlineStr"/>
    </row>
    <row r="3439">
      <c r="A3439">
        <f>HYPERLINK("https://mathstats.uncg.edu/sites/pauli/congruence/csg13.html#group60AA13", "60AA¹³")</f>
        <v/>
      </c>
      <c r="B3439" t="n">
        <v>13</v>
      </c>
      <c r="C3439" t="inlineStr"/>
      <c r="D3439" t="inlineStr">
        <is>
          <t>216</t>
        </is>
      </c>
      <c r="E3439" t="inlineStr">
        <is>
          <t>1</t>
        </is>
      </c>
      <c r="F3439" t="inlineStr">
        <is>
          <t>108</t>
        </is>
      </c>
      <c r="G3439" t="inlineStr">
        <is>
          <t>12</t>
        </is>
      </c>
      <c r="H3439" t="inlineStr">
        <is>
          <t>0</t>
        </is>
      </c>
      <c r="I3439" t="inlineStr">
        <is>
          <t>12³, 60³</t>
        </is>
      </c>
      <c r="J3439" t="n">
        <v>6</v>
      </c>
      <c r="K3439" t="inlineStr">
        <is>
          <t>1⁴, 2⁸, 4⁶, 8⁴, 16²</t>
        </is>
      </c>
      <c r="L3439" t="inlineStr">
        <is>
          <t>12M¹, 60A⁵</t>
        </is>
      </c>
      <c r="M3439" t="inlineStr"/>
      <c r="N3439" t="inlineStr">
        <is>
          <t>20E¹, 15B⁰, 12C⁰, 30E², 60A⁵, 4C⁰, 5B⁰, 10C⁰, 12M¹, 2B⁰, 3A⁰, 1A⁰, 6D⁰</t>
        </is>
      </c>
      <c r="O3439" t="inlineStr"/>
    </row>
    <row r="3440">
      <c r="A3440">
        <f>HYPERLINK("https://mathstats.uncg.edu/sites/pauli/congruence/csg13.html#group60AB13", "60AB¹³")</f>
        <v/>
      </c>
      <c r="B3440" t="n">
        <v>13</v>
      </c>
      <c r="C3440" t="inlineStr"/>
      <c r="D3440" t="inlineStr">
        <is>
          <t>216</t>
        </is>
      </c>
      <c r="E3440" t="inlineStr">
        <is>
          <t>2</t>
        </is>
      </c>
      <c r="F3440" t="inlineStr">
        <is>
          <t>18</t>
        </is>
      </c>
      <c r="G3440" t="inlineStr">
        <is>
          <t>12</t>
        </is>
      </c>
      <c r="H3440" t="inlineStr">
        <is>
          <t>0</t>
        </is>
      </c>
      <c r="I3440" t="inlineStr">
        <is>
          <t>12³, 60³</t>
        </is>
      </c>
      <c r="J3440" t="n">
        <v>6</v>
      </c>
      <c r="K3440" t="inlineStr">
        <is>
          <t>2⁶, 8³</t>
        </is>
      </c>
      <c r="L3440" t="inlineStr">
        <is>
          <t>20M³, 60C³, 30H⁴</t>
        </is>
      </c>
      <c r="M3440" t="inlineStr"/>
      <c r="N3440" t="inlineStr">
        <is>
          <t>30A⁰, 20C¹, 15B⁰, 20M³, 60C³, 10G⁰, 30E², 5B⁰, 10C⁰, 2B⁰, 30H⁴, 3A⁰, 1A⁰, 6D⁰, 10B⁰</t>
        </is>
      </c>
      <c r="O3440" t="inlineStr"/>
    </row>
    <row r="3441">
      <c r="A3441">
        <f>HYPERLINK("https://mathstats.uncg.edu/sites/pauli/congruence/csg13.html#group60AC13", "60AC¹³")</f>
        <v/>
      </c>
      <c r="B3441" t="n">
        <v>13</v>
      </c>
      <c r="C3441" t="inlineStr"/>
      <c r="D3441" t="inlineStr">
        <is>
          <t>216</t>
        </is>
      </c>
      <c r="E3441" t="inlineStr">
        <is>
          <t>2</t>
        </is>
      </c>
      <c r="F3441" t="inlineStr">
        <is>
          <t>54</t>
        </is>
      </c>
      <c r="G3441" t="inlineStr">
        <is>
          <t>8</t>
        </is>
      </c>
      <c r="H3441" t="inlineStr">
        <is>
          <t>0</t>
        </is>
      </c>
      <c r="I3441" t="inlineStr">
        <is>
          <t>6², 12², 30², 60²</t>
        </is>
      </c>
      <c r="J3441" t="n">
        <v>8</v>
      </c>
      <c r="K3441" t="inlineStr">
        <is>
          <t>2¹⁸, 8⁹</t>
        </is>
      </c>
      <c r="L3441" t="inlineStr">
        <is>
          <t>30I⁴, 60F⁶, 60I⁷</t>
        </is>
      </c>
      <c r="M3441" t="inlineStr"/>
      <c r="N3441" t="inlineStr">
        <is>
          <t>15B⁰, 60F⁶, 30E², 12C¹, 60I⁷, 30I⁴, 5B⁰, 10C⁰, 2B⁰, 3A⁰, 1A⁰, 6D⁰, 15C⁰</t>
        </is>
      </c>
      <c r="O3441" t="inlineStr"/>
    </row>
    <row r="3442">
      <c r="A3442">
        <f>HYPERLINK("https://mathstats.uncg.edu/sites/pauli/congruence/csg13.html#group60AD13", "60AD¹³")</f>
        <v/>
      </c>
      <c r="B3442" t="n">
        <v>13</v>
      </c>
      <c r="C3442" t="inlineStr"/>
      <c r="D3442" t="inlineStr">
        <is>
          <t>216</t>
        </is>
      </c>
      <c r="E3442" t="inlineStr">
        <is>
          <t>2</t>
        </is>
      </c>
      <c r="F3442" t="inlineStr">
        <is>
          <t>54</t>
        </is>
      </c>
      <c r="G3442" t="inlineStr">
        <is>
          <t>8</t>
        </is>
      </c>
      <c r="H3442" t="inlineStr">
        <is>
          <t>0</t>
        </is>
      </c>
      <c r="I3442" t="inlineStr">
        <is>
          <t>6², 12², 30², 60²</t>
        </is>
      </c>
      <c r="J3442" t="n">
        <v>8</v>
      </c>
      <c r="K3442" t="inlineStr">
        <is>
          <t>2¹⁸, 8⁹</t>
        </is>
      </c>
      <c r="L3442" t="inlineStr">
        <is>
          <t>30P⁵, 60E⁶, 60F⁶</t>
        </is>
      </c>
      <c r="M3442" t="inlineStr"/>
      <c r="N3442" t="inlineStr">
        <is>
          <t>15B⁰, 60E⁶, 60F⁶, 6B⁰, 30E², 5B⁰, 10C⁰, 2B⁰, 6H⁰, 3A⁰, 1A⁰, 30P⁵, 6D⁰, 30C¹</t>
        </is>
      </c>
      <c r="O3442" t="inlineStr"/>
    </row>
    <row r="3443">
      <c r="A3443">
        <f>HYPERLINK("https://mathstats.uncg.edu/sites/pauli/congruence/csg13.html#group60AE13", "60AE¹³")</f>
        <v/>
      </c>
      <c r="B3443" t="n">
        <v>13</v>
      </c>
      <c r="C3443" t="inlineStr"/>
      <c r="D3443" t="inlineStr">
        <is>
          <t>216</t>
        </is>
      </c>
      <c r="E3443" t="inlineStr">
        <is>
          <t>2</t>
        </is>
      </c>
      <c r="F3443" t="inlineStr">
        <is>
          <t>54</t>
        </is>
      </c>
      <c r="G3443" t="inlineStr">
        <is>
          <t>8</t>
        </is>
      </c>
      <c r="H3443" t="inlineStr">
        <is>
          <t>0</t>
        </is>
      </c>
      <c r="I3443" t="inlineStr">
        <is>
          <t>6², 12², 30², 60²</t>
        </is>
      </c>
      <c r="J3443" t="n">
        <v>8</v>
      </c>
      <c r="K3443" t="inlineStr">
        <is>
          <t>2¹⁸, 8⁹</t>
        </is>
      </c>
      <c r="L3443" t="inlineStr">
        <is>
          <t>60B⁵, 30D⁶, 60F⁶</t>
        </is>
      </c>
      <c r="M3443" t="inlineStr"/>
      <c r="N3443" t="inlineStr">
        <is>
          <t>15B⁰, 60F⁶, 30D⁶, 30E², 5B⁰, 10C⁰, 2B⁰, 12D⁰, 3A⁰, 1A⁰, 6D⁰, 60B⁵, 30C²</t>
        </is>
      </c>
      <c r="O3443" t="inlineStr"/>
    </row>
    <row r="3444">
      <c r="A3444">
        <f>HYPERLINK("https://mathstats.uncg.edu/sites/pauli/congruence/csg13.html#group60AF13", "60AF¹³")</f>
        <v/>
      </c>
      <c r="B3444" t="n">
        <v>13</v>
      </c>
      <c r="C3444" t="inlineStr"/>
      <c r="D3444" t="inlineStr">
        <is>
          <t>216</t>
        </is>
      </c>
      <c r="E3444" t="inlineStr">
        <is>
          <t>2</t>
        </is>
      </c>
      <c r="F3444" t="inlineStr">
        <is>
          <t>54</t>
        </is>
      </c>
      <c r="G3444" t="inlineStr">
        <is>
          <t>8</t>
        </is>
      </c>
      <c r="H3444" t="inlineStr">
        <is>
          <t>0</t>
        </is>
      </c>
      <c r="I3444" t="inlineStr">
        <is>
          <t>6², 12², 30², 60²</t>
        </is>
      </c>
      <c r="J3444" t="n">
        <v>8</v>
      </c>
      <c r="K3444" t="inlineStr">
        <is>
          <t>2¹⁸, 8⁹</t>
        </is>
      </c>
      <c r="L3444" t="inlineStr">
        <is>
          <t>12N¹, 30P⁵, 60B⁵, 60I⁷</t>
        </is>
      </c>
      <c r="M3444" t="inlineStr"/>
      <c r="N3444" t="inlineStr">
        <is>
          <t>6B⁰, 30C¹, 5B⁰, 2B⁰, 12N¹, 1A⁰, 30P⁵, 15B⁰, 30E², 12C¹, 60I⁷, 10C⁰, 12D⁰, 6H⁰, 3A⁰, 6D⁰, 60B⁵</t>
        </is>
      </c>
      <c r="O3444" t="inlineStr"/>
    </row>
    <row r="3445">
      <c r="A3445">
        <f>HYPERLINK("https://mathstats.uncg.edu/sites/pauli/congruence/csg13.html#group60AG13", "60AG¹³")</f>
        <v/>
      </c>
      <c r="B3445" t="n">
        <v>13</v>
      </c>
      <c r="C3445" t="inlineStr"/>
      <c r="D3445" t="inlineStr">
        <is>
          <t>216</t>
        </is>
      </c>
      <c r="E3445" t="inlineStr">
        <is>
          <t>2</t>
        </is>
      </c>
      <c r="F3445" t="inlineStr">
        <is>
          <t>54</t>
        </is>
      </c>
      <c r="G3445" t="inlineStr">
        <is>
          <t>12</t>
        </is>
      </c>
      <c r="H3445" t="inlineStr">
        <is>
          <t>0</t>
        </is>
      </c>
      <c r="I3445" t="inlineStr">
        <is>
          <t>12³, 60³</t>
        </is>
      </c>
      <c r="J3445" t="n">
        <v>6</v>
      </c>
      <c r="K3445" t="inlineStr">
        <is>
          <t>2⁶, 4⁶, 8³, 16³</t>
        </is>
      </c>
      <c r="L3445" t="inlineStr">
        <is>
          <t>60D³, 30H⁴</t>
        </is>
      </c>
      <c r="M3445" t="inlineStr"/>
      <c r="N3445" t="inlineStr">
        <is>
          <t>30A⁰, 15B⁰, 10G⁰, 30E², 5B⁰, 10C⁰, 2B⁰, 30H⁴, 60D³, 3A⁰, 1A⁰, 6D⁰, 10B⁰</t>
        </is>
      </c>
      <c r="O3445" t="inlineStr"/>
    </row>
    <row r="3446">
      <c r="A3446">
        <f>HYPERLINK("https://mathstats.uncg.edu/sites/pauli/congruence/csg13.html#group60AH13", "60AH¹³")</f>
        <v/>
      </c>
      <c r="B3446" t="n">
        <v>13</v>
      </c>
      <c r="C3446" t="inlineStr"/>
      <c r="D3446" t="inlineStr">
        <is>
          <t>240</t>
        </is>
      </c>
      <c r="E3446" t="inlineStr">
        <is>
          <t>1</t>
        </is>
      </c>
      <c r="F3446" t="inlineStr">
        <is>
          <t>40</t>
        </is>
      </c>
      <c r="G3446" t="inlineStr">
        <is>
          <t>24</t>
        </is>
      </c>
      <c r="H3446" t="inlineStr">
        <is>
          <t>0</t>
        </is>
      </c>
      <c r="I3446" t="inlineStr">
        <is>
          <t>60⁴</t>
        </is>
      </c>
      <c r="J3446" t="n">
        <v>4</v>
      </c>
      <c r="K3446" t="inlineStr">
        <is>
          <t>4², 8⁴</t>
        </is>
      </c>
      <c r="L3446" t="inlineStr">
        <is>
          <t>30F², 20O³, 60J⁷</t>
        </is>
      </c>
      <c r="M3446" t="inlineStr"/>
      <c r="N3446" t="inlineStr">
        <is>
          <t>60J⁷, 15D¹, 12A⁰, 20O³, 4A⁰, 10D⁰, 5C⁰, 1A⁰, 3A⁰, 30F², 20E²</t>
        </is>
      </c>
      <c r="O3446" t="inlineStr"/>
    </row>
    <row r="3447">
      <c r="A3447">
        <f>HYPERLINK("https://mathstats.uncg.edu/sites/pauli/congruence/csg13.html#group60AI13", "60AI¹³")</f>
        <v/>
      </c>
      <c r="B3447" t="n">
        <v>13</v>
      </c>
      <c r="C3447" t="inlineStr"/>
      <c r="D3447" t="inlineStr">
        <is>
          <t>288</t>
        </is>
      </c>
      <c r="E3447" t="inlineStr">
        <is>
          <t>1</t>
        </is>
      </c>
      <c r="F3447" t="inlineStr">
        <is>
          <t>72</t>
        </is>
      </c>
      <c r="G3447" t="inlineStr">
        <is>
          <t>0</t>
        </is>
      </c>
      <c r="H3447" t="inlineStr">
        <is>
          <t>0</t>
        </is>
      </c>
      <c r="I3447" t="inlineStr">
        <is>
          <t>1⁴, 3⁴, 4², 5⁴, 12², 15⁴, 20², 60²</t>
        </is>
      </c>
      <c r="J3447" t="n">
        <v>24</v>
      </c>
      <c r="K3447" t="inlineStr">
        <is>
          <t>1¹², 2⁶, 4⁶, 8³</t>
        </is>
      </c>
      <c r="L3447" t="inlineStr">
        <is>
          <t>30S⁵</t>
        </is>
      </c>
      <c r="M3447" t="inlineStr"/>
      <c r="N3447" t="inlineStr">
        <is>
          <t>15C¹, 3B⁰, 5B⁰, 10C⁰, 15G¹, 30S⁵, 5D⁰, 2B⁰, 30K³, 1A⁰, 6F⁰, 10F⁰</t>
        </is>
      </c>
      <c r="O3447" t="inlineStr"/>
    </row>
    <row r="3448">
      <c r="A3448">
        <f>HYPERLINK("https://mathstats.uncg.edu/sites/pauli/congruence/csg13.html#group60AJ13", "60AJ¹³")</f>
        <v/>
      </c>
      <c r="B3448" t="n">
        <v>13</v>
      </c>
      <c r="C3448" t="inlineStr"/>
      <c r="D3448" t="inlineStr">
        <is>
          <t>288</t>
        </is>
      </c>
      <c r="E3448" t="inlineStr">
        <is>
          <t>1</t>
        </is>
      </c>
      <c r="F3448" t="inlineStr">
        <is>
          <t>72</t>
        </is>
      </c>
      <c r="G3448" t="inlineStr">
        <is>
          <t>0</t>
        </is>
      </c>
      <c r="H3448" t="inlineStr">
        <is>
          <t>0</t>
        </is>
      </c>
      <c r="I3448" t="inlineStr">
        <is>
          <t>1⁴, 3⁴, 4², 5⁴, 12², 15⁴, 20², 60²</t>
        </is>
      </c>
      <c r="J3448" t="n">
        <v>24</v>
      </c>
      <c r="K3448" t="inlineStr">
        <is>
          <t>1¹², 2⁶, 4⁶, 8³</t>
        </is>
      </c>
      <c r="L3448" t="inlineStr">
        <is>
          <t>20H¹, 30S⁵, 60O⁷, 60P⁷</t>
        </is>
      </c>
      <c r="M3448" t="inlineStr"/>
      <c r="N3448" t="inlineStr">
        <is>
          <t>3B⁰, 5B⁰, 15G¹, 5D⁰, 60O⁷, 2B⁰, 20H¹, 20D¹, 4B⁰, 1A⁰, 10F⁰, 15C¹, 20A⁰, 10C⁰, 30S⁵, 60P⁷, 30K³, 6F⁰, 12E⁰</t>
        </is>
      </c>
      <c r="O3448" t="inlineStr"/>
    </row>
    <row r="3449">
      <c r="A3449">
        <f>HYPERLINK("https://mathstats.uncg.edu/sites/pauli/congruence/csg13.html#group60AK13", "60AK¹³")</f>
        <v/>
      </c>
      <c r="B3449" t="n">
        <v>13</v>
      </c>
      <c r="C3449" t="inlineStr"/>
      <c r="D3449" t="inlineStr">
        <is>
          <t>288</t>
        </is>
      </c>
      <c r="E3449" t="inlineStr">
        <is>
          <t>1</t>
        </is>
      </c>
      <c r="F3449" t="inlineStr">
        <is>
          <t>72</t>
        </is>
      </c>
      <c r="G3449" t="inlineStr">
        <is>
          <t>32</t>
        </is>
      </c>
      <c r="H3449" t="inlineStr">
        <is>
          <t>0</t>
        </is>
      </c>
      <c r="I3449" t="inlineStr">
        <is>
          <t>12⁴, 60⁴</t>
        </is>
      </c>
      <c r="J3449" t="n">
        <v>8</v>
      </c>
      <c r="K3449" t="inlineStr">
        <is>
          <t>2⁴, 4⁴, 8², 16²</t>
        </is>
      </c>
      <c r="L3449" t="inlineStr">
        <is>
          <t>30D¹, 60C⁵, 60Q⁷, 60R⁷</t>
        </is>
      </c>
      <c r="M3449" t="inlineStr"/>
      <c r="N3449" t="inlineStr">
        <is>
          <t>30A⁰, 6B⁰, 60C⁵, 30C¹, 60R⁷, 5B⁰, 12F⁰, 1A⁰, 20B¹, 10B⁰, 30D¹, 15B⁰, 12A⁰, 4A⁰, 20G¹, 60Q⁷, 60B³, 3A⁰, 15C⁰</t>
        </is>
      </c>
      <c r="O3449" t="inlineStr"/>
    </row>
    <row r="3450">
      <c r="A3450">
        <f>HYPERLINK("https://mathstats.uncg.edu/sites/pauli/congruence/csg13.html#group63A13", "63A¹³")</f>
        <v/>
      </c>
      <c r="B3450" t="n">
        <v>13</v>
      </c>
      <c r="C3450" t="inlineStr"/>
      <c r="D3450" t="inlineStr">
        <is>
          <t>168</t>
        </is>
      </c>
      <c r="E3450" t="inlineStr">
        <is>
          <t>2</t>
        </is>
      </c>
      <c r="F3450" t="inlineStr">
        <is>
          <t>28</t>
        </is>
      </c>
      <c r="G3450" t="inlineStr">
        <is>
          <t>0</t>
        </is>
      </c>
      <c r="H3450" t="inlineStr">
        <is>
          <t>0</t>
        </is>
      </c>
      <c r="I3450" t="inlineStr">
        <is>
          <t>21², 63²</t>
        </is>
      </c>
      <c r="J3450" t="n">
        <v>4</v>
      </c>
      <c r="K3450" t="inlineStr">
        <is>
          <t>2², 4¹, 6⁴, 12²</t>
        </is>
      </c>
      <c r="L3450" t="inlineStr">
        <is>
          <t>21B³, 63A⁷</t>
        </is>
      </c>
      <c r="M3450" t="inlineStr"/>
      <c r="N3450" t="inlineStr">
        <is>
          <t>21B³, 3B⁰, 21B², 7C⁰, 9A¹, 1A⁰, 63A⁷, 7A⁰</t>
        </is>
      </c>
      <c r="O3450" t="inlineStr"/>
    </row>
    <row r="3451">
      <c r="A3451">
        <f>HYPERLINK("https://mathstats.uncg.edu/sites/pauli/congruence/csg13.html#group63B13", "63B¹³")</f>
        <v/>
      </c>
      <c r="B3451" t="n">
        <v>13</v>
      </c>
      <c r="C3451" t="inlineStr"/>
      <c r="D3451" t="inlineStr">
        <is>
          <t>168</t>
        </is>
      </c>
      <c r="E3451" t="inlineStr">
        <is>
          <t>2</t>
        </is>
      </c>
      <c r="F3451" t="inlineStr">
        <is>
          <t>56</t>
        </is>
      </c>
      <c r="G3451" t="inlineStr">
        <is>
          <t>0</t>
        </is>
      </c>
      <c r="H3451" t="inlineStr">
        <is>
          <t>0</t>
        </is>
      </c>
      <c r="I3451" t="inlineStr">
        <is>
          <t>21², 63²</t>
        </is>
      </c>
      <c r="J3451" t="n">
        <v>4</v>
      </c>
      <c r="K3451" t="inlineStr">
        <is>
          <t>4⁴, 12⁸</t>
        </is>
      </c>
      <c r="L3451" t="inlineStr">
        <is>
          <t>21B³</t>
        </is>
      </c>
      <c r="M3451" t="inlineStr"/>
      <c r="N3451" t="inlineStr">
        <is>
          <t>21B³, 3B⁰, 21B², 1A⁰, 7C⁰, 7A⁰</t>
        </is>
      </c>
      <c r="O3451" t="inlineStr"/>
    </row>
    <row r="3452">
      <c r="A3452">
        <f>HYPERLINK("https://mathstats.uncg.edu/sites/pauli/congruence/csg13.html#group63C13", "63C¹³")</f>
        <v/>
      </c>
      <c r="B3452" t="n">
        <v>13</v>
      </c>
      <c r="C3452" t="inlineStr"/>
      <c r="D3452" t="inlineStr">
        <is>
          <t>192</t>
        </is>
      </c>
      <c r="E3452" t="inlineStr">
        <is>
          <t>1</t>
        </is>
      </c>
      <c r="F3452" t="inlineStr">
        <is>
          <t>32</t>
        </is>
      </c>
      <c r="G3452" t="inlineStr">
        <is>
          <t>0</t>
        </is>
      </c>
      <c r="H3452" t="inlineStr">
        <is>
          <t>0</t>
        </is>
      </c>
      <c r="I3452" t="inlineStr">
        <is>
          <t>3², 9², 21², 63²</t>
        </is>
      </c>
      <c r="J3452" t="n">
        <v>8</v>
      </c>
      <c r="K3452" t="inlineStr">
        <is>
          <t>1⁴, 2², 6², 12¹</t>
        </is>
      </c>
      <c r="L3452" t="inlineStr">
        <is>
          <t>21F¹, 63B⁷</t>
        </is>
      </c>
      <c r="M3452" t="inlineStr"/>
      <c r="N3452" t="inlineStr">
        <is>
          <t>3B⁰, 63B⁷, 21B¹, 1A⁰, 7B⁰, 21F¹, 9A¹</t>
        </is>
      </c>
      <c r="O3452" t="inlineStr"/>
    </row>
    <row r="3453">
      <c r="A3453">
        <f>HYPERLINK("https://mathstats.uncg.edu/sites/pauli/congruence/csg13.html#group63D13", "63D¹³")</f>
        <v/>
      </c>
      <c r="B3453" t="n">
        <v>13</v>
      </c>
      <c r="C3453" t="inlineStr"/>
      <c r="D3453" t="inlineStr">
        <is>
          <t>192</t>
        </is>
      </c>
      <c r="E3453" t="inlineStr">
        <is>
          <t>2</t>
        </is>
      </c>
      <c r="F3453" t="inlineStr">
        <is>
          <t>32</t>
        </is>
      </c>
      <c r="G3453" t="inlineStr">
        <is>
          <t>0</t>
        </is>
      </c>
      <c r="H3453" t="inlineStr">
        <is>
          <t>0</t>
        </is>
      </c>
      <c r="I3453" t="inlineStr">
        <is>
          <t>3², 9², 21², 63²</t>
        </is>
      </c>
      <c r="J3453" t="n">
        <v>8</v>
      </c>
      <c r="K3453" t="inlineStr">
        <is>
          <t>2⁸, 12⁴</t>
        </is>
      </c>
      <c r="L3453" t="inlineStr">
        <is>
          <t>21F¹, 63C⁷</t>
        </is>
      </c>
      <c r="M3453" t="inlineStr"/>
      <c r="N3453" t="inlineStr">
        <is>
          <t>3B⁰, 63C⁷, 21B¹, 1A⁰, 7B⁰, 21F¹</t>
        </is>
      </c>
      <c r="O3453" t="inlineStr"/>
    </row>
    <row r="3454">
      <c r="A3454">
        <f>HYPERLINK("https://mathstats.uncg.edu/sites/pauli/congruence/csg13.html#group63E13", "63E¹³")</f>
        <v/>
      </c>
      <c r="B3454" t="n">
        <v>13</v>
      </c>
      <c r="C3454" t="inlineStr"/>
      <c r="D3454" t="inlineStr">
        <is>
          <t>288</t>
        </is>
      </c>
      <c r="E3454" t="inlineStr">
        <is>
          <t>1</t>
        </is>
      </c>
      <c r="F3454" t="inlineStr">
        <is>
          <t>32</t>
        </is>
      </c>
      <c r="G3454" t="inlineStr">
        <is>
          <t>0</t>
        </is>
      </c>
      <c r="H3454" t="inlineStr">
        <is>
          <t>0</t>
        </is>
      </c>
      <c r="I3454" t="inlineStr">
        <is>
          <t>1⁹, 7⁹, 9³, 63³</t>
        </is>
      </c>
      <c r="J3454" t="n">
        <v>24</v>
      </c>
      <c r="K3454" t="inlineStr">
        <is>
          <t>1⁴, 2², 6², 12¹</t>
        </is>
      </c>
      <c r="L3454" t="inlineStr">
        <is>
          <t>21D³, 63A⁴, 63A⁵</t>
        </is>
      </c>
      <c r="M3454" t="inlineStr"/>
      <c r="N3454" t="inlineStr">
        <is>
          <t>63A⁵, 3B⁰, 21B¹, 21D³, 7B⁰, 9B⁰, 7E⁰, 1A⁰, 63A⁴</t>
        </is>
      </c>
      <c r="O3454" t="inlineStr"/>
    </row>
    <row r="3455">
      <c r="A3455">
        <f>HYPERLINK("https://mathstats.uncg.edu/sites/pauli/congruence/csg13.html#group64A13", "64A¹³")</f>
        <v/>
      </c>
      <c r="B3455" t="n">
        <v>13</v>
      </c>
      <c r="C3455" t="inlineStr"/>
      <c r="D3455" t="inlineStr">
        <is>
          <t>192</t>
        </is>
      </c>
      <c r="E3455" t="inlineStr">
        <is>
          <t>1</t>
        </is>
      </c>
      <c r="F3455" t="inlineStr">
        <is>
          <t>12</t>
        </is>
      </c>
      <c r="G3455" t="inlineStr">
        <is>
          <t>0</t>
        </is>
      </c>
      <c r="H3455" t="inlineStr">
        <is>
          <t>0</t>
        </is>
      </c>
      <c r="I3455" t="inlineStr">
        <is>
          <t>8⁴, 16², 64²</t>
        </is>
      </c>
      <c r="J3455" t="n">
        <v>8</v>
      </c>
      <c r="K3455" t="inlineStr">
        <is>
          <t>1⁴, 2², 4¹</t>
        </is>
      </c>
      <c r="L3455" t="inlineStr">
        <is>
          <t>32B⁵, 64E⁷</t>
        </is>
      </c>
      <c r="M3455" t="inlineStr"/>
      <c r="N3455" t="inlineStr">
        <is>
          <t>2A⁰, 8D⁰, 16E¹, 4C⁰, 32A³, 16A¹, 8C⁰, 4E⁰, 2B⁰, 4B⁰, 1A⁰, 32B⁵, 8G⁰, 16C⁰, 2C⁰, 64E⁷, 32B³</t>
        </is>
      </c>
      <c r="O3455" t="inlineStr"/>
    </row>
    <row r="3456">
      <c r="A3456">
        <f>HYPERLINK("https://mathstats.uncg.edu/sites/pauli/congruence/csg13.html#group64B13", "64B¹³")</f>
        <v/>
      </c>
      <c r="B3456" t="n">
        <v>13</v>
      </c>
      <c r="C3456" t="inlineStr"/>
      <c r="D3456" t="inlineStr">
        <is>
          <t>192</t>
        </is>
      </c>
      <c r="E3456" t="inlineStr">
        <is>
          <t>1</t>
        </is>
      </c>
      <c r="F3456" t="inlineStr">
        <is>
          <t>12</t>
        </is>
      </c>
      <c r="G3456" t="inlineStr">
        <is>
          <t>0</t>
        </is>
      </c>
      <c r="H3456" t="inlineStr">
        <is>
          <t>0</t>
        </is>
      </c>
      <c r="I3456" t="inlineStr">
        <is>
          <t>8⁴, 16², 64²</t>
        </is>
      </c>
      <c r="J3456" t="n">
        <v>8</v>
      </c>
      <c r="K3456" t="inlineStr">
        <is>
          <t>1⁴, 2², 4¹</t>
        </is>
      </c>
      <c r="L3456" t="inlineStr">
        <is>
          <t>32B⁵, 64F⁷</t>
        </is>
      </c>
      <c r="M3456" t="inlineStr"/>
      <c r="N3456" t="inlineStr">
        <is>
          <t>2A⁰, 8D⁰, 16E¹, 4C⁰, 32A³, 16A¹, 8C⁰, 4E⁰, 2B⁰, 4B⁰, 1A⁰, 64F⁷, 32B⁵, 8G⁰, 16C⁰, 2C⁰, 32B³</t>
        </is>
      </c>
      <c r="O3456" t="inlineStr"/>
    </row>
    <row r="3457">
      <c r="A3457">
        <f>HYPERLINK("https://mathstats.uncg.edu/sites/pauli/congruence/csg13.html#group64C13", "64C¹³")</f>
        <v/>
      </c>
      <c r="B3457" t="n">
        <v>13</v>
      </c>
      <c r="C3457" t="inlineStr"/>
      <c r="D3457" t="inlineStr">
        <is>
          <t>192</t>
        </is>
      </c>
      <c r="E3457" t="inlineStr">
        <is>
          <t>1</t>
        </is>
      </c>
      <c r="F3457" t="inlineStr">
        <is>
          <t>12</t>
        </is>
      </c>
      <c r="G3457" t="inlineStr">
        <is>
          <t>0</t>
        </is>
      </c>
      <c r="H3457" t="inlineStr">
        <is>
          <t>0</t>
        </is>
      </c>
      <c r="I3457" t="inlineStr">
        <is>
          <t>8⁴, 16², 64²</t>
        </is>
      </c>
      <c r="J3457" t="n">
        <v>8</v>
      </c>
      <c r="K3457" t="inlineStr">
        <is>
          <t>1⁴, 2², 4¹</t>
        </is>
      </c>
      <c r="L3457" t="inlineStr">
        <is>
          <t>32A⁵, 64A⁷, 64B⁷</t>
        </is>
      </c>
      <c r="M3457" t="inlineStr"/>
      <c r="N3457" t="inlineStr">
        <is>
          <t>2A⁰, 8D⁰, 16E¹, 4C⁰, 16A¹, 8C⁰, 2B⁰, 4E⁰, 4B⁰, 1A⁰, 32C³, 8G⁰, 16C⁰, 32A⁵, 64B⁷, 64A⁷, 2C⁰</t>
        </is>
      </c>
      <c r="O3457" t="inlineStr"/>
    </row>
    <row r="3458">
      <c r="A3458">
        <f>HYPERLINK("https://mathstats.uncg.edu/sites/pauli/congruence/csg13.html#group64D13", "64D¹³")</f>
        <v/>
      </c>
      <c r="B3458" t="n">
        <v>13</v>
      </c>
      <c r="C3458" t="inlineStr"/>
      <c r="D3458" t="inlineStr">
        <is>
          <t>192</t>
        </is>
      </c>
      <c r="E3458" t="inlineStr">
        <is>
          <t>1</t>
        </is>
      </c>
      <c r="F3458" t="inlineStr">
        <is>
          <t>12</t>
        </is>
      </c>
      <c r="G3458" t="inlineStr">
        <is>
          <t>0</t>
        </is>
      </c>
      <c r="H3458" t="inlineStr">
        <is>
          <t>0</t>
        </is>
      </c>
      <c r="I3458" t="inlineStr">
        <is>
          <t>8⁴, 16², 64²</t>
        </is>
      </c>
      <c r="J3458" t="n">
        <v>8</v>
      </c>
      <c r="K3458" t="inlineStr">
        <is>
          <t>1⁴, 2², 4¹</t>
        </is>
      </c>
      <c r="L3458" t="inlineStr">
        <is>
          <t>32A⁵, 64D⁷, 64C⁷</t>
        </is>
      </c>
      <c r="M3458" t="inlineStr"/>
      <c r="N3458" t="inlineStr">
        <is>
          <t>2A⁰, 8D⁰, 16E¹, 4C⁰, 16A¹, 8C⁰, 2B⁰, 4E⁰, 4B⁰, 1A⁰, 32C³, 8G⁰, 16C⁰, 64C⁷, 64D⁷, 32A⁵, 2C⁰</t>
        </is>
      </c>
      <c r="O3458" t="inlineStr"/>
    </row>
    <row r="3459">
      <c r="A3459">
        <f>HYPERLINK("https://mathstats.uncg.edu/sites/pauli/congruence/csg13.html#group64E13", "64E¹³")</f>
        <v/>
      </c>
      <c r="B3459" t="n">
        <v>13</v>
      </c>
      <c r="C3459" t="inlineStr"/>
      <c r="D3459" t="inlineStr">
        <is>
          <t>192</t>
        </is>
      </c>
      <c r="E3459" t="inlineStr">
        <is>
          <t>1</t>
        </is>
      </c>
      <c r="F3459" t="inlineStr">
        <is>
          <t>12</t>
        </is>
      </c>
      <c r="G3459" t="inlineStr">
        <is>
          <t>0</t>
        </is>
      </c>
      <c r="H3459" t="inlineStr">
        <is>
          <t>0</t>
        </is>
      </c>
      <c r="I3459" t="inlineStr">
        <is>
          <t>8⁴, 16², 64²</t>
        </is>
      </c>
      <c r="J3459" t="n">
        <v>8</v>
      </c>
      <c r="K3459" t="inlineStr">
        <is>
          <t>1⁴, 2², 4¹</t>
        </is>
      </c>
      <c r="L3459" t="inlineStr">
        <is>
          <t>32C⁵, 64A⁷, 64C⁷</t>
        </is>
      </c>
      <c r="M3459" t="inlineStr"/>
      <c r="N3459" t="inlineStr">
        <is>
          <t>32C⁵, 16G¹, 64C⁷, 16D⁰, 32A³, 16A¹, 8C⁰, 2B⁰, 1A⁰, 8I⁰, 4B⁰, 64A⁷, 32C³</t>
        </is>
      </c>
      <c r="O3459" t="inlineStr"/>
    </row>
    <row r="3460">
      <c r="A3460">
        <f>HYPERLINK("https://mathstats.uncg.edu/sites/pauli/congruence/csg13.html#group64F13", "64F¹³")</f>
        <v/>
      </c>
      <c r="B3460" t="n">
        <v>13</v>
      </c>
      <c r="C3460" t="inlineStr"/>
      <c r="D3460" t="inlineStr">
        <is>
          <t>192</t>
        </is>
      </c>
      <c r="E3460" t="inlineStr">
        <is>
          <t>1</t>
        </is>
      </c>
      <c r="F3460" t="inlineStr">
        <is>
          <t>12</t>
        </is>
      </c>
      <c r="G3460" t="inlineStr">
        <is>
          <t>0</t>
        </is>
      </c>
      <c r="H3460" t="inlineStr">
        <is>
          <t>0</t>
        </is>
      </c>
      <c r="I3460" t="inlineStr">
        <is>
          <t>8⁴, 16², 64²</t>
        </is>
      </c>
      <c r="J3460" t="n">
        <v>8</v>
      </c>
      <c r="K3460" t="inlineStr">
        <is>
          <t>1⁴, 2², 4¹</t>
        </is>
      </c>
      <c r="L3460" t="inlineStr">
        <is>
          <t>32C⁵, 64B⁷, 64D⁷</t>
        </is>
      </c>
      <c r="M3460" t="inlineStr"/>
      <c r="N3460" t="inlineStr">
        <is>
          <t>32C⁵, 4B⁰, 16G¹, 16D⁰, 32A³, 64D⁷, 16A¹, 8C⁰, 2B⁰, 8I⁰, 64B⁷, 1A⁰, 32C³</t>
        </is>
      </c>
      <c r="O3460" t="inlineStr"/>
    </row>
    <row r="3461">
      <c r="A3461">
        <f>HYPERLINK("https://mathstats.uncg.edu/sites/pauli/congruence/csg13.html#group64G13", "64G¹³")</f>
        <v/>
      </c>
      <c r="B3461" t="n">
        <v>13</v>
      </c>
      <c r="C3461" t="inlineStr"/>
      <c r="D3461" t="inlineStr">
        <is>
          <t>192</t>
        </is>
      </c>
      <c r="E3461" t="inlineStr">
        <is>
          <t>1</t>
        </is>
      </c>
      <c r="F3461" t="inlineStr">
        <is>
          <t>12</t>
        </is>
      </c>
      <c r="G3461" t="inlineStr">
        <is>
          <t>0</t>
        </is>
      </c>
      <c r="H3461" t="inlineStr">
        <is>
          <t>0</t>
        </is>
      </c>
      <c r="I3461" t="inlineStr">
        <is>
          <t>8⁴, 16², 64²</t>
        </is>
      </c>
      <c r="J3461" t="n">
        <v>8</v>
      </c>
      <c r="K3461" t="inlineStr">
        <is>
          <t>1⁴, 2², 4¹</t>
        </is>
      </c>
      <c r="L3461" t="inlineStr">
        <is>
          <t>32D⁵, 64A⁷, 64D⁷</t>
        </is>
      </c>
      <c r="M3461" t="inlineStr"/>
      <c r="N3461" t="inlineStr">
        <is>
          <t>16G¹, 16D⁰, 32D⁵, 64D⁷, 16A¹, 8C⁰, 2B⁰, 8I⁰, 1A⁰, 4B⁰, 64A⁷, 32C³, 32B³</t>
        </is>
      </c>
      <c r="O3461" t="inlineStr"/>
    </row>
    <row r="3462">
      <c r="A3462">
        <f>HYPERLINK("https://mathstats.uncg.edu/sites/pauli/congruence/csg13.html#group64H13", "64H¹³")</f>
        <v/>
      </c>
      <c r="B3462" t="n">
        <v>13</v>
      </c>
      <c r="C3462" t="inlineStr"/>
      <c r="D3462" t="inlineStr">
        <is>
          <t>192</t>
        </is>
      </c>
      <c r="E3462" t="inlineStr">
        <is>
          <t>1</t>
        </is>
      </c>
      <c r="F3462" t="inlineStr">
        <is>
          <t>12</t>
        </is>
      </c>
      <c r="G3462" t="inlineStr">
        <is>
          <t>0</t>
        </is>
      </c>
      <c r="H3462" t="inlineStr">
        <is>
          <t>0</t>
        </is>
      </c>
      <c r="I3462" t="inlineStr">
        <is>
          <t>8⁴, 16², 64²</t>
        </is>
      </c>
      <c r="J3462" t="n">
        <v>8</v>
      </c>
      <c r="K3462" t="inlineStr">
        <is>
          <t>1⁴, 2², 4¹</t>
        </is>
      </c>
      <c r="L3462" t="inlineStr">
        <is>
          <t>32D⁵, 64B⁷, 64C⁷</t>
        </is>
      </c>
      <c r="M3462" t="inlineStr"/>
      <c r="N3462" t="inlineStr">
        <is>
          <t>16G¹, 4B⁰, 64C⁷, 16D⁰, 32D⁵, 16A¹, 8C⁰, 2B⁰, 8I⁰, 64B⁷, 1A⁰, 32C³, 32B³</t>
        </is>
      </c>
      <c r="O3462" t="inlineStr"/>
    </row>
    <row r="3463">
      <c r="A3463">
        <f>HYPERLINK("https://mathstats.uncg.edu/sites/pauli/congruence/csg13.html#group64I13", "64I¹³")</f>
        <v/>
      </c>
      <c r="B3463" t="n">
        <v>13</v>
      </c>
      <c r="C3463" t="inlineStr"/>
      <c r="D3463" t="inlineStr">
        <is>
          <t>192</t>
        </is>
      </c>
      <c r="E3463" t="inlineStr">
        <is>
          <t>1</t>
        </is>
      </c>
      <c r="F3463" t="inlineStr">
        <is>
          <t>24</t>
        </is>
      </c>
      <c r="G3463" t="inlineStr">
        <is>
          <t>0</t>
        </is>
      </c>
      <c r="H3463" t="inlineStr">
        <is>
          <t>0</t>
        </is>
      </c>
      <c r="I3463" t="inlineStr">
        <is>
          <t>8⁴, 16², 64²</t>
        </is>
      </c>
      <c r="J3463" t="n">
        <v>8</v>
      </c>
      <c r="K3463" t="inlineStr">
        <is>
          <t>1⁴, 2², 4², 8¹</t>
        </is>
      </c>
      <c r="L3463" t="inlineStr">
        <is>
          <t>32C⁵, 64E⁷</t>
        </is>
      </c>
      <c r="M3463" t="inlineStr"/>
      <c r="N3463" t="inlineStr">
        <is>
          <t>32C⁵, 16G¹, 16D⁰, 32A³, 16A¹, 8C⁰, 2B⁰, 8I⁰, 4B⁰, 1A⁰, 32C³, 64E⁷</t>
        </is>
      </c>
      <c r="O3463" t="inlineStr"/>
    </row>
    <row r="3464">
      <c r="A3464">
        <f>HYPERLINK("https://mathstats.uncg.edu/sites/pauli/congruence/csg13.html#group64J13", "64J¹³")</f>
        <v/>
      </c>
      <c r="B3464" t="n">
        <v>13</v>
      </c>
      <c r="C3464" t="inlineStr"/>
      <c r="D3464" t="inlineStr">
        <is>
          <t>192</t>
        </is>
      </c>
      <c r="E3464" t="inlineStr">
        <is>
          <t>1</t>
        </is>
      </c>
      <c r="F3464" t="inlineStr">
        <is>
          <t>24</t>
        </is>
      </c>
      <c r="G3464" t="inlineStr">
        <is>
          <t>0</t>
        </is>
      </c>
      <c r="H3464" t="inlineStr">
        <is>
          <t>0</t>
        </is>
      </c>
      <c r="I3464" t="inlineStr">
        <is>
          <t>8⁴, 16², 64²</t>
        </is>
      </c>
      <c r="J3464" t="n">
        <v>8</v>
      </c>
      <c r="K3464" t="inlineStr">
        <is>
          <t>1⁴, 2², 4², 8¹</t>
        </is>
      </c>
      <c r="L3464" t="inlineStr">
        <is>
          <t>32D⁵, 64F⁷</t>
        </is>
      </c>
      <c r="M3464" t="inlineStr"/>
      <c r="N3464" t="inlineStr">
        <is>
          <t>16G¹, 16D⁰, 32D⁵, 16A¹, 8C⁰, 2B⁰, 8I⁰, 32B³, 4B⁰, 1A⁰, 32C³, 64F⁷</t>
        </is>
      </c>
      <c r="O3464" t="inlineStr"/>
    </row>
    <row r="3465">
      <c r="A3465">
        <f>HYPERLINK("https://mathstats.uncg.edu/sites/pauli/congruence/csg13.html#group64K13", "64K¹³")</f>
        <v/>
      </c>
      <c r="B3465" t="n">
        <v>13</v>
      </c>
      <c r="C3465" t="inlineStr"/>
      <c r="D3465" t="inlineStr">
        <is>
          <t>192</t>
        </is>
      </c>
      <c r="E3465" t="inlineStr">
        <is>
          <t>1</t>
        </is>
      </c>
      <c r="F3465" t="inlineStr">
        <is>
          <t>24</t>
        </is>
      </c>
      <c r="G3465" t="inlineStr">
        <is>
          <t>8</t>
        </is>
      </c>
      <c r="H3465" t="inlineStr">
        <is>
          <t>0</t>
        </is>
      </c>
      <c r="I3465" t="inlineStr">
        <is>
          <t>32², 64²</t>
        </is>
      </c>
      <c r="J3465" t="n">
        <v>4</v>
      </c>
      <c r="K3465" t="inlineStr">
        <is>
          <t>2², 4⁵</t>
        </is>
      </c>
      <c r="L3465" t="inlineStr">
        <is>
          <t>32L³</t>
        </is>
      </c>
      <c r="M3465" t="inlineStr"/>
      <c r="N3465" t="inlineStr">
        <is>
          <t>16B⁰, 8H⁰, 8D⁰, 4A⁰, 4C⁰, 8B⁰, 16B¹, 1A⁰, 2B⁰, 32B¹, 4F⁰, 16F¹, 32L³</t>
        </is>
      </c>
      <c r="O3465" t="inlineStr"/>
    </row>
    <row r="3466">
      <c r="A3466">
        <f>HYPERLINK("https://mathstats.uncg.edu/sites/pauli/congruence/csg13.html#group64L13", "64L¹³")</f>
        <v/>
      </c>
      <c r="B3466" t="n">
        <v>13</v>
      </c>
      <c r="C3466" t="inlineStr"/>
      <c r="D3466" t="inlineStr">
        <is>
          <t>192</t>
        </is>
      </c>
      <c r="E3466" t="inlineStr">
        <is>
          <t>1</t>
        </is>
      </c>
      <c r="F3466" t="inlineStr">
        <is>
          <t>48</t>
        </is>
      </c>
      <c r="G3466" t="inlineStr">
        <is>
          <t>8</t>
        </is>
      </c>
      <c r="H3466" t="inlineStr">
        <is>
          <t>0</t>
        </is>
      </c>
      <c r="I3466" t="inlineStr">
        <is>
          <t>32², 64²</t>
        </is>
      </c>
      <c r="J3466" t="n">
        <v>4</v>
      </c>
      <c r="K3466" t="inlineStr">
        <is>
          <t>4¹², 8², 16²</t>
        </is>
      </c>
      <c r="L3466" t="inlineStr">
        <is>
          <t>32J⁵</t>
        </is>
      </c>
      <c r="M3466" t="inlineStr"/>
      <c r="N3466" t="inlineStr">
        <is>
          <t>16B⁰, 16D¹, 32J⁵, 4C⁰, 8B⁰, 32E³, 8L⁰, 2B⁰, 32F³, 16J¹, 1A⁰</t>
        </is>
      </c>
      <c r="O3466" t="inlineStr"/>
    </row>
    <row r="3467">
      <c r="A3467">
        <f>HYPERLINK("https://mathstats.uncg.edu/sites/pauli/congruence/csg13.html#group64M13", "64M¹³")</f>
        <v/>
      </c>
      <c r="B3467" t="n">
        <v>13</v>
      </c>
      <c r="C3467" t="inlineStr"/>
      <c r="D3467" t="inlineStr">
        <is>
          <t>192</t>
        </is>
      </c>
      <c r="E3467" t="inlineStr">
        <is>
          <t>1</t>
        </is>
      </c>
      <c r="F3467" t="inlineStr">
        <is>
          <t>48</t>
        </is>
      </c>
      <c r="G3467" t="inlineStr">
        <is>
          <t>8</t>
        </is>
      </c>
      <c r="H3467" t="inlineStr">
        <is>
          <t>0</t>
        </is>
      </c>
      <c r="I3467" t="inlineStr">
        <is>
          <t>32², 64²</t>
        </is>
      </c>
      <c r="J3467" t="n">
        <v>4</v>
      </c>
      <c r="K3467" t="inlineStr">
        <is>
          <t>4¹², 8², 16²</t>
        </is>
      </c>
      <c r="L3467" t="inlineStr">
        <is>
          <t>32J⁵</t>
        </is>
      </c>
      <c r="M3467" t="inlineStr"/>
      <c r="N3467" t="inlineStr">
        <is>
          <t>16B⁰, 16D¹, 32J⁵, 4C⁰, 8B⁰, 32E³, 8L⁰, 2B⁰, 32F³, 16J¹, 1A⁰</t>
        </is>
      </c>
      <c r="O3467" t="inlineStr"/>
    </row>
    <row r="3468">
      <c r="A3468">
        <f>HYPERLINK("https://mathstats.uncg.edu/sites/pauli/congruence/csg13.html#group64N13", "64N¹³")</f>
        <v/>
      </c>
      <c r="B3468" t="n">
        <v>13</v>
      </c>
      <c r="C3468" t="inlineStr"/>
      <c r="D3468" t="inlineStr">
        <is>
          <t>192</t>
        </is>
      </c>
      <c r="E3468" t="inlineStr">
        <is>
          <t>1</t>
        </is>
      </c>
      <c r="F3468" t="inlineStr">
        <is>
          <t>48</t>
        </is>
      </c>
      <c r="G3468" t="inlineStr">
        <is>
          <t>8</t>
        </is>
      </c>
      <c r="H3468" t="inlineStr">
        <is>
          <t>0</t>
        </is>
      </c>
      <c r="I3468" t="inlineStr">
        <is>
          <t>32², 64²</t>
        </is>
      </c>
      <c r="J3468" t="n">
        <v>4</v>
      </c>
      <c r="K3468" t="inlineStr">
        <is>
          <t>4¹², 8², 16²</t>
        </is>
      </c>
      <c r="L3468" t="inlineStr">
        <is>
          <t>32K⁵</t>
        </is>
      </c>
      <c r="M3468" t="inlineStr"/>
      <c r="N3468" t="inlineStr">
        <is>
          <t>16B⁰, 16D¹, 32K⁵, 4C⁰, 8B⁰, 8L⁰, 2B⁰, 32G³, 16J¹, 1A⁰, 32H³</t>
        </is>
      </c>
      <c r="O3468" t="inlineStr"/>
    </row>
    <row r="3469">
      <c r="A3469">
        <f>HYPERLINK("https://mathstats.uncg.edu/sites/pauli/congruence/csg13.html#group64O13", "64O¹³")</f>
        <v/>
      </c>
      <c r="B3469" t="n">
        <v>13</v>
      </c>
      <c r="C3469" t="inlineStr"/>
      <c r="D3469" t="inlineStr">
        <is>
          <t>192</t>
        </is>
      </c>
      <c r="E3469" t="inlineStr">
        <is>
          <t>1</t>
        </is>
      </c>
      <c r="F3469" t="inlineStr">
        <is>
          <t>48</t>
        </is>
      </c>
      <c r="G3469" t="inlineStr">
        <is>
          <t>8</t>
        </is>
      </c>
      <c r="H3469" t="inlineStr">
        <is>
          <t>0</t>
        </is>
      </c>
      <c r="I3469" t="inlineStr">
        <is>
          <t>32², 64²</t>
        </is>
      </c>
      <c r="J3469" t="n">
        <v>4</v>
      </c>
      <c r="K3469" t="inlineStr">
        <is>
          <t>4¹², 8², 16²</t>
        </is>
      </c>
      <c r="L3469" t="inlineStr">
        <is>
          <t>32K⁵</t>
        </is>
      </c>
      <c r="M3469" t="inlineStr"/>
      <c r="N3469" t="inlineStr">
        <is>
          <t>16B⁰, 16D¹, 32K⁵, 4C⁰, 8B⁰, 8L⁰, 2B⁰, 32G³, 16J¹, 1A⁰, 32H³</t>
        </is>
      </c>
      <c r="O3469" t="inlineStr"/>
    </row>
    <row r="3470">
      <c r="A3470">
        <f>HYPERLINK("https://mathstats.uncg.edu/sites/pauli/congruence/csg13.html#group64P13", "64P¹³")</f>
        <v/>
      </c>
      <c r="B3470" t="n">
        <v>13</v>
      </c>
      <c r="C3470" t="inlineStr"/>
      <c r="D3470" t="inlineStr">
        <is>
          <t>192</t>
        </is>
      </c>
      <c r="E3470" t="inlineStr">
        <is>
          <t>1</t>
        </is>
      </c>
      <c r="F3470" t="inlineStr">
        <is>
          <t>48</t>
        </is>
      </c>
      <c r="G3470" t="inlineStr">
        <is>
          <t>8</t>
        </is>
      </c>
      <c r="H3470" t="inlineStr">
        <is>
          <t>0</t>
        </is>
      </c>
      <c r="I3470" t="inlineStr">
        <is>
          <t>32², 64²</t>
        </is>
      </c>
      <c r="J3470" t="n">
        <v>4</v>
      </c>
      <c r="K3470" t="inlineStr">
        <is>
          <t>4¹², 8², 16²</t>
        </is>
      </c>
      <c r="L3470" t="inlineStr">
        <is>
          <t>32J⁵, 64G⁷</t>
        </is>
      </c>
      <c r="M3470" t="inlineStr"/>
      <c r="N3470" t="inlineStr">
        <is>
          <t>16B⁰, 16D¹, 32J⁵, 4C⁰, 8B⁰, 32E³, 2B⁰, 8L⁰, 32F³, 16J¹, 1A⁰, 64G⁷</t>
        </is>
      </c>
      <c r="O3470" t="inlineStr"/>
    </row>
    <row r="3471">
      <c r="A3471">
        <f>HYPERLINK("https://mathstats.uncg.edu/sites/pauli/congruence/csg13.html#group64Q13", "64Q¹³")</f>
        <v/>
      </c>
      <c r="B3471" t="n">
        <v>13</v>
      </c>
      <c r="C3471" t="inlineStr"/>
      <c r="D3471" t="inlineStr">
        <is>
          <t>192</t>
        </is>
      </c>
      <c r="E3471" t="inlineStr">
        <is>
          <t>1</t>
        </is>
      </c>
      <c r="F3471" t="inlineStr">
        <is>
          <t>48</t>
        </is>
      </c>
      <c r="G3471" t="inlineStr">
        <is>
          <t>8</t>
        </is>
      </c>
      <c r="H3471" t="inlineStr">
        <is>
          <t>0</t>
        </is>
      </c>
      <c r="I3471" t="inlineStr">
        <is>
          <t>32², 64²</t>
        </is>
      </c>
      <c r="J3471" t="n">
        <v>4</v>
      </c>
      <c r="K3471" t="inlineStr">
        <is>
          <t>4¹², 8², 16²</t>
        </is>
      </c>
      <c r="L3471" t="inlineStr">
        <is>
          <t>32J⁵, 64H⁷</t>
        </is>
      </c>
      <c r="M3471" t="inlineStr"/>
      <c r="N3471" t="inlineStr">
        <is>
          <t>16B⁰, 16D¹, 32J⁵, 4C⁰, 8B⁰, 32E³, 2B⁰, 8L⁰, 32F³, 16J¹, 64H⁷, 1A⁰</t>
        </is>
      </c>
      <c r="O3471" t="inlineStr"/>
    </row>
    <row r="3472">
      <c r="A3472">
        <f>HYPERLINK("https://mathstats.uncg.edu/sites/pauli/congruence/csg13.html#group64R13", "64R¹³")</f>
        <v/>
      </c>
      <c r="B3472" t="n">
        <v>13</v>
      </c>
      <c r="C3472" t="inlineStr"/>
      <c r="D3472" t="inlineStr">
        <is>
          <t>192</t>
        </is>
      </c>
      <c r="E3472" t="inlineStr">
        <is>
          <t>1</t>
        </is>
      </c>
      <c r="F3472" t="inlineStr">
        <is>
          <t>48</t>
        </is>
      </c>
      <c r="G3472" t="inlineStr">
        <is>
          <t>8</t>
        </is>
      </c>
      <c r="H3472" t="inlineStr">
        <is>
          <t>0</t>
        </is>
      </c>
      <c r="I3472" t="inlineStr">
        <is>
          <t>32², 64²</t>
        </is>
      </c>
      <c r="J3472" t="n">
        <v>4</v>
      </c>
      <c r="K3472" t="inlineStr">
        <is>
          <t>4¹², 8², 16²</t>
        </is>
      </c>
      <c r="L3472" t="inlineStr">
        <is>
          <t>32K⁵, 64I⁷</t>
        </is>
      </c>
      <c r="M3472" t="inlineStr"/>
      <c r="N3472" t="inlineStr">
        <is>
          <t>16B⁰, 16D¹, 32K⁵, 4C⁰, 8B⁰, 8L⁰, 2B⁰, 32G³, 16J¹, 1A⁰, 64I⁷, 32H³</t>
        </is>
      </c>
      <c r="O3472" t="inlineStr"/>
    </row>
    <row r="3473">
      <c r="A3473">
        <f>HYPERLINK("https://mathstats.uncg.edu/sites/pauli/congruence/csg13.html#group64S13", "64S¹³")</f>
        <v/>
      </c>
      <c r="B3473" t="n">
        <v>13</v>
      </c>
      <c r="C3473" t="inlineStr"/>
      <c r="D3473" t="inlineStr">
        <is>
          <t>192</t>
        </is>
      </c>
      <c r="E3473" t="inlineStr">
        <is>
          <t>1</t>
        </is>
      </c>
      <c r="F3473" t="inlineStr">
        <is>
          <t>48</t>
        </is>
      </c>
      <c r="G3473" t="inlineStr">
        <is>
          <t>8</t>
        </is>
      </c>
      <c r="H3473" t="inlineStr">
        <is>
          <t>0</t>
        </is>
      </c>
      <c r="I3473" t="inlineStr">
        <is>
          <t>32², 64²</t>
        </is>
      </c>
      <c r="J3473" t="n">
        <v>4</v>
      </c>
      <c r="K3473" t="inlineStr">
        <is>
          <t>4¹², 8², 16²</t>
        </is>
      </c>
      <c r="L3473" t="inlineStr">
        <is>
          <t>32K⁵, 64J⁷</t>
        </is>
      </c>
      <c r="M3473" t="inlineStr"/>
      <c r="N3473" t="inlineStr">
        <is>
          <t>16B⁰, 16D¹, 32K⁵, 64J⁷, 4C⁰, 8B⁰, 8L⁰, 2B⁰, 32G³, 16J¹, 1A⁰, 32H³</t>
        </is>
      </c>
      <c r="O3473" t="inlineStr"/>
    </row>
    <row r="3474">
      <c r="A3474">
        <f>HYPERLINK("https://mathstats.uncg.edu/sites/pauli/congruence/csg13.html#group64T13", "64T¹³")</f>
        <v/>
      </c>
      <c r="B3474" t="n">
        <v>13</v>
      </c>
      <c r="C3474" t="inlineStr"/>
      <c r="D3474" t="inlineStr">
        <is>
          <t>192</t>
        </is>
      </c>
      <c r="E3474" t="inlineStr">
        <is>
          <t>2</t>
        </is>
      </c>
      <c r="F3474" t="inlineStr">
        <is>
          <t>24</t>
        </is>
      </c>
      <c r="G3474" t="inlineStr">
        <is>
          <t>8</t>
        </is>
      </c>
      <c r="H3474" t="inlineStr">
        <is>
          <t>0</t>
        </is>
      </c>
      <c r="I3474" t="inlineStr">
        <is>
          <t>32², 64²</t>
        </is>
      </c>
      <c r="J3474" t="n">
        <v>4</v>
      </c>
      <c r="K3474" t="inlineStr">
        <is>
          <t>2⁸, 4⁴, 8²</t>
        </is>
      </c>
      <c r="L3474" t="inlineStr">
        <is>
          <t>32N³</t>
        </is>
      </c>
      <c r="M3474" t="inlineStr"/>
      <c r="N3474" t="inlineStr">
        <is>
          <t>16B⁰, 16D¹, 4C⁰, 8B⁰, 8L⁰, 32B¹, 2B⁰, 16J¹, 1A⁰, 32N³</t>
        </is>
      </c>
      <c r="O3474" t="inlineStr"/>
    </row>
    <row r="3475">
      <c r="A3475">
        <f>HYPERLINK("https://mathstats.uncg.edu/sites/pauli/congruence/csg13.html#group64U13", "64U¹³")</f>
        <v/>
      </c>
      <c r="B3475" t="n">
        <v>13</v>
      </c>
      <c r="C3475" t="inlineStr"/>
      <c r="D3475" t="inlineStr">
        <is>
          <t>192</t>
        </is>
      </c>
      <c r="E3475" t="inlineStr">
        <is>
          <t>2</t>
        </is>
      </c>
      <c r="F3475" t="inlineStr">
        <is>
          <t>96</t>
        </is>
      </c>
      <c r="G3475" t="inlineStr">
        <is>
          <t>4</t>
        </is>
      </c>
      <c r="H3475" t="inlineStr">
        <is>
          <t>0</t>
        </is>
      </c>
      <c r="I3475" t="inlineStr">
        <is>
          <t>16⁴, 64²</t>
        </is>
      </c>
      <c r="J3475" t="n">
        <v>6</v>
      </c>
      <c r="K3475" t="inlineStr">
        <is>
          <t>4⁸, 8⁴, 16⁸</t>
        </is>
      </c>
      <c r="L3475" t="inlineStr">
        <is>
          <t>32I⁵</t>
        </is>
      </c>
      <c r="M3475" t="inlineStr"/>
      <c r="N3475" t="inlineStr">
        <is>
          <t>8H⁰, 16E⁰, 16I¹, 8D⁰, 4A⁰, 16C¹, 4C⁰, 8B⁰, 1A⁰, 2B⁰, 4F⁰, 32I⁵</t>
        </is>
      </c>
      <c r="O3475" t="inlineStr"/>
    </row>
    <row r="3476">
      <c r="A3476">
        <f>HYPERLINK("https://mathstats.uncg.edu/sites/pauli/congruence/csg13.html#group64V13", "64V¹³")</f>
        <v/>
      </c>
      <c r="B3476" t="n">
        <v>13</v>
      </c>
      <c r="C3476" t="inlineStr"/>
      <c r="D3476" t="inlineStr">
        <is>
          <t>384</t>
        </is>
      </c>
      <c r="E3476" t="inlineStr">
        <is>
          <t>1</t>
        </is>
      </c>
      <c r="F3476" t="inlineStr">
        <is>
          <t>6</t>
        </is>
      </c>
      <c r="G3476" t="inlineStr">
        <is>
          <t>0</t>
        </is>
      </c>
      <c r="H3476" t="inlineStr">
        <is>
          <t>0</t>
        </is>
      </c>
      <c r="I3476" t="inlineStr">
        <is>
          <t>2³², 16⁴, 64⁴</t>
        </is>
      </c>
      <c r="J3476" t="n">
        <v>40</v>
      </c>
      <c r="K3476" t="inlineStr">
        <is>
          <t>1⁴, 2¹</t>
        </is>
      </c>
      <c r="L3476" t="inlineStr">
        <is>
          <t>32M⁵, 64D⁵, 64K⁷</t>
        </is>
      </c>
      <c r="M3476" t="inlineStr"/>
      <c r="N3476" t="inlineStr">
        <is>
          <t>2A⁰, 16G⁰, 4C⁰, 32M³, 16A¹, 8C⁰, 64D⁵, 2B⁰, 4E⁰, 4B⁰, 1A⁰, 32M⁵, 16H⁰, 16E⁰, 32A¹, 8G⁰, 16C⁰, 32A⁰, 16M¹, 64A², 32E¹, 8D⁰, 16E¹, 8I⁰, 32K³, 32J³, 16G¹, 16D⁰, 64K⁷, 32A², 8J⁰, 2C⁰, 8O⁰</t>
        </is>
      </c>
      <c r="O3476" t="inlineStr"/>
    </row>
    <row r="3477">
      <c r="A3477">
        <f>HYPERLINK("https://mathstats.uncg.edu/sites/pauli/congruence/csg13.html#group64W13", "64W¹³")</f>
        <v/>
      </c>
      <c r="B3477" t="n">
        <v>13</v>
      </c>
      <c r="C3477" t="inlineStr"/>
      <c r="D3477" t="inlineStr">
        <is>
          <t>384</t>
        </is>
      </c>
      <c r="E3477" t="inlineStr">
        <is>
          <t>1</t>
        </is>
      </c>
      <c r="F3477" t="inlineStr">
        <is>
          <t>24</t>
        </is>
      </c>
      <c r="G3477" t="inlineStr">
        <is>
          <t>0</t>
        </is>
      </c>
      <c r="H3477" t="inlineStr">
        <is>
          <t>0</t>
        </is>
      </c>
      <c r="I3477" t="inlineStr">
        <is>
          <t>1¹⁶, 2⁸, 4⁸, 16⁴, 64⁴</t>
        </is>
      </c>
      <c r="J3477" t="n">
        <v>40</v>
      </c>
      <c r="K3477" t="inlineStr">
        <is>
          <t>1⁴, 2², 4², 8¹</t>
        </is>
      </c>
      <c r="L3477" t="inlineStr">
        <is>
          <t>32O⁵, 64C⁵, 64D⁵</t>
        </is>
      </c>
      <c r="M3477" t="inlineStr"/>
      <c r="N3477" t="inlineStr">
        <is>
          <t>32C², 64C⁵, 64B³, 32O⁵, 64D⁵, 8C⁰, 2B⁰, 4B⁰, 8I⁰, 1A⁰, 16J², 16H⁰, 32A¹, 16C⁰, 16D⁰, 32A⁰, 64A², 64A³, 32E¹</t>
        </is>
      </c>
      <c r="O3477" t="inlineStr"/>
    </row>
    <row r="3478">
      <c r="A3478">
        <f>HYPERLINK("https://mathstats.uncg.edu/sites/pauli/congruence/csg13.html#group65A13", "65A¹³")</f>
        <v/>
      </c>
      <c r="B3478" t="n">
        <v>13</v>
      </c>
      <c r="C3478" t="inlineStr"/>
      <c r="D3478" t="inlineStr">
        <is>
          <t>252</t>
        </is>
      </c>
      <c r="E3478" t="inlineStr">
        <is>
          <t>1</t>
        </is>
      </c>
      <c r="F3478" t="inlineStr">
        <is>
          <t>84</t>
        </is>
      </c>
      <c r="G3478" t="inlineStr">
        <is>
          <t>12</t>
        </is>
      </c>
      <c r="H3478" t="inlineStr">
        <is>
          <t>0</t>
        </is>
      </c>
      <c r="I3478" t="inlineStr">
        <is>
          <t>1³, 5³, 13³, 65³</t>
        </is>
      </c>
      <c r="J3478" t="n">
        <v>12</v>
      </c>
      <c r="K3478" t="inlineStr">
        <is>
          <t>1⁴, 4², 12², 48¹</t>
        </is>
      </c>
      <c r="L3478" t="inlineStr">
        <is>
          <t>13C⁰, 65A⁵</t>
        </is>
      </c>
      <c r="M3478" t="inlineStr"/>
      <c r="N3478" t="inlineStr">
        <is>
          <t>13A⁰, 5B⁰, 13C⁰, 65A⁵, 1A⁰</t>
        </is>
      </c>
      <c r="O3478" t="inlineStr"/>
    </row>
    <row r="3479">
      <c r="A3479">
        <f>HYPERLINK("https://mathstats.uncg.edu/sites/pauli/congruence/csg13.html#group66A13", "66A¹³")</f>
        <v/>
      </c>
      <c r="B3479" t="n">
        <v>13</v>
      </c>
      <c r="C3479" t="inlineStr"/>
      <c r="D3479" t="inlineStr">
        <is>
          <t>192</t>
        </is>
      </c>
      <c r="E3479" t="inlineStr">
        <is>
          <t>1</t>
        </is>
      </c>
      <c r="F3479" t="inlineStr">
        <is>
          <t>48</t>
        </is>
      </c>
      <c r="G3479" t="inlineStr">
        <is>
          <t>0</t>
        </is>
      </c>
      <c r="H3479" t="inlineStr">
        <is>
          <t>0</t>
        </is>
      </c>
      <c r="I3479" t="inlineStr">
        <is>
          <t>2², 6², 22², 66²</t>
        </is>
      </c>
      <c r="J3479" t="n">
        <v>8</v>
      </c>
      <c r="K3479" t="inlineStr">
        <is>
          <t>1⁴, 2², 10², 20¹</t>
        </is>
      </c>
      <c r="L3479" t="inlineStr">
        <is>
          <t>33B⁵, 66A⁷, 66B⁷</t>
        </is>
      </c>
      <c r="M3479" t="inlineStr"/>
      <c r="N3479" t="inlineStr">
        <is>
          <t>33B⁵, 3B⁰, 2A⁰, 11A¹, 22A², 6C⁰, 1A⁰, 66A⁷, 66B⁷, 33C³</t>
        </is>
      </c>
      <c r="O3479" t="inlineStr"/>
    </row>
    <row r="3480">
      <c r="A3480">
        <f>HYPERLINK("https://mathstats.uncg.edu/sites/pauli/congruence/csg13.html#group66B13", "66B¹³")</f>
        <v/>
      </c>
      <c r="B3480" t="n">
        <v>13</v>
      </c>
      <c r="C3480" t="inlineStr"/>
      <c r="D3480" t="inlineStr">
        <is>
          <t>198</t>
        </is>
      </c>
      <c r="E3480" t="inlineStr">
        <is>
          <t>2</t>
        </is>
      </c>
      <c r="F3480" t="inlineStr">
        <is>
          <t>99</t>
        </is>
      </c>
      <c r="G3480" t="inlineStr">
        <is>
          <t>12</t>
        </is>
      </c>
      <c r="H3480" t="inlineStr">
        <is>
          <t>0</t>
        </is>
      </c>
      <c r="I3480" t="inlineStr">
        <is>
          <t>66³</t>
        </is>
      </c>
      <c r="J3480" t="n">
        <v>3</v>
      </c>
      <c r="K3480" t="inlineStr">
        <is>
          <t>2³, 4³, 10⁶, 20⁶</t>
        </is>
      </c>
      <c r="L3480" t="inlineStr">
        <is>
          <t>6H⁰, 66A³, 66F⁶</t>
        </is>
      </c>
      <c r="M3480" t="inlineStr"/>
      <c r="N3480" t="inlineStr">
        <is>
          <t>11A⁰, 6B⁰, 66A³, 33A¹, 22B², 2B⁰, 66F⁶, 6H⁰, 3A⁰, 1A⁰, 6D⁰</t>
        </is>
      </c>
      <c r="O3480" t="inlineStr"/>
    </row>
    <row r="3481">
      <c r="A3481">
        <f>HYPERLINK("https://mathstats.uncg.edu/sites/pauli/congruence/csg13.html#group68A13", "68A¹³")</f>
        <v/>
      </c>
      <c r="B3481" t="n">
        <v>13</v>
      </c>
      <c r="C3481" t="inlineStr"/>
      <c r="D3481" t="inlineStr">
        <is>
          <t>216</t>
        </is>
      </c>
      <c r="E3481" t="inlineStr">
        <is>
          <t>1</t>
        </is>
      </c>
      <c r="F3481" t="inlineStr">
        <is>
          <t>54</t>
        </is>
      </c>
      <c r="G3481" t="inlineStr">
        <is>
          <t>0</t>
        </is>
      </c>
      <c r="H3481" t="inlineStr">
        <is>
          <t>0</t>
        </is>
      </c>
      <c r="I3481" t="inlineStr">
        <is>
          <t>1⁴, 4², 17⁴, 68²</t>
        </is>
      </c>
      <c r="J3481" t="n">
        <v>12</v>
      </c>
      <c r="K3481" t="inlineStr">
        <is>
          <t>1⁶, 16³</t>
        </is>
      </c>
      <c r="L3481" t="inlineStr">
        <is>
          <t>34C⁵</t>
        </is>
      </c>
      <c r="M3481" t="inlineStr"/>
      <c r="N3481" t="inlineStr">
        <is>
          <t>17A¹, 2B⁰, 34C³, 1A⁰, 17B¹, 34C⁵</t>
        </is>
      </c>
      <c r="O3481" t="inlineStr"/>
    </row>
    <row r="3482">
      <c r="A3482">
        <f>HYPERLINK("https://mathstats.uncg.edu/sites/pauli/congruence/csg13.html#group68B13", "68B¹³")</f>
        <v/>
      </c>
      <c r="B3482" t="n">
        <v>13</v>
      </c>
      <c r="C3482" t="inlineStr"/>
      <c r="D3482" t="inlineStr">
        <is>
          <t>216</t>
        </is>
      </c>
      <c r="E3482" t="inlineStr">
        <is>
          <t>1</t>
        </is>
      </c>
      <c r="F3482" t="inlineStr">
        <is>
          <t>54</t>
        </is>
      </c>
      <c r="G3482" t="inlineStr">
        <is>
          <t>0</t>
        </is>
      </c>
      <c r="H3482" t="inlineStr">
        <is>
          <t>0</t>
        </is>
      </c>
      <c r="I3482" t="inlineStr">
        <is>
          <t>1⁴, 4², 17⁴, 68²</t>
        </is>
      </c>
      <c r="J3482" t="n">
        <v>12</v>
      </c>
      <c r="K3482" t="inlineStr">
        <is>
          <t>1⁶, 16³</t>
        </is>
      </c>
      <c r="L3482" t="inlineStr">
        <is>
          <t>34C⁵, 68A⁷, 68B⁷</t>
        </is>
      </c>
      <c r="M3482" t="inlineStr"/>
      <c r="N3482" t="inlineStr">
        <is>
          <t>68B⁷, 34C³, 17B¹, 34C⁵, 68A⁷, 17A¹, 2B⁰, 4B⁰, 1A⁰</t>
        </is>
      </c>
      <c r="O3482" t="inlineStr"/>
    </row>
    <row r="3483">
      <c r="A3483">
        <f>HYPERLINK("https://mathstats.uncg.edu/sites/pauli/congruence/csg13.html#group68C13", "68C¹³")</f>
        <v/>
      </c>
      <c r="B3483" t="n">
        <v>13</v>
      </c>
      <c r="C3483" t="inlineStr"/>
      <c r="D3483" t="inlineStr">
        <is>
          <t>216</t>
        </is>
      </c>
      <c r="E3483" t="inlineStr">
        <is>
          <t>1</t>
        </is>
      </c>
      <c r="F3483" t="inlineStr">
        <is>
          <t>54</t>
        </is>
      </c>
      <c r="G3483" t="inlineStr">
        <is>
          <t>8</t>
        </is>
      </c>
      <c r="H3483" t="inlineStr">
        <is>
          <t>0</t>
        </is>
      </c>
      <c r="I3483" t="inlineStr">
        <is>
          <t>2², 4², 34², 68²</t>
        </is>
      </c>
      <c r="J3483" t="n">
        <v>8</v>
      </c>
      <c r="K3483" t="inlineStr">
        <is>
          <t>1⁶, 16³</t>
        </is>
      </c>
      <c r="L3483" t="inlineStr">
        <is>
          <t>34C⁵</t>
        </is>
      </c>
      <c r="M3483" t="inlineStr"/>
      <c r="N3483" t="inlineStr">
        <is>
          <t>17A¹, 2B⁰, 34C³, 1A⁰, 17B¹, 34C⁵</t>
        </is>
      </c>
      <c r="O3483" t="inlineStr"/>
    </row>
    <row r="3484">
      <c r="A3484">
        <f>HYPERLINK("https://mathstats.uncg.edu/sites/pauli/congruence/csg13.html#group68D13", "68D¹³")</f>
        <v/>
      </c>
      <c r="B3484" t="n">
        <v>13</v>
      </c>
      <c r="C3484" t="inlineStr"/>
      <c r="D3484" t="inlineStr">
        <is>
          <t>216</t>
        </is>
      </c>
      <c r="E3484" t="inlineStr">
        <is>
          <t>1</t>
        </is>
      </c>
      <c r="F3484" t="inlineStr">
        <is>
          <t>54</t>
        </is>
      </c>
      <c r="G3484" t="inlineStr">
        <is>
          <t>8</t>
        </is>
      </c>
      <c r="H3484" t="inlineStr">
        <is>
          <t>0</t>
        </is>
      </c>
      <c r="I3484" t="inlineStr">
        <is>
          <t>2², 4², 34², 68²</t>
        </is>
      </c>
      <c r="J3484" t="n">
        <v>8</v>
      </c>
      <c r="K3484" t="inlineStr">
        <is>
          <t>1⁶, 16³</t>
        </is>
      </c>
      <c r="L3484" t="inlineStr">
        <is>
          <t>34C⁵, 68C⁷, 68D⁷</t>
        </is>
      </c>
      <c r="M3484" t="inlineStr"/>
      <c r="N3484" t="inlineStr">
        <is>
          <t>68C⁷, 34C³, 17B¹, 34C⁵, 4C⁰, 17A¹, 2B⁰, 1A⁰, 68D⁷</t>
        </is>
      </c>
      <c r="O3484" t="inlineStr"/>
    </row>
    <row r="3485">
      <c r="A3485">
        <f>HYPERLINK("https://mathstats.uncg.edu/sites/pauli/congruence/csg13.html#group69A13", "69A¹³")</f>
        <v/>
      </c>
      <c r="B3485" t="n">
        <v>13</v>
      </c>
      <c r="C3485" t="inlineStr"/>
      <c r="D3485" t="inlineStr">
        <is>
          <t>192</t>
        </is>
      </c>
      <c r="E3485" t="inlineStr">
        <is>
          <t>1</t>
        </is>
      </c>
      <c r="F3485" t="inlineStr">
        <is>
          <t>96</t>
        </is>
      </c>
      <c r="G3485" t="inlineStr">
        <is>
          <t>0</t>
        </is>
      </c>
      <c r="H3485" t="inlineStr">
        <is>
          <t>0</t>
        </is>
      </c>
      <c r="I3485" t="inlineStr">
        <is>
          <t>1², 3², 23², 69²</t>
        </is>
      </c>
      <c r="J3485" t="n">
        <v>8</v>
      </c>
      <c r="K3485" t="inlineStr">
        <is>
          <t>1⁴, 2², 22², 44¹</t>
        </is>
      </c>
      <c r="L3485" t="inlineStr">
        <is>
          <t>69A⁷</t>
        </is>
      </c>
      <c r="M3485" t="inlineStr"/>
      <c r="N3485" t="inlineStr">
        <is>
          <t>3B⁰, 69A⁷, 1A⁰, 23A²</t>
        </is>
      </c>
      <c r="O3485" t="inlineStr"/>
    </row>
    <row r="3486">
      <c r="A3486">
        <f>HYPERLINK("https://mathstats.uncg.edu/sites/pauli/congruence/csg13.html#group70A13", "70A¹³")</f>
        <v/>
      </c>
      <c r="B3486" t="n">
        <v>13</v>
      </c>
      <c r="C3486" t="inlineStr"/>
      <c r="D3486" t="inlineStr">
        <is>
          <t>168</t>
        </is>
      </c>
      <c r="E3486" t="inlineStr">
        <is>
          <t>2</t>
        </is>
      </c>
      <c r="F3486" t="inlineStr">
        <is>
          <t>42</t>
        </is>
      </c>
      <c r="G3486" t="inlineStr">
        <is>
          <t>0</t>
        </is>
      </c>
      <c r="H3486" t="inlineStr">
        <is>
          <t>0</t>
        </is>
      </c>
      <c r="I3486" t="inlineStr">
        <is>
          <t>14², 70²</t>
        </is>
      </c>
      <c r="J3486" t="n">
        <v>4</v>
      </c>
      <c r="K3486" t="inlineStr">
        <is>
          <t>2², 6⁴, 8¹, 24²</t>
        </is>
      </c>
      <c r="L3486" t="inlineStr">
        <is>
          <t>35C⁴, 70A⁶, 70A⁷</t>
        </is>
      </c>
      <c r="M3486" t="inlineStr"/>
      <c r="N3486" t="inlineStr">
        <is>
          <t>35C², 2A⁰, 35C⁴, 14A¹, 5B⁰, 10A¹, 70A⁷, 1A⁰, 70A⁶, 7A⁰</t>
        </is>
      </c>
      <c r="O3486" t="inlineStr"/>
    </row>
    <row r="3487">
      <c r="A3487">
        <f>HYPERLINK("https://mathstats.uncg.edu/sites/pauli/congruence/csg13.html#group70B13", "70B¹³")</f>
        <v/>
      </c>
      <c r="B3487" t="n">
        <v>13</v>
      </c>
      <c r="C3487" t="inlineStr"/>
      <c r="D3487" t="inlineStr">
        <is>
          <t>168</t>
        </is>
      </c>
      <c r="E3487" t="inlineStr">
        <is>
          <t>2</t>
        </is>
      </c>
      <c r="F3487" t="inlineStr">
        <is>
          <t>42</t>
        </is>
      </c>
      <c r="G3487" t="inlineStr">
        <is>
          <t>0</t>
        </is>
      </c>
      <c r="H3487" t="inlineStr">
        <is>
          <t>0</t>
        </is>
      </c>
      <c r="I3487" t="inlineStr">
        <is>
          <t>14², 70²</t>
        </is>
      </c>
      <c r="J3487" t="n">
        <v>4</v>
      </c>
      <c r="K3487" t="inlineStr">
        <is>
          <t>2², 6⁴, 8¹, 24²</t>
        </is>
      </c>
      <c r="L3487" t="inlineStr">
        <is>
          <t>70B⁵, 35A⁶, 70A⁶</t>
        </is>
      </c>
      <c r="M3487" t="inlineStr"/>
      <c r="N3487" t="inlineStr">
        <is>
          <t>35C², 14A⁰, 70A⁶, 5B⁰, 5D⁰, 70B⁵, 1A⁰, 35A⁶, 7A⁰</t>
        </is>
      </c>
      <c r="O3487" t="inlineStr"/>
    </row>
    <row r="3488">
      <c r="A3488">
        <f>HYPERLINK("https://mathstats.uncg.edu/sites/pauli/congruence/csg13.html#group70C13", "70C¹³")</f>
        <v/>
      </c>
      <c r="B3488" t="n">
        <v>13</v>
      </c>
      <c r="C3488" t="inlineStr"/>
      <c r="D3488" t="inlineStr">
        <is>
          <t>168</t>
        </is>
      </c>
      <c r="E3488" t="inlineStr">
        <is>
          <t>2</t>
        </is>
      </c>
      <c r="F3488" t="inlineStr">
        <is>
          <t>42</t>
        </is>
      </c>
      <c r="G3488" t="inlineStr">
        <is>
          <t>0</t>
        </is>
      </c>
      <c r="H3488" t="inlineStr">
        <is>
          <t>0</t>
        </is>
      </c>
      <c r="I3488" t="inlineStr">
        <is>
          <t>14², 70²</t>
        </is>
      </c>
      <c r="J3488" t="n">
        <v>4</v>
      </c>
      <c r="K3488" t="inlineStr">
        <is>
          <t>2², 6⁴, 8¹, 24²</t>
        </is>
      </c>
      <c r="L3488" t="inlineStr">
        <is>
          <t>10D¹, 70C⁴, 35A⁶, 70A⁷</t>
        </is>
      </c>
      <c r="M3488" t="inlineStr"/>
      <c r="N3488" t="inlineStr">
        <is>
          <t>35C², 2A⁰, 70C⁴, 14A¹, 5B⁰, 5D⁰, 70A⁷, 10A¹, 10D¹, 1A⁰, 35A⁶, 7A⁰, 10B⁰</t>
        </is>
      </c>
      <c r="O3488" t="inlineStr"/>
    </row>
    <row r="3489">
      <c r="A3489">
        <f>HYPERLINK("https://mathstats.uncg.edu/sites/pauli/congruence/csg13.html#group70D13", "70D¹³")</f>
        <v/>
      </c>
      <c r="B3489" t="n">
        <v>13</v>
      </c>
      <c r="C3489" t="inlineStr"/>
      <c r="D3489" t="inlineStr">
        <is>
          <t>168</t>
        </is>
      </c>
      <c r="E3489" t="inlineStr">
        <is>
          <t>2</t>
        </is>
      </c>
      <c r="F3489" t="inlineStr">
        <is>
          <t>42</t>
        </is>
      </c>
      <c r="G3489" t="inlineStr">
        <is>
          <t>0</t>
        </is>
      </c>
      <c r="H3489" t="inlineStr">
        <is>
          <t>0</t>
        </is>
      </c>
      <c r="I3489" t="inlineStr">
        <is>
          <t>14², 70²</t>
        </is>
      </c>
      <c r="J3489" t="n">
        <v>4</v>
      </c>
      <c r="K3489" t="inlineStr">
        <is>
          <t>2², 6⁴, 8¹, 24²</t>
        </is>
      </c>
      <c r="L3489" t="inlineStr">
        <is>
          <t>14D¹, 35B⁵, 70B⁵, 70A⁷</t>
        </is>
      </c>
      <c r="M3489" t="inlineStr"/>
      <c r="N3489" t="inlineStr">
        <is>
          <t>35C², 2A⁰, 14A⁰, 7C⁰, 14A¹, 5B⁰, 10A¹, 70A⁷, 70B⁵, 35B⁵, 1A⁰, 14D¹, 7A⁰</t>
        </is>
      </c>
      <c r="O3489" t="inlineStr"/>
    </row>
    <row r="3490">
      <c r="A3490">
        <f>HYPERLINK("https://mathstats.uncg.edu/sites/pauli/congruence/csg13.html#group70E13", "70E¹³")</f>
        <v/>
      </c>
      <c r="B3490" t="n">
        <v>13</v>
      </c>
      <c r="C3490" t="inlineStr"/>
      <c r="D3490" t="inlineStr">
        <is>
          <t>192</t>
        </is>
      </c>
      <c r="E3490" t="inlineStr">
        <is>
          <t>1</t>
        </is>
      </c>
      <c r="F3490" t="inlineStr">
        <is>
          <t>48</t>
        </is>
      </c>
      <c r="G3490" t="inlineStr">
        <is>
          <t>0</t>
        </is>
      </c>
      <c r="H3490" t="inlineStr">
        <is>
          <t>0</t>
        </is>
      </c>
      <c r="I3490" t="inlineStr">
        <is>
          <t>2², 10², 14², 70²</t>
        </is>
      </c>
      <c r="J3490" t="n">
        <v>8</v>
      </c>
      <c r="K3490" t="inlineStr">
        <is>
          <t>1⁴, 4², 6², 24¹</t>
        </is>
      </c>
      <c r="L3490" t="inlineStr">
        <is>
          <t>35C⁵</t>
        </is>
      </c>
      <c r="M3490" t="inlineStr"/>
      <c r="N3490" t="inlineStr">
        <is>
          <t>5B⁰, 5D⁰, 1A⁰, 7B⁰, 35A³, 35C⁵</t>
        </is>
      </c>
      <c r="O3490" t="inlineStr"/>
    </row>
    <row r="3491">
      <c r="A3491">
        <f>HYPERLINK("https://mathstats.uncg.edu/sites/pauli/congruence/csg13.html#group70F13", "70F¹³")</f>
        <v/>
      </c>
      <c r="B3491" t="n">
        <v>13</v>
      </c>
      <c r="C3491" t="inlineStr"/>
      <c r="D3491" t="inlineStr">
        <is>
          <t>192</t>
        </is>
      </c>
      <c r="E3491" t="inlineStr">
        <is>
          <t>1</t>
        </is>
      </c>
      <c r="F3491" t="inlineStr">
        <is>
          <t>48</t>
        </is>
      </c>
      <c r="G3491" t="inlineStr">
        <is>
          <t>0</t>
        </is>
      </c>
      <c r="H3491" t="inlineStr">
        <is>
          <t>0</t>
        </is>
      </c>
      <c r="I3491" t="inlineStr">
        <is>
          <t>2², 10², 14², 70²</t>
        </is>
      </c>
      <c r="J3491" t="n">
        <v>8</v>
      </c>
      <c r="K3491" t="inlineStr">
        <is>
          <t>1⁴, 4², 6², 24¹</t>
        </is>
      </c>
      <c r="L3491" t="inlineStr">
        <is>
          <t>10D¹, 35C⁵, 70B⁷, 70C⁷</t>
        </is>
      </c>
      <c r="M3491" t="inlineStr"/>
      <c r="N3491" t="inlineStr">
        <is>
          <t>2A⁰, 7B⁰, 14B⁰, 5B⁰, 70C⁷, 5D⁰, 10A¹, 70B⁷, 10B⁰, 10D¹, 1A⁰, 35A³, 35C⁵</t>
        </is>
      </c>
      <c r="O3491" t="inlineStr"/>
    </row>
    <row r="3492">
      <c r="A3492">
        <f>HYPERLINK("https://mathstats.uncg.edu/sites/pauli/congruence/csg13.html#group72A13", "72A¹³")</f>
        <v/>
      </c>
      <c r="B3492" t="n">
        <v>13</v>
      </c>
      <c r="C3492" t="inlineStr"/>
      <c r="D3492" t="inlineStr">
        <is>
          <t>192</t>
        </is>
      </c>
      <c r="E3492" t="inlineStr">
        <is>
          <t>1</t>
        </is>
      </c>
      <c r="F3492" t="inlineStr">
        <is>
          <t>16</t>
        </is>
      </c>
      <c r="G3492" t="inlineStr">
        <is>
          <t>0</t>
        </is>
      </c>
      <c r="H3492" t="inlineStr">
        <is>
          <t>0</t>
        </is>
      </c>
      <c r="I3492" t="inlineStr">
        <is>
          <t>8⁶, 72²</t>
        </is>
      </c>
      <c r="J3492" t="n">
        <v>8</v>
      </c>
      <c r="K3492" t="inlineStr">
        <is>
          <t>2⁴, 4²</t>
        </is>
      </c>
      <c r="L3492" t="inlineStr">
        <is>
          <t>24F³, 36F⁵</t>
        </is>
      </c>
      <c r="M3492" t="inlineStr"/>
      <c r="N3492" t="inlineStr">
        <is>
          <t>3B⁰, 2A⁰, 12I¹, 4A⁰, 18C¹, 12A¹, 6C⁰, 4D⁰, 9B⁰, 1A⁰, 36B³, 36F⁵, 24F³</t>
        </is>
      </c>
      <c r="O3492" t="inlineStr"/>
    </row>
    <row r="3493">
      <c r="A3493">
        <f>HYPERLINK("https://mathstats.uncg.edu/sites/pauli/congruence/csg13.html#group72B13", "72B¹³")</f>
        <v/>
      </c>
      <c r="B3493" t="n">
        <v>13</v>
      </c>
      <c r="C3493" t="inlineStr"/>
      <c r="D3493" t="inlineStr">
        <is>
          <t>192</t>
        </is>
      </c>
      <c r="E3493" t="inlineStr">
        <is>
          <t>1</t>
        </is>
      </c>
      <c r="F3493" t="inlineStr">
        <is>
          <t>16</t>
        </is>
      </c>
      <c r="G3493" t="inlineStr">
        <is>
          <t>0</t>
        </is>
      </c>
      <c r="H3493" t="inlineStr">
        <is>
          <t>0</t>
        </is>
      </c>
      <c r="I3493" t="inlineStr">
        <is>
          <t>8⁶, 72²</t>
        </is>
      </c>
      <c r="J3493" t="n">
        <v>8</v>
      </c>
      <c r="K3493" t="inlineStr">
        <is>
          <t>2⁴, 4²</t>
        </is>
      </c>
      <c r="L3493" t="inlineStr">
        <is>
          <t>24G³, 36F⁵, 72A⁷</t>
        </is>
      </c>
      <c r="M3493" t="inlineStr"/>
      <c r="N3493" t="inlineStr">
        <is>
          <t>3B⁰, 2A⁰, 12I¹, 24A², 6C⁰, 8A⁰, 9B⁰, 8E⁰, 24G³, 1A⁰, 72A⁷, 4A⁰, 18C¹, 12A¹, 4D⁰, 36B³, 36F⁵</t>
        </is>
      </c>
      <c r="O3493" t="inlineStr"/>
    </row>
    <row r="3494">
      <c r="A3494">
        <f>HYPERLINK("https://mathstats.uncg.edu/sites/pauli/congruence/csg13.html#group72C13", "72C¹³")</f>
        <v/>
      </c>
      <c r="B3494" t="n">
        <v>13</v>
      </c>
      <c r="C3494" t="inlineStr"/>
      <c r="D3494" t="inlineStr">
        <is>
          <t>192</t>
        </is>
      </c>
      <c r="E3494" t="inlineStr">
        <is>
          <t>1</t>
        </is>
      </c>
      <c r="F3494" t="inlineStr">
        <is>
          <t>32</t>
        </is>
      </c>
      <c r="G3494" t="inlineStr">
        <is>
          <t>0</t>
        </is>
      </c>
      <c r="H3494" t="inlineStr">
        <is>
          <t>6</t>
        </is>
      </c>
      <c r="I3494" t="inlineStr">
        <is>
          <t>24², 72²</t>
        </is>
      </c>
      <c r="J3494" t="n">
        <v>4</v>
      </c>
      <c r="K3494" t="inlineStr">
        <is>
          <t>4⁸</t>
        </is>
      </c>
      <c r="L3494" t="inlineStr">
        <is>
          <t>24F³, 36B⁶</t>
        </is>
      </c>
      <c r="M3494" t="inlineStr"/>
      <c r="N3494" t="inlineStr">
        <is>
          <t>2A⁰, 3B⁰, 12I¹, 36B⁶, 4A⁰, 4D⁰, 12A¹, 6C⁰, 18D¹, 1A⁰, 24F³</t>
        </is>
      </c>
      <c r="O3494" t="inlineStr"/>
    </row>
    <row r="3495">
      <c r="A3495">
        <f>HYPERLINK("https://mathstats.uncg.edu/sites/pauli/congruence/csg13.html#group72D13", "72D¹³")</f>
        <v/>
      </c>
      <c r="B3495" t="n">
        <v>13</v>
      </c>
      <c r="C3495" t="inlineStr"/>
      <c r="D3495" t="inlineStr">
        <is>
          <t>192</t>
        </is>
      </c>
      <c r="E3495" t="inlineStr">
        <is>
          <t>1</t>
        </is>
      </c>
      <c r="F3495" t="inlineStr">
        <is>
          <t>32</t>
        </is>
      </c>
      <c r="G3495" t="inlineStr">
        <is>
          <t>0</t>
        </is>
      </c>
      <c r="H3495" t="inlineStr">
        <is>
          <t>6</t>
        </is>
      </c>
      <c r="I3495" t="inlineStr">
        <is>
          <t>24², 72²</t>
        </is>
      </c>
      <c r="J3495" t="n">
        <v>4</v>
      </c>
      <c r="K3495" t="inlineStr">
        <is>
          <t>4⁸</t>
        </is>
      </c>
      <c r="L3495" t="inlineStr">
        <is>
          <t>24G³, 36B⁶</t>
        </is>
      </c>
      <c r="M3495" t="inlineStr"/>
      <c r="N3495" t="inlineStr">
        <is>
          <t>2A⁰, 3B⁰, 12I¹, 36B⁶, 24A², 4A⁰, 4D⁰, 12A¹, 6C⁰, 8A⁰, 8E⁰, 24G³, 1A⁰, 18D¹</t>
        </is>
      </c>
      <c r="O3495" t="inlineStr"/>
    </row>
    <row r="3496">
      <c r="A3496">
        <f>HYPERLINK("https://mathstats.uncg.edu/sites/pauli/congruence/csg13.html#group72E13", "72E¹³")</f>
        <v/>
      </c>
      <c r="B3496" t="n">
        <v>13</v>
      </c>
      <c r="C3496" t="inlineStr"/>
      <c r="D3496" t="inlineStr">
        <is>
          <t>192</t>
        </is>
      </c>
      <c r="E3496" t="inlineStr">
        <is>
          <t>1</t>
        </is>
      </c>
      <c r="F3496" t="inlineStr">
        <is>
          <t>64</t>
        </is>
      </c>
      <c r="G3496" t="inlineStr">
        <is>
          <t>0</t>
        </is>
      </c>
      <c r="H3496" t="inlineStr">
        <is>
          <t>0</t>
        </is>
      </c>
      <c r="I3496" t="inlineStr">
        <is>
          <t>8⁶, 72²</t>
        </is>
      </c>
      <c r="J3496" t="n">
        <v>8</v>
      </c>
      <c r="K3496" t="inlineStr">
        <is>
          <t>4⁸, 8⁴</t>
        </is>
      </c>
      <c r="L3496" t="inlineStr">
        <is>
          <t>36B³, 24C⁴</t>
        </is>
      </c>
      <c r="M3496" t="inlineStr"/>
      <c r="N3496" t="inlineStr">
        <is>
          <t>24C⁴, 3B⁰, 8F⁰, 4A⁰, 12A¹, 9B⁰, 36B³, 1A⁰</t>
        </is>
      </c>
      <c r="O3496" t="inlineStr"/>
    </row>
    <row r="3497">
      <c r="A3497">
        <f>HYPERLINK("https://mathstats.uncg.edu/sites/pauli/congruence/csg13.html#group72F13", "72F¹³")</f>
        <v/>
      </c>
      <c r="B3497" t="n">
        <v>13</v>
      </c>
      <c r="C3497" t="inlineStr"/>
      <c r="D3497" t="inlineStr">
        <is>
          <t>216</t>
        </is>
      </c>
      <c r="E3497" t="inlineStr">
        <is>
          <t>1</t>
        </is>
      </c>
      <c r="F3497" t="inlineStr">
        <is>
          <t>18</t>
        </is>
      </c>
      <c r="G3497" t="inlineStr">
        <is>
          <t>12</t>
        </is>
      </c>
      <c r="H3497" t="inlineStr">
        <is>
          <t>0</t>
        </is>
      </c>
      <c r="I3497" t="inlineStr">
        <is>
          <t>18⁴, 72²</t>
        </is>
      </c>
      <c r="J3497" t="n">
        <v>6</v>
      </c>
      <c r="K3497" t="inlineStr">
        <is>
          <t>2³, 4³</t>
        </is>
      </c>
      <c r="L3497" t="inlineStr">
        <is>
          <t>24M³, 36P⁴</t>
        </is>
      </c>
      <c r="M3497" t="inlineStr"/>
      <c r="N3497" t="inlineStr">
        <is>
          <t>12G⁰, 9D⁰, 9A⁰, 36P⁴, 6G⁰, 3C⁰, 24M³, 2B⁰, 12D⁰, 18E¹, 3A⁰, 1A⁰, 18I², 6D⁰, 36C²</t>
        </is>
      </c>
      <c r="O3497" t="inlineStr"/>
    </row>
    <row r="3498">
      <c r="A3498">
        <f>HYPERLINK("https://mathstats.uncg.edu/sites/pauli/congruence/csg13.html#group72G13", "72G¹³")</f>
        <v/>
      </c>
      <c r="B3498" t="n">
        <v>13</v>
      </c>
      <c r="C3498" t="inlineStr"/>
      <c r="D3498" t="inlineStr">
        <is>
          <t>216</t>
        </is>
      </c>
      <c r="E3498" t="inlineStr">
        <is>
          <t>1</t>
        </is>
      </c>
      <c r="F3498" t="inlineStr">
        <is>
          <t>18</t>
        </is>
      </c>
      <c r="G3498" t="inlineStr">
        <is>
          <t>12</t>
        </is>
      </c>
      <c r="H3498" t="inlineStr">
        <is>
          <t>0</t>
        </is>
      </c>
      <c r="I3498" t="inlineStr">
        <is>
          <t>18⁴, 72²</t>
        </is>
      </c>
      <c r="J3498" t="n">
        <v>6</v>
      </c>
      <c r="K3498" t="inlineStr">
        <is>
          <t>1², 2⁴, 4²</t>
        </is>
      </c>
      <c r="L3498" t="inlineStr">
        <is>
          <t>24N³, 36H⁵, 72E⁶</t>
        </is>
      </c>
      <c r="M3498" t="inlineStr"/>
      <c r="N3498" t="inlineStr">
        <is>
          <t>24E¹, 12C⁰, 36E³, 4C⁰, 36B², 6G⁰, 2B⁰, 36H⁵, 12L¹, 1A⁰, 9D⁰, 72E⁶, 12C¹, 24N³, 9A⁰, 3C⁰, 18E¹, 3A⁰, 18I², 6D⁰</t>
        </is>
      </c>
      <c r="O3498" t="inlineStr"/>
    </row>
    <row r="3499">
      <c r="A3499">
        <f>HYPERLINK("https://mathstats.uncg.edu/sites/pauli/congruence/csg13.html#group72H13", "72H¹³")</f>
        <v/>
      </c>
      <c r="B3499" t="n">
        <v>13</v>
      </c>
      <c r="C3499" t="inlineStr"/>
      <c r="D3499" t="inlineStr">
        <is>
          <t>216</t>
        </is>
      </c>
      <c r="E3499" t="inlineStr">
        <is>
          <t>1</t>
        </is>
      </c>
      <c r="F3499" t="inlineStr">
        <is>
          <t>18</t>
        </is>
      </c>
      <c r="G3499" t="inlineStr">
        <is>
          <t>12</t>
        </is>
      </c>
      <c r="H3499" t="inlineStr">
        <is>
          <t>0</t>
        </is>
      </c>
      <c r="I3499" t="inlineStr">
        <is>
          <t>18⁴, 72²</t>
        </is>
      </c>
      <c r="J3499" t="n">
        <v>6</v>
      </c>
      <c r="K3499" t="inlineStr">
        <is>
          <t>1², 2⁴, 4²</t>
        </is>
      </c>
      <c r="L3499" t="inlineStr">
        <is>
          <t>24O³, 36H⁵, 72C⁶, 72D⁶</t>
        </is>
      </c>
      <c r="M3499" t="inlineStr"/>
      <c r="N3499" t="inlineStr">
        <is>
          <t>24E¹, 12C⁰, 36E³, 8D⁰, 36B², 4C⁰, 6G⁰, 2B⁰, 36H⁵, 1A⁰, 24O³, 12L¹, 72C⁶, 9D⁰, 12C¹, 72D⁶, 9A⁰, 24C¹, 3C⁰, 18E¹, 3A⁰, 18I², 6D⁰</t>
        </is>
      </c>
      <c r="O3499" t="inlineStr"/>
    </row>
    <row r="3500">
      <c r="A3500">
        <f>HYPERLINK("https://mathstats.uncg.edu/sites/pauli/congruence/csg13.html#group72I13", "72I¹³")</f>
        <v/>
      </c>
      <c r="B3500" t="n">
        <v>13</v>
      </c>
      <c r="C3500" t="inlineStr"/>
      <c r="D3500" t="inlineStr">
        <is>
          <t>216</t>
        </is>
      </c>
      <c r="E3500" t="inlineStr">
        <is>
          <t>1</t>
        </is>
      </c>
      <c r="F3500" t="inlineStr">
        <is>
          <t>27</t>
        </is>
      </c>
      <c r="G3500" t="inlineStr">
        <is>
          <t>16</t>
        </is>
      </c>
      <c r="H3500" t="inlineStr">
        <is>
          <t>0</t>
        </is>
      </c>
      <c r="I3500" t="inlineStr">
        <is>
          <t>36², 72²</t>
        </is>
      </c>
      <c r="J3500" t="n">
        <v>4</v>
      </c>
      <c r="K3500" t="inlineStr">
        <is>
          <t>1³, 2³, 6³</t>
        </is>
      </c>
      <c r="L3500" t="inlineStr">
        <is>
          <t>24H¹, 72E⁴, 36C⁶, 72B⁷</t>
        </is>
      </c>
      <c r="M3500" t="inlineStr"/>
      <c r="N3500" t="inlineStr">
        <is>
          <t>6B⁰, 12C⁰, 72E⁴, 6H⁰, 36B², 24D¹, 4C⁰, 8B⁰, 18B¹, 2B⁰, 12H⁰, 1A⁰, 18D³, 24A⁰, 36C⁶, 9A⁰, 72B⁷, 12D⁰, 18E¹, 3A⁰, 24H¹, 36D³, 18A¹, 6D⁰</t>
        </is>
      </c>
      <c r="O3500" t="inlineStr"/>
    </row>
    <row r="3501">
      <c r="A3501">
        <f>HYPERLINK("https://mathstats.uncg.edu/sites/pauli/congruence/csg13.html#group72J13", "72J¹³")</f>
        <v/>
      </c>
      <c r="B3501" t="n">
        <v>13</v>
      </c>
      <c r="C3501" t="inlineStr"/>
      <c r="D3501" t="inlineStr">
        <is>
          <t>216</t>
        </is>
      </c>
      <c r="E3501" t="inlineStr">
        <is>
          <t>1</t>
        </is>
      </c>
      <c r="F3501" t="inlineStr">
        <is>
          <t>54</t>
        </is>
      </c>
      <c r="G3501" t="inlineStr">
        <is>
          <t>8</t>
        </is>
      </c>
      <c r="H3501" t="inlineStr">
        <is>
          <t>0</t>
        </is>
      </c>
      <c r="I3501" t="inlineStr">
        <is>
          <t>12³, 24³, 36¹, 72¹</t>
        </is>
      </c>
      <c r="J3501" t="n">
        <v>8</v>
      </c>
      <c r="K3501" t="inlineStr">
        <is>
          <t>1³, 2³, 3³, 6⁶</t>
        </is>
      </c>
      <c r="L3501" t="inlineStr">
        <is>
          <t>24H³, 36I⁵</t>
        </is>
      </c>
      <c r="M3501" t="inlineStr"/>
      <c r="N3501" t="inlineStr">
        <is>
          <t>36I⁵, 12C⁰, 12C¹, 24H³, 18I¹, 12L¹, 4C⁰, 24D¹, 6G⁰, 3C⁰, 2B⁰, 9E⁰, 3A⁰, 1A⁰, 6D⁰</t>
        </is>
      </c>
      <c r="O3501" t="inlineStr"/>
    </row>
    <row r="3502">
      <c r="A3502">
        <f>HYPERLINK("https://mathstats.uncg.edu/sites/pauli/congruence/csg13.html#group72K13", "72K¹³")</f>
        <v/>
      </c>
      <c r="B3502" t="n">
        <v>13</v>
      </c>
      <c r="C3502" t="inlineStr"/>
      <c r="D3502" t="inlineStr">
        <is>
          <t>216</t>
        </is>
      </c>
      <c r="E3502" t="inlineStr">
        <is>
          <t>1</t>
        </is>
      </c>
      <c r="F3502" t="inlineStr">
        <is>
          <t>54</t>
        </is>
      </c>
      <c r="G3502" t="inlineStr">
        <is>
          <t>8</t>
        </is>
      </c>
      <c r="H3502" t="inlineStr">
        <is>
          <t>0</t>
        </is>
      </c>
      <c r="I3502" t="inlineStr">
        <is>
          <t>12³, 24³, 36¹, 72¹</t>
        </is>
      </c>
      <c r="J3502" t="n">
        <v>8</v>
      </c>
      <c r="K3502" t="inlineStr">
        <is>
          <t>1³, 2³, 3³, 6⁶</t>
        </is>
      </c>
      <c r="L3502" t="inlineStr">
        <is>
          <t>24I³, 36I⁵</t>
        </is>
      </c>
      <c r="M3502" t="inlineStr"/>
      <c r="N3502" t="inlineStr">
        <is>
          <t>36I⁵, 12C⁰, 18I¹, 4C⁰, 24I³, 8B⁰, 6G⁰, 2B⁰, 24C², 9E⁰, 12L¹, 1A⁰, 12C¹, 24A⁰, 3C⁰, 3A⁰, 6D⁰</t>
        </is>
      </c>
      <c r="O3502" t="inlineStr"/>
    </row>
    <row r="3503">
      <c r="A3503">
        <f>HYPERLINK("https://mathstats.uncg.edu/sites/pauli/congruence/csg13.html#group72L13", "72L¹³")</f>
        <v/>
      </c>
      <c r="B3503" t="n">
        <v>13</v>
      </c>
      <c r="C3503" t="inlineStr"/>
      <c r="D3503" t="inlineStr">
        <is>
          <t>216</t>
        </is>
      </c>
      <c r="E3503" t="inlineStr">
        <is>
          <t>2</t>
        </is>
      </c>
      <c r="F3503" t="inlineStr">
        <is>
          <t>54</t>
        </is>
      </c>
      <c r="G3503" t="inlineStr">
        <is>
          <t>4</t>
        </is>
      </c>
      <c r="H3503" t="inlineStr">
        <is>
          <t>0</t>
        </is>
      </c>
      <c r="I3503" t="inlineStr">
        <is>
          <t>9⁸, 72²</t>
        </is>
      </c>
      <c r="J3503" t="n">
        <v>10</v>
      </c>
      <c r="K3503" t="inlineStr">
        <is>
          <t>4⁹, 12⁶</t>
        </is>
      </c>
      <c r="L3503" t="inlineStr">
        <is>
          <t>24I¹, 36H⁶</t>
        </is>
      </c>
      <c r="M3503" t="inlineStr"/>
      <c r="N3503" t="inlineStr">
        <is>
          <t>24I¹, 6G⁰, 2B⁰, 1A⁰, 9B¹, 18E³, 36H⁶, 12G⁰, 9A⁰, 3C⁰, 12D⁰, 18E¹, 3A⁰, 36D³, 6D⁰, 36C²</t>
        </is>
      </c>
      <c r="O3503" t="inlineStr"/>
    </row>
    <row r="3504">
      <c r="A3504">
        <f>HYPERLINK("https://mathstats.uncg.edu/sites/pauli/congruence/csg13.html#group72M13", "72M¹³")</f>
        <v/>
      </c>
      <c r="B3504" t="n">
        <v>13</v>
      </c>
      <c r="C3504" t="inlineStr"/>
      <c r="D3504" t="inlineStr">
        <is>
          <t>216</t>
        </is>
      </c>
      <c r="E3504" t="inlineStr">
        <is>
          <t>2</t>
        </is>
      </c>
      <c r="F3504" t="inlineStr">
        <is>
          <t>54</t>
        </is>
      </c>
      <c r="G3504" t="inlineStr">
        <is>
          <t>16</t>
        </is>
      </c>
      <c r="H3504" t="inlineStr">
        <is>
          <t>0</t>
        </is>
      </c>
      <c r="I3504" t="inlineStr">
        <is>
          <t>36², 72²</t>
        </is>
      </c>
      <c r="J3504" t="n">
        <v>4</v>
      </c>
      <c r="K3504" t="inlineStr">
        <is>
          <t>2⁶, 4⁶, 6⁴, 12⁴</t>
        </is>
      </c>
      <c r="L3504" t="inlineStr">
        <is>
          <t>24P³, 72A⁵, 36F⁶, 72E⁶</t>
        </is>
      </c>
      <c r="M3504" t="inlineStr"/>
      <c r="N3504" t="inlineStr">
        <is>
          <t>24E¹, 12C⁰, 36B², 4C⁰, 24D¹, 72A⁵, 2B⁰, 24P³, 1A⁰, 36A¹, 36F⁶, 12A⁰, 72E⁶, 4A⁰, 9A⁰, 12J¹, 4F⁰, 18E¹, 3A⁰, 6D⁰</t>
        </is>
      </c>
      <c r="O3504" t="inlineStr"/>
    </row>
    <row r="3505">
      <c r="A3505">
        <f>HYPERLINK("https://mathstats.uncg.edu/sites/pauli/congruence/csg13.html#group72N13", "72N¹³")</f>
        <v/>
      </c>
      <c r="B3505" t="n">
        <v>13</v>
      </c>
      <c r="C3505" t="inlineStr"/>
      <c r="D3505" t="inlineStr">
        <is>
          <t>216</t>
        </is>
      </c>
      <c r="E3505" t="inlineStr">
        <is>
          <t>2</t>
        </is>
      </c>
      <c r="F3505" t="inlineStr">
        <is>
          <t>54</t>
        </is>
      </c>
      <c r="G3505" t="inlineStr">
        <is>
          <t>16</t>
        </is>
      </c>
      <c r="H3505" t="inlineStr">
        <is>
          <t>0</t>
        </is>
      </c>
      <c r="I3505" t="inlineStr">
        <is>
          <t>36², 72²</t>
        </is>
      </c>
      <c r="J3505" t="n">
        <v>4</v>
      </c>
      <c r="K3505" t="inlineStr">
        <is>
          <t>2⁶, 4⁶, 6⁴, 12⁴</t>
        </is>
      </c>
      <c r="L3505" t="inlineStr">
        <is>
          <t>24Q³, 72A⁵, 36I⁶, 72C⁶</t>
        </is>
      </c>
      <c r="M3505" t="inlineStr"/>
      <c r="N3505" t="inlineStr">
        <is>
          <t>24Q³, 12C⁰, 8D⁰, 4C⁰, 24D¹, 36B², 72A⁵, 12M¹, 2B⁰, 1A⁰, 72C⁶, 36I⁶, 9A⁰, 24C¹, 18E¹, 3A⁰, 6D⁰</t>
        </is>
      </c>
      <c r="O3505" t="inlineStr"/>
    </row>
    <row r="3506">
      <c r="A3506">
        <f>HYPERLINK("https://mathstats.uncg.edu/sites/pauli/congruence/csg13.html#group72O13", "72O¹³")</f>
        <v/>
      </c>
      <c r="B3506" t="n">
        <v>13</v>
      </c>
      <c r="C3506" t="inlineStr"/>
      <c r="D3506" t="inlineStr">
        <is>
          <t>216</t>
        </is>
      </c>
      <c r="E3506" t="inlineStr">
        <is>
          <t>2</t>
        </is>
      </c>
      <c r="F3506" t="inlineStr">
        <is>
          <t>54</t>
        </is>
      </c>
      <c r="G3506" t="inlineStr">
        <is>
          <t>16</t>
        </is>
      </c>
      <c r="H3506" t="inlineStr">
        <is>
          <t>0</t>
        </is>
      </c>
      <c r="I3506" t="inlineStr">
        <is>
          <t>36², 72²</t>
        </is>
      </c>
      <c r="J3506" t="n">
        <v>4</v>
      </c>
      <c r="K3506" t="inlineStr">
        <is>
          <t>2⁶, 4⁶, 6⁴, 12⁴</t>
        </is>
      </c>
      <c r="L3506" t="inlineStr">
        <is>
          <t>24T³, 72A⁵, 36E⁶, 72E⁶</t>
        </is>
      </c>
      <c r="M3506" t="inlineStr"/>
      <c r="N3506" t="inlineStr">
        <is>
          <t>24E¹, 12C⁰, 36E⁶, 4C⁰, 24D¹, 36B², 72A⁵, 12M¹, 2B⁰, 1A⁰, 72E⁶, 9A⁰, 24T³, 18E¹, 3A⁰, 6D⁰</t>
        </is>
      </c>
      <c r="O3506" t="inlineStr"/>
    </row>
    <row r="3507">
      <c r="A3507">
        <f>HYPERLINK("https://mathstats.uncg.edu/sites/pauli/congruence/csg13.html#group72P13", "72P¹³")</f>
        <v/>
      </c>
      <c r="B3507" t="n">
        <v>13</v>
      </c>
      <c r="C3507" t="inlineStr"/>
      <c r="D3507" t="inlineStr">
        <is>
          <t>216</t>
        </is>
      </c>
      <c r="E3507" t="inlineStr">
        <is>
          <t>2</t>
        </is>
      </c>
      <c r="F3507" t="inlineStr">
        <is>
          <t>54</t>
        </is>
      </c>
      <c r="G3507" t="inlineStr">
        <is>
          <t>16</t>
        </is>
      </c>
      <c r="H3507" t="inlineStr">
        <is>
          <t>0</t>
        </is>
      </c>
      <c r="I3507" t="inlineStr">
        <is>
          <t>36², 72²</t>
        </is>
      </c>
      <c r="J3507" t="n">
        <v>4</v>
      </c>
      <c r="K3507" t="inlineStr">
        <is>
          <t>2⁶, 4⁶, 6⁴, 12⁴</t>
        </is>
      </c>
      <c r="L3507" t="inlineStr">
        <is>
          <t>24T³, 72A⁵, 36I⁶, 72D⁶</t>
        </is>
      </c>
      <c r="M3507" t="inlineStr"/>
      <c r="N3507" t="inlineStr">
        <is>
          <t>24E¹, 12C⁰, 4C⁰, 24D¹, 36B², 72A⁵, 12M¹, 2B⁰, 1A⁰, 36I⁶, 72D⁶, 9A⁰, 24T³, 18E¹, 3A⁰, 6D⁰</t>
        </is>
      </c>
      <c r="O3507" t="inlineStr"/>
    </row>
    <row r="3508">
      <c r="A3508">
        <f>HYPERLINK("https://mathstats.uncg.edu/sites/pauli/congruence/csg13.html#group72Q13", "72Q¹³")</f>
        <v/>
      </c>
      <c r="B3508" t="n">
        <v>13</v>
      </c>
      <c r="C3508" t="inlineStr"/>
      <c r="D3508" t="inlineStr">
        <is>
          <t>288</t>
        </is>
      </c>
      <c r="E3508" t="inlineStr">
        <is>
          <t>1</t>
        </is>
      </c>
      <c r="F3508" t="inlineStr">
        <is>
          <t>12</t>
        </is>
      </c>
      <c r="G3508" t="inlineStr">
        <is>
          <t>0</t>
        </is>
      </c>
      <c r="H3508" t="inlineStr">
        <is>
          <t>0</t>
        </is>
      </c>
      <c r="I3508" t="inlineStr">
        <is>
          <t>2¹², 8⁶, 18⁴, 72²</t>
        </is>
      </c>
      <c r="J3508" t="n">
        <v>24</v>
      </c>
      <c r="K3508" t="inlineStr">
        <is>
          <t>1⁶, 2³</t>
        </is>
      </c>
      <c r="L3508" t="inlineStr">
        <is>
          <t>24U³, 72A³, 36L⁵, 72C⁷</t>
        </is>
      </c>
      <c r="M3508" t="inlineStr"/>
      <c r="N3508" t="inlineStr">
        <is>
          <t>2A⁰, 4C⁰, 2B⁰, 4E⁰, 4B⁰, 1A⁰, 72A³, 18C⁰, 24U³, 72C⁷, 18C¹, 6F⁰, 36G³, 3B⁰, 36L⁵, 6I⁰, 12F¹, 6C⁰, 9B⁰, 12P¹, 18J¹, 18E⁰, 24B⁰, 36C¹, 24F², 2C⁰, 12E⁰</t>
        </is>
      </c>
      <c r="O3508" t="inlineStr"/>
    </row>
    <row r="3509">
      <c r="A3509">
        <f>HYPERLINK("https://mathstats.uncg.edu/sites/pauli/congruence/csg13.html#group72R13", "72R¹³")</f>
        <v/>
      </c>
      <c r="B3509" t="n">
        <v>13</v>
      </c>
      <c r="C3509" t="inlineStr"/>
      <c r="D3509" t="inlineStr">
        <is>
          <t>288</t>
        </is>
      </c>
      <c r="E3509" t="inlineStr">
        <is>
          <t>1</t>
        </is>
      </c>
      <c r="F3509" t="inlineStr">
        <is>
          <t>12</t>
        </is>
      </c>
      <c r="G3509" t="inlineStr">
        <is>
          <t>0</t>
        </is>
      </c>
      <c r="H3509" t="inlineStr">
        <is>
          <t>0</t>
        </is>
      </c>
      <c r="I3509" t="inlineStr">
        <is>
          <t>2¹², 8⁶, 18⁴, 72²</t>
        </is>
      </c>
      <c r="J3509" t="n">
        <v>24</v>
      </c>
      <c r="K3509" t="inlineStr">
        <is>
          <t>1⁶, 2³</t>
        </is>
      </c>
      <c r="L3509" t="inlineStr">
        <is>
          <t>24V³, 36L⁵, 72B⁵, 72D⁷</t>
        </is>
      </c>
      <c r="M3509" t="inlineStr"/>
      <c r="N3509" t="inlineStr">
        <is>
          <t>2A⁰, 24V³, 24G¹, 4C⁰, 2B⁰, 4E⁰, 8C⁰, 4B⁰, 1A⁰, 18C⁰, 8G⁰, 18C¹, 72B⁵, 72D⁷, 6F⁰, 36G³, 3B⁰, 36L⁵, 8D⁰, 12F¹, 6I⁰, 6C⁰, 9B⁰, 12P¹, 18J¹, 18E⁰, 24I², 36C¹, 2C⁰, 12E⁰</t>
        </is>
      </c>
      <c r="O3509" t="inlineStr"/>
    </row>
    <row r="3510">
      <c r="A3510">
        <f>HYPERLINK("https://mathstats.uncg.edu/sites/pauli/congruence/csg13.html#group72S13", "72S¹³")</f>
        <v/>
      </c>
      <c r="B3510" t="n">
        <v>13</v>
      </c>
      <c r="C3510" t="inlineStr"/>
      <c r="D3510" t="inlineStr">
        <is>
          <t>288</t>
        </is>
      </c>
      <c r="E3510" t="inlineStr">
        <is>
          <t>1</t>
        </is>
      </c>
      <c r="F3510" t="inlineStr">
        <is>
          <t>24</t>
        </is>
      </c>
      <c r="G3510" t="inlineStr">
        <is>
          <t>0</t>
        </is>
      </c>
      <c r="H3510" t="inlineStr">
        <is>
          <t>0</t>
        </is>
      </c>
      <c r="I3510" t="inlineStr">
        <is>
          <t>2¹², 8⁶, 18⁴, 72²</t>
        </is>
      </c>
      <c r="J3510" t="n">
        <v>24</v>
      </c>
      <c r="K3510" t="inlineStr">
        <is>
          <t>1⁸, 2⁶, 4¹</t>
        </is>
      </c>
      <c r="L3510" t="inlineStr">
        <is>
          <t>24W³, 36K³, 72B⁵, 72C⁷</t>
        </is>
      </c>
      <c r="M3510" t="inlineStr"/>
      <c r="N3510" t="inlineStr">
        <is>
          <t>3B⁰, 24G¹, 12J⁰, 9B⁰, 2B⁰, 8C⁰, 4B⁰, 1A⁰, 18E⁰, 72C⁷, 72B⁵, 24W³, 36K³, 36C¹, 24F², 6F⁰, 12E⁰</t>
        </is>
      </c>
      <c r="O3510" t="inlineStr"/>
    </row>
    <row r="3511">
      <c r="A3511">
        <f>HYPERLINK("https://mathstats.uncg.edu/sites/pauli/congruence/csg13.html#group72T13", "72T¹³")</f>
        <v/>
      </c>
      <c r="B3511" t="n">
        <v>13</v>
      </c>
      <c r="C3511" t="inlineStr"/>
      <c r="D3511" t="inlineStr">
        <is>
          <t>288</t>
        </is>
      </c>
      <c r="E3511" t="inlineStr">
        <is>
          <t>1</t>
        </is>
      </c>
      <c r="F3511" t="inlineStr">
        <is>
          <t>48</t>
        </is>
      </c>
      <c r="G3511" t="inlineStr">
        <is>
          <t>0</t>
        </is>
      </c>
      <c r="H3511" t="inlineStr">
        <is>
          <t>0</t>
        </is>
      </c>
      <c r="I3511" t="inlineStr">
        <is>
          <t>1⁶, 2³, 4³, 8⁶, 9², 18¹, 36¹, 72²</t>
        </is>
      </c>
      <c r="J3511" t="n">
        <v>24</v>
      </c>
      <c r="K3511" t="inlineStr">
        <is>
          <t>1⁸, 2⁸, 4⁴, 8¹</t>
        </is>
      </c>
      <c r="L3511" t="inlineStr">
        <is>
          <t>24X³, 72B⁵</t>
        </is>
      </c>
      <c r="M3511" t="inlineStr"/>
      <c r="N3511" t="inlineStr">
        <is>
          <t>3B⁰, 24X³, 18E⁰, 72B⁵, 24G¹, 6F⁰, 9B⁰, 8C⁰, 2B⁰, 36C¹, 4B⁰, 1A⁰, 12E⁰</t>
        </is>
      </c>
      <c r="O3511" t="inlineStr"/>
    </row>
    <row r="3512">
      <c r="A3512">
        <f>HYPERLINK("https://mathstats.uncg.edu/sites/pauli/congruence/csg13.html#group72U13", "72U¹³")</f>
        <v/>
      </c>
      <c r="B3512" t="n">
        <v>13</v>
      </c>
      <c r="C3512" t="inlineStr"/>
      <c r="D3512" t="inlineStr">
        <is>
          <t>288</t>
        </is>
      </c>
      <c r="E3512" t="inlineStr">
        <is>
          <t>1</t>
        </is>
      </c>
      <c r="F3512" t="inlineStr">
        <is>
          <t>48</t>
        </is>
      </c>
      <c r="G3512" t="inlineStr">
        <is>
          <t>0</t>
        </is>
      </c>
      <c r="H3512" t="inlineStr">
        <is>
          <t>0</t>
        </is>
      </c>
      <c r="I3512" t="inlineStr">
        <is>
          <t>1⁶, 2³, 4³, 8⁶, 9², 18¹, 36¹, 72²</t>
        </is>
      </c>
      <c r="J3512" t="n">
        <v>24</v>
      </c>
      <c r="K3512" t="inlineStr">
        <is>
          <t>1⁸, 2⁸, 4⁴, 8¹</t>
        </is>
      </c>
      <c r="L3512" t="inlineStr">
        <is>
          <t>24Y³, 72B⁵</t>
        </is>
      </c>
      <c r="M3512" t="inlineStr"/>
      <c r="N3512" t="inlineStr">
        <is>
          <t>3B⁰, 18E⁰, 72B⁵, 24G¹, 6F⁰, 9B⁰, 8C⁰, 2B⁰, 24Y³, 36C¹, 4B⁰, 8I⁰, 1A⁰, 12E⁰</t>
        </is>
      </c>
      <c r="O3512" t="inlineStr"/>
    </row>
    <row r="3513">
      <c r="A3513">
        <f>HYPERLINK("https://mathstats.uncg.edu/sites/pauli/congruence/csg13.html#group72V13", "72V¹³")</f>
        <v/>
      </c>
      <c r="B3513" t="n">
        <v>13</v>
      </c>
      <c r="C3513" t="inlineStr"/>
      <c r="D3513" t="inlineStr">
        <is>
          <t>288</t>
        </is>
      </c>
      <c r="E3513" t="inlineStr">
        <is>
          <t>1</t>
        </is>
      </c>
      <c r="F3513" t="inlineStr">
        <is>
          <t>48</t>
        </is>
      </c>
      <c r="G3513" t="inlineStr">
        <is>
          <t>0</t>
        </is>
      </c>
      <c r="H3513" t="inlineStr">
        <is>
          <t>0</t>
        </is>
      </c>
      <c r="I3513" t="inlineStr">
        <is>
          <t>2⁶, 4⁹, 8³, 18², 36³, 72¹</t>
        </is>
      </c>
      <c r="J3513" t="n">
        <v>24</v>
      </c>
      <c r="K3513" t="inlineStr">
        <is>
          <t>1¹⁶, 2¹², 4²</t>
        </is>
      </c>
      <c r="L3513" t="inlineStr">
        <is>
          <t>24Z³, 36L⁵</t>
        </is>
      </c>
      <c r="M3513" t="inlineStr"/>
      <c r="N3513" t="inlineStr">
        <is>
          <t>3B⁰, 2A⁰, 36L⁵, 24Z³, 6I⁰, 12F¹, 6C⁰, 4C⁰, 9B⁰, 2B⁰, 4E⁰, 12P¹, 18J¹, 4B⁰, 1A⁰, 18C⁰, 18E⁰, 18C¹, 12E⁰, 36C¹, 6F⁰, 2C⁰, 36G³</t>
        </is>
      </c>
      <c r="O3513" t="inlineStr"/>
    </row>
    <row r="3514">
      <c r="A3514">
        <f>HYPERLINK("https://mathstats.uncg.edu/sites/pauli/congruence/csg13.html#group72W13", "72W¹³")</f>
        <v/>
      </c>
      <c r="B3514" t="n">
        <v>13</v>
      </c>
      <c r="C3514" t="inlineStr"/>
      <c r="D3514" t="inlineStr">
        <is>
          <t>288</t>
        </is>
      </c>
      <c r="E3514" t="inlineStr">
        <is>
          <t>1</t>
        </is>
      </c>
      <c r="F3514" t="inlineStr">
        <is>
          <t>48</t>
        </is>
      </c>
      <c r="G3514" t="inlineStr">
        <is>
          <t>0</t>
        </is>
      </c>
      <c r="H3514" t="inlineStr">
        <is>
          <t>0</t>
        </is>
      </c>
      <c r="I3514" t="inlineStr">
        <is>
          <t>2⁶, 4⁹, 8³, 18², 36³, 72¹</t>
        </is>
      </c>
      <c r="J3514" t="n">
        <v>24</v>
      </c>
      <c r="K3514" t="inlineStr">
        <is>
          <t>1¹⁶, 2¹², 4²</t>
        </is>
      </c>
      <c r="L3514" t="inlineStr">
        <is>
          <t>24AA³, 36L⁵</t>
        </is>
      </c>
      <c r="M3514" t="inlineStr"/>
      <c r="N3514" t="inlineStr">
        <is>
          <t>2A⁰, 3B⁰, 36L⁵, 36G³, 24AA³, 6I⁰, 12F¹, 4C⁰, 6C⁰, 9B⁰, 2B⁰, 4E⁰, 12P¹, 4B⁰, 18J¹, 1A⁰, 18C⁰, 18E⁰, 18C¹, 36C¹, 6F⁰, 2C⁰, 12E⁰, 8J⁰</t>
        </is>
      </c>
      <c r="O3514" t="inlineStr"/>
    </row>
    <row r="3515">
      <c r="A3515">
        <f>HYPERLINK("https://mathstats.uncg.edu/sites/pauli/congruence/csg13.html#group73A13", "73A¹³")</f>
        <v/>
      </c>
      <c r="B3515" t="n">
        <v>13</v>
      </c>
      <c r="C3515" t="inlineStr"/>
      <c r="D3515" t="inlineStr">
        <is>
          <t>222</t>
        </is>
      </c>
      <c r="E3515" t="inlineStr">
        <is>
          <t>1</t>
        </is>
      </c>
      <c r="F3515" t="inlineStr">
        <is>
          <t>74</t>
        </is>
      </c>
      <c r="G3515" t="inlineStr">
        <is>
          <t>6</t>
        </is>
      </c>
      <c r="H3515" t="inlineStr">
        <is>
          <t>6</t>
        </is>
      </c>
      <c r="I3515" t="inlineStr">
        <is>
          <t>1³, 73³</t>
        </is>
      </c>
      <c r="J3515" t="n">
        <v>6</v>
      </c>
      <c r="K3515" t="inlineStr">
        <is>
          <t>1², 72¹</t>
        </is>
      </c>
      <c r="L3515" t="inlineStr">
        <is>
          <t>73A⁵</t>
        </is>
      </c>
      <c r="M3515" t="inlineStr"/>
      <c r="N3515" t="inlineStr">
        <is>
          <t>1A⁰, 73A⁵</t>
        </is>
      </c>
      <c r="O3515" t="inlineStr"/>
    </row>
    <row r="3516">
      <c r="A3516">
        <f>HYPERLINK("https://mathstats.uncg.edu/sites/pauli/congruence/csg13.html#group74A13", "74A¹³")</f>
        <v/>
      </c>
      <c r="B3516" t="n">
        <v>13</v>
      </c>
      <c r="C3516" t="inlineStr"/>
      <c r="D3516" t="inlineStr">
        <is>
          <t>228</t>
        </is>
      </c>
      <c r="E3516" t="inlineStr">
        <is>
          <t>1</t>
        </is>
      </c>
      <c r="F3516" t="inlineStr">
        <is>
          <t>38</t>
        </is>
      </c>
      <c r="G3516" t="inlineStr">
        <is>
          <t>0</t>
        </is>
      </c>
      <c r="H3516" t="inlineStr">
        <is>
          <t>12</t>
        </is>
      </c>
      <c r="I3516" t="inlineStr">
        <is>
          <t>2³, 74³</t>
        </is>
      </c>
      <c r="J3516" t="n">
        <v>6</v>
      </c>
      <c r="K3516" t="inlineStr">
        <is>
          <t>1², 36¹</t>
        </is>
      </c>
      <c r="L3516" t="inlineStr">
        <is>
          <t>37B⁴, 74A⁵</t>
        </is>
      </c>
      <c r="M3516" t="inlineStr"/>
      <c r="N3516" t="inlineStr">
        <is>
          <t>37A², 37B⁴, 74A⁵, 2A⁰, 1A⁰</t>
        </is>
      </c>
      <c r="O3516" t="inlineStr"/>
    </row>
    <row r="3517">
      <c r="A3517">
        <f>HYPERLINK("https://mathstats.uncg.edu/sites/pauli/congruence/csg13.html#group75A13", "75A¹³")</f>
        <v/>
      </c>
      <c r="B3517" t="n">
        <v>13</v>
      </c>
      <c r="C3517" t="inlineStr"/>
      <c r="D3517" t="inlineStr">
        <is>
          <t>180</t>
        </is>
      </c>
      <c r="E3517" t="inlineStr">
        <is>
          <t>1</t>
        </is>
      </c>
      <c r="F3517" t="inlineStr">
        <is>
          <t>90</t>
        </is>
      </c>
      <c r="G3517" t="inlineStr">
        <is>
          <t>4</t>
        </is>
      </c>
      <c r="H3517" t="inlineStr">
        <is>
          <t>0</t>
        </is>
      </c>
      <c r="I3517" t="inlineStr">
        <is>
          <t>15², 75²</t>
        </is>
      </c>
      <c r="J3517" t="n">
        <v>4</v>
      </c>
      <c r="K3517" t="inlineStr">
        <is>
          <t>2², 4⁶, 8⁴, 20², 40²</t>
        </is>
      </c>
      <c r="L3517" t="inlineStr">
        <is>
          <t>15E¹, 75A⁶</t>
        </is>
      </c>
      <c r="M3517" t="inlineStr"/>
      <c r="N3517" t="inlineStr">
        <is>
          <t>75A⁶, 15B⁰, 25A², 5B⁰, 3C⁰, 3A⁰, 1A⁰, 15E¹</t>
        </is>
      </c>
      <c r="O3517" t="inlineStr"/>
    </row>
    <row r="3518">
      <c r="A3518">
        <f>HYPERLINK("https://mathstats.uncg.edu/sites/pauli/congruence/csg13.html#group75B13", "75B¹³")</f>
        <v/>
      </c>
      <c r="B3518" t="n">
        <v>13</v>
      </c>
      <c r="C3518" t="inlineStr"/>
      <c r="D3518" t="inlineStr">
        <is>
          <t>180</t>
        </is>
      </c>
      <c r="E3518" t="inlineStr">
        <is>
          <t>1</t>
        </is>
      </c>
      <c r="F3518" t="inlineStr">
        <is>
          <t>90</t>
        </is>
      </c>
      <c r="G3518" t="inlineStr">
        <is>
          <t>4</t>
        </is>
      </c>
      <c r="H3518" t="inlineStr">
        <is>
          <t>0</t>
        </is>
      </c>
      <c r="I3518" t="inlineStr">
        <is>
          <t>15², 75²</t>
        </is>
      </c>
      <c r="J3518" t="n">
        <v>4</v>
      </c>
      <c r="K3518" t="inlineStr">
        <is>
          <t>2², 4⁶, 8⁴, 20², 40²</t>
        </is>
      </c>
      <c r="L3518" t="inlineStr">
        <is>
          <t>15E¹, 75B⁶</t>
        </is>
      </c>
      <c r="M3518" t="inlineStr"/>
      <c r="N3518" t="inlineStr">
        <is>
          <t>15B⁰, 75B⁶, 15E¹, 5B⁰, 3C⁰, 3A⁰, 1A⁰, 25B²</t>
        </is>
      </c>
      <c r="O3518" t="inlineStr"/>
    </row>
    <row r="3519">
      <c r="A3519">
        <f>HYPERLINK("https://mathstats.uncg.edu/sites/pauli/congruence/csg13.html#group75C13", "75C¹³")</f>
        <v/>
      </c>
      <c r="B3519" t="n">
        <v>13</v>
      </c>
      <c r="C3519" t="inlineStr"/>
      <c r="D3519" t="inlineStr">
        <is>
          <t>180</t>
        </is>
      </c>
      <c r="E3519" t="inlineStr">
        <is>
          <t>1</t>
        </is>
      </c>
      <c r="F3519" t="inlineStr">
        <is>
          <t>90</t>
        </is>
      </c>
      <c r="G3519" t="inlineStr">
        <is>
          <t>4</t>
        </is>
      </c>
      <c r="H3519" t="inlineStr">
        <is>
          <t>0</t>
        </is>
      </c>
      <c r="I3519" t="inlineStr">
        <is>
          <t>15², 75²</t>
        </is>
      </c>
      <c r="J3519" t="n">
        <v>4</v>
      </c>
      <c r="K3519" t="inlineStr">
        <is>
          <t>2², 4⁶, 8⁴, 20², 40²</t>
        </is>
      </c>
      <c r="L3519" t="inlineStr">
        <is>
          <t>15E¹, 75C⁶</t>
        </is>
      </c>
      <c r="M3519" t="inlineStr"/>
      <c r="N3519" t="inlineStr">
        <is>
          <t>15B⁰, 75C⁶, 5B⁰, 3C⁰, 3A⁰, 1A⁰, 25C², 15E¹</t>
        </is>
      </c>
      <c r="O3519" t="inlineStr"/>
    </row>
    <row r="3520">
      <c r="A3520">
        <f>HYPERLINK("https://mathstats.uncg.edu/sites/pauli/congruence/csg13.html#group75D13", "75D¹³")</f>
        <v/>
      </c>
      <c r="B3520" t="n">
        <v>13</v>
      </c>
      <c r="C3520" t="inlineStr"/>
      <c r="D3520" t="inlineStr">
        <is>
          <t>180</t>
        </is>
      </c>
      <c r="E3520" t="inlineStr">
        <is>
          <t>1</t>
        </is>
      </c>
      <c r="F3520" t="inlineStr">
        <is>
          <t>90</t>
        </is>
      </c>
      <c r="G3520" t="inlineStr">
        <is>
          <t>4</t>
        </is>
      </c>
      <c r="H3520" t="inlineStr">
        <is>
          <t>0</t>
        </is>
      </c>
      <c r="I3520" t="inlineStr">
        <is>
          <t>15², 75²</t>
        </is>
      </c>
      <c r="J3520" t="n">
        <v>4</v>
      </c>
      <c r="K3520" t="inlineStr">
        <is>
          <t>2², 4⁶, 8⁴, 20², 40²</t>
        </is>
      </c>
      <c r="L3520" t="inlineStr">
        <is>
          <t>15E¹, 75D⁶</t>
        </is>
      </c>
      <c r="M3520" t="inlineStr"/>
      <c r="N3520" t="inlineStr">
        <is>
          <t>15B⁰, 15E¹, 5B⁰, 3C⁰, 75D⁶, 3A⁰, 1A⁰, 25D²</t>
        </is>
      </c>
      <c r="O3520" t="inlineStr"/>
    </row>
    <row r="3521">
      <c r="A3521">
        <f>HYPERLINK("https://mathstats.uncg.edu/sites/pauli/congruence/csg13.html#group77A13", "77A¹³")</f>
        <v/>
      </c>
      <c r="B3521" t="n">
        <v>13</v>
      </c>
      <c r="C3521" t="inlineStr"/>
      <c r="D3521" t="inlineStr">
        <is>
          <t>168</t>
        </is>
      </c>
      <c r="E3521" t="inlineStr">
        <is>
          <t>2</t>
        </is>
      </c>
      <c r="F3521" t="inlineStr">
        <is>
          <t>84</t>
        </is>
      </c>
      <c r="G3521" t="inlineStr">
        <is>
          <t>0</t>
        </is>
      </c>
      <c r="H3521" t="inlineStr">
        <is>
          <t>0</t>
        </is>
      </c>
      <c r="I3521" t="inlineStr">
        <is>
          <t>7², 77²</t>
        </is>
      </c>
      <c r="J3521" t="n">
        <v>4</v>
      </c>
      <c r="K3521" t="inlineStr">
        <is>
          <t>2², 6⁴, 20¹, 60²</t>
        </is>
      </c>
      <c r="L3521" t="inlineStr">
        <is>
          <t>7C⁰, 77A⁷</t>
        </is>
      </c>
      <c r="M3521" t="inlineStr"/>
      <c r="N3521" t="inlineStr">
        <is>
          <t>77A⁷, 1A⁰, 11A¹, 7C⁰, 7A⁰</t>
        </is>
      </c>
      <c r="O3521" t="inlineStr"/>
    </row>
    <row r="3522">
      <c r="A3522">
        <f>HYPERLINK("https://mathstats.uncg.edu/sites/pauli/congruence/csg13.html#group77B13", "77B¹³")</f>
        <v/>
      </c>
      <c r="B3522" t="n">
        <v>13</v>
      </c>
      <c r="C3522" t="inlineStr"/>
      <c r="D3522" t="inlineStr">
        <is>
          <t>192</t>
        </is>
      </c>
      <c r="E3522" t="inlineStr">
        <is>
          <t>1</t>
        </is>
      </c>
      <c r="F3522" t="inlineStr">
        <is>
          <t>96</t>
        </is>
      </c>
      <c r="G3522" t="inlineStr">
        <is>
          <t>0</t>
        </is>
      </c>
      <c r="H3522" t="inlineStr">
        <is>
          <t>0</t>
        </is>
      </c>
      <c r="I3522" t="inlineStr">
        <is>
          <t>1², 7², 11², 77²</t>
        </is>
      </c>
      <c r="J3522" t="n">
        <v>8</v>
      </c>
      <c r="K3522" t="inlineStr">
        <is>
          <t>1⁴, 6², 10², 60¹</t>
        </is>
      </c>
      <c r="L3522" t="inlineStr">
        <is>
          <t>77B⁷</t>
        </is>
      </c>
      <c r="M3522" t="inlineStr"/>
      <c r="N3522" t="inlineStr">
        <is>
          <t>1A⁰, 7B⁰, 77B⁷, 11A¹</t>
        </is>
      </c>
      <c r="O3522" t="inlineStr"/>
    </row>
    <row r="3523">
      <c r="A3523">
        <f>HYPERLINK("https://mathstats.uncg.edu/sites/pauli/congruence/csg13.html#group78A13", "78A¹³")</f>
        <v/>
      </c>
      <c r="B3523" t="n">
        <v>13</v>
      </c>
      <c r="C3523" t="inlineStr"/>
      <c r="D3523" t="inlineStr">
        <is>
          <t>168</t>
        </is>
      </c>
      <c r="E3523" t="inlineStr">
        <is>
          <t>1</t>
        </is>
      </c>
      <c r="F3523" t="inlineStr">
        <is>
          <t>14</t>
        </is>
      </c>
      <c r="G3523" t="inlineStr">
        <is>
          <t>0</t>
        </is>
      </c>
      <c r="H3523" t="inlineStr">
        <is>
          <t>0</t>
        </is>
      </c>
      <c r="I3523" t="inlineStr">
        <is>
          <t>6², 78²</t>
        </is>
      </c>
      <c r="J3523" t="n">
        <v>4</v>
      </c>
      <c r="K3523" t="inlineStr">
        <is>
          <t>1², 12¹</t>
        </is>
      </c>
      <c r="L3523" t="inlineStr">
        <is>
          <t>26B¹, 78A⁴, 39A⁶, 78A⁷</t>
        </is>
      </c>
      <c r="M3523" t="inlineStr"/>
      <c r="N3523" t="inlineStr">
        <is>
          <t>2A⁰, 39A², 26B¹, 78A⁷, 78A⁴, 26A¹, 13A⁰, 6A¹, 26A⁰, 39A⁶, 13B⁰, 3A⁰, 1A⁰</t>
        </is>
      </c>
      <c r="O3523" t="inlineStr"/>
    </row>
    <row r="3524">
      <c r="A3524">
        <f>HYPERLINK("https://mathstats.uncg.edu/sites/pauli/congruence/csg13.html#group78B13", "78B¹³")</f>
        <v/>
      </c>
      <c r="B3524" t="n">
        <v>13</v>
      </c>
      <c r="C3524" t="inlineStr"/>
      <c r="D3524" t="inlineStr">
        <is>
          <t>168</t>
        </is>
      </c>
      <c r="E3524" t="inlineStr">
        <is>
          <t>1</t>
        </is>
      </c>
      <c r="F3524" t="inlineStr">
        <is>
          <t>42</t>
        </is>
      </c>
      <c r="G3524" t="inlineStr">
        <is>
          <t>0</t>
        </is>
      </c>
      <c r="H3524" t="inlineStr">
        <is>
          <t>0</t>
        </is>
      </c>
      <c r="I3524" t="inlineStr">
        <is>
          <t>6², 78²</t>
        </is>
      </c>
      <c r="J3524" t="n">
        <v>4</v>
      </c>
      <c r="K3524" t="inlineStr">
        <is>
          <t>1², 2², 12¹, 24¹</t>
        </is>
      </c>
      <c r="L3524" t="inlineStr">
        <is>
          <t>39A⁵, 78A⁶</t>
        </is>
      </c>
      <c r="M3524" t="inlineStr"/>
      <c r="N3524" t="inlineStr">
        <is>
          <t>13A⁰, 39A², 3C⁰, 3A⁰, 78A⁶, 39A⁵, 1A⁰</t>
        </is>
      </c>
      <c r="O3524" t="inlineStr"/>
    </row>
    <row r="3525">
      <c r="A3525">
        <f>HYPERLINK("https://mathstats.uncg.edu/sites/pauli/congruence/csg13.html#group78C13", "78C¹³")</f>
        <v/>
      </c>
      <c r="B3525" t="n">
        <v>13</v>
      </c>
      <c r="C3525" t="inlineStr"/>
      <c r="D3525" t="inlineStr">
        <is>
          <t>168</t>
        </is>
      </c>
      <c r="E3525" t="inlineStr">
        <is>
          <t>1</t>
        </is>
      </c>
      <c r="F3525" t="inlineStr">
        <is>
          <t>42</t>
        </is>
      </c>
      <c r="G3525" t="inlineStr">
        <is>
          <t>0</t>
        </is>
      </c>
      <c r="H3525" t="inlineStr">
        <is>
          <t>0</t>
        </is>
      </c>
      <c r="I3525" t="inlineStr">
        <is>
          <t>6², 78²</t>
        </is>
      </c>
      <c r="J3525" t="n">
        <v>4</v>
      </c>
      <c r="K3525" t="inlineStr">
        <is>
          <t>1², 2², 12¹, 24¹</t>
        </is>
      </c>
      <c r="L3525" t="inlineStr">
        <is>
          <t>39A⁴, 78A⁶, 78A⁷</t>
        </is>
      </c>
      <c r="M3525" t="inlineStr"/>
      <c r="N3525" t="inlineStr">
        <is>
          <t>39A², 2A⁰, 26A¹, 78A⁷, 13A⁰, 6A¹, 39A⁴, 78A⁶, 3A⁰, 1A⁰</t>
        </is>
      </c>
      <c r="O3525" t="inlineStr"/>
    </row>
    <row r="3526">
      <c r="A3526">
        <f>HYPERLINK("https://mathstats.uncg.edu/sites/pauli/congruence/csg13.html#group78D13", "78D¹³")</f>
        <v/>
      </c>
      <c r="B3526" t="n">
        <v>13</v>
      </c>
      <c r="C3526" t="inlineStr"/>
      <c r="D3526" t="inlineStr">
        <is>
          <t>168</t>
        </is>
      </c>
      <c r="E3526" t="inlineStr">
        <is>
          <t>1</t>
        </is>
      </c>
      <c r="F3526" t="inlineStr">
        <is>
          <t>42</t>
        </is>
      </c>
      <c r="G3526" t="inlineStr">
        <is>
          <t>0</t>
        </is>
      </c>
      <c r="H3526" t="inlineStr">
        <is>
          <t>0</t>
        </is>
      </c>
      <c r="I3526" t="inlineStr">
        <is>
          <t>6², 78²</t>
        </is>
      </c>
      <c r="J3526" t="n">
        <v>4</v>
      </c>
      <c r="K3526" t="inlineStr">
        <is>
          <t>1², 2², 12¹, 24¹</t>
        </is>
      </c>
      <c r="L3526" t="inlineStr">
        <is>
          <t>78B⁵, 39A⁶, 78A⁶</t>
        </is>
      </c>
      <c r="M3526" t="inlineStr"/>
      <c r="N3526" t="inlineStr">
        <is>
          <t>39A², 6B⁰, 78B⁵, 13A⁰, 13B⁰, 39A⁶, 78A⁶, 3A⁰, 1A⁰</t>
        </is>
      </c>
      <c r="O3526" t="inlineStr"/>
    </row>
    <row r="3527">
      <c r="A3527">
        <f>HYPERLINK("https://mathstats.uncg.edu/sites/pauli/congruence/csg13.html#group78E13", "78E¹³")</f>
        <v/>
      </c>
      <c r="B3527" t="n">
        <v>13</v>
      </c>
      <c r="C3527" t="inlineStr"/>
      <c r="D3527" t="inlineStr">
        <is>
          <t>168</t>
        </is>
      </c>
      <c r="E3527" t="inlineStr">
        <is>
          <t>1</t>
        </is>
      </c>
      <c r="F3527" t="inlineStr">
        <is>
          <t>42</t>
        </is>
      </c>
      <c r="G3527" t="inlineStr">
        <is>
          <t>0</t>
        </is>
      </c>
      <c r="H3527" t="inlineStr">
        <is>
          <t>0</t>
        </is>
      </c>
      <c r="I3527" t="inlineStr">
        <is>
          <t>6², 78²</t>
        </is>
      </c>
      <c r="J3527" t="n">
        <v>4</v>
      </c>
      <c r="K3527" t="inlineStr">
        <is>
          <t>1², 2², 12¹, 24¹</t>
        </is>
      </c>
      <c r="L3527" t="inlineStr">
        <is>
          <t>6B¹, 39A⁵, 78B⁵, 78A⁷</t>
        </is>
      </c>
      <c r="M3527" t="inlineStr"/>
      <c r="N3527" t="inlineStr">
        <is>
          <t>39A², 2A⁰, 26A¹, 78A⁷, 6B⁰, 39A⁵, 6B¹, 78B⁵, 13A⁰, 3C⁰, 6A¹, 3A⁰, 1A⁰</t>
        </is>
      </c>
      <c r="O3527" t="inlineStr"/>
    </row>
    <row r="3528">
      <c r="A3528">
        <f>HYPERLINK("https://mathstats.uncg.edu/sites/pauli/congruence/csg13.html#group78F13", "78F¹³")</f>
        <v/>
      </c>
      <c r="B3528" t="n">
        <v>13</v>
      </c>
      <c r="C3528" t="inlineStr"/>
      <c r="D3528" t="inlineStr">
        <is>
          <t>224</t>
        </is>
      </c>
      <c r="E3528" t="inlineStr">
        <is>
          <t>1</t>
        </is>
      </c>
      <c r="F3528" t="inlineStr">
        <is>
          <t>56</t>
        </is>
      </c>
      <c r="G3528" t="inlineStr">
        <is>
          <t>0</t>
        </is>
      </c>
      <c r="H3528" t="inlineStr">
        <is>
          <t>8</t>
        </is>
      </c>
      <c r="I3528" t="inlineStr">
        <is>
          <t>2², 6², 26², 78²</t>
        </is>
      </c>
      <c r="J3528" t="n">
        <v>8</v>
      </c>
      <c r="K3528" t="inlineStr">
        <is>
          <t>1⁴, 2², 12², 24¹</t>
        </is>
      </c>
      <c r="L3528" t="inlineStr">
        <is>
          <t>39B⁵</t>
        </is>
      </c>
      <c r="M3528" t="inlineStr"/>
      <c r="N3528" t="inlineStr">
        <is>
          <t>13A⁰, 3B⁰, 39A³, 13B⁰, 1A⁰, 39B⁵</t>
        </is>
      </c>
      <c r="O3528" t="inlineStr"/>
    </row>
    <row r="3529">
      <c r="A3529">
        <f>HYPERLINK("https://mathstats.uncg.edu/sites/pauli/congruence/csg13.html#group78G13", "78G¹³")</f>
        <v/>
      </c>
      <c r="B3529" t="n">
        <v>13</v>
      </c>
      <c r="C3529" t="inlineStr"/>
      <c r="D3529" t="inlineStr">
        <is>
          <t>224</t>
        </is>
      </c>
      <c r="E3529" t="inlineStr">
        <is>
          <t>1</t>
        </is>
      </c>
      <c r="F3529" t="inlineStr">
        <is>
          <t>56</t>
        </is>
      </c>
      <c r="G3529" t="inlineStr">
        <is>
          <t>0</t>
        </is>
      </c>
      <c r="H3529" t="inlineStr">
        <is>
          <t>8</t>
        </is>
      </c>
      <c r="I3529" t="inlineStr">
        <is>
          <t>2², 6², 26², 78²</t>
        </is>
      </c>
      <c r="J3529" t="n">
        <v>8</v>
      </c>
      <c r="K3529" t="inlineStr">
        <is>
          <t>1⁴, 2², 12², 24¹</t>
        </is>
      </c>
      <c r="L3529" t="inlineStr">
        <is>
          <t>26B¹, 39B⁵, 78B⁷, 78C⁷</t>
        </is>
      </c>
      <c r="M3529" t="inlineStr"/>
      <c r="N3529" t="inlineStr">
        <is>
          <t>3B⁰, 2A⁰, 26B¹, 39A³, 26A¹, 78C⁷, 6C⁰, 13A⁰, 78B⁷, 26A⁰, 13B⁰, 1A⁰, 39B⁵</t>
        </is>
      </c>
      <c r="O3529" t="inlineStr"/>
    </row>
    <row r="3530">
      <c r="A3530">
        <f>HYPERLINK("https://mathstats.uncg.edu/sites/pauli/congruence/csg13.html#group78H13", "78H¹³")</f>
        <v/>
      </c>
      <c r="B3530" t="n">
        <v>13</v>
      </c>
      <c r="C3530" t="inlineStr"/>
      <c r="D3530" t="inlineStr">
        <is>
          <t>252</t>
        </is>
      </c>
      <c r="E3530" t="inlineStr">
        <is>
          <t>1</t>
        </is>
      </c>
      <c r="F3530" t="inlineStr">
        <is>
          <t>42</t>
        </is>
      </c>
      <c r="G3530" t="inlineStr">
        <is>
          <t>24</t>
        </is>
      </c>
      <c r="H3530" t="inlineStr">
        <is>
          <t>0</t>
        </is>
      </c>
      <c r="I3530" t="inlineStr">
        <is>
          <t>6³, 78³</t>
        </is>
      </c>
      <c r="J3530" t="n">
        <v>6</v>
      </c>
      <c r="K3530" t="inlineStr">
        <is>
          <t>1², 2², 12¹, 24¹</t>
        </is>
      </c>
      <c r="L3530" t="inlineStr">
        <is>
          <t>39C⁴, 78B⁵</t>
        </is>
      </c>
      <c r="M3530" t="inlineStr"/>
      <c r="N3530" t="inlineStr">
        <is>
          <t>39A², 6B⁰, 78B⁵, 13A⁰, 39C⁴, 13C⁰, 39A¹, 3A⁰, 1A⁰</t>
        </is>
      </c>
      <c r="O3530" t="inlineStr"/>
    </row>
    <row r="3531">
      <c r="A3531">
        <f>HYPERLINK("https://mathstats.uncg.edu/sites/pauli/congruence/csg13.html#group80A13", "80A¹³")</f>
        <v/>
      </c>
      <c r="B3531" t="n">
        <v>13</v>
      </c>
      <c r="C3531" t="inlineStr"/>
      <c r="D3531" t="inlineStr">
        <is>
          <t>192</t>
        </is>
      </c>
      <c r="E3531" t="inlineStr">
        <is>
          <t>2</t>
        </is>
      </c>
      <c r="F3531" t="inlineStr">
        <is>
          <t>48</t>
        </is>
      </c>
      <c r="G3531" t="inlineStr">
        <is>
          <t>8</t>
        </is>
      </c>
      <c r="H3531" t="inlineStr">
        <is>
          <t>0</t>
        </is>
      </c>
      <c r="I3531" t="inlineStr">
        <is>
          <t>16², 80²</t>
        </is>
      </c>
      <c r="J3531" t="n">
        <v>4</v>
      </c>
      <c r="K3531" t="inlineStr">
        <is>
          <t>8⁴, 32²</t>
        </is>
      </c>
      <c r="L3531" t="inlineStr">
        <is>
          <t>40J⁵</t>
        </is>
      </c>
      <c r="M3531" t="inlineStr"/>
      <c r="N3531" t="inlineStr">
        <is>
          <t>40A³, 4A⁰, 40J⁵, 40B³, 20G¹, 5B⁰, 8A⁰, 1A⁰, 20B¹, 10B⁰</t>
        </is>
      </c>
      <c r="O3531" t="inlineStr"/>
    </row>
    <row r="3532">
      <c r="A3532">
        <f>HYPERLINK("https://mathstats.uncg.edu/sites/pauli/congruence/csg13.html#group80B13", "80B¹³")</f>
        <v/>
      </c>
      <c r="B3532" t="n">
        <v>13</v>
      </c>
      <c r="C3532" t="inlineStr"/>
      <c r="D3532" t="inlineStr">
        <is>
          <t>192</t>
        </is>
      </c>
      <c r="E3532" t="inlineStr">
        <is>
          <t>2</t>
        </is>
      </c>
      <c r="F3532" t="inlineStr">
        <is>
          <t>48</t>
        </is>
      </c>
      <c r="G3532" t="inlineStr">
        <is>
          <t>8</t>
        </is>
      </c>
      <c r="H3532" t="inlineStr">
        <is>
          <t>0</t>
        </is>
      </c>
      <c r="I3532" t="inlineStr">
        <is>
          <t>16², 80²</t>
        </is>
      </c>
      <c r="J3532" t="n">
        <v>4</v>
      </c>
      <c r="K3532" t="inlineStr">
        <is>
          <t>8⁴, 32²</t>
        </is>
      </c>
      <c r="L3532" t="inlineStr">
        <is>
          <t>40J⁵, 80A⁷, 80B⁷</t>
        </is>
      </c>
      <c r="M3532" t="inlineStr"/>
      <c r="N3532" t="inlineStr">
        <is>
          <t>40A³, 80A⁷, 16A⁰, 80B⁷, 4A⁰, 40J⁵, 40B³, 20G¹, 8A⁰, 5B⁰, 1A⁰, 20B¹, 10B⁰</t>
        </is>
      </c>
      <c r="O3532" t="inlineStr"/>
    </row>
    <row r="3533">
      <c r="A3533">
        <f>HYPERLINK("https://mathstats.uncg.edu/sites/pauli/congruence/csg13.html#group80C13", "80C¹³")</f>
        <v/>
      </c>
      <c r="B3533" t="n">
        <v>13</v>
      </c>
      <c r="C3533" t="inlineStr"/>
      <c r="D3533" t="inlineStr">
        <is>
          <t>288</t>
        </is>
      </c>
      <c r="E3533" t="inlineStr">
        <is>
          <t>1</t>
        </is>
      </c>
      <c r="F3533" t="inlineStr">
        <is>
          <t>18</t>
        </is>
      </c>
      <c r="G3533" t="inlineStr">
        <is>
          <t>32</t>
        </is>
      </c>
      <c r="H3533" t="inlineStr">
        <is>
          <t>0</t>
        </is>
      </c>
      <c r="I3533" t="inlineStr">
        <is>
          <t>8², 16², 40², 80²</t>
        </is>
      </c>
      <c r="J3533" t="n">
        <v>8</v>
      </c>
      <c r="K3533" t="inlineStr">
        <is>
          <t>1⁶, 4³</t>
        </is>
      </c>
      <c r="L3533" t="inlineStr">
        <is>
          <t>40L⁵, 80C⁷, 80D⁷</t>
        </is>
      </c>
      <c r="M3533" t="inlineStr"/>
      <c r="N3533" t="inlineStr">
        <is>
          <t>20E¹, 10G⁰, 40L⁵, 4C⁰, 80C⁷, 8B⁰, 5B⁰, 2B⁰, 1A⁰, 10B⁰, 40C³, 16B⁰, 20A⁰, 80D⁷, 20I¹, 10C⁰, 40D³</t>
        </is>
      </c>
      <c r="O3533" t="inlineStr"/>
    </row>
    <row r="3534">
      <c r="A3534">
        <f>HYPERLINK("https://mathstats.uncg.edu/sites/pauli/congruence/csg13.html#group80D13", "80D¹³")</f>
        <v/>
      </c>
      <c r="B3534" t="n">
        <v>13</v>
      </c>
      <c r="C3534" t="inlineStr"/>
      <c r="D3534" t="inlineStr">
        <is>
          <t>288</t>
        </is>
      </c>
      <c r="E3534" t="inlineStr">
        <is>
          <t>1</t>
        </is>
      </c>
      <c r="F3534" t="inlineStr">
        <is>
          <t>36</t>
        </is>
      </c>
      <c r="G3534" t="inlineStr">
        <is>
          <t>0</t>
        </is>
      </c>
      <c r="H3534" t="inlineStr">
        <is>
          <t>0</t>
        </is>
      </c>
      <c r="I3534" t="inlineStr">
        <is>
          <t>1⁸, 4², 5⁸, 16², 20², 80²</t>
        </is>
      </c>
      <c r="J3534" t="n">
        <v>24</v>
      </c>
      <c r="K3534" t="inlineStr">
        <is>
          <t>1⁸, 2², 4⁴, 8¹</t>
        </is>
      </c>
      <c r="L3534" t="inlineStr">
        <is>
          <t>40M⁵, 80K⁷</t>
        </is>
      </c>
      <c r="M3534" t="inlineStr"/>
      <c r="N3534" t="inlineStr">
        <is>
          <t>5B⁰, 5D⁰, 20D¹, 2B⁰, 8C⁰, 20H¹, 4B⁰, 1A⁰, 10F⁰, 20A⁰, 40F³, 40M⁵, 10C⁰, 40E³, 80K⁷</t>
        </is>
      </c>
      <c r="O3534" t="inlineStr"/>
    </row>
    <row r="3535">
      <c r="A3535">
        <f>HYPERLINK("https://mathstats.uncg.edu/sites/pauli/congruence/csg13.html#group80E13", "80E¹³")</f>
        <v/>
      </c>
      <c r="B3535" t="n">
        <v>13</v>
      </c>
      <c r="C3535" t="inlineStr"/>
      <c r="D3535" t="inlineStr">
        <is>
          <t>288</t>
        </is>
      </c>
      <c r="E3535" t="inlineStr">
        <is>
          <t>1</t>
        </is>
      </c>
      <c r="F3535" t="inlineStr">
        <is>
          <t>36</t>
        </is>
      </c>
      <c r="G3535" t="inlineStr">
        <is>
          <t>0</t>
        </is>
      </c>
      <c r="H3535" t="inlineStr">
        <is>
          <t>0</t>
        </is>
      </c>
      <c r="I3535" t="inlineStr">
        <is>
          <t>1⁸, 4², 5⁸, 16², 20², 80²</t>
        </is>
      </c>
      <c r="J3535" t="n">
        <v>24</v>
      </c>
      <c r="K3535" t="inlineStr">
        <is>
          <t>1⁸, 2², 4⁴, 8¹</t>
        </is>
      </c>
      <c r="L3535" t="inlineStr">
        <is>
          <t>40M⁵, 80E⁷, 80F⁷</t>
        </is>
      </c>
      <c r="M3535" t="inlineStr"/>
      <c r="N3535" t="inlineStr">
        <is>
          <t>80F⁷, 5B⁰, 5D⁰, 20D¹, 8C⁰, 2B⁰, 20H¹, 4B⁰, 1A⁰, 10F⁰, 20A⁰, 40F³, 40M⁵, 16C⁰, 80E⁷, 10C⁰, 40E³</t>
        </is>
      </c>
      <c r="O3535" t="inlineStr"/>
    </row>
    <row r="3536">
      <c r="A3536">
        <f>HYPERLINK("https://mathstats.uncg.edu/sites/pauli/congruence/csg13.html#group80F13", "80F¹³")</f>
        <v/>
      </c>
      <c r="B3536" t="n">
        <v>13</v>
      </c>
      <c r="C3536" t="inlineStr"/>
      <c r="D3536" t="inlineStr">
        <is>
          <t>288</t>
        </is>
      </c>
      <c r="E3536" t="inlineStr">
        <is>
          <t>1</t>
        </is>
      </c>
      <c r="F3536" t="inlineStr">
        <is>
          <t>72</t>
        </is>
      </c>
      <c r="G3536" t="inlineStr">
        <is>
          <t>0</t>
        </is>
      </c>
      <c r="H3536" t="inlineStr">
        <is>
          <t>0</t>
        </is>
      </c>
      <c r="I3536" t="inlineStr">
        <is>
          <t>1⁴, 2⁶, 5⁴, 10⁶, 16², 80²</t>
        </is>
      </c>
      <c r="J3536" t="n">
        <v>24</v>
      </c>
      <c r="K3536" t="inlineStr">
        <is>
          <t>1⁸, 2⁴, 4⁶, 8², 16¹</t>
        </is>
      </c>
      <c r="L3536" t="inlineStr">
        <is>
          <t>40M⁵</t>
        </is>
      </c>
      <c r="M3536" t="inlineStr"/>
      <c r="N3536" t="inlineStr">
        <is>
          <t>20A⁰, 40F³, 40M⁵, 5B⁰, 10C⁰, 5D⁰, 40E³, 20D¹, 8C⁰, 20H¹, 2B⁰, 4B⁰, 1A⁰, 10F⁰</t>
        </is>
      </c>
      <c r="O3536" t="inlineStr"/>
    </row>
    <row r="3537">
      <c r="A3537">
        <f>HYPERLINK("https://mathstats.uncg.edu/sites/pauli/congruence/csg13.html#group80G13", "80G¹³")</f>
        <v/>
      </c>
      <c r="B3537" t="n">
        <v>13</v>
      </c>
      <c r="C3537" t="inlineStr"/>
      <c r="D3537" t="inlineStr">
        <is>
          <t>288</t>
        </is>
      </c>
      <c r="E3537" t="inlineStr">
        <is>
          <t>1</t>
        </is>
      </c>
      <c r="F3537" t="inlineStr">
        <is>
          <t>72</t>
        </is>
      </c>
      <c r="G3537" t="inlineStr">
        <is>
          <t>0</t>
        </is>
      </c>
      <c r="H3537" t="inlineStr">
        <is>
          <t>0</t>
        </is>
      </c>
      <c r="I3537" t="inlineStr">
        <is>
          <t>1⁴, 2⁶, 5⁴, 10⁶, 16², 80²</t>
        </is>
      </c>
      <c r="J3537" t="n">
        <v>24</v>
      </c>
      <c r="K3537" t="inlineStr">
        <is>
          <t>1⁸, 2⁴, 4⁶, 8², 16¹</t>
        </is>
      </c>
      <c r="L3537" t="inlineStr">
        <is>
          <t>40M⁵, 80G⁷, 80H⁷</t>
        </is>
      </c>
      <c r="M3537" t="inlineStr"/>
      <c r="N3537" t="inlineStr">
        <is>
          <t>80H⁷, 5B⁰, 5D⁰, 20D¹, 8C⁰, 20H¹, 80G⁷, 2B⁰, 4B⁰, 1A⁰, 10F⁰, 20A⁰, 40F³, 40M⁵, 16D⁰, 10C⁰, 40E³</t>
        </is>
      </c>
      <c r="O3537" t="inlineStr"/>
    </row>
    <row r="3538">
      <c r="A3538">
        <f>HYPERLINK("https://mathstats.uncg.edu/sites/pauli/congruence/csg13.html#group80H13", "80H¹³")</f>
        <v/>
      </c>
      <c r="B3538" t="n">
        <v>13</v>
      </c>
      <c r="C3538" t="inlineStr"/>
      <c r="D3538" t="inlineStr">
        <is>
          <t>288</t>
        </is>
      </c>
      <c r="E3538" t="inlineStr">
        <is>
          <t>1</t>
        </is>
      </c>
      <c r="F3538" t="inlineStr">
        <is>
          <t>72</t>
        </is>
      </c>
      <c r="G3538" t="inlineStr">
        <is>
          <t>8</t>
        </is>
      </c>
      <c r="H3538" t="inlineStr">
        <is>
          <t>0</t>
        </is>
      </c>
      <c r="I3538" t="inlineStr">
        <is>
          <t>2⁸, 10⁸, 16², 80²</t>
        </is>
      </c>
      <c r="J3538" t="n">
        <v>20</v>
      </c>
      <c r="K3538" t="inlineStr">
        <is>
          <t>1⁴, 2², 4⁶, 8¹, 16²</t>
        </is>
      </c>
      <c r="L3538" t="inlineStr">
        <is>
          <t>40N⁵</t>
        </is>
      </c>
      <c r="M3538" t="inlineStr"/>
      <c r="N3538" t="inlineStr">
        <is>
          <t>20E¹, 20A⁰, 10G⁰, 20I¹, 40H³, 8D⁰, 4C⁰, 5B⁰, 10C⁰, 2B⁰, 40N⁵, 1A⁰, 40G³, 10B⁰</t>
        </is>
      </c>
      <c r="O3538" t="inlineStr"/>
    </row>
    <row r="3539">
      <c r="A3539">
        <f>HYPERLINK("https://mathstats.uncg.edu/sites/pauli/congruence/csg13.html#group80I13", "80I¹³")</f>
        <v/>
      </c>
      <c r="B3539" t="n">
        <v>13</v>
      </c>
      <c r="C3539" t="inlineStr"/>
      <c r="D3539" t="inlineStr">
        <is>
          <t>288</t>
        </is>
      </c>
      <c r="E3539" t="inlineStr">
        <is>
          <t>1</t>
        </is>
      </c>
      <c r="F3539" t="inlineStr">
        <is>
          <t>72</t>
        </is>
      </c>
      <c r="G3539" t="inlineStr">
        <is>
          <t>8</t>
        </is>
      </c>
      <c r="H3539" t="inlineStr">
        <is>
          <t>0</t>
        </is>
      </c>
      <c r="I3539" t="inlineStr">
        <is>
          <t>2⁸, 10⁸, 16², 80²</t>
        </is>
      </c>
      <c r="J3539" t="n">
        <v>20</v>
      </c>
      <c r="K3539" t="inlineStr">
        <is>
          <t>1⁴, 2², 4⁶, 8¹, 16²</t>
        </is>
      </c>
      <c r="L3539" t="inlineStr">
        <is>
          <t>40N⁵, 80I⁷, 80J⁷</t>
        </is>
      </c>
      <c r="M3539" t="inlineStr"/>
      <c r="N3539" t="inlineStr">
        <is>
          <t>20E¹, 10G⁰, 40H³, 8D⁰, 4C⁰, 5B⁰, 80J⁷, 2B⁰, 1A⁰, 10B⁰, 16E⁰, 20A⁰, 20I¹, 80I⁷, 10C⁰, 40N⁵, 40G³</t>
        </is>
      </c>
      <c r="O3539" t="inlineStr"/>
    </row>
    <row r="3540">
      <c r="A3540">
        <f>HYPERLINK("https://mathstats.uncg.edu/sites/pauli/congruence/csg13.html#group81A13", "81A¹³")</f>
        <v/>
      </c>
      <c r="B3540" t="n">
        <v>13</v>
      </c>
      <c r="C3540" t="inlineStr"/>
      <c r="D3540" t="inlineStr">
        <is>
          <t>324</t>
        </is>
      </c>
      <c r="E3540" t="inlineStr">
        <is>
          <t>2</t>
        </is>
      </c>
      <c r="F3540" t="inlineStr">
        <is>
          <t>36</t>
        </is>
      </c>
      <c r="G3540" t="inlineStr">
        <is>
          <t>0</t>
        </is>
      </c>
      <c r="H3540" t="inlineStr">
        <is>
          <t>0</t>
        </is>
      </c>
      <c r="I3540" t="inlineStr">
        <is>
          <t>1⁹, 3¹⁵, 9³, 81³</t>
        </is>
      </c>
      <c r="J3540" t="n">
        <v>30</v>
      </c>
      <c r="K3540" t="inlineStr">
        <is>
          <t>2⁶, 6⁴, 18²</t>
        </is>
      </c>
      <c r="L3540" t="inlineStr">
        <is>
          <t>27C¹</t>
        </is>
      </c>
      <c r="M3540" t="inlineStr"/>
      <c r="N3540" t="inlineStr">
        <is>
          <t>9I⁰, 27A⁰, 3B⁰, 9B⁰, 27A¹, 27C¹, 1A⁰</t>
        </is>
      </c>
      <c r="O3540" t="inlineStr"/>
    </row>
    <row r="3541">
      <c r="A3541">
        <f>HYPERLINK("https://mathstats.uncg.edu/sites/pauli/congruence/csg13.html#group82A13", "82A¹³")</f>
        <v/>
      </c>
      <c r="B3541" t="n">
        <v>13</v>
      </c>
      <c r="C3541" t="inlineStr"/>
      <c r="D3541" t="inlineStr">
        <is>
          <t>168</t>
        </is>
      </c>
      <c r="E3541" t="inlineStr">
        <is>
          <t>1</t>
        </is>
      </c>
      <c r="F3541" t="inlineStr">
        <is>
          <t>42</t>
        </is>
      </c>
      <c r="G3541" t="inlineStr">
        <is>
          <t>0</t>
        </is>
      </c>
      <c r="H3541" t="inlineStr">
        <is>
          <t>0</t>
        </is>
      </c>
      <c r="I3541" t="inlineStr">
        <is>
          <t>2², 82²</t>
        </is>
      </c>
      <c r="J3541" t="n">
        <v>4</v>
      </c>
      <c r="K3541" t="inlineStr">
        <is>
          <t>1², 40¹</t>
        </is>
      </c>
      <c r="L3541" t="inlineStr">
        <is>
          <t>41A⁵, 82A⁷, 82B⁷</t>
        </is>
      </c>
      <c r="M3541" t="inlineStr"/>
      <c r="N3541" t="inlineStr">
        <is>
          <t>2A⁰, 82A⁷, 41A³, 41A⁵, 1A⁰, 82B⁷</t>
        </is>
      </c>
      <c r="O3541" t="inlineStr"/>
    </row>
    <row r="3542">
      <c r="A3542">
        <f>HYPERLINK("https://mathstats.uncg.edu/sites/pauli/congruence/csg13.html#group84A13", "84A¹³")</f>
        <v/>
      </c>
      <c r="B3542" t="n">
        <v>13</v>
      </c>
      <c r="C3542" t="inlineStr"/>
      <c r="D3542" t="inlineStr">
        <is>
          <t>168</t>
        </is>
      </c>
      <c r="E3542" t="inlineStr">
        <is>
          <t>2</t>
        </is>
      </c>
      <c r="F3542" t="inlineStr">
        <is>
          <t>56</t>
        </is>
      </c>
      <c r="G3542" t="inlineStr">
        <is>
          <t>0</t>
        </is>
      </c>
      <c r="H3542" t="inlineStr">
        <is>
          <t>3</t>
        </is>
      </c>
      <c r="I3542" t="inlineStr">
        <is>
          <t>84²</t>
        </is>
      </c>
      <c r="J3542" t="n">
        <v>2</v>
      </c>
      <c r="K3542" t="inlineStr">
        <is>
          <t>8², 24⁴</t>
        </is>
      </c>
      <c r="L3542" t="inlineStr">
        <is>
          <t>12E¹, 42A³, 28A⁴</t>
        </is>
      </c>
      <c r="M3542" t="inlineStr"/>
      <c r="N3542" t="inlineStr">
        <is>
          <t>2A⁰, 6A⁰, 4A⁰, 42A³, 28A⁴, 14A¹, 12E¹, 4D⁰, 28A¹, 1A⁰, 7A⁰</t>
        </is>
      </c>
      <c r="O3542" t="inlineStr"/>
    </row>
    <row r="3543">
      <c r="A3543">
        <f>HYPERLINK("https://mathstats.uncg.edu/sites/pauli/congruence/csg13.html#group84B13", "84B¹³")</f>
        <v/>
      </c>
      <c r="B3543" t="n">
        <v>13</v>
      </c>
      <c r="C3543" t="inlineStr"/>
      <c r="D3543" t="inlineStr">
        <is>
          <t>168</t>
        </is>
      </c>
      <c r="E3543" t="inlineStr">
        <is>
          <t>2</t>
        </is>
      </c>
      <c r="F3543" t="inlineStr">
        <is>
          <t>84</t>
        </is>
      </c>
      <c r="G3543" t="inlineStr">
        <is>
          <t>0</t>
        </is>
      </c>
      <c r="H3543" t="inlineStr">
        <is>
          <t>0</t>
        </is>
      </c>
      <c r="I3543" t="inlineStr">
        <is>
          <t>14¹, 28¹, 42¹, 84¹</t>
        </is>
      </c>
      <c r="J3543" t="n">
        <v>4</v>
      </c>
      <c r="K3543" t="inlineStr">
        <is>
          <t>2⁶, 4³, 6¹², 12⁶</t>
        </is>
      </c>
      <c r="L3543" t="inlineStr">
        <is>
          <t>28B³, 42C⁶</t>
        </is>
      </c>
      <c r="M3543" t="inlineStr"/>
      <c r="N3543" t="inlineStr">
        <is>
          <t>3B⁰, 21B², 14B¹, 42C⁶, 1A⁰, 2B⁰, 28B³, 6F⁰, 7A⁰</t>
        </is>
      </c>
      <c r="O3543" t="inlineStr"/>
    </row>
    <row r="3544">
      <c r="A3544">
        <f>HYPERLINK("https://mathstats.uncg.edu/sites/pauli/congruence/csg13.html#group84C13", "84C¹³")</f>
        <v/>
      </c>
      <c r="B3544" t="n">
        <v>13</v>
      </c>
      <c r="C3544" t="inlineStr"/>
      <c r="D3544" t="inlineStr">
        <is>
          <t>168</t>
        </is>
      </c>
      <c r="E3544" t="inlineStr">
        <is>
          <t>2</t>
        </is>
      </c>
      <c r="F3544" t="inlineStr">
        <is>
          <t>84</t>
        </is>
      </c>
      <c r="G3544" t="inlineStr">
        <is>
          <t>0</t>
        </is>
      </c>
      <c r="H3544" t="inlineStr">
        <is>
          <t>0</t>
        </is>
      </c>
      <c r="I3544" t="inlineStr">
        <is>
          <t>14¹, 28¹, 42¹, 84¹</t>
        </is>
      </c>
      <c r="J3544" t="n">
        <v>4</v>
      </c>
      <c r="K3544" t="inlineStr">
        <is>
          <t>2⁶, 4³, 6¹², 12⁶</t>
        </is>
      </c>
      <c r="L3544" t="inlineStr">
        <is>
          <t>12F¹, 28C², 42C⁶</t>
        </is>
      </c>
      <c r="M3544" t="inlineStr"/>
      <c r="N3544" t="inlineStr">
        <is>
          <t>28C², 3B⁰, 21B², 14B¹, 42C⁶, 12F¹, 4C⁰, 6F⁰, 2B⁰, 1A⁰, 7A⁰</t>
        </is>
      </c>
      <c r="O3544" t="inlineStr"/>
    </row>
    <row r="3545">
      <c r="A3545">
        <f>HYPERLINK("https://mathstats.uncg.edu/sites/pauli/congruence/csg13.html#group84D13", "84D¹³")</f>
        <v/>
      </c>
      <c r="B3545" t="n">
        <v>13</v>
      </c>
      <c r="C3545" t="inlineStr"/>
      <c r="D3545" t="inlineStr">
        <is>
          <t>168</t>
        </is>
      </c>
      <c r="E3545" t="inlineStr">
        <is>
          <t>2</t>
        </is>
      </c>
      <c r="F3545" t="inlineStr">
        <is>
          <t>168</t>
        </is>
      </c>
      <c r="G3545" t="inlineStr">
        <is>
          <t>0</t>
        </is>
      </c>
      <c r="H3545" t="inlineStr">
        <is>
          <t>3</t>
        </is>
      </c>
      <c r="I3545" t="inlineStr">
        <is>
          <t>84²</t>
        </is>
      </c>
      <c r="J3545" t="n">
        <v>2</v>
      </c>
      <c r="K3545" t="inlineStr">
        <is>
          <t>8⁶, 24¹²</t>
        </is>
      </c>
      <c r="L3545" t="inlineStr">
        <is>
          <t>12H¹, 42A³</t>
        </is>
      </c>
      <c r="M3545" t="inlineStr"/>
      <c r="N3545" t="inlineStr">
        <is>
          <t>2A⁰, 12H¹, 6A⁰, 1A⁰, 14A¹, 42A³, 7A⁰</t>
        </is>
      </c>
      <c r="O3545" t="inlineStr"/>
    </row>
    <row r="3546">
      <c r="A3546">
        <f>HYPERLINK("https://mathstats.uncg.edu/sites/pauli/congruence/csg13.html#group84E13", "84E¹³")</f>
        <v/>
      </c>
      <c r="B3546" t="n">
        <v>13</v>
      </c>
      <c r="C3546" t="inlineStr"/>
      <c r="D3546" t="inlineStr">
        <is>
          <t>192</t>
        </is>
      </c>
      <c r="E3546" t="inlineStr">
        <is>
          <t>1</t>
        </is>
      </c>
      <c r="F3546" t="inlineStr">
        <is>
          <t>64</t>
        </is>
      </c>
      <c r="G3546" t="inlineStr">
        <is>
          <t>0</t>
        </is>
      </c>
      <c r="H3546" t="inlineStr">
        <is>
          <t>6</t>
        </is>
      </c>
      <c r="I3546" t="inlineStr">
        <is>
          <t>12², 84²</t>
        </is>
      </c>
      <c r="J3546" t="n">
        <v>4</v>
      </c>
      <c r="K3546" t="inlineStr">
        <is>
          <t>4⁴, 24²</t>
        </is>
      </c>
      <c r="L3546" t="inlineStr">
        <is>
          <t>12E¹, 42B², 28E³</t>
        </is>
      </c>
      <c r="M3546" t="inlineStr"/>
      <c r="N3546" t="inlineStr">
        <is>
          <t>42B², 2A⁰, 6A⁰, 7B⁰, 4A⁰, 4D⁰, 12E¹, 14B⁰, 28E³, 1A⁰, 28A²</t>
        </is>
      </c>
      <c r="O3546" t="inlineStr"/>
    </row>
    <row r="3547">
      <c r="A3547">
        <f>HYPERLINK("https://mathstats.uncg.edu/sites/pauli/congruence/csg13.html#group84F13", "84F¹³")</f>
        <v/>
      </c>
      <c r="B3547" t="n">
        <v>13</v>
      </c>
      <c r="C3547" t="inlineStr"/>
      <c r="D3547" t="inlineStr">
        <is>
          <t>192</t>
        </is>
      </c>
      <c r="E3547" t="inlineStr">
        <is>
          <t>1</t>
        </is>
      </c>
      <c r="F3547" t="inlineStr">
        <is>
          <t>96</t>
        </is>
      </c>
      <c r="G3547" t="inlineStr">
        <is>
          <t>0</t>
        </is>
      </c>
      <c r="H3547" t="inlineStr">
        <is>
          <t>0</t>
        </is>
      </c>
      <c r="I3547" t="inlineStr">
        <is>
          <t>2¹, 4¹, 6¹, 12¹, 14¹, 28¹, 42¹, 84¹</t>
        </is>
      </c>
      <c r="J3547" t="n">
        <v>8</v>
      </c>
      <c r="K3547" t="inlineStr">
        <is>
          <t>1¹², 2⁶, 6⁶, 12³</t>
        </is>
      </c>
      <c r="L3547" t="inlineStr">
        <is>
          <t>42G⁵</t>
        </is>
      </c>
      <c r="M3547" t="inlineStr"/>
      <c r="N3547" t="inlineStr">
        <is>
          <t>3B⁰, 21B¹, 7B⁰, 14C¹, 1A⁰, 2B⁰, 42G⁵, 6F⁰</t>
        </is>
      </c>
      <c r="O3547" t="inlineStr"/>
    </row>
    <row r="3548">
      <c r="A3548">
        <f>HYPERLINK("https://mathstats.uncg.edu/sites/pauli/congruence/csg13.html#group84G13", "84G¹³")</f>
        <v/>
      </c>
      <c r="B3548" t="n">
        <v>13</v>
      </c>
      <c r="C3548" t="inlineStr"/>
      <c r="D3548" t="inlineStr">
        <is>
          <t>192</t>
        </is>
      </c>
      <c r="E3548" t="inlineStr">
        <is>
          <t>1</t>
        </is>
      </c>
      <c r="F3548" t="inlineStr">
        <is>
          <t>96</t>
        </is>
      </c>
      <c r="G3548" t="inlineStr">
        <is>
          <t>0</t>
        </is>
      </c>
      <c r="H3548" t="inlineStr">
        <is>
          <t>0</t>
        </is>
      </c>
      <c r="I3548" t="inlineStr">
        <is>
          <t>2¹, 4¹, 6¹, 12¹, 14¹, 28¹, 42¹, 84¹</t>
        </is>
      </c>
      <c r="J3548" t="n">
        <v>8</v>
      </c>
      <c r="K3548" t="inlineStr">
        <is>
          <t>1¹², 2⁶, 6⁶, 12³</t>
        </is>
      </c>
      <c r="L3548" t="inlineStr">
        <is>
          <t>12F¹, 28C³, 42G⁵</t>
        </is>
      </c>
      <c r="M3548" t="inlineStr"/>
      <c r="N3548" t="inlineStr">
        <is>
          <t>3B⁰, 21B¹, 12F¹, 7B⁰, 4C⁰, 42G⁵, 14C¹, 6F⁰, 2B⁰, 28C³, 1A⁰</t>
        </is>
      </c>
      <c r="O3548" t="inlineStr"/>
    </row>
    <row r="3549">
      <c r="A3549">
        <f>HYPERLINK("https://mathstats.uncg.edu/sites/pauli/congruence/csg13.html#group84H13", "84H¹³")</f>
        <v/>
      </c>
      <c r="B3549" t="n">
        <v>13</v>
      </c>
      <c r="C3549" t="inlineStr"/>
      <c r="D3549" t="inlineStr">
        <is>
          <t>192</t>
        </is>
      </c>
      <c r="E3549" t="inlineStr">
        <is>
          <t>1</t>
        </is>
      </c>
      <c r="F3549" t="inlineStr">
        <is>
          <t>192</t>
        </is>
      </c>
      <c r="G3549" t="inlineStr">
        <is>
          <t>0</t>
        </is>
      </c>
      <c r="H3549" t="inlineStr">
        <is>
          <t>6</t>
        </is>
      </c>
      <c r="I3549" t="inlineStr">
        <is>
          <t>12², 84²</t>
        </is>
      </c>
      <c r="J3549" t="n">
        <v>4</v>
      </c>
      <c r="K3549" t="inlineStr">
        <is>
          <t>4¹², 24⁶</t>
        </is>
      </c>
      <c r="L3549" t="inlineStr">
        <is>
          <t>12H¹, 42B²</t>
        </is>
      </c>
      <c r="M3549" t="inlineStr"/>
      <c r="N3549" t="inlineStr">
        <is>
          <t>42B², 2A⁰, 12H¹, 6A⁰, 1A⁰, 7B⁰, 14B⁰</t>
        </is>
      </c>
      <c r="O3549" t="inlineStr"/>
    </row>
    <row r="3550">
      <c r="A3550">
        <f>HYPERLINK("https://mathstats.uncg.edu/sites/pauli/congruence/csg13.html#group84I13", "84I¹³")</f>
        <v/>
      </c>
      <c r="B3550" t="n">
        <v>13</v>
      </c>
      <c r="C3550" t="inlineStr"/>
      <c r="D3550" t="inlineStr">
        <is>
          <t>192</t>
        </is>
      </c>
      <c r="E3550" t="inlineStr">
        <is>
          <t>2</t>
        </is>
      </c>
      <c r="F3550" t="inlineStr">
        <is>
          <t>32</t>
        </is>
      </c>
      <c r="G3550" t="inlineStr">
        <is>
          <t>0</t>
        </is>
      </c>
      <c r="H3550" t="inlineStr">
        <is>
          <t>6</t>
        </is>
      </c>
      <c r="I3550" t="inlineStr">
        <is>
          <t>12², 84²</t>
        </is>
      </c>
      <c r="J3550" t="n">
        <v>4</v>
      </c>
      <c r="K3550" t="inlineStr">
        <is>
          <t>4⁴, 24²</t>
        </is>
      </c>
      <c r="L3550" t="inlineStr">
        <is>
          <t>42C², 28E³, 84A⁷</t>
        </is>
      </c>
      <c r="M3550" t="inlineStr"/>
      <c r="N3550" t="inlineStr">
        <is>
          <t>2A⁰, 7B⁰, 4A⁰, 4D⁰, 14B⁰, 42C², 84A⁷, 28E³, 1A⁰, 28A², 21A¹</t>
        </is>
      </c>
      <c r="O3550" t="inlineStr"/>
    </row>
    <row r="3551">
      <c r="A3551">
        <f>HYPERLINK("https://mathstats.uncg.edu/sites/pauli/congruence/csg13.html#group84J13", "84J¹³")</f>
        <v/>
      </c>
      <c r="B3551" t="n">
        <v>13</v>
      </c>
      <c r="C3551" t="inlineStr"/>
      <c r="D3551" t="inlineStr">
        <is>
          <t>252</t>
        </is>
      </c>
      <c r="E3551" t="inlineStr">
        <is>
          <t>1</t>
        </is>
      </c>
      <c r="F3551" t="inlineStr">
        <is>
          <t>84</t>
        </is>
      </c>
      <c r="G3551" t="inlineStr">
        <is>
          <t>30</t>
        </is>
      </c>
      <c r="H3551" t="inlineStr">
        <is>
          <t>0</t>
        </is>
      </c>
      <c r="I3551" t="inlineStr">
        <is>
          <t>84³</t>
        </is>
      </c>
      <c r="J3551" t="n">
        <v>3</v>
      </c>
      <c r="K3551" t="inlineStr">
        <is>
          <t>6², 12⁶</t>
        </is>
      </c>
      <c r="L3551" t="inlineStr">
        <is>
          <t>21E¹, 84A³, 28B⁴</t>
        </is>
      </c>
      <c r="M3551" t="inlineStr"/>
      <c r="N3551" t="inlineStr">
        <is>
          <t>84A³, 12A⁰, 7D⁰, 21E¹, 4A⁰, 21A⁰, 28B⁴, 3A⁰, 28A¹, 1A⁰, 7A⁰</t>
        </is>
      </c>
      <c r="O3551" t="inlineStr"/>
    </row>
    <row r="3552">
      <c r="A3552">
        <f>HYPERLINK("https://mathstats.uncg.edu/sites/pauli/congruence/csg13.html#group84K13", "84K¹³")</f>
        <v/>
      </c>
      <c r="B3552" t="n">
        <v>13</v>
      </c>
      <c r="C3552" t="inlineStr"/>
      <c r="D3552" t="inlineStr">
        <is>
          <t>256</t>
        </is>
      </c>
      <c r="E3552" t="inlineStr">
        <is>
          <t>1</t>
        </is>
      </c>
      <c r="F3552" t="inlineStr">
        <is>
          <t>32</t>
        </is>
      </c>
      <c r="G3552" t="inlineStr">
        <is>
          <t>0</t>
        </is>
      </c>
      <c r="H3552" t="inlineStr">
        <is>
          <t>16</t>
        </is>
      </c>
      <c r="I3552" t="inlineStr">
        <is>
          <t>4², 12², 28², 84²</t>
        </is>
      </c>
      <c r="J3552" t="n">
        <v>8</v>
      </c>
      <c r="K3552" t="inlineStr">
        <is>
          <t>1⁴, 2², 6², 12¹</t>
        </is>
      </c>
      <c r="L3552" t="inlineStr">
        <is>
          <t>42I⁵, 84D⁷, 84E⁷</t>
        </is>
      </c>
      <c r="M3552" t="inlineStr"/>
      <c r="N3552" t="inlineStr">
        <is>
          <t>3B⁰, 42I⁵, 2A⁰, 21B¹, 28A⁰, 7B⁰, 42E³, 6C⁰, 14B⁰, 42D³, 84E⁷, 84D⁷, 1A⁰, 21F¹, 12B⁰</t>
        </is>
      </c>
      <c r="O3552" t="inlineStr"/>
    </row>
    <row r="3553">
      <c r="A3553">
        <f>HYPERLINK("https://mathstats.uncg.edu/sites/pauli/congruence/csg13.html#group85A13", "85A¹³")</f>
        <v/>
      </c>
      <c r="B3553" t="n">
        <v>13</v>
      </c>
      <c r="C3553" t="inlineStr"/>
      <c r="D3553" t="inlineStr">
        <is>
          <t>180</t>
        </is>
      </c>
      <c r="E3553" t="inlineStr">
        <is>
          <t>1</t>
        </is>
      </c>
      <c r="F3553" t="inlineStr">
        <is>
          <t>90</t>
        </is>
      </c>
      <c r="G3553" t="inlineStr">
        <is>
          <t>4</t>
        </is>
      </c>
      <c r="H3553" t="inlineStr">
        <is>
          <t>0</t>
        </is>
      </c>
      <c r="I3553" t="inlineStr">
        <is>
          <t>5², 85²</t>
        </is>
      </c>
      <c r="J3553" t="n">
        <v>4</v>
      </c>
      <c r="K3553" t="inlineStr">
        <is>
          <t>1², 4², 16¹, 64¹</t>
        </is>
      </c>
      <c r="L3553" t="inlineStr">
        <is>
          <t>17B¹, 85A⁷</t>
        </is>
      </c>
      <c r="M3553" t="inlineStr"/>
      <c r="N3553" t="inlineStr">
        <is>
          <t>85A⁷, 17A¹, 5A⁰, 1A⁰, 17B¹</t>
        </is>
      </c>
      <c r="O3553" t="inlineStr"/>
    </row>
    <row r="3554">
      <c r="A3554">
        <f>HYPERLINK("https://mathstats.uncg.edu/sites/pauli/congruence/csg13.html#group85B13", "85B¹³")</f>
        <v/>
      </c>
      <c r="B3554" t="n">
        <v>13</v>
      </c>
      <c r="C3554" t="inlineStr"/>
      <c r="D3554" t="inlineStr">
        <is>
          <t>180</t>
        </is>
      </c>
      <c r="E3554" t="inlineStr">
        <is>
          <t>1</t>
        </is>
      </c>
      <c r="F3554" t="inlineStr">
        <is>
          <t>180</t>
        </is>
      </c>
      <c r="G3554" t="inlineStr">
        <is>
          <t>4</t>
        </is>
      </c>
      <c r="H3554" t="inlineStr">
        <is>
          <t>0</t>
        </is>
      </c>
      <c r="I3554" t="inlineStr">
        <is>
          <t>5², 85²</t>
        </is>
      </c>
      <c r="J3554" t="n">
        <v>4</v>
      </c>
      <c r="K3554" t="inlineStr">
        <is>
          <t>2², 4⁴, 32¹, 64²</t>
        </is>
      </c>
      <c r="L3554" t="inlineStr">
        <is>
          <t>5C⁰, 17A¹</t>
        </is>
      </c>
      <c r="M3554" t="inlineStr"/>
      <c r="N3554" t="inlineStr">
        <is>
          <t>5C⁰, 17A¹, 1A⁰</t>
        </is>
      </c>
      <c r="O3554" t="inlineStr"/>
    </row>
    <row r="3555">
      <c r="A3555">
        <f>HYPERLINK("https://mathstats.uncg.edu/sites/pauli/congruence/csg13.html#group85C13", "85C¹³")</f>
        <v/>
      </c>
      <c r="B3555" t="n">
        <v>13</v>
      </c>
      <c r="C3555" t="inlineStr"/>
      <c r="D3555" t="inlineStr">
        <is>
          <t>216</t>
        </is>
      </c>
      <c r="E3555" t="inlineStr">
        <is>
          <t>1</t>
        </is>
      </c>
      <c r="F3555" t="inlineStr">
        <is>
          <t>108</t>
        </is>
      </c>
      <c r="G3555" t="inlineStr">
        <is>
          <t>8</t>
        </is>
      </c>
      <c r="H3555" t="inlineStr">
        <is>
          <t>0</t>
        </is>
      </c>
      <c r="I3555" t="inlineStr">
        <is>
          <t>1², 5², 17², 85²</t>
        </is>
      </c>
      <c r="J3555" t="n">
        <v>8</v>
      </c>
      <c r="K3555" t="inlineStr">
        <is>
          <t>1⁴, 4², 16², 64¹</t>
        </is>
      </c>
      <c r="L3555" t="inlineStr">
        <is>
          <t>17B¹, 85B⁷</t>
        </is>
      </c>
      <c r="M3555" t="inlineStr"/>
      <c r="N3555" t="inlineStr">
        <is>
          <t>5B⁰, 17A¹, 85B⁷, 1A⁰, 17B¹</t>
        </is>
      </c>
      <c r="O3555" t="inlineStr"/>
    </row>
    <row r="3556">
      <c r="A3556">
        <f>HYPERLINK("https://mathstats.uncg.edu/sites/pauli/congruence/csg13.html#group87A13", "87A¹³")</f>
        <v/>
      </c>
      <c r="B3556" t="n">
        <v>13</v>
      </c>
      <c r="C3556" t="inlineStr"/>
      <c r="D3556" t="inlineStr">
        <is>
          <t>180</t>
        </is>
      </c>
      <c r="E3556" t="inlineStr">
        <is>
          <t>1</t>
        </is>
      </c>
      <c r="F3556" t="inlineStr">
        <is>
          <t>90</t>
        </is>
      </c>
      <c r="G3556" t="inlineStr">
        <is>
          <t>4</t>
        </is>
      </c>
      <c r="H3556" t="inlineStr">
        <is>
          <t>0</t>
        </is>
      </c>
      <c r="I3556" t="inlineStr">
        <is>
          <t>3², 87²</t>
        </is>
      </c>
      <c r="J3556" t="n">
        <v>4</v>
      </c>
      <c r="K3556" t="inlineStr">
        <is>
          <t>1², 2², 28¹, 56¹</t>
        </is>
      </c>
      <c r="L3556" t="inlineStr">
        <is>
          <t>3C⁰, 87A⁶</t>
        </is>
      </c>
      <c r="M3556" t="inlineStr"/>
      <c r="N3556" t="inlineStr">
        <is>
          <t>87A⁶, 3C⁰, 3A⁰, 1A⁰, 29A²</t>
        </is>
      </c>
      <c r="O3556" t="inlineStr"/>
    </row>
    <row r="3557">
      <c r="A3557">
        <f>HYPERLINK("https://mathstats.uncg.edu/sites/pauli/congruence/csg13.html#group89A13", "89A¹³")</f>
        <v/>
      </c>
      <c r="B3557" t="n">
        <v>13</v>
      </c>
      <c r="C3557" t="inlineStr"/>
      <c r="D3557" t="inlineStr">
        <is>
          <t>180</t>
        </is>
      </c>
      <c r="E3557" t="inlineStr">
        <is>
          <t>1</t>
        </is>
      </c>
      <c r="F3557" t="inlineStr">
        <is>
          <t>90</t>
        </is>
      </c>
      <c r="G3557" t="inlineStr">
        <is>
          <t>4</t>
        </is>
      </c>
      <c r="H3557" t="inlineStr">
        <is>
          <t>0</t>
        </is>
      </c>
      <c r="I3557" t="inlineStr">
        <is>
          <t>1², 89²</t>
        </is>
      </c>
      <c r="J3557" t="n">
        <v>4</v>
      </c>
      <c r="K3557" t="inlineStr">
        <is>
          <t>1², 88¹</t>
        </is>
      </c>
      <c r="L3557" t="inlineStr">
        <is>
          <t>89A⁷</t>
        </is>
      </c>
      <c r="M3557" t="inlineStr"/>
      <c r="N3557" t="inlineStr">
        <is>
          <t>89A⁷, 1A⁰</t>
        </is>
      </c>
      <c r="O3557" t="inlineStr"/>
    </row>
    <row r="3558">
      <c r="A3558">
        <f>HYPERLINK("https://mathstats.uncg.edu/sites/pauli/congruence/csg13.html#group90A13", "90A¹³")</f>
        <v/>
      </c>
      <c r="B3558" t="n">
        <v>13</v>
      </c>
      <c r="C3558" t="inlineStr"/>
      <c r="D3558" t="inlineStr">
        <is>
          <t>180</t>
        </is>
      </c>
      <c r="E3558" t="inlineStr">
        <is>
          <t>1</t>
        </is>
      </c>
      <c r="F3558" t="inlineStr">
        <is>
          <t>90</t>
        </is>
      </c>
      <c r="G3558" t="inlineStr">
        <is>
          <t>4</t>
        </is>
      </c>
      <c r="H3558" t="inlineStr">
        <is>
          <t>0</t>
        </is>
      </c>
      <c r="I3558" t="inlineStr">
        <is>
          <t>30³, 90¹</t>
        </is>
      </c>
      <c r="J3558" t="n">
        <v>4</v>
      </c>
      <c r="K3558" t="inlineStr">
        <is>
          <t>1¹, 2¹, 3¹, 4¹, 6², 8¹, 12¹, 24²</t>
        </is>
      </c>
      <c r="L3558" t="inlineStr">
        <is>
          <t>18F¹, 30A⁴, 45C⁶</t>
        </is>
      </c>
      <c r="M3558" t="inlineStr"/>
      <c r="N3558" t="inlineStr">
        <is>
          <t>45C⁶, 5A⁰, 6B⁰, 30A², 15A², 6E⁰, 3C⁰, 18F¹, 30A⁴, 9E⁰, 3A⁰, 1A⁰, 15A¹</t>
        </is>
      </c>
      <c r="O3558" t="inlineStr"/>
    </row>
    <row r="3559">
      <c r="A3559">
        <f>HYPERLINK("https://mathstats.uncg.edu/sites/pauli/congruence/csg13.html#group90B13", "90B¹³")</f>
        <v/>
      </c>
      <c r="B3559" t="n">
        <v>13</v>
      </c>
      <c r="C3559" t="inlineStr"/>
      <c r="D3559" t="inlineStr">
        <is>
          <t>180</t>
        </is>
      </c>
      <c r="E3559" t="inlineStr">
        <is>
          <t>1</t>
        </is>
      </c>
      <c r="F3559" t="inlineStr">
        <is>
          <t>90</t>
        </is>
      </c>
      <c r="G3559" t="inlineStr">
        <is>
          <t>8</t>
        </is>
      </c>
      <c r="H3559" t="inlineStr">
        <is>
          <t>0</t>
        </is>
      </c>
      <c r="I3559" t="inlineStr">
        <is>
          <t>90²</t>
        </is>
      </c>
      <c r="J3559" t="n">
        <v>2</v>
      </c>
      <c r="K3559" t="inlineStr">
        <is>
          <t>2¹, 4³, 8², 12¹, 24²</t>
        </is>
      </c>
      <c r="L3559" t="inlineStr">
        <is>
          <t>18A¹, 30H³, 45E⁵</t>
        </is>
      </c>
      <c r="M3559" t="inlineStr"/>
      <c r="N3559" t="inlineStr">
        <is>
          <t>15D¹, 6B⁰, 3A⁰, 45E⁵, 9A⁰, 5C⁰, 30H³, 1A⁰, 18A¹</t>
        </is>
      </c>
      <c r="O3559" t="inlineStr"/>
    </row>
    <row r="3560">
      <c r="A3560">
        <f>HYPERLINK("https://mathstats.uncg.edu/sites/pauli/congruence/csg13.html#group90C13", "90C¹³")</f>
        <v/>
      </c>
      <c r="B3560" t="n">
        <v>13</v>
      </c>
      <c r="C3560" t="inlineStr"/>
      <c r="D3560" t="inlineStr">
        <is>
          <t>180</t>
        </is>
      </c>
      <c r="E3560" t="inlineStr">
        <is>
          <t>1</t>
        </is>
      </c>
      <c r="F3560" t="inlineStr">
        <is>
          <t>180</t>
        </is>
      </c>
      <c r="G3560" t="inlineStr">
        <is>
          <t>4</t>
        </is>
      </c>
      <c r="H3560" t="inlineStr">
        <is>
          <t>0</t>
        </is>
      </c>
      <c r="I3560" t="inlineStr">
        <is>
          <t>30³, 90¹</t>
        </is>
      </c>
      <c r="J3560" t="n">
        <v>4</v>
      </c>
      <c r="K3560" t="inlineStr">
        <is>
          <t>2³, 3², 6⁴, 8³, 12², 24⁴</t>
        </is>
      </c>
      <c r="L3560" t="inlineStr">
        <is>
          <t>18G¹, 30A⁴</t>
        </is>
      </c>
      <c r="M3560" t="inlineStr"/>
      <c r="N3560" t="inlineStr">
        <is>
          <t>5A⁰, 6B⁰, 30A⁴, 1A⁰, 30A², 15A², 6E⁰, 3C⁰, 18G¹, 3A⁰, 15A¹</t>
        </is>
      </c>
      <c r="O3560" t="inlineStr"/>
    </row>
    <row r="3561">
      <c r="A3561">
        <f>HYPERLINK("https://mathstats.uncg.edu/sites/pauli/congruence/csg13.html#group90D13", "90D¹³")</f>
        <v/>
      </c>
      <c r="B3561" t="n">
        <v>13</v>
      </c>
      <c r="C3561" t="inlineStr"/>
      <c r="D3561" t="inlineStr">
        <is>
          <t>180</t>
        </is>
      </c>
      <c r="E3561" t="inlineStr">
        <is>
          <t>1</t>
        </is>
      </c>
      <c r="F3561" t="inlineStr">
        <is>
          <t>180</t>
        </is>
      </c>
      <c r="G3561" t="inlineStr">
        <is>
          <t>8</t>
        </is>
      </c>
      <c r="H3561" t="inlineStr">
        <is>
          <t>0</t>
        </is>
      </c>
      <c r="I3561" t="inlineStr">
        <is>
          <t>90²</t>
        </is>
      </c>
      <c r="J3561" t="n">
        <v>2</v>
      </c>
      <c r="K3561" t="inlineStr">
        <is>
          <t>4³, 8⁶, 12², 24⁴</t>
        </is>
      </c>
      <c r="L3561" t="inlineStr">
        <is>
          <t>18B¹, 30H³</t>
        </is>
      </c>
      <c r="M3561" t="inlineStr"/>
      <c r="N3561" t="inlineStr">
        <is>
          <t>18B¹, 15D¹, 6B⁰, 3A⁰, 30H³, 1A⁰, 5C⁰</t>
        </is>
      </c>
      <c r="O3561" t="inlineStr"/>
    </row>
    <row r="3562">
      <c r="A3562">
        <f>HYPERLINK("https://mathstats.uncg.edu/sites/pauli/congruence/csg13.html#group90E13", "90E¹³")</f>
        <v/>
      </c>
      <c r="B3562" t="n">
        <v>13</v>
      </c>
      <c r="C3562" t="inlineStr"/>
      <c r="D3562" t="inlineStr">
        <is>
          <t>216</t>
        </is>
      </c>
      <c r="E3562" t="inlineStr">
        <is>
          <t>1</t>
        </is>
      </c>
      <c r="F3562" t="inlineStr">
        <is>
          <t>54</t>
        </is>
      </c>
      <c r="G3562" t="inlineStr">
        <is>
          <t>16</t>
        </is>
      </c>
      <c r="H3562" t="inlineStr">
        <is>
          <t>0</t>
        </is>
      </c>
      <c r="I3562" t="inlineStr">
        <is>
          <t>18², 90²</t>
        </is>
      </c>
      <c r="J3562" t="n">
        <v>4</v>
      </c>
      <c r="K3562" t="inlineStr">
        <is>
          <t>1², 2², 4¹, 6², 8¹, 24¹</t>
        </is>
      </c>
      <c r="L3562" t="inlineStr">
        <is>
          <t>30D¹, 90A⁴, 45D⁶, 90C⁷</t>
        </is>
      </c>
      <c r="M3562" t="inlineStr"/>
      <c r="N3562" t="inlineStr">
        <is>
          <t>30A⁰, 45A², 90A⁴, 6B⁰, 45D⁶, 5B⁰, 1A⁰, 30D¹, 10B⁰, 15B⁰, 90C⁷, 9A⁰, 15C⁰, 3A⁰, 18A¹, 30C¹</t>
        </is>
      </c>
      <c r="O3562" t="inlineStr"/>
    </row>
    <row r="3563">
      <c r="A3563">
        <f>HYPERLINK("https://mathstats.uncg.edu/sites/pauli/congruence/csg13.html#group90F13", "90F¹³")</f>
        <v/>
      </c>
      <c r="B3563" t="n">
        <v>13</v>
      </c>
      <c r="C3563" t="inlineStr"/>
      <c r="D3563" t="inlineStr">
        <is>
          <t>216</t>
        </is>
      </c>
      <c r="E3563" t="inlineStr">
        <is>
          <t>1</t>
        </is>
      </c>
      <c r="F3563" t="inlineStr">
        <is>
          <t>108</t>
        </is>
      </c>
      <c r="G3563" t="inlineStr">
        <is>
          <t>8</t>
        </is>
      </c>
      <c r="H3563" t="inlineStr">
        <is>
          <t>0</t>
        </is>
      </c>
      <c r="I3563" t="inlineStr">
        <is>
          <t>6³, 18¹, 30³, 90¹</t>
        </is>
      </c>
      <c r="J3563" t="n">
        <v>8</v>
      </c>
      <c r="K3563" t="inlineStr">
        <is>
          <t>1², 2², 3², 4¹, 6⁴, 8¹, 12¹, 24²</t>
        </is>
      </c>
      <c r="L3563" t="inlineStr">
        <is>
          <t>30J³, 45G⁵</t>
        </is>
      </c>
      <c r="M3563" t="inlineStr"/>
      <c r="N3563" t="inlineStr">
        <is>
          <t>30A⁰, 15B⁰, 30J³, 45G⁵, 5B⁰, 3C⁰, 30C², 9E⁰, 3A⁰, 1A⁰, 15E¹, 10B⁰</t>
        </is>
      </c>
      <c r="O3563" t="inlineStr"/>
    </row>
    <row r="3564">
      <c r="A3564">
        <f>HYPERLINK("https://mathstats.uncg.edu/sites/pauli/congruence/csg13.html#group90G13", "90G¹³")</f>
        <v/>
      </c>
      <c r="B3564" t="n">
        <v>13</v>
      </c>
      <c r="C3564" t="inlineStr"/>
      <c r="D3564" t="inlineStr">
        <is>
          <t>216</t>
        </is>
      </c>
      <c r="E3564" t="inlineStr">
        <is>
          <t>1</t>
        </is>
      </c>
      <c r="F3564" t="inlineStr">
        <is>
          <t>108</t>
        </is>
      </c>
      <c r="G3564" t="inlineStr">
        <is>
          <t>8</t>
        </is>
      </c>
      <c r="H3564" t="inlineStr">
        <is>
          <t>0</t>
        </is>
      </c>
      <c r="I3564" t="inlineStr">
        <is>
          <t>6³, 18¹, 30³, 90¹</t>
        </is>
      </c>
      <c r="J3564" t="n">
        <v>8</v>
      </c>
      <c r="K3564" t="inlineStr">
        <is>
          <t>1², 2², 3², 4¹, 6⁴, 8¹, 12¹, 24²</t>
        </is>
      </c>
      <c r="L3564" t="inlineStr">
        <is>
          <t>18F¹, 30I³, 45G⁵</t>
        </is>
      </c>
      <c r="M3564" t="inlineStr"/>
      <c r="N3564" t="inlineStr">
        <is>
          <t>15B⁰, 6B⁰, 30I³, 6E⁰, 30C¹, 45G⁵, 5B⁰, 3C⁰, 18F¹, 9E⁰, 3A⁰, 1A⁰, 15E¹</t>
        </is>
      </c>
      <c r="O3564" t="inlineStr"/>
    </row>
    <row r="3565">
      <c r="A3565">
        <f>HYPERLINK("https://mathstats.uncg.edu/sites/pauli/congruence/csg13.html#group90H13", "90H¹³")</f>
        <v/>
      </c>
      <c r="B3565" t="n">
        <v>13</v>
      </c>
      <c r="C3565" t="inlineStr"/>
      <c r="D3565" t="inlineStr">
        <is>
          <t>216</t>
        </is>
      </c>
      <c r="E3565" t="inlineStr">
        <is>
          <t>1</t>
        </is>
      </c>
      <c r="F3565" t="inlineStr">
        <is>
          <t>108</t>
        </is>
      </c>
      <c r="G3565" t="inlineStr">
        <is>
          <t>16</t>
        </is>
      </c>
      <c r="H3565" t="inlineStr">
        <is>
          <t>0</t>
        </is>
      </c>
      <c r="I3565" t="inlineStr">
        <is>
          <t>18², 90²</t>
        </is>
      </c>
      <c r="J3565" t="n">
        <v>4</v>
      </c>
      <c r="K3565" t="inlineStr">
        <is>
          <t>2⁶, 6⁴, 8³, 24²</t>
        </is>
      </c>
      <c r="L3565" t="inlineStr">
        <is>
          <t>30D¹, 90D⁷</t>
        </is>
      </c>
      <c r="M3565" t="inlineStr"/>
      <c r="N3565" t="inlineStr">
        <is>
          <t>30A⁰, 90D⁷, 15B⁰, 6B⁰, 5B⁰, 18B¹, 15C⁰, 10B⁰, 3A⁰, 1A⁰, 30C¹, 30D¹</t>
        </is>
      </c>
      <c r="O3565" t="inlineStr"/>
    </row>
    <row r="3566">
      <c r="A3566">
        <f>HYPERLINK("https://mathstats.uncg.edu/sites/pauli/congruence/csg13.html#group90I13", "90I¹³")</f>
        <v/>
      </c>
      <c r="B3566" t="n">
        <v>13</v>
      </c>
      <c r="C3566" t="inlineStr"/>
      <c r="D3566" t="inlineStr">
        <is>
          <t>216</t>
        </is>
      </c>
      <c r="E3566" t="inlineStr">
        <is>
          <t>1</t>
        </is>
      </c>
      <c r="F3566" t="inlineStr">
        <is>
          <t>216</t>
        </is>
      </c>
      <c r="G3566" t="inlineStr">
        <is>
          <t>8</t>
        </is>
      </c>
      <c r="H3566" t="inlineStr">
        <is>
          <t>0</t>
        </is>
      </c>
      <c r="I3566" t="inlineStr">
        <is>
          <t>6³, 18¹, 30³, 90¹</t>
        </is>
      </c>
      <c r="J3566" t="n">
        <v>8</v>
      </c>
      <c r="K3566" t="inlineStr">
        <is>
          <t>2⁶, 3⁴, 6⁸, 8³, 12², 24⁴</t>
        </is>
      </c>
      <c r="L3566" t="inlineStr">
        <is>
          <t>18G¹, 30I³</t>
        </is>
      </c>
      <c r="M3566" t="inlineStr"/>
      <c r="N3566" t="inlineStr">
        <is>
          <t>6B⁰, 30I³, 30C¹, 5B⁰, 1A⁰, 15B⁰, 6E⁰, 3C⁰, 18G¹, 3A⁰, 15E¹</t>
        </is>
      </c>
      <c r="O3566" t="inlineStr"/>
    </row>
    <row r="3567">
      <c r="A3567">
        <f>HYPERLINK("https://mathstats.uncg.edu/sites/pauli/congruence/csg13.html#group91A13", "91A¹³")</f>
        <v/>
      </c>
      <c r="B3567" t="n">
        <v>13</v>
      </c>
      <c r="C3567" t="inlineStr"/>
      <c r="D3567" t="inlineStr">
        <is>
          <t>196</t>
        </is>
      </c>
      <c r="E3567" t="inlineStr">
        <is>
          <t>2</t>
        </is>
      </c>
      <c r="F3567" t="inlineStr">
        <is>
          <t>98</t>
        </is>
      </c>
      <c r="G3567" t="inlineStr">
        <is>
          <t>4</t>
        </is>
      </c>
      <c r="H3567" t="inlineStr">
        <is>
          <t>4</t>
        </is>
      </c>
      <c r="I3567" t="inlineStr">
        <is>
          <t>7², 91²</t>
        </is>
      </c>
      <c r="J3567" t="n">
        <v>4</v>
      </c>
      <c r="K3567" t="inlineStr">
        <is>
          <t>2², 6⁴, 24¹, 72²</t>
        </is>
      </c>
      <c r="L3567" t="inlineStr">
        <is>
          <t>7C⁰, 91A⁶</t>
        </is>
      </c>
      <c r="M3567" t="inlineStr"/>
      <c r="N3567" t="inlineStr">
        <is>
          <t>13A⁰, 91A⁶, 1A⁰, 7C⁰, 7A⁰</t>
        </is>
      </c>
      <c r="O3567" t="inlineStr"/>
    </row>
    <row r="3568">
      <c r="A3568">
        <f>HYPERLINK("https://mathstats.uncg.edu/sites/pauli/congruence/csg13.html#group91B13", "91B¹³")</f>
        <v/>
      </c>
      <c r="B3568" t="n">
        <v>13</v>
      </c>
      <c r="C3568" t="inlineStr"/>
      <c r="D3568" t="inlineStr">
        <is>
          <t>224</t>
        </is>
      </c>
      <c r="E3568" t="inlineStr">
        <is>
          <t>1</t>
        </is>
      </c>
      <c r="F3568" t="inlineStr">
        <is>
          <t>112</t>
        </is>
      </c>
      <c r="G3568" t="inlineStr">
        <is>
          <t>0</t>
        </is>
      </c>
      <c r="H3568" t="inlineStr">
        <is>
          <t>8</t>
        </is>
      </c>
      <c r="I3568" t="inlineStr">
        <is>
          <t>1², 7², 13², 91²</t>
        </is>
      </c>
      <c r="J3568" t="n">
        <v>8</v>
      </c>
      <c r="K3568" t="inlineStr">
        <is>
          <t>1⁴, 6², 12², 72¹</t>
        </is>
      </c>
      <c r="L3568" t="inlineStr">
        <is>
          <t>13B⁰, 91A⁷</t>
        </is>
      </c>
      <c r="M3568" t="inlineStr"/>
      <c r="N3568" t="inlineStr">
        <is>
          <t>13A⁰, 13B⁰, 91A⁷, 1A⁰, 7B⁰</t>
        </is>
      </c>
      <c r="O3568" t="inlineStr"/>
    </row>
    <row r="3569">
      <c r="A3569">
        <f>HYPERLINK("https://mathstats.uncg.edu/sites/pauli/congruence/csg13.html#group96A13", "96A¹³")</f>
        <v/>
      </c>
      <c r="B3569" t="n">
        <v>13</v>
      </c>
      <c r="C3569" t="inlineStr"/>
      <c r="D3569" t="inlineStr">
        <is>
          <t>192</t>
        </is>
      </c>
      <c r="E3569" t="inlineStr">
        <is>
          <t>1</t>
        </is>
      </c>
      <c r="F3569" t="inlineStr">
        <is>
          <t>24</t>
        </is>
      </c>
      <c r="G3569" t="inlineStr">
        <is>
          <t>0</t>
        </is>
      </c>
      <c r="H3569" t="inlineStr">
        <is>
          <t>0</t>
        </is>
      </c>
      <c r="I3569" t="inlineStr">
        <is>
          <t>4², 8¹, 12², 24¹, 32¹, 96¹</t>
        </is>
      </c>
      <c r="J3569" t="n">
        <v>8</v>
      </c>
      <c r="K3569" t="inlineStr">
        <is>
          <t>1⁸, 2⁶, 4¹</t>
        </is>
      </c>
      <c r="L3569" t="inlineStr">
        <is>
          <t>48D⁵</t>
        </is>
      </c>
      <c r="M3569" t="inlineStr"/>
      <c r="N3569" t="inlineStr">
        <is>
          <t>3B⁰, 24G¹, 16A¹, 8C⁰, 2B⁰, 1A⁰, 4B⁰, 48D⁵, 6F⁰, 12E⁰</t>
        </is>
      </c>
      <c r="O3569" t="inlineStr"/>
    </row>
    <row r="3570">
      <c r="A3570">
        <f>HYPERLINK("https://mathstats.uncg.edu/sites/pauli/congruence/csg13.html#group96B13", "96B¹³")</f>
        <v/>
      </c>
      <c r="B3570" t="n">
        <v>13</v>
      </c>
      <c r="C3570" t="inlineStr"/>
      <c r="D3570" t="inlineStr">
        <is>
          <t>192</t>
        </is>
      </c>
      <c r="E3570" t="inlineStr">
        <is>
          <t>1</t>
        </is>
      </c>
      <c r="F3570" t="inlineStr">
        <is>
          <t>24</t>
        </is>
      </c>
      <c r="G3570" t="inlineStr">
        <is>
          <t>0</t>
        </is>
      </c>
      <c r="H3570" t="inlineStr">
        <is>
          <t>0</t>
        </is>
      </c>
      <c r="I3570" t="inlineStr">
        <is>
          <t>4², 8¹, 12², 24¹, 32¹, 96¹</t>
        </is>
      </c>
      <c r="J3570" t="n">
        <v>8</v>
      </c>
      <c r="K3570" t="inlineStr">
        <is>
          <t>1⁸, 2⁶, 4¹</t>
        </is>
      </c>
      <c r="L3570" t="inlineStr">
        <is>
          <t>48D⁵</t>
        </is>
      </c>
      <c r="M3570" t="inlineStr"/>
      <c r="N3570" t="inlineStr">
        <is>
          <t>3B⁰, 24G¹, 16A¹, 8C⁰, 2B⁰, 1A⁰, 4B⁰, 48D⁵, 6F⁰, 12E⁰</t>
        </is>
      </c>
      <c r="O3570" t="inlineStr"/>
    </row>
    <row r="3571">
      <c r="A3571">
        <f>HYPERLINK("https://mathstats.uncg.edu/sites/pauli/congruence/csg13.html#group96C13", "96C¹³")</f>
        <v/>
      </c>
      <c r="B3571" t="n">
        <v>13</v>
      </c>
      <c r="C3571" t="inlineStr"/>
      <c r="D3571" t="inlineStr">
        <is>
          <t>192</t>
        </is>
      </c>
      <c r="E3571" t="inlineStr">
        <is>
          <t>1</t>
        </is>
      </c>
      <c r="F3571" t="inlineStr">
        <is>
          <t>24</t>
        </is>
      </c>
      <c r="G3571" t="inlineStr">
        <is>
          <t>0</t>
        </is>
      </c>
      <c r="H3571" t="inlineStr">
        <is>
          <t>0</t>
        </is>
      </c>
      <c r="I3571" t="inlineStr">
        <is>
          <t>4², 8¹, 12², 24¹, 32¹, 96¹</t>
        </is>
      </c>
      <c r="J3571" t="n">
        <v>8</v>
      </c>
      <c r="K3571" t="inlineStr">
        <is>
          <t>1⁸, 2⁶, 4¹</t>
        </is>
      </c>
      <c r="L3571" t="inlineStr">
        <is>
          <t>32A³, 48D⁵</t>
        </is>
      </c>
      <c r="M3571" t="inlineStr"/>
      <c r="N3571" t="inlineStr">
        <is>
          <t>3B⁰, 24G¹, 32A³, 16A¹, 8C⁰, 2B⁰, 1A⁰, 4B⁰, 48D⁵, 6F⁰, 12E⁰</t>
        </is>
      </c>
      <c r="O3571" t="inlineStr"/>
    </row>
    <row r="3572">
      <c r="A3572">
        <f>HYPERLINK("https://mathstats.uncg.edu/sites/pauli/congruence/csg13.html#group96D13", "96D¹³")</f>
        <v/>
      </c>
      <c r="B3572" t="n">
        <v>13</v>
      </c>
      <c r="C3572" t="inlineStr"/>
      <c r="D3572" t="inlineStr">
        <is>
          <t>192</t>
        </is>
      </c>
      <c r="E3572" t="inlineStr">
        <is>
          <t>1</t>
        </is>
      </c>
      <c r="F3572" t="inlineStr">
        <is>
          <t>24</t>
        </is>
      </c>
      <c r="G3572" t="inlineStr">
        <is>
          <t>0</t>
        </is>
      </c>
      <c r="H3572" t="inlineStr">
        <is>
          <t>0</t>
        </is>
      </c>
      <c r="I3572" t="inlineStr">
        <is>
          <t>4², 8¹, 12², 24¹, 32¹, 96¹</t>
        </is>
      </c>
      <c r="J3572" t="n">
        <v>8</v>
      </c>
      <c r="K3572" t="inlineStr">
        <is>
          <t>1⁸, 2⁶, 4¹</t>
        </is>
      </c>
      <c r="L3572" t="inlineStr">
        <is>
          <t>32B³, 48D⁵</t>
        </is>
      </c>
      <c r="M3572" t="inlineStr"/>
      <c r="N3572" t="inlineStr">
        <is>
          <t>3B⁰, 24G¹, 16A¹, 8C⁰, 2B⁰, 1A⁰, 4B⁰, 48D⁵, 6F⁰, 12E⁰, 32B³</t>
        </is>
      </c>
      <c r="O3572" t="inlineStr"/>
    </row>
    <row r="3573">
      <c r="A3573">
        <f>HYPERLINK("https://mathstats.uncg.edu/sites/pauli/congruence/csg13.html#group96E13", "96E¹³")</f>
        <v/>
      </c>
      <c r="B3573" t="n">
        <v>13</v>
      </c>
      <c r="C3573" t="inlineStr"/>
      <c r="D3573" t="inlineStr">
        <is>
          <t>192</t>
        </is>
      </c>
      <c r="E3573" t="inlineStr">
        <is>
          <t>1</t>
        </is>
      </c>
      <c r="F3573" t="inlineStr">
        <is>
          <t>48</t>
        </is>
      </c>
      <c r="G3573" t="inlineStr">
        <is>
          <t>0</t>
        </is>
      </c>
      <c r="H3573" t="inlineStr">
        <is>
          <t>0</t>
        </is>
      </c>
      <c r="I3573" t="inlineStr">
        <is>
          <t>4², 8¹, 12², 24¹, 32¹, 96¹</t>
        </is>
      </c>
      <c r="J3573" t="n">
        <v>8</v>
      </c>
      <c r="K3573" t="inlineStr">
        <is>
          <t>1⁸, 2⁸, 4⁴, 8¹</t>
        </is>
      </c>
      <c r="L3573" t="inlineStr">
        <is>
          <t>48D⁵</t>
        </is>
      </c>
      <c r="M3573" t="inlineStr"/>
      <c r="N3573" t="inlineStr">
        <is>
          <t>3B⁰, 24G¹, 16A¹, 8C⁰, 2B⁰, 1A⁰, 4B⁰, 48D⁵, 6F⁰, 12E⁰</t>
        </is>
      </c>
      <c r="O3573" t="inlineStr"/>
    </row>
    <row r="3574">
      <c r="A3574">
        <f>HYPERLINK("https://mathstats.uncg.edu/sites/pauli/congruence/csg13.html#group96F13", "96F¹³")</f>
        <v/>
      </c>
      <c r="B3574" t="n">
        <v>13</v>
      </c>
      <c r="C3574" t="inlineStr"/>
      <c r="D3574" t="inlineStr">
        <is>
          <t>192</t>
        </is>
      </c>
      <c r="E3574" t="inlineStr">
        <is>
          <t>1</t>
        </is>
      </c>
      <c r="F3574" t="inlineStr">
        <is>
          <t>48</t>
        </is>
      </c>
      <c r="G3574" t="inlineStr">
        <is>
          <t>0</t>
        </is>
      </c>
      <c r="H3574" t="inlineStr">
        <is>
          <t>0</t>
        </is>
      </c>
      <c r="I3574" t="inlineStr">
        <is>
          <t>4², 8¹, 12², 24¹, 32¹, 96¹</t>
        </is>
      </c>
      <c r="J3574" t="n">
        <v>8</v>
      </c>
      <c r="K3574" t="inlineStr">
        <is>
          <t>1⁸, 2⁸, 4⁴, 8¹</t>
        </is>
      </c>
      <c r="L3574" t="inlineStr">
        <is>
          <t>32C³, 48D⁵</t>
        </is>
      </c>
      <c r="M3574" t="inlineStr"/>
      <c r="N3574" t="inlineStr">
        <is>
          <t>3B⁰, 24G¹, 16A¹, 8C⁰, 2B⁰, 1A⁰, 4B⁰, 48D⁵, 6F⁰, 32C³, 12E⁰</t>
        </is>
      </c>
      <c r="O3574" t="inlineStr"/>
    </row>
    <row r="3575">
      <c r="A3575">
        <f>HYPERLINK("https://mathstats.uncg.edu/sites/pauli/congruence/csg13.html#group96G13", "96G¹³")</f>
        <v/>
      </c>
      <c r="B3575" t="n">
        <v>13</v>
      </c>
      <c r="C3575" t="inlineStr"/>
      <c r="D3575" t="inlineStr">
        <is>
          <t>288</t>
        </is>
      </c>
      <c r="E3575" t="inlineStr">
        <is>
          <t>1</t>
        </is>
      </c>
      <c r="F3575" t="inlineStr">
        <is>
          <t>36</t>
        </is>
      </c>
      <c r="G3575" t="inlineStr">
        <is>
          <t>40</t>
        </is>
      </c>
      <c r="H3575" t="inlineStr">
        <is>
          <t>0</t>
        </is>
      </c>
      <c r="I3575" t="inlineStr">
        <is>
          <t>48², 96²</t>
        </is>
      </c>
      <c r="J3575" t="n">
        <v>4</v>
      </c>
      <c r="K3575" t="inlineStr">
        <is>
          <t>2⁶, 4⁶</t>
        </is>
      </c>
      <c r="L3575" t="inlineStr">
        <is>
          <t>96A³, 48G⁵, 96A⁵</t>
        </is>
      </c>
      <c r="M3575" t="inlineStr"/>
      <c r="N3575" t="inlineStr">
        <is>
          <t>24E¹, 12C⁰, 96A⁵, 4C⁰, 8B⁰, 24P², 48A⁰, 12M¹, 2B⁰, 48G⁵, 1A⁰, 16B⁰, 24A⁰, 32B¹, 48F³, 3A⁰, 96A³, 6D⁰</t>
        </is>
      </c>
      <c r="O3575" t="inlineStr"/>
    </row>
    <row r="3576">
      <c r="A3576">
        <f>HYPERLINK("https://mathstats.uncg.edu/sites/pauli/congruence/csg13.html#group96H13", "96H¹³")</f>
        <v/>
      </c>
      <c r="B3576" t="n">
        <v>13</v>
      </c>
      <c r="C3576" t="inlineStr"/>
      <c r="D3576" t="inlineStr">
        <is>
          <t>288</t>
        </is>
      </c>
      <c r="E3576" t="inlineStr">
        <is>
          <t>2</t>
        </is>
      </c>
      <c r="F3576" t="inlineStr">
        <is>
          <t>36</t>
        </is>
      </c>
      <c r="G3576" t="inlineStr">
        <is>
          <t>40</t>
        </is>
      </c>
      <c r="H3576" t="inlineStr">
        <is>
          <t>0</t>
        </is>
      </c>
      <c r="I3576" t="inlineStr">
        <is>
          <t>48², 96²</t>
        </is>
      </c>
      <c r="J3576" t="n">
        <v>4</v>
      </c>
      <c r="K3576" t="inlineStr">
        <is>
          <t>2⁸, 4¹⁰, 8²</t>
        </is>
      </c>
      <c r="L3576" t="inlineStr">
        <is>
          <t>96A³, 48H⁵, 96A⁵</t>
        </is>
      </c>
      <c r="M3576" t="inlineStr"/>
      <c r="N3576" t="inlineStr">
        <is>
          <t>16B⁰, 12C⁰, 24A⁰, 96A⁵, 4C⁰, 8B⁰, 24Q², 48H⁵, 48A⁰, 32B¹, 2B⁰, 1A⁰, 3A⁰, 96A³, 48H³, 6D⁰</t>
        </is>
      </c>
      <c r="O3576" t="inlineStr"/>
    </row>
    <row r="3577">
      <c r="A3577">
        <f>HYPERLINK("https://mathstats.uncg.edu/sites/pauli/congruence/csg13.html#group96I13", "96I¹³")</f>
        <v/>
      </c>
      <c r="B3577" t="n">
        <v>13</v>
      </c>
      <c r="C3577" t="inlineStr"/>
      <c r="D3577" t="inlineStr">
        <is>
          <t>384</t>
        </is>
      </c>
      <c r="E3577" t="inlineStr">
        <is>
          <t>1</t>
        </is>
      </c>
      <c r="F3577" t="inlineStr">
        <is>
          <t>24</t>
        </is>
      </c>
      <c r="G3577" t="inlineStr">
        <is>
          <t>0</t>
        </is>
      </c>
      <c r="H3577" t="inlineStr">
        <is>
          <t>0</t>
        </is>
      </c>
      <c r="I3577" t="inlineStr">
        <is>
          <t>1¹⁶, 3¹⁶, 8², 24², 32², 96²</t>
        </is>
      </c>
      <c r="J3577" t="n">
        <v>40</v>
      </c>
      <c r="K3577" t="inlineStr">
        <is>
          <t>1⁸, 2⁶, 4¹</t>
        </is>
      </c>
      <c r="L3577" t="inlineStr">
        <is>
          <t>48I⁵, 96B⁷, 96C⁷</t>
        </is>
      </c>
      <c r="M3577" t="inlineStr"/>
      <c r="N3577" t="inlineStr">
        <is>
          <t>96C⁷, 3B⁰, 48I⁵, 24G¹, 12J⁰, 2B⁰, 8C⁰, 96B⁷, 4B⁰, 1A⁰, 24J¹, 24B⁰, 48J³, 16C⁰, 32A⁰, 48I³, 6F⁰, 12E⁰</t>
        </is>
      </c>
      <c r="O3577" t="inlineStr"/>
    </row>
    <row r="3578">
      <c r="A3578">
        <f>HYPERLINK("https://mathstats.uncg.edu/sites/pauli/congruence/csg13.html#group97A13", "97A¹³")</f>
        <v/>
      </c>
      <c r="B3578" t="n">
        <v>13</v>
      </c>
      <c r="C3578" t="inlineStr"/>
      <c r="D3578" t="inlineStr">
        <is>
          <t>196</t>
        </is>
      </c>
      <c r="E3578" t="inlineStr">
        <is>
          <t>1</t>
        </is>
      </c>
      <c r="F3578" t="inlineStr">
        <is>
          <t>98</t>
        </is>
      </c>
      <c r="G3578" t="inlineStr">
        <is>
          <t>4</t>
        </is>
      </c>
      <c r="H3578" t="inlineStr">
        <is>
          <t>4</t>
        </is>
      </c>
      <c r="I3578" t="inlineStr">
        <is>
          <t>1², 97²</t>
        </is>
      </c>
      <c r="J3578" t="n">
        <v>4</v>
      </c>
      <c r="K3578" t="inlineStr">
        <is>
          <t>1², 96¹</t>
        </is>
      </c>
      <c r="L3578" t="inlineStr">
        <is>
          <t>97A⁷</t>
        </is>
      </c>
      <c r="M3578" t="inlineStr"/>
      <c r="N3578" t="inlineStr">
        <is>
          <t>1A⁰, 97A⁷</t>
        </is>
      </c>
      <c r="O3578" t="inlineStr"/>
    </row>
    <row r="3579">
      <c r="A3579">
        <f>HYPERLINK("https://mathstats.uncg.edu/sites/pauli/congruence/csg13.html#group100A13", "100A¹³")</f>
        <v/>
      </c>
      <c r="B3579" t="n">
        <v>13</v>
      </c>
      <c r="C3579" t="inlineStr"/>
      <c r="D3579" t="inlineStr">
        <is>
          <t>180</t>
        </is>
      </c>
      <c r="E3579" t="inlineStr">
        <is>
          <t>1</t>
        </is>
      </c>
      <c r="F3579" t="inlineStr">
        <is>
          <t>90</t>
        </is>
      </c>
      <c r="G3579" t="inlineStr">
        <is>
          <t>0</t>
        </is>
      </c>
      <c r="H3579" t="inlineStr">
        <is>
          <t>0</t>
        </is>
      </c>
      <c r="I3579" t="inlineStr">
        <is>
          <t>5², 20¹, 25², 100¹</t>
        </is>
      </c>
      <c r="J3579" t="n">
        <v>6</v>
      </c>
      <c r="K3579" t="inlineStr">
        <is>
          <t>2⁶, 4¹², 20⁶</t>
        </is>
      </c>
      <c r="L3579" t="inlineStr">
        <is>
          <t>20D¹, 50A⁶</t>
        </is>
      </c>
      <c r="M3579" t="inlineStr"/>
      <c r="N3579" t="inlineStr">
        <is>
          <t>50A⁶, 25A², 5B⁰, 10C⁰, 20D¹, 2B⁰, 4B⁰, 1A⁰</t>
        </is>
      </c>
      <c r="O3579" t="inlineStr"/>
    </row>
    <row r="3580">
      <c r="A3580">
        <f>HYPERLINK("https://mathstats.uncg.edu/sites/pauli/congruence/csg13.html#group100B13", "100B¹³")</f>
        <v/>
      </c>
      <c r="B3580" t="n">
        <v>13</v>
      </c>
      <c r="C3580" t="inlineStr"/>
      <c r="D3580" t="inlineStr">
        <is>
          <t>180</t>
        </is>
      </c>
      <c r="E3580" t="inlineStr">
        <is>
          <t>1</t>
        </is>
      </c>
      <c r="F3580" t="inlineStr">
        <is>
          <t>90</t>
        </is>
      </c>
      <c r="G3580" t="inlineStr">
        <is>
          <t>0</t>
        </is>
      </c>
      <c r="H3580" t="inlineStr">
        <is>
          <t>0</t>
        </is>
      </c>
      <c r="I3580" t="inlineStr">
        <is>
          <t>5², 20¹, 25², 100¹</t>
        </is>
      </c>
      <c r="J3580" t="n">
        <v>6</v>
      </c>
      <c r="K3580" t="inlineStr">
        <is>
          <t>2⁶, 4¹², 20⁶</t>
        </is>
      </c>
      <c r="L3580" t="inlineStr">
        <is>
          <t>20D¹, 50B⁶</t>
        </is>
      </c>
      <c r="M3580" t="inlineStr"/>
      <c r="N3580" t="inlineStr">
        <is>
          <t>5B⁰, 10C⁰, 20D¹, 2B⁰, 50B⁶, 4B⁰, 1A⁰, 25B²</t>
        </is>
      </c>
      <c r="O3580" t="inlineStr"/>
    </row>
    <row r="3581">
      <c r="A3581">
        <f>HYPERLINK("https://mathstats.uncg.edu/sites/pauli/congruence/csg13.html#group100C13", "100C¹³")</f>
        <v/>
      </c>
      <c r="B3581" t="n">
        <v>13</v>
      </c>
      <c r="C3581" t="inlineStr"/>
      <c r="D3581" t="inlineStr">
        <is>
          <t>180</t>
        </is>
      </c>
      <c r="E3581" t="inlineStr">
        <is>
          <t>1</t>
        </is>
      </c>
      <c r="F3581" t="inlineStr">
        <is>
          <t>90</t>
        </is>
      </c>
      <c r="G3581" t="inlineStr">
        <is>
          <t>0</t>
        </is>
      </c>
      <c r="H3581" t="inlineStr">
        <is>
          <t>0</t>
        </is>
      </c>
      <c r="I3581" t="inlineStr">
        <is>
          <t>5², 20¹, 25², 100¹</t>
        </is>
      </c>
      <c r="J3581" t="n">
        <v>6</v>
      </c>
      <c r="K3581" t="inlineStr">
        <is>
          <t>2⁶, 4¹², 20⁶</t>
        </is>
      </c>
      <c r="L3581" t="inlineStr">
        <is>
          <t>20D¹, 50C⁶</t>
        </is>
      </c>
      <c r="M3581" t="inlineStr"/>
      <c r="N3581" t="inlineStr">
        <is>
          <t>50C⁶, 5B⁰, 10C⁰, 20D¹, 2B⁰, 4B⁰, 1A⁰, 25C²</t>
        </is>
      </c>
      <c r="O3581" t="inlineStr"/>
    </row>
    <row r="3582">
      <c r="A3582">
        <f>HYPERLINK("https://mathstats.uncg.edu/sites/pauli/congruence/csg13.html#group100D13", "100D¹³")</f>
        <v/>
      </c>
      <c r="B3582" t="n">
        <v>13</v>
      </c>
      <c r="C3582" t="inlineStr"/>
      <c r="D3582" t="inlineStr">
        <is>
          <t>180</t>
        </is>
      </c>
      <c r="E3582" t="inlineStr">
        <is>
          <t>1</t>
        </is>
      </c>
      <c r="F3582" t="inlineStr">
        <is>
          <t>90</t>
        </is>
      </c>
      <c r="G3582" t="inlineStr">
        <is>
          <t>0</t>
        </is>
      </c>
      <c r="H3582" t="inlineStr">
        <is>
          <t>0</t>
        </is>
      </c>
      <c r="I3582" t="inlineStr">
        <is>
          <t>5², 20¹, 25², 100¹</t>
        </is>
      </c>
      <c r="J3582" t="n">
        <v>6</v>
      </c>
      <c r="K3582" t="inlineStr">
        <is>
          <t>2⁶, 4¹², 20⁶</t>
        </is>
      </c>
      <c r="L3582" t="inlineStr">
        <is>
          <t>20D¹, 50D⁶</t>
        </is>
      </c>
      <c r="M3582" t="inlineStr"/>
      <c r="N3582" t="inlineStr">
        <is>
          <t>50D⁶, 5B⁰, 10C⁰, 20D¹, 2B⁰, 4B⁰, 1A⁰, 25D²</t>
        </is>
      </c>
      <c r="O3582" t="inlineStr"/>
    </row>
    <row r="3583">
      <c r="A3583">
        <f>HYPERLINK("https://mathstats.uncg.edu/sites/pauli/congruence/csg13.html#group100E13", "100E¹³")</f>
        <v/>
      </c>
      <c r="B3583" t="n">
        <v>13</v>
      </c>
      <c r="C3583" t="inlineStr"/>
      <c r="D3583" t="inlineStr">
        <is>
          <t>180</t>
        </is>
      </c>
      <c r="E3583" t="inlineStr">
        <is>
          <t>1</t>
        </is>
      </c>
      <c r="F3583" t="inlineStr">
        <is>
          <t>90</t>
        </is>
      </c>
      <c r="G3583" t="inlineStr">
        <is>
          <t>4</t>
        </is>
      </c>
      <c r="H3583" t="inlineStr">
        <is>
          <t>0</t>
        </is>
      </c>
      <c r="I3583" t="inlineStr">
        <is>
          <t>10¹, 20¹, 50¹, 100¹</t>
        </is>
      </c>
      <c r="J3583" t="n">
        <v>4</v>
      </c>
      <c r="K3583" t="inlineStr">
        <is>
          <t>2⁶, 4¹², 20⁶</t>
        </is>
      </c>
      <c r="L3583" t="inlineStr">
        <is>
          <t>20E¹, 50A⁶</t>
        </is>
      </c>
      <c r="M3583" t="inlineStr"/>
      <c r="N3583" t="inlineStr">
        <is>
          <t>20E¹, 50A⁶, 25A², 4C⁰, 5B⁰, 10C⁰, 2B⁰, 1A⁰</t>
        </is>
      </c>
      <c r="O3583" t="inlineStr"/>
    </row>
    <row r="3584">
      <c r="A3584">
        <f>HYPERLINK("https://mathstats.uncg.edu/sites/pauli/congruence/csg13.html#group100F13", "100F¹³")</f>
        <v/>
      </c>
      <c r="B3584" t="n">
        <v>13</v>
      </c>
      <c r="C3584" t="inlineStr"/>
      <c r="D3584" t="inlineStr">
        <is>
          <t>180</t>
        </is>
      </c>
      <c r="E3584" t="inlineStr">
        <is>
          <t>1</t>
        </is>
      </c>
      <c r="F3584" t="inlineStr">
        <is>
          <t>90</t>
        </is>
      </c>
      <c r="G3584" t="inlineStr">
        <is>
          <t>4</t>
        </is>
      </c>
      <c r="H3584" t="inlineStr">
        <is>
          <t>0</t>
        </is>
      </c>
      <c r="I3584" t="inlineStr">
        <is>
          <t>10¹, 20¹, 50¹, 100¹</t>
        </is>
      </c>
      <c r="J3584" t="n">
        <v>4</v>
      </c>
      <c r="K3584" t="inlineStr">
        <is>
          <t>2⁶, 4¹², 20⁶</t>
        </is>
      </c>
      <c r="L3584" t="inlineStr">
        <is>
          <t>20E¹, 50B⁶</t>
        </is>
      </c>
      <c r="M3584" t="inlineStr"/>
      <c r="N3584" t="inlineStr">
        <is>
          <t>20E¹, 4C⁰, 5B⁰, 10C⁰, 2B⁰, 50B⁶, 1A⁰, 25B²</t>
        </is>
      </c>
      <c r="O3584" t="inlineStr"/>
    </row>
    <row r="3585">
      <c r="A3585">
        <f>HYPERLINK("https://mathstats.uncg.edu/sites/pauli/congruence/csg13.html#group100G13", "100G¹³")</f>
        <v/>
      </c>
      <c r="B3585" t="n">
        <v>13</v>
      </c>
      <c r="C3585" t="inlineStr"/>
      <c r="D3585" t="inlineStr">
        <is>
          <t>180</t>
        </is>
      </c>
      <c r="E3585" t="inlineStr">
        <is>
          <t>1</t>
        </is>
      </c>
      <c r="F3585" t="inlineStr">
        <is>
          <t>90</t>
        </is>
      </c>
      <c r="G3585" t="inlineStr">
        <is>
          <t>4</t>
        </is>
      </c>
      <c r="H3585" t="inlineStr">
        <is>
          <t>0</t>
        </is>
      </c>
      <c r="I3585" t="inlineStr">
        <is>
          <t>10¹, 20¹, 50¹, 100¹</t>
        </is>
      </c>
      <c r="J3585" t="n">
        <v>4</v>
      </c>
      <c r="K3585" t="inlineStr">
        <is>
          <t>2⁶, 4¹², 20⁶</t>
        </is>
      </c>
      <c r="L3585" t="inlineStr">
        <is>
          <t>20E¹, 50C⁶</t>
        </is>
      </c>
      <c r="M3585" t="inlineStr"/>
      <c r="N3585" t="inlineStr">
        <is>
          <t>20E¹, 50C⁶, 4C⁰, 5B⁰, 10C⁰, 2B⁰, 1A⁰, 25C²</t>
        </is>
      </c>
      <c r="O3585" t="inlineStr"/>
    </row>
    <row r="3586">
      <c r="A3586">
        <f>HYPERLINK("https://mathstats.uncg.edu/sites/pauli/congruence/csg13.html#group100H13", "100H¹³")</f>
        <v/>
      </c>
      <c r="B3586" t="n">
        <v>13</v>
      </c>
      <c r="C3586" t="inlineStr"/>
      <c r="D3586" t="inlineStr">
        <is>
          <t>180</t>
        </is>
      </c>
      <c r="E3586" t="inlineStr">
        <is>
          <t>1</t>
        </is>
      </c>
      <c r="F3586" t="inlineStr">
        <is>
          <t>90</t>
        </is>
      </c>
      <c r="G3586" t="inlineStr">
        <is>
          <t>4</t>
        </is>
      </c>
      <c r="H3586" t="inlineStr">
        <is>
          <t>0</t>
        </is>
      </c>
      <c r="I3586" t="inlineStr">
        <is>
          <t>10¹, 20¹, 50¹, 100¹</t>
        </is>
      </c>
      <c r="J3586" t="n">
        <v>4</v>
      </c>
      <c r="K3586" t="inlineStr">
        <is>
          <t>2⁶, 4¹², 20⁶</t>
        </is>
      </c>
      <c r="L3586" t="inlineStr">
        <is>
          <t>20E¹, 50D⁶</t>
        </is>
      </c>
      <c r="M3586" t="inlineStr"/>
      <c r="N3586" t="inlineStr">
        <is>
          <t>20E¹, 50D⁶, 4C⁰, 5B⁰, 10C⁰, 2B⁰, 1A⁰, 25D²</t>
        </is>
      </c>
      <c r="O3586" t="inlineStr"/>
    </row>
    <row r="3587">
      <c r="A3587">
        <f>HYPERLINK("https://mathstats.uncg.edu/sites/pauli/congruence/csg13.html#group100I13", "100I¹³")</f>
        <v/>
      </c>
      <c r="B3587" t="n">
        <v>13</v>
      </c>
      <c r="C3587" t="inlineStr"/>
      <c r="D3587" t="inlineStr">
        <is>
          <t>240</t>
        </is>
      </c>
      <c r="E3587" t="inlineStr">
        <is>
          <t>1</t>
        </is>
      </c>
      <c r="F3587" t="inlineStr">
        <is>
          <t>120</t>
        </is>
      </c>
      <c r="G3587" t="inlineStr">
        <is>
          <t>8</t>
        </is>
      </c>
      <c r="H3587" t="inlineStr">
        <is>
          <t>0</t>
        </is>
      </c>
      <c r="I3587" t="inlineStr">
        <is>
          <t>4¹⁰, 100²</t>
        </is>
      </c>
      <c r="J3587" t="n">
        <v>12</v>
      </c>
      <c r="K3587" t="inlineStr">
        <is>
          <t>2⁴, 8⁴, 40²</t>
        </is>
      </c>
      <c r="L3587" t="inlineStr">
        <is>
          <t>20G¹, 50A², 100A⁷</t>
        </is>
      </c>
      <c r="M3587" t="inlineStr"/>
      <c r="N3587" t="inlineStr">
        <is>
          <t>100A⁷, 4A⁰, 50A², 20G¹, 25A⁰, 5B⁰, 1A⁰, 20B¹, 10B⁰</t>
        </is>
      </c>
      <c r="O3587" t="inlineStr"/>
    </row>
    <row r="3588">
      <c r="A3588">
        <f>HYPERLINK("https://mathstats.uncg.edu/sites/pauli/congruence/csg13.html#group100J13", "100J¹³")</f>
        <v/>
      </c>
      <c r="B3588" t="n">
        <v>13</v>
      </c>
      <c r="C3588" t="inlineStr"/>
      <c r="D3588" t="inlineStr">
        <is>
          <t>360</t>
        </is>
      </c>
      <c r="E3588" t="inlineStr">
        <is>
          <t>1</t>
        </is>
      </c>
      <c r="F3588" t="inlineStr">
        <is>
          <t>18</t>
        </is>
      </c>
      <c r="G3588" t="inlineStr">
        <is>
          <t>0</t>
        </is>
      </c>
      <c r="H3588" t="inlineStr">
        <is>
          <t>0</t>
        </is>
      </c>
      <c r="I3588" t="inlineStr">
        <is>
          <t>1²⁰, 4¹⁰, 25⁴, 100²</t>
        </is>
      </c>
      <c r="J3588" t="n">
        <v>36</v>
      </c>
      <c r="K3588" t="inlineStr">
        <is>
          <t>1⁶, 4³</t>
        </is>
      </c>
      <c r="L3588" t="inlineStr">
        <is>
          <t>20H¹, 50F⁴, 100A⁶, 100C⁷</t>
        </is>
      </c>
      <c r="M3588" t="inlineStr"/>
      <c r="N3588" t="inlineStr">
        <is>
          <t>100A⁶, 50F⁴, 5B⁰, 5D⁰, 2B⁰, 20D¹, 20H¹, 4B⁰, 50B², 1A⁰, 10F⁰, 100C⁷, 20A⁰, 25A⁰, 10C⁰, 25B⁰</t>
        </is>
      </c>
      <c r="O3588" t="inlineStr"/>
    </row>
    <row r="3589">
      <c r="A3589">
        <f>HYPERLINK("https://mathstats.uncg.edu/sites/pauli/congruence/csg13.html#group102A13", "102A¹³")</f>
        <v/>
      </c>
      <c r="B3589" t="n">
        <v>13</v>
      </c>
      <c r="C3589" t="inlineStr"/>
      <c r="D3589" t="inlineStr">
        <is>
          <t>216</t>
        </is>
      </c>
      <c r="E3589" t="inlineStr">
        <is>
          <t>1</t>
        </is>
      </c>
      <c r="F3589" t="inlineStr">
        <is>
          <t>54</t>
        </is>
      </c>
      <c r="G3589" t="inlineStr">
        <is>
          <t>16</t>
        </is>
      </c>
      <c r="H3589" t="inlineStr">
        <is>
          <t>0</t>
        </is>
      </c>
      <c r="I3589" t="inlineStr">
        <is>
          <t>6², 102²</t>
        </is>
      </c>
      <c r="J3589" t="n">
        <v>4</v>
      </c>
      <c r="K3589" t="inlineStr">
        <is>
          <t>1², 2², 16¹, 32¹</t>
        </is>
      </c>
      <c r="L3589" t="inlineStr">
        <is>
          <t>51B⁵</t>
        </is>
      </c>
      <c r="M3589" t="inlineStr"/>
      <c r="N3589" t="inlineStr">
        <is>
          <t>17A¹, 51B⁵, 51A³, 3A⁰, 1A⁰, 17B¹</t>
        </is>
      </c>
      <c r="O3589" t="inlineStr"/>
    </row>
    <row r="3590">
      <c r="A3590">
        <f>HYPERLINK("https://mathstats.uncg.edu/sites/pauli/congruence/csg13.html#group102B13", "102B¹³")</f>
        <v/>
      </c>
      <c r="B3590" t="n">
        <v>13</v>
      </c>
      <c r="C3590" t="inlineStr"/>
      <c r="D3590" t="inlineStr">
        <is>
          <t>216</t>
        </is>
      </c>
      <c r="E3590" t="inlineStr">
        <is>
          <t>1</t>
        </is>
      </c>
      <c r="F3590" t="inlineStr">
        <is>
          <t>54</t>
        </is>
      </c>
      <c r="G3590" t="inlineStr">
        <is>
          <t>16</t>
        </is>
      </c>
      <c r="H3590" t="inlineStr">
        <is>
          <t>0</t>
        </is>
      </c>
      <c r="I3590" t="inlineStr">
        <is>
          <t>6², 102²</t>
        </is>
      </c>
      <c r="J3590" t="n">
        <v>4</v>
      </c>
      <c r="K3590" t="inlineStr">
        <is>
          <t>1², 2², 16¹, 32¹</t>
        </is>
      </c>
      <c r="L3590" t="inlineStr">
        <is>
          <t>51B⁵, 102A⁷, 102B⁷</t>
        </is>
      </c>
      <c r="M3590" t="inlineStr"/>
      <c r="N3590" t="inlineStr">
        <is>
          <t>6B⁰, 51A³, 102B⁷, 17B¹, 17A¹, 51B⁵, 102A⁷, 3A⁰, 1A⁰</t>
        </is>
      </c>
      <c r="O3590" t="inlineStr"/>
    </row>
    <row r="3591">
      <c r="A3591">
        <f>HYPERLINK("https://mathstats.uncg.edu/sites/pauli/congruence/csg13.html#group104A13", "104A¹³")</f>
        <v/>
      </c>
      <c r="B3591" t="n">
        <v>13</v>
      </c>
      <c r="C3591" t="inlineStr"/>
      <c r="D3591" t="inlineStr">
        <is>
          <t>168</t>
        </is>
      </c>
      <c r="E3591" t="inlineStr">
        <is>
          <t>1</t>
        </is>
      </c>
      <c r="F3591" t="inlineStr">
        <is>
          <t>42</t>
        </is>
      </c>
      <c r="G3591" t="inlineStr">
        <is>
          <t>0</t>
        </is>
      </c>
      <c r="H3591" t="inlineStr">
        <is>
          <t>0</t>
        </is>
      </c>
      <c r="I3591" t="inlineStr">
        <is>
          <t>4¹, 8¹, 52¹, 104¹</t>
        </is>
      </c>
      <c r="J3591" t="n">
        <v>4</v>
      </c>
      <c r="K3591" t="inlineStr">
        <is>
          <t>1⁶, 12³</t>
        </is>
      </c>
      <c r="L3591" t="inlineStr">
        <is>
          <t>52B⁵</t>
        </is>
      </c>
      <c r="M3591" t="inlineStr"/>
      <c r="N3591" t="inlineStr">
        <is>
          <t>13A⁰, 52B⁵, 2B⁰, 1A⁰, 26A², 4C⁰</t>
        </is>
      </c>
      <c r="O3591" t="inlineStr"/>
    </row>
    <row r="3592">
      <c r="A3592">
        <f>HYPERLINK("https://mathstats.uncg.edu/sites/pauli/congruence/csg13.html#group104B13", "104B¹³")</f>
        <v/>
      </c>
      <c r="B3592" t="n">
        <v>13</v>
      </c>
      <c r="C3592" t="inlineStr"/>
      <c r="D3592" t="inlineStr">
        <is>
          <t>168</t>
        </is>
      </c>
      <c r="E3592" t="inlineStr">
        <is>
          <t>1</t>
        </is>
      </c>
      <c r="F3592" t="inlineStr">
        <is>
          <t>42</t>
        </is>
      </c>
      <c r="G3592" t="inlineStr">
        <is>
          <t>0</t>
        </is>
      </c>
      <c r="H3592" t="inlineStr">
        <is>
          <t>0</t>
        </is>
      </c>
      <c r="I3592" t="inlineStr">
        <is>
          <t>4¹, 8¹, 52¹, 104¹</t>
        </is>
      </c>
      <c r="J3592" t="n">
        <v>4</v>
      </c>
      <c r="K3592" t="inlineStr">
        <is>
          <t>1⁶, 12³</t>
        </is>
      </c>
      <c r="L3592" t="inlineStr">
        <is>
          <t>8A¹, 52B⁵</t>
        </is>
      </c>
      <c r="M3592" t="inlineStr"/>
      <c r="N3592" t="inlineStr">
        <is>
          <t>13A⁰, 52B⁵, 2B⁰, 8A¹, 1A⁰, 26A², 4C⁰</t>
        </is>
      </c>
      <c r="O3592" t="inlineStr"/>
    </row>
    <row r="3593">
      <c r="A3593">
        <f>HYPERLINK("https://mathstats.uncg.edu/sites/pauli/congruence/csg13.html#group104C13", "104C¹³")</f>
        <v/>
      </c>
      <c r="B3593" t="n">
        <v>13</v>
      </c>
      <c r="C3593" t="inlineStr"/>
      <c r="D3593" t="inlineStr">
        <is>
          <t>224</t>
        </is>
      </c>
      <c r="E3593" t="inlineStr">
        <is>
          <t>1</t>
        </is>
      </c>
      <c r="F3593" t="inlineStr">
        <is>
          <t>56</t>
        </is>
      </c>
      <c r="G3593" t="inlineStr">
        <is>
          <t>8</t>
        </is>
      </c>
      <c r="H3593" t="inlineStr">
        <is>
          <t>8</t>
        </is>
      </c>
      <c r="I3593" t="inlineStr">
        <is>
          <t>8², 104²</t>
        </is>
      </c>
      <c r="J3593" t="n">
        <v>4</v>
      </c>
      <c r="K3593" t="inlineStr">
        <is>
          <t>4⁴, 48²</t>
        </is>
      </c>
      <c r="L3593" t="inlineStr">
        <is>
          <t>52C⁵</t>
        </is>
      </c>
      <c r="M3593" t="inlineStr"/>
      <c r="N3593" t="inlineStr">
        <is>
          <t>13A⁰, 26A⁰, 52A³, 1A⁰, 4A⁰, 52C⁵</t>
        </is>
      </c>
      <c r="O3593" t="inlineStr"/>
    </row>
    <row r="3594">
      <c r="A3594">
        <f>HYPERLINK("https://mathstats.uncg.edu/sites/pauli/congruence/csg13.html#group104D13", "104D¹³")</f>
        <v/>
      </c>
      <c r="B3594" t="n">
        <v>13</v>
      </c>
      <c r="C3594" t="inlineStr"/>
      <c r="D3594" t="inlineStr">
        <is>
          <t>224</t>
        </is>
      </c>
      <c r="E3594" t="inlineStr">
        <is>
          <t>1</t>
        </is>
      </c>
      <c r="F3594" t="inlineStr">
        <is>
          <t>56</t>
        </is>
      </c>
      <c r="G3594" t="inlineStr">
        <is>
          <t>8</t>
        </is>
      </c>
      <c r="H3594" t="inlineStr">
        <is>
          <t>8</t>
        </is>
      </c>
      <c r="I3594" t="inlineStr">
        <is>
          <t>8², 104²</t>
        </is>
      </c>
      <c r="J3594" t="n">
        <v>4</v>
      </c>
      <c r="K3594" t="inlineStr">
        <is>
          <t>4⁴, 48²</t>
        </is>
      </c>
      <c r="L3594" t="inlineStr">
        <is>
          <t>52C⁵</t>
        </is>
      </c>
      <c r="M3594" t="inlineStr"/>
      <c r="N3594" t="inlineStr">
        <is>
          <t>13A⁰, 26A⁰, 52A³, 1A⁰, 4A⁰, 52C⁵</t>
        </is>
      </c>
      <c r="O3594" t="inlineStr"/>
    </row>
    <row r="3595">
      <c r="A3595">
        <f>HYPERLINK("https://mathstats.uncg.edu/sites/pauli/congruence/csg13.html#group104E13", "104E¹³")</f>
        <v/>
      </c>
      <c r="B3595" t="n">
        <v>13</v>
      </c>
      <c r="C3595" t="inlineStr"/>
      <c r="D3595" t="inlineStr">
        <is>
          <t>224</t>
        </is>
      </c>
      <c r="E3595" t="inlineStr">
        <is>
          <t>2</t>
        </is>
      </c>
      <c r="F3595" t="inlineStr">
        <is>
          <t>56</t>
        </is>
      </c>
      <c r="G3595" t="inlineStr">
        <is>
          <t>8</t>
        </is>
      </c>
      <c r="H3595" t="inlineStr">
        <is>
          <t>8</t>
        </is>
      </c>
      <c r="I3595" t="inlineStr">
        <is>
          <t>8², 104²</t>
        </is>
      </c>
      <c r="J3595" t="n">
        <v>4</v>
      </c>
      <c r="K3595" t="inlineStr">
        <is>
          <t>4⁴, 48²</t>
        </is>
      </c>
      <c r="L3595" t="inlineStr">
        <is>
          <t>52C⁵, 104A⁷, 104B⁷</t>
        </is>
      </c>
      <c r="M3595" t="inlineStr"/>
      <c r="N3595" t="inlineStr">
        <is>
          <t>52A³, 104B⁷, 4A⁰, 8A⁰, 13A⁰, 104A⁷, 26A⁰, 1A⁰, 52C⁵</t>
        </is>
      </c>
      <c r="O3595" t="inlineStr"/>
    </row>
    <row r="3596">
      <c r="A3596">
        <f>HYPERLINK("https://mathstats.uncg.edu/sites/pauli/congruence/csg13.html#group105A13", "105A¹³")</f>
        <v/>
      </c>
      <c r="B3596" t="n">
        <v>13</v>
      </c>
      <c r="C3596" t="inlineStr"/>
      <c r="D3596" t="inlineStr">
        <is>
          <t>168</t>
        </is>
      </c>
      <c r="E3596" t="inlineStr">
        <is>
          <t>2</t>
        </is>
      </c>
      <c r="F3596" t="inlineStr">
        <is>
          <t>168</t>
        </is>
      </c>
      <c r="G3596" t="inlineStr">
        <is>
          <t>0</t>
        </is>
      </c>
      <c r="H3596" t="inlineStr">
        <is>
          <t>0</t>
        </is>
      </c>
      <c r="I3596" t="inlineStr">
        <is>
          <t>7¹, 21¹, 35¹, 105¹</t>
        </is>
      </c>
      <c r="J3596" t="n">
        <v>4</v>
      </c>
      <c r="K3596" t="inlineStr">
        <is>
          <t>2⁴, 4², 6⁸, 8², 12⁴, 16¹, 24⁴, 48²</t>
        </is>
      </c>
      <c r="L3596" t="inlineStr">
        <is>
          <t>15C¹, 21B², 35C²</t>
        </is>
      </c>
      <c r="M3596" t="inlineStr"/>
      <c r="N3596" t="inlineStr">
        <is>
          <t>35C², 15C¹, 3B⁰, 21B², 5B⁰, 1A⁰, 7A⁰</t>
        </is>
      </c>
      <c r="O3596" t="inlineStr"/>
    </row>
    <row r="3597">
      <c r="A3597">
        <f>HYPERLINK("https://mathstats.uncg.edu/sites/pauli/congruence/csg13.html#group105B13", "105B¹³")</f>
        <v/>
      </c>
      <c r="B3597" t="n">
        <v>13</v>
      </c>
      <c r="C3597" t="inlineStr">
        <is>
          <t>Γ₀(105)</t>
        </is>
      </c>
      <c r="D3597" t="inlineStr">
        <is>
          <t>192</t>
        </is>
      </c>
      <c r="E3597" t="inlineStr">
        <is>
          <t>1</t>
        </is>
      </c>
      <c r="F3597" t="inlineStr">
        <is>
          <t>192</t>
        </is>
      </c>
      <c r="G3597" t="inlineStr">
        <is>
          <t>0</t>
        </is>
      </c>
      <c r="H3597" t="inlineStr">
        <is>
          <t>0</t>
        </is>
      </c>
      <c r="I3597" t="inlineStr">
        <is>
          <t>1¹, 3¹, 5¹, 7¹, 15¹, 21¹, 35¹, 105¹</t>
        </is>
      </c>
      <c r="J3597" t="n">
        <v>8</v>
      </c>
      <c r="K3597" t="inlineStr">
        <is>
          <t>1⁸, 2⁴, 4⁴, 6⁴, 8², 12², 24², 48¹</t>
        </is>
      </c>
      <c r="L3597" t="inlineStr">
        <is>
          <t>15C¹, 21B¹, 35A³</t>
        </is>
      </c>
      <c r="M3597" t="inlineStr"/>
      <c r="N3597" t="inlineStr">
        <is>
          <t>15C¹, 3B⁰, 21B¹, 7B⁰, 5B⁰, 1A⁰, 35A³</t>
        </is>
      </c>
      <c r="O3597" t="inlineStr"/>
    </row>
    <row r="3598">
      <c r="A3598">
        <f>HYPERLINK("https://mathstats.uncg.edu/sites/pauli/congruence/csg13.html#group105C13", "105C¹³")</f>
        <v/>
      </c>
      <c r="B3598" t="n">
        <v>13</v>
      </c>
      <c r="C3598" t="inlineStr"/>
      <c r="D3598" t="inlineStr">
        <is>
          <t>210</t>
        </is>
      </c>
      <c r="E3598" t="inlineStr">
        <is>
          <t>2</t>
        </is>
      </c>
      <c r="F3598" t="inlineStr">
        <is>
          <t>70</t>
        </is>
      </c>
      <c r="G3598" t="inlineStr">
        <is>
          <t>18</t>
        </is>
      </c>
      <c r="H3598" t="inlineStr">
        <is>
          <t>0</t>
        </is>
      </c>
      <c r="I3598" t="inlineStr">
        <is>
          <t>105²</t>
        </is>
      </c>
      <c r="J3598" t="n">
        <v>2</v>
      </c>
      <c r="K3598" t="inlineStr">
        <is>
          <t>4¹, 8², 12², 24⁴</t>
        </is>
      </c>
      <c r="L3598" t="inlineStr">
        <is>
          <t>21A⁰, 15D¹, 35B⁴</t>
        </is>
      </c>
      <c r="M3598" t="inlineStr"/>
      <c r="N3598" t="inlineStr">
        <is>
          <t>15D¹, 35B⁴, 5C⁰, 21A⁰, 3A⁰, 1A⁰, 7A⁰</t>
        </is>
      </c>
      <c r="O3598" t="inlineStr"/>
    </row>
    <row r="3599">
      <c r="A3599">
        <f>HYPERLINK("https://mathstats.uncg.edu/sites/pauli/congruence/csg13.html#group108A13", "108A¹³")</f>
        <v/>
      </c>
      <c r="B3599" t="n">
        <v>13</v>
      </c>
      <c r="C3599" t="inlineStr"/>
      <c r="D3599" t="inlineStr">
        <is>
          <t>216</t>
        </is>
      </c>
      <c r="E3599" t="inlineStr">
        <is>
          <t>1</t>
        </is>
      </c>
      <c r="F3599" t="inlineStr">
        <is>
          <t>36</t>
        </is>
      </c>
      <c r="G3599" t="inlineStr">
        <is>
          <t>0</t>
        </is>
      </c>
      <c r="H3599" t="inlineStr">
        <is>
          <t>0</t>
        </is>
      </c>
      <c r="I3599" t="inlineStr">
        <is>
          <t>2³, 4³, 6², 12², 54¹, 108¹</t>
        </is>
      </c>
      <c r="J3599" t="n">
        <v>12</v>
      </c>
      <c r="K3599" t="inlineStr">
        <is>
          <t>1⁶, 2⁶, 6³</t>
        </is>
      </c>
      <c r="L3599" t="inlineStr">
        <is>
          <t>36G³, 54E⁴</t>
        </is>
      </c>
      <c r="M3599" t="inlineStr"/>
      <c r="N3599" t="inlineStr">
        <is>
          <t>3B⁰, 18E⁰, 27A¹, 12F¹, 4C⁰, 6F⁰, 9B⁰, 2B⁰, 1A⁰, 36G³, 54E⁴</t>
        </is>
      </c>
      <c r="O3599" t="inlineStr"/>
    </row>
    <row r="3600">
      <c r="A3600">
        <f>HYPERLINK("https://mathstats.uncg.edu/sites/pauli/congruence/csg13.html#group108B13", "108B¹³")</f>
        <v/>
      </c>
      <c r="B3600" t="n">
        <v>13</v>
      </c>
      <c r="C3600" t="inlineStr"/>
      <c r="D3600" t="inlineStr">
        <is>
          <t>216</t>
        </is>
      </c>
      <c r="E3600" t="inlineStr">
        <is>
          <t>1</t>
        </is>
      </c>
      <c r="F3600" t="inlineStr">
        <is>
          <t>36</t>
        </is>
      </c>
      <c r="G3600" t="inlineStr">
        <is>
          <t>0</t>
        </is>
      </c>
      <c r="H3600" t="inlineStr">
        <is>
          <t>0</t>
        </is>
      </c>
      <c r="I3600" t="inlineStr">
        <is>
          <t>3⁶, 12³, 27², 108¹</t>
        </is>
      </c>
      <c r="J3600" t="n">
        <v>12</v>
      </c>
      <c r="K3600" t="inlineStr">
        <is>
          <t>1⁶, 2⁶, 6³</t>
        </is>
      </c>
      <c r="L3600" t="inlineStr">
        <is>
          <t>36C¹, 54B⁶</t>
        </is>
      </c>
      <c r="M3600" t="inlineStr"/>
      <c r="N3600" t="inlineStr">
        <is>
          <t>3B⁰, 18E⁰, 27A², 54B⁶, 9B⁰, 1A⁰, 2B⁰, 36C¹, 4B⁰, 6F⁰, 12E⁰</t>
        </is>
      </c>
      <c r="O3600" t="inlineStr"/>
    </row>
    <row r="3601">
      <c r="A3601">
        <f>HYPERLINK("https://mathstats.uncg.edu/sites/pauli/congruence/csg13.html#group110A13", "110A¹³")</f>
        <v/>
      </c>
      <c r="B3601" t="n">
        <v>13</v>
      </c>
      <c r="C3601" t="inlineStr"/>
      <c r="D3601" t="inlineStr">
        <is>
          <t>165</t>
        </is>
      </c>
      <c r="E3601" t="inlineStr">
        <is>
          <t>2</t>
        </is>
      </c>
      <c r="F3601" t="inlineStr">
        <is>
          <t>165</t>
        </is>
      </c>
      <c r="G3601" t="inlineStr">
        <is>
          <t>3</t>
        </is>
      </c>
      <c r="H3601" t="inlineStr">
        <is>
          <t>0</t>
        </is>
      </c>
      <c r="I3601" t="inlineStr">
        <is>
          <t>55¹, 110¹</t>
        </is>
      </c>
      <c r="J3601" t="n">
        <v>2</v>
      </c>
      <c r="K3601" t="inlineStr">
        <is>
          <t>2³, 8³, 10⁶, 40⁶</t>
        </is>
      </c>
      <c r="L3601" t="inlineStr">
        <is>
          <t>10B¹, 22B², 55A³</t>
        </is>
      </c>
      <c r="M3601" t="inlineStr"/>
      <c r="N3601" t="inlineStr">
        <is>
          <t>11A⁰, 55A³, 5A⁰, 10B¹, 2B⁰, 22B², 1A⁰</t>
        </is>
      </c>
      <c r="O3601" t="inlineStr"/>
    </row>
    <row r="3602">
      <c r="A3602">
        <f>HYPERLINK("https://mathstats.uncg.edu/sites/pauli/congruence/csg13.html#group112A13", "112A¹³")</f>
        <v/>
      </c>
      <c r="B3602" t="n">
        <v>13</v>
      </c>
      <c r="C3602" t="inlineStr"/>
      <c r="D3602" t="inlineStr">
        <is>
          <t>168</t>
        </is>
      </c>
      <c r="E3602" t="inlineStr">
        <is>
          <t>2</t>
        </is>
      </c>
      <c r="F3602" t="inlineStr">
        <is>
          <t>42</t>
        </is>
      </c>
      <c r="G3602" t="inlineStr">
        <is>
          <t>0</t>
        </is>
      </c>
      <c r="H3602" t="inlineStr">
        <is>
          <t>0</t>
        </is>
      </c>
      <c r="I3602" t="inlineStr">
        <is>
          <t>14², 28¹, 112¹</t>
        </is>
      </c>
      <c r="J3602" t="n">
        <v>4</v>
      </c>
      <c r="K3602" t="inlineStr">
        <is>
          <t>2⁴, 4¹, 6⁸, 12²</t>
        </is>
      </c>
      <c r="L3602" t="inlineStr">
        <is>
          <t>56C⁶</t>
        </is>
      </c>
      <c r="M3602" t="inlineStr"/>
      <c r="N3602" t="inlineStr">
        <is>
          <t>56C⁶, 14B¹, 28A³, 8C⁰, 2B⁰, 4B⁰, 1A⁰, 7A⁰</t>
        </is>
      </c>
      <c r="O3602" t="inlineStr"/>
    </row>
    <row r="3603">
      <c r="A3603">
        <f>HYPERLINK("https://mathstats.uncg.edu/sites/pauli/congruence/csg13.html#group112B13", "112B¹³")</f>
        <v/>
      </c>
      <c r="B3603" t="n">
        <v>13</v>
      </c>
      <c r="C3603" t="inlineStr"/>
      <c r="D3603" t="inlineStr">
        <is>
          <t>168</t>
        </is>
      </c>
      <c r="E3603" t="inlineStr">
        <is>
          <t>2</t>
        </is>
      </c>
      <c r="F3603" t="inlineStr">
        <is>
          <t>42</t>
        </is>
      </c>
      <c r="G3603" t="inlineStr">
        <is>
          <t>0</t>
        </is>
      </c>
      <c r="H3603" t="inlineStr">
        <is>
          <t>0</t>
        </is>
      </c>
      <c r="I3603" t="inlineStr">
        <is>
          <t>14², 28¹, 112¹</t>
        </is>
      </c>
      <c r="J3603" t="n">
        <v>4</v>
      </c>
      <c r="K3603" t="inlineStr">
        <is>
          <t>2⁴, 4¹, 6⁸, 12²</t>
        </is>
      </c>
      <c r="L3603" t="inlineStr">
        <is>
          <t>16A¹, 56C⁶</t>
        </is>
      </c>
      <c r="M3603" t="inlineStr"/>
      <c r="N3603" t="inlineStr">
        <is>
          <t>56C⁶, 14B¹, 28A³, 16A¹, 8C⁰, 2B⁰, 4B⁰, 1A⁰, 7A⁰</t>
        </is>
      </c>
      <c r="O3603" t="inlineStr"/>
    </row>
    <row r="3604">
      <c r="A3604">
        <f>HYPERLINK("https://mathstats.uncg.edu/sites/pauli/congruence/csg13.html#group112C13", "112C¹³")</f>
        <v/>
      </c>
      <c r="B3604" t="n">
        <v>13</v>
      </c>
      <c r="C3604" t="inlineStr"/>
      <c r="D3604" t="inlineStr">
        <is>
          <t>192</t>
        </is>
      </c>
      <c r="E3604" t="inlineStr">
        <is>
          <t>1</t>
        </is>
      </c>
      <c r="F3604" t="inlineStr">
        <is>
          <t>48</t>
        </is>
      </c>
      <c r="G3604" t="inlineStr">
        <is>
          <t>0</t>
        </is>
      </c>
      <c r="H3604" t="inlineStr">
        <is>
          <t>0</t>
        </is>
      </c>
      <c r="I3604" t="inlineStr">
        <is>
          <t>2², 4¹, 14², 16¹, 28¹, 112¹</t>
        </is>
      </c>
      <c r="J3604" t="n">
        <v>8</v>
      </c>
      <c r="K3604" t="inlineStr">
        <is>
          <t>1⁸, 2², 6⁴, 12¹</t>
        </is>
      </c>
      <c r="L3604" t="inlineStr">
        <is>
          <t>56D⁵</t>
        </is>
      </c>
      <c r="M3604" t="inlineStr"/>
      <c r="N3604" t="inlineStr">
        <is>
          <t>7B⁰, 28D², 14C¹, 8C⁰, 2B⁰, 4B⁰, 56D⁵, 1A⁰</t>
        </is>
      </c>
      <c r="O3604" t="inlineStr"/>
    </row>
    <row r="3605">
      <c r="A3605">
        <f>HYPERLINK("https://mathstats.uncg.edu/sites/pauli/congruence/csg13.html#group112D13", "112D¹³")</f>
        <v/>
      </c>
      <c r="B3605" t="n">
        <v>13</v>
      </c>
      <c r="C3605" t="inlineStr"/>
      <c r="D3605" t="inlineStr">
        <is>
          <t>192</t>
        </is>
      </c>
      <c r="E3605" t="inlineStr">
        <is>
          <t>1</t>
        </is>
      </c>
      <c r="F3605" t="inlineStr">
        <is>
          <t>48</t>
        </is>
      </c>
      <c r="G3605" t="inlineStr">
        <is>
          <t>0</t>
        </is>
      </c>
      <c r="H3605" t="inlineStr">
        <is>
          <t>0</t>
        </is>
      </c>
      <c r="I3605" t="inlineStr">
        <is>
          <t>2², 4¹, 14², 16¹, 28¹, 112¹</t>
        </is>
      </c>
      <c r="J3605" t="n">
        <v>8</v>
      </c>
      <c r="K3605" t="inlineStr">
        <is>
          <t>1⁸, 2², 6⁴, 12¹</t>
        </is>
      </c>
      <c r="L3605" t="inlineStr">
        <is>
          <t>16A¹, 56D⁵</t>
        </is>
      </c>
      <c r="M3605" t="inlineStr"/>
      <c r="N3605" t="inlineStr">
        <is>
          <t>7B⁰, 28D², 14C¹, 16A¹, 8C⁰, 2B⁰, 4B⁰, 56D⁵, 1A⁰</t>
        </is>
      </c>
      <c r="O3605" t="inlineStr"/>
    </row>
    <row r="3606">
      <c r="A3606">
        <f>HYPERLINK("https://mathstats.uncg.edu/sites/pauli/congruence/csg13.html#group116A13", "116A¹³")</f>
        <v/>
      </c>
      <c r="B3606" t="n">
        <v>13</v>
      </c>
      <c r="C3606" t="inlineStr">
        <is>
          <t>Γ₀(116)</t>
        </is>
      </c>
      <c r="D3606" t="inlineStr">
        <is>
          <t>180</t>
        </is>
      </c>
      <c r="E3606" t="inlineStr">
        <is>
          <t>1</t>
        </is>
      </c>
      <c r="F3606" t="inlineStr">
        <is>
          <t>90</t>
        </is>
      </c>
      <c r="G3606" t="inlineStr">
        <is>
          <t>0</t>
        </is>
      </c>
      <c r="H3606" t="inlineStr">
        <is>
          <t>0</t>
        </is>
      </c>
      <c r="I3606" t="inlineStr">
        <is>
          <t>1², 4¹, 29², 116¹</t>
        </is>
      </c>
      <c r="J3606" t="n">
        <v>6</v>
      </c>
      <c r="K3606" t="inlineStr">
        <is>
          <t>1⁶, 28³</t>
        </is>
      </c>
      <c r="L3606" t="inlineStr">
        <is>
          <t>4B⁰, 58A⁶</t>
        </is>
      </c>
      <c r="M3606" t="inlineStr"/>
      <c r="N3606" t="inlineStr">
        <is>
          <t>2B⁰, 4B⁰, 1A⁰, 29A², 58A⁶</t>
        </is>
      </c>
      <c r="O3606" t="inlineStr"/>
    </row>
    <row r="3607">
      <c r="A3607">
        <f>HYPERLINK("https://mathstats.uncg.edu/sites/pauli/congruence/csg13.html#group116B13", "116B¹³")</f>
        <v/>
      </c>
      <c r="B3607" t="n">
        <v>13</v>
      </c>
      <c r="C3607" t="inlineStr"/>
      <c r="D3607" t="inlineStr">
        <is>
          <t>180</t>
        </is>
      </c>
      <c r="E3607" t="inlineStr">
        <is>
          <t>1</t>
        </is>
      </c>
      <c r="F3607" t="inlineStr">
        <is>
          <t>90</t>
        </is>
      </c>
      <c r="G3607" t="inlineStr">
        <is>
          <t>4</t>
        </is>
      </c>
      <c r="H3607" t="inlineStr">
        <is>
          <t>0</t>
        </is>
      </c>
      <c r="I3607" t="inlineStr">
        <is>
          <t>2¹, 4¹, 58¹, 116¹</t>
        </is>
      </c>
      <c r="J3607" t="n">
        <v>4</v>
      </c>
      <c r="K3607" t="inlineStr">
        <is>
          <t>1⁶, 28³</t>
        </is>
      </c>
      <c r="L3607" t="inlineStr">
        <is>
          <t>4C⁰, 58A⁶</t>
        </is>
      </c>
      <c r="M3607" t="inlineStr"/>
      <c r="N3607" t="inlineStr">
        <is>
          <t>2B⁰, 1A⁰, 29A², 58A⁶, 4C⁰</t>
        </is>
      </c>
      <c r="O3607" t="inlineStr"/>
    </row>
    <row r="3608">
      <c r="A3608">
        <f>HYPERLINK("https://mathstats.uncg.edu/sites/pauli/congruence/csg13.html#group117A13", "117A¹³")</f>
        <v/>
      </c>
      <c r="B3608" t="n">
        <v>13</v>
      </c>
      <c r="C3608" t="inlineStr"/>
      <c r="D3608" t="inlineStr">
        <is>
          <t>168</t>
        </is>
      </c>
      <c r="E3608" t="inlineStr">
        <is>
          <t>1</t>
        </is>
      </c>
      <c r="F3608" t="inlineStr">
        <is>
          <t>56</t>
        </is>
      </c>
      <c r="G3608" t="inlineStr">
        <is>
          <t>0</t>
        </is>
      </c>
      <c r="H3608" t="inlineStr">
        <is>
          <t>0</t>
        </is>
      </c>
      <c r="I3608" t="inlineStr">
        <is>
          <t>3¹, 9¹, 39¹, 117¹</t>
        </is>
      </c>
      <c r="J3608" t="n">
        <v>4</v>
      </c>
      <c r="K3608" t="inlineStr">
        <is>
          <t>1⁴, 2², 12², 24¹</t>
        </is>
      </c>
      <c r="L3608" t="inlineStr">
        <is>
          <t>9A¹, 39A³</t>
        </is>
      </c>
      <c r="M3608" t="inlineStr"/>
      <c r="N3608" t="inlineStr">
        <is>
          <t>13A⁰, 3B⁰, 39A³, 1A⁰, 9A¹</t>
        </is>
      </c>
      <c r="O3608" t="inlineStr"/>
    </row>
    <row r="3609">
      <c r="A3609">
        <f>HYPERLINK("https://mathstats.uncg.edu/sites/pauli/congruence/csg13.html#group117B13", "117B¹³")</f>
        <v/>
      </c>
      <c r="B3609" t="n">
        <v>13</v>
      </c>
      <c r="C3609" t="inlineStr"/>
      <c r="D3609" t="inlineStr">
        <is>
          <t>168</t>
        </is>
      </c>
      <c r="E3609" t="inlineStr">
        <is>
          <t>2</t>
        </is>
      </c>
      <c r="F3609" t="inlineStr">
        <is>
          <t>56</t>
        </is>
      </c>
      <c r="G3609" t="inlineStr">
        <is>
          <t>0</t>
        </is>
      </c>
      <c r="H3609" t="inlineStr">
        <is>
          <t>0</t>
        </is>
      </c>
      <c r="I3609" t="inlineStr">
        <is>
          <t>3¹, 9¹, 39¹, 117¹</t>
        </is>
      </c>
      <c r="J3609" t="n">
        <v>4</v>
      </c>
      <c r="K3609" t="inlineStr">
        <is>
          <t>2⁸, 24⁴</t>
        </is>
      </c>
      <c r="L3609" t="inlineStr">
        <is>
          <t>39A³</t>
        </is>
      </c>
      <c r="M3609" t="inlineStr"/>
      <c r="N3609" t="inlineStr">
        <is>
          <t>13A⁰, 3B⁰, 1A⁰, 39A³</t>
        </is>
      </c>
      <c r="O3609" t="inlineStr"/>
    </row>
    <row r="3610">
      <c r="A3610">
        <f>HYPERLINK("https://mathstats.uncg.edu/sites/pauli/congruence/csg13.html#group120A13", "120A¹³")</f>
        <v/>
      </c>
      <c r="B3610" t="n">
        <v>13</v>
      </c>
      <c r="C3610" t="inlineStr"/>
      <c r="D3610" t="inlineStr">
        <is>
          <t>180</t>
        </is>
      </c>
      <c r="E3610" t="inlineStr">
        <is>
          <t>1</t>
        </is>
      </c>
      <c r="F3610" t="inlineStr">
        <is>
          <t>30</t>
        </is>
      </c>
      <c r="G3610" t="inlineStr">
        <is>
          <t>6</t>
        </is>
      </c>
      <c r="H3610" t="inlineStr">
        <is>
          <t>0</t>
        </is>
      </c>
      <c r="I3610" t="inlineStr">
        <is>
          <t>30², 120¹</t>
        </is>
      </c>
      <c r="J3610" t="n">
        <v>3</v>
      </c>
      <c r="K3610" t="inlineStr">
        <is>
          <t>1², 2², 4², 8²</t>
        </is>
      </c>
      <c r="L3610" t="inlineStr">
        <is>
          <t>24C¹, 40C⁴, 60B⁶</t>
        </is>
      </c>
      <c r="M3610" t="inlineStr"/>
      <c r="N3610" t="inlineStr">
        <is>
          <t>30D³, 40C⁴, 5A⁰, 12C⁰, 8D⁰, 15A¹, 10B¹, 20B², 4C⁰, 60B⁶, 24C¹, 2B⁰, 3A⁰, 1A⁰, 6D⁰</t>
        </is>
      </c>
      <c r="O3610" t="inlineStr"/>
    </row>
    <row r="3611">
      <c r="A3611">
        <f>HYPERLINK("https://mathstats.uncg.edu/sites/pauli/congruence/csg13.html#group120B13", "120B¹³")</f>
        <v/>
      </c>
      <c r="B3611" t="n">
        <v>13</v>
      </c>
      <c r="C3611" t="inlineStr"/>
      <c r="D3611" t="inlineStr">
        <is>
          <t>180</t>
        </is>
      </c>
      <c r="E3611" t="inlineStr">
        <is>
          <t>1</t>
        </is>
      </c>
      <c r="F3611" t="inlineStr">
        <is>
          <t>45</t>
        </is>
      </c>
      <c r="G3611" t="inlineStr">
        <is>
          <t>8</t>
        </is>
      </c>
      <c r="H3611" t="inlineStr">
        <is>
          <t>0</t>
        </is>
      </c>
      <c r="I3611" t="inlineStr">
        <is>
          <t>60¹, 120¹</t>
        </is>
      </c>
      <c r="J3611" t="n">
        <v>2</v>
      </c>
      <c r="K3611" t="inlineStr">
        <is>
          <t>1³, 2³, 4³, 8³</t>
        </is>
      </c>
      <c r="L3611" t="inlineStr">
        <is>
          <t>24D¹, 60B⁶</t>
        </is>
      </c>
      <c r="M3611" t="inlineStr"/>
      <c r="N3611" t="inlineStr">
        <is>
          <t>30D³, 5A⁰, 12C⁰, 15A¹, 10B¹, 20B², 4C⁰, 24D¹, 60B⁶, 2B⁰, 3A⁰, 1A⁰, 6D⁰</t>
        </is>
      </c>
      <c r="O3611" t="inlineStr"/>
    </row>
    <row r="3612">
      <c r="A3612">
        <f>HYPERLINK("https://mathstats.uncg.edu/sites/pauli/congruence/csg13.html#group120C13", "120C¹³")</f>
        <v/>
      </c>
      <c r="B3612" t="n">
        <v>13</v>
      </c>
      <c r="C3612" t="inlineStr"/>
      <c r="D3612" t="inlineStr">
        <is>
          <t>180</t>
        </is>
      </c>
      <c r="E3612" t="inlineStr">
        <is>
          <t>1</t>
        </is>
      </c>
      <c r="F3612" t="inlineStr">
        <is>
          <t>90</t>
        </is>
      </c>
      <c r="G3612" t="inlineStr">
        <is>
          <t>6</t>
        </is>
      </c>
      <c r="H3612" t="inlineStr">
        <is>
          <t>0</t>
        </is>
      </c>
      <c r="I3612" t="inlineStr">
        <is>
          <t>30², 120¹</t>
        </is>
      </c>
      <c r="J3612" t="n">
        <v>3</v>
      </c>
      <c r="K3612" t="inlineStr">
        <is>
          <t>1², 2⁴, 4⁴, 8⁴, 16²</t>
        </is>
      </c>
      <c r="L3612" t="inlineStr">
        <is>
          <t>24E¹, 60B⁶</t>
        </is>
      </c>
      <c r="M3612" t="inlineStr"/>
      <c r="N3612" t="inlineStr">
        <is>
          <t>30D³, 24E¹, 5A⁰, 12C⁰, 15A¹, 10B¹, 20B², 4C⁰, 60B⁶, 2B⁰, 3A⁰, 1A⁰, 6D⁰</t>
        </is>
      </c>
      <c r="O3612" t="inlineStr"/>
    </row>
    <row r="3613">
      <c r="A3613">
        <f>HYPERLINK("https://mathstats.uncg.edu/sites/pauli/congruence/csg13.html#group120D13", "120D¹³")</f>
        <v/>
      </c>
      <c r="B3613" t="n">
        <v>13</v>
      </c>
      <c r="C3613" t="inlineStr"/>
      <c r="D3613" t="inlineStr">
        <is>
          <t>180</t>
        </is>
      </c>
      <c r="E3613" t="inlineStr">
        <is>
          <t>2</t>
        </is>
      </c>
      <c r="F3613" t="inlineStr">
        <is>
          <t>30</t>
        </is>
      </c>
      <c r="G3613" t="inlineStr">
        <is>
          <t>6</t>
        </is>
      </c>
      <c r="H3613" t="inlineStr">
        <is>
          <t>0</t>
        </is>
      </c>
      <c r="I3613" t="inlineStr">
        <is>
          <t>30², 120¹</t>
        </is>
      </c>
      <c r="J3613" t="n">
        <v>3</v>
      </c>
      <c r="K3613" t="inlineStr">
        <is>
          <t>2², 4², 8², 16²</t>
        </is>
      </c>
      <c r="L3613" t="inlineStr">
        <is>
          <t>40C⁴, 60D⁶</t>
        </is>
      </c>
      <c r="M3613" t="inlineStr"/>
      <c r="N3613" t="inlineStr">
        <is>
          <t>40C⁴, 5A⁰, 60D⁶, 30E³, 8D⁰, 10B¹, 20B², 4C⁰, 2B⁰, 1A⁰, 15A⁰</t>
        </is>
      </c>
      <c r="O3613" t="inlineStr"/>
    </row>
    <row r="3614">
      <c r="A3614">
        <f>HYPERLINK("https://mathstats.uncg.edu/sites/pauli/congruence/csg13.html#group120E13", "120E¹³")</f>
        <v/>
      </c>
      <c r="B3614" t="n">
        <v>13</v>
      </c>
      <c r="C3614" t="inlineStr"/>
      <c r="D3614" t="inlineStr">
        <is>
          <t>216</t>
        </is>
      </c>
      <c r="E3614" t="inlineStr">
        <is>
          <t>1</t>
        </is>
      </c>
      <c r="F3614" t="inlineStr">
        <is>
          <t>36</t>
        </is>
      </c>
      <c r="G3614" t="inlineStr">
        <is>
          <t>12</t>
        </is>
      </c>
      <c r="H3614" t="inlineStr">
        <is>
          <t>0</t>
        </is>
      </c>
      <c r="I3614" t="inlineStr">
        <is>
          <t>6², 24¹, 30², 120¹</t>
        </is>
      </c>
      <c r="J3614" t="n">
        <v>6</v>
      </c>
      <c r="K3614" t="inlineStr">
        <is>
          <t>1⁴, 2⁴, 4², 8²</t>
        </is>
      </c>
      <c r="L3614" t="inlineStr">
        <is>
          <t>40G³, 60A⁵</t>
        </is>
      </c>
      <c r="M3614" t="inlineStr"/>
      <c r="N3614" t="inlineStr">
        <is>
          <t>20E¹, 15B⁰, 12C⁰, 30E², 60A⁵, 4C⁰, 5B⁰, 10C⁰, 2B⁰, 3A⁰, 1A⁰, 6D⁰, 40G³</t>
        </is>
      </c>
      <c r="O3614" t="inlineStr"/>
    </row>
    <row r="3615">
      <c r="A3615">
        <f>HYPERLINK("https://mathstats.uncg.edu/sites/pauli/congruence/csg13.html#group120F13", "120F¹³")</f>
        <v/>
      </c>
      <c r="B3615" t="n">
        <v>13</v>
      </c>
      <c r="C3615" t="inlineStr"/>
      <c r="D3615" t="inlineStr">
        <is>
          <t>216</t>
        </is>
      </c>
      <c r="E3615" t="inlineStr">
        <is>
          <t>1</t>
        </is>
      </c>
      <c r="F3615" t="inlineStr">
        <is>
          <t>36</t>
        </is>
      </c>
      <c r="G3615" t="inlineStr">
        <is>
          <t>12</t>
        </is>
      </c>
      <c r="H3615" t="inlineStr">
        <is>
          <t>0</t>
        </is>
      </c>
      <c r="I3615" t="inlineStr">
        <is>
          <t>6², 24¹, 30², 120¹</t>
        </is>
      </c>
      <c r="J3615" t="n">
        <v>6</v>
      </c>
      <c r="K3615" t="inlineStr">
        <is>
          <t>1⁴, 2⁴, 4², 8²</t>
        </is>
      </c>
      <c r="L3615" t="inlineStr">
        <is>
          <t>24C¹, 40H³, 60A⁵</t>
        </is>
      </c>
      <c r="M3615" t="inlineStr"/>
      <c r="N3615" t="inlineStr">
        <is>
          <t>20E¹, 12C⁰, 40H³, 8D⁰, 4C⁰, 5B⁰, 2B⁰, 1A⁰, 15B⁰, 30E², 60A⁵, 24C¹, 10C⁰, 3A⁰, 6D⁰</t>
        </is>
      </c>
      <c r="O3615" t="inlineStr"/>
    </row>
    <row r="3616">
      <c r="A3616">
        <f>HYPERLINK("https://mathstats.uncg.edu/sites/pauli/congruence/csg13.html#group120G13", "120G¹³")</f>
        <v/>
      </c>
      <c r="B3616" t="n">
        <v>13</v>
      </c>
      <c r="C3616" t="inlineStr"/>
      <c r="D3616" t="inlineStr">
        <is>
          <t>216</t>
        </is>
      </c>
      <c r="E3616" t="inlineStr">
        <is>
          <t>1</t>
        </is>
      </c>
      <c r="F3616" t="inlineStr">
        <is>
          <t>54</t>
        </is>
      </c>
      <c r="G3616" t="inlineStr">
        <is>
          <t>16</t>
        </is>
      </c>
      <c r="H3616" t="inlineStr">
        <is>
          <t>0</t>
        </is>
      </c>
      <c r="I3616" t="inlineStr">
        <is>
          <t>12¹, 24¹, 60¹, 120¹</t>
        </is>
      </c>
      <c r="J3616" t="n">
        <v>4</v>
      </c>
      <c r="K3616" t="inlineStr">
        <is>
          <t>1⁶, 2⁶, 4³, 8³</t>
        </is>
      </c>
      <c r="L3616" t="inlineStr">
        <is>
          <t>60A⁵</t>
        </is>
      </c>
      <c r="M3616" t="inlineStr"/>
      <c r="N3616" t="inlineStr">
        <is>
          <t>20E¹, 15B⁰, 12C⁰, 30E², 60A⁵, 4C⁰, 5B⁰, 10C⁰, 2B⁰, 3A⁰, 1A⁰, 6D⁰</t>
        </is>
      </c>
      <c r="O3616" t="inlineStr"/>
    </row>
    <row r="3617">
      <c r="A3617">
        <f>HYPERLINK("https://mathstats.uncg.edu/sites/pauli/congruence/csg13.html#group120H13", "120H¹³")</f>
        <v/>
      </c>
      <c r="B3617" t="n">
        <v>13</v>
      </c>
      <c r="C3617" t="inlineStr"/>
      <c r="D3617" t="inlineStr">
        <is>
          <t>216</t>
        </is>
      </c>
      <c r="E3617" t="inlineStr">
        <is>
          <t>1</t>
        </is>
      </c>
      <c r="F3617" t="inlineStr">
        <is>
          <t>54</t>
        </is>
      </c>
      <c r="G3617" t="inlineStr">
        <is>
          <t>16</t>
        </is>
      </c>
      <c r="H3617" t="inlineStr">
        <is>
          <t>0</t>
        </is>
      </c>
      <c r="I3617" t="inlineStr">
        <is>
          <t>12¹, 24¹, 60¹, 120¹</t>
        </is>
      </c>
      <c r="J3617" t="n">
        <v>4</v>
      </c>
      <c r="K3617" t="inlineStr">
        <is>
          <t>1⁶, 2⁶, 4³, 8³</t>
        </is>
      </c>
      <c r="L3617" t="inlineStr">
        <is>
          <t>24D¹, 60A⁵</t>
        </is>
      </c>
      <c r="M3617" t="inlineStr"/>
      <c r="N3617" t="inlineStr">
        <is>
          <t>20E¹, 15B⁰, 12C⁰, 30E², 60A⁵, 4C⁰, 24D¹, 5B⁰, 10C⁰, 2B⁰, 3A⁰, 1A⁰, 6D⁰</t>
        </is>
      </c>
      <c r="O3617" t="inlineStr"/>
    </row>
    <row r="3618">
      <c r="A3618">
        <f>HYPERLINK("https://mathstats.uncg.edu/sites/pauli/congruence/csg13.html#group120I13", "120I¹³")</f>
        <v/>
      </c>
      <c r="B3618" t="n">
        <v>13</v>
      </c>
      <c r="C3618" t="inlineStr"/>
      <c r="D3618" t="inlineStr">
        <is>
          <t>216</t>
        </is>
      </c>
      <c r="E3618" t="inlineStr">
        <is>
          <t>1</t>
        </is>
      </c>
      <c r="F3618" t="inlineStr">
        <is>
          <t>108</t>
        </is>
      </c>
      <c r="G3618" t="inlineStr">
        <is>
          <t>12</t>
        </is>
      </c>
      <c r="H3618" t="inlineStr">
        <is>
          <t>0</t>
        </is>
      </c>
      <c r="I3618" t="inlineStr">
        <is>
          <t>6², 24¹, 30², 120¹</t>
        </is>
      </c>
      <c r="J3618" t="n">
        <v>6</v>
      </c>
      <c r="K3618" t="inlineStr">
        <is>
          <t>1⁴, 2⁸, 4⁶, 8⁴, 16²</t>
        </is>
      </c>
      <c r="L3618" t="inlineStr">
        <is>
          <t>60A⁵</t>
        </is>
      </c>
      <c r="M3618" t="inlineStr"/>
      <c r="N3618" t="inlineStr">
        <is>
          <t>20E¹, 15B⁰, 12C⁰, 30E², 60A⁵, 4C⁰, 5B⁰, 10C⁰, 2B⁰, 3A⁰, 1A⁰, 6D⁰</t>
        </is>
      </c>
      <c r="O3618" t="inlineStr"/>
    </row>
    <row r="3619">
      <c r="A3619">
        <f>HYPERLINK("https://mathstats.uncg.edu/sites/pauli/congruence/csg13.html#group120J13", "120J¹³")</f>
        <v/>
      </c>
      <c r="B3619" t="n">
        <v>13</v>
      </c>
      <c r="C3619" t="inlineStr"/>
      <c r="D3619" t="inlineStr">
        <is>
          <t>216</t>
        </is>
      </c>
      <c r="E3619" t="inlineStr">
        <is>
          <t>1</t>
        </is>
      </c>
      <c r="F3619" t="inlineStr">
        <is>
          <t>108</t>
        </is>
      </c>
      <c r="G3619" t="inlineStr">
        <is>
          <t>12</t>
        </is>
      </c>
      <c r="H3619" t="inlineStr">
        <is>
          <t>0</t>
        </is>
      </c>
      <c r="I3619" t="inlineStr">
        <is>
          <t>6², 24¹, 30², 120¹</t>
        </is>
      </c>
      <c r="J3619" t="n">
        <v>6</v>
      </c>
      <c r="K3619" t="inlineStr">
        <is>
          <t>1⁴, 2⁸, 4⁶, 8⁴, 16²</t>
        </is>
      </c>
      <c r="L3619" t="inlineStr">
        <is>
          <t>24E¹, 60A⁵</t>
        </is>
      </c>
      <c r="M3619" t="inlineStr"/>
      <c r="N3619" t="inlineStr">
        <is>
          <t>20E¹, 24E¹, 15B⁰, 12C⁰, 30E², 60A⁵, 4C⁰, 5B⁰, 10C⁰, 2B⁰, 3A⁰, 1A⁰, 6D⁰</t>
        </is>
      </c>
      <c r="O3619" t="inlineStr"/>
    </row>
    <row r="3620">
      <c r="A3620">
        <f>HYPERLINK("https://mathstats.uncg.edu/sites/pauli/congruence/csg13.html#group120K13", "120K¹³")</f>
        <v/>
      </c>
      <c r="B3620" t="n">
        <v>13</v>
      </c>
      <c r="C3620" t="inlineStr"/>
      <c r="D3620" t="inlineStr">
        <is>
          <t>216</t>
        </is>
      </c>
      <c r="E3620" t="inlineStr">
        <is>
          <t>2</t>
        </is>
      </c>
      <c r="F3620" t="inlineStr">
        <is>
          <t>18</t>
        </is>
      </c>
      <c r="G3620" t="inlineStr">
        <is>
          <t>12</t>
        </is>
      </c>
      <c r="H3620" t="inlineStr">
        <is>
          <t>0</t>
        </is>
      </c>
      <c r="I3620" t="inlineStr">
        <is>
          <t>6², 24¹, 30², 120¹</t>
        </is>
      </c>
      <c r="J3620" t="n">
        <v>6</v>
      </c>
      <c r="K3620" t="inlineStr">
        <is>
          <t>2⁶, 8³</t>
        </is>
      </c>
      <c r="L3620" t="inlineStr">
        <is>
          <t>40I³, 60C⁴</t>
        </is>
      </c>
      <c r="M3620" t="inlineStr"/>
      <c r="N3620" t="inlineStr">
        <is>
          <t>5B⁰, 60C⁴, 2B⁰, 1A⁰, 20A⁰, 15B⁰, 30E², 40I³, 10C⁰, 3A⁰, 6D⁰</t>
        </is>
      </c>
      <c r="O3620" t="inlineStr"/>
    </row>
    <row r="3621">
      <c r="A3621">
        <f>HYPERLINK("https://mathstats.uncg.edu/sites/pauli/congruence/csg13.html#group120L13", "120L¹³")</f>
        <v/>
      </c>
      <c r="B3621" t="n">
        <v>13</v>
      </c>
      <c r="C3621" t="inlineStr"/>
      <c r="D3621" t="inlineStr">
        <is>
          <t>216</t>
        </is>
      </c>
      <c r="E3621" t="inlineStr">
        <is>
          <t>2</t>
        </is>
      </c>
      <c r="F3621" t="inlineStr">
        <is>
          <t>54</t>
        </is>
      </c>
      <c r="G3621" t="inlineStr">
        <is>
          <t>12</t>
        </is>
      </c>
      <c r="H3621" t="inlineStr">
        <is>
          <t>0</t>
        </is>
      </c>
      <c r="I3621" t="inlineStr">
        <is>
          <t>6², 24¹, 30², 120¹</t>
        </is>
      </c>
      <c r="J3621" t="n">
        <v>6</v>
      </c>
      <c r="K3621" t="inlineStr">
        <is>
          <t>2⁶, 4⁶, 8³, 16³</t>
        </is>
      </c>
      <c r="L3621" t="inlineStr">
        <is>
          <t>60C⁴</t>
        </is>
      </c>
      <c r="M3621" t="inlineStr"/>
      <c r="N3621" t="inlineStr">
        <is>
          <t>20A⁰, 15B⁰, 30E², 5B⁰, 10C⁰, 60C⁴, 2B⁰, 3A⁰, 1A⁰, 6D⁰</t>
        </is>
      </c>
      <c r="O3621" t="inlineStr"/>
    </row>
    <row r="3622">
      <c r="A3622">
        <f>HYPERLINK("https://mathstats.uncg.edu/sites/pauli/congruence/csg13.html#group123A13", "123A¹³")</f>
        <v/>
      </c>
      <c r="B3622" t="n">
        <v>13</v>
      </c>
      <c r="C3622" t="inlineStr">
        <is>
          <t>Γ₀(123)</t>
        </is>
      </c>
      <c r="D3622" t="inlineStr">
        <is>
          <t>168</t>
        </is>
      </c>
      <c r="E3622" t="inlineStr">
        <is>
          <t>1</t>
        </is>
      </c>
      <c r="F3622" t="inlineStr">
        <is>
          <t>168</t>
        </is>
      </c>
      <c r="G3622" t="inlineStr">
        <is>
          <t>0</t>
        </is>
      </c>
      <c r="H3622" t="inlineStr">
        <is>
          <t>0</t>
        </is>
      </c>
      <c r="I3622" t="inlineStr">
        <is>
          <t>1¹, 3¹, 41¹, 123¹</t>
        </is>
      </c>
      <c r="J3622" t="n">
        <v>4</v>
      </c>
      <c r="K3622" t="inlineStr">
        <is>
          <t>1⁴, 2², 40², 80¹</t>
        </is>
      </c>
      <c r="L3622" t="inlineStr">
        <is>
          <t>3B⁰, 41A³</t>
        </is>
      </c>
      <c r="M3622" t="inlineStr"/>
      <c r="N3622" t="inlineStr">
        <is>
          <t>3B⁰, 1A⁰, 41A³</t>
        </is>
      </c>
      <c r="O3622" t="inlineStr"/>
    </row>
    <row r="3623">
      <c r="A3623">
        <f>HYPERLINK("https://mathstats.uncg.edu/sites/pauli/congruence/csg13.html#group126A13", "126A¹³")</f>
        <v/>
      </c>
      <c r="B3623" t="n">
        <v>13</v>
      </c>
      <c r="C3623" t="inlineStr"/>
      <c r="D3623" t="inlineStr">
        <is>
          <t>168</t>
        </is>
      </c>
      <c r="E3623" t="inlineStr">
        <is>
          <t>2</t>
        </is>
      </c>
      <c r="F3623" t="inlineStr">
        <is>
          <t>28</t>
        </is>
      </c>
      <c r="G3623" t="inlineStr">
        <is>
          <t>0</t>
        </is>
      </c>
      <c r="H3623" t="inlineStr">
        <is>
          <t>0</t>
        </is>
      </c>
      <c r="I3623" t="inlineStr">
        <is>
          <t>14³, 126¹</t>
        </is>
      </c>
      <c r="J3623" t="n">
        <v>4</v>
      </c>
      <c r="K3623" t="inlineStr">
        <is>
          <t>2², 4¹, 6⁴, 12²</t>
        </is>
      </c>
      <c r="L3623" t="inlineStr">
        <is>
          <t>42D⁴, 63B⁶</t>
        </is>
      </c>
      <c r="M3623" t="inlineStr"/>
      <c r="N3623" t="inlineStr">
        <is>
          <t>3B⁰, 14A⁰, 21B², 42D⁴, 63B⁶, 9B⁰, 1A⁰, 7A⁰</t>
        </is>
      </c>
      <c r="O3623" t="inlineStr"/>
    </row>
    <row r="3624">
      <c r="A3624">
        <f>HYPERLINK("https://mathstats.uncg.edu/sites/pauli/congruence/csg13.html#group126B13", "126B¹³")</f>
        <v/>
      </c>
      <c r="B3624" t="n">
        <v>13</v>
      </c>
      <c r="C3624" t="inlineStr"/>
      <c r="D3624" t="inlineStr">
        <is>
          <t>168</t>
        </is>
      </c>
      <c r="E3624" t="inlineStr">
        <is>
          <t>2</t>
        </is>
      </c>
      <c r="F3624" t="inlineStr">
        <is>
          <t>28</t>
        </is>
      </c>
      <c r="G3624" t="inlineStr">
        <is>
          <t>0</t>
        </is>
      </c>
      <c r="H3624" t="inlineStr">
        <is>
          <t>0</t>
        </is>
      </c>
      <c r="I3624" t="inlineStr">
        <is>
          <t>14³, 126¹</t>
        </is>
      </c>
      <c r="J3624" t="n">
        <v>4</v>
      </c>
      <c r="K3624" t="inlineStr">
        <is>
          <t>2², 4¹, 6⁴, 12²</t>
        </is>
      </c>
      <c r="L3624" t="inlineStr">
        <is>
          <t>18C¹, 42E⁴, 63B⁶</t>
        </is>
      </c>
      <c r="M3624" t="inlineStr"/>
      <c r="N3624" t="inlineStr">
        <is>
          <t>3B⁰, 2A⁰, 21B², 18C¹, 42E⁴, 6C⁰, 14A¹, 63B⁶, 9B⁰, 1A⁰, 7A⁰</t>
        </is>
      </c>
      <c r="O3624" t="inlineStr"/>
    </row>
    <row r="3625">
      <c r="A3625">
        <f>HYPERLINK("https://mathstats.uncg.edu/sites/pauli/congruence/csg13.html#group126C13", "126C¹³")</f>
        <v/>
      </c>
      <c r="B3625" t="n">
        <v>13</v>
      </c>
      <c r="C3625" t="inlineStr"/>
      <c r="D3625" t="inlineStr">
        <is>
          <t>168</t>
        </is>
      </c>
      <c r="E3625" t="inlineStr">
        <is>
          <t>2</t>
        </is>
      </c>
      <c r="F3625" t="inlineStr">
        <is>
          <t>56</t>
        </is>
      </c>
      <c r="G3625" t="inlineStr">
        <is>
          <t>0</t>
        </is>
      </c>
      <c r="H3625" t="inlineStr">
        <is>
          <t>3</t>
        </is>
      </c>
      <c r="I3625" t="inlineStr">
        <is>
          <t>42¹, 126¹</t>
        </is>
      </c>
      <c r="J3625" t="n">
        <v>2</v>
      </c>
      <c r="K3625" t="inlineStr">
        <is>
          <t>4⁴, 12⁸</t>
        </is>
      </c>
      <c r="L3625" t="inlineStr">
        <is>
          <t>18D¹, 42E⁴</t>
        </is>
      </c>
      <c r="M3625" t="inlineStr"/>
      <c r="N3625" t="inlineStr">
        <is>
          <t>3B⁰, 2A⁰, 21B², 42E⁴, 6C⁰, 14A¹, 1A⁰, 7A⁰, 18D¹</t>
        </is>
      </c>
      <c r="O3625" t="inlineStr"/>
    </row>
    <row r="3626">
      <c r="A3626">
        <f>HYPERLINK("https://mathstats.uncg.edu/sites/pauli/congruence/csg13.html#group126D13", "126D¹³")</f>
        <v/>
      </c>
      <c r="B3626" t="n">
        <v>13</v>
      </c>
      <c r="C3626" t="inlineStr"/>
      <c r="D3626" t="inlineStr">
        <is>
          <t>192</t>
        </is>
      </c>
      <c r="E3626" t="inlineStr">
        <is>
          <t>1</t>
        </is>
      </c>
      <c r="F3626" t="inlineStr">
        <is>
          <t>32</t>
        </is>
      </c>
      <c r="G3626" t="inlineStr">
        <is>
          <t>0</t>
        </is>
      </c>
      <c r="H3626" t="inlineStr">
        <is>
          <t>0</t>
        </is>
      </c>
      <c r="I3626" t="inlineStr">
        <is>
          <t>2³, 14³, 18¹, 126¹</t>
        </is>
      </c>
      <c r="J3626" t="n">
        <v>8</v>
      </c>
      <c r="K3626" t="inlineStr">
        <is>
          <t>1⁴, 2², 6², 12¹</t>
        </is>
      </c>
      <c r="L3626" t="inlineStr">
        <is>
          <t>42D³, 63A⁵</t>
        </is>
      </c>
      <c r="M3626" t="inlineStr"/>
      <c r="N3626" t="inlineStr">
        <is>
          <t>63A⁵, 3B⁰, 9B⁰, 42D³, 21B¹, 1A⁰, 7B⁰</t>
        </is>
      </c>
      <c r="O3626" t="inlineStr"/>
    </row>
    <row r="3627">
      <c r="A3627">
        <f>HYPERLINK("https://mathstats.uncg.edu/sites/pauli/congruence/csg13.html#group126E13", "126E¹³")</f>
        <v/>
      </c>
      <c r="B3627" t="n">
        <v>13</v>
      </c>
      <c r="C3627" t="inlineStr"/>
      <c r="D3627" t="inlineStr">
        <is>
          <t>192</t>
        </is>
      </c>
      <c r="E3627" t="inlineStr">
        <is>
          <t>1</t>
        </is>
      </c>
      <c r="F3627" t="inlineStr">
        <is>
          <t>32</t>
        </is>
      </c>
      <c r="G3627" t="inlineStr">
        <is>
          <t>0</t>
        </is>
      </c>
      <c r="H3627" t="inlineStr">
        <is>
          <t>0</t>
        </is>
      </c>
      <c r="I3627" t="inlineStr">
        <is>
          <t>2³, 14³, 18¹, 126¹</t>
        </is>
      </c>
      <c r="J3627" t="n">
        <v>8</v>
      </c>
      <c r="K3627" t="inlineStr">
        <is>
          <t>1⁴, 2², 6², 12¹</t>
        </is>
      </c>
      <c r="L3627" t="inlineStr">
        <is>
          <t>18C¹, 42E³, 63A⁵</t>
        </is>
      </c>
      <c r="M3627" t="inlineStr"/>
      <c r="N3627" t="inlineStr">
        <is>
          <t>63A⁵, 3B⁰, 2A⁰, 21B¹, 7B⁰, 18C¹, 42E³, 6C⁰, 14B⁰, 9B⁰, 1A⁰</t>
        </is>
      </c>
      <c r="O3627" t="inlineStr"/>
    </row>
    <row r="3628">
      <c r="A3628">
        <f>HYPERLINK("https://mathstats.uncg.edu/sites/pauli/congruence/csg13.html#group126F13", "126F¹³")</f>
        <v/>
      </c>
      <c r="B3628" t="n">
        <v>13</v>
      </c>
      <c r="C3628" t="inlineStr"/>
      <c r="D3628" t="inlineStr">
        <is>
          <t>192</t>
        </is>
      </c>
      <c r="E3628" t="inlineStr">
        <is>
          <t>1</t>
        </is>
      </c>
      <c r="F3628" t="inlineStr">
        <is>
          <t>64</t>
        </is>
      </c>
      <c r="G3628" t="inlineStr">
        <is>
          <t>0</t>
        </is>
      </c>
      <c r="H3628" t="inlineStr">
        <is>
          <t>6</t>
        </is>
      </c>
      <c r="I3628" t="inlineStr">
        <is>
          <t>6¹, 18¹, 42¹, 126¹</t>
        </is>
      </c>
      <c r="J3628" t="n">
        <v>4</v>
      </c>
      <c r="K3628" t="inlineStr">
        <is>
          <t>2⁸, 12⁴</t>
        </is>
      </c>
      <c r="L3628" t="inlineStr">
        <is>
          <t>18D¹, 42E³</t>
        </is>
      </c>
      <c r="M3628" t="inlineStr"/>
      <c r="N3628" t="inlineStr">
        <is>
          <t>3B⁰, 2A⁰, 21B¹, 7B⁰, 42E³, 6C⁰, 14B⁰, 1A⁰, 18D¹</t>
        </is>
      </c>
      <c r="O3628" t="inlineStr"/>
    </row>
    <row r="3629">
      <c r="A3629">
        <f>HYPERLINK("https://mathstats.uncg.edu/sites/pauli/congruence/csg13.html#group126G13", "126G¹³")</f>
        <v/>
      </c>
      <c r="B3629" t="n">
        <v>13</v>
      </c>
      <c r="C3629" t="inlineStr"/>
      <c r="D3629" t="inlineStr">
        <is>
          <t>192</t>
        </is>
      </c>
      <c r="E3629" t="inlineStr">
        <is>
          <t>2</t>
        </is>
      </c>
      <c r="F3629" t="inlineStr">
        <is>
          <t>32</t>
        </is>
      </c>
      <c r="G3629" t="inlineStr">
        <is>
          <t>0</t>
        </is>
      </c>
      <c r="H3629" t="inlineStr">
        <is>
          <t>6</t>
        </is>
      </c>
      <c r="I3629" t="inlineStr">
        <is>
          <t>6¹, 18¹, 42¹, 126¹</t>
        </is>
      </c>
      <c r="J3629" t="n">
        <v>4</v>
      </c>
      <c r="K3629" t="inlineStr">
        <is>
          <t>2⁸, 12⁴</t>
        </is>
      </c>
      <c r="L3629" t="inlineStr">
        <is>
          <t>42D³, 63D⁶</t>
        </is>
      </c>
      <c r="M3629" t="inlineStr"/>
      <c r="N3629" t="inlineStr">
        <is>
          <t>3B⁰, 42D³, 21B¹, 1A⁰, 7B⁰, 63D⁶</t>
        </is>
      </c>
      <c r="O3629" t="inlineStr"/>
    </row>
    <row r="3630">
      <c r="A3630">
        <f>HYPERLINK("https://mathstats.uncg.edu/sites/pauli/congruence/csg13.html#group126H13", "126H¹³")</f>
        <v/>
      </c>
      <c r="B3630" t="n">
        <v>13</v>
      </c>
      <c r="C3630" t="inlineStr"/>
      <c r="D3630" t="inlineStr">
        <is>
          <t>192</t>
        </is>
      </c>
      <c r="E3630" t="inlineStr">
        <is>
          <t>2</t>
        </is>
      </c>
      <c r="F3630" t="inlineStr">
        <is>
          <t>32</t>
        </is>
      </c>
      <c r="G3630" t="inlineStr">
        <is>
          <t>0</t>
        </is>
      </c>
      <c r="H3630" t="inlineStr">
        <is>
          <t>6</t>
        </is>
      </c>
      <c r="I3630" t="inlineStr">
        <is>
          <t>6¹, 18¹, 42¹, 126¹</t>
        </is>
      </c>
      <c r="J3630" t="n">
        <v>4</v>
      </c>
      <c r="K3630" t="inlineStr">
        <is>
          <t>2⁸, 12⁴</t>
        </is>
      </c>
      <c r="L3630" t="inlineStr">
        <is>
          <t>42E³, 63D⁶</t>
        </is>
      </c>
      <c r="M3630" t="inlineStr"/>
      <c r="N3630" t="inlineStr">
        <is>
          <t>3B⁰, 2A⁰, 21B¹, 7B⁰, 42E³, 6C⁰, 14B⁰, 1A⁰, 63D⁶</t>
        </is>
      </c>
      <c r="O3630" t="inlineStr"/>
    </row>
    <row r="3631">
      <c r="A3631">
        <f>HYPERLINK("https://mathstats.uncg.edu/sites/pauli/congruence/csg13.html#group126I13", "126I¹³")</f>
        <v/>
      </c>
      <c r="B3631" t="n">
        <v>13</v>
      </c>
      <c r="C3631" t="inlineStr"/>
      <c r="D3631" t="inlineStr">
        <is>
          <t>192</t>
        </is>
      </c>
      <c r="E3631" t="inlineStr">
        <is>
          <t>2</t>
        </is>
      </c>
      <c r="F3631" t="inlineStr">
        <is>
          <t>64</t>
        </is>
      </c>
      <c r="G3631" t="inlineStr">
        <is>
          <t>0</t>
        </is>
      </c>
      <c r="H3631" t="inlineStr">
        <is>
          <t>6</t>
        </is>
      </c>
      <c r="I3631" t="inlineStr">
        <is>
          <t>6¹, 18¹, 42¹, 126¹</t>
        </is>
      </c>
      <c r="J3631" t="n">
        <v>4</v>
      </c>
      <c r="K3631" t="inlineStr">
        <is>
          <t>2¹⁶, 12⁸</t>
        </is>
      </c>
      <c r="L3631" t="inlineStr">
        <is>
          <t>42E³</t>
        </is>
      </c>
      <c r="M3631" t="inlineStr"/>
      <c r="N3631" t="inlineStr">
        <is>
          <t>3B⁰, 2A⁰, 21B¹, 7B⁰, 42E³, 6C⁰, 14B⁰, 1A⁰</t>
        </is>
      </c>
      <c r="O3631" t="inlineStr"/>
    </row>
    <row r="3632">
      <c r="A3632">
        <f>HYPERLINK("https://mathstats.uncg.edu/sites/pauli/congruence/csg13.html#group126J13", "126J¹³")</f>
        <v/>
      </c>
      <c r="B3632" t="n">
        <v>13</v>
      </c>
      <c r="C3632" t="inlineStr"/>
      <c r="D3632" t="inlineStr">
        <is>
          <t>252</t>
        </is>
      </c>
      <c r="E3632" t="inlineStr">
        <is>
          <t>2</t>
        </is>
      </c>
      <c r="F3632" t="inlineStr">
        <is>
          <t>63</t>
        </is>
      </c>
      <c r="G3632" t="inlineStr">
        <is>
          <t>32</t>
        </is>
      </c>
      <c r="H3632" t="inlineStr">
        <is>
          <t>0</t>
        </is>
      </c>
      <c r="I3632" t="inlineStr">
        <is>
          <t>126²</t>
        </is>
      </c>
      <c r="J3632" t="n">
        <v>2</v>
      </c>
      <c r="K3632" t="inlineStr">
        <is>
          <t>4³, 12⁸, 36⁴</t>
        </is>
      </c>
      <c r="L3632" t="inlineStr">
        <is>
          <t>42F³, 126A⁵, 63F⁶, 126A⁶</t>
        </is>
      </c>
      <c r="M3632" t="inlineStr"/>
      <c r="N3632" t="inlineStr">
        <is>
          <t>14A⁰, 6B⁰, 42A¹, 63F⁶, 21D¹, 21A⁰, 126A⁵, 1A⁰, 18A⁰, 63A², 126A⁶, 9A⁰, 42B¹, 3A⁰, 42F³, 7A⁰</t>
        </is>
      </c>
      <c r="O3632" t="inlineStr"/>
    </row>
    <row r="3633">
      <c r="A3633">
        <f>HYPERLINK("https://mathstats.uncg.edu/sites/pauli/congruence/csg13.html#group126K13", "126K¹³")</f>
        <v/>
      </c>
      <c r="B3633" t="n">
        <v>13</v>
      </c>
      <c r="C3633" t="inlineStr"/>
      <c r="D3633" t="inlineStr">
        <is>
          <t>252</t>
        </is>
      </c>
      <c r="E3633" t="inlineStr">
        <is>
          <t>2</t>
        </is>
      </c>
      <c r="F3633" t="inlineStr">
        <is>
          <t>63</t>
        </is>
      </c>
      <c r="G3633" t="inlineStr">
        <is>
          <t>32</t>
        </is>
      </c>
      <c r="H3633" t="inlineStr">
        <is>
          <t>0</t>
        </is>
      </c>
      <c r="I3633" t="inlineStr">
        <is>
          <t>126²</t>
        </is>
      </c>
      <c r="J3633" t="n">
        <v>2</v>
      </c>
      <c r="K3633" t="inlineStr">
        <is>
          <t>4³, 12⁸, 36⁴</t>
        </is>
      </c>
      <c r="L3633" t="inlineStr">
        <is>
          <t>42F³, 126B⁵, 63G⁶, 126A⁶</t>
        </is>
      </c>
      <c r="M3633" t="inlineStr"/>
      <c r="N3633" t="inlineStr">
        <is>
          <t>14A⁰, 6B⁰, 42A¹, 21D¹, 21A⁰, 63G⁶, 1A⁰, 18A⁰, 63A², 126A⁶, 9A⁰, 126B⁵, 42B¹, 3A⁰, 42F³, 7A⁰</t>
        </is>
      </c>
      <c r="O3633" t="inlineStr"/>
    </row>
    <row r="3634">
      <c r="A3634">
        <f>HYPERLINK("https://mathstats.uncg.edu/sites/pauli/congruence/csg13.html#group128A13", "128A¹³")</f>
        <v/>
      </c>
      <c r="B3634" t="n">
        <v>13</v>
      </c>
      <c r="C3634" t="inlineStr"/>
      <c r="D3634" t="inlineStr">
        <is>
          <t>192</t>
        </is>
      </c>
      <c r="E3634" t="inlineStr">
        <is>
          <t>1</t>
        </is>
      </c>
      <c r="F3634" t="inlineStr">
        <is>
          <t>24</t>
        </is>
      </c>
      <c r="G3634" t="inlineStr">
        <is>
          <t>0</t>
        </is>
      </c>
      <c r="H3634" t="inlineStr">
        <is>
          <t>0</t>
        </is>
      </c>
      <c r="I3634" t="inlineStr">
        <is>
          <t>4⁴, 8², 32¹, 128¹</t>
        </is>
      </c>
      <c r="J3634" t="n">
        <v>8</v>
      </c>
      <c r="K3634" t="inlineStr">
        <is>
          <t>1⁴, 2², 4², 8¹</t>
        </is>
      </c>
      <c r="L3634" t="inlineStr">
        <is>
          <t>64A⁵</t>
        </is>
      </c>
      <c r="M3634" t="inlineStr"/>
      <c r="N3634" t="inlineStr">
        <is>
          <t>8C⁰, 2B⁰, 32A¹, 4B⁰, 1A⁰, 16C⁰, 64A⁵</t>
        </is>
      </c>
      <c r="O3634" t="inlineStr"/>
    </row>
    <row r="3635">
      <c r="A3635">
        <f>HYPERLINK("https://mathstats.uncg.edu/sites/pauli/congruence/csg13.html#group128B13", "128B¹³")</f>
        <v/>
      </c>
      <c r="B3635" t="n">
        <v>13</v>
      </c>
      <c r="C3635" t="inlineStr"/>
      <c r="D3635" t="inlineStr">
        <is>
          <t>192</t>
        </is>
      </c>
      <c r="E3635" t="inlineStr">
        <is>
          <t>1</t>
        </is>
      </c>
      <c r="F3635" t="inlineStr">
        <is>
          <t>24</t>
        </is>
      </c>
      <c r="G3635" t="inlineStr">
        <is>
          <t>0</t>
        </is>
      </c>
      <c r="H3635" t="inlineStr">
        <is>
          <t>0</t>
        </is>
      </c>
      <c r="I3635" t="inlineStr">
        <is>
          <t>4⁴, 8², 32¹, 128¹</t>
        </is>
      </c>
      <c r="J3635" t="n">
        <v>8</v>
      </c>
      <c r="K3635" t="inlineStr">
        <is>
          <t>1⁴, 2², 4², 8¹</t>
        </is>
      </c>
      <c r="L3635" t="inlineStr">
        <is>
          <t>64A⁵</t>
        </is>
      </c>
      <c r="M3635" t="inlineStr"/>
      <c r="N3635" t="inlineStr">
        <is>
          <t>8C⁰, 2B⁰, 32A¹, 4B⁰, 1A⁰, 16C⁰, 64A⁵</t>
        </is>
      </c>
      <c r="O3635" t="inlineStr"/>
    </row>
    <row r="3636">
      <c r="A3636">
        <f>HYPERLINK("https://mathstats.uncg.edu/sites/pauli/congruence/csg13.html#group128C13", "128C¹³")</f>
        <v/>
      </c>
      <c r="B3636" t="n">
        <v>13</v>
      </c>
      <c r="C3636" t="inlineStr"/>
      <c r="D3636" t="inlineStr">
        <is>
          <t>192</t>
        </is>
      </c>
      <c r="E3636" t="inlineStr">
        <is>
          <t>1</t>
        </is>
      </c>
      <c r="F3636" t="inlineStr">
        <is>
          <t>24</t>
        </is>
      </c>
      <c r="G3636" t="inlineStr">
        <is>
          <t>0</t>
        </is>
      </c>
      <c r="H3636" t="inlineStr">
        <is>
          <t>0</t>
        </is>
      </c>
      <c r="I3636" t="inlineStr">
        <is>
          <t>4⁴, 8², 32¹, 128¹</t>
        </is>
      </c>
      <c r="J3636" t="n">
        <v>8</v>
      </c>
      <c r="K3636" t="inlineStr">
        <is>
          <t>1⁴, 2², 4², 8¹</t>
        </is>
      </c>
      <c r="L3636" t="inlineStr">
        <is>
          <t>64B⁵</t>
        </is>
      </c>
      <c r="M3636" t="inlineStr"/>
      <c r="N3636" t="inlineStr">
        <is>
          <t>8C⁰, 2B⁰, 32A¹, 4B⁰, 1A⁰, 16C⁰, 64B⁵</t>
        </is>
      </c>
      <c r="O3636" t="inlineStr"/>
    </row>
    <row r="3637">
      <c r="A3637">
        <f>HYPERLINK("https://mathstats.uncg.edu/sites/pauli/congruence/csg13.html#group128D13", "128D¹³")</f>
        <v/>
      </c>
      <c r="B3637" t="n">
        <v>13</v>
      </c>
      <c r="C3637" t="inlineStr"/>
      <c r="D3637" t="inlineStr">
        <is>
          <t>192</t>
        </is>
      </c>
      <c r="E3637" t="inlineStr">
        <is>
          <t>1</t>
        </is>
      </c>
      <c r="F3637" t="inlineStr">
        <is>
          <t>24</t>
        </is>
      </c>
      <c r="G3637" t="inlineStr">
        <is>
          <t>0</t>
        </is>
      </c>
      <c r="H3637" t="inlineStr">
        <is>
          <t>0</t>
        </is>
      </c>
      <c r="I3637" t="inlineStr">
        <is>
          <t>4⁴, 8², 32¹, 128¹</t>
        </is>
      </c>
      <c r="J3637" t="n">
        <v>8</v>
      </c>
      <c r="K3637" t="inlineStr">
        <is>
          <t>1⁴, 2², 4², 8¹</t>
        </is>
      </c>
      <c r="L3637" t="inlineStr">
        <is>
          <t>64B⁵</t>
        </is>
      </c>
      <c r="M3637" t="inlineStr"/>
      <c r="N3637" t="inlineStr">
        <is>
          <t>8C⁰, 2B⁰, 32A¹, 4B⁰, 1A⁰, 16C⁰, 64B⁵</t>
        </is>
      </c>
      <c r="O3637" t="inlineStr"/>
    </row>
    <row r="3638">
      <c r="A3638">
        <f>HYPERLINK("https://mathstats.uncg.edu/sites/pauli/congruence/csg13.html#group128E13", "128E¹³")</f>
        <v/>
      </c>
      <c r="B3638" t="n">
        <v>13</v>
      </c>
      <c r="C3638" t="inlineStr"/>
      <c r="D3638" t="inlineStr">
        <is>
          <t>384</t>
        </is>
      </c>
      <c r="E3638" t="inlineStr">
        <is>
          <t>1</t>
        </is>
      </c>
      <c r="F3638" t="inlineStr">
        <is>
          <t>12</t>
        </is>
      </c>
      <c r="G3638" t="inlineStr">
        <is>
          <t>0</t>
        </is>
      </c>
      <c r="H3638" t="inlineStr">
        <is>
          <t>0</t>
        </is>
      </c>
      <c r="I3638" t="inlineStr">
        <is>
          <t>1³², 8⁴, 32², 128²</t>
        </is>
      </c>
      <c r="J3638" t="n">
        <v>40</v>
      </c>
      <c r="K3638" t="inlineStr">
        <is>
          <t>1⁴, 2², 4¹</t>
        </is>
      </c>
      <c r="L3638" t="inlineStr">
        <is>
          <t>64C⁵, 128A⁷</t>
        </is>
      </c>
      <c r="M3638" t="inlineStr"/>
      <c r="N3638" t="inlineStr">
        <is>
          <t>32A¹, 32E¹, 16C⁰, 16D⁰, 32A⁰, 64C⁵, 128A⁷, 64B³, 8C⁰, 2B⁰, 8I⁰, 64A³, 4B⁰, 1A⁰, 16H⁰</t>
        </is>
      </c>
      <c r="O3638" t="inlineStr"/>
    </row>
    <row r="3639">
      <c r="A3639">
        <f>HYPERLINK("https://mathstats.uncg.edu/sites/pauli/congruence/csg13.html#group129A13", "129A¹³")</f>
        <v/>
      </c>
      <c r="B3639" t="n">
        <v>13</v>
      </c>
      <c r="C3639" t="inlineStr">
        <is>
          <t>Γ₀(129)</t>
        </is>
      </c>
      <c r="D3639" t="inlineStr">
        <is>
          <t>176</t>
        </is>
      </c>
      <c r="E3639" t="inlineStr">
        <is>
          <t>1</t>
        </is>
      </c>
      <c r="F3639" t="inlineStr">
        <is>
          <t>176</t>
        </is>
      </c>
      <c r="G3639" t="inlineStr">
        <is>
          <t>0</t>
        </is>
      </c>
      <c r="H3639" t="inlineStr">
        <is>
          <t>2</t>
        </is>
      </c>
      <c r="I3639" t="inlineStr">
        <is>
          <t>1¹, 3¹, 43¹, 129¹</t>
        </is>
      </c>
      <c r="J3639" t="n">
        <v>4</v>
      </c>
      <c r="K3639" t="inlineStr">
        <is>
          <t>1⁴, 2², 42², 84¹</t>
        </is>
      </c>
      <c r="L3639" t="inlineStr">
        <is>
          <t>3B⁰, 43A³</t>
        </is>
      </c>
      <c r="M3639" t="inlineStr"/>
      <c r="N3639" t="inlineStr">
        <is>
          <t>3B⁰, 1A⁰, 43A³</t>
        </is>
      </c>
      <c r="O3639" t="inlineStr"/>
    </row>
    <row r="3640">
      <c r="A3640">
        <f>HYPERLINK("https://mathstats.uncg.edu/sites/pauli/congruence/csg13.html#group130A13", "130A¹³")</f>
        <v/>
      </c>
      <c r="B3640" t="n">
        <v>13</v>
      </c>
      <c r="C3640" t="inlineStr"/>
      <c r="D3640" t="inlineStr">
        <is>
          <t>168</t>
        </is>
      </c>
      <c r="E3640" t="inlineStr">
        <is>
          <t>1</t>
        </is>
      </c>
      <c r="F3640" t="inlineStr">
        <is>
          <t>84</t>
        </is>
      </c>
      <c r="G3640" t="inlineStr">
        <is>
          <t>0</t>
        </is>
      </c>
      <c r="H3640" t="inlineStr">
        <is>
          <t>0</t>
        </is>
      </c>
      <c r="I3640" t="inlineStr">
        <is>
          <t>2¹, 10¹, 26¹, 130¹</t>
        </is>
      </c>
      <c r="J3640" t="n">
        <v>4</v>
      </c>
      <c r="K3640" t="inlineStr">
        <is>
          <t>1⁴, 4², 12², 48¹</t>
        </is>
      </c>
      <c r="L3640" t="inlineStr">
        <is>
          <t>65A⁵</t>
        </is>
      </c>
      <c r="M3640" t="inlineStr"/>
      <c r="N3640" t="inlineStr">
        <is>
          <t>5B⁰, 13A⁰, 1A⁰, 65A⁵</t>
        </is>
      </c>
      <c r="O3640" t="inlineStr"/>
    </row>
    <row r="3641">
      <c r="A3641">
        <f>HYPERLINK("https://mathstats.uncg.edu/sites/pauli/congruence/csg13.html#group130B13", "130B¹³")</f>
        <v/>
      </c>
      <c r="B3641" t="n">
        <v>13</v>
      </c>
      <c r="C3641" t="inlineStr"/>
      <c r="D3641" t="inlineStr">
        <is>
          <t>168</t>
        </is>
      </c>
      <c r="E3641" t="inlineStr">
        <is>
          <t>1</t>
        </is>
      </c>
      <c r="F3641" t="inlineStr">
        <is>
          <t>84</t>
        </is>
      </c>
      <c r="G3641" t="inlineStr">
        <is>
          <t>0</t>
        </is>
      </c>
      <c r="H3641" t="inlineStr">
        <is>
          <t>0</t>
        </is>
      </c>
      <c r="I3641" t="inlineStr">
        <is>
          <t>2¹, 10¹, 26¹, 130¹</t>
        </is>
      </c>
      <c r="J3641" t="n">
        <v>4</v>
      </c>
      <c r="K3641" t="inlineStr">
        <is>
          <t>1⁴, 4², 12², 48¹</t>
        </is>
      </c>
      <c r="L3641" t="inlineStr">
        <is>
          <t>10A¹, 26A¹, 65A⁵</t>
        </is>
      </c>
      <c r="M3641" t="inlineStr"/>
      <c r="N3641" t="inlineStr">
        <is>
          <t>2A⁰, 26A¹, 5B⁰, 13A⁰, 10A¹, 65A⁵, 1A⁰</t>
        </is>
      </c>
      <c r="O3641" t="inlineStr"/>
    </row>
    <row r="3642">
      <c r="A3642">
        <f>HYPERLINK("https://mathstats.uncg.edu/sites/pauli/congruence/csg13.html#group132A13", "132A¹³")</f>
        <v/>
      </c>
      <c r="B3642" t="n">
        <v>13</v>
      </c>
      <c r="C3642" t="inlineStr"/>
      <c r="D3642" t="inlineStr">
        <is>
          <t>198</t>
        </is>
      </c>
      <c r="E3642" t="inlineStr">
        <is>
          <t>2</t>
        </is>
      </c>
      <c r="F3642" t="inlineStr">
        <is>
          <t>99</t>
        </is>
      </c>
      <c r="G3642" t="inlineStr">
        <is>
          <t>12</t>
        </is>
      </c>
      <c r="H3642" t="inlineStr">
        <is>
          <t>0</t>
        </is>
      </c>
      <c r="I3642" t="inlineStr">
        <is>
          <t>33², 132¹</t>
        </is>
      </c>
      <c r="J3642" t="n">
        <v>3</v>
      </c>
      <c r="K3642" t="inlineStr">
        <is>
          <t>2³, 4³, 10⁶, 20⁶</t>
        </is>
      </c>
      <c r="L3642" t="inlineStr">
        <is>
          <t>12D⁰, 66F⁶</t>
        </is>
      </c>
      <c r="M3642" t="inlineStr"/>
      <c r="N3642" t="inlineStr">
        <is>
          <t>11A⁰, 33A¹, 2B⁰, 12D⁰, 66F⁶, 22B², 3A⁰, 1A⁰, 6D⁰</t>
        </is>
      </c>
      <c r="O3642" t="inlineStr"/>
    </row>
    <row r="3643">
      <c r="A3643">
        <f>HYPERLINK("https://mathstats.uncg.edu/sites/pauli/congruence/csg13.html#group135A13", "135A¹³")</f>
        <v/>
      </c>
      <c r="B3643" t="n">
        <v>13</v>
      </c>
      <c r="C3643" t="inlineStr"/>
      <c r="D3643" t="inlineStr">
        <is>
          <t>180</t>
        </is>
      </c>
      <c r="E3643" t="inlineStr">
        <is>
          <t>1</t>
        </is>
      </c>
      <c r="F3643" t="inlineStr">
        <is>
          <t>60</t>
        </is>
      </c>
      <c r="G3643" t="inlineStr">
        <is>
          <t>0</t>
        </is>
      </c>
      <c r="H3643" t="inlineStr">
        <is>
          <t>0</t>
        </is>
      </c>
      <c r="I3643" t="inlineStr">
        <is>
          <t>5³, 15², 135¹</t>
        </is>
      </c>
      <c r="J3643" t="n">
        <v>6</v>
      </c>
      <c r="K3643" t="inlineStr">
        <is>
          <t>1², 2², 4², 6¹, 8², 24¹</t>
        </is>
      </c>
      <c r="L3643" t="inlineStr">
        <is>
          <t>27A¹, 45A⁴</t>
        </is>
      </c>
      <c r="M3643" t="inlineStr"/>
      <c r="N3643" t="inlineStr">
        <is>
          <t>3B⁰, 9B⁰, 15B¹, 5A⁰, 27A¹, 45A⁴, 1A⁰</t>
        </is>
      </c>
      <c r="O3643" t="inlineStr"/>
    </row>
    <row r="3644">
      <c r="A3644">
        <f>HYPERLINK("https://mathstats.uncg.edu/sites/pauli/congruence/csg13.html#group135B13", "135B¹³")</f>
        <v/>
      </c>
      <c r="B3644" t="n">
        <v>13</v>
      </c>
      <c r="C3644" t="inlineStr"/>
      <c r="D3644" t="inlineStr">
        <is>
          <t>180</t>
        </is>
      </c>
      <c r="E3644" t="inlineStr">
        <is>
          <t>1</t>
        </is>
      </c>
      <c r="F3644" t="inlineStr">
        <is>
          <t>60</t>
        </is>
      </c>
      <c r="G3644" t="inlineStr">
        <is>
          <t>0</t>
        </is>
      </c>
      <c r="H3644" t="inlineStr">
        <is>
          <t>6</t>
        </is>
      </c>
      <c r="I3644" t="inlineStr">
        <is>
          <t>45¹, 135¹</t>
        </is>
      </c>
      <c r="J3644" t="n">
        <v>2</v>
      </c>
      <c r="K3644" t="inlineStr">
        <is>
          <t>1², 2², 4², 6¹, 8², 24¹</t>
        </is>
      </c>
      <c r="L3644" t="inlineStr">
        <is>
          <t>27B², 45B³</t>
        </is>
      </c>
      <c r="M3644" t="inlineStr"/>
      <c r="N3644" t="inlineStr">
        <is>
          <t>3B⁰, 5A⁰, 45B³, 27B², 15B¹, 9C⁰, 1A⁰</t>
        </is>
      </c>
      <c r="O3644" t="inlineStr"/>
    </row>
    <row r="3645">
      <c r="A3645">
        <f>HYPERLINK("https://mathstats.uncg.edu/sites/pauli/congruence/csg13.html#group135C13", "135C¹³")</f>
        <v/>
      </c>
      <c r="B3645" t="n">
        <v>13</v>
      </c>
      <c r="C3645" t="inlineStr"/>
      <c r="D3645" t="inlineStr">
        <is>
          <t>180</t>
        </is>
      </c>
      <c r="E3645" t="inlineStr">
        <is>
          <t>2</t>
        </is>
      </c>
      <c r="F3645" t="inlineStr">
        <is>
          <t>60</t>
        </is>
      </c>
      <c r="G3645" t="inlineStr">
        <is>
          <t>0</t>
        </is>
      </c>
      <c r="H3645" t="inlineStr">
        <is>
          <t>0</t>
        </is>
      </c>
      <c r="I3645" t="inlineStr">
        <is>
          <t>5³, 15², 135¹</t>
        </is>
      </c>
      <c r="J3645" t="n">
        <v>6</v>
      </c>
      <c r="K3645" t="inlineStr">
        <is>
          <t>2², 4², 8⁶, 12¹, 24²</t>
        </is>
      </c>
      <c r="L3645" t="inlineStr">
        <is>
          <t>45A⁴</t>
        </is>
      </c>
      <c r="M3645" t="inlineStr"/>
      <c r="N3645" t="inlineStr">
        <is>
          <t>3B⁰, 9B⁰, 15B¹, 5A⁰, 45A⁴, 1A⁰</t>
        </is>
      </c>
      <c r="O3645" t="inlineStr"/>
    </row>
    <row r="3646">
      <c r="A3646">
        <f>HYPERLINK("https://mathstats.uncg.edu/sites/pauli/congruence/csg13.html#group135D13", "135D¹³")</f>
        <v/>
      </c>
      <c r="B3646" t="n">
        <v>13</v>
      </c>
      <c r="C3646" t="inlineStr"/>
      <c r="D3646" t="inlineStr">
        <is>
          <t>180</t>
        </is>
      </c>
      <c r="E3646" t="inlineStr">
        <is>
          <t>2</t>
        </is>
      </c>
      <c r="F3646" t="inlineStr">
        <is>
          <t>60</t>
        </is>
      </c>
      <c r="G3646" t="inlineStr">
        <is>
          <t>0</t>
        </is>
      </c>
      <c r="H3646" t="inlineStr">
        <is>
          <t>6</t>
        </is>
      </c>
      <c r="I3646" t="inlineStr">
        <is>
          <t>45¹, 135¹</t>
        </is>
      </c>
      <c r="J3646" t="n">
        <v>2</v>
      </c>
      <c r="K3646" t="inlineStr">
        <is>
          <t>2², 4², 8⁶, 12¹, 24²</t>
        </is>
      </c>
      <c r="L3646" t="inlineStr">
        <is>
          <t>45B³</t>
        </is>
      </c>
      <c r="M3646" t="inlineStr"/>
      <c r="N3646" t="inlineStr">
        <is>
          <t>15B¹, 3B⁰, 5A⁰, 45B³, 9C⁰, 1A⁰</t>
        </is>
      </c>
      <c r="O3646" t="inlineStr"/>
    </row>
    <row r="3647">
      <c r="A3647">
        <f>HYPERLINK("https://mathstats.uncg.edu/sites/pauli/congruence/csg13.html#group135E13", "135E¹³")</f>
        <v/>
      </c>
      <c r="B3647" t="n">
        <v>13</v>
      </c>
      <c r="C3647" t="inlineStr">
        <is>
          <t>Γ₀(135)</t>
        </is>
      </c>
      <c r="D3647" t="inlineStr">
        <is>
          <t>216</t>
        </is>
      </c>
      <c r="E3647" t="inlineStr">
        <is>
          <t>1</t>
        </is>
      </c>
      <c r="F3647" t="inlineStr">
        <is>
          <t>72</t>
        </is>
      </c>
      <c r="G3647" t="inlineStr">
        <is>
          <t>0</t>
        </is>
      </c>
      <c r="H3647" t="inlineStr">
        <is>
          <t>0</t>
        </is>
      </c>
      <c r="I3647" t="inlineStr">
        <is>
          <t>1³, 3², 5³, 15², 27¹, 135¹</t>
        </is>
      </c>
      <c r="J3647" t="n">
        <v>12</v>
      </c>
      <c r="K3647" t="inlineStr">
        <is>
          <t>1⁴, 2⁴, 4², 6², 8², 24¹</t>
        </is>
      </c>
      <c r="L3647" t="inlineStr">
        <is>
          <t>27A¹, 45D³</t>
        </is>
      </c>
      <c r="M3647" t="inlineStr"/>
      <c r="N3647" t="inlineStr">
        <is>
          <t>5B⁰, 3B⁰, 45D³, 9B⁰, 15C¹, 27A¹, 1A⁰</t>
        </is>
      </c>
      <c r="O3647" t="inlineStr"/>
    </row>
    <row r="3648">
      <c r="A3648">
        <f>HYPERLINK("https://mathstats.uncg.edu/sites/pauli/congruence/csg13.html#group143A13", "143A¹³")</f>
        <v/>
      </c>
      <c r="B3648" t="n">
        <v>13</v>
      </c>
      <c r="C3648" t="inlineStr">
        <is>
          <t>Γ₀(143)</t>
        </is>
      </c>
      <c r="D3648" t="inlineStr">
        <is>
          <t>168</t>
        </is>
      </c>
      <c r="E3648" t="inlineStr">
        <is>
          <t>1</t>
        </is>
      </c>
      <c r="F3648" t="inlineStr">
        <is>
          <t>168</t>
        </is>
      </c>
      <c r="G3648" t="inlineStr">
        <is>
          <t>0</t>
        </is>
      </c>
      <c r="H3648" t="inlineStr">
        <is>
          <t>0</t>
        </is>
      </c>
      <c r="I3648" t="inlineStr">
        <is>
          <t>1¹, 11¹, 13¹, 143¹</t>
        </is>
      </c>
      <c r="J3648" t="n">
        <v>4</v>
      </c>
      <c r="K3648" t="inlineStr">
        <is>
          <t>1⁴, 10², 12², 120¹</t>
        </is>
      </c>
      <c r="L3648" t="inlineStr">
        <is>
          <t>13A⁰, 11A¹</t>
        </is>
      </c>
      <c r="M3648" t="inlineStr"/>
      <c r="N3648" t="inlineStr">
        <is>
          <t>13A⁰, 1A⁰, 11A¹</t>
        </is>
      </c>
      <c r="O3648" t="inlineStr"/>
    </row>
    <row r="3649">
      <c r="A3649">
        <f>HYPERLINK("https://mathstats.uncg.edu/sites/pauli/congruence/csg13.html#group144A13", "144A¹³")</f>
        <v/>
      </c>
      <c r="B3649" t="n">
        <v>13</v>
      </c>
      <c r="C3649" t="inlineStr"/>
      <c r="D3649" t="inlineStr">
        <is>
          <t>216</t>
        </is>
      </c>
      <c r="E3649" t="inlineStr">
        <is>
          <t>1</t>
        </is>
      </c>
      <c r="F3649" t="inlineStr">
        <is>
          <t>54</t>
        </is>
      </c>
      <c r="G3649" t="inlineStr">
        <is>
          <t>20</t>
        </is>
      </c>
      <c r="H3649" t="inlineStr">
        <is>
          <t>0</t>
        </is>
      </c>
      <c r="I3649" t="inlineStr">
        <is>
          <t>72¹, 144¹</t>
        </is>
      </c>
      <c r="J3649" t="n">
        <v>2</v>
      </c>
      <c r="K3649" t="inlineStr">
        <is>
          <t>1², 2⁴, 4², 6², 12²</t>
        </is>
      </c>
      <c r="L3649" t="inlineStr">
        <is>
          <t>48C³, 72E⁴</t>
        </is>
      </c>
      <c r="M3649" t="inlineStr"/>
      <c r="N3649" t="inlineStr">
        <is>
          <t>48C³, 12C⁰, 24A⁰, 72E⁴, 9A⁰, 4C⁰, 36B², 8B⁰, 16B¹, 2B⁰, 18E¹, 3A⁰, 1A⁰, 6D⁰</t>
        </is>
      </c>
      <c r="O3649" t="inlineStr"/>
    </row>
    <row r="3650">
      <c r="A3650">
        <f>HYPERLINK("https://mathstats.uncg.edu/sites/pauli/congruence/csg13.html#group144B13", "144B¹³")</f>
        <v/>
      </c>
      <c r="B3650" t="n">
        <v>13</v>
      </c>
      <c r="C3650" t="inlineStr"/>
      <c r="D3650" t="inlineStr">
        <is>
          <t>216</t>
        </is>
      </c>
      <c r="E3650" t="inlineStr">
        <is>
          <t>1</t>
        </is>
      </c>
      <c r="F3650" t="inlineStr">
        <is>
          <t>54</t>
        </is>
      </c>
      <c r="G3650" t="inlineStr">
        <is>
          <t>20</t>
        </is>
      </c>
      <c r="H3650" t="inlineStr">
        <is>
          <t>0</t>
        </is>
      </c>
      <c r="I3650" t="inlineStr">
        <is>
          <t>72¹, 144¹</t>
        </is>
      </c>
      <c r="J3650" t="n">
        <v>2</v>
      </c>
      <c r="K3650" t="inlineStr">
        <is>
          <t>1², 2⁴, 4², 6², 12²</t>
        </is>
      </c>
      <c r="L3650" t="inlineStr">
        <is>
          <t>48F³, 72E⁴</t>
        </is>
      </c>
      <c r="M3650" t="inlineStr"/>
      <c r="N3650" t="inlineStr">
        <is>
          <t>12C⁰, 24A⁰, 72E⁴, 9A⁰, 36B², 4C⁰, 8B⁰, 18E¹, 2B⁰, 48F³, 3A⁰, 1A⁰, 6D⁰</t>
        </is>
      </c>
      <c r="O3650" t="inlineStr"/>
    </row>
    <row r="3651">
      <c r="A3651">
        <f>HYPERLINK("https://mathstats.uncg.edu/sites/pauli/congruence/csg13.html#group144C13", "144C¹³")</f>
        <v/>
      </c>
      <c r="B3651" t="n">
        <v>13</v>
      </c>
      <c r="C3651" t="inlineStr"/>
      <c r="D3651" t="inlineStr">
        <is>
          <t>216</t>
        </is>
      </c>
      <c r="E3651" t="inlineStr">
        <is>
          <t>1</t>
        </is>
      </c>
      <c r="F3651" t="inlineStr">
        <is>
          <t>108</t>
        </is>
      </c>
      <c r="G3651" t="inlineStr">
        <is>
          <t>20</t>
        </is>
      </c>
      <c r="H3651" t="inlineStr">
        <is>
          <t>0</t>
        </is>
      </c>
      <c r="I3651" t="inlineStr">
        <is>
          <t>72¹, 144¹</t>
        </is>
      </c>
      <c r="J3651" t="n">
        <v>2</v>
      </c>
      <c r="K3651" t="inlineStr">
        <is>
          <t>1⁴, 2⁶, 4³, 6⁴, 8¹, 12², 24¹</t>
        </is>
      </c>
      <c r="L3651" t="inlineStr">
        <is>
          <t>48E³, 72E⁴</t>
        </is>
      </c>
      <c r="M3651" t="inlineStr"/>
      <c r="N3651" t="inlineStr">
        <is>
          <t>16D¹, 12C⁰, 48E³, 24A⁰, 72E⁴, 9A⁰, 4C⁰, 36B², 8B⁰, 2B⁰, 18E¹, 3A⁰, 1A⁰, 6D⁰</t>
        </is>
      </c>
      <c r="O3651" t="inlineStr"/>
    </row>
    <row r="3652">
      <c r="A3652">
        <f>HYPERLINK("https://mathstats.uncg.edu/sites/pauli/congruence/csg13.html#group144D13", "144D¹³")</f>
        <v/>
      </c>
      <c r="B3652" t="n">
        <v>13</v>
      </c>
      <c r="C3652" t="inlineStr"/>
      <c r="D3652" t="inlineStr">
        <is>
          <t>216</t>
        </is>
      </c>
      <c r="E3652" t="inlineStr">
        <is>
          <t>1</t>
        </is>
      </c>
      <c r="F3652" t="inlineStr">
        <is>
          <t>108</t>
        </is>
      </c>
      <c r="G3652" t="inlineStr">
        <is>
          <t>20</t>
        </is>
      </c>
      <c r="H3652" t="inlineStr">
        <is>
          <t>0</t>
        </is>
      </c>
      <c r="I3652" t="inlineStr">
        <is>
          <t>72¹, 144¹</t>
        </is>
      </c>
      <c r="J3652" t="n">
        <v>2</v>
      </c>
      <c r="K3652" t="inlineStr">
        <is>
          <t>1⁴, 2⁶, 4³, 6⁴, 8¹, 12², 24¹</t>
        </is>
      </c>
      <c r="L3652" t="inlineStr">
        <is>
          <t>48H³, 72E⁴</t>
        </is>
      </c>
      <c r="M3652" t="inlineStr"/>
      <c r="N3652" t="inlineStr">
        <is>
          <t>12C⁰, 24A⁰, 72E⁴, 9A⁰, 4C⁰, 36B², 8B⁰, 2B⁰, 18E¹, 3A⁰, 1A⁰, 48H³, 6D⁰</t>
        </is>
      </c>
      <c r="O3652" t="inlineStr"/>
    </row>
    <row r="3653">
      <c r="A3653">
        <f>HYPERLINK("https://mathstats.uncg.edu/sites/pauli/congruence/csg13.html#group144E13", "144E¹³")</f>
        <v/>
      </c>
      <c r="B3653" t="n">
        <v>13</v>
      </c>
      <c r="C3653" t="inlineStr"/>
      <c r="D3653" t="inlineStr">
        <is>
          <t>216</t>
        </is>
      </c>
      <c r="E3653" t="inlineStr">
        <is>
          <t>2</t>
        </is>
      </c>
      <c r="F3653" t="inlineStr">
        <is>
          <t>54</t>
        </is>
      </c>
      <c r="G3653" t="inlineStr">
        <is>
          <t>20</t>
        </is>
      </c>
      <c r="H3653" t="inlineStr">
        <is>
          <t>0</t>
        </is>
      </c>
      <c r="I3653" t="inlineStr">
        <is>
          <t>72¹, 144¹</t>
        </is>
      </c>
      <c r="J3653" t="n">
        <v>2</v>
      </c>
      <c r="K3653" t="inlineStr">
        <is>
          <t>2⁶, 4⁶, 6⁴, 12⁴</t>
        </is>
      </c>
      <c r="L3653" t="inlineStr">
        <is>
          <t>48F³, 72E⁴</t>
        </is>
      </c>
      <c r="M3653" t="inlineStr"/>
      <c r="N3653" t="inlineStr">
        <is>
          <t>12C⁰, 24A⁰, 72E⁴, 9A⁰, 36B², 4C⁰, 8B⁰, 18E¹, 2B⁰, 48F³, 3A⁰, 1A⁰, 6D⁰</t>
        </is>
      </c>
      <c r="O3653" t="inlineStr"/>
    </row>
    <row r="3654">
      <c r="A3654">
        <f>HYPERLINK("https://mathstats.uncg.edu/sites/pauli/congruence/csg13.html#group144F13", "144F¹³")</f>
        <v/>
      </c>
      <c r="B3654" t="n">
        <v>13</v>
      </c>
      <c r="C3654" t="inlineStr"/>
      <c r="D3654" t="inlineStr">
        <is>
          <t>216</t>
        </is>
      </c>
      <c r="E3654" t="inlineStr">
        <is>
          <t>2</t>
        </is>
      </c>
      <c r="F3654" t="inlineStr">
        <is>
          <t>108</t>
        </is>
      </c>
      <c r="G3654" t="inlineStr">
        <is>
          <t>20</t>
        </is>
      </c>
      <c r="H3654" t="inlineStr">
        <is>
          <t>0</t>
        </is>
      </c>
      <c r="I3654" t="inlineStr">
        <is>
          <t>72¹, 144¹</t>
        </is>
      </c>
      <c r="J3654" t="n">
        <v>2</v>
      </c>
      <c r="K3654" t="inlineStr">
        <is>
          <t>2¹², 4⁶, 6⁸, 8³, 12⁴, 24²</t>
        </is>
      </c>
      <c r="L3654" t="inlineStr">
        <is>
          <t>48H³, 72E⁴</t>
        </is>
      </c>
      <c r="M3654" t="inlineStr"/>
      <c r="N3654" t="inlineStr">
        <is>
          <t>12C⁰, 24A⁰, 72E⁴, 9A⁰, 4C⁰, 36B², 8B⁰, 2B⁰, 18E¹, 3A⁰, 1A⁰, 48H³, 6D⁰</t>
        </is>
      </c>
      <c r="O3654" t="inlineStr"/>
    </row>
    <row r="3655">
      <c r="A3655">
        <f>HYPERLINK("https://mathstats.uncg.edu/sites/pauli/congruence/csg13.html#group144G13", "144G¹³")</f>
        <v/>
      </c>
      <c r="B3655" t="n">
        <v>13</v>
      </c>
      <c r="C3655" t="inlineStr"/>
      <c r="D3655" t="inlineStr">
        <is>
          <t>288</t>
        </is>
      </c>
      <c r="E3655" t="inlineStr">
        <is>
          <t>1</t>
        </is>
      </c>
      <c r="F3655" t="inlineStr">
        <is>
          <t>24</t>
        </is>
      </c>
      <c r="G3655" t="inlineStr">
        <is>
          <t>0</t>
        </is>
      </c>
      <c r="H3655" t="inlineStr">
        <is>
          <t>0</t>
        </is>
      </c>
      <c r="I3655" t="inlineStr">
        <is>
          <t>1¹², 4³, 9⁴, 16³, 36¹, 144¹</t>
        </is>
      </c>
      <c r="J3655" t="n">
        <v>24</v>
      </c>
      <c r="K3655" t="inlineStr">
        <is>
          <t>1⁸, 2⁶, 4¹</t>
        </is>
      </c>
      <c r="L3655" t="inlineStr">
        <is>
          <t>48I³, 72B⁵</t>
        </is>
      </c>
      <c r="M3655" t="inlineStr"/>
      <c r="N3655" t="inlineStr">
        <is>
          <t>3B⁰, 18E⁰, 72B⁵, 24G¹, 6F⁰, 9B⁰, 8C⁰, 48I³, 2B⁰, 36C¹, 4B⁰, 1A⁰, 12E⁰</t>
        </is>
      </c>
      <c r="O3655" t="inlineStr"/>
    </row>
    <row r="3656">
      <c r="A3656">
        <f>HYPERLINK("https://mathstats.uncg.edu/sites/pauli/congruence/csg13.html#group144H13", "144H¹³")</f>
        <v/>
      </c>
      <c r="B3656" t="n">
        <v>13</v>
      </c>
      <c r="C3656" t="inlineStr">
        <is>
          <t>Γ₀(144)</t>
        </is>
      </c>
      <c r="D3656" t="inlineStr">
        <is>
          <t>288</t>
        </is>
      </c>
      <c r="E3656" t="inlineStr">
        <is>
          <t>1</t>
        </is>
      </c>
      <c r="F3656" t="inlineStr">
        <is>
          <t>24</t>
        </is>
      </c>
      <c r="G3656" t="inlineStr">
        <is>
          <t>0</t>
        </is>
      </c>
      <c r="H3656" t="inlineStr">
        <is>
          <t>0</t>
        </is>
      </c>
      <c r="I3656" t="inlineStr">
        <is>
          <t>1¹², 4³, 9⁴, 16³, 36¹, 144¹</t>
        </is>
      </c>
      <c r="J3656" t="n">
        <v>24</v>
      </c>
      <c r="K3656" t="inlineStr">
        <is>
          <t>1⁸, 2⁶, 4¹</t>
        </is>
      </c>
      <c r="L3656" t="inlineStr">
        <is>
          <t>48J³, 72B⁵</t>
        </is>
      </c>
      <c r="M3656" t="inlineStr"/>
      <c r="N3656" t="inlineStr">
        <is>
          <t>3B⁰, 18E⁰, 48J³, 16C⁰, 72B⁵, 24G¹, 9B⁰, 1A⁰, 8C⁰, 2B⁰, 36C¹, 4B⁰, 6F⁰, 12E⁰</t>
        </is>
      </c>
      <c r="O3656" t="inlineStr"/>
    </row>
    <row r="3657">
      <c r="A3657">
        <f>HYPERLINK("https://mathstats.uncg.edu/sites/pauli/congruence/csg13.html#group144I13", "144I¹³")</f>
        <v/>
      </c>
      <c r="B3657" t="n">
        <v>13</v>
      </c>
      <c r="C3657" t="inlineStr"/>
      <c r="D3657" t="inlineStr">
        <is>
          <t>288</t>
        </is>
      </c>
      <c r="E3657" t="inlineStr">
        <is>
          <t>1</t>
        </is>
      </c>
      <c r="F3657" t="inlineStr">
        <is>
          <t>48</t>
        </is>
      </c>
      <c r="G3657" t="inlineStr">
        <is>
          <t>0</t>
        </is>
      </c>
      <c r="H3657" t="inlineStr">
        <is>
          <t>0</t>
        </is>
      </c>
      <c r="I3657" t="inlineStr">
        <is>
          <t>1⁶, 2⁹, 9², 16³, 18³, 144¹</t>
        </is>
      </c>
      <c r="J3657" t="n">
        <v>24</v>
      </c>
      <c r="K3657" t="inlineStr">
        <is>
          <t>1⁸, 2⁸, 4⁴, 8¹</t>
        </is>
      </c>
      <c r="L3657" t="inlineStr">
        <is>
          <t>48K³, 72B⁵</t>
        </is>
      </c>
      <c r="M3657" t="inlineStr"/>
      <c r="N3657" t="inlineStr">
        <is>
          <t>3B⁰, 18E⁰, 48K³, 72B⁵, 24G¹, 6F⁰, 9B⁰, 8C⁰, 2B⁰, 36C¹, 4B⁰, 1A⁰, 12E⁰</t>
        </is>
      </c>
      <c r="O3657" t="inlineStr"/>
    </row>
    <row r="3658">
      <c r="A3658">
        <f>HYPERLINK("https://mathstats.uncg.edu/sites/pauli/congruence/csg13.html#group144J13", "144J¹³")</f>
        <v/>
      </c>
      <c r="B3658" t="n">
        <v>13</v>
      </c>
      <c r="C3658" t="inlineStr"/>
      <c r="D3658" t="inlineStr">
        <is>
          <t>288</t>
        </is>
      </c>
      <c r="E3658" t="inlineStr">
        <is>
          <t>1</t>
        </is>
      </c>
      <c r="F3658" t="inlineStr">
        <is>
          <t>48</t>
        </is>
      </c>
      <c r="G3658" t="inlineStr">
        <is>
          <t>0</t>
        </is>
      </c>
      <c r="H3658" t="inlineStr">
        <is>
          <t>0</t>
        </is>
      </c>
      <c r="I3658" t="inlineStr">
        <is>
          <t>1⁶, 2⁹, 9², 16³, 18³, 144¹</t>
        </is>
      </c>
      <c r="J3658" t="n">
        <v>24</v>
      </c>
      <c r="K3658" t="inlineStr">
        <is>
          <t>1⁸, 2⁸, 4⁴, 8¹</t>
        </is>
      </c>
      <c r="L3658" t="inlineStr">
        <is>
          <t>48L³, 72B⁵</t>
        </is>
      </c>
      <c r="M3658" t="inlineStr"/>
      <c r="N3658" t="inlineStr">
        <is>
          <t>3B⁰, 18E⁰, 72B⁵, 24G¹, 16D⁰, 6F⁰, 9B⁰, 8C⁰, 2B⁰, 36C¹, 4B⁰, 1A⁰, 12E⁰, 48L³</t>
        </is>
      </c>
      <c r="O3658" t="inlineStr"/>
    </row>
    <row r="3659">
      <c r="A3659">
        <f>HYPERLINK("https://mathstats.uncg.edu/sites/pauli/congruence/csg13.html#group145A13", "145A¹³")</f>
        <v/>
      </c>
      <c r="B3659" t="n">
        <v>13</v>
      </c>
      <c r="C3659" t="inlineStr">
        <is>
          <t>Γ₀(145)</t>
        </is>
      </c>
      <c r="D3659" t="inlineStr">
        <is>
          <t>180</t>
        </is>
      </c>
      <c r="E3659" t="inlineStr">
        <is>
          <t>1</t>
        </is>
      </c>
      <c r="F3659" t="inlineStr">
        <is>
          <t>180</t>
        </is>
      </c>
      <c r="G3659" t="inlineStr">
        <is>
          <t>4</t>
        </is>
      </c>
      <c r="H3659" t="inlineStr">
        <is>
          <t>0</t>
        </is>
      </c>
      <c r="I3659" t="inlineStr">
        <is>
          <t>1¹, 5¹, 29¹, 145¹</t>
        </is>
      </c>
      <c r="J3659" t="n">
        <v>4</v>
      </c>
      <c r="K3659" t="inlineStr">
        <is>
          <t>1⁴, 4², 28², 112¹</t>
        </is>
      </c>
      <c r="L3659" t="inlineStr">
        <is>
          <t>5B⁰, 29A²</t>
        </is>
      </c>
      <c r="M3659" t="inlineStr"/>
      <c r="N3659" t="inlineStr">
        <is>
          <t>5B⁰, 1A⁰, 29A²</t>
        </is>
      </c>
      <c r="O3659" t="inlineStr"/>
    </row>
    <row r="3660">
      <c r="A3660">
        <f>HYPERLINK("https://mathstats.uncg.edu/sites/pauli/congruence/csg13.html#group150A13", "150A¹³")</f>
        <v/>
      </c>
      <c r="B3660" t="n">
        <v>13</v>
      </c>
      <c r="C3660" t="inlineStr"/>
      <c r="D3660" t="inlineStr">
        <is>
          <t>180</t>
        </is>
      </c>
      <c r="E3660" t="inlineStr">
        <is>
          <t>1</t>
        </is>
      </c>
      <c r="F3660" t="inlineStr">
        <is>
          <t>30</t>
        </is>
      </c>
      <c r="G3660" t="inlineStr">
        <is>
          <t>0</t>
        </is>
      </c>
      <c r="H3660" t="inlineStr">
        <is>
          <t>0</t>
        </is>
      </c>
      <c r="I3660" t="inlineStr">
        <is>
          <t>6⁵, 150¹</t>
        </is>
      </c>
      <c r="J3660" t="n">
        <v>6</v>
      </c>
      <c r="K3660" t="inlineStr">
        <is>
          <t>1², 4², 20¹</t>
        </is>
      </c>
      <c r="L3660" t="inlineStr">
        <is>
          <t>30B³, 50A³, 75A⁴</t>
        </is>
      </c>
      <c r="M3660" t="inlineStr"/>
      <c r="N3660" t="inlineStr">
        <is>
          <t>2A⁰, 15B⁰, 50A³, 25A⁰, 5B⁰, 10A¹, 6A¹, 75A⁴, 3A⁰, 1A⁰, 30B³</t>
        </is>
      </c>
      <c r="O3660" t="inlineStr"/>
    </row>
    <row r="3661">
      <c r="A3661">
        <f>HYPERLINK("https://mathstats.uncg.edu/sites/pauli/congruence/csg13.html#group150B13", "150B¹³")</f>
        <v/>
      </c>
      <c r="B3661" t="n">
        <v>13</v>
      </c>
      <c r="C3661" t="inlineStr"/>
      <c r="D3661" t="inlineStr">
        <is>
          <t>180</t>
        </is>
      </c>
      <c r="E3661" t="inlineStr">
        <is>
          <t>1</t>
        </is>
      </c>
      <c r="F3661" t="inlineStr">
        <is>
          <t>60</t>
        </is>
      </c>
      <c r="G3661" t="inlineStr">
        <is>
          <t>0</t>
        </is>
      </c>
      <c r="H3661" t="inlineStr">
        <is>
          <t>0</t>
        </is>
      </c>
      <c r="I3661" t="inlineStr">
        <is>
          <t>6⁵, 150¹</t>
        </is>
      </c>
      <c r="J3661" t="n">
        <v>6</v>
      </c>
      <c r="K3661" t="inlineStr">
        <is>
          <t>2², 8², 40¹</t>
        </is>
      </c>
      <c r="L3661" t="inlineStr">
        <is>
          <t>30C³, 50A³</t>
        </is>
      </c>
      <c r="M3661" t="inlineStr"/>
      <c r="N3661" t="inlineStr">
        <is>
          <t>2A⁰, 6A⁰, 30C³, 50A³, 25A⁰, 5B⁰, 10A¹, 1A⁰</t>
        </is>
      </c>
      <c r="O3661" t="inlineStr"/>
    </row>
    <row r="3662">
      <c r="A3662">
        <f>HYPERLINK("https://mathstats.uncg.edu/sites/pauli/congruence/csg13.html#group150C13", "150C¹³")</f>
        <v/>
      </c>
      <c r="B3662" t="n">
        <v>13</v>
      </c>
      <c r="C3662" t="inlineStr"/>
      <c r="D3662" t="inlineStr">
        <is>
          <t>180</t>
        </is>
      </c>
      <c r="E3662" t="inlineStr">
        <is>
          <t>1</t>
        </is>
      </c>
      <c r="F3662" t="inlineStr">
        <is>
          <t>90</t>
        </is>
      </c>
      <c r="G3662" t="inlineStr">
        <is>
          <t>8</t>
        </is>
      </c>
      <c r="H3662" t="inlineStr">
        <is>
          <t>0</t>
        </is>
      </c>
      <c r="I3662" t="inlineStr">
        <is>
          <t>30¹, 150¹</t>
        </is>
      </c>
      <c r="J3662" t="n">
        <v>2</v>
      </c>
      <c r="K3662" t="inlineStr">
        <is>
          <t>2², 4⁶, 8⁴, 20², 40²</t>
        </is>
      </c>
      <c r="L3662" t="inlineStr">
        <is>
          <t>30C¹, 75A⁶</t>
        </is>
      </c>
      <c r="M3662" t="inlineStr"/>
      <c r="N3662" t="inlineStr">
        <is>
          <t>75A⁶, 15B⁰, 25A², 6B⁰, 5B⁰, 3A⁰, 1A⁰, 30C¹</t>
        </is>
      </c>
      <c r="O3662" t="inlineStr"/>
    </row>
    <row r="3663">
      <c r="A3663">
        <f>HYPERLINK("https://mathstats.uncg.edu/sites/pauli/congruence/csg13.html#group150D13", "150D¹³")</f>
        <v/>
      </c>
      <c r="B3663" t="n">
        <v>13</v>
      </c>
      <c r="C3663" t="inlineStr"/>
      <c r="D3663" t="inlineStr">
        <is>
          <t>180</t>
        </is>
      </c>
      <c r="E3663" t="inlineStr">
        <is>
          <t>1</t>
        </is>
      </c>
      <c r="F3663" t="inlineStr">
        <is>
          <t>90</t>
        </is>
      </c>
      <c r="G3663" t="inlineStr">
        <is>
          <t>8</t>
        </is>
      </c>
      <c r="H3663" t="inlineStr">
        <is>
          <t>0</t>
        </is>
      </c>
      <c r="I3663" t="inlineStr">
        <is>
          <t>30¹, 150¹</t>
        </is>
      </c>
      <c r="J3663" t="n">
        <v>2</v>
      </c>
      <c r="K3663" t="inlineStr">
        <is>
          <t>2², 4⁶, 8⁴, 20², 40²</t>
        </is>
      </c>
      <c r="L3663" t="inlineStr">
        <is>
          <t>30C¹, 75B⁶</t>
        </is>
      </c>
      <c r="M3663" t="inlineStr"/>
      <c r="N3663" t="inlineStr">
        <is>
          <t>15B⁰, 75B⁶, 6B⁰, 30C¹, 5B⁰, 3A⁰, 1A⁰, 25B²</t>
        </is>
      </c>
      <c r="O3663" t="inlineStr"/>
    </row>
    <row r="3664">
      <c r="A3664">
        <f>HYPERLINK("https://mathstats.uncg.edu/sites/pauli/congruence/csg13.html#group150E13", "150E¹³")</f>
        <v/>
      </c>
      <c r="B3664" t="n">
        <v>13</v>
      </c>
      <c r="C3664" t="inlineStr"/>
      <c r="D3664" t="inlineStr">
        <is>
          <t>180</t>
        </is>
      </c>
      <c r="E3664" t="inlineStr">
        <is>
          <t>1</t>
        </is>
      </c>
      <c r="F3664" t="inlineStr">
        <is>
          <t>90</t>
        </is>
      </c>
      <c r="G3664" t="inlineStr">
        <is>
          <t>8</t>
        </is>
      </c>
      <c r="H3664" t="inlineStr">
        <is>
          <t>0</t>
        </is>
      </c>
      <c r="I3664" t="inlineStr">
        <is>
          <t>30¹, 150¹</t>
        </is>
      </c>
      <c r="J3664" t="n">
        <v>2</v>
      </c>
      <c r="K3664" t="inlineStr">
        <is>
          <t>2², 4⁶, 8⁴, 20², 40²</t>
        </is>
      </c>
      <c r="L3664" t="inlineStr">
        <is>
          <t>30C¹, 75C⁶</t>
        </is>
      </c>
      <c r="M3664" t="inlineStr"/>
      <c r="N3664" t="inlineStr">
        <is>
          <t>15B⁰, 6B⁰, 75C⁶, 5B⁰, 3A⁰, 1A⁰, 25C², 30C¹</t>
        </is>
      </c>
      <c r="O3664" t="inlineStr"/>
    </row>
    <row r="3665">
      <c r="A3665">
        <f>HYPERLINK("https://mathstats.uncg.edu/sites/pauli/congruence/csg13.html#group150F13", "150F¹³")</f>
        <v/>
      </c>
      <c r="B3665" t="n">
        <v>13</v>
      </c>
      <c r="C3665" t="inlineStr"/>
      <c r="D3665" t="inlineStr">
        <is>
          <t>180</t>
        </is>
      </c>
      <c r="E3665" t="inlineStr">
        <is>
          <t>1</t>
        </is>
      </c>
      <c r="F3665" t="inlineStr">
        <is>
          <t>90</t>
        </is>
      </c>
      <c r="G3665" t="inlineStr">
        <is>
          <t>8</t>
        </is>
      </c>
      <c r="H3665" t="inlineStr">
        <is>
          <t>0</t>
        </is>
      </c>
      <c r="I3665" t="inlineStr">
        <is>
          <t>30¹, 150¹</t>
        </is>
      </c>
      <c r="J3665" t="n">
        <v>2</v>
      </c>
      <c r="K3665" t="inlineStr">
        <is>
          <t>2², 4⁶, 8⁴, 20², 40²</t>
        </is>
      </c>
      <c r="L3665" t="inlineStr">
        <is>
          <t>30C¹, 75D⁶</t>
        </is>
      </c>
      <c r="M3665" t="inlineStr"/>
      <c r="N3665" t="inlineStr">
        <is>
          <t>15B⁰, 6B⁰, 30C¹, 5B⁰, 75D⁶, 3A⁰, 1A⁰, 25D²</t>
        </is>
      </c>
      <c r="O3665" t="inlineStr"/>
    </row>
    <row r="3666">
      <c r="A3666">
        <f>HYPERLINK("https://mathstats.uncg.edu/sites/pauli/congruence/csg13.html#group162A13", "162A¹³")</f>
        <v/>
      </c>
      <c r="B3666" t="n">
        <v>13</v>
      </c>
      <c r="C3666" t="inlineStr"/>
      <c r="D3666" t="inlineStr">
        <is>
          <t>216</t>
        </is>
      </c>
      <c r="E3666" t="inlineStr">
        <is>
          <t>1</t>
        </is>
      </c>
      <c r="F3666" t="inlineStr">
        <is>
          <t>36</t>
        </is>
      </c>
      <c r="G3666" t="inlineStr">
        <is>
          <t>0</t>
        </is>
      </c>
      <c r="H3666" t="inlineStr">
        <is>
          <t>0</t>
        </is>
      </c>
      <c r="I3666" t="inlineStr">
        <is>
          <t>2⁹, 18², 162¹</t>
        </is>
      </c>
      <c r="J3666" t="n">
        <v>12</v>
      </c>
      <c r="K3666" t="inlineStr">
        <is>
          <t>1², 2², 6², 18¹</t>
        </is>
      </c>
      <c r="L3666" t="inlineStr">
        <is>
          <t>54A⁴, 81A⁴</t>
        </is>
      </c>
      <c r="M3666" t="inlineStr"/>
      <c r="N3666" t="inlineStr">
        <is>
          <t>3B⁰, 2A⁰, 27A¹, 18C¹, 6C⁰, 9B⁰, 81A⁴, 54A⁴, 1A⁰</t>
        </is>
      </c>
      <c r="O3666" t="inlineStr"/>
    </row>
    <row r="3667">
      <c r="A3667">
        <f>HYPERLINK("https://mathstats.uncg.edu/sites/pauli/congruence/csg13.html#group162B13", "162B¹³")</f>
        <v/>
      </c>
      <c r="B3667" t="n">
        <v>13</v>
      </c>
      <c r="C3667" t="inlineStr"/>
      <c r="D3667" t="inlineStr">
        <is>
          <t>216</t>
        </is>
      </c>
      <c r="E3667" t="inlineStr">
        <is>
          <t>1</t>
        </is>
      </c>
      <c r="F3667" t="inlineStr">
        <is>
          <t>72</t>
        </is>
      </c>
      <c r="G3667" t="inlineStr">
        <is>
          <t>0</t>
        </is>
      </c>
      <c r="H3667" t="inlineStr">
        <is>
          <t>0</t>
        </is>
      </c>
      <c r="I3667" t="inlineStr">
        <is>
          <t>2⁹, 18², 162¹</t>
        </is>
      </c>
      <c r="J3667" t="n">
        <v>12</v>
      </c>
      <c r="K3667" t="inlineStr">
        <is>
          <t>2⁶, 6⁴, 18²</t>
        </is>
      </c>
      <c r="L3667" t="inlineStr">
        <is>
          <t>54A⁴</t>
        </is>
      </c>
      <c r="M3667" t="inlineStr"/>
      <c r="N3667" t="inlineStr">
        <is>
          <t>3B⁰, 2A⁰, 27A¹, 18C¹, 6C⁰, 9B⁰, 54A⁴, 1A⁰</t>
        </is>
      </c>
      <c r="O3667" t="inlineStr"/>
    </row>
    <row r="3668">
      <c r="A3668">
        <f>HYPERLINK("https://mathstats.uncg.edu/sites/pauli/congruence/csg13.html#group163A13", "163A¹³")</f>
        <v/>
      </c>
      <c r="B3668" t="n">
        <v>13</v>
      </c>
      <c r="C3668" t="inlineStr">
        <is>
          <t>Γ₀(163)</t>
        </is>
      </c>
      <c r="D3668" t="inlineStr">
        <is>
          <t>164</t>
        </is>
      </c>
      <c r="E3668" t="inlineStr">
        <is>
          <t>1</t>
        </is>
      </c>
      <c r="F3668" t="inlineStr">
        <is>
          <t>164</t>
        </is>
      </c>
      <c r="G3668" t="inlineStr">
        <is>
          <t>0</t>
        </is>
      </c>
      <c r="H3668" t="inlineStr">
        <is>
          <t>2</t>
        </is>
      </c>
      <c r="I3668" t="inlineStr">
        <is>
          <t>1¹, 163¹</t>
        </is>
      </c>
      <c r="J3668" t="n">
        <v>2</v>
      </c>
      <c r="K3668" t="inlineStr">
        <is>
          <t>1², 162¹</t>
        </is>
      </c>
      <c r="L3668" t="inlineStr">
        <is>
          <t>1A⁰</t>
        </is>
      </c>
      <c r="M3668" t="inlineStr"/>
      <c r="N3668" t="inlineStr">
        <is>
          <t>1A⁰</t>
        </is>
      </c>
      <c r="O3668" t="inlineStr"/>
    </row>
    <row r="3669">
      <c r="A3669">
        <f>HYPERLINK("https://mathstats.uncg.edu/sites/pauli/congruence/csg13.html#group164A13", "164A¹³")</f>
        <v/>
      </c>
      <c r="B3669" t="n">
        <v>13</v>
      </c>
      <c r="C3669" t="inlineStr"/>
      <c r="D3669" t="inlineStr">
        <is>
          <t>168</t>
        </is>
      </c>
      <c r="E3669" t="inlineStr">
        <is>
          <t>1</t>
        </is>
      </c>
      <c r="F3669" t="inlineStr">
        <is>
          <t>168</t>
        </is>
      </c>
      <c r="G3669" t="inlineStr">
        <is>
          <t>4</t>
        </is>
      </c>
      <c r="H3669" t="inlineStr">
        <is>
          <t>0</t>
        </is>
      </c>
      <c r="I3669" t="inlineStr">
        <is>
          <t>4¹, 164¹</t>
        </is>
      </c>
      <c r="J3669" t="n">
        <v>2</v>
      </c>
      <c r="K3669" t="inlineStr">
        <is>
          <t>2⁴, 80²</t>
        </is>
      </c>
      <c r="L3669" t="inlineStr">
        <is>
          <t>4A⁰, 41A³</t>
        </is>
      </c>
      <c r="M3669" t="inlineStr"/>
      <c r="N3669" t="inlineStr">
        <is>
          <t>1A⁰, 4A⁰, 41A³</t>
        </is>
      </c>
      <c r="O3669" t="inlineStr"/>
    </row>
    <row r="3670">
      <c r="A3670">
        <f>HYPERLINK("https://mathstats.uncg.edu/sites/pauli/congruence/csg13.html#group174A13", "174A¹³")</f>
        <v/>
      </c>
      <c r="B3670" t="n">
        <v>13</v>
      </c>
      <c r="C3670" t="inlineStr"/>
      <c r="D3670" t="inlineStr">
        <is>
          <t>180</t>
        </is>
      </c>
      <c r="E3670" t="inlineStr">
        <is>
          <t>1</t>
        </is>
      </c>
      <c r="F3670" t="inlineStr">
        <is>
          <t>90</t>
        </is>
      </c>
      <c r="G3670" t="inlineStr">
        <is>
          <t>8</t>
        </is>
      </c>
      <c r="H3670" t="inlineStr">
        <is>
          <t>0</t>
        </is>
      </c>
      <c r="I3670" t="inlineStr">
        <is>
          <t>6¹, 174¹</t>
        </is>
      </c>
      <c r="J3670" t="n">
        <v>2</v>
      </c>
      <c r="K3670" t="inlineStr">
        <is>
          <t>1², 2², 28¹, 56¹</t>
        </is>
      </c>
      <c r="L3670" t="inlineStr">
        <is>
          <t>6B⁰, 87A⁶</t>
        </is>
      </c>
      <c r="M3670" t="inlineStr"/>
      <c r="N3670" t="inlineStr">
        <is>
          <t>87A⁶, 6B⁰, 3A⁰, 1A⁰, 29A²</t>
        </is>
      </c>
      <c r="O3670" t="inlineStr"/>
    </row>
    <row r="3671">
      <c r="A3671">
        <f>HYPERLINK("https://mathstats.uncg.edu/sites/pauli/congruence/csg13.html#group180A13", "180A¹³")</f>
        <v/>
      </c>
      <c r="B3671" t="n">
        <v>13</v>
      </c>
      <c r="C3671" t="inlineStr"/>
      <c r="D3671" t="inlineStr">
        <is>
          <t>180</t>
        </is>
      </c>
      <c r="E3671" t="inlineStr">
        <is>
          <t>1</t>
        </is>
      </c>
      <c r="F3671" t="inlineStr">
        <is>
          <t>180</t>
        </is>
      </c>
      <c r="G3671" t="inlineStr">
        <is>
          <t>10</t>
        </is>
      </c>
      <c r="H3671" t="inlineStr">
        <is>
          <t>0</t>
        </is>
      </c>
      <c r="I3671" t="inlineStr">
        <is>
          <t>180¹</t>
        </is>
      </c>
      <c r="J3671" t="n">
        <v>1</v>
      </c>
      <c r="K3671" t="inlineStr">
        <is>
          <t>2², 4², 8², 12², 16², 48²</t>
        </is>
      </c>
      <c r="L3671" t="inlineStr">
        <is>
          <t>36A¹, 45A³, 60A⁴</t>
        </is>
      </c>
      <c r="M3671" t="inlineStr"/>
      <c r="N3671" t="inlineStr">
        <is>
          <t>36A¹, 5A⁰, 12A⁰, 4A⁰, 9A⁰, 60A⁴, 20A¹, 3A⁰, 1A⁰, 15A¹, 45A³</t>
        </is>
      </c>
      <c r="O3671" t="inlineStr"/>
    </row>
    <row r="3672">
      <c r="A3672">
        <f>HYPERLINK("https://mathstats.uncg.edu/sites/pauli/congruence/csg13.html#group180B13", "180B¹³")</f>
        <v/>
      </c>
      <c r="B3672" t="n">
        <v>13</v>
      </c>
      <c r="C3672" t="inlineStr"/>
      <c r="D3672" t="inlineStr">
        <is>
          <t>216</t>
        </is>
      </c>
      <c r="E3672" t="inlineStr">
        <is>
          <t>1</t>
        </is>
      </c>
      <c r="F3672" t="inlineStr">
        <is>
          <t>216</t>
        </is>
      </c>
      <c r="G3672" t="inlineStr">
        <is>
          <t>20</t>
        </is>
      </c>
      <c r="H3672" t="inlineStr">
        <is>
          <t>0</t>
        </is>
      </c>
      <c r="I3672" t="inlineStr">
        <is>
          <t>36¹, 180¹</t>
        </is>
      </c>
      <c r="J3672" t="n">
        <v>2</v>
      </c>
      <c r="K3672" t="inlineStr">
        <is>
          <t>2⁴, 4⁴, 8², 12⁴, 16², 48²</t>
        </is>
      </c>
      <c r="L3672" t="inlineStr">
        <is>
          <t>36A¹, 45A², 60B³</t>
        </is>
      </c>
      <c r="M3672" t="inlineStr"/>
      <c r="N3672" t="inlineStr">
        <is>
          <t>36A¹, 45A², 15B⁰, 12A⁰, 4A⁰, 9A⁰, 5B⁰, 60B³, 3A⁰, 1A⁰, 20B¹</t>
        </is>
      </c>
      <c r="O3672" t="inlineStr"/>
    </row>
    <row r="3673">
      <c r="A3673">
        <f>HYPERLINK("https://mathstats.uncg.edu/sites/pauli/congruence/csg13.html#group180C13", "180C¹³")</f>
        <v/>
      </c>
      <c r="B3673" t="n">
        <v>13</v>
      </c>
      <c r="C3673" t="inlineStr"/>
      <c r="D3673" t="inlineStr">
        <is>
          <t>216</t>
        </is>
      </c>
      <c r="E3673" t="inlineStr">
        <is>
          <t>2</t>
        </is>
      </c>
      <c r="F3673" t="inlineStr">
        <is>
          <t>54</t>
        </is>
      </c>
      <c r="G3673" t="inlineStr">
        <is>
          <t>20</t>
        </is>
      </c>
      <c r="H3673" t="inlineStr">
        <is>
          <t>0</t>
        </is>
      </c>
      <c r="I3673" t="inlineStr">
        <is>
          <t>36¹, 180¹</t>
        </is>
      </c>
      <c r="J3673" t="n">
        <v>2</v>
      </c>
      <c r="K3673" t="inlineStr">
        <is>
          <t>2², 4², 8¹, 12², 16¹, 48¹</t>
        </is>
      </c>
      <c r="L3673" t="inlineStr">
        <is>
          <t>60C³, 90A⁴</t>
        </is>
      </c>
      <c r="M3673" t="inlineStr"/>
      <c r="N3673" t="inlineStr">
        <is>
          <t>30A⁰, 20C¹, 45A², 15B⁰, 90A⁴, 60C³, 9A⁰, 5B⁰, 3A⁰, 1A⁰, 10B⁰</t>
        </is>
      </c>
      <c r="O3673" t="inlineStr"/>
    </row>
    <row r="3674">
      <c r="A3674">
        <f>HYPERLINK("https://mathstats.uncg.edu/sites/pauli/congruence/csg13.html#group180D13", "180D¹³")</f>
        <v/>
      </c>
      <c r="B3674" t="n">
        <v>13</v>
      </c>
      <c r="C3674" t="inlineStr"/>
      <c r="D3674" t="inlineStr">
        <is>
          <t>216</t>
        </is>
      </c>
      <c r="E3674" t="inlineStr">
        <is>
          <t>2</t>
        </is>
      </c>
      <c r="F3674" t="inlineStr">
        <is>
          <t>54</t>
        </is>
      </c>
      <c r="G3674" t="inlineStr">
        <is>
          <t>20</t>
        </is>
      </c>
      <c r="H3674" t="inlineStr">
        <is>
          <t>0</t>
        </is>
      </c>
      <c r="I3674" t="inlineStr">
        <is>
          <t>36¹, 180¹</t>
        </is>
      </c>
      <c r="J3674" t="n">
        <v>2</v>
      </c>
      <c r="K3674" t="inlineStr">
        <is>
          <t>2², 4², 8¹, 12², 16¹, 48¹</t>
        </is>
      </c>
      <c r="L3674" t="inlineStr">
        <is>
          <t>60D³, 90A⁴</t>
        </is>
      </c>
      <c r="M3674" t="inlineStr"/>
      <c r="N3674" t="inlineStr">
        <is>
          <t>30A⁰, 45A², 15B⁰, 90A⁴, 9A⁰, 5B⁰, 60D³, 3A⁰, 1A⁰, 10B⁰</t>
        </is>
      </c>
      <c r="O3674" t="inlineStr"/>
    </row>
    <row r="3675">
      <c r="A3675">
        <f>HYPERLINK("https://mathstats.uncg.edu/sites/pauli/congruence/csg13.html#group180E13", "180E¹³")</f>
        <v/>
      </c>
      <c r="B3675" t="n">
        <v>13</v>
      </c>
      <c r="C3675" t="inlineStr"/>
      <c r="D3675" t="inlineStr">
        <is>
          <t>216</t>
        </is>
      </c>
      <c r="E3675" t="inlineStr">
        <is>
          <t>2</t>
        </is>
      </c>
      <c r="F3675" t="inlineStr">
        <is>
          <t>54</t>
        </is>
      </c>
      <c r="G3675" t="inlineStr">
        <is>
          <t>20</t>
        </is>
      </c>
      <c r="H3675" t="inlineStr">
        <is>
          <t>0</t>
        </is>
      </c>
      <c r="I3675" t="inlineStr">
        <is>
          <t>36¹, 180¹</t>
        </is>
      </c>
      <c r="J3675" t="n">
        <v>2</v>
      </c>
      <c r="K3675" t="inlineStr">
        <is>
          <t>4⁶, 12⁴, 16³, 48²</t>
        </is>
      </c>
      <c r="L3675" t="inlineStr">
        <is>
          <t>60D³, 90A⁴</t>
        </is>
      </c>
      <c r="M3675" t="inlineStr"/>
      <c r="N3675" t="inlineStr">
        <is>
          <t>30A⁰, 45A², 15B⁰, 90A⁴, 9A⁰, 5B⁰, 60D³, 3A⁰, 1A⁰, 10B⁰</t>
        </is>
      </c>
      <c r="O3675" t="inlineStr"/>
    </row>
    <row r="3676">
      <c r="A3676">
        <f>HYPERLINK("https://mathstats.uncg.edu/sites/pauli/congruence/csg13.html#group180F13", "180F¹³")</f>
        <v/>
      </c>
      <c r="B3676" t="n">
        <v>13</v>
      </c>
      <c r="C3676" t="inlineStr"/>
      <c r="D3676" t="inlineStr">
        <is>
          <t>216</t>
        </is>
      </c>
      <c r="E3676" t="inlineStr">
        <is>
          <t>2</t>
        </is>
      </c>
      <c r="F3676" t="inlineStr">
        <is>
          <t>54</t>
        </is>
      </c>
      <c r="G3676" t="inlineStr">
        <is>
          <t>20</t>
        </is>
      </c>
      <c r="H3676" t="inlineStr">
        <is>
          <t>0</t>
        </is>
      </c>
      <c r="I3676" t="inlineStr">
        <is>
          <t>36¹, 180¹</t>
        </is>
      </c>
      <c r="J3676" t="n">
        <v>2</v>
      </c>
      <c r="K3676" t="inlineStr">
        <is>
          <t>4⁶, 12⁴, 16³, 48²</t>
        </is>
      </c>
      <c r="L3676" t="inlineStr">
        <is>
          <t>60D³, 90A⁴</t>
        </is>
      </c>
      <c r="M3676" t="inlineStr"/>
      <c r="N3676" t="inlineStr">
        <is>
          <t>30A⁰, 45A², 15B⁰, 90A⁴, 9A⁰, 5B⁰, 60D³, 3A⁰, 1A⁰, 10B⁰</t>
        </is>
      </c>
      <c r="O3676" t="inlineStr"/>
    </row>
    <row r="3677">
      <c r="A3677">
        <f>HYPERLINK("https://mathstats.uncg.edu/sites/pauli/congruence/csg13.html#group182A13", "182A¹³")</f>
        <v/>
      </c>
      <c r="B3677" t="n">
        <v>13</v>
      </c>
      <c r="C3677" t="inlineStr"/>
      <c r="D3677" t="inlineStr">
        <is>
          <t>196</t>
        </is>
      </c>
      <c r="E3677" t="inlineStr">
        <is>
          <t>2</t>
        </is>
      </c>
      <c r="F3677" t="inlineStr">
        <is>
          <t>98</t>
        </is>
      </c>
      <c r="G3677" t="inlineStr">
        <is>
          <t>8</t>
        </is>
      </c>
      <c r="H3677" t="inlineStr">
        <is>
          <t>4</t>
        </is>
      </c>
      <c r="I3677" t="inlineStr">
        <is>
          <t>14¹, 182¹</t>
        </is>
      </c>
      <c r="J3677" t="n">
        <v>2</v>
      </c>
      <c r="K3677" t="inlineStr">
        <is>
          <t>2², 6⁴, 24¹, 72²</t>
        </is>
      </c>
      <c r="L3677" t="inlineStr">
        <is>
          <t>14A⁰, 91A⁶</t>
        </is>
      </c>
      <c r="M3677" t="inlineStr"/>
      <c r="N3677" t="inlineStr">
        <is>
          <t>13A⁰, 14A⁰, 91A⁶, 1A⁰, 7A⁰</t>
        </is>
      </c>
      <c r="O3677" t="inlineStr"/>
    </row>
    <row r="3678">
      <c r="A3678">
        <f>HYPERLINK("https://mathstats.uncg.edu/sites/pauli/congruence/csg13.html#group183A13", "183A¹³")</f>
        <v/>
      </c>
      <c r="B3678" t="n">
        <v>13</v>
      </c>
      <c r="C3678" t="inlineStr"/>
      <c r="D3678" t="inlineStr">
        <is>
          <t>186</t>
        </is>
      </c>
      <c r="E3678" t="inlineStr">
        <is>
          <t>2</t>
        </is>
      </c>
      <c r="F3678" t="inlineStr">
        <is>
          <t>62</t>
        </is>
      </c>
      <c r="G3678" t="inlineStr">
        <is>
          <t>6</t>
        </is>
      </c>
      <c r="H3678" t="inlineStr">
        <is>
          <t>3</t>
        </is>
      </c>
      <c r="I3678" t="inlineStr">
        <is>
          <t>3¹, 183¹</t>
        </is>
      </c>
      <c r="J3678" t="n">
        <v>2</v>
      </c>
      <c r="K3678" t="inlineStr">
        <is>
          <t>2², 120¹</t>
        </is>
      </c>
      <c r="L3678" t="inlineStr">
        <is>
          <t>61A⁴</t>
        </is>
      </c>
      <c r="M3678" t="inlineStr"/>
      <c r="N3678" t="inlineStr">
        <is>
          <t>1A⁰, 61A⁴</t>
        </is>
      </c>
      <c r="O3678" t="inlineStr"/>
    </row>
    <row r="3679">
      <c r="A3679">
        <f>HYPERLINK("https://mathstats.uncg.edu/sites/pauli/congruence/csg13.html#group196A13", "196A¹³")</f>
        <v/>
      </c>
      <c r="B3679" t="n">
        <v>13</v>
      </c>
      <c r="C3679" t="inlineStr"/>
      <c r="D3679" t="inlineStr">
        <is>
          <t>224</t>
        </is>
      </c>
      <c r="E3679" t="inlineStr">
        <is>
          <t>1</t>
        </is>
      </c>
      <c r="F3679" t="inlineStr">
        <is>
          <t>56</t>
        </is>
      </c>
      <c r="G3679" t="inlineStr">
        <is>
          <t>0</t>
        </is>
      </c>
      <c r="H3679" t="inlineStr">
        <is>
          <t>8</t>
        </is>
      </c>
      <c r="I3679" t="inlineStr">
        <is>
          <t>4⁷, 196¹</t>
        </is>
      </c>
      <c r="J3679" t="n">
        <v>8</v>
      </c>
      <c r="K3679" t="inlineStr">
        <is>
          <t>1², 6², 42¹</t>
        </is>
      </c>
      <c r="L3679" t="inlineStr">
        <is>
          <t>28A⁰, 98A⁵</t>
        </is>
      </c>
      <c r="M3679" t="inlineStr"/>
      <c r="N3679" t="inlineStr">
        <is>
          <t>49A¹, 2A⁰, 1A⁰, 28A⁰, 98A⁵, 7B⁰, 14B⁰</t>
        </is>
      </c>
      <c r="O3679" t="inlineStr"/>
    </row>
    <row r="3680">
      <c r="A3680">
        <f>HYPERLINK("https://mathstats.uncg.edu/sites/pauli/congruence/csg13.html#group210A13", "210A¹³")</f>
        <v/>
      </c>
      <c r="B3680" t="n">
        <v>13</v>
      </c>
      <c r="C3680" t="inlineStr"/>
      <c r="D3680" t="inlineStr">
        <is>
          <t>210</t>
        </is>
      </c>
      <c r="E3680" t="inlineStr">
        <is>
          <t>2</t>
        </is>
      </c>
      <c r="F3680" t="inlineStr">
        <is>
          <t>35</t>
        </is>
      </c>
      <c r="G3680" t="inlineStr">
        <is>
          <t>12</t>
        </is>
      </c>
      <c r="H3680" t="inlineStr">
        <is>
          <t>6</t>
        </is>
      </c>
      <c r="I3680" t="inlineStr">
        <is>
          <t>210¹</t>
        </is>
      </c>
      <c r="J3680" t="n">
        <v>1</v>
      </c>
      <c r="K3680" t="inlineStr">
        <is>
          <t>4¹, 12², 16¹, 48²</t>
        </is>
      </c>
      <c r="L3680" t="inlineStr">
        <is>
          <t>70A⁴, 105A⁶</t>
        </is>
      </c>
      <c r="M3680" t="inlineStr"/>
      <c r="N3680" t="inlineStr">
        <is>
          <t>105A⁶, 5A⁰, 14A⁰, 70A⁴, 1A⁰, 35A², 7A⁰, 15A⁰</t>
        </is>
      </c>
      <c r="O3680" t="inlineStr"/>
    </row>
    <row r="3681">
      <c r="A3681">
        <f>HYPERLINK("https://mathstats.uncg.edu/sites/pauli/congruence/csg13.html#group210B13", "210B¹³")</f>
        <v/>
      </c>
      <c r="B3681" t="n">
        <v>13</v>
      </c>
      <c r="C3681" t="inlineStr"/>
      <c r="D3681" t="inlineStr">
        <is>
          <t>210</t>
        </is>
      </c>
      <c r="E3681" t="inlineStr">
        <is>
          <t>2</t>
        </is>
      </c>
      <c r="F3681" t="inlineStr">
        <is>
          <t>35</t>
        </is>
      </c>
      <c r="G3681" t="inlineStr">
        <is>
          <t>12</t>
        </is>
      </c>
      <c r="H3681" t="inlineStr">
        <is>
          <t>6</t>
        </is>
      </c>
      <c r="I3681" t="inlineStr">
        <is>
          <t>210¹</t>
        </is>
      </c>
      <c r="J3681" t="n">
        <v>1</v>
      </c>
      <c r="K3681" t="inlineStr">
        <is>
          <t>4¹, 12², 16¹, 48²</t>
        </is>
      </c>
      <c r="L3681" t="inlineStr">
        <is>
          <t>70A⁴, 105B⁶</t>
        </is>
      </c>
      <c r="M3681" t="inlineStr"/>
      <c r="N3681" t="inlineStr">
        <is>
          <t>14A⁰, 5A⁰, 105B⁶, 70A⁴, 1A⁰, 35A², 7A⁰, 15A⁰</t>
        </is>
      </c>
      <c r="O3681" t="inlineStr"/>
    </row>
    <row r="3682">
      <c r="A3682">
        <f>HYPERLINK("https://mathstats.uncg.edu/sites/pauli/congruence/csg13.html#group231A13", "231A¹³")</f>
        <v/>
      </c>
      <c r="B3682" t="n">
        <v>13</v>
      </c>
      <c r="C3682" t="inlineStr"/>
      <c r="D3682" t="inlineStr">
        <is>
          <t>231</t>
        </is>
      </c>
      <c r="E3682" t="inlineStr">
        <is>
          <t>2</t>
        </is>
      </c>
      <c r="F3682" t="inlineStr">
        <is>
          <t>77</t>
        </is>
      </c>
      <c r="G3682" t="inlineStr">
        <is>
          <t>27</t>
        </is>
      </c>
      <c r="H3682" t="inlineStr">
        <is>
          <t>0</t>
        </is>
      </c>
      <c r="I3682" t="inlineStr">
        <is>
          <t>231¹</t>
        </is>
      </c>
      <c r="J3682" t="n">
        <v>1</v>
      </c>
      <c r="K3682" t="inlineStr">
        <is>
          <t>4¹, 12², 20², 60⁴</t>
        </is>
      </c>
      <c r="L3682" t="inlineStr">
        <is>
          <t>21A⁰, 33A¹, 77A⁴</t>
        </is>
      </c>
      <c r="M3682" t="inlineStr"/>
      <c r="N3682" t="inlineStr">
        <is>
          <t>11A⁰, 33A¹, 77A⁴, 21A⁰, 3A⁰, 1A⁰, 7A⁰</t>
        </is>
      </c>
      <c r="O3682" t="inlineStr"/>
    </row>
    <row r="3683">
      <c r="A3683">
        <f>HYPERLINK("https://mathstats.uncg.edu/sites/pauli/congruence/csg13.html#group231B13", "231B¹³")</f>
        <v/>
      </c>
      <c r="B3683" t="n">
        <v>13</v>
      </c>
      <c r="C3683" t="inlineStr"/>
      <c r="D3683" t="inlineStr">
        <is>
          <t>231</t>
        </is>
      </c>
      <c r="E3683" t="inlineStr">
        <is>
          <t>2</t>
        </is>
      </c>
      <c r="F3683" t="inlineStr">
        <is>
          <t>77</t>
        </is>
      </c>
      <c r="G3683" t="inlineStr">
        <is>
          <t>27</t>
        </is>
      </c>
      <c r="H3683" t="inlineStr">
        <is>
          <t>0</t>
        </is>
      </c>
      <c r="I3683" t="inlineStr">
        <is>
          <t>231¹</t>
        </is>
      </c>
      <c r="J3683" t="n">
        <v>1</v>
      </c>
      <c r="K3683" t="inlineStr">
        <is>
          <t>4¹, 12², 20², 60⁴</t>
        </is>
      </c>
      <c r="L3683" t="inlineStr">
        <is>
          <t>21A⁰, 33A¹, 77B⁴</t>
        </is>
      </c>
      <c r="M3683" t="inlineStr"/>
      <c r="N3683" t="inlineStr">
        <is>
          <t>11A⁰, 3A⁰, 33A¹, 21A⁰, 77B⁴, 1A⁰, 7A⁰</t>
        </is>
      </c>
      <c r="O3683" t="inlineStr"/>
    </row>
    <row r="3684">
      <c r="A3684">
        <f>HYPERLINK("https://mathstats.uncg.edu/sites/pauli/congruence/csg14.html#group19A14", "19A¹⁴")</f>
        <v/>
      </c>
      <c r="B3684" t="n">
        <v>14</v>
      </c>
      <c r="C3684" t="inlineStr"/>
      <c r="D3684" t="inlineStr">
        <is>
          <t>285</t>
        </is>
      </c>
      <c r="E3684" t="inlineStr">
        <is>
          <t>1</t>
        </is>
      </c>
      <c r="F3684" t="inlineStr">
        <is>
          <t>285</t>
        </is>
      </c>
      <c r="G3684" t="inlineStr">
        <is>
          <t>5</t>
        </is>
      </c>
      <c r="H3684" t="inlineStr">
        <is>
          <t>6</t>
        </is>
      </c>
      <c r="I3684" t="inlineStr">
        <is>
          <t>19¹⁵</t>
        </is>
      </c>
      <c r="J3684" t="n">
        <v>15</v>
      </c>
      <c r="K3684" t="inlineStr">
        <is>
          <t>6¹, 9¹, 18¹⁵</t>
        </is>
      </c>
      <c r="L3684" t="inlineStr">
        <is>
          <t>19A²</t>
        </is>
      </c>
      <c r="M3684" t="inlineStr"/>
      <c r="N3684" t="inlineStr">
        <is>
          <t>19A², 1A⁰</t>
        </is>
      </c>
      <c r="O3684" t="inlineStr"/>
    </row>
    <row r="3685">
      <c r="A3685">
        <f>HYPERLINK("https://mathstats.uncg.edu/sites/pauli/congruence/csg14.html#group21A14", "21A¹⁴")</f>
        <v/>
      </c>
      <c r="B3685" t="n">
        <v>14</v>
      </c>
      <c r="C3685" t="inlineStr"/>
      <c r="D3685" t="inlineStr">
        <is>
          <t>252</t>
        </is>
      </c>
      <c r="E3685" t="inlineStr">
        <is>
          <t>2</t>
        </is>
      </c>
      <c r="F3685" t="inlineStr">
        <is>
          <t>63</t>
        </is>
      </c>
      <c r="G3685" t="inlineStr">
        <is>
          <t>8</t>
        </is>
      </c>
      <c r="H3685" t="inlineStr">
        <is>
          <t>0</t>
        </is>
      </c>
      <c r="I3685" t="inlineStr">
        <is>
          <t>21¹²</t>
        </is>
      </c>
      <c r="J3685" t="n">
        <v>12</v>
      </c>
      <c r="K3685" t="inlineStr">
        <is>
          <t>6⁷, 12⁷</t>
        </is>
      </c>
      <c r="L3685" t="inlineStr">
        <is>
          <t>21B⁴, 21D⁵, 21C⁶</t>
        </is>
      </c>
      <c r="M3685" t="inlineStr"/>
      <c r="N3685" t="inlineStr">
        <is>
          <t>21D⁵, 21D², 21C⁶, 7D⁰, 21E¹, 21D¹, 21A⁰, 3C⁰, 7A⁰, 3A⁰, 1A⁰, 21B⁴</t>
        </is>
      </c>
      <c r="O3685" t="inlineStr"/>
    </row>
    <row r="3686">
      <c r="A3686">
        <f>HYPERLINK("https://mathstats.uncg.edu/sites/pauli/congruence/csg14.html#group25A14", "25A¹⁴")</f>
        <v/>
      </c>
      <c r="B3686" t="n">
        <v>14</v>
      </c>
      <c r="C3686" t="inlineStr"/>
      <c r="D3686" t="inlineStr">
        <is>
          <t>250</t>
        </is>
      </c>
      <c r="E3686" t="inlineStr">
        <is>
          <t>1</t>
        </is>
      </c>
      <c r="F3686" t="inlineStr">
        <is>
          <t>250</t>
        </is>
      </c>
      <c r="G3686" t="inlineStr">
        <is>
          <t>10</t>
        </is>
      </c>
      <c r="H3686" t="inlineStr">
        <is>
          <t>1</t>
        </is>
      </c>
      <c r="I3686" t="inlineStr">
        <is>
          <t>25¹⁰</t>
        </is>
      </c>
      <c r="J3686" t="n">
        <v>10</v>
      </c>
      <c r="K3686" t="inlineStr">
        <is>
          <t>10¹, 20¹²</t>
        </is>
      </c>
      <c r="L3686" t="inlineStr">
        <is>
          <t>5C⁰</t>
        </is>
      </c>
      <c r="M3686" t="inlineStr"/>
      <c r="N3686" t="inlineStr">
        <is>
          <t>5C⁰, 1A⁰</t>
        </is>
      </c>
      <c r="O3686" t="inlineStr"/>
    </row>
    <row r="3687">
      <c r="A3687">
        <f>HYPERLINK("https://mathstats.uncg.edu/sites/pauli/congruence/csg14.html#group28A14", "28A¹⁴")</f>
        <v/>
      </c>
      <c r="B3687" t="n">
        <v>14</v>
      </c>
      <c r="C3687" t="inlineStr"/>
      <c r="D3687" t="inlineStr">
        <is>
          <t>252</t>
        </is>
      </c>
      <c r="E3687" t="inlineStr">
        <is>
          <t>2</t>
        </is>
      </c>
      <c r="F3687" t="inlineStr">
        <is>
          <t>63</t>
        </is>
      </c>
      <c r="G3687" t="inlineStr">
        <is>
          <t>8</t>
        </is>
      </c>
      <c r="H3687" t="inlineStr">
        <is>
          <t>0</t>
        </is>
      </c>
      <c r="I3687" t="inlineStr">
        <is>
          <t>14⁶, 28⁶</t>
        </is>
      </c>
      <c r="J3687" t="n">
        <v>12</v>
      </c>
      <c r="K3687" t="inlineStr">
        <is>
          <t>6²¹</t>
        </is>
      </c>
      <c r="L3687" t="inlineStr">
        <is>
          <t>14G⁵, 28J⁶, 28C⁷</t>
        </is>
      </c>
      <c r="M3687" t="inlineStr"/>
      <c r="N3687" t="inlineStr">
        <is>
          <t>28J⁶, 14E¹, 14G⁵, 7D⁰, 14B¹, 28B³, 14F², 2B⁰, 28C⁷, 1A⁰, 28B², 7A⁰</t>
        </is>
      </c>
      <c r="O3687" t="inlineStr"/>
    </row>
    <row r="3688">
      <c r="A3688">
        <f>HYPERLINK("https://mathstats.uncg.edu/sites/pauli/congruence/csg14.html#group28B14", "28B¹⁴")</f>
        <v/>
      </c>
      <c r="B3688" t="n">
        <v>14</v>
      </c>
      <c r="C3688" t="inlineStr"/>
      <c r="D3688" t="inlineStr">
        <is>
          <t>252</t>
        </is>
      </c>
      <c r="E3688" t="inlineStr">
        <is>
          <t>2</t>
        </is>
      </c>
      <c r="F3688" t="inlineStr">
        <is>
          <t>63</t>
        </is>
      </c>
      <c r="G3688" t="inlineStr">
        <is>
          <t>8</t>
        </is>
      </c>
      <c r="H3688" t="inlineStr">
        <is>
          <t>0</t>
        </is>
      </c>
      <c r="I3688" t="inlineStr">
        <is>
          <t>14⁶, 28⁶</t>
        </is>
      </c>
      <c r="J3688" t="n">
        <v>12</v>
      </c>
      <c r="K3688" t="inlineStr">
        <is>
          <t>6²¹</t>
        </is>
      </c>
      <c r="L3688" t="inlineStr">
        <is>
          <t>28H⁵, 14A⁶, 28C⁷</t>
        </is>
      </c>
      <c r="M3688" t="inlineStr"/>
      <c r="N3688" t="inlineStr">
        <is>
          <t>14A⁰, 14B², 14F¹, 7D⁰, 14B¹, 28H⁵, 28B³, 14C², 14F², 2B⁰, 28C⁷, 1A⁰, 14A⁶, 7A⁰</t>
        </is>
      </c>
      <c r="O3688" t="inlineStr"/>
    </row>
    <row r="3689">
      <c r="A3689">
        <f>HYPERLINK("https://mathstats.uncg.edu/sites/pauli/congruence/csg14.html#group28C14", "28C¹⁴")</f>
        <v/>
      </c>
      <c r="B3689" t="n">
        <v>14</v>
      </c>
      <c r="C3689" t="inlineStr"/>
      <c r="D3689" t="inlineStr">
        <is>
          <t>252</t>
        </is>
      </c>
      <c r="E3689" t="inlineStr">
        <is>
          <t>2</t>
        </is>
      </c>
      <c r="F3689" t="inlineStr">
        <is>
          <t>63</t>
        </is>
      </c>
      <c r="G3689" t="inlineStr">
        <is>
          <t>8</t>
        </is>
      </c>
      <c r="H3689" t="inlineStr">
        <is>
          <t>0</t>
        </is>
      </c>
      <c r="I3689" t="inlineStr">
        <is>
          <t>14⁶, 28⁶</t>
        </is>
      </c>
      <c r="J3689" t="n">
        <v>12</v>
      </c>
      <c r="K3689" t="inlineStr">
        <is>
          <t>6²¹</t>
        </is>
      </c>
      <c r="L3689" t="inlineStr">
        <is>
          <t>28C⁴, 14A⁶, 28I⁶, 28J⁶</t>
        </is>
      </c>
      <c r="M3689" t="inlineStr"/>
      <c r="N3689" t="inlineStr">
        <is>
          <t>14A⁰, 14B², 28C⁴, 14B¹, 7D⁰, 14C², 4C⁰, 2B⁰, 28I⁶, 1A⁰, 14A⁶, 28J⁶, 28C², 14F¹, 14F², 28B², 7A⁰</t>
        </is>
      </c>
      <c r="O3689" t="inlineStr"/>
    </row>
    <row r="3690">
      <c r="A3690">
        <f>HYPERLINK("https://mathstats.uncg.edu/sites/pauli/congruence/csg14.html#group30A14", "30A¹⁴")</f>
        <v/>
      </c>
      <c r="B3690" t="n">
        <v>14</v>
      </c>
      <c r="C3690" t="inlineStr"/>
      <c r="D3690" t="inlineStr">
        <is>
          <t>240</t>
        </is>
      </c>
      <c r="E3690" t="inlineStr">
        <is>
          <t>1</t>
        </is>
      </c>
      <c r="F3690" t="inlineStr">
        <is>
          <t>240</t>
        </is>
      </c>
      <c r="G3690" t="inlineStr">
        <is>
          <t>0</t>
        </is>
      </c>
      <c r="H3690" t="inlineStr">
        <is>
          <t>3</t>
        </is>
      </c>
      <c r="I3690" t="inlineStr">
        <is>
          <t>10⁶, 30⁶</t>
        </is>
      </c>
      <c r="J3690" t="n">
        <v>12</v>
      </c>
      <c r="K3690" t="inlineStr">
        <is>
          <t>4³⁰, 8¹⁵</t>
        </is>
      </c>
      <c r="L3690" t="inlineStr">
        <is>
          <t>10J¹, 30I⁵</t>
        </is>
      </c>
      <c r="M3690" t="inlineStr"/>
      <c r="N3690" t="inlineStr">
        <is>
          <t>3B⁰, 10J¹, 1A⁰, 15C², 30I⁵, 10D⁰, 5C⁰</t>
        </is>
      </c>
      <c r="O3690" t="inlineStr"/>
    </row>
    <row r="3691">
      <c r="A3691">
        <f>HYPERLINK("https://mathstats.uncg.edu/sites/pauli/congruence/csg14.html#group31A14", "31A¹⁴")</f>
        <v/>
      </c>
      <c r="B3691" t="n">
        <v>14</v>
      </c>
      <c r="C3691" t="inlineStr"/>
      <c r="D3691" t="inlineStr">
        <is>
          <t>248</t>
        </is>
      </c>
      <c r="E3691" t="inlineStr">
        <is>
          <t>2</t>
        </is>
      </c>
      <c r="F3691" t="inlineStr">
        <is>
          <t>248</t>
        </is>
      </c>
      <c r="G3691" t="inlineStr">
        <is>
          <t>8</t>
        </is>
      </c>
      <c r="H3691" t="inlineStr">
        <is>
          <t>5</t>
        </is>
      </c>
      <c r="I3691" t="inlineStr">
        <is>
          <t>31⁸</t>
        </is>
      </c>
      <c r="J3691" t="n">
        <v>8</v>
      </c>
      <c r="K3691" t="inlineStr">
        <is>
          <t>6¹, 10¹, 30¹⁶</t>
        </is>
      </c>
      <c r="L3691" t="inlineStr">
        <is>
          <t>1A⁰</t>
        </is>
      </c>
      <c r="M3691" t="inlineStr"/>
      <c r="N3691" t="inlineStr">
        <is>
          <t>1A⁰</t>
        </is>
      </c>
      <c r="O3691" t="inlineStr"/>
    </row>
    <row r="3692">
      <c r="A3692">
        <f>HYPERLINK("https://mathstats.uncg.edu/sites/pauli/congruence/csg14.html#group32A14", "32A¹⁴")</f>
        <v/>
      </c>
      <c r="B3692" t="n">
        <v>14</v>
      </c>
      <c r="C3692" t="inlineStr"/>
      <c r="D3692" t="inlineStr">
        <is>
          <t>256</t>
        </is>
      </c>
      <c r="E3692" t="inlineStr">
        <is>
          <t>1</t>
        </is>
      </c>
      <c r="F3692" t="inlineStr">
        <is>
          <t>256</t>
        </is>
      </c>
      <c r="G3692" t="inlineStr">
        <is>
          <t>16</t>
        </is>
      </c>
      <c r="H3692" t="inlineStr">
        <is>
          <t>1</t>
        </is>
      </c>
      <c r="I3692" t="inlineStr">
        <is>
          <t>32⁸</t>
        </is>
      </c>
      <c r="J3692" t="n">
        <v>8</v>
      </c>
      <c r="K3692" t="inlineStr">
        <is>
          <t>16¹⁶</t>
        </is>
      </c>
      <c r="L3692" t="inlineStr">
        <is>
          <t>16G²</t>
        </is>
      </c>
      <c r="M3692" t="inlineStr"/>
      <c r="N3692" t="inlineStr">
        <is>
          <t>8F⁰, 1A⁰, 4A⁰, 16G²</t>
        </is>
      </c>
      <c r="O3692" t="inlineStr"/>
    </row>
    <row r="3693">
      <c r="A3693">
        <f>HYPERLINK("https://mathstats.uncg.edu/sites/pauli/congruence/csg14.html#group33A14", "33A¹⁴")</f>
        <v/>
      </c>
      <c r="B3693" t="n">
        <v>14</v>
      </c>
      <c r="C3693" t="inlineStr"/>
      <c r="D3693" t="inlineStr">
        <is>
          <t>220</t>
        </is>
      </c>
      <c r="E3693" t="inlineStr">
        <is>
          <t>1</t>
        </is>
      </c>
      <c r="F3693" t="inlineStr">
        <is>
          <t>220</t>
        </is>
      </c>
      <c r="G3693" t="inlineStr">
        <is>
          <t>0</t>
        </is>
      </c>
      <c r="H3693" t="inlineStr">
        <is>
          <t>1</t>
        </is>
      </c>
      <c r="I3693" t="inlineStr">
        <is>
          <t>11⁵, 33⁵</t>
        </is>
      </c>
      <c r="J3693" t="n">
        <v>10</v>
      </c>
      <c r="K3693" t="inlineStr">
        <is>
          <t>5², 10¹¹, 20⁵</t>
        </is>
      </c>
      <c r="L3693" t="inlineStr">
        <is>
          <t>3B⁰, 11C¹</t>
        </is>
      </c>
      <c r="M3693" t="inlineStr"/>
      <c r="N3693" t="inlineStr">
        <is>
          <t>3B⁰, 11C¹, 1A⁰</t>
        </is>
      </c>
      <c r="O3693" t="inlineStr"/>
    </row>
    <row r="3694">
      <c r="A3694">
        <f>HYPERLINK("https://mathstats.uncg.edu/sites/pauli/congruence/csg14.html#group35A14", "35A¹⁴")</f>
        <v/>
      </c>
      <c r="B3694" t="n">
        <v>14</v>
      </c>
      <c r="C3694" t="inlineStr"/>
      <c r="D3694" t="inlineStr">
        <is>
          <t>210</t>
        </is>
      </c>
      <c r="E3694" t="inlineStr">
        <is>
          <t>2</t>
        </is>
      </c>
      <c r="F3694" t="inlineStr">
        <is>
          <t>35</t>
        </is>
      </c>
      <c r="G3694" t="inlineStr">
        <is>
          <t>6</t>
        </is>
      </c>
      <c r="H3694" t="inlineStr">
        <is>
          <t>0</t>
        </is>
      </c>
      <c r="I3694" t="inlineStr">
        <is>
          <t>35⁶</t>
        </is>
      </c>
      <c r="J3694" t="n">
        <v>6</v>
      </c>
      <c r="K3694" t="inlineStr">
        <is>
          <t>2¹, 6², 8¹, 24²</t>
        </is>
      </c>
      <c r="L3694" t="inlineStr">
        <is>
          <t>35A⁴, 35B⁶</t>
        </is>
      </c>
      <c r="M3694" t="inlineStr"/>
      <c r="N3694" t="inlineStr">
        <is>
          <t>5A⁰, 35A⁴, 7C⁰, 5E⁰, 35B⁶, 1A⁰, 35A², 7A⁰</t>
        </is>
      </c>
      <c r="O3694" t="inlineStr"/>
    </row>
    <row r="3695">
      <c r="A3695">
        <f>HYPERLINK("https://mathstats.uncg.edu/sites/pauli/congruence/csg14.html#group35B14", "35B¹⁴")</f>
        <v/>
      </c>
      <c r="B3695" t="n">
        <v>14</v>
      </c>
      <c r="C3695" t="inlineStr"/>
      <c r="D3695" t="inlineStr">
        <is>
          <t>210</t>
        </is>
      </c>
      <c r="E3695" t="inlineStr">
        <is>
          <t>2</t>
        </is>
      </c>
      <c r="F3695" t="inlineStr">
        <is>
          <t>35</t>
        </is>
      </c>
      <c r="G3695" t="inlineStr">
        <is>
          <t>6</t>
        </is>
      </c>
      <c r="H3695" t="inlineStr">
        <is>
          <t>0</t>
        </is>
      </c>
      <c r="I3695" t="inlineStr">
        <is>
          <t>35⁶</t>
        </is>
      </c>
      <c r="J3695" t="n">
        <v>6</v>
      </c>
      <c r="K3695" t="inlineStr">
        <is>
          <t>2¹, 6², 8¹, 24²</t>
        </is>
      </c>
      <c r="L3695" t="inlineStr">
        <is>
          <t>7G⁰, 35A⁴, 35A⁷</t>
        </is>
      </c>
      <c r="M3695" t="inlineStr"/>
      <c r="N3695" t="inlineStr">
        <is>
          <t>5A⁰, 7D⁰, 35A⁴, 7C⁰, 35A⁷, 7G⁰, 1A⁰, 35A², 7A⁰</t>
        </is>
      </c>
      <c r="O3695" t="inlineStr"/>
    </row>
    <row r="3696">
      <c r="A3696">
        <f>HYPERLINK("https://mathstats.uncg.edu/sites/pauli/congruence/csg14.html#group35C14", "35C¹⁴")</f>
        <v/>
      </c>
      <c r="B3696" t="n">
        <v>14</v>
      </c>
      <c r="C3696" t="inlineStr"/>
      <c r="D3696" t="inlineStr">
        <is>
          <t>210</t>
        </is>
      </c>
      <c r="E3696" t="inlineStr">
        <is>
          <t>2</t>
        </is>
      </c>
      <c r="F3696" t="inlineStr">
        <is>
          <t>105</t>
        </is>
      </c>
      <c r="G3696" t="inlineStr">
        <is>
          <t>6</t>
        </is>
      </c>
      <c r="H3696" t="inlineStr">
        <is>
          <t>0</t>
        </is>
      </c>
      <c r="I3696" t="inlineStr">
        <is>
          <t>35⁶</t>
        </is>
      </c>
      <c r="J3696" t="n">
        <v>6</v>
      </c>
      <c r="K3696" t="inlineStr">
        <is>
          <t>2¹, 4¹, 6², 8³, 12², 24⁶</t>
        </is>
      </c>
      <c r="L3696" t="inlineStr">
        <is>
          <t>5G⁰, 35C², 35B⁴, 35B⁶</t>
        </is>
      </c>
      <c r="M3696" t="inlineStr"/>
      <c r="N3696" t="inlineStr">
        <is>
          <t>35C², 5A⁰, 35B⁴, 5C⁰, 5B⁰, 5E⁰, 35A², 35B⁶, 1A⁰, 5G⁰, 7A⁰</t>
        </is>
      </c>
      <c r="O3696" t="inlineStr"/>
    </row>
    <row r="3697">
      <c r="A3697">
        <f>HYPERLINK("https://mathstats.uncg.edu/sites/pauli/congruence/csg14.html#group35D14", "35D¹⁴")</f>
        <v/>
      </c>
      <c r="B3697" t="n">
        <v>14</v>
      </c>
      <c r="C3697" t="inlineStr"/>
      <c r="D3697" t="inlineStr">
        <is>
          <t>252</t>
        </is>
      </c>
      <c r="E3697" t="inlineStr">
        <is>
          <t>2</t>
        </is>
      </c>
      <c r="F3697" t="inlineStr">
        <is>
          <t>126</t>
        </is>
      </c>
      <c r="G3697" t="inlineStr">
        <is>
          <t>8</t>
        </is>
      </c>
      <c r="H3697" t="inlineStr">
        <is>
          <t>0</t>
        </is>
      </c>
      <c r="I3697" t="inlineStr">
        <is>
          <t>7⁶, 35⁶</t>
        </is>
      </c>
      <c r="J3697" t="n">
        <v>12</v>
      </c>
      <c r="K3697" t="inlineStr">
        <is>
          <t>6¹⁴, 24⁷</t>
        </is>
      </c>
      <c r="L3697" t="inlineStr">
        <is>
          <t>35C⁴, 35E⁶</t>
        </is>
      </c>
      <c r="M3697" t="inlineStr"/>
      <c r="N3697" t="inlineStr">
        <is>
          <t>35C², 35C⁴, 7D⁰, 35E⁶, 5B⁰, 1A⁰, 7A⁰</t>
        </is>
      </c>
      <c r="O3697" t="inlineStr"/>
    </row>
    <row r="3698">
      <c r="A3698">
        <f>HYPERLINK("https://mathstats.uncg.edu/sites/pauli/congruence/csg14.html#group36A14", "36A¹⁴")</f>
        <v/>
      </c>
      <c r="B3698" t="n">
        <v>14</v>
      </c>
      <c r="C3698" t="inlineStr"/>
      <c r="D3698" t="inlineStr">
        <is>
          <t>216</t>
        </is>
      </c>
      <c r="E3698" t="inlineStr">
        <is>
          <t>1</t>
        </is>
      </c>
      <c r="F3698" t="inlineStr">
        <is>
          <t>54</t>
        </is>
      </c>
      <c r="G3698" t="inlineStr">
        <is>
          <t>8</t>
        </is>
      </c>
      <c r="H3698" t="inlineStr">
        <is>
          <t>0</t>
        </is>
      </c>
      <c r="I3698" t="inlineStr">
        <is>
          <t>36⁶</t>
        </is>
      </c>
      <c r="J3698" t="n">
        <v>6</v>
      </c>
      <c r="K3698" t="inlineStr">
        <is>
          <t>2⁵, 4², 6², 12²</t>
        </is>
      </c>
      <c r="L3698" t="inlineStr">
        <is>
          <t>12H², 36C⁶, 36I⁶</t>
        </is>
      </c>
      <c r="M3698" t="inlineStr"/>
      <c r="N3698" t="inlineStr">
        <is>
          <t>6B⁰, 12C⁰, 4C⁰, 36B², 18B¹, 12M¹, 2B⁰, 12H⁰, 1A⁰, 12H², 18D³, 36I⁶, 36C⁶, 9A⁰, 18E¹, 12D⁰, 6H⁰, 3A⁰, 36D³, 18A¹, 6D⁰</t>
        </is>
      </c>
      <c r="O3698" t="inlineStr"/>
    </row>
    <row r="3699">
      <c r="A3699">
        <f>HYPERLINK("https://mathstats.uncg.edu/sites/pauli/congruence/csg14.html#group36B14", "36B¹⁴")</f>
        <v/>
      </c>
      <c r="B3699" t="n">
        <v>14</v>
      </c>
      <c r="C3699" t="inlineStr"/>
      <c r="D3699" t="inlineStr">
        <is>
          <t>216</t>
        </is>
      </c>
      <c r="E3699" t="inlineStr">
        <is>
          <t>1</t>
        </is>
      </c>
      <c r="F3699" t="inlineStr">
        <is>
          <t>54</t>
        </is>
      </c>
      <c r="G3699" t="inlineStr">
        <is>
          <t>8</t>
        </is>
      </c>
      <c r="H3699" t="inlineStr">
        <is>
          <t>0</t>
        </is>
      </c>
      <c r="I3699" t="inlineStr">
        <is>
          <t>36⁶</t>
        </is>
      </c>
      <c r="J3699" t="n">
        <v>6</v>
      </c>
      <c r="K3699" t="inlineStr">
        <is>
          <t>1², 2⁴, 4², 6², 12²</t>
        </is>
      </c>
      <c r="L3699" t="inlineStr">
        <is>
          <t>12I², 36L⁴, 36N⁴, 36C⁶, 36E⁶, 36F⁶</t>
        </is>
      </c>
      <c r="M3699" t="inlineStr"/>
      <c r="N3699" t="inlineStr">
        <is>
          <t>12I², 12C⁰, 4C⁰, 36B², 18B¹, 12M¹, 2B⁰, 1A⁰, 36F⁶, 18D³, 18E¹, 3A⁰, 6H⁰, 36D³, 6B⁰, 36E⁶, 12F⁰, 36A¹, 36N⁴, 12A⁰, 4A⁰, 36C⁶, 9A⁰, 12J¹, 12D⁰, 4F⁰, 12H⁰, 18A¹, 6D⁰, 36L⁴</t>
        </is>
      </c>
      <c r="O3699" t="inlineStr"/>
    </row>
    <row r="3700">
      <c r="A3700">
        <f>HYPERLINK("https://mathstats.uncg.edu/sites/pauli/congruence/csg14.html#group36C14", "36C¹⁴")</f>
        <v/>
      </c>
      <c r="B3700" t="n">
        <v>14</v>
      </c>
      <c r="C3700" t="inlineStr"/>
      <c r="D3700" t="inlineStr">
        <is>
          <t>216</t>
        </is>
      </c>
      <c r="E3700" t="inlineStr">
        <is>
          <t>1</t>
        </is>
      </c>
      <c r="F3700" t="inlineStr">
        <is>
          <t>108</t>
        </is>
      </c>
      <c r="G3700" t="inlineStr">
        <is>
          <t>0</t>
        </is>
      </c>
      <c r="H3700" t="inlineStr">
        <is>
          <t>6</t>
        </is>
      </c>
      <c r="I3700" t="inlineStr">
        <is>
          <t>36⁶</t>
        </is>
      </c>
      <c r="J3700" t="n">
        <v>6</v>
      </c>
      <c r="K3700" t="inlineStr">
        <is>
          <t>6², 12⁸</t>
        </is>
      </c>
      <c r="L3700" t="inlineStr">
        <is>
          <t>4D⁰, 18J², 36G⁶</t>
        </is>
      </c>
      <c r="M3700" t="inlineStr"/>
      <c r="N3700" t="inlineStr">
        <is>
          <t>2A⁰, 4A⁰, 4D⁰, 18J², 9F⁰, 1A⁰, 36G⁶</t>
        </is>
      </c>
      <c r="O3700" t="inlineStr"/>
    </row>
    <row r="3701">
      <c r="A3701">
        <f>HYPERLINK("https://mathstats.uncg.edu/sites/pauli/congruence/csg14.html#group40A14", "40A¹⁴")</f>
        <v/>
      </c>
      <c r="B3701" t="n">
        <v>14</v>
      </c>
      <c r="C3701" t="inlineStr"/>
      <c r="D3701" t="inlineStr">
        <is>
          <t>240</t>
        </is>
      </c>
      <c r="E3701" t="inlineStr">
        <is>
          <t>1</t>
        </is>
      </c>
      <c r="F3701" t="inlineStr">
        <is>
          <t>40</t>
        </is>
      </c>
      <c r="G3701" t="inlineStr">
        <is>
          <t>0</t>
        </is>
      </c>
      <c r="H3701" t="inlineStr">
        <is>
          <t>12</t>
        </is>
      </c>
      <c r="I3701" t="inlineStr">
        <is>
          <t>40⁶</t>
        </is>
      </c>
      <c r="J3701" t="n">
        <v>6</v>
      </c>
      <c r="K3701" t="inlineStr">
        <is>
          <t>4², 8⁴</t>
        </is>
      </c>
      <c r="L3701" t="inlineStr">
        <is>
          <t>40D⁴, 20A⁶</t>
        </is>
      </c>
      <c r="M3701" t="inlineStr"/>
      <c r="N3701" t="inlineStr">
        <is>
          <t>2A⁰, 40D⁴, 5A⁰, 10A⁰, 20D², 4A⁰, 4D⁰, 10E⁰, 8A⁰, 8E⁰, 20A¹, 1A⁰, 40A², 20A⁶</t>
        </is>
      </c>
      <c r="O3701" t="inlineStr"/>
    </row>
    <row r="3702">
      <c r="A3702">
        <f>HYPERLINK("https://mathstats.uncg.edu/sites/pauli/congruence/csg14.html#group40B14", "40B¹⁴")</f>
        <v/>
      </c>
      <c r="B3702" t="n">
        <v>14</v>
      </c>
      <c r="C3702" t="inlineStr"/>
      <c r="D3702" t="inlineStr">
        <is>
          <t>240</t>
        </is>
      </c>
      <c r="E3702" t="inlineStr">
        <is>
          <t>1</t>
        </is>
      </c>
      <c r="F3702" t="inlineStr">
        <is>
          <t>120</t>
        </is>
      </c>
      <c r="G3702" t="inlineStr">
        <is>
          <t>0</t>
        </is>
      </c>
      <c r="H3702" t="inlineStr">
        <is>
          <t>12</t>
        </is>
      </c>
      <c r="I3702" t="inlineStr">
        <is>
          <t>40⁶</t>
        </is>
      </c>
      <c r="J3702" t="n">
        <v>6</v>
      </c>
      <c r="K3702" t="inlineStr">
        <is>
          <t>4², 8¹⁴</t>
        </is>
      </c>
      <c r="L3702" t="inlineStr">
        <is>
          <t>20C⁶</t>
        </is>
      </c>
      <c r="M3702" t="inlineStr"/>
      <c r="N3702" t="inlineStr">
        <is>
          <t>20C⁶, 2A⁰, 5A⁰, 10A⁰, 1A⁰, 10E⁰</t>
        </is>
      </c>
      <c r="O3702" t="inlineStr"/>
    </row>
    <row r="3703">
      <c r="A3703">
        <f>HYPERLINK("https://mathstats.uncg.edu/sites/pauli/congruence/csg14.html#group42A14", "42A¹⁴")</f>
        <v/>
      </c>
      <c r="B3703" t="n">
        <v>14</v>
      </c>
      <c r="C3703" t="inlineStr"/>
      <c r="D3703" t="inlineStr">
        <is>
          <t>252</t>
        </is>
      </c>
      <c r="E3703" t="inlineStr">
        <is>
          <t>1</t>
        </is>
      </c>
      <c r="F3703" t="inlineStr">
        <is>
          <t>63</t>
        </is>
      </c>
      <c r="G3703" t="inlineStr">
        <is>
          <t>20</t>
        </is>
      </c>
      <c r="H3703" t="inlineStr">
        <is>
          <t>0</t>
        </is>
      </c>
      <c r="I3703" t="inlineStr">
        <is>
          <t>42⁶</t>
        </is>
      </c>
      <c r="J3703" t="n">
        <v>6</v>
      </c>
      <c r="K3703" t="inlineStr">
        <is>
          <t>3¹, 6⁴, 12³</t>
        </is>
      </c>
      <c r="L3703" t="inlineStr">
        <is>
          <t>42F⁴, 42H⁵, 21C⁶</t>
        </is>
      </c>
      <c r="M3703" t="inlineStr"/>
      <c r="N3703" t="inlineStr">
        <is>
          <t>21D², 6B⁰, 21C⁶, 42F⁴, 7D⁰, 6E⁰, 21E¹, 42H⁵, 21A⁰, 3C⁰, 42B¹, 3A⁰, 1A⁰, 7A⁰</t>
        </is>
      </c>
      <c r="O3703" t="inlineStr"/>
    </row>
    <row r="3704">
      <c r="A3704">
        <f>HYPERLINK("https://mathstats.uncg.edu/sites/pauli/congruence/csg14.html#group42B14", "42B¹⁴")</f>
        <v/>
      </c>
      <c r="B3704" t="n">
        <v>14</v>
      </c>
      <c r="C3704" t="inlineStr"/>
      <c r="D3704" t="inlineStr">
        <is>
          <t>252</t>
        </is>
      </c>
      <c r="E3704" t="inlineStr">
        <is>
          <t>1</t>
        </is>
      </c>
      <c r="F3704" t="inlineStr">
        <is>
          <t>63</t>
        </is>
      </c>
      <c r="G3704" t="inlineStr">
        <is>
          <t>20</t>
        </is>
      </c>
      <c r="H3704" t="inlineStr">
        <is>
          <t>0</t>
        </is>
      </c>
      <c r="I3704" t="inlineStr">
        <is>
          <t>42⁶</t>
        </is>
      </c>
      <c r="J3704" t="n">
        <v>6</v>
      </c>
      <c r="K3704" t="inlineStr">
        <is>
          <t>6¹, 12¹⁰</t>
        </is>
      </c>
      <c r="L3704" t="inlineStr">
        <is>
          <t>21D⁴, 42D⁶</t>
        </is>
      </c>
      <c r="M3704" t="inlineStr"/>
      <c r="N3704" t="inlineStr">
        <is>
          <t>21D⁴, 42A², 7D⁰, 21E¹, 21A⁰, 42D⁶, 3A⁰, 1A⁰, 7A⁰</t>
        </is>
      </c>
      <c r="O3704" t="inlineStr"/>
    </row>
    <row r="3705">
      <c r="A3705">
        <f>HYPERLINK("https://mathstats.uncg.edu/sites/pauli/congruence/csg14.html#group42C14", "42C¹⁴")</f>
        <v/>
      </c>
      <c r="B3705" t="n">
        <v>14</v>
      </c>
      <c r="C3705" t="inlineStr"/>
      <c r="D3705" t="inlineStr">
        <is>
          <t>252</t>
        </is>
      </c>
      <c r="E3705" t="inlineStr">
        <is>
          <t>1</t>
        </is>
      </c>
      <c r="F3705" t="inlineStr">
        <is>
          <t>63</t>
        </is>
      </c>
      <c r="G3705" t="inlineStr">
        <is>
          <t>20</t>
        </is>
      </c>
      <c r="H3705" t="inlineStr">
        <is>
          <t>0</t>
        </is>
      </c>
      <c r="I3705" t="inlineStr">
        <is>
          <t>42⁶</t>
        </is>
      </c>
      <c r="J3705" t="n">
        <v>6</v>
      </c>
      <c r="K3705" t="inlineStr">
        <is>
          <t>6¹, 12¹⁰</t>
        </is>
      </c>
      <c r="L3705" t="inlineStr">
        <is>
          <t>21D⁴, 42D⁶</t>
        </is>
      </c>
      <c r="M3705" t="inlineStr"/>
      <c r="N3705" t="inlineStr">
        <is>
          <t>21D⁴, 42A², 7D⁰, 21E¹, 21A⁰, 42D⁶, 3A⁰, 1A⁰, 7A⁰</t>
        </is>
      </c>
      <c r="O3705" t="inlineStr"/>
    </row>
    <row r="3706">
      <c r="A3706">
        <f>HYPERLINK("https://mathstats.uncg.edu/sites/pauli/congruence/csg14.html#group42D14", "42D¹⁴")</f>
        <v/>
      </c>
      <c r="B3706" t="n">
        <v>14</v>
      </c>
      <c r="C3706" t="inlineStr"/>
      <c r="D3706" t="inlineStr">
        <is>
          <t>252</t>
        </is>
      </c>
      <c r="E3706" t="inlineStr">
        <is>
          <t>2</t>
        </is>
      </c>
      <c r="F3706" t="inlineStr">
        <is>
          <t>63</t>
        </is>
      </c>
      <c r="G3706" t="inlineStr">
        <is>
          <t>20</t>
        </is>
      </c>
      <c r="H3706" t="inlineStr">
        <is>
          <t>0</t>
        </is>
      </c>
      <c r="I3706" t="inlineStr">
        <is>
          <t>42⁶</t>
        </is>
      </c>
      <c r="J3706" t="n">
        <v>6</v>
      </c>
      <c r="K3706" t="inlineStr">
        <is>
          <t>6³, 12⁹</t>
        </is>
      </c>
      <c r="L3706" t="inlineStr">
        <is>
          <t>21D⁴, 42H⁵, 42G⁷</t>
        </is>
      </c>
      <c r="M3706" t="inlineStr"/>
      <c r="N3706" t="inlineStr">
        <is>
          <t>21D⁴, 6B⁰, 7D⁰, 21E¹, 42H⁵, 42G⁷, 21A⁰, 42B¹, 3A⁰, 1A⁰, 7A⁰</t>
        </is>
      </c>
      <c r="O3706" t="inlineStr"/>
    </row>
    <row r="3707">
      <c r="A3707">
        <f>HYPERLINK("https://mathstats.uncg.edu/sites/pauli/congruence/csg14.html#group42E14", "42E¹⁴")</f>
        <v/>
      </c>
      <c r="B3707" t="n">
        <v>14</v>
      </c>
      <c r="C3707" t="inlineStr"/>
      <c r="D3707" t="inlineStr">
        <is>
          <t>252</t>
        </is>
      </c>
      <c r="E3707" t="inlineStr">
        <is>
          <t>2</t>
        </is>
      </c>
      <c r="F3707" t="inlineStr">
        <is>
          <t>63</t>
        </is>
      </c>
      <c r="G3707" t="inlineStr">
        <is>
          <t>20</t>
        </is>
      </c>
      <c r="H3707" t="inlineStr">
        <is>
          <t>0</t>
        </is>
      </c>
      <c r="I3707" t="inlineStr">
        <is>
          <t>42⁶</t>
        </is>
      </c>
      <c r="J3707" t="n">
        <v>6</v>
      </c>
      <c r="K3707" t="inlineStr">
        <is>
          <t>12²¹</t>
        </is>
      </c>
      <c r="L3707" t="inlineStr">
        <is>
          <t>42G⁴, 21D⁵, 42H⁵, 42D⁶</t>
        </is>
      </c>
      <c r="M3707" t="inlineStr"/>
      <c r="N3707" t="inlineStr">
        <is>
          <t>21D⁵, 6B⁰, 42A², 7D⁰, 21E¹, 42G⁴, 21D¹, 42H⁵, 21A⁰, 42D⁶, 42B¹, 3A⁰, 1A⁰, 7A⁰</t>
        </is>
      </c>
      <c r="O3707" t="inlineStr"/>
    </row>
    <row r="3708">
      <c r="A3708">
        <f>HYPERLINK("https://mathstats.uncg.edu/sites/pauli/congruence/csg14.html#group42F14", "42F¹⁴")</f>
        <v/>
      </c>
      <c r="B3708" t="n">
        <v>14</v>
      </c>
      <c r="C3708" t="inlineStr"/>
      <c r="D3708" t="inlineStr">
        <is>
          <t>252</t>
        </is>
      </c>
      <c r="E3708" t="inlineStr">
        <is>
          <t>2</t>
        </is>
      </c>
      <c r="F3708" t="inlineStr">
        <is>
          <t>63</t>
        </is>
      </c>
      <c r="G3708" t="inlineStr">
        <is>
          <t>20</t>
        </is>
      </c>
      <c r="H3708" t="inlineStr">
        <is>
          <t>0</t>
        </is>
      </c>
      <c r="I3708" t="inlineStr">
        <is>
          <t>42⁶</t>
        </is>
      </c>
      <c r="J3708" t="n">
        <v>6</v>
      </c>
      <c r="K3708" t="inlineStr">
        <is>
          <t>12²¹</t>
        </is>
      </c>
      <c r="L3708" t="inlineStr">
        <is>
          <t>42H⁴, 21D⁵, 42H⁵, 42D⁶</t>
        </is>
      </c>
      <c r="M3708" t="inlineStr"/>
      <c r="N3708" t="inlineStr">
        <is>
          <t>21D⁵, 6B⁰, 42A², 7D⁰, 42H⁴, 21E¹, 21D¹, 42H⁵, 21A⁰, 42D⁶, 42B¹, 3A⁰, 1A⁰, 7A⁰</t>
        </is>
      </c>
      <c r="O3708" t="inlineStr"/>
    </row>
    <row r="3709">
      <c r="A3709">
        <f>HYPERLINK("https://mathstats.uncg.edu/sites/pauli/congruence/csg14.html#group44A14", "44A¹⁴")</f>
        <v/>
      </c>
      <c r="B3709" t="n">
        <v>14</v>
      </c>
      <c r="C3709" t="inlineStr"/>
      <c r="D3709" t="inlineStr">
        <is>
          <t>220</t>
        </is>
      </c>
      <c r="E3709" t="inlineStr">
        <is>
          <t>1</t>
        </is>
      </c>
      <c r="F3709" t="inlineStr">
        <is>
          <t>220</t>
        </is>
      </c>
      <c r="G3709" t="inlineStr">
        <is>
          <t>6</t>
        </is>
      </c>
      <c r="H3709" t="inlineStr">
        <is>
          <t>4</t>
        </is>
      </c>
      <c r="I3709" t="inlineStr">
        <is>
          <t>44⁵</t>
        </is>
      </c>
      <c r="J3709" t="n">
        <v>5</v>
      </c>
      <c r="K3709" t="inlineStr">
        <is>
          <t>10², 20¹⁰</t>
        </is>
      </c>
      <c r="L3709" t="inlineStr">
        <is>
          <t>11B¹, 44A²</t>
        </is>
      </c>
      <c r="M3709" t="inlineStr"/>
      <c r="N3709" t="inlineStr">
        <is>
          <t>11A⁰, 11B¹, 44A², 1A⁰, 4A⁰</t>
        </is>
      </c>
      <c r="O3709" t="inlineStr"/>
    </row>
    <row r="3710">
      <c r="A3710">
        <f>HYPERLINK("https://mathstats.uncg.edu/sites/pauli/congruence/csg14.html#group45A14", "45A¹⁴")</f>
        <v/>
      </c>
      <c r="B3710" t="n">
        <v>14</v>
      </c>
      <c r="C3710" t="inlineStr"/>
      <c r="D3710" t="inlineStr">
        <is>
          <t>180</t>
        </is>
      </c>
      <c r="E3710" t="inlineStr">
        <is>
          <t>1</t>
        </is>
      </c>
      <c r="F3710" t="inlineStr">
        <is>
          <t>15</t>
        </is>
      </c>
      <c r="G3710" t="inlineStr">
        <is>
          <t>0</t>
        </is>
      </c>
      <c r="H3710" t="inlineStr">
        <is>
          <t>0</t>
        </is>
      </c>
      <c r="I3710" t="inlineStr">
        <is>
          <t>45⁴</t>
        </is>
      </c>
      <c r="J3710" t="n">
        <v>4</v>
      </c>
      <c r="K3710" t="inlineStr">
        <is>
          <t>1¹, 2¹, 4¹, 8¹</t>
        </is>
      </c>
      <c r="L3710" t="inlineStr">
        <is>
          <t>9A², 15A⁴, 45A⁶, 45A⁷</t>
        </is>
      </c>
      <c r="M3710" t="inlineStr"/>
      <c r="N3710" t="inlineStr">
        <is>
          <t>3B⁰, 5A⁰, 15A⁴, 45A⁶, 45A⁷, 1A⁰, 9B¹, 9D⁰, 9A², 15A², 9A⁰, 15B¹, 3C⁰, 3A⁰, 3D⁰, 15A¹, 45A³</t>
        </is>
      </c>
      <c r="O3710" t="inlineStr"/>
    </row>
    <row r="3711">
      <c r="A3711">
        <f>HYPERLINK("https://mathstats.uncg.edu/sites/pauli/congruence/csg14.html#group45B14", "45B¹⁴")</f>
        <v/>
      </c>
      <c r="B3711" t="n">
        <v>14</v>
      </c>
      <c r="C3711" t="inlineStr"/>
      <c r="D3711" t="inlineStr">
        <is>
          <t>180</t>
        </is>
      </c>
      <c r="E3711" t="inlineStr">
        <is>
          <t>1</t>
        </is>
      </c>
      <c r="F3711" t="inlineStr">
        <is>
          <t>30</t>
        </is>
      </c>
      <c r="G3711" t="inlineStr">
        <is>
          <t>0</t>
        </is>
      </c>
      <c r="H3711" t="inlineStr">
        <is>
          <t>0</t>
        </is>
      </c>
      <c r="I3711" t="inlineStr">
        <is>
          <t>45⁴</t>
        </is>
      </c>
      <c r="J3711" t="n">
        <v>4</v>
      </c>
      <c r="K3711" t="inlineStr">
        <is>
          <t>2¹, 4¹, 8³</t>
        </is>
      </c>
      <c r="L3711" t="inlineStr">
        <is>
          <t>15A⁴, 45B⁶</t>
        </is>
      </c>
      <c r="M3711" t="inlineStr"/>
      <c r="N3711" t="inlineStr">
        <is>
          <t>45B⁶, 3B⁰, 5A⁰, 15A⁴, 15A², 15B¹, 3C⁰, 3A⁰, 1A⁰, 15A¹, 3D⁰</t>
        </is>
      </c>
      <c r="O3711" t="inlineStr"/>
    </row>
    <row r="3712">
      <c r="A3712">
        <f>HYPERLINK("https://mathstats.uncg.edu/sites/pauli/congruence/csg14.html#group45C14", "45C¹⁴")</f>
        <v/>
      </c>
      <c r="B3712" t="n">
        <v>14</v>
      </c>
      <c r="C3712" t="inlineStr"/>
      <c r="D3712" t="inlineStr">
        <is>
          <t>180</t>
        </is>
      </c>
      <c r="E3712" t="inlineStr">
        <is>
          <t>1</t>
        </is>
      </c>
      <c r="F3712" t="inlineStr">
        <is>
          <t>90</t>
        </is>
      </c>
      <c r="G3712" t="inlineStr">
        <is>
          <t>0</t>
        </is>
      </c>
      <c r="H3712" t="inlineStr">
        <is>
          <t>0</t>
        </is>
      </c>
      <c r="I3712" t="inlineStr">
        <is>
          <t>45⁴</t>
        </is>
      </c>
      <c r="J3712" t="n">
        <v>4</v>
      </c>
      <c r="K3712" t="inlineStr">
        <is>
          <t>2¹, 4³, 8², 12¹, 24²</t>
        </is>
      </c>
      <c r="L3712" t="inlineStr">
        <is>
          <t>45A³, 15B⁴, 45E⁵</t>
        </is>
      </c>
      <c r="M3712" t="inlineStr"/>
      <c r="N3712" t="inlineStr">
        <is>
          <t>15D¹, 5A⁰, 45E⁵, 9A⁰, 15B⁴, 5C⁰, 5F⁰, 3A⁰, 1A⁰, 15A¹, 45A³</t>
        </is>
      </c>
      <c r="O3712" t="inlineStr"/>
    </row>
    <row r="3713">
      <c r="A3713">
        <f>HYPERLINK("https://mathstats.uncg.edu/sites/pauli/congruence/csg14.html#group48A14", "48A¹⁴")</f>
        <v/>
      </c>
      <c r="B3713" t="n">
        <v>14</v>
      </c>
      <c r="C3713" t="inlineStr"/>
      <c r="D3713" t="inlineStr">
        <is>
          <t>192</t>
        </is>
      </c>
      <c r="E3713" t="inlineStr">
        <is>
          <t>2</t>
        </is>
      </c>
      <c r="F3713" t="inlineStr">
        <is>
          <t>96</t>
        </is>
      </c>
      <c r="G3713" t="inlineStr">
        <is>
          <t>0</t>
        </is>
      </c>
      <c r="H3713" t="inlineStr">
        <is>
          <t>0</t>
        </is>
      </c>
      <c r="I3713" t="inlineStr">
        <is>
          <t>16³, 48³</t>
        </is>
      </c>
      <c r="J3713" t="n">
        <v>6</v>
      </c>
      <c r="K3713" t="inlineStr">
        <is>
          <t>8¹², 16⁶</t>
        </is>
      </c>
      <c r="L3713" t="inlineStr">
        <is>
          <t>16G³, 48A⁴, 24B⁶</t>
        </is>
      </c>
      <c r="M3713" t="inlineStr"/>
      <c r="N3713" t="inlineStr">
        <is>
          <t>3B⁰, 16A⁰, 24A², 12F¹, 4C⁰, 8A⁰, 16G³, 2B⁰, 1A⁰, 8D¹, 4A⁰, 12A¹, 12G², 24B⁶, 48A⁴, 4F⁰, 6F⁰</t>
        </is>
      </c>
      <c r="O3713" t="inlineStr"/>
    </row>
    <row r="3714">
      <c r="A3714">
        <f>HYPERLINK("https://mathstats.uncg.edu/sites/pauli/congruence/csg14.html#group50A14", "50A¹⁴")</f>
        <v/>
      </c>
      <c r="B3714" t="n">
        <v>14</v>
      </c>
      <c r="C3714" t="inlineStr"/>
      <c r="D3714" t="inlineStr">
        <is>
          <t>300</t>
        </is>
      </c>
      <c r="E3714" t="inlineStr">
        <is>
          <t>1</t>
        </is>
      </c>
      <c r="F3714" t="inlineStr">
        <is>
          <t>15</t>
        </is>
      </c>
      <c r="G3714" t="inlineStr">
        <is>
          <t>20</t>
        </is>
      </c>
      <c r="H3714" t="inlineStr">
        <is>
          <t>0</t>
        </is>
      </c>
      <c r="I3714" t="inlineStr">
        <is>
          <t>10¹⁰, 50⁴</t>
        </is>
      </c>
      <c r="J3714" t="n">
        <v>14</v>
      </c>
      <c r="K3714" t="inlineStr">
        <is>
          <t>1¹, 2¹, 4³</t>
        </is>
      </c>
      <c r="L3714" t="inlineStr">
        <is>
          <t>10C², 25F⁴, 50A⁷, 50B⁷</t>
        </is>
      </c>
      <c r="M3714" t="inlineStr"/>
      <c r="N3714" t="inlineStr">
        <is>
          <t>25F², 25F⁴, 50B⁷, 5A⁰, 10D⁰, 10C², 5B⁰, 5E⁰, 1A⁰, 10E¹, 5C⁰, 50A⁷, 5G⁰, 10B⁰</t>
        </is>
      </c>
      <c r="O3714" t="inlineStr"/>
    </row>
    <row r="3715">
      <c r="A3715">
        <f>HYPERLINK("https://mathstats.uncg.edu/sites/pauli/congruence/csg14.html#group50B14", "50B¹⁴")</f>
        <v/>
      </c>
      <c r="B3715" t="n">
        <v>14</v>
      </c>
      <c r="C3715" t="inlineStr"/>
      <c r="D3715" t="inlineStr">
        <is>
          <t>300</t>
        </is>
      </c>
      <c r="E3715" t="inlineStr">
        <is>
          <t>1</t>
        </is>
      </c>
      <c r="F3715" t="inlineStr">
        <is>
          <t>30</t>
        </is>
      </c>
      <c r="G3715" t="inlineStr">
        <is>
          <t>20</t>
        </is>
      </c>
      <c r="H3715" t="inlineStr">
        <is>
          <t>0</t>
        </is>
      </c>
      <c r="I3715" t="inlineStr">
        <is>
          <t>2⁵, 10⁴, 50⁵</t>
        </is>
      </c>
      <c r="J3715" t="n">
        <v>14</v>
      </c>
      <c r="K3715" t="inlineStr">
        <is>
          <t>1², 4², 20¹</t>
        </is>
      </c>
      <c r="L3715" t="inlineStr">
        <is>
          <t>50A², 25G⁴</t>
        </is>
      </c>
      <c r="M3715" t="inlineStr"/>
      <c r="N3715" t="inlineStr">
        <is>
          <t>25A⁰, 5B⁰, 10B⁰, 1A⁰, 50A², 25G⁴</t>
        </is>
      </c>
      <c r="O3715" t="inlineStr"/>
    </row>
    <row r="3716">
      <c r="A3716">
        <f>HYPERLINK("https://mathstats.uncg.edu/sites/pauli/congruence/csg14.html#group54A14", "54A¹⁴")</f>
        <v/>
      </c>
      <c r="B3716" t="n">
        <v>14</v>
      </c>
      <c r="C3716" t="inlineStr"/>
      <c r="D3716" t="inlineStr">
        <is>
          <t>216</t>
        </is>
      </c>
      <c r="E3716" t="inlineStr">
        <is>
          <t>1</t>
        </is>
      </c>
      <c r="F3716" t="inlineStr">
        <is>
          <t>36</t>
        </is>
      </c>
      <c r="G3716" t="inlineStr">
        <is>
          <t>0</t>
        </is>
      </c>
      <c r="H3716" t="inlineStr">
        <is>
          <t>6</t>
        </is>
      </c>
      <c r="I3716" t="inlineStr">
        <is>
          <t>18³, 54³</t>
        </is>
      </c>
      <c r="J3716" t="n">
        <v>6</v>
      </c>
      <c r="K3716" t="inlineStr">
        <is>
          <t>3², 6⁵</t>
        </is>
      </c>
      <c r="L3716" t="inlineStr">
        <is>
          <t>18N², 27A⁶</t>
        </is>
      </c>
      <c r="M3716" t="inlineStr"/>
      <c r="N3716" t="inlineStr">
        <is>
          <t>3B⁰, 2A⁰, 9J⁰, 27A⁶, 18B⁰, 18N², 6C⁰, 9C⁰, 1A⁰</t>
        </is>
      </c>
      <c r="O3716" t="inlineStr"/>
    </row>
    <row r="3717">
      <c r="A3717">
        <f>HYPERLINK("https://mathstats.uncg.edu/sites/pauli/congruence/csg14.html#group54B14", "54B¹⁴")</f>
        <v/>
      </c>
      <c r="B3717" t="n">
        <v>14</v>
      </c>
      <c r="C3717" t="inlineStr"/>
      <c r="D3717" t="inlineStr">
        <is>
          <t>216</t>
        </is>
      </c>
      <c r="E3717" t="inlineStr">
        <is>
          <t>1</t>
        </is>
      </c>
      <c r="F3717" t="inlineStr">
        <is>
          <t>72</t>
        </is>
      </c>
      <c r="G3717" t="inlineStr">
        <is>
          <t>0</t>
        </is>
      </c>
      <c r="H3717" t="inlineStr">
        <is>
          <t>6</t>
        </is>
      </c>
      <c r="I3717" t="inlineStr">
        <is>
          <t>18³, 54³</t>
        </is>
      </c>
      <c r="J3717" t="n">
        <v>6</v>
      </c>
      <c r="K3717" t="inlineStr">
        <is>
          <t>6¹²</t>
        </is>
      </c>
      <c r="L3717" t="inlineStr">
        <is>
          <t>18N²</t>
        </is>
      </c>
      <c r="M3717" t="inlineStr"/>
      <c r="N3717" t="inlineStr">
        <is>
          <t>3B⁰, 2A⁰, 9J⁰, 18B⁰, 18N², 6C⁰, 9C⁰, 1A⁰</t>
        </is>
      </c>
      <c r="O3717" t="inlineStr"/>
    </row>
    <row r="3718">
      <c r="A3718">
        <f>HYPERLINK("https://mathstats.uncg.edu/sites/pauli/congruence/csg14.html#group56A14", "56A¹⁴")</f>
        <v/>
      </c>
      <c r="B3718" t="n">
        <v>14</v>
      </c>
      <c r="C3718" t="inlineStr"/>
      <c r="D3718" t="inlineStr">
        <is>
          <t>192</t>
        </is>
      </c>
      <c r="E3718" t="inlineStr">
        <is>
          <t>1</t>
        </is>
      </c>
      <c r="F3718" t="inlineStr">
        <is>
          <t>96</t>
        </is>
      </c>
      <c r="G3718" t="inlineStr">
        <is>
          <t>0</t>
        </is>
      </c>
      <c r="H3718" t="inlineStr">
        <is>
          <t>0</t>
        </is>
      </c>
      <c r="I3718" t="inlineStr">
        <is>
          <t>8³, 56³</t>
        </is>
      </c>
      <c r="J3718" t="n">
        <v>6</v>
      </c>
      <c r="K3718" t="inlineStr">
        <is>
          <t>2⁴, 4⁴, 12², 24²</t>
        </is>
      </c>
      <c r="L3718" t="inlineStr">
        <is>
          <t>8D¹, 56A⁴, 28G⁶</t>
        </is>
      </c>
      <c r="M3718" t="inlineStr"/>
      <c r="N3718" t="inlineStr">
        <is>
          <t>56A⁴, 7B⁰, 4A⁰, 4C⁰, 14C¹, 8A⁰, 2B⁰, 4F⁰, 28G⁶, 28C³, 1A⁰, 8D¹, 28A²</t>
        </is>
      </c>
      <c r="O3718" t="inlineStr"/>
    </row>
    <row r="3719">
      <c r="A3719">
        <f>HYPERLINK("https://mathstats.uncg.edu/sites/pauli/congruence/csg14.html#group56B14", "56B¹⁴")</f>
        <v/>
      </c>
      <c r="B3719" t="n">
        <v>14</v>
      </c>
      <c r="C3719" t="inlineStr"/>
      <c r="D3719" t="inlineStr">
        <is>
          <t>192</t>
        </is>
      </c>
      <c r="E3719" t="inlineStr">
        <is>
          <t>2</t>
        </is>
      </c>
      <c r="F3719" t="inlineStr">
        <is>
          <t>32</t>
        </is>
      </c>
      <c r="G3719" t="inlineStr">
        <is>
          <t>0</t>
        </is>
      </c>
      <c r="H3719" t="inlineStr">
        <is>
          <t>0</t>
        </is>
      </c>
      <c r="I3719" t="inlineStr">
        <is>
          <t>8³, 56³</t>
        </is>
      </c>
      <c r="J3719" t="n">
        <v>6</v>
      </c>
      <c r="K3719" t="inlineStr">
        <is>
          <t>4⁴, 24²</t>
        </is>
      </c>
      <c r="L3719" t="inlineStr">
        <is>
          <t>56A⁴, 28F⁶</t>
        </is>
      </c>
      <c r="M3719" t="inlineStr"/>
      <c r="N3719" t="inlineStr">
        <is>
          <t>56A⁴, 28F⁶, 4A⁰, 7B⁰, 8A⁰, 7E⁰, 1A⁰, 28A²</t>
        </is>
      </c>
      <c r="O3719" t="inlineStr"/>
    </row>
    <row r="3720">
      <c r="A3720">
        <f>HYPERLINK("https://mathstats.uncg.edu/sites/pauli/congruence/csg14.html#group56C14", "56C¹⁴")</f>
        <v/>
      </c>
      <c r="B3720" t="n">
        <v>14</v>
      </c>
      <c r="C3720" t="inlineStr"/>
      <c r="D3720" t="inlineStr">
        <is>
          <t>224</t>
        </is>
      </c>
      <c r="E3720" t="inlineStr">
        <is>
          <t>2</t>
        </is>
      </c>
      <c r="F3720" t="inlineStr">
        <is>
          <t>112</t>
        </is>
      </c>
      <c r="G3720" t="inlineStr">
        <is>
          <t>12</t>
        </is>
      </c>
      <c r="H3720" t="inlineStr">
        <is>
          <t>2</t>
        </is>
      </c>
      <c r="I3720" t="inlineStr">
        <is>
          <t>56⁴</t>
        </is>
      </c>
      <c r="J3720" t="n">
        <v>4</v>
      </c>
      <c r="K3720" t="inlineStr">
        <is>
          <t>8⁸, 24¹⁶</t>
        </is>
      </c>
      <c r="L3720" t="inlineStr">
        <is>
          <t>56A³, 56H⁶</t>
        </is>
      </c>
      <c r="M3720" t="inlineStr"/>
      <c r="N3720" t="inlineStr">
        <is>
          <t>56H⁶, 8F⁰, 28A¹, 1A⁰, 4A⁰, 7A⁰, 56A³</t>
        </is>
      </c>
      <c r="O3720" t="inlineStr"/>
    </row>
    <row r="3721">
      <c r="A3721">
        <f>HYPERLINK("https://mathstats.uncg.edu/sites/pauli/congruence/csg14.html#group56D14", "56D¹⁴")</f>
        <v/>
      </c>
      <c r="B3721" t="n">
        <v>14</v>
      </c>
      <c r="C3721" t="inlineStr"/>
      <c r="D3721" t="inlineStr">
        <is>
          <t>224</t>
        </is>
      </c>
      <c r="E3721" t="inlineStr">
        <is>
          <t>2</t>
        </is>
      </c>
      <c r="F3721" t="inlineStr">
        <is>
          <t>112</t>
        </is>
      </c>
      <c r="G3721" t="inlineStr">
        <is>
          <t>12</t>
        </is>
      </c>
      <c r="H3721" t="inlineStr">
        <is>
          <t>2</t>
        </is>
      </c>
      <c r="I3721" t="inlineStr">
        <is>
          <t>56⁴</t>
        </is>
      </c>
      <c r="J3721" t="n">
        <v>4</v>
      </c>
      <c r="K3721" t="inlineStr">
        <is>
          <t>8⁸, 24¹⁶</t>
        </is>
      </c>
      <c r="L3721" t="inlineStr">
        <is>
          <t>56B³, 56H⁶</t>
        </is>
      </c>
      <c r="M3721" t="inlineStr"/>
      <c r="N3721" t="inlineStr">
        <is>
          <t>56H⁶, 56B³, 8F⁰, 28A¹, 1A⁰, 4A⁰, 7A⁰</t>
        </is>
      </c>
      <c r="O3721" t="inlineStr"/>
    </row>
    <row r="3722">
      <c r="A3722">
        <f>HYPERLINK("https://mathstats.uncg.edu/sites/pauli/congruence/csg14.html#group56E14", "56E¹⁴")</f>
        <v/>
      </c>
      <c r="B3722" t="n">
        <v>14</v>
      </c>
      <c r="C3722" t="inlineStr"/>
      <c r="D3722" t="inlineStr">
        <is>
          <t>224</t>
        </is>
      </c>
      <c r="E3722" t="inlineStr">
        <is>
          <t>2</t>
        </is>
      </c>
      <c r="F3722" t="inlineStr">
        <is>
          <t>112</t>
        </is>
      </c>
      <c r="G3722" t="inlineStr">
        <is>
          <t>12</t>
        </is>
      </c>
      <c r="H3722" t="inlineStr">
        <is>
          <t>2</t>
        </is>
      </c>
      <c r="I3722" t="inlineStr">
        <is>
          <t>56⁴</t>
        </is>
      </c>
      <c r="J3722" t="n">
        <v>4</v>
      </c>
      <c r="K3722" t="inlineStr">
        <is>
          <t>8⁸, 24¹⁶</t>
        </is>
      </c>
      <c r="L3722" t="inlineStr">
        <is>
          <t>8M⁰, 56C³, 56H⁶</t>
        </is>
      </c>
      <c r="M3722" t="inlineStr"/>
      <c r="N3722" t="inlineStr">
        <is>
          <t>8F⁰, 4A⁰, 56H⁶, 8A⁰, 56C³, 8M⁰, 28A¹, 1A⁰, 7A⁰</t>
        </is>
      </c>
      <c r="O3722" t="inlineStr"/>
    </row>
    <row r="3723">
      <c r="A3723">
        <f>HYPERLINK("https://mathstats.uncg.edu/sites/pauli/congruence/csg14.html#group56F14", "56F¹⁴")</f>
        <v/>
      </c>
      <c r="B3723" t="n">
        <v>14</v>
      </c>
      <c r="C3723" t="inlineStr"/>
      <c r="D3723" t="inlineStr">
        <is>
          <t>224</t>
        </is>
      </c>
      <c r="E3723" t="inlineStr">
        <is>
          <t>2</t>
        </is>
      </c>
      <c r="F3723" t="inlineStr">
        <is>
          <t>112</t>
        </is>
      </c>
      <c r="G3723" t="inlineStr">
        <is>
          <t>12</t>
        </is>
      </c>
      <c r="H3723" t="inlineStr">
        <is>
          <t>2</t>
        </is>
      </c>
      <c r="I3723" t="inlineStr">
        <is>
          <t>56⁴</t>
        </is>
      </c>
      <c r="J3723" t="n">
        <v>4</v>
      </c>
      <c r="K3723" t="inlineStr">
        <is>
          <t>8⁸, 24¹⁶</t>
        </is>
      </c>
      <c r="L3723" t="inlineStr">
        <is>
          <t>8M⁰, 56D³, 56H⁶</t>
        </is>
      </c>
      <c r="M3723" t="inlineStr"/>
      <c r="N3723" t="inlineStr">
        <is>
          <t>56D³, 8F⁰, 4A⁰, 56H⁶, 8A⁰, 8M⁰, 28A¹, 1A⁰, 7A⁰</t>
        </is>
      </c>
      <c r="O3723" t="inlineStr"/>
    </row>
    <row r="3724">
      <c r="A3724">
        <f>HYPERLINK("https://mathstats.uncg.edu/sites/pauli/congruence/csg14.html#group56G14", "56G¹⁴")</f>
        <v/>
      </c>
      <c r="B3724" t="n">
        <v>14</v>
      </c>
      <c r="C3724" t="inlineStr"/>
      <c r="D3724" t="inlineStr">
        <is>
          <t>252</t>
        </is>
      </c>
      <c r="E3724" t="inlineStr">
        <is>
          <t>1</t>
        </is>
      </c>
      <c r="F3724" t="inlineStr">
        <is>
          <t>63</t>
        </is>
      </c>
      <c r="G3724" t="inlineStr">
        <is>
          <t>20</t>
        </is>
      </c>
      <c r="H3724" t="inlineStr">
        <is>
          <t>0</t>
        </is>
      </c>
      <c r="I3724" t="inlineStr">
        <is>
          <t>28³, 56³</t>
        </is>
      </c>
      <c r="J3724" t="n">
        <v>6</v>
      </c>
      <c r="K3724" t="inlineStr">
        <is>
          <t>3³, 6⁹</t>
        </is>
      </c>
      <c r="L3724" t="inlineStr">
        <is>
          <t>56B⁴, 28I⁶</t>
        </is>
      </c>
      <c r="M3724" t="inlineStr"/>
      <c r="N3724" t="inlineStr">
        <is>
          <t>28C², 7D⁰, 14B¹, 4C⁰, 8B⁰, 14F², 2B⁰, 28I⁶, 1A⁰, 7A⁰, 56B⁴</t>
        </is>
      </c>
      <c r="O3724" t="inlineStr"/>
    </row>
    <row r="3725">
      <c r="A3725">
        <f>HYPERLINK("https://mathstats.uncg.edu/sites/pauli/congruence/csg14.html#group60A14", "60A¹⁴")</f>
        <v/>
      </c>
      <c r="B3725" t="n">
        <v>14</v>
      </c>
      <c r="C3725" t="inlineStr"/>
      <c r="D3725" t="inlineStr">
        <is>
          <t>180</t>
        </is>
      </c>
      <c r="E3725" t="inlineStr">
        <is>
          <t>1</t>
        </is>
      </c>
      <c r="F3725" t="inlineStr">
        <is>
          <t>15</t>
        </is>
      </c>
      <c r="G3725" t="inlineStr">
        <is>
          <t>0</t>
        </is>
      </c>
      <c r="H3725" t="inlineStr">
        <is>
          <t>0</t>
        </is>
      </c>
      <c r="I3725" t="inlineStr">
        <is>
          <t>30², 60²</t>
        </is>
      </c>
      <c r="J3725" t="n">
        <v>4</v>
      </c>
      <c r="K3725" t="inlineStr">
        <is>
          <t>1³, 4³</t>
        </is>
      </c>
      <c r="L3725" t="inlineStr">
        <is>
          <t>12B², 20A⁴, 60B⁶, 30B⁷, 60A⁷</t>
        </is>
      </c>
      <c r="M3725" t="inlineStr"/>
      <c r="N3725" t="inlineStr">
        <is>
          <t>20A², 2A⁰, 30A³, 5A⁰, 12C⁰, 10B¹, 20B², 4C⁰, 6C¹, 12B², 60B⁶, 30B⁷, 2B⁰, 4E⁰, 10B², 4B⁰, 1A⁰, 60A⁷, 30D³, 30A¹, 10A⁰, 6A⁰, 6D⁰, 20A⁴, 12B¹, 6A¹, 3A⁰, 2C⁰, 15A¹</t>
        </is>
      </c>
      <c r="O3725" t="inlineStr"/>
    </row>
    <row r="3726">
      <c r="A3726">
        <f>HYPERLINK("https://mathstats.uncg.edu/sites/pauli/congruence/csg14.html#group60B14", "60B¹⁴")</f>
        <v/>
      </c>
      <c r="B3726" t="n">
        <v>14</v>
      </c>
      <c r="C3726" t="inlineStr"/>
      <c r="D3726" t="inlineStr">
        <is>
          <t>180</t>
        </is>
      </c>
      <c r="E3726" t="inlineStr">
        <is>
          <t>1</t>
        </is>
      </c>
      <c r="F3726" t="inlineStr">
        <is>
          <t>30</t>
        </is>
      </c>
      <c r="G3726" t="inlineStr">
        <is>
          <t>0</t>
        </is>
      </c>
      <c r="H3726" t="inlineStr">
        <is>
          <t>0</t>
        </is>
      </c>
      <c r="I3726" t="inlineStr">
        <is>
          <t>30², 60²</t>
        </is>
      </c>
      <c r="J3726" t="n">
        <v>4</v>
      </c>
      <c r="K3726" t="inlineStr">
        <is>
          <t>2³, 4⁶</t>
        </is>
      </c>
      <c r="L3726" t="inlineStr">
        <is>
          <t>20B⁴, 30K⁵</t>
        </is>
      </c>
      <c r="M3726" t="inlineStr"/>
      <c r="N3726" t="inlineStr">
        <is>
          <t>30K⁵, 15D¹, 20B⁴, 2B⁰, 1A⁰, 3A⁰, 5C⁰, 6D⁰, 10F¹</t>
        </is>
      </c>
      <c r="O3726" t="inlineStr"/>
    </row>
    <row r="3727">
      <c r="A3727">
        <f>HYPERLINK("https://mathstats.uncg.edu/sites/pauli/congruence/csg14.html#group60C14", "60C¹⁴")</f>
        <v/>
      </c>
      <c r="B3727" t="n">
        <v>14</v>
      </c>
      <c r="C3727" t="inlineStr"/>
      <c r="D3727" t="inlineStr">
        <is>
          <t>180</t>
        </is>
      </c>
      <c r="E3727" t="inlineStr">
        <is>
          <t>1</t>
        </is>
      </c>
      <c r="F3727" t="inlineStr">
        <is>
          <t>45</t>
        </is>
      </c>
      <c r="G3727" t="inlineStr">
        <is>
          <t>0</t>
        </is>
      </c>
      <c r="H3727" t="inlineStr">
        <is>
          <t>0</t>
        </is>
      </c>
      <c r="I3727" t="inlineStr">
        <is>
          <t>30², 60²</t>
        </is>
      </c>
      <c r="J3727" t="n">
        <v>4</v>
      </c>
      <c r="K3727" t="inlineStr">
        <is>
          <t>1³, 2³, 4³, 8³</t>
        </is>
      </c>
      <c r="L3727" t="inlineStr">
        <is>
          <t>12C², 30A⁶, 60B⁷</t>
        </is>
      </c>
      <c r="M3727" t="inlineStr"/>
      <c r="N3727" t="inlineStr">
        <is>
          <t>5A⁰, 10B¹, 60B⁷, 6G⁰, 2B⁰, 1A⁰, 30D³, 12C¹, 15A², 6D⁰, 3C⁰, 30A⁶, 3A⁰, 12C², 15A¹</t>
        </is>
      </c>
      <c r="O3727" t="inlineStr"/>
    </row>
    <row r="3728">
      <c r="A3728">
        <f>HYPERLINK("https://mathstats.uncg.edu/sites/pauli/congruence/csg14.html#group60D14", "60D¹⁴")</f>
        <v/>
      </c>
      <c r="B3728" t="n">
        <v>14</v>
      </c>
      <c r="C3728" t="inlineStr"/>
      <c r="D3728" t="inlineStr">
        <is>
          <t>180</t>
        </is>
      </c>
      <c r="E3728" t="inlineStr">
        <is>
          <t>1</t>
        </is>
      </c>
      <c r="F3728" t="inlineStr">
        <is>
          <t>45</t>
        </is>
      </c>
      <c r="G3728" t="inlineStr">
        <is>
          <t>0</t>
        </is>
      </c>
      <c r="H3728" t="inlineStr">
        <is>
          <t>0</t>
        </is>
      </c>
      <c r="I3728" t="inlineStr">
        <is>
          <t>30², 60²</t>
        </is>
      </c>
      <c r="J3728" t="n">
        <v>4</v>
      </c>
      <c r="K3728" t="inlineStr">
        <is>
          <t>1³, 2³, 4³, 8³</t>
        </is>
      </c>
      <c r="L3728" t="inlineStr">
        <is>
          <t>12D², 30B⁶, 60A⁷, 60B⁷</t>
        </is>
      </c>
      <c r="M3728" t="inlineStr"/>
      <c r="N3728" t="inlineStr">
        <is>
          <t>20A², 5A⁰, 6B⁰, 12D², 10B¹, 60B⁷, 2B⁰, 30B⁶, 4B⁰, 1A⁰, 60A⁷, 30D³, 30A², 12C¹, 6D⁰, 12B¹, 6H⁰, 3A⁰, 15A¹</t>
        </is>
      </c>
      <c r="O3728" t="inlineStr"/>
    </row>
    <row r="3729">
      <c r="A3729">
        <f>HYPERLINK("https://mathstats.uncg.edu/sites/pauli/congruence/csg14.html#group60E14", "60E¹⁴")</f>
        <v/>
      </c>
      <c r="B3729" t="n">
        <v>14</v>
      </c>
      <c r="C3729" t="inlineStr"/>
      <c r="D3729" t="inlineStr">
        <is>
          <t>180</t>
        </is>
      </c>
      <c r="E3729" t="inlineStr">
        <is>
          <t>1</t>
        </is>
      </c>
      <c r="F3729" t="inlineStr">
        <is>
          <t>45</t>
        </is>
      </c>
      <c r="G3729" t="inlineStr">
        <is>
          <t>0</t>
        </is>
      </c>
      <c r="H3729" t="inlineStr">
        <is>
          <t>0</t>
        </is>
      </c>
      <c r="I3729" t="inlineStr">
        <is>
          <t>30², 60²</t>
        </is>
      </c>
      <c r="J3729" t="n">
        <v>4</v>
      </c>
      <c r="K3729" t="inlineStr">
        <is>
          <t>1³, 2³, 4³, 8³</t>
        </is>
      </c>
      <c r="L3729" t="inlineStr">
        <is>
          <t>12E², 60C⁶, 30B⁷, 60B⁷</t>
        </is>
      </c>
      <c r="M3729" t="inlineStr"/>
      <c r="N3729" t="inlineStr">
        <is>
          <t>2A⁰, 30A³, 5A⁰, 60C⁶, 10B¹, 6C¹, 60B⁷, 12E², 30B⁷, 2B⁰, 10B², 1A⁰, 30D³, 30A¹, 10A⁰, 12C¹, 6A⁰, 6D⁰, 6A¹, 12D⁰, 3A⁰, 2C⁰, 15A¹</t>
        </is>
      </c>
      <c r="O3729" t="inlineStr"/>
    </row>
    <row r="3730">
      <c r="A3730">
        <f>HYPERLINK("https://mathstats.uncg.edu/sites/pauli/congruence/csg14.html#group60F14", "60F¹⁴")</f>
        <v/>
      </c>
      <c r="B3730" t="n">
        <v>14</v>
      </c>
      <c r="C3730" t="inlineStr"/>
      <c r="D3730" t="inlineStr">
        <is>
          <t>180</t>
        </is>
      </c>
      <c r="E3730" t="inlineStr">
        <is>
          <t>2</t>
        </is>
      </c>
      <c r="F3730" t="inlineStr">
        <is>
          <t>15</t>
        </is>
      </c>
      <c r="G3730" t="inlineStr">
        <is>
          <t>0</t>
        </is>
      </c>
      <c r="H3730" t="inlineStr">
        <is>
          <t>0</t>
        </is>
      </c>
      <c r="I3730" t="inlineStr">
        <is>
          <t>30², 60²</t>
        </is>
      </c>
      <c r="J3730" t="n">
        <v>4</v>
      </c>
      <c r="K3730" t="inlineStr">
        <is>
          <t>2³, 8³</t>
        </is>
      </c>
      <c r="L3730" t="inlineStr">
        <is>
          <t>20A⁴, 60D⁶, 30E⁷, 60C⁷</t>
        </is>
      </c>
      <c r="M3730" t="inlineStr"/>
      <c r="N3730" t="inlineStr">
        <is>
          <t>20A², 2A⁰, 5A⁰, 60D⁶, 10B¹, 20B², 4C⁰, 2B⁰, 4E⁰, 10B², 4B⁰, 1A⁰, 30B², 10A⁰, 30E³, 30E⁷, 30B¹, 20A⁴, 2C⁰, 60C⁷, 15A⁰</t>
        </is>
      </c>
      <c r="O3730" t="inlineStr"/>
    </row>
    <row r="3731">
      <c r="A3731">
        <f>HYPERLINK("https://mathstats.uncg.edu/sites/pauli/congruence/csg14.html#group60G14", "60G¹⁴")</f>
        <v/>
      </c>
      <c r="B3731" t="n">
        <v>14</v>
      </c>
      <c r="C3731" t="inlineStr"/>
      <c r="D3731" t="inlineStr">
        <is>
          <t>240</t>
        </is>
      </c>
      <c r="E3731" t="inlineStr">
        <is>
          <t>1</t>
        </is>
      </c>
      <c r="F3731" t="inlineStr">
        <is>
          <t>40</t>
        </is>
      </c>
      <c r="G3731" t="inlineStr">
        <is>
          <t>0</t>
        </is>
      </c>
      <c r="H3731" t="inlineStr">
        <is>
          <t>12</t>
        </is>
      </c>
      <c r="I3731" t="inlineStr">
        <is>
          <t>20³, 60³</t>
        </is>
      </c>
      <c r="J3731" t="n">
        <v>6</v>
      </c>
      <c r="K3731" t="inlineStr">
        <is>
          <t>2², 4⁵, 8²</t>
        </is>
      </c>
      <c r="L3731" t="inlineStr">
        <is>
          <t>60B⁴, 30E⁶</t>
        </is>
      </c>
      <c r="M3731" t="inlineStr"/>
      <c r="N3731" t="inlineStr">
        <is>
          <t>2A⁰, 3B⁰, 5A⁰, 30E⁶, 10A⁰, 10E⁰, 30D², 60B⁴, 6C⁰, 15B¹, 1A⁰, 12B⁰</t>
        </is>
      </c>
      <c r="O3731" t="inlineStr"/>
    </row>
    <row r="3732">
      <c r="A3732">
        <f>HYPERLINK("https://mathstats.uncg.edu/sites/pauli/congruence/csg14.html#group62A14", "62A¹⁴")</f>
        <v/>
      </c>
      <c r="B3732" t="n">
        <v>14</v>
      </c>
      <c r="C3732" t="inlineStr"/>
      <c r="D3732" t="inlineStr">
        <is>
          <t>192</t>
        </is>
      </c>
      <c r="E3732" t="inlineStr">
        <is>
          <t>1</t>
        </is>
      </c>
      <c r="F3732" t="inlineStr">
        <is>
          <t>32</t>
        </is>
      </c>
      <c r="G3732" t="inlineStr">
        <is>
          <t>0</t>
        </is>
      </c>
      <c r="H3732" t="inlineStr">
        <is>
          <t>0</t>
        </is>
      </c>
      <c r="I3732" t="inlineStr">
        <is>
          <t>2³, 62³</t>
        </is>
      </c>
      <c r="J3732" t="n">
        <v>6</v>
      </c>
      <c r="K3732" t="inlineStr">
        <is>
          <t>1², 30¹</t>
        </is>
      </c>
      <c r="L3732" t="inlineStr">
        <is>
          <t>62A⁴, 31A⁶</t>
        </is>
      </c>
      <c r="M3732" t="inlineStr"/>
      <c r="N3732" t="inlineStr">
        <is>
          <t>2A⁰, 31A⁶, 31A², 1A⁰, 62A⁴</t>
        </is>
      </c>
      <c r="O3732" t="inlineStr"/>
    </row>
    <row r="3733">
      <c r="A3733">
        <f>HYPERLINK("https://mathstats.uncg.edu/sites/pauli/congruence/csg14.html#group62B14", "62B¹⁴")</f>
        <v/>
      </c>
      <c r="B3733" t="n">
        <v>14</v>
      </c>
      <c r="C3733" t="inlineStr"/>
      <c r="D3733" t="inlineStr">
        <is>
          <t>192</t>
        </is>
      </c>
      <c r="E3733" t="inlineStr">
        <is>
          <t>1</t>
        </is>
      </c>
      <c r="F3733" t="inlineStr">
        <is>
          <t>32</t>
        </is>
      </c>
      <c r="G3733" t="inlineStr">
        <is>
          <t>0</t>
        </is>
      </c>
      <c r="H3733" t="inlineStr">
        <is>
          <t>0</t>
        </is>
      </c>
      <c r="I3733" t="inlineStr">
        <is>
          <t>2³, 62³</t>
        </is>
      </c>
      <c r="J3733" t="n">
        <v>6</v>
      </c>
      <c r="K3733" t="inlineStr">
        <is>
          <t>1², 30¹</t>
        </is>
      </c>
      <c r="L3733" t="inlineStr">
        <is>
          <t>2C⁰, 62A⁴, 62A⁷</t>
        </is>
      </c>
      <c r="M3733" t="inlineStr"/>
      <c r="N3733" t="inlineStr">
        <is>
          <t>2A⁰, 62A⁷, 31A², 2B⁰, 1A⁰, 2C⁰, 62A⁴</t>
        </is>
      </c>
      <c r="O3733" t="inlineStr"/>
    </row>
    <row r="3734">
      <c r="A3734">
        <f>HYPERLINK("https://mathstats.uncg.edu/sites/pauli/congruence/csg14.html#group63A14", "63A¹⁴")</f>
        <v/>
      </c>
      <c r="B3734" t="n">
        <v>14</v>
      </c>
      <c r="C3734" t="inlineStr"/>
      <c r="D3734" t="inlineStr">
        <is>
          <t>216</t>
        </is>
      </c>
      <c r="E3734" t="inlineStr">
        <is>
          <t>1</t>
        </is>
      </c>
      <c r="F3734" t="inlineStr">
        <is>
          <t>216</t>
        </is>
      </c>
      <c r="G3734" t="inlineStr">
        <is>
          <t>0</t>
        </is>
      </c>
      <c r="H3734" t="inlineStr">
        <is>
          <t>6</t>
        </is>
      </c>
      <c r="I3734" t="inlineStr">
        <is>
          <t>9³, 63³</t>
        </is>
      </c>
      <c r="J3734" t="n">
        <v>6</v>
      </c>
      <c r="K3734" t="inlineStr">
        <is>
          <t>3², 6⁸, 18¹, 36⁴</t>
        </is>
      </c>
      <c r="L3734" t="inlineStr">
        <is>
          <t>7B⁰, 9F⁰</t>
        </is>
      </c>
      <c r="M3734" t="inlineStr"/>
      <c r="N3734" t="inlineStr">
        <is>
          <t>9F⁰, 1A⁰, 7B⁰</t>
        </is>
      </c>
      <c r="O3734" t="inlineStr"/>
    </row>
    <row r="3735">
      <c r="A3735">
        <f>HYPERLINK("https://mathstats.uncg.edu/sites/pauli/congruence/csg14.html#group63B14", "63B¹⁴")</f>
        <v/>
      </c>
      <c r="B3735" t="n">
        <v>14</v>
      </c>
      <c r="C3735" t="inlineStr"/>
      <c r="D3735" t="inlineStr">
        <is>
          <t>252</t>
        </is>
      </c>
      <c r="E3735" t="inlineStr">
        <is>
          <t>2</t>
        </is>
      </c>
      <c r="F3735" t="inlineStr">
        <is>
          <t>21</t>
        </is>
      </c>
      <c r="G3735" t="inlineStr">
        <is>
          <t>24</t>
        </is>
      </c>
      <c r="H3735" t="inlineStr">
        <is>
          <t>0</t>
        </is>
      </c>
      <c r="I3735" t="inlineStr">
        <is>
          <t>63⁴</t>
        </is>
      </c>
      <c r="J3735" t="n">
        <v>4</v>
      </c>
      <c r="K3735" t="inlineStr">
        <is>
          <t>2¹, 4¹, 6², 12²</t>
        </is>
      </c>
      <c r="L3735" t="inlineStr">
        <is>
          <t>21B⁴, 63E⁶, 63F⁶, 63G⁶</t>
        </is>
      </c>
      <c r="M3735" t="inlineStr"/>
      <c r="N3735" t="inlineStr">
        <is>
          <t>21D², 9D⁰, 63F⁶, 21D¹, 9A⁰, 63A², 63E⁶, 21A⁰, 63G⁶, 3C⁰, 7A⁰, 3A⁰, 1A⁰, 21B⁴</t>
        </is>
      </c>
      <c r="O3735" t="inlineStr"/>
    </row>
    <row r="3736">
      <c r="A3736">
        <f>HYPERLINK("https://mathstats.uncg.edu/sites/pauli/congruence/csg14.html#group64A14", "64A¹⁴")</f>
        <v/>
      </c>
      <c r="B3736" t="n">
        <v>14</v>
      </c>
      <c r="C3736" t="inlineStr"/>
      <c r="D3736" t="inlineStr">
        <is>
          <t>192</t>
        </is>
      </c>
      <c r="E3736" t="inlineStr">
        <is>
          <t>2</t>
        </is>
      </c>
      <c r="F3736" t="inlineStr">
        <is>
          <t>48</t>
        </is>
      </c>
      <c r="G3736" t="inlineStr">
        <is>
          <t>4</t>
        </is>
      </c>
      <c r="H3736" t="inlineStr">
        <is>
          <t>0</t>
        </is>
      </c>
      <c r="I3736" t="inlineStr">
        <is>
          <t>32², 64²</t>
        </is>
      </c>
      <c r="J3736" t="n">
        <v>4</v>
      </c>
      <c r="K3736" t="inlineStr">
        <is>
          <t>2⁸, 4⁴, 8⁴, 16²</t>
        </is>
      </c>
      <c r="L3736" t="inlineStr">
        <is>
          <t>32C⁶, 64G⁷, 64H⁷</t>
        </is>
      </c>
      <c r="M3736" t="inlineStr"/>
      <c r="N3736" t="inlineStr">
        <is>
          <t>8D⁰, 4C⁰, 8B⁰, 2B⁰, 32G³, 64H⁷, 1A⁰, 16E², 64G⁷, 8H⁰, 16D¹, 32C⁶, 4A⁰, 32E³, 4F⁰</t>
        </is>
      </c>
      <c r="O3736" t="inlineStr"/>
    </row>
    <row r="3737">
      <c r="A3737">
        <f>HYPERLINK("https://mathstats.uncg.edu/sites/pauli/congruence/csg14.html#group64B14", "64B¹⁴")</f>
        <v/>
      </c>
      <c r="B3737" t="n">
        <v>14</v>
      </c>
      <c r="C3737" t="inlineStr"/>
      <c r="D3737" t="inlineStr">
        <is>
          <t>192</t>
        </is>
      </c>
      <c r="E3737" t="inlineStr">
        <is>
          <t>2</t>
        </is>
      </c>
      <c r="F3737" t="inlineStr">
        <is>
          <t>48</t>
        </is>
      </c>
      <c r="G3737" t="inlineStr">
        <is>
          <t>4</t>
        </is>
      </c>
      <c r="H3737" t="inlineStr">
        <is>
          <t>0</t>
        </is>
      </c>
      <c r="I3737" t="inlineStr">
        <is>
          <t>32², 64²</t>
        </is>
      </c>
      <c r="J3737" t="n">
        <v>4</v>
      </c>
      <c r="K3737" t="inlineStr">
        <is>
          <t>2⁸, 4⁴, 8⁴, 16²</t>
        </is>
      </c>
      <c r="L3737" t="inlineStr">
        <is>
          <t>32C⁶, 64G⁷, 64H⁷</t>
        </is>
      </c>
      <c r="M3737" t="inlineStr"/>
      <c r="N3737" t="inlineStr">
        <is>
          <t>8D⁰, 4C⁰, 8B⁰, 2B⁰, 32G³, 64H⁷, 1A⁰, 16E², 64G⁷, 8H⁰, 16D¹, 32C⁶, 4A⁰, 32E³, 4F⁰</t>
        </is>
      </c>
      <c r="O3737" t="inlineStr"/>
    </row>
    <row r="3738">
      <c r="A3738">
        <f>HYPERLINK("https://mathstats.uncg.edu/sites/pauli/congruence/csg14.html#group64C14", "64C¹⁴")</f>
        <v/>
      </c>
      <c r="B3738" t="n">
        <v>14</v>
      </c>
      <c r="C3738" t="inlineStr"/>
      <c r="D3738" t="inlineStr">
        <is>
          <t>192</t>
        </is>
      </c>
      <c r="E3738" t="inlineStr">
        <is>
          <t>2</t>
        </is>
      </c>
      <c r="F3738" t="inlineStr">
        <is>
          <t>48</t>
        </is>
      </c>
      <c r="G3738" t="inlineStr">
        <is>
          <t>4</t>
        </is>
      </c>
      <c r="H3738" t="inlineStr">
        <is>
          <t>0</t>
        </is>
      </c>
      <c r="I3738" t="inlineStr">
        <is>
          <t>32², 64²</t>
        </is>
      </c>
      <c r="J3738" t="n">
        <v>4</v>
      </c>
      <c r="K3738" t="inlineStr">
        <is>
          <t>2⁸, 4⁴, 8⁴, 16²</t>
        </is>
      </c>
      <c r="L3738" t="inlineStr">
        <is>
          <t>32C⁶, 64I⁷, 64J⁷</t>
        </is>
      </c>
      <c r="M3738" t="inlineStr"/>
      <c r="N3738" t="inlineStr">
        <is>
          <t>8D⁰, 4C⁰, 8B⁰, 2B⁰, 32G³, 1A⁰, 16E², 8H⁰, 16D¹, 32C⁶, 4A⁰, 64J⁷, 32E³, 4F⁰, 64I⁷</t>
        </is>
      </c>
      <c r="O3738" t="inlineStr"/>
    </row>
    <row r="3739">
      <c r="A3739">
        <f>HYPERLINK("https://mathstats.uncg.edu/sites/pauli/congruence/csg14.html#group64D14", "64D¹⁴")</f>
        <v/>
      </c>
      <c r="B3739" t="n">
        <v>14</v>
      </c>
      <c r="C3739" t="inlineStr"/>
      <c r="D3739" t="inlineStr">
        <is>
          <t>192</t>
        </is>
      </c>
      <c r="E3739" t="inlineStr">
        <is>
          <t>2</t>
        </is>
      </c>
      <c r="F3739" t="inlineStr">
        <is>
          <t>48</t>
        </is>
      </c>
      <c r="G3739" t="inlineStr">
        <is>
          <t>4</t>
        </is>
      </c>
      <c r="H3739" t="inlineStr">
        <is>
          <t>0</t>
        </is>
      </c>
      <c r="I3739" t="inlineStr">
        <is>
          <t>32², 64²</t>
        </is>
      </c>
      <c r="J3739" t="n">
        <v>4</v>
      </c>
      <c r="K3739" t="inlineStr">
        <is>
          <t>2⁸, 4⁴, 8⁴, 16²</t>
        </is>
      </c>
      <c r="L3739" t="inlineStr">
        <is>
          <t>32C⁶, 64I⁷, 64J⁷</t>
        </is>
      </c>
      <c r="M3739" t="inlineStr"/>
      <c r="N3739" t="inlineStr">
        <is>
          <t>8D⁰, 4C⁰, 8B⁰, 2B⁰, 32G³, 1A⁰, 16E², 8H⁰, 16D¹, 32C⁶, 4A⁰, 64J⁷, 32E³, 4F⁰, 64I⁷</t>
        </is>
      </c>
      <c r="O3739" t="inlineStr"/>
    </row>
    <row r="3740">
      <c r="A3740">
        <f>HYPERLINK("https://mathstats.uncg.edu/sites/pauli/congruence/csg14.html#group64E14", "64E¹⁴")</f>
        <v/>
      </c>
      <c r="B3740" t="n">
        <v>14</v>
      </c>
      <c r="C3740" t="inlineStr"/>
      <c r="D3740" t="inlineStr">
        <is>
          <t>192</t>
        </is>
      </c>
      <c r="E3740" t="inlineStr">
        <is>
          <t>2</t>
        </is>
      </c>
      <c r="F3740" t="inlineStr">
        <is>
          <t>48</t>
        </is>
      </c>
      <c r="G3740" t="inlineStr">
        <is>
          <t>4</t>
        </is>
      </c>
      <c r="H3740" t="inlineStr">
        <is>
          <t>0</t>
        </is>
      </c>
      <c r="I3740" t="inlineStr">
        <is>
          <t>32², 64²</t>
        </is>
      </c>
      <c r="J3740" t="n">
        <v>4</v>
      </c>
      <c r="K3740" t="inlineStr">
        <is>
          <t>4¹⁶, 8⁸, 16⁴</t>
        </is>
      </c>
      <c r="L3740" t="inlineStr">
        <is>
          <t>32E⁶, 64G⁷, 64H⁷</t>
        </is>
      </c>
      <c r="M3740" t="inlineStr"/>
      <c r="N3740" t="inlineStr">
        <is>
          <t>16D¹, 32E⁶, 16F², 4C⁰, 8B⁰, 32H³, 16B¹, 32E³, 2B⁰, 8L⁰, 64H⁷, 1A⁰, 64G⁷</t>
        </is>
      </c>
      <c r="O3740" t="inlineStr"/>
    </row>
    <row r="3741">
      <c r="A3741">
        <f>HYPERLINK("https://mathstats.uncg.edu/sites/pauli/congruence/csg14.html#group64F14", "64F¹⁴")</f>
        <v/>
      </c>
      <c r="B3741" t="n">
        <v>14</v>
      </c>
      <c r="C3741" t="inlineStr"/>
      <c r="D3741" t="inlineStr">
        <is>
          <t>192</t>
        </is>
      </c>
      <c r="E3741" t="inlineStr">
        <is>
          <t>2</t>
        </is>
      </c>
      <c r="F3741" t="inlineStr">
        <is>
          <t>48</t>
        </is>
      </c>
      <c r="G3741" t="inlineStr">
        <is>
          <t>4</t>
        </is>
      </c>
      <c r="H3741" t="inlineStr">
        <is>
          <t>0</t>
        </is>
      </c>
      <c r="I3741" t="inlineStr">
        <is>
          <t>32², 64²</t>
        </is>
      </c>
      <c r="J3741" t="n">
        <v>4</v>
      </c>
      <c r="K3741" t="inlineStr">
        <is>
          <t>4¹⁶, 8⁸, 16⁴</t>
        </is>
      </c>
      <c r="L3741" t="inlineStr">
        <is>
          <t>32E⁶, 64G⁷, 64H⁷</t>
        </is>
      </c>
      <c r="M3741" t="inlineStr"/>
      <c r="N3741" t="inlineStr">
        <is>
          <t>16D¹, 32E⁶, 16F², 4C⁰, 8B⁰, 32H³, 16B¹, 32E³, 2B⁰, 8L⁰, 64H⁷, 1A⁰, 64G⁷</t>
        </is>
      </c>
      <c r="O3741" t="inlineStr"/>
    </row>
    <row r="3742">
      <c r="A3742">
        <f>HYPERLINK("https://mathstats.uncg.edu/sites/pauli/congruence/csg14.html#group64G14", "64G¹⁴")</f>
        <v/>
      </c>
      <c r="B3742" t="n">
        <v>14</v>
      </c>
      <c r="C3742" t="inlineStr"/>
      <c r="D3742" t="inlineStr">
        <is>
          <t>192</t>
        </is>
      </c>
      <c r="E3742" t="inlineStr">
        <is>
          <t>2</t>
        </is>
      </c>
      <c r="F3742" t="inlineStr">
        <is>
          <t>48</t>
        </is>
      </c>
      <c r="G3742" t="inlineStr">
        <is>
          <t>4</t>
        </is>
      </c>
      <c r="H3742" t="inlineStr">
        <is>
          <t>0</t>
        </is>
      </c>
      <c r="I3742" t="inlineStr">
        <is>
          <t>32², 64²</t>
        </is>
      </c>
      <c r="J3742" t="n">
        <v>4</v>
      </c>
      <c r="K3742" t="inlineStr">
        <is>
          <t>4¹⁶, 8⁸, 16⁴</t>
        </is>
      </c>
      <c r="L3742" t="inlineStr">
        <is>
          <t>32F⁶, 64I⁷, 64J⁷</t>
        </is>
      </c>
      <c r="M3742" t="inlineStr"/>
      <c r="N3742" t="inlineStr">
        <is>
          <t>32F⁶, 16D¹, 16F², 64J⁷, 4C⁰, 8B⁰, 16B¹, 8L⁰, 2B⁰, 32G³, 32F³, 1A⁰, 64I⁷</t>
        </is>
      </c>
      <c r="O3742" t="inlineStr"/>
    </row>
    <row r="3743">
      <c r="A3743">
        <f>HYPERLINK("https://mathstats.uncg.edu/sites/pauli/congruence/csg14.html#group64H14", "64H¹⁴")</f>
        <v/>
      </c>
      <c r="B3743" t="n">
        <v>14</v>
      </c>
      <c r="C3743" t="inlineStr"/>
      <c r="D3743" t="inlineStr">
        <is>
          <t>192</t>
        </is>
      </c>
      <c r="E3743" t="inlineStr">
        <is>
          <t>2</t>
        </is>
      </c>
      <c r="F3743" t="inlineStr">
        <is>
          <t>48</t>
        </is>
      </c>
      <c r="G3743" t="inlineStr">
        <is>
          <t>4</t>
        </is>
      </c>
      <c r="H3743" t="inlineStr">
        <is>
          <t>0</t>
        </is>
      </c>
      <c r="I3743" t="inlineStr">
        <is>
          <t>32², 64²</t>
        </is>
      </c>
      <c r="J3743" t="n">
        <v>4</v>
      </c>
      <c r="K3743" t="inlineStr">
        <is>
          <t>4¹⁶, 8⁸, 16⁴</t>
        </is>
      </c>
      <c r="L3743" t="inlineStr">
        <is>
          <t>32F⁶, 64I⁷, 64J⁷</t>
        </is>
      </c>
      <c r="M3743" t="inlineStr"/>
      <c r="N3743" t="inlineStr">
        <is>
          <t>32F⁶, 16D¹, 16F², 64J⁷, 4C⁰, 8B⁰, 16B¹, 8L⁰, 2B⁰, 32G³, 32F³, 1A⁰, 64I⁷</t>
        </is>
      </c>
      <c r="O3743" t="inlineStr"/>
    </row>
    <row r="3744">
      <c r="A3744">
        <f>HYPERLINK("https://mathstats.uncg.edu/sites/pauli/congruence/csg14.html#group64I14", "64I¹⁴")</f>
        <v/>
      </c>
      <c r="B3744" t="n">
        <v>14</v>
      </c>
      <c r="C3744" t="inlineStr"/>
      <c r="D3744" t="inlineStr">
        <is>
          <t>256</t>
        </is>
      </c>
      <c r="E3744" t="inlineStr">
        <is>
          <t>2</t>
        </is>
      </c>
      <c r="F3744" t="inlineStr">
        <is>
          <t>128</t>
        </is>
      </c>
      <c r="G3744" t="inlineStr">
        <is>
          <t>4</t>
        </is>
      </c>
      <c r="H3744" t="inlineStr">
        <is>
          <t>16</t>
        </is>
      </c>
      <c r="I3744" t="inlineStr">
        <is>
          <t>64⁴</t>
        </is>
      </c>
      <c r="J3744" t="n">
        <v>4</v>
      </c>
      <c r="K3744" t="inlineStr">
        <is>
          <t>32⁸</t>
        </is>
      </c>
      <c r="L3744" t="inlineStr">
        <is>
          <t>32G⁶</t>
        </is>
      </c>
      <c r="M3744" t="inlineStr"/>
      <c r="N3744" t="inlineStr">
        <is>
          <t>8F⁰, 16A⁰, 4A⁰, 16H², 8A⁰, 8M⁰, 1A⁰, 32G⁶</t>
        </is>
      </c>
      <c r="O3744" t="inlineStr"/>
    </row>
    <row r="3745">
      <c r="A3745">
        <f>HYPERLINK("https://mathstats.uncg.edu/sites/pauli/congruence/csg14.html#group65A14", "65A¹⁴")</f>
        <v/>
      </c>
      <c r="B3745" t="n">
        <v>14</v>
      </c>
      <c r="C3745" t="inlineStr"/>
      <c r="D3745" t="inlineStr">
        <is>
          <t>210</t>
        </is>
      </c>
      <c r="E3745" t="inlineStr">
        <is>
          <t>1</t>
        </is>
      </c>
      <c r="F3745" t="inlineStr">
        <is>
          <t>70</t>
        </is>
      </c>
      <c r="G3745" t="inlineStr">
        <is>
          <t>6</t>
        </is>
      </c>
      <c r="H3745" t="inlineStr">
        <is>
          <t>0</t>
        </is>
      </c>
      <c r="I3745" t="inlineStr">
        <is>
          <t>5³, 65³</t>
        </is>
      </c>
      <c r="J3745" t="n">
        <v>6</v>
      </c>
      <c r="K3745" t="inlineStr">
        <is>
          <t>1², 4², 12¹, 48¹</t>
        </is>
      </c>
      <c r="L3745" t="inlineStr">
        <is>
          <t>5E⁰, 65A⁴</t>
        </is>
      </c>
      <c r="M3745" t="inlineStr"/>
      <c r="N3745" t="inlineStr">
        <is>
          <t>13A⁰, 5E⁰, 5A⁰, 1A⁰, 65A⁴</t>
        </is>
      </c>
      <c r="O3745" t="inlineStr"/>
    </row>
    <row r="3746">
      <c r="A3746">
        <f>HYPERLINK("https://mathstats.uncg.edu/sites/pauli/congruence/csg14.html#group65B14", "65B¹⁴")</f>
        <v/>
      </c>
      <c r="B3746" t="n">
        <v>14</v>
      </c>
      <c r="C3746" t="inlineStr"/>
      <c r="D3746" t="inlineStr">
        <is>
          <t>210</t>
        </is>
      </c>
      <c r="E3746" t="inlineStr">
        <is>
          <t>1</t>
        </is>
      </c>
      <c r="F3746" t="inlineStr">
        <is>
          <t>70</t>
        </is>
      </c>
      <c r="G3746" t="inlineStr">
        <is>
          <t>6</t>
        </is>
      </c>
      <c r="H3746" t="inlineStr">
        <is>
          <t>0</t>
        </is>
      </c>
      <c r="I3746" t="inlineStr">
        <is>
          <t>5³, 65³</t>
        </is>
      </c>
      <c r="J3746" t="n">
        <v>6</v>
      </c>
      <c r="K3746" t="inlineStr">
        <is>
          <t>1², 4², 12¹, 48¹</t>
        </is>
      </c>
      <c r="L3746" t="inlineStr">
        <is>
          <t>13C⁰, 65A⁴</t>
        </is>
      </c>
      <c r="M3746" t="inlineStr"/>
      <c r="N3746" t="inlineStr">
        <is>
          <t>13A⁰, 5A⁰, 13C⁰, 1A⁰, 65A⁴</t>
        </is>
      </c>
      <c r="O3746" t="inlineStr"/>
    </row>
    <row r="3747">
      <c r="A3747">
        <f>HYPERLINK("https://mathstats.uncg.edu/sites/pauli/congruence/csg14.html#group66A14", "66A¹⁴")</f>
        <v/>
      </c>
      <c r="B3747" t="n">
        <v>14</v>
      </c>
      <c r="C3747" t="inlineStr"/>
      <c r="D3747" t="inlineStr">
        <is>
          <t>198</t>
        </is>
      </c>
      <c r="E3747" t="inlineStr">
        <is>
          <t>2</t>
        </is>
      </c>
      <c r="F3747" t="inlineStr">
        <is>
          <t>99</t>
        </is>
      </c>
      <c r="G3747" t="inlineStr">
        <is>
          <t>6</t>
        </is>
      </c>
      <c r="H3747" t="inlineStr">
        <is>
          <t>0</t>
        </is>
      </c>
      <c r="I3747" t="inlineStr">
        <is>
          <t>33², 66²</t>
        </is>
      </c>
      <c r="J3747" t="n">
        <v>4</v>
      </c>
      <c r="K3747" t="inlineStr">
        <is>
          <t>2³, 4³, 10⁶, 20⁶</t>
        </is>
      </c>
      <c r="L3747" t="inlineStr">
        <is>
          <t>6G⁰, 33A⁴, 66F⁶</t>
        </is>
      </c>
      <c r="M3747" t="inlineStr"/>
      <c r="N3747" t="inlineStr">
        <is>
          <t>11A⁰, 33A¹, 6G⁰, 3C⁰, 2B⁰, 66F⁶, 22B², 3A⁰, 1A⁰, 6D⁰, 33A⁴</t>
        </is>
      </c>
      <c r="O3747" t="inlineStr"/>
    </row>
    <row r="3748">
      <c r="A3748">
        <f>HYPERLINK("https://mathstats.uncg.edu/sites/pauli/congruence/csg14.html#group70A14", "70A¹⁴")</f>
        <v/>
      </c>
      <c r="B3748" t="n">
        <v>14</v>
      </c>
      <c r="C3748" t="inlineStr"/>
      <c r="D3748" t="inlineStr">
        <is>
          <t>210</t>
        </is>
      </c>
      <c r="E3748" t="inlineStr">
        <is>
          <t>2</t>
        </is>
      </c>
      <c r="F3748" t="inlineStr">
        <is>
          <t>35</t>
        </is>
      </c>
      <c r="G3748" t="inlineStr">
        <is>
          <t>12</t>
        </is>
      </c>
      <c r="H3748" t="inlineStr">
        <is>
          <t>0</t>
        </is>
      </c>
      <c r="I3748" t="inlineStr">
        <is>
          <t>70³</t>
        </is>
      </c>
      <c r="J3748" t="n">
        <v>3</v>
      </c>
      <c r="K3748" t="inlineStr">
        <is>
          <t>2¹, 6², 8¹, 24²</t>
        </is>
      </c>
      <c r="L3748" t="inlineStr">
        <is>
          <t>70A⁴, 35B⁶</t>
        </is>
      </c>
      <c r="M3748" t="inlineStr"/>
      <c r="N3748" t="inlineStr">
        <is>
          <t>14A⁰, 5A⁰, 70A⁴, 5E⁰, 35B⁶, 1A⁰, 35A², 7A⁰</t>
        </is>
      </c>
      <c r="O3748" t="inlineStr"/>
    </row>
    <row r="3749">
      <c r="A3749">
        <f>HYPERLINK("https://mathstats.uncg.edu/sites/pauli/congruence/csg14.html#group70B14", "70B¹⁴")</f>
        <v/>
      </c>
      <c r="B3749" t="n">
        <v>14</v>
      </c>
      <c r="C3749" t="inlineStr"/>
      <c r="D3749" t="inlineStr">
        <is>
          <t>210</t>
        </is>
      </c>
      <c r="E3749" t="inlineStr">
        <is>
          <t>2</t>
        </is>
      </c>
      <c r="F3749" t="inlineStr">
        <is>
          <t>105</t>
        </is>
      </c>
      <c r="G3749" t="inlineStr">
        <is>
          <t>12</t>
        </is>
      </c>
      <c r="H3749" t="inlineStr">
        <is>
          <t>0</t>
        </is>
      </c>
      <c r="I3749" t="inlineStr">
        <is>
          <t>70³</t>
        </is>
      </c>
      <c r="J3749" t="n">
        <v>3</v>
      </c>
      <c r="K3749" t="inlineStr">
        <is>
          <t>2¹, 4¹, 6², 8³, 12², 24⁶</t>
        </is>
      </c>
      <c r="L3749" t="inlineStr">
        <is>
          <t>10E¹, 35B⁶</t>
        </is>
      </c>
      <c r="M3749" t="inlineStr"/>
      <c r="N3749" t="inlineStr">
        <is>
          <t>5A⁰, 5E⁰, 35B⁶, 10E¹, 1A⁰, 35A², 7A⁰</t>
        </is>
      </c>
      <c r="O3749" t="inlineStr"/>
    </row>
    <row r="3750">
      <c r="A3750">
        <f>HYPERLINK("https://mathstats.uncg.edu/sites/pauli/congruence/csg14.html#group70C14", "70C¹⁴")</f>
        <v/>
      </c>
      <c r="B3750" t="n">
        <v>14</v>
      </c>
      <c r="C3750" t="inlineStr"/>
      <c r="D3750" t="inlineStr">
        <is>
          <t>210</t>
        </is>
      </c>
      <c r="E3750" t="inlineStr">
        <is>
          <t>2</t>
        </is>
      </c>
      <c r="F3750" t="inlineStr">
        <is>
          <t>210</t>
        </is>
      </c>
      <c r="G3750" t="inlineStr">
        <is>
          <t>4</t>
        </is>
      </c>
      <c r="H3750" t="inlineStr">
        <is>
          <t>6</t>
        </is>
      </c>
      <c r="I3750" t="inlineStr">
        <is>
          <t>70³</t>
        </is>
      </c>
      <c r="J3750" t="n">
        <v>3</v>
      </c>
      <c r="K3750" t="inlineStr">
        <is>
          <t>6¹⁴, 24¹⁴</t>
        </is>
      </c>
      <c r="L3750" t="inlineStr">
        <is>
          <t>14F¹, 70A⁴</t>
        </is>
      </c>
      <c r="M3750" t="inlineStr"/>
      <c r="N3750" t="inlineStr">
        <is>
          <t>14A⁰, 5A⁰, 14F¹, 70A⁴, 1A⁰, 35A², 7A⁰</t>
        </is>
      </c>
      <c r="O3750" t="inlineStr"/>
    </row>
    <row r="3751">
      <c r="A3751">
        <f>HYPERLINK("https://mathstats.uncg.edu/sites/pauli/congruence/csg14.html#group70D14", "70D¹⁴")</f>
        <v/>
      </c>
      <c r="B3751" t="n">
        <v>14</v>
      </c>
      <c r="C3751" t="inlineStr"/>
      <c r="D3751" t="inlineStr">
        <is>
          <t>240</t>
        </is>
      </c>
      <c r="E3751" t="inlineStr">
        <is>
          <t>1</t>
        </is>
      </c>
      <c r="F3751" t="inlineStr">
        <is>
          <t>40</t>
        </is>
      </c>
      <c r="G3751" t="inlineStr">
        <is>
          <t>0</t>
        </is>
      </c>
      <c r="H3751" t="inlineStr">
        <is>
          <t>12</t>
        </is>
      </c>
      <c r="I3751" t="inlineStr">
        <is>
          <t>10³, 70³</t>
        </is>
      </c>
      <c r="J3751" t="n">
        <v>6</v>
      </c>
      <c r="K3751" t="inlineStr">
        <is>
          <t>2², 4⁴, 12¹, 24²</t>
        </is>
      </c>
      <c r="L3751" t="inlineStr">
        <is>
          <t>70B⁴, 35C⁶</t>
        </is>
      </c>
      <c r="M3751" t="inlineStr"/>
      <c r="N3751" t="inlineStr">
        <is>
          <t>2A⁰, 5A⁰, 10A⁰, 70B⁴, 7B⁰, 14B⁰, 35B², 35C⁶, 1A⁰</t>
        </is>
      </c>
      <c r="O3751" t="inlineStr"/>
    </row>
    <row r="3752">
      <c r="A3752">
        <f>HYPERLINK("https://mathstats.uncg.edu/sites/pauli/congruence/csg14.html#group70E14", "70E¹⁴")</f>
        <v/>
      </c>
      <c r="B3752" t="n">
        <v>14</v>
      </c>
      <c r="C3752" t="inlineStr"/>
      <c r="D3752" t="inlineStr">
        <is>
          <t>240</t>
        </is>
      </c>
      <c r="E3752" t="inlineStr">
        <is>
          <t>1</t>
        </is>
      </c>
      <c r="F3752" t="inlineStr">
        <is>
          <t>40</t>
        </is>
      </c>
      <c r="G3752" t="inlineStr">
        <is>
          <t>0</t>
        </is>
      </c>
      <c r="H3752" t="inlineStr">
        <is>
          <t>12</t>
        </is>
      </c>
      <c r="I3752" t="inlineStr">
        <is>
          <t>10³, 70³</t>
        </is>
      </c>
      <c r="J3752" t="n">
        <v>6</v>
      </c>
      <c r="K3752" t="inlineStr">
        <is>
          <t>2², 4⁴, 12¹, 24²</t>
        </is>
      </c>
      <c r="L3752" t="inlineStr">
        <is>
          <t>70B⁴, 35D⁶</t>
        </is>
      </c>
      <c r="M3752" t="inlineStr"/>
      <c r="N3752" t="inlineStr">
        <is>
          <t>2A⁰, 5A⁰, 10A⁰, 70B⁴, 7B⁰, 35D⁶, 14B⁰, 35B², 1A⁰</t>
        </is>
      </c>
      <c r="O3752" t="inlineStr"/>
    </row>
    <row r="3753">
      <c r="A3753">
        <f>HYPERLINK("https://mathstats.uncg.edu/sites/pauli/congruence/csg14.html#group70F14", "70F¹⁴")</f>
        <v/>
      </c>
      <c r="B3753" t="n">
        <v>14</v>
      </c>
      <c r="C3753" t="inlineStr"/>
      <c r="D3753" t="inlineStr">
        <is>
          <t>240</t>
        </is>
      </c>
      <c r="E3753" t="inlineStr">
        <is>
          <t>1</t>
        </is>
      </c>
      <c r="F3753" t="inlineStr">
        <is>
          <t>80</t>
        </is>
      </c>
      <c r="G3753" t="inlineStr">
        <is>
          <t>0</t>
        </is>
      </c>
      <c r="H3753" t="inlineStr">
        <is>
          <t>12</t>
        </is>
      </c>
      <c r="I3753" t="inlineStr">
        <is>
          <t>10³, 70³</t>
        </is>
      </c>
      <c r="J3753" t="n">
        <v>6</v>
      </c>
      <c r="K3753" t="inlineStr">
        <is>
          <t>2², 4⁴, 12¹, 24²</t>
        </is>
      </c>
      <c r="L3753" t="inlineStr">
        <is>
          <t>10E⁰, 70B⁴</t>
        </is>
      </c>
      <c r="M3753" t="inlineStr"/>
      <c r="N3753" t="inlineStr">
        <is>
          <t>2A⁰, 5A⁰, 10A⁰, 70B⁴, 10E⁰, 7B⁰, 14B⁰, 35B², 1A⁰</t>
        </is>
      </c>
      <c r="O3753" t="inlineStr"/>
    </row>
    <row r="3754">
      <c r="A3754">
        <f>HYPERLINK("https://mathstats.uncg.edu/sites/pauli/congruence/csg14.html#group70G14", "70G¹⁴")</f>
        <v/>
      </c>
      <c r="B3754" t="n">
        <v>14</v>
      </c>
      <c r="C3754" t="inlineStr"/>
      <c r="D3754" t="inlineStr">
        <is>
          <t>240</t>
        </is>
      </c>
      <c r="E3754" t="inlineStr">
        <is>
          <t>1</t>
        </is>
      </c>
      <c r="F3754" t="inlineStr">
        <is>
          <t>80</t>
        </is>
      </c>
      <c r="G3754" t="inlineStr">
        <is>
          <t>0</t>
        </is>
      </c>
      <c r="H3754" t="inlineStr">
        <is>
          <t>12</t>
        </is>
      </c>
      <c r="I3754" t="inlineStr">
        <is>
          <t>10³, 70³</t>
        </is>
      </c>
      <c r="J3754" t="n">
        <v>6</v>
      </c>
      <c r="K3754" t="inlineStr">
        <is>
          <t>1⁴, 4⁴, 6², 24²</t>
        </is>
      </c>
      <c r="L3754" t="inlineStr">
        <is>
          <t>14C⁰, 70B⁴</t>
        </is>
      </c>
      <c r="M3754" t="inlineStr"/>
      <c r="N3754" t="inlineStr">
        <is>
          <t>2A⁰, 5A⁰, 10A⁰, 70B⁴, 7B⁰, 14B⁰, 35B², 14C⁰, 1A⁰</t>
        </is>
      </c>
      <c r="O3754" t="inlineStr"/>
    </row>
    <row r="3755">
      <c r="A3755">
        <f>HYPERLINK("https://mathstats.uncg.edu/sites/pauli/congruence/csg14.html#group70H14", "70H¹⁴")</f>
        <v/>
      </c>
      <c r="B3755" t="n">
        <v>14</v>
      </c>
      <c r="C3755" t="inlineStr"/>
      <c r="D3755" t="inlineStr">
        <is>
          <t>252</t>
        </is>
      </c>
      <c r="E3755" t="inlineStr">
        <is>
          <t>1</t>
        </is>
      </c>
      <c r="F3755" t="inlineStr">
        <is>
          <t>126</t>
        </is>
      </c>
      <c r="G3755" t="inlineStr">
        <is>
          <t>20</t>
        </is>
      </c>
      <c r="H3755" t="inlineStr">
        <is>
          <t>0</t>
        </is>
      </c>
      <c r="I3755" t="inlineStr">
        <is>
          <t>14³, 70³</t>
        </is>
      </c>
      <c r="J3755" t="n">
        <v>6</v>
      </c>
      <c r="K3755" t="inlineStr">
        <is>
          <t>3², 6⁶, 12¹, 24³</t>
        </is>
      </c>
      <c r="L3755" t="inlineStr">
        <is>
          <t>70C⁴, 35E⁶</t>
        </is>
      </c>
      <c r="M3755" t="inlineStr"/>
      <c r="N3755" t="inlineStr">
        <is>
          <t>35C², 7D⁰, 70C⁴, 35E⁶, 5B⁰, 1A⁰, 7A⁰, 10B⁰</t>
        </is>
      </c>
      <c r="O3755" t="inlineStr"/>
    </row>
    <row r="3756">
      <c r="A3756">
        <f>HYPERLINK("https://mathstats.uncg.edu/sites/pauli/congruence/csg14.html#group72A14", "72A¹⁴")</f>
        <v/>
      </c>
      <c r="B3756" t="n">
        <v>14</v>
      </c>
      <c r="C3756" t="inlineStr"/>
      <c r="D3756" t="inlineStr">
        <is>
          <t>192</t>
        </is>
      </c>
      <c r="E3756" t="inlineStr">
        <is>
          <t>1</t>
        </is>
      </c>
      <c r="F3756" t="inlineStr">
        <is>
          <t>64</t>
        </is>
      </c>
      <c r="G3756" t="inlineStr">
        <is>
          <t>0</t>
        </is>
      </c>
      <c r="H3756" t="inlineStr">
        <is>
          <t>3</t>
        </is>
      </c>
      <c r="I3756" t="inlineStr">
        <is>
          <t>24², 72²</t>
        </is>
      </c>
      <c r="J3756" t="n">
        <v>4</v>
      </c>
      <c r="K3756" t="inlineStr">
        <is>
          <t>4⁸, 8⁴</t>
        </is>
      </c>
      <c r="L3756" t="inlineStr">
        <is>
          <t>36C³, 24C⁴</t>
        </is>
      </c>
      <c r="M3756" t="inlineStr"/>
      <c r="N3756" t="inlineStr">
        <is>
          <t>24C⁴, 3B⁰, 8F⁰, 4A⁰, 12A¹, 9C⁰, 1A⁰, 36C³</t>
        </is>
      </c>
      <c r="O3756" t="inlineStr"/>
    </row>
    <row r="3757">
      <c r="A3757">
        <f>HYPERLINK("https://mathstats.uncg.edu/sites/pauli/congruence/csg14.html#group72B14", "72B¹⁴")</f>
        <v/>
      </c>
      <c r="B3757" t="n">
        <v>14</v>
      </c>
      <c r="C3757" t="inlineStr"/>
      <c r="D3757" t="inlineStr">
        <is>
          <t>216</t>
        </is>
      </c>
      <c r="E3757" t="inlineStr">
        <is>
          <t>1</t>
        </is>
      </c>
      <c r="F3757" t="inlineStr">
        <is>
          <t>54</t>
        </is>
      </c>
      <c r="G3757" t="inlineStr">
        <is>
          <t>8</t>
        </is>
      </c>
      <c r="H3757" t="inlineStr">
        <is>
          <t>0</t>
        </is>
      </c>
      <c r="I3757" t="inlineStr">
        <is>
          <t>18⁴, 72²</t>
        </is>
      </c>
      <c r="J3757" t="n">
        <v>6</v>
      </c>
      <c r="K3757" t="inlineStr">
        <is>
          <t>2⁵, 4², 6², 12²</t>
        </is>
      </c>
      <c r="L3757" t="inlineStr">
        <is>
          <t>24N², 36C⁶, 72E⁶</t>
        </is>
      </c>
      <c r="M3757" t="inlineStr"/>
      <c r="N3757" t="inlineStr">
        <is>
          <t>24E¹, 6B⁰, 12C⁰, 3A⁰, 24N², 4C⁰, 36B², 18B¹, 2B⁰, 1A⁰, 18D³, 72E⁶, 36C⁶, 9A⁰, 18E¹, 12D⁰, 6H⁰, 12H⁰, 36D³, 18A¹, 6D⁰</t>
        </is>
      </c>
      <c r="O3757" t="inlineStr"/>
    </row>
    <row r="3758">
      <c r="A3758">
        <f>HYPERLINK("https://mathstats.uncg.edu/sites/pauli/congruence/csg14.html#group72C14", "72C¹⁴")</f>
        <v/>
      </c>
      <c r="B3758" t="n">
        <v>14</v>
      </c>
      <c r="C3758" t="inlineStr"/>
      <c r="D3758" t="inlineStr">
        <is>
          <t>216</t>
        </is>
      </c>
      <c r="E3758" t="inlineStr">
        <is>
          <t>1</t>
        </is>
      </c>
      <c r="F3758" t="inlineStr">
        <is>
          <t>54</t>
        </is>
      </c>
      <c r="G3758" t="inlineStr">
        <is>
          <t>8</t>
        </is>
      </c>
      <c r="H3758" t="inlineStr">
        <is>
          <t>0</t>
        </is>
      </c>
      <c r="I3758" t="inlineStr">
        <is>
          <t>18⁴, 72²</t>
        </is>
      </c>
      <c r="J3758" t="n">
        <v>6</v>
      </c>
      <c r="K3758" t="inlineStr">
        <is>
          <t>1², 2⁴, 4², 6², 12²</t>
        </is>
      </c>
      <c r="L3758" t="inlineStr">
        <is>
          <t>24O², 36C⁶, 72C⁶, 72D⁶</t>
        </is>
      </c>
      <c r="M3758" t="inlineStr"/>
      <c r="N3758" t="inlineStr">
        <is>
          <t>24O², 24E¹, 6B⁰, 12C⁰, 8D⁰, 6H⁰, 36B², 4C⁰, 18B¹, 2B⁰, 12H⁰, 1A⁰, 72C⁶, 18D³, 72D⁶, 36C⁶, 9A⁰, 24C¹, 12D⁰, 18E¹, 3A⁰, 36D³, 18A¹, 6D⁰</t>
        </is>
      </c>
      <c r="O3758" t="inlineStr"/>
    </row>
    <row r="3759">
      <c r="A3759">
        <f>HYPERLINK("https://mathstats.uncg.edu/sites/pauli/congruence/csg14.html#group72D14", "72D¹⁴")</f>
        <v/>
      </c>
      <c r="B3759" t="n">
        <v>14</v>
      </c>
      <c r="C3759" t="inlineStr"/>
      <c r="D3759" t="inlineStr">
        <is>
          <t>216</t>
        </is>
      </c>
      <c r="E3759" t="inlineStr">
        <is>
          <t>1</t>
        </is>
      </c>
      <c r="F3759" t="inlineStr">
        <is>
          <t>54</t>
        </is>
      </c>
      <c r="G3759" t="inlineStr">
        <is>
          <t>12</t>
        </is>
      </c>
      <c r="H3759" t="inlineStr">
        <is>
          <t>0</t>
        </is>
      </c>
      <c r="I3759" t="inlineStr">
        <is>
          <t>36², 72²</t>
        </is>
      </c>
      <c r="J3759" t="n">
        <v>4</v>
      </c>
      <c r="K3759" t="inlineStr">
        <is>
          <t>1², 2⁴, 4², 6², 12²</t>
        </is>
      </c>
      <c r="L3759" t="inlineStr">
        <is>
          <t>24K⁴, 36F⁶, 72B⁶, 72D⁶</t>
        </is>
      </c>
      <c r="M3759" t="inlineStr"/>
      <c r="N3759" t="inlineStr">
        <is>
          <t>24E¹, 12C⁰, 4C⁰, 36B², 2B⁰, 24C², 72B⁶, 1A⁰, 36A¹, 36F⁶, 12A⁰, 72D⁶, 4A⁰, 9A⁰, 24K⁴, 12J¹, 4F⁰, 18E¹, 3A⁰, 6D⁰</t>
        </is>
      </c>
      <c r="O3759" t="inlineStr"/>
    </row>
    <row r="3760">
      <c r="A3760">
        <f>HYPERLINK("https://mathstats.uncg.edu/sites/pauli/congruence/csg14.html#group72E14", "72E¹⁴")</f>
        <v/>
      </c>
      <c r="B3760" t="n">
        <v>14</v>
      </c>
      <c r="C3760" t="inlineStr"/>
      <c r="D3760" t="inlineStr">
        <is>
          <t>216</t>
        </is>
      </c>
      <c r="E3760" t="inlineStr">
        <is>
          <t>1</t>
        </is>
      </c>
      <c r="F3760" t="inlineStr">
        <is>
          <t>54</t>
        </is>
      </c>
      <c r="G3760" t="inlineStr">
        <is>
          <t>12</t>
        </is>
      </c>
      <c r="H3760" t="inlineStr">
        <is>
          <t>0</t>
        </is>
      </c>
      <c r="I3760" t="inlineStr">
        <is>
          <t>36², 72²</t>
        </is>
      </c>
      <c r="J3760" t="n">
        <v>4</v>
      </c>
      <c r="K3760" t="inlineStr">
        <is>
          <t>1², 2⁴, 4², 6², 12²</t>
        </is>
      </c>
      <c r="L3760" t="inlineStr">
        <is>
          <t>24L⁴, 36E⁶, 72B⁶, 72C⁶</t>
        </is>
      </c>
      <c r="M3760" t="inlineStr"/>
      <c r="N3760" t="inlineStr">
        <is>
          <t>12C⁰, 36E⁶, 8D⁰, 36B², 4C⁰, 2B⁰, 12M¹, 24C², 72B⁶, 1A⁰, 72C⁶, 9A⁰, 24C¹, 18E¹, 3A⁰, 24L⁴, 6D⁰</t>
        </is>
      </c>
      <c r="O3760" t="inlineStr"/>
    </row>
    <row r="3761">
      <c r="A3761">
        <f>HYPERLINK("https://mathstats.uncg.edu/sites/pauli/congruence/csg14.html#group72F14", "72F¹⁴")</f>
        <v/>
      </c>
      <c r="B3761" t="n">
        <v>14</v>
      </c>
      <c r="C3761" t="inlineStr"/>
      <c r="D3761" t="inlineStr">
        <is>
          <t>216</t>
        </is>
      </c>
      <c r="E3761" t="inlineStr">
        <is>
          <t>1</t>
        </is>
      </c>
      <c r="F3761" t="inlineStr">
        <is>
          <t>108</t>
        </is>
      </c>
      <c r="G3761" t="inlineStr">
        <is>
          <t>10</t>
        </is>
      </c>
      <c r="H3761" t="inlineStr">
        <is>
          <t>0</t>
        </is>
      </c>
      <c r="I3761" t="inlineStr">
        <is>
          <t>36⁴, 72¹</t>
        </is>
      </c>
      <c r="J3761" t="n">
        <v>5</v>
      </c>
      <c r="K3761" t="inlineStr">
        <is>
          <t>2², 4⁴, 8², 12², 24²</t>
        </is>
      </c>
      <c r="L3761" t="inlineStr">
        <is>
          <t>24J³, 36F⁶</t>
        </is>
      </c>
      <c r="M3761" t="inlineStr"/>
      <c r="N3761" t="inlineStr">
        <is>
          <t>12C⁰, 36B², 4C⁰, 2B⁰, 1A⁰, 8K⁰, 24J³, 36A¹, 36F⁶, 12A⁰, 4A⁰, 9A⁰, 12J¹, 4F⁰, 18E¹, 3A⁰, 6D⁰</t>
        </is>
      </c>
      <c r="O3761" t="inlineStr"/>
    </row>
    <row r="3762">
      <c r="A3762">
        <f>HYPERLINK("https://mathstats.uncg.edu/sites/pauli/congruence/csg14.html#group72G14", "72G¹⁴")</f>
        <v/>
      </c>
      <c r="B3762" t="n">
        <v>14</v>
      </c>
      <c r="C3762" t="inlineStr"/>
      <c r="D3762" t="inlineStr">
        <is>
          <t>216</t>
        </is>
      </c>
      <c r="E3762" t="inlineStr">
        <is>
          <t>1</t>
        </is>
      </c>
      <c r="F3762" t="inlineStr">
        <is>
          <t>108</t>
        </is>
      </c>
      <c r="G3762" t="inlineStr">
        <is>
          <t>10</t>
        </is>
      </c>
      <c r="H3762" t="inlineStr">
        <is>
          <t>0</t>
        </is>
      </c>
      <c r="I3762" t="inlineStr">
        <is>
          <t>36⁴, 72¹</t>
        </is>
      </c>
      <c r="J3762" t="n">
        <v>5</v>
      </c>
      <c r="K3762" t="inlineStr">
        <is>
          <t>2², 4⁴, 8², 12², 24²</t>
        </is>
      </c>
      <c r="L3762" t="inlineStr">
        <is>
          <t>24R³, 36F⁶</t>
        </is>
      </c>
      <c r="M3762" t="inlineStr"/>
      <c r="N3762" t="inlineStr">
        <is>
          <t>12C⁰, 36B², 4C⁰, 2B⁰, 1A⁰, 36A¹, 36F⁶, 12A⁰, 4A⁰, 9A⁰, 24R³, 12J¹, 4F⁰, 18E¹, 3A⁰, 6D⁰</t>
        </is>
      </c>
      <c r="O3762" t="inlineStr"/>
    </row>
    <row r="3763">
      <c r="A3763">
        <f>HYPERLINK("https://mathstats.uncg.edu/sites/pauli/congruence/csg14.html#group72H14", "72H¹⁴")</f>
        <v/>
      </c>
      <c r="B3763" t="n">
        <v>14</v>
      </c>
      <c r="C3763" t="inlineStr"/>
      <c r="D3763" t="inlineStr">
        <is>
          <t>216</t>
        </is>
      </c>
      <c r="E3763" t="inlineStr">
        <is>
          <t>2</t>
        </is>
      </c>
      <c r="F3763" t="inlineStr">
        <is>
          <t>54</t>
        </is>
      </c>
      <c r="G3763" t="inlineStr">
        <is>
          <t>12</t>
        </is>
      </c>
      <c r="H3763" t="inlineStr">
        <is>
          <t>0</t>
        </is>
      </c>
      <c r="I3763" t="inlineStr">
        <is>
          <t>36², 72²</t>
        </is>
      </c>
      <c r="J3763" t="n">
        <v>4</v>
      </c>
      <c r="K3763" t="inlineStr">
        <is>
          <t>2⁶, 4⁶, 6⁴, 12⁴</t>
        </is>
      </c>
      <c r="L3763" t="inlineStr">
        <is>
          <t>24P⁴, 36I⁶, 72B⁶, 72E⁶</t>
        </is>
      </c>
      <c r="M3763" t="inlineStr"/>
      <c r="N3763" t="inlineStr">
        <is>
          <t>24E¹, 12C⁰, 24P⁴, 4C⁰, 36B², 12M¹, 2B⁰, 24C², 72B⁶, 1A⁰, 72E⁶, 36I⁶, 9A⁰, 18E¹, 3A⁰, 6D⁰</t>
        </is>
      </c>
      <c r="O3763" t="inlineStr"/>
    </row>
    <row r="3764">
      <c r="A3764">
        <f>HYPERLINK("https://mathstats.uncg.edu/sites/pauli/congruence/csg14.html#group72I14", "72I¹⁴")</f>
        <v/>
      </c>
      <c r="B3764" t="n">
        <v>14</v>
      </c>
      <c r="C3764" t="inlineStr"/>
      <c r="D3764" t="inlineStr">
        <is>
          <t>216</t>
        </is>
      </c>
      <c r="E3764" t="inlineStr">
        <is>
          <t>2</t>
        </is>
      </c>
      <c r="F3764" t="inlineStr">
        <is>
          <t>108</t>
        </is>
      </c>
      <c r="G3764" t="inlineStr">
        <is>
          <t>6</t>
        </is>
      </c>
      <c r="H3764" t="inlineStr">
        <is>
          <t>6</t>
        </is>
      </c>
      <c r="I3764" t="inlineStr">
        <is>
          <t>72³</t>
        </is>
      </c>
      <c r="J3764" t="n">
        <v>3</v>
      </c>
      <c r="K3764" t="inlineStr">
        <is>
          <t>12², 24⁸</t>
        </is>
      </c>
      <c r="L3764" t="inlineStr">
        <is>
          <t>8A⁰, 36G⁶</t>
        </is>
      </c>
      <c r="M3764" t="inlineStr"/>
      <c r="N3764" t="inlineStr">
        <is>
          <t>8A⁰, 9F⁰, 1A⁰, 4A⁰, 36G⁶</t>
        </is>
      </c>
      <c r="O3764" t="inlineStr"/>
    </row>
    <row r="3765">
      <c r="A3765">
        <f>HYPERLINK("https://mathstats.uncg.edu/sites/pauli/congruence/csg14.html#group72J14", "72J¹⁴")</f>
        <v/>
      </c>
      <c r="B3765" t="n">
        <v>14</v>
      </c>
      <c r="C3765" t="inlineStr"/>
      <c r="D3765" t="inlineStr">
        <is>
          <t>216</t>
        </is>
      </c>
      <c r="E3765" t="inlineStr">
        <is>
          <t>2</t>
        </is>
      </c>
      <c r="F3765" t="inlineStr">
        <is>
          <t>108</t>
        </is>
      </c>
      <c r="G3765" t="inlineStr">
        <is>
          <t>10</t>
        </is>
      </c>
      <c r="H3765" t="inlineStr">
        <is>
          <t>0</t>
        </is>
      </c>
      <c r="I3765" t="inlineStr">
        <is>
          <t>36⁴, 72¹</t>
        </is>
      </c>
      <c r="J3765" t="n">
        <v>5</v>
      </c>
      <c r="K3765" t="inlineStr">
        <is>
          <t>4⁶, 8⁶, 12⁴, 24⁴</t>
        </is>
      </c>
      <c r="L3765" t="inlineStr">
        <is>
          <t>24R³, 36F⁶</t>
        </is>
      </c>
      <c r="M3765" t="inlineStr"/>
      <c r="N3765" t="inlineStr">
        <is>
          <t>12C⁰, 36B², 4C⁰, 2B⁰, 1A⁰, 36A¹, 36F⁶, 12A⁰, 4A⁰, 9A⁰, 24R³, 12J¹, 4F⁰, 18E¹, 3A⁰, 6D⁰</t>
        </is>
      </c>
      <c r="O3765" t="inlineStr"/>
    </row>
    <row r="3766">
      <c r="A3766">
        <f>HYPERLINK("https://mathstats.uncg.edu/sites/pauli/congruence/csg14.html#group72K14", "72K¹⁴")</f>
        <v/>
      </c>
      <c r="B3766" t="n">
        <v>14</v>
      </c>
      <c r="C3766" t="inlineStr"/>
      <c r="D3766" t="inlineStr">
        <is>
          <t>216</t>
        </is>
      </c>
      <c r="E3766" t="inlineStr">
        <is>
          <t>2</t>
        </is>
      </c>
      <c r="F3766" t="inlineStr">
        <is>
          <t>108</t>
        </is>
      </c>
      <c r="G3766" t="inlineStr">
        <is>
          <t>12</t>
        </is>
      </c>
      <c r="H3766" t="inlineStr">
        <is>
          <t>0</t>
        </is>
      </c>
      <c r="I3766" t="inlineStr">
        <is>
          <t>36², 72²</t>
        </is>
      </c>
      <c r="J3766" t="n">
        <v>4</v>
      </c>
      <c r="K3766" t="inlineStr">
        <is>
          <t>4¹⁸, 12¹²</t>
        </is>
      </c>
      <c r="L3766" t="inlineStr">
        <is>
          <t>24Q⁴, 36K⁵</t>
        </is>
      </c>
      <c r="M3766" t="inlineStr"/>
      <c r="N3766" t="inlineStr">
        <is>
          <t>24Q⁴, 6B⁰, 36E³, 36K⁵, 2B⁰, 12N¹, 1A⁰, 18A⁰, 18L², 12C¹, 9A⁰, 18E¹, 12D⁰, 6H⁰, 3A⁰, 6D⁰, 36C²</t>
        </is>
      </c>
      <c r="O3766" t="inlineStr"/>
    </row>
    <row r="3767">
      <c r="A3767">
        <f>HYPERLINK("https://mathstats.uncg.edu/sites/pauli/congruence/csg14.html#group72L14", "72L¹⁴")</f>
        <v/>
      </c>
      <c r="B3767" t="n">
        <v>14</v>
      </c>
      <c r="C3767" t="inlineStr"/>
      <c r="D3767" t="inlineStr">
        <is>
          <t>216</t>
        </is>
      </c>
      <c r="E3767" t="inlineStr">
        <is>
          <t>2</t>
        </is>
      </c>
      <c r="F3767" t="inlineStr">
        <is>
          <t>108</t>
        </is>
      </c>
      <c r="G3767" t="inlineStr">
        <is>
          <t>14</t>
        </is>
      </c>
      <c r="H3767" t="inlineStr">
        <is>
          <t>0</t>
        </is>
      </c>
      <c r="I3767" t="inlineStr">
        <is>
          <t>72³</t>
        </is>
      </c>
      <c r="J3767" t="n">
        <v>3</v>
      </c>
      <c r="K3767" t="inlineStr">
        <is>
          <t>12², 24⁸</t>
        </is>
      </c>
      <c r="L3767" t="inlineStr">
        <is>
          <t>72A⁴, 36J⁵</t>
        </is>
      </c>
      <c r="M3767" t="inlineStr"/>
      <c r="N3767" t="inlineStr">
        <is>
          <t>36A¹, 36J⁵, 12A⁰, 24A¹, 4A⁰, 9A⁰, 9G⁰, 8A⁰, 3A⁰, 1A⁰, 72A⁴</t>
        </is>
      </c>
      <c r="O3767" t="inlineStr"/>
    </row>
    <row r="3768">
      <c r="A3768">
        <f>HYPERLINK("https://mathstats.uncg.edu/sites/pauli/congruence/csg14.html#group72M14", "72M¹⁴")</f>
        <v/>
      </c>
      <c r="B3768" t="n">
        <v>14</v>
      </c>
      <c r="C3768" t="inlineStr"/>
      <c r="D3768" t="inlineStr">
        <is>
          <t>216</t>
        </is>
      </c>
      <c r="E3768" t="inlineStr">
        <is>
          <t>2</t>
        </is>
      </c>
      <c r="F3768" t="inlineStr">
        <is>
          <t>108</t>
        </is>
      </c>
      <c r="G3768" t="inlineStr">
        <is>
          <t>14</t>
        </is>
      </c>
      <c r="H3768" t="inlineStr">
        <is>
          <t>0</t>
        </is>
      </c>
      <c r="I3768" t="inlineStr">
        <is>
          <t>72³</t>
        </is>
      </c>
      <c r="J3768" t="n">
        <v>3</v>
      </c>
      <c r="K3768" t="inlineStr">
        <is>
          <t>12², 24⁸</t>
        </is>
      </c>
      <c r="L3768" t="inlineStr">
        <is>
          <t>72C⁴, 72D⁴, 36J⁵</t>
        </is>
      </c>
      <c r="M3768" t="inlineStr"/>
      <c r="N3768" t="inlineStr">
        <is>
          <t>36A¹, 36J⁵, 12A⁰, 4A⁰, 9A⁰, 9G⁰, 72C⁴, 24B¹, 72D⁴, 3A⁰, 1A⁰</t>
        </is>
      </c>
      <c r="O3768" t="inlineStr"/>
    </row>
    <row r="3769">
      <c r="A3769">
        <f>HYPERLINK("https://mathstats.uncg.edu/sites/pauli/congruence/csg14.html#group72N14", "72N¹⁴")</f>
        <v/>
      </c>
      <c r="B3769" t="n">
        <v>14</v>
      </c>
      <c r="C3769" t="inlineStr"/>
      <c r="D3769" t="inlineStr">
        <is>
          <t>216</t>
        </is>
      </c>
      <c r="E3769" t="inlineStr">
        <is>
          <t>2</t>
        </is>
      </c>
      <c r="F3769" t="inlineStr">
        <is>
          <t>108</t>
        </is>
      </c>
      <c r="G3769" t="inlineStr">
        <is>
          <t>14</t>
        </is>
      </c>
      <c r="H3769" t="inlineStr">
        <is>
          <t>0</t>
        </is>
      </c>
      <c r="I3769" t="inlineStr">
        <is>
          <t>72³</t>
        </is>
      </c>
      <c r="J3769" t="n">
        <v>3</v>
      </c>
      <c r="K3769" t="inlineStr">
        <is>
          <t>24¹⁸</t>
        </is>
      </c>
      <c r="L3769" t="inlineStr">
        <is>
          <t>72B⁴, 72C⁴, 36J⁵</t>
        </is>
      </c>
      <c r="M3769" t="inlineStr"/>
      <c r="N3769" t="inlineStr">
        <is>
          <t>36A¹, 36J⁵, 12A⁰, 72B⁴, 4A⁰, 9A⁰, 9G⁰, 72C⁴, 24B¹, 3A⁰, 1A⁰</t>
        </is>
      </c>
      <c r="O3769" t="inlineStr"/>
    </row>
    <row r="3770">
      <c r="A3770">
        <f>HYPERLINK("https://mathstats.uncg.edu/sites/pauli/congruence/csg14.html#group72O14", "72O¹⁴")</f>
        <v/>
      </c>
      <c r="B3770" t="n">
        <v>14</v>
      </c>
      <c r="C3770" t="inlineStr"/>
      <c r="D3770" t="inlineStr">
        <is>
          <t>216</t>
        </is>
      </c>
      <c r="E3770" t="inlineStr">
        <is>
          <t>2</t>
        </is>
      </c>
      <c r="F3770" t="inlineStr">
        <is>
          <t>108</t>
        </is>
      </c>
      <c r="G3770" t="inlineStr">
        <is>
          <t>14</t>
        </is>
      </c>
      <c r="H3770" t="inlineStr">
        <is>
          <t>0</t>
        </is>
      </c>
      <c r="I3770" t="inlineStr">
        <is>
          <t>72³</t>
        </is>
      </c>
      <c r="J3770" t="n">
        <v>3</v>
      </c>
      <c r="K3770" t="inlineStr">
        <is>
          <t>24¹⁸</t>
        </is>
      </c>
      <c r="L3770" t="inlineStr">
        <is>
          <t>72B⁴, 72D⁴, 36J⁵</t>
        </is>
      </c>
      <c r="M3770" t="inlineStr"/>
      <c r="N3770" t="inlineStr">
        <is>
          <t>36A¹, 36J⁵, 12A⁰, 72B⁴, 4A⁰, 9A⁰, 9G⁰, 24B¹, 72D⁴, 3A⁰, 1A⁰</t>
        </is>
      </c>
      <c r="O3770" t="inlineStr"/>
    </row>
    <row r="3771">
      <c r="A3771">
        <f>HYPERLINK("https://mathstats.uncg.edu/sites/pauli/congruence/csg14.html#group75A14", "75A¹⁴")</f>
        <v/>
      </c>
      <c r="B3771" t="n">
        <v>14</v>
      </c>
      <c r="C3771" t="inlineStr"/>
      <c r="D3771" t="inlineStr">
        <is>
          <t>180</t>
        </is>
      </c>
      <c r="E3771" t="inlineStr">
        <is>
          <t>1</t>
        </is>
      </c>
      <c r="F3771" t="inlineStr">
        <is>
          <t>6</t>
        </is>
      </c>
      <c r="G3771" t="inlineStr">
        <is>
          <t>0</t>
        </is>
      </c>
      <c r="H3771" t="inlineStr">
        <is>
          <t>0</t>
        </is>
      </c>
      <c r="I3771" t="inlineStr">
        <is>
          <t>15², 75²</t>
        </is>
      </c>
      <c r="J3771" t="n">
        <v>4</v>
      </c>
      <c r="K3771" t="inlineStr">
        <is>
          <t>2², 4²</t>
        </is>
      </c>
      <c r="L3771" t="inlineStr">
        <is>
          <t>15B², 25A⁴, 75A⁶</t>
        </is>
      </c>
      <c r="M3771" t="inlineStr"/>
      <c r="N3771" t="inlineStr">
        <is>
          <t>15B⁰, 25A², 3A⁰, 15B², 5B⁰, 5D⁰, 75A⁶, 1A⁰, 25A⁴</t>
        </is>
      </c>
      <c r="O3771" t="inlineStr"/>
    </row>
    <row r="3772">
      <c r="A3772">
        <f>HYPERLINK("https://mathstats.uncg.edu/sites/pauli/congruence/csg14.html#group75B14", "75B¹⁴")</f>
        <v/>
      </c>
      <c r="B3772" t="n">
        <v>14</v>
      </c>
      <c r="C3772" t="inlineStr"/>
      <c r="D3772" t="inlineStr">
        <is>
          <t>180</t>
        </is>
      </c>
      <c r="E3772" t="inlineStr">
        <is>
          <t>1</t>
        </is>
      </c>
      <c r="F3772" t="inlineStr">
        <is>
          <t>6</t>
        </is>
      </c>
      <c r="G3772" t="inlineStr">
        <is>
          <t>0</t>
        </is>
      </c>
      <c r="H3772" t="inlineStr">
        <is>
          <t>0</t>
        </is>
      </c>
      <c r="I3772" t="inlineStr">
        <is>
          <t>15², 75²</t>
        </is>
      </c>
      <c r="J3772" t="n">
        <v>4</v>
      </c>
      <c r="K3772" t="inlineStr">
        <is>
          <t>2², 4²</t>
        </is>
      </c>
      <c r="L3772" t="inlineStr">
        <is>
          <t>15B², 25B⁴, 75B⁶</t>
        </is>
      </c>
      <c r="M3772" t="inlineStr"/>
      <c r="N3772" t="inlineStr">
        <is>
          <t>15B⁰, 25B⁴, 15B², 5B⁰, 5D⁰, 1A⁰, 3A⁰, 75B⁶, 25B²</t>
        </is>
      </c>
      <c r="O3772" t="inlineStr"/>
    </row>
    <row r="3773">
      <c r="A3773">
        <f>HYPERLINK("https://mathstats.uncg.edu/sites/pauli/congruence/csg14.html#group75C14", "75C¹⁴")</f>
        <v/>
      </c>
      <c r="B3773" t="n">
        <v>14</v>
      </c>
      <c r="C3773" t="inlineStr"/>
      <c r="D3773" t="inlineStr">
        <is>
          <t>180</t>
        </is>
      </c>
      <c r="E3773" t="inlineStr">
        <is>
          <t>1</t>
        </is>
      </c>
      <c r="F3773" t="inlineStr">
        <is>
          <t>6</t>
        </is>
      </c>
      <c r="G3773" t="inlineStr">
        <is>
          <t>0</t>
        </is>
      </c>
      <c r="H3773" t="inlineStr">
        <is>
          <t>0</t>
        </is>
      </c>
      <c r="I3773" t="inlineStr">
        <is>
          <t>15², 75²</t>
        </is>
      </c>
      <c r="J3773" t="n">
        <v>4</v>
      </c>
      <c r="K3773" t="inlineStr">
        <is>
          <t>2², 4²</t>
        </is>
      </c>
      <c r="L3773" t="inlineStr">
        <is>
          <t>15B², 25C⁴, 75C⁶</t>
        </is>
      </c>
      <c r="M3773" t="inlineStr"/>
      <c r="N3773" t="inlineStr">
        <is>
          <t>15B⁰, 75C⁶, 15B², 5B⁰, 5D⁰, 3A⁰, 1A⁰, 25C², 25C⁴</t>
        </is>
      </c>
      <c r="O3773" t="inlineStr"/>
    </row>
    <row r="3774">
      <c r="A3774">
        <f>HYPERLINK("https://mathstats.uncg.edu/sites/pauli/congruence/csg14.html#group75D14", "75D¹⁴")</f>
        <v/>
      </c>
      <c r="B3774" t="n">
        <v>14</v>
      </c>
      <c r="C3774" t="inlineStr"/>
      <c r="D3774" t="inlineStr">
        <is>
          <t>180</t>
        </is>
      </c>
      <c r="E3774" t="inlineStr">
        <is>
          <t>1</t>
        </is>
      </c>
      <c r="F3774" t="inlineStr">
        <is>
          <t>6</t>
        </is>
      </c>
      <c r="G3774" t="inlineStr">
        <is>
          <t>0</t>
        </is>
      </c>
      <c r="H3774" t="inlineStr">
        <is>
          <t>0</t>
        </is>
      </c>
      <c r="I3774" t="inlineStr">
        <is>
          <t>15², 75²</t>
        </is>
      </c>
      <c r="J3774" t="n">
        <v>4</v>
      </c>
      <c r="K3774" t="inlineStr">
        <is>
          <t>2², 4²</t>
        </is>
      </c>
      <c r="L3774" t="inlineStr">
        <is>
          <t>15B², 25D⁴, 75D⁶</t>
        </is>
      </c>
      <c r="M3774" t="inlineStr"/>
      <c r="N3774" t="inlineStr">
        <is>
          <t>15B⁰, 3A⁰, 15B², 5B⁰, 5D⁰, 75D⁶, 25D⁴, 1A⁰, 25D²</t>
        </is>
      </c>
      <c r="O3774" t="inlineStr"/>
    </row>
    <row r="3775">
      <c r="A3775">
        <f>HYPERLINK("https://mathstats.uncg.edu/sites/pauli/congruence/csg14.html#group75E14", "75E¹⁴")</f>
        <v/>
      </c>
      <c r="B3775" t="n">
        <v>14</v>
      </c>
      <c r="C3775" t="inlineStr"/>
      <c r="D3775" t="inlineStr">
        <is>
          <t>200</t>
        </is>
      </c>
      <c r="E3775" t="inlineStr">
        <is>
          <t>1</t>
        </is>
      </c>
      <c r="F3775" t="inlineStr">
        <is>
          <t>200</t>
        </is>
      </c>
      <c r="G3775" t="inlineStr">
        <is>
          <t>0</t>
        </is>
      </c>
      <c r="H3775" t="inlineStr">
        <is>
          <t>5</t>
        </is>
      </c>
      <c r="I3775" t="inlineStr">
        <is>
          <t>25², 75²</t>
        </is>
      </c>
      <c r="J3775" t="n">
        <v>4</v>
      </c>
      <c r="K3775" t="inlineStr">
        <is>
          <t>2², 4⁵, 8², 20⁴, 40²</t>
        </is>
      </c>
      <c r="L3775" t="inlineStr">
        <is>
          <t>15C², 25E²</t>
        </is>
      </c>
      <c r="M3775" t="inlineStr"/>
      <c r="N3775" t="inlineStr">
        <is>
          <t>3B⁰, 1A⁰, 15C², 5C⁰, 25E²</t>
        </is>
      </c>
      <c r="O3775" t="inlineStr"/>
    </row>
    <row r="3776">
      <c r="A3776">
        <f>HYPERLINK("https://mathstats.uncg.edu/sites/pauli/congruence/csg14.html#group84A14", "84A¹⁴")</f>
        <v/>
      </c>
      <c r="B3776" t="n">
        <v>14</v>
      </c>
      <c r="C3776" t="inlineStr"/>
      <c r="D3776" t="inlineStr">
        <is>
          <t>168</t>
        </is>
      </c>
      <c r="E3776" t="inlineStr">
        <is>
          <t>2</t>
        </is>
      </c>
      <c r="F3776" t="inlineStr">
        <is>
          <t>28</t>
        </is>
      </c>
      <c r="G3776" t="inlineStr">
        <is>
          <t>0</t>
        </is>
      </c>
      <c r="H3776" t="inlineStr">
        <is>
          <t>0</t>
        </is>
      </c>
      <c r="I3776" t="inlineStr">
        <is>
          <t>84²</t>
        </is>
      </c>
      <c r="J3776" t="n">
        <v>2</v>
      </c>
      <c r="K3776" t="inlineStr">
        <is>
          <t>4², 12⁴</t>
        </is>
      </c>
      <c r="L3776" t="inlineStr">
        <is>
          <t>12A², 84A³, 28A⁴, 42A⁴</t>
        </is>
      </c>
      <c r="M3776" t="inlineStr"/>
      <c r="N3776" t="inlineStr">
        <is>
          <t>2A⁰, 14A¹, 21A⁰, 42A⁴, 1A⁰, 84A³, 12A⁰, 4A⁰, 28A⁴, 4D⁰, 12A², 6A¹, 3A⁰, 28A¹, 7A⁰</t>
        </is>
      </c>
      <c r="O3776" t="inlineStr"/>
    </row>
    <row r="3777">
      <c r="A3777">
        <f>HYPERLINK("https://mathstats.uncg.edu/sites/pauli/congruence/csg14.html#group84B14", "84B¹⁴")</f>
        <v/>
      </c>
      <c r="B3777" t="n">
        <v>14</v>
      </c>
      <c r="C3777" t="inlineStr"/>
      <c r="D3777" t="inlineStr">
        <is>
          <t>192</t>
        </is>
      </c>
      <c r="E3777" t="inlineStr">
        <is>
          <t>2</t>
        </is>
      </c>
      <c r="F3777" t="inlineStr">
        <is>
          <t>64</t>
        </is>
      </c>
      <c r="G3777" t="inlineStr">
        <is>
          <t>0</t>
        </is>
      </c>
      <c r="H3777" t="inlineStr">
        <is>
          <t>3</t>
        </is>
      </c>
      <c r="I3777" t="inlineStr">
        <is>
          <t>12², 84²</t>
        </is>
      </c>
      <c r="J3777" t="n">
        <v>4</v>
      </c>
      <c r="K3777" t="inlineStr">
        <is>
          <t>4⁸, 24⁴</t>
        </is>
      </c>
      <c r="L3777" t="inlineStr">
        <is>
          <t>28E³, 42B³</t>
        </is>
      </c>
      <c r="M3777" t="inlineStr"/>
      <c r="N3777" t="inlineStr">
        <is>
          <t>2A⁰, 7B⁰, 4A⁰, 4D⁰, 14B⁰, 28E³, 28A², 1A⁰, 42B³</t>
        </is>
      </c>
      <c r="O3777" t="inlineStr"/>
    </row>
    <row r="3778">
      <c r="A3778">
        <f>HYPERLINK("https://mathstats.uncg.edu/sites/pauli/congruence/csg14.html#group84C14", "84C¹⁴")</f>
        <v/>
      </c>
      <c r="B3778" t="n">
        <v>14</v>
      </c>
      <c r="C3778" t="inlineStr"/>
      <c r="D3778" t="inlineStr">
        <is>
          <t>252</t>
        </is>
      </c>
      <c r="E3778" t="inlineStr">
        <is>
          <t>2</t>
        </is>
      </c>
      <c r="F3778" t="inlineStr">
        <is>
          <t>21</t>
        </is>
      </c>
      <c r="G3778" t="inlineStr">
        <is>
          <t>24</t>
        </is>
      </c>
      <c r="H3778" t="inlineStr">
        <is>
          <t>0</t>
        </is>
      </c>
      <c r="I3778" t="inlineStr">
        <is>
          <t>42², 84²</t>
        </is>
      </c>
      <c r="J3778" t="n">
        <v>4</v>
      </c>
      <c r="K3778" t="inlineStr">
        <is>
          <t>2³, 6⁶</t>
        </is>
      </c>
      <c r="L3778" t="inlineStr">
        <is>
          <t>28C⁴, 84B⁶, 42I⁷, 84B⁷</t>
        </is>
      </c>
      <c r="M3778" t="inlineStr"/>
      <c r="N3778" t="inlineStr">
        <is>
          <t>14A⁰, 12C⁰, 42A¹, 28C⁴, 14B¹, 14C², 4C⁰, 21A⁰, 2B⁰, 1A⁰, 42I⁷, 28C², 84B⁷, 6D⁰, 3A⁰, 42C³, 84B⁶, 28B², 7A⁰</t>
        </is>
      </c>
      <c r="O3778" t="inlineStr"/>
    </row>
    <row r="3779">
      <c r="A3779">
        <f>HYPERLINK("https://mathstats.uncg.edu/sites/pauli/congruence/csg14.html#group84D14", "84D¹⁴")</f>
        <v/>
      </c>
      <c r="B3779" t="n">
        <v>14</v>
      </c>
      <c r="C3779" t="inlineStr"/>
      <c r="D3779" t="inlineStr">
        <is>
          <t>252</t>
        </is>
      </c>
      <c r="E3779" t="inlineStr">
        <is>
          <t>2</t>
        </is>
      </c>
      <c r="F3779" t="inlineStr">
        <is>
          <t>63</t>
        </is>
      </c>
      <c r="G3779" t="inlineStr">
        <is>
          <t>24</t>
        </is>
      </c>
      <c r="H3779" t="inlineStr">
        <is>
          <t>0</t>
        </is>
      </c>
      <c r="I3779" t="inlineStr">
        <is>
          <t>42², 84²</t>
        </is>
      </c>
      <c r="J3779" t="n">
        <v>4</v>
      </c>
      <c r="K3779" t="inlineStr">
        <is>
          <t>2³, 4³, 6⁶, 12⁶</t>
        </is>
      </c>
      <c r="L3779" t="inlineStr">
        <is>
          <t>12H⁰, 84B⁶, 42L⁷, 84C⁷</t>
        </is>
      </c>
      <c r="M3779" t="inlineStr"/>
      <c r="N3779" t="inlineStr">
        <is>
          <t>6B⁰, 12C⁰, 42B¹, 14B¹, 4C⁰, 21A⁰, 2B⁰, 12H⁰, 1A⁰, 28C², 84C⁷, 42L⁷, 12D⁰, 6H⁰, 3A⁰, 42C³, 84B⁶, 6D⁰, 7A⁰</t>
        </is>
      </c>
      <c r="O3779" t="inlineStr"/>
    </row>
    <row r="3780">
      <c r="A3780">
        <f>HYPERLINK("https://mathstats.uncg.edu/sites/pauli/congruence/csg14.html#group87A14", "87A¹⁴")</f>
        <v/>
      </c>
      <c r="B3780" t="n">
        <v>14</v>
      </c>
      <c r="C3780" t="inlineStr"/>
      <c r="D3780" t="inlineStr">
        <is>
          <t>180</t>
        </is>
      </c>
      <c r="E3780" t="inlineStr">
        <is>
          <t>1</t>
        </is>
      </c>
      <c r="F3780" t="inlineStr">
        <is>
          <t>30</t>
        </is>
      </c>
      <c r="G3780" t="inlineStr">
        <is>
          <t>0</t>
        </is>
      </c>
      <c r="H3780" t="inlineStr">
        <is>
          <t>0</t>
        </is>
      </c>
      <c r="I3780" t="inlineStr">
        <is>
          <t>3², 87²</t>
        </is>
      </c>
      <c r="J3780" t="n">
        <v>4</v>
      </c>
      <c r="K3780" t="inlineStr">
        <is>
          <t>1², 28¹</t>
        </is>
      </c>
      <c r="L3780" t="inlineStr">
        <is>
          <t>29A⁴, 87A⁶</t>
        </is>
      </c>
      <c r="M3780" t="inlineStr"/>
      <c r="N3780" t="inlineStr">
        <is>
          <t>87A⁶, 3A⁰, 29A⁴, 1A⁰, 29A²</t>
        </is>
      </c>
      <c r="O3780" t="inlineStr"/>
    </row>
    <row r="3781">
      <c r="A3781">
        <f>HYPERLINK("https://mathstats.uncg.edu/sites/pauli/congruence/csg14.html#group90A14", "90A¹⁴")</f>
        <v/>
      </c>
      <c r="B3781" t="n">
        <v>14</v>
      </c>
      <c r="C3781" t="inlineStr"/>
      <c r="D3781" t="inlineStr">
        <is>
          <t>180</t>
        </is>
      </c>
      <c r="E3781" t="inlineStr">
        <is>
          <t>1</t>
        </is>
      </c>
      <c r="F3781" t="inlineStr">
        <is>
          <t>60</t>
        </is>
      </c>
      <c r="G3781" t="inlineStr">
        <is>
          <t>0</t>
        </is>
      </c>
      <c r="H3781" t="inlineStr">
        <is>
          <t>0</t>
        </is>
      </c>
      <c r="I3781" t="inlineStr">
        <is>
          <t>15¹, 30¹, 45¹, 90¹</t>
        </is>
      </c>
      <c r="J3781" t="n">
        <v>4</v>
      </c>
      <c r="K3781" t="inlineStr">
        <is>
          <t>1⁶, 2³, 4⁶, 8³</t>
        </is>
      </c>
      <c r="L3781" t="inlineStr">
        <is>
          <t>18D², 45B³, 30D⁴</t>
        </is>
      </c>
      <c r="M3781" t="inlineStr"/>
      <c r="N3781" t="inlineStr">
        <is>
          <t>3B⁰, 5A⁰, 45B³, 30D⁴, 10B¹, 15B¹, 18D², 1A⁰, 2B⁰, 9C⁰, 6F⁰</t>
        </is>
      </c>
      <c r="O3781" t="inlineStr"/>
    </row>
    <row r="3782">
      <c r="A3782">
        <f>HYPERLINK("https://mathstats.uncg.edu/sites/pauli/congruence/csg14.html#group90B14", "90B¹⁴")</f>
        <v/>
      </c>
      <c r="B3782" t="n">
        <v>14</v>
      </c>
      <c r="C3782" t="inlineStr"/>
      <c r="D3782" t="inlineStr">
        <is>
          <t>180</t>
        </is>
      </c>
      <c r="E3782" t="inlineStr">
        <is>
          <t>1</t>
        </is>
      </c>
      <c r="F3782" t="inlineStr">
        <is>
          <t>60</t>
        </is>
      </c>
      <c r="G3782" t="inlineStr">
        <is>
          <t>0</t>
        </is>
      </c>
      <c r="H3782" t="inlineStr">
        <is>
          <t>0</t>
        </is>
      </c>
      <c r="I3782" t="inlineStr">
        <is>
          <t>15¹, 30¹, 45¹, 90¹</t>
        </is>
      </c>
      <c r="J3782" t="n">
        <v>4</v>
      </c>
      <c r="K3782" t="inlineStr">
        <is>
          <t>1⁶, 2³, 4⁶, 8³</t>
        </is>
      </c>
      <c r="L3782" t="inlineStr">
        <is>
          <t>18E², 30D⁴, 45A⁵</t>
        </is>
      </c>
      <c r="M3782" t="inlineStr"/>
      <c r="N3782" t="inlineStr">
        <is>
          <t>3B⁰, 5A⁰, 30D⁴, 45A⁵, 10B¹, 9A¹, 18E², 15B¹, 1A⁰, 2B⁰, 6F⁰</t>
        </is>
      </c>
      <c r="O3782" t="inlineStr"/>
    </row>
    <row r="3783">
      <c r="A3783">
        <f>HYPERLINK("https://mathstats.uncg.edu/sites/pauli/congruence/csg14.html#group90C14", "90C¹⁴")</f>
        <v/>
      </c>
      <c r="B3783" t="n">
        <v>14</v>
      </c>
      <c r="C3783" t="inlineStr"/>
      <c r="D3783" t="inlineStr">
        <is>
          <t>180</t>
        </is>
      </c>
      <c r="E3783" t="inlineStr">
        <is>
          <t>1</t>
        </is>
      </c>
      <c r="F3783" t="inlineStr">
        <is>
          <t>90</t>
        </is>
      </c>
      <c r="G3783" t="inlineStr">
        <is>
          <t>0</t>
        </is>
      </c>
      <c r="H3783" t="inlineStr">
        <is>
          <t>0</t>
        </is>
      </c>
      <c r="I3783" t="inlineStr">
        <is>
          <t>30³, 90¹</t>
        </is>
      </c>
      <c r="J3783" t="n">
        <v>4</v>
      </c>
      <c r="K3783" t="inlineStr">
        <is>
          <t>1¹, 2¹, 3¹, 4¹, 6², 8¹, 12¹, 24²</t>
        </is>
      </c>
      <c r="L3783" t="inlineStr">
        <is>
          <t>18F², 30B⁵, 45C⁶</t>
        </is>
      </c>
      <c r="M3783" t="inlineStr"/>
      <c r="N3783" t="inlineStr">
        <is>
          <t>18F², 2A⁰, 45C⁶, 5A⁰, 6B⁰, 30A³, 9E⁰, 1A⁰, 30B⁵, 30A², 10A⁰, 15A², 6B¹, 3C⁰, 6A¹, 3A⁰, 15A¹</t>
        </is>
      </c>
      <c r="O3783" t="inlineStr"/>
    </row>
    <row r="3784">
      <c r="A3784">
        <f>HYPERLINK("https://mathstats.uncg.edu/sites/pauli/congruence/csg14.html#group90D14", "90D¹⁴")</f>
        <v/>
      </c>
      <c r="B3784" t="n">
        <v>14</v>
      </c>
      <c r="C3784" t="inlineStr"/>
      <c r="D3784" t="inlineStr">
        <is>
          <t>180</t>
        </is>
      </c>
      <c r="E3784" t="inlineStr">
        <is>
          <t>2</t>
        </is>
      </c>
      <c r="F3784" t="inlineStr">
        <is>
          <t>45</t>
        </is>
      </c>
      <c r="G3784" t="inlineStr">
        <is>
          <t>4</t>
        </is>
      </c>
      <c r="H3784" t="inlineStr">
        <is>
          <t>0</t>
        </is>
      </c>
      <c r="I3784" t="inlineStr">
        <is>
          <t>90²</t>
        </is>
      </c>
      <c r="J3784" t="n">
        <v>2</v>
      </c>
      <c r="K3784" t="inlineStr">
        <is>
          <t>2³, 6², 8³, 24²</t>
        </is>
      </c>
      <c r="L3784" t="inlineStr">
        <is>
          <t>18G², 30A⁴, 90A⁶, 45A⁷, 90A⁷</t>
        </is>
      </c>
      <c r="M3784" t="inlineStr"/>
      <c r="N3784" t="inlineStr">
        <is>
          <t>5A⁰, 90A⁶, 6B⁰, 45A⁷, 30A⁴, 1A⁰, 18A⁰, 9B¹, 30A², 90A⁷, 15A², 6E⁰, 9A⁰, 3C⁰, 18G², 3A⁰, 18A¹, 15A¹, 45A³</t>
        </is>
      </c>
      <c r="O3784" t="inlineStr"/>
    </row>
    <row r="3785">
      <c r="A3785">
        <f>HYPERLINK("https://mathstats.uncg.edu/sites/pauli/congruence/csg14.html#group90E14", "90E¹⁴")</f>
        <v/>
      </c>
      <c r="B3785" t="n">
        <v>14</v>
      </c>
      <c r="C3785" t="inlineStr"/>
      <c r="D3785" t="inlineStr">
        <is>
          <t>180</t>
        </is>
      </c>
      <c r="E3785" t="inlineStr">
        <is>
          <t>2</t>
        </is>
      </c>
      <c r="F3785" t="inlineStr">
        <is>
          <t>60</t>
        </is>
      </c>
      <c r="G3785" t="inlineStr">
        <is>
          <t>0</t>
        </is>
      </c>
      <c r="H3785" t="inlineStr">
        <is>
          <t>0</t>
        </is>
      </c>
      <c r="I3785" t="inlineStr">
        <is>
          <t>15¹, 30¹, 45¹, 90¹</t>
        </is>
      </c>
      <c r="J3785" t="n">
        <v>4</v>
      </c>
      <c r="K3785" t="inlineStr">
        <is>
          <t>2⁶, 4³, 8¹²</t>
        </is>
      </c>
      <c r="L3785" t="inlineStr">
        <is>
          <t>30D⁴, 45B⁴</t>
        </is>
      </c>
      <c r="M3785" t="inlineStr"/>
      <c r="N3785" t="inlineStr">
        <is>
          <t>3B⁰, 5A⁰, 30D⁴, 10B¹, 45B⁴, 15B¹, 1A⁰, 2B⁰, 6F⁰</t>
        </is>
      </c>
      <c r="O3785" t="inlineStr"/>
    </row>
    <row r="3786">
      <c r="A3786">
        <f>HYPERLINK("https://mathstats.uncg.edu/sites/pauli/congruence/csg14.html#group90F14", "90F¹⁴")</f>
        <v/>
      </c>
      <c r="B3786" t="n">
        <v>14</v>
      </c>
      <c r="C3786" t="inlineStr"/>
      <c r="D3786" t="inlineStr">
        <is>
          <t>180</t>
        </is>
      </c>
      <c r="E3786" t="inlineStr">
        <is>
          <t>2</t>
        </is>
      </c>
      <c r="F3786" t="inlineStr">
        <is>
          <t>60</t>
        </is>
      </c>
      <c r="G3786" t="inlineStr">
        <is>
          <t>0</t>
        </is>
      </c>
      <c r="H3786" t="inlineStr">
        <is>
          <t>0</t>
        </is>
      </c>
      <c r="I3786" t="inlineStr">
        <is>
          <t>15¹, 30¹, 45¹, 90¹</t>
        </is>
      </c>
      <c r="J3786" t="n">
        <v>4</v>
      </c>
      <c r="K3786" t="inlineStr">
        <is>
          <t>2⁶, 4³, 8¹²</t>
        </is>
      </c>
      <c r="L3786" t="inlineStr">
        <is>
          <t>30D⁴, 45B⁵</t>
        </is>
      </c>
      <c r="M3786" t="inlineStr"/>
      <c r="N3786" t="inlineStr">
        <is>
          <t>3B⁰, 5A⁰, 30D⁴, 10B¹, 15B¹, 1A⁰, 2B⁰, 45B⁵, 6F⁰</t>
        </is>
      </c>
      <c r="O3786" t="inlineStr"/>
    </row>
    <row r="3787">
      <c r="A3787">
        <f>HYPERLINK("https://mathstats.uncg.edu/sites/pauli/congruence/csg14.html#group90G14", "90G¹⁴")</f>
        <v/>
      </c>
      <c r="B3787" t="n">
        <v>14</v>
      </c>
      <c r="C3787" t="inlineStr"/>
      <c r="D3787" t="inlineStr">
        <is>
          <t>180</t>
        </is>
      </c>
      <c r="E3787" t="inlineStr">
        <is>
          <t>2</t>
        </is>
      </c>
      <c r="F3787" t="inlineStr">
        <is>
          <t>90</t>
        </is>
      </c>
      <c r="G3787" t="inlineStr">
        <is>
          <t>4</t>
        </is>
      </c>
      <c r="H3787" t="inlineStr">
        <is>
          <t>0</t>
        </is>
      </c>
      <c r="I3787" t="inlineStr">
        <is>
          <t>90²</t>
        </is>
      </c>
      <c r="J3787" t="n">
        <v>2</v>
      </c>
      <c r="K3787" t="inlineStr">
        <is>
          <t>4³, 8⁶, 12², 24⁴</t>
        </is>
      </c>
      <c r="L3787" t="inlineStr">
        <is>
          <t>30C⁴, 45E⁵</t>
        </is>
      </c>
      <c r="M3787" t="inlineStr"/>
      <c r="N3787" t="inlineStr">
        <is>
          <t>30C⁴, 15D¹, 45E⁵, 9A⁰, 5C⁰, 3A⁰, 1A⁰</t>
        </is>
      </c>
      <c r="O3787" t="inlineStr"/>
    </row>
    <row r="3788">
      <c r="A3788">
        <f>HYPERLINK("https://mathstats.uncg.edu/sites/pauli/congruence/csg14.html#group90H14", "90H¹⁴")</f>
        <v/>
      </c>
      <c r="B3788" t="n">
        <v>14</v>
      </c>
      <c r="C3788" t="inlineStr"/>
      <c r="D3788" t="inlineStr">
        <is>
          <t>180</t>
        </is>
      </c>
      <c r="E3788" t="inlineStr">
        <is>
          <t>2</t>
        </is>
      </c>
      <c r="F3788" t="inlineStr">
        <is>
          <t>90</t>
        </is>
      </c>
      <c r="G3788" t="inlineStr">
        <is>
          <t>4</t>
        </is>
      </c>
      <c r="H3788" t="inlineStr">
        <is>
          <t>0</t>
        </is>
      </c>
      <c r="I3788" t="inlineStr">
        <is>
          <t>90²</t>
        </is>
      </c>
      <c r="J3788" t="n">
        <v>2</v>
      </c>
      <c r="K3788" t="inlineStr">
        <is>
          <t>2⁶, 6⁴, 8⁶, 24⁴</t>
        </is>
      </c>
      <c r="L3788" t="inlineStr">
        <is>
          <t>18H², 30A⁴, 90B⁷</t>
        </is>
      </c>
      <c r="M3788" t="inlineStr"/>
      <c r="N3788" t="inlineStr">
        <is>
          <t>5A⁰, 6B⁰, 30A², 18H², 6E⁰, 15A², 90B⁷, 18B¹, 3C⁰, 30A⁴, 3A⁰, 1A⁰, 15A¹</t>
        </is>
      </c>
      <c r="O3788" t="inlineStr"/>
    </row>
    <row r="3789">
      <c r="A3789">
        <f>HYPERLINK("https://mathstats.uncg.edu/sites/pauli/congruence/csg14.html#group91A14", "91A¹⁴")</f>
        <v/>
      </c>
      <c r="B3789" t="n">
        <v>14</v>
      </c>
      <c r="C3789" t="inlineStr"/>
      <c r="D3789" t="inlineStr">
        <is>
          <t>196</t>
        </is>
      </c>
      <c r="E3789" t="inlineStr">
        <is>
          <t>2</t>
        </is>
      </c>
      <c r="F3789" t="inlineStr">
        <is>
          <t>98</t>
        </is>
      </c>
      <c r="G3789" t="inlineStr">
        <is>
          <t>0</t>
        </is>
      </c>
      <c r="H3789" t="inlineStr">
        <is>
          <t>4</t>
        </is>
      </c>
      <c r="I3789" t="inlineStr">
        <is>
          <t>7², 91²</t>
        </is>
      </c>
      <c r="J3789" t="n">
        <v>4</v>
      </c>
      <c r="K3789" t="inlineStr">
        <is>
          <t>2², 6⁴, 24¹, 72²</t>
        </is>
      </c>
      <c r="L3789" t="inlineStr">
        <is>
          <t>13B⁰, 91A⁶</t>
        </is>
      </c>
      <c r="M3789" t="inlineStr"/>
      <c r="N3789" t="inlineStr">
        <is>
          <t>13A⁰, 13B⁰, 91A⁶, 1A⁰, 7A⁰</t>
        </is>
      </c>
      <c r="O3789" t="inlineStr"/>
    </row>
    <row r="3790">
      <c r="A3790">
        <f>HYPERLINK("https://mathstats.uncg.edu/sites/pauli/congruence/csg14.html#group96A14", "96A¹⁴")</f>
        <v/>
      </c>
      <c r="B3790" t="n">
        <v>14</v>
      </c>
      <c r="C3790" t="inlineStr"/>
      <c r="D3790" t="inlineStr">
        <is>
          <t>192</t>
        </is>
      </c>
      <c r="E3790" t="inlineStr">
        <is>
          <t>2</t>
        </is>
      </c>
      <c r="F3790" t="inlineStr">
        <is>
          <t>96</t>
        </is>
      </c>
      <c r="G3790" t="inlineStr">
        <is>
          <t>0</t>
        </is>
      </c>
      <c r="H3790" t="inlineStr">
        <is>
          <t>0</t>
        </is>
      </c>
      <c r="I3790" t="inlineStr">
        <is>
          <t>8², 24², 32¹, 96¹</t>
        </is>
      </c>
      <c r="J3790" t="n">
        <v>6</v>
      </c>
      <c r="K3790" t="inlineStr">
        <is>
          <t>2⁴, 4⁸, 8¹¹, 16⁴</t>
        </is>
      </c>
      <c r="L3790" t="inlineStr">
        <is>
          <t>32I³, 48D⁶</t>
        </is>
      </c>
      <c r="M3790" t="inlineStr"/>
      <c r="N3790" t="inlineStr">
        <is>
          <t>3B⁰, 8D⁰, 12F¹, 48D⁶, 4C⁰, 32I³, 2B⁰, 1A⁰, 24I², 16C¹, 6F⁰</t>
        </is>
      </c>
      <c r="O3790" t="inlineStr"/>
    </row>
    <row r="3791">
      <c r="A3791">
        <f>HYPERLINK("https://mathstats.uncg.edu/sites/pauli/congruence/csg14.html#group99A14", "99A¹⁴")</f>
        <v/>
      </c>
      <c r="B3791" t="n">
        <v>14</v>
      </c>
      <c r="C3791" t="inlineStr"/>
      <c r="D3791" t="inlineStr">
        <is>
          <t>198</t>
        </is>
      </c>
      <c r="E3791" t="inlineStr">
        <is>
          <t>2</t>
        </is>
      </c>
      <c r="F3791" t="inlineStr">
        <is>
          <t>198</t>
        </is>
      </c>
      <c r="G3791" t="inlineStr">
        <is>
          <t>6</t>
        </is>
      </c>
      <c r="H3791" t="inlineStr">
        <is>
          <t>0</t>
        </is>
      </c>
      <c r="I3791" t="inlineStr">
        <is>
          <t>33³, 99¹</t>
        </is>
      </c>
      <c r="J3791" t="n">
        <v>4</v>
      </c>
      <c r="K3791" t="inlineStr">
        <is>
          <t>2¹, 4¹, 6¹, 10², 12², 20², 30², 60⁴</t>
        </is>
      </c>
      <c r="L3791" t="inlineStr">
        <is>
          <t>9E⁰, 33A⁴</t>
        </is>
      </c>
      <c r="M3791" t="inlineStr"/>
      <c r="N3791" t="inlineStr">
        <is>
          <t>11A⁰, 3C⁰, 9E⁰, 3A⁰, 1A⁰, 33A¹, 33A⁴</t>
        </is>
      </c>
      <c r="O3791" t="inlineStr"/>
    </row>
    <row r="3792">
      <c r="A3792">
        <f>HYPERLINK("https://mathstats.uncg.edu/sites/pauli/congruence/csg14.html#group100A14", "100A¹⁴")</f>
        <v/>
      </c>
      <c r="B3792" t="n">
        <v>14</v>
      </c>
      <c r="C3792" t="inlineStr"/>
      <c r="D3792" t="inlineStr">
        <is>
          <t>180</t>
        </is>
      </c>
      <c r="E3792" t="inlineStr">
        <is>
          <t>1</t>
        </is>
      </c>
      <c r="F3792" t="inlineStr">
        <is>
          <t>90</t>
        </is>
      </c>
      <c r="G3792" t="inlineStr">
        <is>
          <t>0</t>
        </is>
      </c>
      <c r="H3792" t="inlineStr">
        <is>
          <t>0</t>
        </is>
      </c>
      <c r="I3792" t="inlineStr">
        <is>
          <t>10¹, 20¹, 50¹, 100¹</t>
        </is>
      </c>
      <c r="J3792" t="n">
        <v>4</v>
      </c>
      <c r="K3792" t="inlineStr">
        <is>
          <t>2⁶, 4¹², 20⁶</t>
        </is>
      </c>
      <c r="L3792" t="inlineStr">
        <is>
          <t>20C², 50A⁶</t>
        </is>
      </c>
      <c r="M3792" t="inlineStr"/>
      <c r="N3792" t="inlineStr">
        <is>
          <t>5B⁰, 50A⁶, 10C⁰, 2B⁰, 25A², 1A⁰, 20C²</t>
        </is>
      </c>
      <c r="O3792" t="inlineStr"/>
    </row>
    <row r="3793">
      <c r="A3793">
        <f>HYPERLINK("https://mathstats.uncg.edu/sites/pauli/congruence/csg14.html#group100B14", "100B¹⁴")</f>
        <v/>
      </c>
      <c r="B3793" t="n">
        <v>14</v>
      </c>
      <c r="C3793" t="inlineStr"/>
      <c r="D3793" t="inlineStr">
        <is>
          <t>180</t>
        </is>
      </c>
      <c r="E3793" t="inlineStr">
        <is>
          <t>1</t>
        </is>
      </c>
      <c r="F3793" t="inlineStr">
        <is>
          <t>90</t>
        </is>
      </c>
      <c r="G3793" t="inlineStr">
        <is>
          <t>0</t>
        </is>
      </c>
      <c r="H3793" t="inlineStr">
        <is>
          <t>0</t>
        </is>
      </c>
      <c r="I3793" t="inlineStr">
        <is>
          <t>10¹, 20¹, 50¹, 100¹</t>
        </is>
      </c>
      <c r="J3793" t="n">
        <v>4</v>
      </c>
      <c r="K3793" t="inlineStr">
        <is>
          <t>2⁶, 4¹², 20⁶</t>
        </is>
      </c>
      <c r="L3793" t="inlineStr">
        <is>
          <t>20C², 50B⁶</t>
        </is>
      </c>
      <c r="M3793" t="inlineStr"/>
      <c r="N3793" t="inlineStr">
        <is>
          <t>5B⁰, 10C⁰, 2B⁰, 50B⁶, 1A⁰, 20C², 25B²</t>
        </is>
      </c>
      <c r="O3793" t="inlineStr"/>
    </row>
    <row r="3794">
      <c r="A3794">
        <f>HYPERLINK("https://mathstats.uncg.edu/sites/pauli/congruence/csg14.html#group100C14", "100C¹⁴")</f>
        <v/>
      </c>
      <c r="B3794" t="n">
        <v>14</v>
      </c>
      <c r="C3794" t="inlineStr"/>
      <c r="D3794" t="inlineStr">
        <is>
          <t>180</t>
        </is>
      </c>
      <c r="E3794" t="inlineStr">
        <is>
          <t>1</t>
        </is>
      </c>
      <c r="F3794" t="inlineStr">
        <is>
          <t>90</t>
        </is>
      </c>
      <c r="G3794" t="inlineStr">
        <is>
          <t>0</t>
        </is>
      </c>
      <c r="H3794" t="inlineStr">
        <is>
          <t>0</t>
        </is>
      </c>
      <c r="I3794" t="inlineStr">
        <is>
          <t>10¹, 20¹, 50¹, 100¹</t>
        </is>
      </c>
      <c r="J3794" t="n">
        <v>4</v>
      </c>
      <c r="K3794" t="inlineStr">
        <is>
          <t>2⁶, 4¹², 20⁶</t>
        </is>
      </c>
      <c r="L3794" t="inlineStr">
        <is>
          <t>20C², 50C⁶</t>
        </is>
      </c>
      <c r="M3794" t="inlineStr"/>
      <c r="N3794" t="inlineStr">
        <is>
          <t>5B⁰, 10C⁰, 1A⁰, 2B⁰, 50C⁶, 25C², 20C²</t>
        </is>
      </c>
      <c r="O3794" t="inlineStr"/>
    </row>
    <row r="3795">
      <c r="A3795">
        <f>HYPERLINK("https://mathstats.uncg.edu/sites/pauli/congruence/csg14.html#group100D14", "100D¹⁴")</f>
        <v/>
      </c>
      <c r="B3795" t="n">
        <v>14</v>
      </c>
      <c r="C3795" t="inlineStr"/>
      <c r="D3795" t="inlineStr">
        <is>
          <t>180</t>
        </is>
      </c>
      <c r="E3795" t="inlineStr">
        <is>
          <t>1</t>
        </is>
      </c>
      <c r="F3795" t="inlineStr">
        <is>
          <t>90</t>
        </is>
      </c>
      <c r="G3795" t="inlineStr">
        <is>
          <t>0</t>
        </is>
      </c>
      <c r="H3795" t="inlineStr">
        <is>
          <t>0</t>
        </is>
      </c>
      <c r="I3795" t="inlineStr">
        <is>
          <t>10¹, 20¹, 50¹, 100¹</t>
        </is>
      </c>
      <c r="J3795" t="n">
        <v>4</v>
      </c>
      <c r="K3795" t="inlineStr">
        <is>
          <t>2⁶, 4¹², 20⁶</t>
        </is>
      </c>
      <c r="L3795" t="inlineStr">
        <is>
          <t>20C², 50D⁶</t>
        </is>
      </c>
      <c r="M3795" t="inlineStr"/>
      <c r="N3795" t="inlineStr">
        <is>
          <t>5B⁰, 10C⁰, 2B⁰, 1A⁰, 50D⁶, 20C², 25D²</t>
        </is>
      </c>
      <c r="O3795" t="inlineStr"/>
    </row>
    <row r="3796">
      <c r="A3796">
        <f>HYPERLINK("https://mathstats.uncg.edu/sites/pauli/congruence/csg14.html#group100E14", "100E¹⁴")</f>
        <v/>
      </c>
      <c r="B3796" t="n">
        <v>14</v>
      </c>
      <c r="C3796" t="inlineStr"/>
      <c r="D3796" t="inlineStr">
        <is>
          <t>200</t>
        </is>
      </c>
      <c r="E3796" t="inlineStr">
        <is>
          <t>1</t>
        </is>
      </c>
      <c r="F3796" t="inlineStr">
        <is>
          <t>200</t>
        </is>
      </c>
      <c r="G3796" t="inlineStr">
        <is>
          <t>4</t>
        </is>
      </c>
      <c r="H3796" t="inlineStr">
        <is>
          <t>5</t>
        </is>
      </c>
      <c r="I3796" t="inlineStr">
        <is>
          <t>100²</t>
        </is>
      </c>
      <c r="J3796" t="n">
        <v>2</v>
      </c>
      <c r="K3796" t="inlineStr">
        <is>
          <t>4², 8⁴, 40⁴</t>
        </is>
      </c>
      <c r="L3796" t="inlineStr">
        <is>
          <t>20E², 25E²</t>
        </is>
      </c>
      <c r="M3796" t="inlineStr"/>
      <c r="N3796" t="inlineStr">
        <is>
          <t>1A⁰, 4A⁰, 5C⁰, 20E², 25E²</t>
        </is>
      </c>
      <c r="O3796" t="inlineStr"/>
    </row>
    <row r="3797">
      <c r="A3797">
        <f>HYPERLINK("https://mathstats.uncg.edu/sites/pauli/congruence/csg14.html#group105A14", "105A¹⁴")</f>
        <v/>
      </c>
      <c r="B3797" t="n">
        <v>14</v>
      </c>
      <c r="C3797" t="inlineStr"/>
      <c r="D3797" t="inlineStr">
        <is>
          <t>210</t>
        </is>
      </c>
      <c r="E3797" t="inlineStr">
        <is>
          <t>2</t>
        </is>
      </c>
      <c r="F3797" t="inlineStr">
        <is>
          <t>35</t>
        </is>
      </c>
      <c r="G3797" t="inlineStr">
        <is>
          <t>6</t>
        </is>
      </c>
      <c r="H3797" t="inlineStr">
        <is>
          <t>6</t>
        </is>
      </c>
      <c r="I3797" t="inlineStr">
        <is>
          <t>105²</t>
        </is>
      </c>
      <c r="J3797" t="n">
        <v>2</v>
      </c>
      <c r="K3797" t="inlineStr">
        <is>
          <t>4¹, 12², 16¹, 48²</t>
        </is>
      </c>
      <c r="L3797" t="inlineStr">
        <is>
          <t>35A⁴, 105A⁶</t>
        </is>
      </c>
      <c r="M3797" t="inlineStr"/>
      <c r="N3797" t="inlineStr">
        <is>
          <t>105A⁶, 5A⁰, 35A⁴, 7C⁰, 1A⁰, 35A², 7A⁰, 15A⁰</t>
        </is>
      </c>
      <c r="O3797" t="inlineStr"/>
    </row>
    <row r="3798">
      <c r="A3798">
        <f>HYPERLINK("https://mathstats.uncg.edu/sites/pauli/congruence/csg14.html#group105B14", "105B¹⁴")</f>
        <v/>
      </c>
      <c r="B3798" t="n">
        <v>14</v>
      </c>
      <c r="C3798" t="inlineStr"/>
      <c r="D3798" t="inlineStr">
        <is>
          <t>210</t>
        </is>
      </c>
      <c r="E3798" t="inlineStr">
        <is>
          <t>2</t>
        </is>
      </c>
      <c r="F3798" t="inlineStr">
        <is>
          <t>35</t>
        </is>
      </c>
      <c r="G3798" t="inlineStr">
        <is>
          <t>6</t>
        </is>
      </c>
      <c r="H3798" t="inlineStr">
        <is>
          <t>6</t>
        </is>
      </c>
      <c r="I3798" t="inlineStr">
        <is>
          <t>105²</t>
        </is>
      </c>
      <c r="J3798" t="n">
        <v>2</v>
      </c>
      <c r="K3798" t="inlineStr">
        <is>
          <t>4¹, 12², 16¹, 48²</t>
        </is>
      </c>
      <c r="L3798" t="inlineStr">
        <is>
          <t>35A⁴, 105B⁶</t>
        </is>
      </c>
      <c r="M3798" t="inlineStr"/>
      <c r="N3798" t="inlineStr">
        <is>
          <t>5A⁰, 105B⁶, 35A⁴, 7C⁰, 1A⁰, 35A², 7A⁰, 15A⁰</t>
        </is>
      </c>
      <c r="O3798" t="inlineStr"/>
    </row>
    <row r="3799">
      <c r="A3799">
        <f>HYPERLINK("https://mathstats.uncg.edu/sites/pauli/congruence/csg14.html#group105C14", "105C¹⁴")</f>
        <v/>
      </c>
      <c r="B3799" t="n">
        <v>14</v>
      </c>
      <c r="C3799" t="inlineStr"/>
      <c r="D3799" t="inlineStr">
        <is>
          <t>210</t>
        </is>
      </c>
      <c r="E3799" t="inlineStr">
        <is>
          <t>2</t>
        </is>
      </c>
      <c r="F3799" t="inlineStr">
        <is>
          <t>70</t>
        </is>
      </c>
      <c r="G3799" t="inlineStr">
        <is>
          <t>6</t>
        </is>
      </c>
      <c r="H3799" t="inlineStr">
        <is>
          <t>6</t>
        </is>
      </c>
      <c r="I3799" t="inlineStr">
        <is>
          <t>105²</t>
        </is>
      </c>
      <c r="J3799" t="n">
        <v>2</v>
      </c>
      <c r="K3799" t="inlineStr">
        <is>
          <t>4¹, 12², 16¹, 48²</t>
        </is>
      </c>
      <c r="L3799" t="inlineStr">
        <is>
          <t>21C¹, 35A⁴</t>
        </is>
      </c>
      <c r="M3799" t="inlineStr"/>
      <c r="N3799" t="inlineStr">
        <is>
          <t>5A⁰, 7C⁰, 1A⁰, 35A², 35A⁴, 7A⁰, 21C¹</t>
        </is>
      </c>
      <c r="O3799" t="inlineStr"/>
    </row>
    <row r="3800">
      <c r="A3800">
        <f>HYPERLINK("https://mathstats.uncg.edu/sites/pauli/congruence/csg14.html#group105D14", "105D¹⁴")</f>
        <v/>
      </c>
      <c r="B3800" t="n">
        <v>14</v>
      </c>
      <c r="C3800" t="inlineStr"/>
      <c r="D3800" t="inlineStr">
        <is>
          <t>252</t>
        </is>
      </c>
      <c r="E3800" t="inlineStr">
        <is>
          <t>2</t>
        </is>
      </c>
      <c r="F3800" t="inlineStr">
        <is>
          <t>42</t>
        </is>
      </c>
      <c r="G3800" t="inlineStr">
        <is>
          <t>24</t>
        </is>
      </c>
      <c r="H3800" t="inlineStr">
        <is>
          <t>0</t>
        </is>
      </c>
      <c r="I3800" t="inlineStr">
        <is>
          <t>21², 105²</t>
        </is>
      </c>
      <c r="J3800" t="n">
        <v>4</v>
      </c>
      <c r="K3800" t="inlineStr">
        <is>
          <t>2², 6⁴, 8¹, 24²</t>
        </is>
      </c>
      <c r="L3800" t="inlineStr">
        <is>
          <t>35C⁴, 105C⁶</t>
        </is>
      </c>
      <c r="M3800" t="inlineStr"/>
      <c r="N3800" t="inlineStr">
        <is>
          <t>35C², 15B⁰, 35C⁴, 105C⁶, 5B⁰, 21A⁰, 3A⁰, 1A⁰, 7A⁰</t>
        </is>
      </c>
      <c r="O3800" t="inlineStr"/>
    </row>
    <row r="3801">
      <c r="A3801">
        <f>HYPERLINK("https://mathstats.uncg.edu/sites/pauli/congruence/csg14.html#group105E14", "105E¹⁴")</f>
        <v/>
      </c>
      <c r="B3801" t="n">
        <v>14</v>
      </c>
      <c r="C3801" t="inlineStr"/>
      <c r="D3801" t="inlineStr">
        <is>
          <t>252</t>
        </is>
      </c>
      <c r="E3801" t="inlineStr">
        <is>
          <t>2</t>
        </is>
      </c>
      <c r="F3801" t="inlineStr">
        <is>
          <t>126</t>
        </is>
      </c>
      <c r="G3801" t="inlineStr">
        <is>
          <t>24</t>
        </is>
      </c>
      <c r="H3801" t="inlineStr">
        <is>
          <t>0</t>
        </is>
      </c>
      <c r="I3801" t="inlineStr">
        <is>
          <t>21², 105²</t>
        </is>
      </c>
      <c r="J3801" t="n">
        <v>4</v>
      </c>
      <c r="K3801" t="inlineStr">
        <is>
          <t>2², 4², 6⁴, 8¹, 12⁴, 16¹, 24², 48²</t>
        </is>
      </c>
      <c r="L3801" t="inlineStr">
        <is>
          <t>15C⁰, 105C⁶</t>
        </is>
      </c>
      <c r="M3801" t="inlineStr"/>
      <c r="N3801" t="inlineStr">
        <is>
          <t>35C², 15B⁰, 105C⁶, 5B⁰, 21A⁰, 7A⁰, 3A⁰, 1A⁰, 15C⁰</t>
        </is>
      </c>
      <c r="O3801" t="inlineStr"/>
    </row>
    <row r="3802">
      <c r="A3802">
        <f>HYPERLINK("https://mathstats.uncg.edu/sites/pauli/congruence/csg14.html#group110A14", "110A¹⁴")</f>
        <v/>
      </c>
      <c r="B3802" t="n">
        <v>14</v>
      </c>
      <c r="C3802" t="inlineStr"/>
      <c r="D3802" t="inlineStr">
        <is>
          <t>180</t>
        </is>
      </c>
      <c r="E3802" t="inlineStr">
        <is>
          <t>1</t>
        </is>
      </c>
      <c r="F3802" t="inlineStr">
        <is>
          <t>180</t>
        </is>
      </c>
      <c r="G3802" t="inlineStr">
        <is>
          <t>0</t>
        </is>
      </c>
      <c r="H3802" t="inlineStr">
        <is>
          <t>0</t>
        </is>
      </c>
      <c r="I3802" t="inlineStr">
        <is>
          <t>5¹, 10¹, 55¹, 110¹</t>
        </is>
      </c>
      <c r="J3802" t="n">
        <v>4</v>
      </c>
      <c r="K3802" t="inlineStr">
        <is>
          <t>1⁶, 4⁶, 10³, 40³</t>
        </is>
      </c>
      <c r="L3802" t="inlineStr">
        <is>
          <t>10B¹, 22C², 55A⁵</t>
        </is>
      </c>
      <c r="M3802" t="inlineStr"/>
      <c r="N3802" t="inlineStr">
        <is>
          <t>5A⁰, 11A¹, 10B¹, 55A⁵, 2B⁰, 22C², 1A⁰</t>
        </is>
      </c>
      <c r="O3802" t="inlineStr"/>
    </row>
    <row r="3803">
      <c r="A3803">
        <f>HYPERLINK("https://mathstats.uncg.edu/sites/pauli/congruence/csg14.html#group110B14", "110B¹⁴")</f>
        <v/>
      </c>
      <c r="B3803" t="n">
        <v>14</v>
      </c>
      <c r="C3803" t="inlineStr"/>
      <c r="D3803" t="inlineStr">
        <is>
          <t>198</t>
        </is>
      </c>
      <c r="E3803" t="inlineStr">
        <is>
          <t>2</t>
        </is>
      </c>
      <c r="F3803" t="inlineStr">
        <is>
          <t>198</t>
        </is>
      </c>
      <c r="G3803" t="inlineStr">
        <is>
          <t>6</t>
        </is>
      </c>
      <c r="H3803" t="inlineStr">
        <is>
          <t>0</t>
        </is>
      </c>
      <c r="I3803" t="inlineStr">
        <is>
          <t>11¹, 22¹, 55¹, 110¹</t>
        </is>
      </c>
      <c r="J3803" t="n">
        <v>4</v>
      </c>
      <c r="K3803" t="inlineStr">
        <is>
          <t>2⁶, 8³, 10¹², 40⁶</t>
        </is>
      </c>
      <c r="L3803" t="inlineStr">
        <is>
          <t>10C⁰, 22B², 55A⁴</t>
        </is>
      </c>
      <c r="M3803" t="inlineStr"/>
      <c r="N3803" t="inlineStr">
        <is>
          <t>11A⁰, 55A⁴, 5B⁰, 10C⁰, 2B⁰, 22B², 1A⁰</t>
        </is>
      </c>
      <c r="O3803" t="inlineStr"/>
    </row>
    <row r="3804">
      <c r="A3804">
        <f>HYPERLINK("https://mathstats.uncg.edu/sites/pauli/congruence/csg14.html#group110C14", "110C¹⁴")</f>
        <v/>
      </c>
      <c r="B3804" t="n">
        <v>14</v>
      </c>
      <c r="C3804" t="inlineStr"/>
      <c r="D3804" t="inlineStr">
        <is>
          <t>220</t>
        </is>
      </c>
      <c r="E3804" t="inlineStr">
        <is>
          <t>2</t>
        </is>
      </c>
      <c r="F3804" t="inlineStr">
        <is>
          <t>110</t>
        </is>
      </c>
      <c r="G3804" t="inlineStr">
        <is>
          <t>12</t>
        </is>
      </c>
      <c r="H3804" t="inlineStr">
        <is>
          <t>4</t>
        </is>
      </c>
      <c r="I3804" t="inlineStr">
        <is>
          <t>110²</t>
        </is>
      </c>
      <c r="J3804" t="n">
        <v>2</v>
      </c>
      <c r="K3804" t="inlineStr">
        <is>
          <t>4¹, 8², 20², 40⁴</t>
        </is>
      </c>
      <c r="L3804" t="inlineStr">
        <is>
          <t>10D⁰, 55A⁷</t>
        </is>
      </c>
      <c r="M3804" t="inlineStr"/>
      <c r="N3804" t="inlineStr">
        <is>
          <t>11A⁰, 55A⁷, 1A⁰, 5C⁰, 10D⁰</t>
        </is>
      </c>
      <c r="O3804" t="inlineStr"/>
    </row>
    <row r="3805">
      <c r="A3805">
        <f>HYPERLINK("https://mathstats.uncg.edu/sites/pauli/congruence/csg14.html#group112A14", "112A¹⁴")</f>
        <v/>
      </c>
      <c r="B3805" t="n">
        <v>14</v>
      </c>
      <c r="C3805" t="inlineStr"/>
      <c r="D3805" t="inlineStr">
        <is>
          <t>168</t>
        </is>
      </c>
      <c r="E3805" t="inlineStr">
        <is>
          <t>2</t>
        </is>
      </c>
      <c r="F3805" t="inlineStr">
        <is>
          <t>21</t>
        </is>
      </c>
      <c r="G3805" t="inlineStr">
        <is>
          <t>0</t>
        </is>
      </c>
      <c r="H3805" t="inlineStr">
        <is>
          <t>0</t>
        </is>
      </c>
      <c r="I3805" t="inlineStr">
        <is>
          <t>56¹, 112¹</t>
        </is>
      </c>
      <c r="J3805" t="n">
        <v>2</v>
      </c>
      <c r="K3805" t="inlineStr">
        <is>
          <t>2³, 6⁶</t>
        </is>
      </c>
      <c r="L3805" t="inlineStr">
        <is>
          <t>16A², 56B⁴</t>
        </is>
      </c>
      <c r="M3805" t="inlineStr"/>
      <c r="N3805" t="inlineStr">
        <is>
          <t>28C², 16A², 14B¹, 4C⁰, 8B⁰, 2B⁰, 1A⁰, 7A⁰, 56B⁴</t>
        </is>
      </c>
      <c r="O3805" t="inlineStr"/>
    </row>
    <row r="3806">
      <c r="A3806">
        <f>HYPERLINK("https://mathstats.uncg.edu/sites/pauli/congruence/csg14.html#group112B14", "112B¹⁴")</f>
        <v/>
      </c>
      <c r="B3806" t="n">
        <v>14</v>
      </c>
      <c r="C3806" t="inlineStr"/>
      <c r="D3806" t="inlineStr">
        <is>
          <t>168</t>
        </is>
      </c>
      <c r="E3806" t="inlineStr">
        <is>
          <t>2</t>
        </is>
      </c>
      <c r="F3806" t="inlineStr">
        <is>
          <t>84</t>
        </is>
      </c>
      <c r="G3806" t="inlineStr">
        <is>
          <t>0</t>
        </is>
      </c>
      <c r="H3806" t="inlineStr">
        <is>
          <t>0</t>
        </is>
      </c>
      <c r="I3806" t="inlineStr">
        <is>
          <t>56¹, 112¹</t>
        </is>
      </c>
      <c r="J3806" t="n">
        <v>2</v>
      </c>
      <c r="K3806" t="inlineStr">
        <is>
          <t>2⁴, 4², 6⁸, 8¹, 12⁴, 24²</t>
        </is>
      </c>
      <c r="L3806" t="inlineStr">
        <is>
          <t>56A⁷</t>
        </is>
      </c>
      <c r="M3806" t="inlineStr"/>
      <c r="N3806" t="inlineStr">
        <is>
          <t>28C², 8A¹, 56A⁷, 14B¹, 4C⁰, 2B⁰, 1A⁰, 7A⁰</t>
        </is>
      </c>
      <c r="O3806" t="inlineStr"/>
    </row>
    <row r="3807">
      <c r="A3807">
        <f>HYPERLINK("https://mathstats.uncg.edu/sites/pauli/congruence/csg14.html#group112C14", "112C¹⁴")</f>
        <v/>
      </c>
      <c r="B3807" t="n">
        <v>14</v>
      </c>
      <c r="C3807" t="inlineStr"/>
      <c r="D3807" t="inlineStr">
        <is>
          <t>168</t>
        </is>
      </c>
      <c r="E3807" t="inlineStr">
        <is>
          <t>2</t>
        </is>
      </c>
      <c r="F3807" t="inlineStr">
        <is>
          <t>84</t>
        </is>
      </c>
      <c r="G3807" t="inlineStr">
        <is>
          <t>0</t>
        </is>
      </c>
      <c r="H3807" t="inlineStr">
        <is>
          <t>0</t>
        </is>
      </c>
      <c r="I3807" t="inlineStr">
        <is>
          <t>56¹, 112¹</t>
        </is>
      </c>
      <c r="J3807" t="n">
        <v>2</v>
      </c>
      <c r="K3807" t="inlineStr">
        <is>
          <t>2⁴, 4², 6⁸, 8¹, 12⁴, 24²</t>
        </is>
      </c>
      <c r="L3807" t="inlineStr">
        <is>
          <t>16B², 56A⁷</t>
        </is>
      </c>
      <c r="M3807" t="inlineStr"/>
      <c r="N3807" t="inlineStr">
        <is>
          <t>28C², 16B², 56A⁷, 8A¹, 14B¹, 4C⁰, 2B⁰, 1A⁰, 7A⁰</t>
        </is>
      </c>
      <c r="O3807" t="inlineStr"/>
    </row>
    <row r="3808">
      <c r="A3808">
        <f>HYPERLINK("https://mathstats.uncg.edu/sites/pauli/congruence/csg14.html#group112D14", "112D¹⁴")</f>
        <v/>
      </c>
      <c r="B3808" t="n">
        <v>14</v>
      </c>
      <c r="C3808" t="inlineStr"/>
      <c r="D3808" t="inlineStr">
        <is>
          <t>192</t>
        </is>
      </c>
      <c r="E3808" t="inlineStr">
        <is>
          <t>1</t>
        </is>
      </c>
      <c r="F3808" t="inlineStr">
        <is>
          <t>96</t>
        </is>
      </c>
      <c r="G3808" t="inlineStr">
        <is>
          <t>0</t>
        </is>
      </c>
      <c r="H3808" t="inlineStr">
        <is>
          <t>0</t>
        </is>
      </c>
      <c r="I3808" t="inlineStr">
        <is>
          <t>4², 16¹, 28², 112¹</t>
        </is>
      </c>
      <c r="J3808" t="n">
        <v>6</v>
      </c>
      <c r="K3808" t="inlineStr">
        <is>
          <t>1⁴, 2², 4⁴, 6², 12¹, 24²</t>
        </is>
      </c>
      <c r="L3808" t="inlineStr">
        <is>
          <t>16C¹, 56E⁶</t>
        </is>
      </c>
      <c r="M3808" t="inlineStr"/>
      <c r="N3808" t="inlineStr">
        <is>
          <t>8D⁰, 7B⁰, 16C¹, 4C⁰, 14C¹, 1A⁰, 2B⁰, 28C³, 56E⁶</t>
        </is>
      </c>
      <c r="O3808" t="inlineStr"/>
    </row>
    <row r="3809">
      <c r="A3809">
        <f>HYPERLINK("https://mathstats.uncg.edu/sites/pauli/congruence/csg14.html#group112E14", "112E¹⁴")</f>
        <v/>
      </c>
      <c r="B3809" t="n">
        <v>14</v>
      </c>
      <c r="C3809" t="inlineStr"/>
      <c r="D3809" t="inlineStr">
        <is>
          <t>224</t>
        </is>
      </c>
      <c r="E3809" t="inlineStr">
        <is>
          <t>2</t>
        </is>
      </c>
      <c r="F3809" t="inlineStr">
        <is>
          <t>56</t>
        </is>
      </c>
      <c r="G3809" t="inlineStr">
        <is>
          <t>8</t>
        </is>
      </c>
      <c r="H3809" t="inlineStr">
        <is>
          <t>8</t>
        </is>
      </c>
      <c r="I3809" t="inlineStr">
        <is>
          <t>112²</t>
        </is>
      </c>
      <c r="J3809" t="n">
        <v>2</v>
      </c>
      <c r="K3809" t="inlineStr">
        <is>
          <t>16², 48⁴</t>
        </is>
      </c>
      <c r="L3809" t="inlineStr">
        <is>
          <t>56F⁶, 112A⁷, 112C⁷</t>
        </is>
      </c>
      <c r="M3809" t="inlineStr"/>
      <c r="N3809" t="inlineStr">
        <is>
          <t>28E², 112C⁷, 14A⁰, 16A⁰, 112A⁷, 4A⁰, 8A⁰, 56C³, 28A¹, 1A⁰, 56F⁶, 7A⁰, 56A³</t>
        </is>
      </c>
      <c r="O3809" t="inlineStr"/>
    </row>
    <row r="3810">
      <c r="A3810">
        <f>HYPERLINK("https://mathstats.uncg.edu/sites/pauli/congruence/csg14.html#group112F14", "112F¹⁴")</f>
        <v/>
      </c>
      <c r="B3810" t="n">
        <v>14</v>
      </c>
      <c r="C3810" t="inlineStr"/>
      <c r="D3810" t="inlineStr">
        <is>
          <t>224</t>
        </is>
      </c>
      <c r="E3810" t="inlineStr">
        <is>
          <t>2</t>
        </is>
      </c>
      <c r="F3810" t="inlineStr">
        <is>
          <t>56</t>
        </is>
      </c>
      <c r="G3810" t="inlineStr">
        <is>
          <t>8</t>
        </is>
      </c>
      <c r="H3810" t="inlineStr">
        <is>
          <t>8</t>
        </is>
      </c>
      <c r="I3810" t="inlineStr">
        <is>
          <t>112²</t>
        </is>
      </c>
      <c r="J3810" t="n">
        <v>2</v>
      </c>
      <c r="K3810" t="inlineStr">
        <is>
          <t>16², 48⁴</t>
        </is>
      </c>
      <c r="L3810" t="inlineStr">
        <is>
          <t>56G⁶, 112B⁷, 112D⁷</t>
        </is>
      </c>
      <c r="M3810" t="inlineStr"/>
      <c r="N3810" t="inlineStr">
        <is>
          <t>112B⁷, 28E², 14A⁰, 56D³, 56B³, 16A⁰, 4A⁰, 8A⁰, 112D⁷, 28A¹, 1A⁰, 56G⁶, 7A⁰</t>
        </is>
      </c>
      <c r="O3810" t="inlineStr"/>
    </row>
    <row r="3811">
      <c r="A3811">
        <f>HYPERLINK("https://mathstats.uncg.edu/sites/pauli/congruence/csg14.html#group114A14", "114A¹⁴")</f>
        <v/>
      </c>
      <c r="B3811" t="n">
        <v>14</v>
      </c>
      <c r="C3811" t="inlineStr"/>
      <c r="D3811" t="inlineStr">
        <is>
          <t>180</t>
        </is>
      </c>
      <c r="E3811" t="inlineStr">
        <is>
          <t>1</t>
        </is>
      </c>
      <c r="F3811" t="inlineStr">
        <is>
          <t>60</t>
        </is>
      </c>
      <c r="G3811" t="inlineStr">
        <is>
          <t>0</t>
        </is>
      </c>
      <c r="H3811" t="inlineStr">
        <is>
          <t>0</t>
        </is>
      </c>
      <c r="I3811" t="inlineStr">
        <is>
          <t>3¹, 6¹, 57¹, 114¹</t>
        </is>
      </c>
      <c r="J3811" t="n">
        <v>4</v>
      </c>
      <c r="K3811" t="inlineStr">
        <is>
          <t>1⁶, 18³</t>
        </is>
      </c>
      <c r="L3811" t="inlineStr">
        <is>
          <t>6D⁰, 38A⁴, 57A⁵</t>
        </is>
      </c>
      <c r="M3811" t="inlineStr"/>
      <c r="N3811" t="inlineStr">
        <is>
          <t>19A¹, 38A⁴, 57A⁵, 2B⁰, 3A⁰, 1A⁰, 6D⁰</t>
        </is>
      </c>
      <c r="O3811" t="inlineStr"/>
    </row>
    <row r="3812">
      <c r="A3812">
        <f>HYPERLINK("https://mathstats.uncg.edu/sites/pauli/congruence/csg14.html#group114B14", "114B¹⁴")</f>
        <v/>
      </c>
      <c r="B3812" t="n">
        <v>14</v>
      </c>
      <c r="C3812" t="inlineStr"/>
      <c r="D3812" t="inlineStr">
        <is>
          <t>180</t>
        </is>
      </c>
      <c r="E3812" t="inlineStr">
        <is>
          <t>2</t>
        </is>
      </c>
      <c r="F3812" t="inlineStr">
        <is>
          <t>60</t>
        </is>
      </c>
      <c r="G3812" t="inlineStr">
        <is>
          <t>0</t>
        </is>
      </c>
      <c r="H3812" t="inlineStr">
        <is>
          <t>0</t>
        </is>
      </c>
      <c r="I3812" t="inlineStr">
        <is>
          <t>3¹, 6¹, 57¹, 114¹</t>
        </is>
      </c>
      <c r="J3812" t="n">
        <v>4</v>
      </c>
      <c r="K3812" t="inlineStr">
        <is>
          <t>2⁶, 36³</t>
        </is>
      </c>
      <c r="L3812" t="inlineStr">
        <is>
          <t>38A⁴, 57B⁵</t>
        </is>
      </c>
      <c r="M3812" t="inlineStr"/>
      <c r="N3812" t="inlineStr">
        <is>
          <t>19A¹, 2B⁰, 57B⁵, 1A⁰, 38A⁴</t>
        </is>
      </c>
      <c r="O3812" t="inlineStr"/>
    </row>
    <row r="3813">
      <c r="A3813">
        <f>HYPERLINK("https://mathstats.uncg.edu/sites/pauli/congruence/csg14.html#group116A14", "116A¹⁴")</f>
        <v/>
      </c>
      <c r="B3813" t="n">
        <v>14</v>
      </c>
      <c r="C3813" t="inlineStr"/>
      <c r="D3813" t="inlineStr">
        <is>
          <t>180</t>
        </is>
      </c>
      <c r="E3813" t="inlineStr">
        <is>
          <t>1</t>
        </is>
      </c>
      <c r="F3813" t="inlineStr">
        <is>
          <t>90</t>
        </is>
      </c>
      <c r="G3813" t="inlineStr">
        <is>
          <t>0</t>
        </is>
      </c>
      <c r="H3813" t="inlineStr">
        <is>
          <t>0</t>
        </is>
      </c>
      <c r="I3813" t="inlineStr">
        <is>
          <t>2¹, 4¹, 58¹, 116¹</t>
        </is>
      </c>
      <c r="J3813" t="n">
        <v>4</v>
      </c>
      <c r="K3813" t="inlineStr">
        <is>
          <t>1⁶, 28³</t>
        </is>
      </c>
      <c r="L3813" t="inlineStr">
        <is>
          <t>58A⁶</t>
        </is>
      </c>
      <c r="M3813" t="inlineStr"/>
      <c r="N3813" t="inlineStr">
        <is>
          <t>1A⁰, 29A², 2B⁰, 58A⁶</t>
        </is>
      </c>
      <c r="O3813" t="inlineStr"/>
    </row>
    <row r="3814">
      <c r="A3814">
        <f>HYPERLINK("https://mathstats.uncg.edu/sites/pauli/congruence/csg14.html#group118A14", "118A¹⁴")</f>
        <v/>
      </c>
      <c r="B3814" t="n">
        <v>14</v>
      </c>
      <c r="C3814" t="inlineStr">
        <is>
          <t>Γ₀(118)</t>
        </is>
      </c>
      <c r="D3814" t="inlineStr">
        <is>
          <t>180</t>
        </is>
      </c>
      <c r="E3814" t="inlineStr">
        <is>
          <t>1</t>
        </is>
      </c>
      <c r="F3814" t="inlineStr">
        <is>
          <t>180</t>
        </is>
      </c>
      <c r="G3814" t="inlineStr">
        <is>
          <t>0</t>
        </is>
      </c>
      <c r="H3814" t="inlineStr">
        <is>
          <t>0</t>
        </is>
      </c>
      <c r="I3814" t="inlineStr">
        <is>
          <t>1¹, 2¹, 59¹, 118¹</t>
        </is>
      </c>
      <c r="J3814" t="n">
        <v>4</v>
      </c>
      <c r="K3814" t="inlineStr">
        <is>
          <t>1⁶, 58³</t>
        </is>
      </c>
      <c r="L3814" t="inlineStr">
        <is>
          <t>2B⁰, 59A⁵</t>
        </is>
      </c>
      <c r="M3814" t="inlineStr"/>
      <c r="N3814" t="inlineStr">
        <is>
          <t>59A⁵, 1A⁰, 2B⁰</t>
        </is>
      </c>
      <c r="O3814" t="inlineStr"/>
    </row>
    <row r="3815">
      <c r="A3815">
        <f>HYPERLINK("https://mathstats.uncg.edu/sites/pauli/congruence/csg14.html#group120A14", "120A¹⁴")</f>
        <v/>
      </c>
      <c r="B3815" t="n">
        <v>14</v>
      </c>
      <c r="C3815" t="inlineStr"/>
      <c r="D3815" t="inlineStr">
        <is>
          <t>180</t>
        </is>
      </c>
      <c r="E3815" t="inlineStr">
        <is>
          <t>1</t>
        </is>
      </c>
      <c r="F3815" t="inlineStr">
        <is>
          <t>30</t>
        </is>
      </c>
      <c r="G3815" t="inlineStr">
        <is>
          <t>0</t>
        </is>
      </c>
      <c r="H3815" t="inlineStr">
        <is>
          <t>0</t>
        </is>
      </c>
      <c r="I3815" t="inlineStr">
        <is>
          <t>15², 30¹, 120¹</t>
        </is>
      </c>
      <c r="J3815" t="n">
        <v>4</v>
      </c>
      <c r="K3815" t="inlineStr">
        <is>
          <t>1⁴, 2¹, 4⁴, 8¹</t>
        </is>
      </c>
      <c r="L3815" t="inlineStr">
        <is>
          <t>24B², 40B⁴, 60A⁷</t>
        </is>
      </c>
      <c r="M3815" t="inlineStr"/>
      <c r="N3815" t="inlineStr">
        <is>
          <t>20A², 5A⁰, 15A¹, 10B¹, 8C⁰, 2B⁰, 4B⁰, 40B⁴, 1A⁰, 60A⁷, 24B², 30D³, 12B¹, 3A⁰, 6D⁰</t>
        </is>
      </c>
      <c r="O3815" t="inlineStr"/>
    </row>
    <row r="3816">
      <c r="A3816">
        <f>HYPERLINK("https://mathstats.uncg.edu/sites/pauli/congruence/csg14.html#group120B14", "120B¹⁴")</f>
        <v/>
      </c>
      <c r="B3816" t="n">
        <v>14</v>
      </c>
      <c r="C3816" t="inlineStr"/>
      <c r="D3816" t="inlineStr">
        <is>
          <t>180</t>
        </is>
      </c>
      <c r="E3816" t="inlineStr">
        <is>
          <t>1</t>
        </is>
      </c>
      <c r="F3816" t="inlineStr">
        <is>
          <t>45</t>
        </is>
      </c>
      <c r="G3816" t="inlineStr">
        <is>
          <t>4</t>
        </is>
      </c>
      <c r="H3816" t="inlineStr">
        <is>
          <t>0</t>
        </is>
      </c>
      <c r="I3816" t="inlineStr">
        <is>
          <t>60¹, 120¹</t>
        </is>
      </c>
      <c r="J3816" t="n">
        <v>2</v>
      </c>
      <c r="K3816" t="inlineStr">
        <is>
          <t>1³, 2³, 4³, 8³</t>
        </is>
      </c>
      <c r="L3816" t="inlineStr">
        <is>
          <t>24C², 60B⁶</t>
        </is>
      </c>
      <c r="M3816" t="inlineStr"/>
      <c r="N3816" t="inlineStr">
        <is>
          <t>30D³, 5A⁰, 12C⁰, 15A¹, 10B¹, 20B², 4C⁰, 60B⁶, 2B⁰, 24C², 3A⁰, 1A⁰, 6D⁰</t>
        </is>
      </c>
      <c r="O3816" t="inlineStr"/>
    </row>
    <row r="3817">
      <c r="A3817">
        <f>HYPERLINK("https://mathstats.uncg.edu/sites/pauli/congruence/csg14.html#group120C14", "120C¹⁴")</f>
        <v/>
      </c>
      <c r="B3817" t="n">
        <v>14</v>
      </c>
      <c r="C3817" t="inlineStr"/>
      <c r="D3817" t="inlineStr">
        <is>
          <t>180</t>
        </is>
      </c>
      <c r="E3817" t="inlineStr">
        <is>
          <t>1</t>
        </is>
      </c>
      <c r="F3817" t="inlineStr">
        <is>
          <t>90</t>
        </is>
      </c>
      <c r="G3817" t="inlineStr">
        <is>
          <t>0</t>
        </is>
      </c>
      <c r="H3817" t="inlineStr">
        <is>
          <t>0</t>
        </is>
      </c>
      <c r="I3817" t="inlineStr">
        <is>
          <t>15², 30¹, 120¹</t>
        </is>
      </c>
      <c r="J3817" t="n">
        <v>4</v>
      </c>
      <c r="K3817" t="inlineStr">
        <is>
          <t>1⁴, 2⁵, 4⁵, 8⁵, 16¹</t>
        </is>
      </c>
      <c r="L3817" t="inlineStr">
        <is>
          <t>24D², 60A⁷</t>
        </is>
      </c>
      <c r="M3817" t="inlineStr"/>
      <c r="N3817" t="inlineStr">
        <is>
          <t>20A², 5A⁰, 15A¹, 10B¹, 2B⁰, 4B⁰, 1A⁰, 60A⁷, 30D³, 24D², 12B¹, 3A⁰, 6D⁰</t>
        </is>
      </c>
      <c r="O3817" t="inlineStr"/>
    </row>
    <row r="3818">
      <c r="A3818">
        <f>HYPERLINK("https://mathstats.uncg.edu/sites/pauli/congruence/csg14.html#group120D14", "120D¹⁴")</f>
        <v/>
      </c>
      <c r="B3818" t="n">
        <v>14</v>
      </c>
      <c r="C3818" t="inlineStr"/>
      <c r="D3818" t="inlineStr">
        <is>
          <t>180</t>
        </is>
      </c>
      <c r="E3818" t="inlineStr">
        <is>
          <t>2</t>
        </is>
      </c>
      <c r="F3818" t="inlineStr">
        <is>
          <t>30</t>
        </is>
      </c>
      <c r="G3818" t="inlineStr">
        <is>
          <t>0</t>
        </is>
      </c>
      <c r="H3818" t="inlineStr">
        <is>
          <t>0</t>
        </is>
      </c>
      <c r="I3818" t="inlineStr">
        <is>
          <t>15², 30¹, 120¹</t>
        </is>
      </c>
      <c r="J3818" t="n">
        <v>4</v>
      </c>
      <c r="K3818" t="inlineStr">
        <is>
          <t>2⁴, 4¹, 8⁴, 16¹</t>
        </is>
      </c>
      <c r="L3818" t="inlineStr">
        <is>
          <t>40B⁴, 60C⁷</t>
        </is>
      </c>
      <c r="M3818" t="inlineStr"/>
      <c r="N3818" t="inlineStr">
        <is>
          <t>20A², 5A⁰, 30E³, 10B¹, 8C⁰, 2B⁰, 4B⁰, 40B⁴, 1A⁰, 60C⁷, 15A⁰</t>
        </is>
      </c>
      <c r="O3818" t="inlineStr"/>
    </row>
    <row r="3819">
      <c r="A3819">
        <f>HYPERLINK("https://mathstats.uncg.edu/sites/pauli/congruence/csg14.html#group122A14", "122A¹⁴")</f>
        <v/>
      </c>
      <c r="B3819" t="n">
        <v>14</v>
      </c>
      <c r="C3819" t="inlineStr">
        <is>
          <t>Γ₀(122)</t>
        </is>
      </c>
      <c r="D3819" t="inlineStr">
        <is>
          <t>186</t>
        </is>
      </c>
      <c r="E3819" t="inlineStr">
        <is>
          <t>1</t>
        </is>
      </c>
      <c r="F3819" t="inlineStr">
        <is>
          <t>186</t>
        </is>
      </c>
      <c r="G3819" t="inlineStr">
        <is>
          <t>2</t>
        </is>
      </c>
      <c r="H3819" t="inlineStr">
        <is>
          <t>0</t>
        </is>
      </c>
      <c r="I3819" t="inlineStr">
        <is>
          <t>1¹, 2¹, 61¹, 122¹</t>
        </is>
      </c>
      <c r="J3819" t="n">
        <v>4</v>
      </c>
      <c r="K3819" t="inlineStr">
        <is>
          <t>1⁶, 60³</t>
        </is>
      </c>
      <c r="L3819" t="inlineStr">
        <is>
          <t>2B⁰, 61A⁴</t>
        </is>
      </c>
      <c r="M3819" t="inlineStr"/>
      <c r="N3819" t="inlineStr">
        <is>
          <t>1A⁰, 2B⁰, 61A⁴</t>
        </is>
      </c>
      <c r="O3819" t="inlineStr"/>
    </row>
    <row r="3820">
      <c r="A3820">
        <f>HYPERLINK("https://mathstats.uncg.edu/sites/pauli/congruence/csg14.html#group124A14", "124A¹⁴")</f>
        <v/>
      </c>
      <c r="B3820" t="n">
        <v>14</v>
      </c>
      <c r="C3820" t="inlineStr">
        <is>
          <t>Γ₀(124)</t>
        </is>
      </c>
      <c r="D3820" t="inlineStr">
        <is>
          <t>192</t>
        </is>
      </c>
      <c r="E3820" t="inlineStr">
        <is>
          <t>1</t>
        </is>
      </c>
      <c r="F3820" t="inlineStr">
        <is>
          <t>96</t>
        </is>
      </c>
      <c r="G3820" t="inlineStr">
        <is>
          <t>0</t>
        </is>
      </c>
      <c r="H3820" t="inlineStr">
        <is>
          <t>0</t>
        </is>
      </c>
      <c r="I3820" t="inlineStr">
        <is>
          <t>1², 4¹, 31², 124¹</t>
        </is>
      </c>
      <c r="J3820" t="n">
        <v>6</v>
      </c>
      <c r="K3820" t="inlineStr">
        <is>
          <t>1⁶, 30³</t>
        </is>
      </c>
      <c r="L3820" t="inlineStr">
        <is>
          <t>4B⁰, 62A⁷</t>
        </is>
      </c>
      <c r="M3820" t="inlineStr"/>
      <c r="N3820" t="inlineStr">
        <is>
          <t>31A², 2B⁰, 4B⁰, 1A⁰, 62A⁷</t>
        </is>
      </c>
      <c r="O3820" t="inlineStr"/>
    </row>
    <row r="3821">
      <c r="A3821">
        <f>HYPERLINK("https://mathstats.uncg.edu/sites/pauli/congruence/csg14.html#group126A14", "126A¹⁴")</f>
        <v/>
      </c>
      <c r="B3821" t="n">
        <v>14</v>
      </c>
      <c r="C3821" t="inlineStr"/>
      <c r="D3821" t="inlineStr">
        <is>
          <t>168</t>
        </is>
      </c>
      <c r="E3821" t="inlineStr">
        <is>
          <t>2</t>
        </is>
      </c>
      <c r="F3821" t="inlineStr">
        <is>
          <t>28</t>
        </is>
      </c>
      <c r="G3821" t="inlineStr">
        <is>
          <t>0</t>
        </is>
      </c>
      <c r="H3821" t="inlineStr">
        <is>
          <t>0</t>
        </is>
      </c>
      <c r="I3821" t="inlineStr">
        <is>
          <t>42¹, 126¹</t>
        </is>
      </c>
      <c r="J3821" t="n">
        <v>2</v>
      </c>
      <c r="K3821" t="inlineStr">
        <is>
          <t>2², 4¹, 6⁴, 12²</t>
        </is>
      </c>
      <c r="L3821" t="inlineStr">
        <is>
          <t>42D⁴, 63A⁷</t>
        </is>
      </c>
      <c r="M3821" t="inlineStr"/>
      <c r="N3821" t="inlineStr">
        <is>
          <t>3B⁰, 14A⁰, 21B², 42D⁴, 9A¹, 1A⁰, 63A⁷, 7A⁰</t>
        </is>
      </c>
      <c r="O3821" t="inlineStr"/>
    </row>
    <row r="3822">
      <c r="A3822">
        <f>HYPERLINK("https://mathstats.uncg.edu/sites/pauli/congruence/csg14.html#group126B14", "126B¹⁴")</f>
        <v/>
      </c>
      <c r="B3822" t="n">
        <v>14</v>
      </c>
      <c r="C3822" t="inlineStr"/>
      <c r="D3822" t="inlineStr">
        <is>
          <t>168</t>
        </is>
      </c>
      <c r="E3822" t="inlineStr">
        <is>
          <t>2</t>
        </is>
      </c>
      <c r="F3822" t="inlineStr">
        <is>
          <t>28</t>
        </is>
      </c>
      <c r="G3822" t="inlineStr">
        <is>
          <t>0</t>
        </is>
      </c>
      <c r="H3822" t="inlineStr">
        <is>
          <t>0</t>
        </is>
      </c>
      <c r="I3822" t="inlineStr">
        <is>
          <t>42¹, 126¹</t>
        </is>
      </c>
      <c r="J3822" t="n">
        <v>2</v>
      </c>
      <c r="K3822" t="inlineStr">
        <is>
          <t>2², 4¹, 6⁴, 12²</t>
        </is>
      </c>
      <c r="L3822" t="inlineStr">
        <is>
          <t>18B², 42E⁴, 63A⁷</t>
        </is>
      </c>
      <c r="M3822" t="inlineStr"/>
      <c r="N3822" t="inlineStr">
        <is>
          <t>3B⁰, 2A⁰, 18B², 21B², 42E⁴, 6C⁰, 9A¹, 14A¹, 1A⁰, 63A⁷, 7A⁰</t>
        </is>
      </c>
      <c r="O3822" t="inlineStr"/>
    </row>
    <row r="3823">
      <c r="A3823">
        <f>HYPERLINK("https://mathstats.uncg.edu/sites/pauli/congruence/csg14.html#group126C14", "126C¹⁴")</f>
        <v/>
      </c>
      <c r="B3823" t="n">
        <v>14</v>
      </c>
      <c r="C3823" t="inlineStr"/>
      <c r="D3823" t="inlineStr">
        <is>
          <t>168</t>
        </is>
      </c>
      <c r="E3823" t="inlineStr">
        <is>
          <t>2</t>
        </is>
      </c>
      <c r="F3823" t="inlineStr">
        <is>
          <t>56</t>
        </is>
      </c>
      <c r="G3823" t="inlineStr">
        <is>
          <t>0</t>
        </is>
      </c>
      <c r="H3823" t="inlineStr">
        <is>
          <t>0</t>
        </is>
      </c>
      <c r="I3823" t="inlineStr">
        <is>
          <t>42¹, 126¹</t>
        </is>
      </c>
      <c r="J3823" t="n">
        <v>2</v>
      </c>
      <c r="K3823" t="inlineStr">
        <is>
          <t>4⁴, 12⁸</t>
        </is>
      </c>
      <c r="L3823" t="inlineStr">
        <is>
          <t>18C², 42E⁴</t>
        </is>
      </c>
      <c r="M3823" t="inlineStr"/>
      <c r="N3823" t="inlineStr">
        <is>
          <t>3B⁰, 2A⁰, 21B², 42E⁴, 6C⁰, 14A¹, 1A⁰, 7A⁰, 18C²</t>
        </is>
      </c>
      <c r="O3823" t="inlineStr"/>
    </row>
    <row r="3824">
      <c r="A3824">
        <f>HYPERLINK("https://mathstats.uncg.edu/sites/pauli/congruence/csg14.html#group126D14", "126D¹⁴")</f>
        <v/>
      </c>
      <c r="B3824" t="n">
        <v>14</v>
      </c>
      <c r="C3824" t="inlineStr"/>
      <c r="D3824" t="inlineStr">
        <is>
          <t>192</t>
        </is>
      </c>
      <c r="E3824" t="inlineStr">
        <is>
          <t>2</t>
        </is>
      </c>
      <c r="F3824" t="inlineStr">
        <is>
          <t>64</t>
        </is>
      </c>
      <c r="G3824" t="inlineStr">
        <is>
          <t>0</t>
        </is>
      </c>
      <c r="H3824" t="inlineStr">
        <is>
          <t>3</t>
        </is>
      </c>
      <c r="I3824" t="inlineStr">
        <is>
          <t>6¹, 18¹, 42¹, 126¹</t>
        </is>
      </c>
      <c r="J3824" t="n">
        <v>4</v>
      </c>
      <c r="K3824" t="inlineStr">
        <is>
          <t>2¹⁶, 12⁸</t>
        </is>
      </c>
      <c r="L3824" t="inlineStr">
        <is>
          <t>42E³</t>
        </is>
      </c>
      <c r="M3824" t="inlineStr"/>
      <c r="N3824" t="inlineStr">
        <is>
          <t>3B⁰, 2A⁰, 21B¹, 7B⁰, 42E³, 6C⁰, 14B⁰, 1A⁰</t>
        </is>
      </c>
      <c r="O3824" t="inlineStr"/>
    </row>
    <row r="3825">
      <c r="A3825">
        <f>HYPERLINK("https://mathstats.uncg.edu/sites/pauli/congruence/csg14.html#group126E14", "126E¹⁴")</f>
        <v/>
      </c>
      <c r="B3825" t="n">
        <v>14</v>
      </c>
      <c r="C3825" t="inlineStr"/>
      <c r="D3825" t="inlineStr">
        <is>
          <t>252</t>
        </is>
      </c>
      <c r="E3825" t="inlineStr">
        <is>
          <t>2</t>
        </is>
      </c>
      <c r="F3825" t="inlineStr">
        <is>
          <t>63</t>
        </is>
      </c>
      <c r="G3825" t="inlineStr">
        <is>
          <t>28</t>
        </is>
      </c>
      <c r="H3825" t="inlineStr">
        <is>
          <t>0</t>
        </is>
      </c>
      <c r="I3825" t="inlineStr">
        <is>
          <t>126²</t>
        </is>
      </c>
      <c r="J3825" t="n">
        <v>2</v>
      </c>
      <c r="K3825" t="inlineStr">
        <is>
          <t>4³, 12⁸, 36⁴</t>
        </is>
      </c>
      <c r="L3825" t="inlineStr">
        <is>
          <t>42G⁴, 126B⁵, 63F⁶, 126A⁷</t>
        </is>
      </c>
      <c r="M3825" t="inlineStr"/>
      <c r="N3825" t="inlineStr">
        <is>
          <t>126A⁷, 6B⁰, 42A², 63F⁶, 42G⁴, 21D¹, 9A⁰, 63A², 126B⁵, 21A⁰, 42B¹, 3A⁰, 1A⁰, 18A⁰, 7A⁰</t>
        </is>
      </c>
      <c r="O3825" t="inlineStr"/>
    </row>
    <row r="3826">
      <c r="A3826">
        <f>HYPERLINK("https://mathstats.uncg.edu/sites/pauli/congruence/csg14.html#group126F14", "126F¹⁴")</f>
        <v/>
      </c>
      <c r="B3826" t="n">
        <v>14</v>
      </c>
      <c r="C3826" t="inlineStr"/>
      <c r="D3826" t="inlineStr">
        <is>
          <t>252</t>
        </is>
      </c>
      <c r="E3826" t="inlineStr">
        <is>
          <t>2</t>
        </is>
      </c>
      <c r="F3826" t="inlineStr">
        <is>
          <t>63</t>
        </is>
      </c>
      <c r="G3826" t="inlineStr">
        <is>
          <t>28</t>
        </is>
      </c>
      <c r="H3826" t="inlineStr">
        <is>
          <t>0</t>
        </is>
      </c>
      <c r="I3826" t="inlineStr">
        <is>
          <t>126²</t>
        </is>
      </c>
      <c r="J3826" t="n">
        <v>2</v>
      </c>
      <c r="K3826" t="inlineStr">
        <is>
          <t>4³, 12⁸, 36⁴</t>
        </is>
      </c>
      <c r="L3826" t="inlineStr">
        <is>
          <t>42H⁴, 126A⁵, 63G⁶, 126A⁷</t>
        </is>
      </c>
      <c r="M3826" t="inlineStr"/>
      <c r="N3826" t="inlineStr">
        <is>
          <t>126A⁷, 6B⁰, 3A⁰, 42A², 42H⁴, 21D¹, 9A⁰, 63A², 21A⁰, 63G⁶, 42B¹, 126A⁵, 1A⁰, 18A⁰, 7A⁰</t>
        </is>
      </c>
      <c r="O3826" t="inlineStr"/>
    </row>
    <row r="3827">
      <c r="A3827">
        <f>HYPERLINK("https://mathstats.uncg.edu/sites/pauli/congruence/csg14.html#group132A14", "132A¹⁴")</f>
        <v/>
      </c>
      <c r="B3827" t="n">
        <v>14</v>
      </c>
      <c r="C3827" t="inlineStr"/>
      <c r="D3827" t="inlineStr">
        <is>
          <t>176</t>
        </is>
      </c>
      <c r="E3827" t="inlineStr">
        <is>
          <t>2</t>
        </is>
      </c>
      <c r="F3827" t="inlineStr">
        <is>
          <t>176</t>
        </is>
      </c>
      <c r="G3827" t="inlineStr">
        <is>
          <t>0</t>
        </is>
      </c>
      <c r="H3827" t="inlineStr">
        <is>
          <t>2</t>
        </is>
      </c>
      <c r="I3827" t="inlineStr">
        <is>
          <t>44¹, 132¹</t>
        </is>
      </c>
      <c r="J3827" t="n">
        <v>2</v>
      </c>
      <c r="K3827" t="inlineStr">
        <is>
          <t>4⁴, 8², 20⁸, 40⁴</t>
        </is>
      </c>
      <c r="L3827" t="inlineStr">
        <is>
          <t>12A¹, 44A², 33B³</t>
        </is>
      </c>
      <c r="M3827" t="inlineStr"/>
      <c r="N3827" t="inlineStr">
        <is>
          <t>11A⁰, 3B⁰, 44A², 33B³, 4A⁰, 12A¹, 1A⁰</t>
        </is>
      </c>
      <c r="O3827" t="inlineStr"/>
    </row>
    <row r="3828">
      <c r="A3828">
        <f>HYPERLINK("https://mathstats.uncg.edu/sites/pauli/congruence/csg14.html#group135A14", "135A¹⁴")</f>
        <v/>
      </c>
      <c r="B3828" t="n">
        <v>14</v>
      </c>
      <c r="C3828" t="inlineStr"/>
      <c r="D3828" t="inlineStr">
        <is>
          <t>180</t>
        </is>
      </c>
      <c r="E3828" t="inlineStr">
        <is>
          <t>1</t>
        </is>
      </c>
      <c r="F3828" t="inlineStr">
        <is>
          <t>60</t>
        </is>
      </c>
      <c r="G3828" t="inlineStr">
        <is>
          <t>0</t>
        </is>
      </c>
      <c r="H3828" t="inlineStr">
        <is>
          <t>0</t>
        </is>
      </c>
      <c r="I3828" t="inlineStr">
        <is>
          <t>15³, 135¹</t>
        </is>
      </c>
      <c r="J3828" t="n">
        <v>4</v>
      </c>
      <c r="K3828" t="inlineStr">
        <is>
          <t>1², 2², 4², 6¹, 8², 24¹</t>
        </is>
      </c>
      <c r="L3828" t="inlineStr">
        <is>
          <t>27A², 45A⁴</t>
        </is>
      </c>
      <c r="M3828" t="inlineStr"/>
      <c r="N3828" t="inlineStr">
        <is>
          <t>3B⁰, 9B⁰, 15B¹, 5A⁰, 27A², 45A⁴, 1A⁰</t>
        </is>
      </c>
      <c r="O3828" t="inlineStr"/>
    </row>
    <row r="3829">
      <c r="A3829">
        <f>HYPERLINK("https://mathstats.uncg.edu/sites/pauli/congruence/csg14.html#group135B14", "135B¹⁴")</f>
        <v/>
      </c>
      <c r="B3829" t="n">
        <v>14</v>
      </c>
      <c r="C3829" t="inlineStr"/>
      <c r="D3829" t="inlineStr">
        <is>
          <t>180</t>
        </is>
      </c>
      <c r="E3829" t="inlineStr">
        <is>
          <t>2</t>
        </is>
      </c>
      <c r="F3829" t="inlineStr">
        <is>
          <t>60</t>
        </is>
      </c>
      <c r="G3829" t="inlineStr">
        <is>
          <t>0</t>
        </is>
      </c>
      <c r="H3829" t="inlineStr">
        <is>
          <t>0</t>
        </is>
      </c>
      <c r="I3829" t="inlineStr">
        <is>
          <t>15³, 135¹</t>
        </is>
      </c>
      <c r="J3829" t="n">
        <v>4</v>
      </c>
      <c r="K3829" t="inlineStr">
        <is>
          <t>2², 4², 8⁶, 12¹, 24²</t>
        </is>
      </c>
      <c r="L3829" t="inlineStr">
        <is>
          <t>45A⁴</t>
        </is>
      </c>
      <c r="M3829" t="inlineStr"/>
      <c r="N3829" t="inlineStr">
        <is>
          <t>3B⁰, 9B⁰, 15B¹, 5A⁰, 45A⁴, 1A⁰</t>
        </is>
      </c>
      <c r="O3829" t="inlineStr"/>
    </row>
    <row r="3830">
      <c r="A3830">
        <f>HYPERLINK("https://mathstats.uncg.edu/sites/pauli/congruence/csg14.html#group135C14", "135C¹⁴")</f>
        <v/>
      </c>
      <c r="B3830" t="n">
        <v>14</v>
      </c>
      <c r="C3830" t="inlineStr"/>
      <c r="D3830" t="inlineStr">
        <is>
          <t>180</t>
        </is>
      </c>
      <c r="E3830" t="inlineStr">
        <is>
          <t>2</t>
        </is>
      </c>
      <c r="F3830" t="inlineStr">
        <is>
          <t>60</t>
        </is>
      </c>
      <c r="G3830" t="inlineStr">
        <is>
          <t>0</t>
        </is>
      </c>
      <c r="H3830" t="inlineStr">
        <is>
          <t>3</t>
        </is>
      </c>
      <c r="I3830" t="inlineStr">
        <is>
          <t>45¹, 135¹</t>
        </is>
      </c>
      <c r="J3830" t="n">
        <v>2</v>
      </c>
      <c r="K3830" t="inlineStr">
        <is>
          <t>2², 4², 8⁶, 12¹, 24²</t>
        </is>
      </c>
      <c r="L3830" t="inlineStr">
        <is>
          <t>45B³</t>
        </is>
      </c>
      <c r="M3830" t="inlineStr"/>
      <c r="N3830" t="inlineStr">
        <is>
          <t>15B¹, 3B⁰, 5A⁰, 45B³, 9C⁰, 1A⁰</t>
        </is>
      </c>
      <c r="O3830" t="inlineStr"/>
    </row>
    <row r="3831">
      <c r="A3831">
        <f>HYPERLINK("https://mathstats.uncg.edu/sites/pauli/congruence/csg14.html#group144A14", "144A¹⁴")</f>
        <v/>
      </c>
      <c r="B3831" t="n">
        <v>14</v>
      </c>
      <c r="C3831" t="inlineStr"/>
      <c r="D3831" t="inlineStr">
        <is>
          <t>216</t>
        </is>
      </c>
      <c r="E3831" t="inlineStr">
        <is>
          <t>1</t>
        </is>
      </c>
      <c r="F3831" t="inlineStr">
        <is>
          <t>27</t>
        </is>
      </c>
      <c r="G3831" t="inlineStr">
        <is>
          <t>16</t>
        </is>
      </c>
      <c r="H3831" t="inlineStr">
        <is>
          <t>0</t>
        </is>
      </c>
      <c r="I3831" t="inlineStr">
        <is>
          <t>72¹, 144¹</t>
        </is>
      </c>
      <c r="J3831" t="n">
        <v>2</v>
      </c>
      <c r="K3831" t="inlineStr">
        <is>
          <t>1³, 2³, 6³</t>
        </is>
      </c>
      <c r="L3831" t="inlineStr">
        <is>
          <t>48A², 72E⁴</t>
        </is>
      </c>
      <c r="M3831" t="inlineStr"/>
      <c r="N3831" t="inlineStr">
        <is>
          <t>12C⁰, 24A⁰, 72E⁴, 9A⁰, 4C⁰, 36B², 8B⁰, 48A², 2B⁰, 18E¹, 3A⁰, 1A⁰, 6D⁰</t>
        </is>
      </c>
      <c r="O3831" t="inlineStr"/>
    </row>
    <row r="3832">
      <c r="A3832">
        <f>HYPERLINK("https://mathstats.uncg.edu/sites/pauli/congruence/csg14.html#group144B14", "144B¹⁴")</f>
        <v/>
      </c>
      <c r="B3832" t="n">
        <v>14</v>
      </c>
      <c r="C3832" t="inlineStr"/>
      <c r="D3832" t="inlineStr">
        <is>
          <t>216</t>
        </is>
      </c>
      <c r="E3832" t="inlineStr">
        <is>
          <t>1</t>
        </is>
      </c>
      <c r="F3832" t="inlineStr">
        <is>
          <t>108</t>
        </is>
      </c>
      <c r="G3832" t="inlineStr">
        <is>
          <t>10</t>
        </is>
      </c>
      <c r="H3832" t="inlineStr">
        <is>
          <t>0</t>
        </is>
      </c>
      <c r="I3832" t="inlineStr">
        <is>
          <t>18⁴, 144¹</t>
        </is>
      </c>
      <c r="J3832" t="n">
        <v>5</v>
      </c>
      <c r="K3832" t="inlineStr">
        <is>
          <t>1², 2³, 4³, 6², 8², 12¹, 24²</t>
        </is>
      </c>
      <c r="L3832" t="inlineStr">
        <is>
          <t>48D³, 72C⁶</t>
        </is>
      </c>
      <c r="M3832" t="inlineStr"/>
      <c r="N3832" t="inlineStr">
        <is>
          <t>72C⁶, 16E⁰, 12C⁰, 8D⁰, 9A⁰, 36B², 4C⁰, 24C¹, 2B⁰, 48D³, 18E¹, 3A⁰, 1A⁰, 6D⁰</t>
        </is>
      </c>
      <c r="O3832" t="inlineStr"/>
    </row>
    <row r="3833">
      <c r="A3833">
        <f>HYPERLINK("https://mathstats.uncg.edu/sites/pauli/congruence/csg14.html#group144C14", "144C¹⁴")</f>
        <v/>
      </c>
      <c r="B3833" t="n">
        <v>14</v>
      </c>
      <c r="C3833" t="inlineStr"/>
      <c r="D3833" t="inlineStr">
        <is>
          <t>216</t>
        </is>
      </c>
      <c r="E3833" t="inlineStr">
        <is>
          <t>1</t>
        </is>
      </c>
      <c r="F3833" t="inlineStr">
        <is>
          <t>108</t>
        </is>
      </c>
      <c r="G3833" t="inlineStr">
        <is>
          <t>10</t>
        </is>
      </c>
      <c r="H3833" t="inlineStr">
        <is>
          <t>0</t>
        </is>
      </c>
      <c r="I3833" t="inlineStr">
        <is>
          <t>18⁴, 144¹</t>
        </is>
      </c>
      <c r="J3833" t="n">
        <v>5</v>
      </c>
      <c r="K3833" t="inlineStr">
        <is>
          <t>1², 2³, 4³, 6², 8², 12¹, 24²</t>
        </is>
      </c>
      <c r="L3833" t="inlineStr">
        <is>
          <t>48G³, 72C⁶</t>
        </is>
      </c>
      <c r="M3833" t="inlineStr"/>
      <c r="N3833" t="inlineStr">
        <is>
          <t>72C⁶, 12C⁰, 48G³, 8D⁰, 9A⁰, 36B², 4C⁰, 24C¹, 2B⁰, 18E¹, 3A⁰, 1A⁰, 6D⁰</t>
        </is>
      </c>
      <c r="O3833" t="inlineStr"/>
    </row>
    <row r="3834">
      <c r="A3834">
        <f>HYPERLINK("https://mathstats.uncg.edu/sites/pauli/congruence/csg14.html#group144D14", "144D¹⁴")</f>
        <v/>
      </c>
      <c r="B3834" t="n">
        <v>14</v>
      </c>
      <c r="C3834" t="inlineStr"/>
      <c r="D3834" t="inlineStr">
        <is>
          <t>216</t>
        </is>
      </c>
      <c r="E3834" t="inlineStr">
        <is>
          <t>2</t>
        </is>
      </c>
      <c r="F3834" t="inlineStr">
        <is>
          <t>108</t>
        </is>
      </c>
      <c r="G3834" t="inlineStr">
        <is>
          <t>10</t>
        </is>
      </c>
      <c r="H3834" t="inlineStr">
        <is>
          <t>0</t>
        </is>
      </c>
      <c r="I3834" t="inlineStr">
        <is>
          <t>18⁴, 144¹</t>
        </is>
      </c>
      <c r="J3834" t="n">
        <v>5</v>
      </c>
      <c r="K3834" t="inlineStr">
        <is>
          <t>2⁶, 4³, 6⁴, 8⁶, 12², 24⁴</t>
        </is>
      </c>
      <c r="L3834" t="inlineStr">
        <is>
          <t>48G³, 72C⁶</t>
        </is>
      </c>
      <c r="M3834" t="inlineStr"/>
      <c r="N3834" t="inlineStr">
        <is>
          <t>72C⁶, 12C⁰, 48G³, 8D⁰, 9A⁰, 36B², 4C⁰, 24C¹, 2B⁰, 18E¹, 3A⁰, 1A⁰, 6D⁰</t>
        </is>
      </c>
      <c r="O3834" t="inlineStr"/>
    </row>
    <row r="3835">
      <c r="A3835">
        <f>HYPERLINK("https://mathstats.uncg.edu/sites/pauli/congruence/csg14.html#group150A14", "150A¹⁴")</f>
        <v/>
      </c>
      <c r="B3835" t="n">
        <v>14</v>
      </c>
      <c r="C3835" t="inlineStr"/>
      <c r="D3835" t="inlineStr">
        <is>
          <t>180</t>
        </is>
      </c>
      <c r="E3835" t="inlineStr">
        <is>
          <t>1</t>
        </is>
      </c>
      <c r="F3835" t="inlineStr">
        <is>
          <t>90</t>
        </is>
      </c>
      <c r="G3835" t="inlineStr">
        <is>
          <t>4</t>
        </is>
      </c>
      <c r="H3835" t="inlineStr">
        <is>
          <t>0</t>
        </is>
      </c>
      <c r="I3835" t="inlineStr">
        <is>
          <t>30¹, 150¹</t>
        </is>
      </c>
      <c r="J3835" t="n">
        <v>2</v>
      </c>
      <c r="K3835" t="inlineStr">
        <is>
          <t>2², 4⁶, 8⁴, 20², 40²</t>
        </is>
      </c>
      <c r="L3835" t="inlineStr">
        <is>
          <t>30C², 75A⁶</t>
        </is>
      </c>
      <c r="M3835" t="inlineStr"/>
      <c r="N3835" t="inlineStr">
        <is>
          <t>5B⁰, 15B⁰, 25A², 3A⁰, 75A⁶, 1A⁰, 30C²</t>
        </is>
      </c>
      <c r="O3835" t="inlineStr"/>
    </row>
    <row r="3836">
      <c r="A3836">
        <f>HYPERLINK("https://mathstats.uncg.edu/sites/pauli/congruence/csg14.html#group150B14", "150B¹⁴")</f>
        <v/>
      </c>
      <c r="B3836" t="n">
        <v>14</v>
      </c>
      <c r="C3836" t="inlineStr"/>
      <c r="D3836" t="inlineStr">
        <is>
          <t>180</t>
        </is>
      </c>
      <c r="E3836" t="inlineStr">
        <is>
          <t>1</t>
        </is>
      </c>
      <c r="F3836" t="inlineStr">
        <is>
          <t>90</t>
        </is>
      </c>
      <c r="G3836" t="inlineStr">
        <is>
          <t>4</t>
        </is>
      </c>
      <c r="H3836" t="inlineStr">
        <is>
          <t>0</t>
        </is>
      </c>
      <c r="I3836" t="inlineStr">
        <is>
          <t>30¹, 150¹</t>
        </is>
      </c>
      <c r="J3836" t="n">
        <v>2</v>
      </c>
      <c r="K3836" t="inlineStr">
        <is>
          <t>2², 4⁶, 8⁴, 20², 40²</t>
        </is>
      </c>
      <c r="L3836" t="inlineStr">
        <is>
          <t>30C², 75B⁶</t>
        </is>
      </c>
      <c r="M3836" t="inlineStr"/>
      <c r="N3836" t="inlineStr">
        <is>
          <t>5B⁰, 1A⁰, 15B⁰, 3A⁰, 75B⁶, 25B², 30C²</t>
        </is>
      </c>
      <c r="O3836" t="inlineStr"/>
    </row>
    <row r="3837">
      <c r="A3837">
        <f>HYPERLINK("https://mathstats.uncg.edu/sites/pauli/congruence/csg14.html#group150C14", "150C¹⁴")</f>
        <v/>
      </c>
      <c r="B3837" t="n">
        <v>14</v>
      </c>
      <c r="C3837" t="inlineStr"/>
      <c r="D3837" t="inlineStr">
        <is>
          <t>180</t>
        </is>
      </c>
      <c r="E3837" t="inlineStr">
        <is>
          <t>1</t>
        </is>
      </c>
      <c r="F3837" t="inlineStr">
        <is>
          <t>90</t>
        </is>
      </c>
      <c r="G3837" t="inlineStr">
        <is>
          <t>4</t>
        </is>
      </c>
      <c r="H3837" t="inlineStr">
        <is>
          <t>0</t>
        </is>
      </c>
      <c r="I3837" t="inlineStr">
        <is>
          <t>30¹, 150¹</t>
        </is>
      </c>
      <c r="J3837" t="n">
        <v>2</v>
      </c>
      <c r="K3837" t="inlineStr">
        <is>
          <t>2², 4⁶, 8⁴, 20², 40²</t>
        </is>
      </c>
      <c r="L3837" t="inlineStr">
        <is>
          <t>30C², 75C⁶</t>
        </is>
      </c>
      <c r="M3837" t="inlineStr"/>
      <c r="N3837" t="inlineStr">
        <is>
          <t>5B⁰, 15B⁰, 3A⁰, 1A⁰, 25C², 75C⁶, 30C²</t>
        </is>
      </c>
      <c r="O3837" t="inlineStr"/>
    </row>
    <row r="3838">
      <c r="A3838">
        <f>HYPERLINK("https://mathstats.uncg.edu/sites/pauli/congruence/csg14.html#group150D14", "150D¹⁴")</f>
        <v/>
      </c>
      <c r="B3838" t="n">
        <v>14</v>
      </c>
      <c r="C3838" t="inlineStr"/>
      <c r="D3838" t="inlineStr">
        <is>
          <t>180</t>
        </is>
      </c>
      <c r="E3838" t="inlineStr">
        <is>
          <t>1</t>
        </is>
      </c>
      <c r="F3838" t="inlineStr">
        <is>
          <t>90</t>
        </is>
      </c>
      <c r="G3838" t="inlineStr">
        <is>
          <t>4</t>
        </is>
      </c>
      <c r="H3838" t="inlineStr">
        <is>
          <t>0</t>
        </is>
      </c>
      <c r="I3838" t="inlineStr">
        <is>
          <t>30¹, 150¹</t>
        </is>
      </c>
      <c r="J3838" t="n">
        <v>2</v>
      </c>
      <c r="K3838" t="inlineStr">
        <is>
          <t>2², 4⁶, 8⁴, 20², 40²</t>
        </is>
      </c>
      <c r="L3838" t="inlineStr">
        <is>
          <t>30C², 75D⁶</t>
        </is>
      </c>
      <c r="M3838" t="inlineStr"/>
      <c r="N3838" t="inlineStr">
        <is>
          <t>5B⁰, 15B⁰, 75D⁶, 3A⁰, 1A⁰, 25D², 30C²</t>
        </is>
      </c>
      <c r="O3838" t="inlineStr"/>
    </row>
    <row r="3839">
      <c r="A3839">
        <f>HYPERLINK("https://mathstats.uncg.edu/sites/pauli/congruence/csg14.html#group154A14", "154A¹⁴")</f>
        <v/>
      </c>
      <c r="B3839" t="n">
        <v>14</v>
      </c>
      <c r="C3839" t="inlineStr"/>
      <c r="D3839" t="inlineStr">
        <is>
          <t>168</t>
        </is>
      </c>
      <c r="E3839" t="inlineStr">
        <is>
          <t>2</t>
        </is>
      </c>
      <c r="F3839" t="inlineStr">
        <is>
          <t>84</t>
        </is>
      </c>
      <c r="G3839" t="inlineStr">
        <is>
          <t>0</t>
        </is>
      </c>
      <c r="H3839" t="inlineStr">
        <is>
          <t>0</t>
        </is>
      </c>
      <c r="I3839" t="inlineStr">
        <is>
          <t>14¹, 154¹</t>
        </is>
      </c>
      <c r="J3839" t="n">
        <v>2</v>
      </c>
      <c r="K3839" t="inlineStr">
        <is>
          <t>2², 6⁴, 20¹, 60²</t>
        </is>
      </c>
      <c r="L3839" t="inlineStr">
        <is>
          <t>77A⁷</t>
        </is>
      </c>
      <c r="M3839" t="inlineStr"/>
      <c r="N3839" t="inlineStr">
        <is>
          <t>1A⁰, 77A⁷, 11A¹, 7A⁰</t>
        </is>
      </c>
      <c r="O3839" t="inlineStr"/>
    </row>
    <row r="3840">
      <c r="A3840">
        <f>HYPERLINK("https://mathstats.uncg.edu/sites/pauli/congruence/csg14.html#group154B14", "154B¹⁴")</f>
        <v/>
      </c>
      <c r="B3840" t="n">
        <v>14</v>
      </c>
      <c r="C3840" t="inlineStr"/>
      <c r="D3840" t="inlineStr">
        <is>
          <t>168</t>
        </is>
      </c>
      <c r="E3840" t="inlineStr">
        <is>
          <t>2</t>
        </is>
      </c>
      <c r="F3840" t="inlineStr">
        <is>
          <t>84</t>
        </is>
      </c>
      <c r="G3840" t="inlineStr">
        <is>
          <t>0</t>
        </is>
      </c>
      <c r="H3840" t="inlineStr">
        <is>
          <t>0</t>
        </is>
      </c>
      <c r="I3840" t="inlineStr">
        <is>
          <t>14¹, 154¹</t>
        </is>
      </c>
      <c r="J3840" t="n">
        <v>2</v>
      </c>
      <c r="K3840" t="inlineStr">
        <is>
          <t>2², 6⁴, 20¹, 60²</t>
        </is>
      </c>
      <c r="L3840" t="inlineStr">
        <is>
          <t>22A², 77A⁷</t>
        </is>
      </c>
      <c r="M3840" t="inlineStr"/>
      <c r="N3840" t="inlineStr">
        <is>
          <t>2A⁰, 77A⁷, 1A⁰, 11A¹, 22A², 7A⁰</t>
        </is>
      </c>
      <c r="O3840" t="inlineStr"/>
    </row>
    <row r="3841">
      <c r="A3841">
        <f>HYPERLINK("https://mathstats.uncg.edu/sites/pauli/congruence/csg14.html#group161A14", "161A¹⁴")</f>
        <v/>
      </c>
      <c r="B3841" t="n">
        <v>14</v>
      </c>
      <c r="C3841" t="inlineStr"/>
      <c r="D3841" t="inlineStr">
        <is>
          <t>168</t>
        </is>
      </c>
      <c r="E3841" t="inlineStr">
        <is>
          <t>2</t>
        </is>
      </c>
      <c r="F3841" t="inlineStr">
        <is>
          <t>168</t>
        </is>
      </c>
      <c r="G3841" t="inlineStr">
        <is>
          <t>0</t>
        </is>
      </c>
      <c r="H3841" t="inlineStr">
        <is>
          <t>0</t>
        </is>
      </c>
      <c r="I3841" t="inlineStr">
        <is>
          <t>7¹, 161¹</t>
        </is>
      </c>
      <c r="J3841" t="n">
        <v>2</v>
      </c>
      <c r="K3841" t="inlineStr">
        <is>
          <t>2², 6⁴, 44¹, 132²</t>
        </is>
      </c>
      <c r="L3841" t="inlineStr">
        <is>
          <t>7A⁰, 23A²</t>
        </is>
      </c>
      <c r="M3841" t="inlineStr"/>
      <c r="N3841" t="inlineStr">
        <is>
          <t>1A⁰, 23A², 7A⁰</t>
        </is>
      </c>
      <c r="O3841" t="inlineStr"/>
    </row>
    <row r="3842">
      <c r="A3842">
        <f>HYPERLINK("https://mathstats.uncg.edu/sites/pauli/congruence/csg14.html#group166A14", "166A¹⁴")</f>
        <v/>
      </c>
      <c r="B3842" t="n">
        <v>14</v>
      </c>
      <c r="C3842" t="inlineStr"/>
      <c r="D3842" t="inlineStr">
        <is>
          <t>168</t>
        </is>
      </c>
      <c r="E3842" t="inlineStr">
        <is>
          <t>1</t>
        </is>
      </c>
      <c r="F3842" t="inlineStr">
        <is>
          <t>84</t>
        </is>
      </c>
      <c r="G3842" t="inlineStr">
        <is>
          <t>0</t>
        </is>
      </c>
      <c r="H3842" t="inlineStr">
        <is>
          <t>0</t>
        </is>
      </c>
      <c r="I3842" t="inlineStr">
        <is>
          <t>2¹, 166¹</t>
        </is>
      </c>
      <c r="J3842" t="n">
        <v>2</v>
      </c>
      <c r="K3842" t="inlineStr">
        <is>
          <t>1², 82¹</t>
        </is>
      </c>
      <c r="L3842" t="inlineStr">
        <is>
          <t>2A⁰, 83A⁷</t>
        </is>
      </c>
      <c r="M3842" t="inlineStr"/>
      <c r="N3842" t="inlineStr">
        <is>
          <t>2A⁰, 1A⁰, 83A⁷</t>
        </is>
      </c>
      <c r="O3842" t="inlineStr"/>
    </row>
    <row r="3843">
      <c r="A3843">
        <f>HYPERLINK("https://mathstats.uncg.edu/sites/pauli/congruence/csg14.html#group167A14", "167A¹⁴")</f>
        <v/>
      </c>
      <c r="B3843" t="n">
        <v>14</v>
      </c>
      <c r="C3843" t="inlineStr">
        <is>
          <t>Γ₀(167)</t>
        </is>
      </c>
      <c r="D3843" t="inlineStr">
        <is>
          <t>168</t>
        </is>
      </c>
      <c r="E3843" t="inlineStr">
        <is>
          <t>1</t>
        </is>
      </c>
      <c r="F3843" t="inlineStr">
        <is>
          <t>168</t>
        </is>
      </c>
      <c r="G3843" t="inlineStr">
        <is>
          <t>0</t>
        </is>
      </c>
      <c r="H3843" t="inlineStr">
        <is>
          <t>0</t>
        </is>
      </c>
      <c r="I3843" t="inlineStr">
        <is>
          <t>1¹, 167¹</t>
        </is>
      </c>
      <c r="J3843" t="n">
        <v>2</v>
      </c>
      <c r="K3843" t="inlineStr">
        <is>
          <t>1², 166¹</t>
        </is>
      </c>
      <c r="L3843" t="inlineStr">
        <is>
          <t>1A⁰</t>
        </is>
      </c>
      <c r="M3843" t="inlineStr"/>
      <c r="N3843" t="inlineStr">
        <is>
          <t>1A⁰</t>
        </is>
      </c>
      <c r="O3843" t="inlineStr"/>
    </row>
    <row r="3844">
      <c r="A3844">
        <f>HYPERLINK("https://mathstats.uncg.edu/sites/pauli/congruence/csg14.html#group168A14", "168A¹⁴")</f>
        <v/>
      </c>
      <c r="B3844" t="n">
        <v>14</v>
      </c>
      <c r="C3844" t="inlineStr"/>
      <c r="D3844" t="inlineStr">
        <is>
          <t>192</t>
        </is>
      </c>
      <c r="E3844" t="inlineStr">
        <is>
          <t>2</t>
        </is>
      </c>
      <c r="F3844" t="inlineStr">
        <is>
          <t>32</t>
        </is>
      </c>
      <c r="G3844" t="inlineStr">
        <is>
          <t>0</t>
        </is>
      </c>
      <c r="H3844" t="inlineStr">
        <is>
          <t>6</t>
        </is>
      </c>
      <c r="I3844" t="inlineStr">
        <is>
          <t>24¹, 168¹</t>
        </is>
      </c>
      <c r="J3844" t="n">
        <v>2</v>
      </c>
      <c r="K3844" t="inlineStr">
        <is>
          <t>8⁴, 48²</t>
        </is>
      </c>
      <c r="L3844" t="inlineStr">
        <is>
          <t>56A⁴, 84A⁷</t>
        </is>
      </c>
      <c r="M3844" t="inlineStr"/>
      <c r="N3844" t="inlineStr">
        <is>
          <t>56A⁴, 4A⁰, 7B⁰, 8A⁰, 84A⁷, 1A⁰, 28A², 21A¹</t>
        </is>
      </c>
      <c r="O3844" t="inlineStr"/>
    </row>
    <row r="3845">
      <c r="A3845">
        <f>HYPERLINK("https://mathstats.uncg.edu/sites/pauli/congruence/csg14.html#group168B14", "168B¹⁴")</f>
        <v/>
      </c>
      <c r="B3845" t="n">
        <v>14</v>
      </c>
      <c r="C3845" t="inlineStr"/>
      <c r="D3845" t="inlineStr">
        <is>
          <t>192</t>
        </is>
      </c>
      <c r="E3845" t="inlineStr">
        <is>
          <t>2</t>
        </is>
      </c>
      <c r="F3845" t="inlineStr">
        <is>
          <t>32</t>
        </is>
      </c>
      <c r="G3845" t="inlineStr">
        <is>
          <t>0</t>
        </is>
      </c>
      <c r="H3845" t="inlineStr">
        <is>
          <t>6</t>
        </is>
      </c>
      <c r="I3845" t="inlineStr">
        <is>
          <t>24¹, 168¹</t>
        </is>
      </c>
      <c r="J3845" t="n">
        <v>2</v>
      </c>
      <c r="K3845" t="inlineStr">
        <is>
          <t>8⁴, 48²</t>
        </is>
      </c>
      <c r="L3845" t="inlineStr">
        <is>
          <t>56A⁴, 84A⁷</t>
        </is>
      </c>
      <c r="M3845" t="inlineStr"/>
      <c r="N3845" t="inlineStr">
        <is>
          <t>56A⁴, 4A⁰, 7B⁰, 8A⁰, 84A⁷, 1A⁰, 28A², 21A¹</t>
        </is>
      </c>
      <c r="O3845" t="inlineStr"/>
    </row>
    <row r="3846">
      <c r="A3846">
        <f>HYPERLINK("https://mathstats.uncg.edu/sites/pauli/congruence/csg14.html#group172A14", "172A¹⁴")</f>
        <v/>
      </c>
      <c r="B3846" t="n">
        <v>14</v>
      </c>
      <c r="C3846" t="inlineStr"/>
      <c r="D3846" t="inlineStr">
        <is>
          <t>176</t>
        </is>
      </c>
      <c r="E3846" t="inlineStr">
        <is>
          <t>1</t>
        </is>
      </c>
      <c r="F3846" t="inlineStr">
        <is>
          <t>176</t>
        </is>
      </c>
      <c r="G3846" t="inlineStr">
        <is>
          <t>0</t>
        </is>
      </c>
      <c r="H3846" t="inlineStr">
        <is>
          <t>2</t>
        </is>
      </c>
      <c r="I3846" t="inlineStr">
        <is>
          <t>4¹, 172¹</t>
        </is>
      </c>
      <c r="J3846" t="n">
        <v>2</v>
      </c>
      <c r="K3846" t="inlineStr">
        <is>
          <t>2⁴, 84²</t>
        </is>
      </c>
      <c r="L3846" t="inlineStr">
        <is>
          <t>4A⁰, 43A³</t>
        </is>
      </c>
      <c r="M3846" t="inlineStr"/>
      <c r="N3846" t="inlineStr">
        <is>
          <t>43A³, 1A⁰, 4A⁰</t>
        </is>
      </c>
      <c r="O3846" t="inlineStr"/>
    </row>
    <row r="3847">
      <c r="A3847">
        <f>HYPERLINK("https://mathstats.uncg.edu/sites/pauli/congruence/csg14.html#group173A14", "173A¹⁴")</f>
        <v/>
      </c>
      <c r="B3847" t="n">
        <v>14</v>
      </c>
      <c r="C3847" t="inlineStr">
        <is>
          <t>Γ₀(173)</t>
        </is>
      </c>
      <c r="D3847" t="inlineStr">
        <is>
          <t>174</t>
        </is>
      </c>
      <c r="E3847" t="inlineStr">
        <is>
          <t>1</t>
        </is>
      </c>
      <c r="F3847" t="inlineStr">
        <is>
          <t>174</t>
        </is>
      </c>
      <c r="G3847" t="inlineStr">
        <is>
          <t>2</t>
        </is>
      </c>
      <c r="H3847" t="inlineStr">
        <is>
          <t>0</t>
        </is>
      </c>
      <c r="I3847" t="inlineStr">
        <is>
          <t>1¹, 173¹</t>
        </is>
      </c>
      <c r="J3847" t="n">
        <v>2</v>
      </c>
      <c r="K3847" t="inlineStr">
        <is>
          <t>1², 172¹</t>
        </is>
      </c>
      <c r="L3847" t="inlineStr">
        <is>
          <t>1A⁰</t>
        </is>
      </c>
      <c r="M3847" t="inlineStr"/>
      <c r="N3847" t="inlineStr">
        <is>
          <t>1A⁰</t>
        </is>
      </c>
      <c r="O3847" t="inlineStr"/>
    </row>
    <row r="3848">
      <c r="A3848">
        <f>HYPERLINK("https://mathstats.uncg.edu/sites/pauli/congruence/csg14.html#group174A14", "174A¹⁴")</f>
        <v/>
      </c>
      <c r="B3848" t="n">
        <v>14</v>
      </c>
      <c r="C3848" t="inlineStr"/>
      <c r="D3848" t="inlineStr">
        <is>
          <t>180</t>
        </is>
      </c>
      <c r="E3848" t="inlineStr">
        <is>
          <t>1</t>
        </is>
      </c>
      <c r="F3848" t="inlineStr">
        <is>
          <t>90</t>
        </is>
      </c>
      <c r="G3848" t="inlineStr">
        <is>
          <t>4</t>
        </is>
      </c>
      <c r="H3848" t="inlineStr">
        <is>
          <t>0</t>
        </is>
      </c>
      <c r="I3848" t="inlineStr">
        <is>
          <t>6¹, 174¹</t>
        </is>
      </c>
      <c r="J3848" t="n">
        <v>2</v>
      </c>
      <c r="K3848" t="inlineStr">
        <is>
          <t>1², 2², 28¹, 56¹</t>
        </is>
      </c>
      <c r="L3848" t="inlineStr">
        <is>
          <t>87A⁶</t>
        </is>
      </c>
      <c r="M3848" t="inlineStr"/>
      <c r="N3848" t="inlineStr">
        <is>
          <t>87A⁶, 1A⁰, 29A², 3A⁰</t>
        </is>
      </c>
      <c r="O3848" t="inlineStr"/>
    </row>
    <row r="3849">
      <c r="A3849">
        <f>HYPERLINK("https://mathstats.uncg.edu/sites/pauli/congruence/csg14.html#group175A14", "175A¹⁴")</f>
        <v/>
      </c>
      <c r="B3849" t="n">
        <v>14</v>
      </c>
      <c r="C3849" t="inlineStr"/>
      <c r="D3849" t="inlineStr">
        <is>
          <t>210</t>
        </is>
      </c>
      <c r="E3849" t="inlineStr">
        <is>
          <t>2</t>
        </is>
      </c>
      <c r="F3849" t="inlineStr">
        <is>
          <t>210</t>
        </is>
      </c>
      <c r="G3849" t="inlineStr">
        <is>
          <t>6</t>
        </is>
      </c>
      <c r="H3849" t="inlineStr">
        <is>
          <t>0</t>
        </is>
      </c>
      <c r="I3849" t="inlineStr">
        <is>
          <t>7⁵, 175¹</t>
        </is>
      </c>
      <c r="J3849" t="n">
        <v>6</v>
      </c>
      <c r="K3849" t="inlineStr">
        <is>
          <t>2², 6⁴, 8², 24⁴, 40¹, 120²</t>
        </is>
      </c>
      <c r="L3849" t="inlineStr">
        <is>
          <t>25A⁰, 35C²</t>
        </is>
      </c>
      <c r="M3849" t="inlineStr"/>
      <c r="N3849" t="inlineStr">
        <is>
          <t>25A⁰, 5B⁰, 35C², 1A⁰, 7A⁰</t>
        </is>
      </c>
      <c r="O3849" t="inlineStr"/>
    </row>
    <row r="3850">
      <c r="A3850">
        <f>HYPERLINK("https://mathstats.uncg.edu/sites/pauli/congruence/csg14.html#group181A14", "181A¹⁴")</f>
        <v/>
      </c>
      <c r="B3850" t="n">
        <v>14</v>
      </c>
      <c r="C3850" t="inlineStr">
        <is>
          <t>Γ₀(181)</t>
        </is>
      </c>
      <c r="D3850" t="inlineStr">
        <is>
          <t>182</t>
        </is>
      </c>
      <c r="E3850" t="inlineStr">
        <is>
          <t>1</t>
        </is>
      </c>
      <c r="F3850" t="inlineStr">
        <is>
          <t>182</t>
        </is>
      </c>
      <c r="G3850" t="inlineStr">
        <is>
          <t>2</t>
        </is>
      </c>
      <c r="H3850" t="inlineStr">
        <is>
          <t>2</t>
        </is>
      </c>
      <c r="I3850" t="inlineStr">
        <is>
          <t>1¹, 181¹</t>
        </is>
      </c>
      <c r="J3850" t="n">
        <v>2</v>
      </c>
      <c r="K3850" t="inlineStr">
        <is>
          <t>1², 180¹</t>
        </is>
      </c>
      <c r="L3850" t="inlineStr">
        <is>
          <t>1A⁰</t>
        </is>
      </c>
      <c r="M3850" t="inlineStr"/>
      <c r="N3850" t="inlineStr">
        <is>
          <t>1A⁰</t>
        </is>
      </c>
      <c r="O3850" t="inlineStr"/>
    </row>
    <row r="3851">
      <c r="A3851">
        <f>HYPERLINK("https://mathstats.uncg.edu/sites/pauli/congruence/csg14.html#group182A14", "182A¹⁴")</f>
        <v/>
      </c>
      <c r="B3851" t="n">
        <v>14</v>
      </c>
      <c r="C3851" t="inlineStr"/>
      <c r="D3851" t="inlineStr">
        <is>
          <t>196</t>
        </is>
      </c>
      <c r="E3851" t="inlineStr">
        <is>
          <t>2</t>
        </is>
      </c>
      <c r="F3851" t="inlineStr">
        <is>
          <t>98</t>
        </is>
      </c>
      <c r="G3851" t="inlineStr">
        <is>
          <t>4</t>
        </is>
      </c>
      <c r="H3851" t="inlineStr">
        <is>
          <t>4</t>
        </is>
      </c>
      <c r="I3851" t="inlineStr">
        <is>
          <t>14¹, 182¹</t>
        </is>
      </c>
      <c r="J3851" t="n">
        <v>2</v>
      </c>
      <c r="K3851" t="inlineStr">
        <is>
          <t>2², 6⁴, 24¹, 72²</t>
        </is>
      </c>
      <c r="L3851" t="inlineStr">
        <is>
          <t>91A⁶</t>
        </is>
      </c>
      <c r="M3851" t="inlineStr"/>
      <c r="N3851" t="inlineStr">
        <is>
          <t>13A⁰, 1A⁰, 91A⁶, 7A⁰</t>
        </is>
      </c>
      <c r="O3851" t="inlineStr"/>
    </row>
    <row r="3852">
      <c r="A3852">
        <f>HYPERLINK("https://mathstats.uncg.edu/sites/pauli/congruence/csg14.html#group183A14", "183A¹⁴")</f>
        <v/>
      </c>
      <c r="B3852" t="n">
        <v>14</v>
      </c>
      <c r="C3852" t="inlineStr"/>
      <c r="D3852" t="inlineStr">
        <is>
          <t>186</t>
        </is>
      </c>
      <c r="E3852" t="inlineStr">
        <is>
          <t>1</t>
        </is>
      </c>
      <c r="F3852" t="inlineStr">
        <is>
          <t>62</t>
        </is>
      </c>
      <c r="G3852" t="inlineStr">
        <is>
          <t>6</t>
        </is>
      </c>
      <c r="H3852" t="inlineStr">
        <is>
          <t>0</t>
        </is>
      </c>
      <c r="I3852" t="inlineStr">
        <is>
          <t>3¹, 183¹</t>
        </is>
      </c>
      <c r="J3852" t="n">
        <v>2</v>
      </c>
      <c r="K3852" t="inlineStr">
        <is>
          <t>1², 60¹</t>
        </is>
      </c>
      <c r="L3852" t="inlineStr">
        <is>
          <t>3A⁰, 61A⁴</t>
        </is>
      </c>
      <c r="M3852" t="inlineStr"/>
      <c r="N3852" t="inlineStr">
        <is>
          <t>3A⁰, 1A⁰, 61A⁴</t>
        </is>
      </c>
      <c r="O3852" t="inlineStr"/>
    </row>
    <row r="3853">
      <c r="A3853">
        <f>HYPERLINK("https://mathstats.uncg.edu/sites/pauli/congruence/csg14.html#group185A14", "185A¹⁴")</f>
        <v/>
      </c>
      <c r="B3853" t="n">
        <v>14</v>
      </c>
      <c r="C3853" t="inlineStr"/>
      <c r="D3853" t="inlineStr">
        <is>
          <t>190</t>
        </is>
      </c>
      <c r="E3853" t="inlineStr">
        <is>
          <t>1</t>
        </is>
      </c>
      <c r="F3853" t="inlineStr">
        <is>
          <t>190</t>
        </is>
      </c>
      <c r="G3853" t="inlineStr">
        <is>
          <t>2</t>
        </is>
      </c>
      <c r="H3853" t="inlineStr">
        <is>
          <t>4</t>
        </is>
      </c>
      <c r="I3853" t="inlineStr">
        <is>
          <t>5¹, 185¹</t>
        </is>
      </c>
      <c r="J3853" t="n">
        <v>2</v>
      </c>
      <c r="K3853" t="inlineStr">
        <is>
          <t>1², 4², 36¹, 144¹</t>
        </is>
      </c>
      <c r="L3853" t="inlineStr">
        <is>
          <t>5A⁰, 37A²</t>
        </is>
      </c>
      <c r="M3853" t="inlineStr"/>
      <c r="N3853" t="inlineStr">
        <is>
          <t>37A², 1A⁰, 5A⁰</t>
        </is>
      </c>
      <c r="O3853" t="inlineStr"/>
    </row>
    <row r="3854">
      <c r="A3854">
        <f>HYPERLINK("https://mathstats.uncg.edu/sites/pauli/congruence/csg14.html#group186A14", "186A¹⁴")</f>
        <v/>
      </c>
      <c r="B3854" t="n">
        <v>14</v>
      </c>
      <c r="C3854" t="inlineStr"/>
      <c r="D3854" t="inlineStr">
        <is>
          <t>192</t>
        </is>
      </c>
      <c r="E3854" t="inlineStr">
        <is>
          <t>1</t>
        </is>
      </c>
      <c r="F3854" t="inlineStr">
        <is>
          <t>64</t>
        </is>
      </c>
      <c r="G3854" t="inlineStr">
        <is>
          <t>0</t>
        </is>
      </c>
      <c r="H3854" t="inlineStr">
        <is>
          <t>6</t>
        </is>
      </c>
      <c r="I3854" t="inlineStr">
        <is>
          <t>6¹, 186¹</t>
        </is>
      </c>
      <c r="J3854" t="n">
        <v>2</v>
      </c>
      <c r="K3854" t="inlineStr">
        <is>
          <t>2², 60¹</t>
        </is>
      </c>
      <c r="L3854" t="inlineStr">
        <is>
          <t>6A⁰, 62A⁴</t>
        </is>
      </c>
      <c r="M3854" t="inlineStr"/>
      <c r="N3854" t="inlineStr">
        <is>
          <t>2A⁰, 31A², 6A⁰, 1A⁰, 62A⁴</t>
        </is>
      </c>
      <c r="O3854" t="inlineStr"/>
    </row>
    <row r="3855">
      <c r="A3855">
        <f>HYPERLINK("https://mathstats.uncg.edu/sites/pauli/congruence/csg14.html#group186B14", "186B¹⁴")</f>
        <v/>
      </c>
      <c r="B3855" t="n">
        <v>14</v>
      </c>
      <c r="C3855" t="inlineStr"/>
      <c r="D3855" t="inlineStr">
        <is>
          <t>192</t>
        </is>
      </c>
      <c r="E3855" t="inlineStr">
        <is>
          <t>2</t>
        </is>
      </c>
      <c r="F3855" t="inlineStr">
        <is>
          <t>32</t>
        </is>
      </c>
      <c r="G3855" t="inlineStr">
        <is>
          <t>0</t>
        </is>
      </c>
      <c r="H3855" t="inlineStr">
        <is>
          <t>6</t>
        </is>
      </c>
      <c r="I3855" t="inlineStr">
        <is>
          <t>6¹, 186¹</t>
        </is>
      </c>
      <c r="J3855" t="n">
        <v>2</v>
      </c>
      <c r="K3855" t="inlineStr">
        <is>
          <t>2², 60¹</t>
        </is>
      </c>
      <c r="L3855" t="inlineStr">
        <is>
          <t>62A⁴, 93A⁷</t>
        </is>
      </c>
      <c r="M3855" t="inlineStr"/>
      <c r="N3855" t="inlineStr">
        <is>
          <t>93A⁷, 31A², 2A⁰, 1A⁰, 62A⁴</t>
        </is>
      </c>
      <c r="O3855" t="inlineStr"/>
    </row>
    <row r="3856">
      <c r="A3856">
        <f>HYPERLINK("https://mathstats.uncg.edu/sites/pauli/congruence/csg14.html#group190A14", "190A¹⁴")</f>
        <v/>
      </c>
      <c r="B3856" t="n">
        <v>14</v>
      </c>
      <c r="C3856" t="inlineStr"/>
      <c r="D3856" t="inlineStr">
        <is>
          <t>200</t>
        </is>
      </c>
      <c r="E3856" t="inlineStr">
        <is>
          <t>1</t>
        </is>
      </c>
      <c r="F3856" t="inlineStr">
        <is>
          <t>100</t>
        </is>
      </c>
      <c r="G3856" t="inlineStr">
        <is>
          <t>0</t>
        </is>
      </c>
      <c r="H3856" t="inlineStr">
        <is>
          <t>8</t>
        </is>
      </c>
      <c r="I3856" t="inlineStr">
        <is>
          <t>10¹, 190¹</t>
        </is>
      </c>
      <c r="J3856" t="n">
        <v>2</v>
      </c>
      <c r="K3856" t="inlineStr">
        <is>
          <t>1², 4², 18¹, 72¹</t>
        </is>
      </c>
      <c r="L3856" t="inlineStr">
        <is>
          <t>10A⁰, 38A², 95A⁷</t>
        </is>
      </c>
      <c r="M3856" t="inlineStr"/>
      <c r="N3856" t="inlineStr">
        <is>
          <t>2A⁰, 19A¹, 5A⁰, 10A⁰, 38A², 95A⁷, 1A⁰</t>
        </is>
      </c>
      <c r="O3856" t="inlineStr"/>
    </row>
    <row r="3857">
      <c r="A3857">
        <f>HYPERLINK("https://mathstats.uncg.edu/sites/pauli/congruence/csg14.html#group195A14", "195A¹⁴")</f>
        <v/>
      </c>
      <c r="B3857" t="n">
        <v>14</v>
      </c>
      <c r="C3857" t="inlineStr"/>
      <c r="D3857" t="inlineStr">
        <is>
          <t>210</t>
        </is>
      </c>
      <c r="E3857" t="inlineStr">
        <is>
          <t>2</t>
        </is>
      </c>
      <c r="F3857" t="inlineStr">
        <is>
          <t>70</t>
        </is>
      </c>
      <c r="G3857" t="inlineStr">
        <is>
          <t>6</t>
        </is>
      </c>
      <c r="H3857" t="inlineStr">
        <is>
          <t>6</t>
        </is>
      </c>
      <c r="I3857" t="inlineStr">
        <is>
          <t>15¹, 195¹</t>
        </is>
      </c>
      <c r="J3857" t="n">
        <v>2</v>
      </c>
      <c r="K3857" t="inlineStr">
        <is>
          <t>2², 8², 24¹, 96¹</t>
        </is>
      </c>
      <c r="L3857" t="inlineStr">
        <is>
          <t>15A⁰, 65A⁴</t>
        </is>
      </c>
      <c r="M3857" t="inlineStr"/>
      <c r="N3857" t="inlineStr">
        <is>
          <t>13A⁰, 5A⁰, 1A⁰, 65A⁴, 15A⁰</t>
        </is>
      </c>
      <c r="O3857" t="inlineStr"/>
    </row>
    <row r="3858">
      <c r="A3858">
        <f>HYPERLINK("https://mathstats.uncg.edu/sites/pauli/congruence/csg14.html#group195B14", "195B¹⁴")</f>
        <v/>
      </c>
      <c r="B3858" t="n">
        <v>14</v>
      </c>
      <c r="C3858" t="inlineStr"/>
      <c r="D3858" t="inlineStr">
        <is>
          <t>210</t>
        </is>
      </c>
      <c r="E3858" t="inlineStr">
        <is>
          <t>2</t>
        </is>
      </c>
      <c r="F3858" t="inlineStr">
        <is>
          <t>70</t>
        </is>
      </c>
      <c r="G3858" t="inlineStr">
        <is>
          <t>6</t>
        </is>
      </c>
      <c r="H3858" t="inlineStr">
        <is>
          <t>6</t>
        </is>
      </c>
      <c r="I3858" t="inlineStr">
        <is>
          <t>15¹, 195¹</t>
        </is>
      </c>
      <c r="J3858" t="n">
        <v>2</v>
      </c>
      <c r="K3858" t="inlineStr">
        <is>
          <t>2², 8², 24¹, 96¹</t>
        </is>
      </c>
      <c r="L3858" t="inlineStr">
        <is>
          <t>39A¹, 65A⁴</t>
        </is>
      </c>
      <c r="M3858" t="inlineStr"/>
      <c r="N3858" t="inlineStr">
        <is>
          <t>13A⁰, 5A⁰, 39A¹, 1A⁰, 65A⁴</t>
        </is>
      </c>
      <c r="O3858" t="inlineStr"/>
    </row>
    <row r="3859">
      <c r="A3859">
        <f>HYPERLINK("https://mathstats.uncg.edu/sites/pauli/congruence/csg14.html#group198A14", "198A¹⁴")</f>
        <v/>
      </c>
      <c r="B3859" t="n">
        <v>14</v>
      </c>
      <c r="C3859" t="inlineStr"/>
      <c r="D3859" t="inlineStr">
        <is>
          <t>198</t>
        </is>
      </c>
      <c r="E3859" t="inlineStr">
        <is>
          <t>2</t>
        </is>
      </c>
      <c r="F3859" t="inlineStr">
        <is>
          <t>99</t>
        </is>
      </c>
      <c r="G3859" t="inlineStr">
        <is>
          <t>12</t>
        </is>
      </c>
      <c r="H3859" t="inlineStr">
        <is>
          <t>0</t>
        </is>
      </c>
      <c r="I3859" t="inlineStr">
        <is>
          <t>198¹</t>
        </is>
      </c>
      <c r="J3859" t="n">
        <v>1</v>
      </c>
      <c r="K3859" t="inlineStr">
        <is>
          <t>2¹, 4¹, 10², 12¹, 20², 60²</t>
        </is>
      </c>
      <c r="L3859" t="inlineStr">
        <is>
          <t>18A¹, 66A³, 99A⁵</t>
        </is>
      </c>
      <c r="M3859" t="inlineStr"/>
      <c r="N3859" t="inlineStr">
        <is>
          <t>11A⁰, 6B⁰, 66A³, 33A¹, 9A⁰, 99A⁵, 3A⁰, 1A⁰, 18A¹</t>
        </is>
      </c>
      <c r="O3859" t="inlineStr"/>
    </row>
    <row r="3860">
      <c r="A3860">
        <f>HYPERLINK("https://mathstats.uncg.edu/sites/pauli/congruence/csg14.html#group198B14", "198B¹⁴")</f>
        <v/>
      </c>
      <c r="B3860" t="n">
        <v>14</v>
      </c>
      <c r="C3860" t="inlineStr"/>
      <c r="D3860" t="inlineStr">
        <is>
          <t>198</t>
        </is>
      </c>
      <c r="E3860" t="inlineStr">
        <is>
          <t>2</t>
        </is>
      </c>
      <c r="F3860" t="inlineStr">
        <is>
          <t>198</t>
        </is>
      </c>
      <c r="G3860" t="inlineStr">
        <is>
          <t>12</t>
        </is>
      </c>
      <c r="H3860" t="inlineStr">
        <is>
          <t>0</t>
        </is>
      </c>
      <c r="I3860" t="inlineStr">
        <is>
          <t>198¹</t>
        </is>
      </c>
      <c r="J3860" t="n">
        <v>1</v>
      </c>
      <c r="K3860" t="inlineStr">
        <is>
          <t>4³, 12², 20⁶, 60⁴</t>
        </is>
      </c>
      <c r="L3860" t="inlineStr">
        <is>
          <t>18B¹, 66A³</t>
        </is>
      </c>
      <c r="M3860" t="inlineStr"/>
      <c r="N3860" t="inlineStr">
        <is>
          <t>11A⁰, 6B⁰, 66A³, 33A¹, 18B¹, 3A⁰, 1A⁰</t>
        </is>
      </c>
      <c r="O3860" t="inlineStr"/>
    </row>
    <row r="3861">
      <c r="A3861">
        <f>HYPERLINK("https://mathstats.uncg.edu/sites/pauli/congruence/csg14.html#group252A14", "252A¹⁴")</f>
        <v/>
      </c>
      <c r="B3861" t="n">
        <v>14</v>
      </c>
      <c r="C3861" t="inlineStr"/>
      <c r="D3861" t="inlineStr">
        <is>
          <t>252</t>
        </is>
      </c>
      <c r="E3861" t="inlineStr">
        <is>
          <t>2</t>
        </is>
      </c>
      <c r="F3861" t="inlineStr">
        <is>
          <t>252</t>
        </is>
      </c>
      <c r="G3861" t="inlineStr">
        <is>
          <t>30</t>
        </is>
      </c>
      <c r="H3861" t="inlineStr">
        <is>
          <t>0</t>
        </is>
      </c>
      <c r="I3861" t="inlineStr">
        <is>
          <t>252¹</t>
        </is>
      </c>
      <c r="J3861" t="n">
        <v>1</v>
      </c>
      <c r="K3861" t="inlineStr">
        <is>
          <t>4², 8², 12⁴, 24⁶, 72⁴</t>
        </is>
      </c>
      <c r="L3861" t="inlineStr">
        <is>
          <t>36A¹, 63A², 84A³</t>
        </is>
      </c>
      <c r="M3861" t="inlineStr"/>
      <c r="N3861" t="inlineStr">
        <is>
          <t>36A¹, 84A³, 12A⁰, 4A⁰, 9A⁰, 21A⁰, 7A⁰, 3A⁰, 28A¹, 1A⁰, 63A²</t>
        </is>
      </c>
      <c r="O3861" t="inlineStr"/>
    </row>
    <row r="3862">
      <c r="A3862">
        <f>HYPERLINK("https://mathstats.uncg.edu/sites/pauli/congruence/csg15.html#group14A15", "14A¹⁵")</f>
        <v/>
      </c>
      <c r="B3862" t="n">
        <v>15</v>
      </c>
      <c r="C3862" t="inlineStr"/>
      <c r="D3862" t="inlineStr">
        <is>
          <t>336</t>
        </is>
      </c>
      <c r="E3862" t="inlineStr">
        <is>
          <t>1</t>
        </is>
      </c>
      <c r="F3862" t="inlineStr">
        <is>
          <t>56</t>
        </is>
      </c>
      <c r="G3862" t="inlineStr">
        <is>
          <t>0</t>
        </is>
      </c>
      <c r="H3862" t="inlineStr">
        <is>
          <t>6</t>
        </is>
      </c>
      <c r="I3862" t="inlineStr">
        <is>
          <t>14²⁴</t>
        </is>
      </c>
      <c r="J3862" t="n">
        <v>24</v>
      </c>
      <c r="K3862" t="inlineStr">
        <is>
          <t>1², 6⁹</t>
        </is>
      </c>
      <c r="L3862" t="inlineStr">
        <is>
          <t>14C⁰, 14E³, 14E⁵, 14B⁶</t>
        </is>
      </c>
      <c r="M3862" t="inlineStr"/>
      <c r="N3862" t="inlineStr">
        <is>
          <t>2A⁰, 14A⁰, 14A¹, 14G¹, 14B⁶, 1A⁰, 14D¹, 14E⁵, 14F¹, 14E³, 7B⁰, 7C⁰, 14C³, 14B⁰, 7F⁰, 14C⁰, 7B¹, 7A⁰</t>
        </is>
      </c>
      <c r="O3862" t="inlineStr"/>
    </row>
    <row r="3863">
      <c r="A3863">
        <f>HYPERLINK("https://mathstats.uncg.edu/sites/pauli/congruence/csg15.html#group16A15", "16A¹⁵")</f>
        <v/>
      </c>
      <c r="B3863" t="n">
        <v>15</v>
      </c>
      <c r="C3863" t="inlineStr"/>
      <c r="D3863" t="inlineStr">
        <is>
          <t>384</t>
        </is>
      </c>
      <c r="E3863" t="inlineStr">
        <is>
          <t>1</t>
        </is>
      </c>
      <c r="F3863" t="inlineStr">
        <is>
          <t>48</t>
        </is>
      </c>
      <c r="G3863" t="inlineStr">
        <is>
          <t>8</t>
        </is>
      </c>
      <c r="H3863" t="inlineStr">
        <is>
          <t>0</t>
        </is>
      </c>
      <c r="I3863" t="inlineStr">
        <is>
          <t>8¹⁶, 16¹⁶</t>
        </is>
      </c>
      <c r="J3863" t="n">
        <v>32</v>
      </c>
      <c r="K3863" t="inlineStr">
        <is>
          <t>4¹⁰, 8¹</t>
        </is>
      </c>
      <c r="L3863" t="inlineStr">
        <is>
          <t>16D⁷, 16E⁷</t>
        </is>
      </c>
      <c r="M3863" t="inlineStr"/>
      <c r="N3863" t="inlineStr">
        <is>
          <t>16I¹, 4C⁰, 8C², 8A⁰, 16S³, 8L⁰, 2B⁰, 16E⁷, 8K⁰, 1A⁰, 8H¹, 16E², 16B⁰, 16E⁰, 16B⁴, 16D¹, 16D⁷, 16F¹, 8P⁰, 8M⁰, 16H¹, 16R³, 8D⁰, 16M³, 8B⁰, 16B¹, 16L², 16J¹, 8D¹, 8H⁰, 16K³, 8F⁰, 16L³, 16F², 4A⁰, 8I¹, 16C¹, 16C⁴, 4F⁰</t>
        </is>
      </c>
      <c r="O3863" t="inlineStr"/>
    </row>
    <row r="3864">
      <c r="A3864">
        <f>HYPERLINK("https://mathstats.uncg.edu/sites/pauli/congruence/csg15.html#group17A15", "17A¹⁵")</f>
        <v/>
      </c>
      <c r="B3864" t="n">
        <v>15</v>
      </c>
      <c r="C3864" t="inlineStr"/>
      <c r="D3864" t="inlineStr">
        <is>
          <t>272</t>
        </is>
      </c>
      <c r="E3864" t="inlineStr">
        <is>
          <t>1</t>
        </is>
      </c>
      <c r="F3864" t="inlineStr">
        <is>
          <t>136</t>
        </is>
      </c>
      <c r="G3864" t="inlineStr">
        <is>
          <t>0</t>
        </is>
      </c>
      <c r="H3864" t="inlineStr">
        <is>
          <t>2</t>
        </is>
      </c>
      <c r="I3864" t="inlineStr">
        <is>
          <t>17¹⁶</t>
        </is>
      </c>
      <c r="J3864" t="n">
        <v>16</v>
      </c>
      <c r="K3864" t="inlineStr">
        <is>
          <t>8¹, 16⁸</t>
        </is>
      </c>
      <c r="L3864" t="inlineStr">
        <is>
          <t>17A⁶</t>
        </is>
      </c>
      <c r="M3864" t="inlineStr"/>
      <c r="N3864" t="inlineStr">
        <is>
          <t>1A⁰, 17A⁶</t>
        </is>
      </c>
      <c r="O3864" t="inlineStr"/>
    </row>
    <row r="3865">
      <c r="A3865">
        <f>HYPERLINK("https://mathstats.uncg.edu/sites/pauli/congruence/csg15.html#group17B15", "17B¹⁵")</f>
        <v/>
      </c>
      <c r="B3865" t="n">
        <v>15</v>
      </c>
      <c r="C3865" t="inlineStr"/>
      <c r="D3865" t="inlineStr">
        <is>
          <t>306</t>
        </is>
      </c>
      <c r="E3865" t="inlineStr">
        <is>
          <t>1</t>
        </is>
      </c>
      <c r="F3865" t="inlineStr">
        <is>
          <t>153</t>
        </is>
      </c>
      <c r="G3865" t="inlineStr">
        <is>
          <t>10</t>
        </is>
      </c>
      <c r="H3865" t="inlineStr">
        <is>
          <t>0</t>
        </is>
      </c>
      <c r="I3865" t="inlineStr">
        <is>
          <t>17¹⁸</t>
        </is>
      </c>
      <c r="J3865" t="n">
        <v>18</v>
      </c>
      <c r="K3865" t="inlineStr">
        <is>
          <t>2¹, 8², 16¹⁸</t>
        </is>
      </c>
      <c r="L3865" t="inlineStr">
        <is>
          <t>17A⁴, 17A⁷</t>
        </is>
      </c>
      <c r="M3865" t="inlineStr"/>
      <c r="N3865" t="inlineStr">
        <is>
          <t>1A⁰, 17A⁴, 17A⁷</t>
        </is>
      </c>
      <c r="O3865" t="inlineStr"/>
    </row>
    <row r="3866">
      <c r="A3866">
        <f>HYPERLINK("https://mathstats.uncg.edu/sites/pauli/congruence/csg15.html#group17C15", "17C¹⁵")</f>
        <v/>
      </c>
      <c r="B3866" t="n">
        <v>15</v>
      </c>
      <c r="C3866" t="inlineStr"/>
      <c r="D3866" t="inlineStr">
        <is>
          <t>306</t>
        </is>
      </c>
      <c r="E3866" t="inlineStr">
        <is>
          <t>1</t>
        </is>
      </c>
      <c r="F3866" t="inlineStr">
        <is>
          <t>153</t>
        </is>
      </c>
      <c r="G3866" t="inlineStr">
        <is>
          <t>10</t>
        </is>
      </c>
      <c r="H3866" t="inlineStr">
        <is>
          <t>0</t>
        </is>
      </c>
      <c r="I3866" t="inlineStr">
        <is>
          <t>17¹⁸</t>
        </is>
      </c>
      <c r="J3866" t="n">
        <v>18</v>
      </c>
      <c r="K3866" t="inlineStr">
        <is>
          <t>2¹, 8², 16¹⁸</t>
        </is>
      </c>
      <c r="L3866" t="inlineStr">
        <is>
          <t>17B⁴, 17A⁷</t>
        </is>
      </c>
      <c r="M3866" t="inlineStr"/>
      <c r="N3866" t="inlineStr">
        <is>
          <t>1A⁰, 17B⁴, 17A⁷</t>
        </is>
      </c>
      <c r="O3866" t="inlineStr"/>
    </row>
    <row r="3867">
      <c r="A3867">
        <f>HYPERLINK("https://mathstats.uncg.edu/sites/pauli/congruence/csg15.html#group20A15", "20A¹⁵")</f>
        <v/>
      </c>
      <c r="B3867" t="n">
        <v>15</v>
      </c>
      <c r="C3867" t="inlineStr"/>
      <c r="D3867" t="inlineStr">
        <is>
          <t>240</t>
        </is>
      </c>
      <c r="E3867" t="inlineStr">
        <is>
          <t>1</t>
        </is>
      </c>
      <c r="F3867" t="inlineStr">
        <is>
          <t>1</t>
        </is>
      </c>
      <c r="G3867" t="inlineStr">
        <is>
          <t>0</t>
        </is>
      </c>
      <c r="H3867" t="inlineStr">
        <is>
          <t>0</t>
        </is>
      </c>
      <c r="I3867" t="inlineStr">
        <is>
          <t>20¹²</t>
        </is>
      </c>
      <c r="J3867" t="n">
        <v>12</v>
      </c>
      <c r="K3867" t="inlineStr">
        <is>
          <t>1¹</t>
        </is>
      </c>
      <c r="L3867" t="inlineStr">
        <is>
          <t>20A³, 20N³, 10A⁵, 20E⁷</t>
        </is>
      </c>
      <c r="M3867" t="inlineStr"/>
      <c r="N3867" t="inlineStr">
        <is>
          <t>10H¹, 2A⁰, 5A⁰, 20C¹, 10A², 10A⁵, 10D⁰, 5B⁰, 5F⁰, 5D⁰, 10A¹, 10D¹, 1A⁰, 20A³, 20E⁷, 10A⁰, 10C², 5G⁰, 20N³, 10E¹, 5H⁰, 20F¹, 10B⁰, 10B³, 5E⁰, 10C¹, 5C⁰</t>
        </is>
      </c>
      <c r="O3867" t="inlineStr"/>
    </row>
    <row r="3868">
      <c r="A3868">
        <f>HYPERLINK("https://mathstats.uncg.edu/sites/pauli/congruence/csg15.html#group20B15", "20B¹⁵")</f>
        <v/>
      </c>
      <c r="B3868" t="n">
        <v>15</v>
      </c>
      <c r="C3868" t="inlineStr"/>
      <c r="D3868" t="inlineStr">
        <is>
          <t>240</t>
        </is>
      </c>
      <c r="E3868" t="inlineStr">
        <is>
          <t>1</t>
        </is>
      </c>
      <c r="F3868" t="inlineStr">
        <is>
          <t>4</t>
        </is>
      </c>
      <c r="G3868" t="inlineStr">
        <is>
          <t>0</t>
        </is>
      </c>
      <c r="H3868" t="inlineStr">
        <is>
          <t>0</t>
        </is>
      </c>
      <c r="I3868" t="inlineStr">
        <is>
          <t>20¹²</t>
        </is>
      </c>
      <c r="J3868" t="n">
        <v>12</v>
      </c>
      <c r="K3868" t="inlineStr">
        <is>
          <t>2²</t>
        </is>
      </c>
      <c r="L3868" t="inlineStr">
        <is>
          <t>5H⁰, 20B³, 20B⁵, 20F⁷</t>
        </is>
      </c>
      <c r="M3868" t="inlineStr"/>
      <c r="N3868" t="inlineStr">
        <is>
          <t>5A⁰, 5B⁰, 20B⁵, 20A¹, 5D⁰, 5F⁰, 20F⁷, 1A⁰, 5H⁰, 20B³, 20B¹, 4A⁰, 5E⁰, 5C⁰, 20E², 5G⁰, 20D³</t>
        </is>
      </c>
      <c r="O3868" t="inlineStr"/>
    </row>
    <row r="3869">
      <c r="A3869">
        <f>HYPERLINK("https://mathstats.uncg.edu/sites/pauli/congruence/csg15.html#group20C15", "20C¹⁵")</f>
        <v/>
      </c>
      <c r="B3869" t="n">
        <v>15</v>
      </c>
      <c r="C3869" t="inlineStr"/>
      <c r="D3869" t="inlineStr">
        <is>
          <t>240</t>
        </is>
      </c>
      <c r="E3869" t="inlineStr">
        <is>
          <t>1</t>
        </is>
      </c>
      <c r="F3869" t="inlineStr">
        <is>
          <t>10</t>
        </is>
      </c>
      <c r="G3869" t="inlineStr">
        <is>
          <t>0</t>
        </is>
      </c>
      <c r="H3869" t="inlineStr">
        <is>
          <t>0</t>
        </is>
      </c>
      <c r="I3869" t="inlineStr">
        <is>
          <t>20¹²</t>
        </is>
      </c>
      <c r="J3869" t="n">
        <v>12</v>
      </c>
      <c r="K3869" t="inlineStr">
        <is>
          <t>2¹, 4²</t>
        </is>
      </c>
      <c r="L3869" t="inlineStr">
        <is>
          <t>20N³, 10B⁵, 20I⁷</t>
        </is>
      </c>
      <c r="M3869" t="inlineStr"/>
      <c r="N3869" t="inlineStr">
        <is>
          <t>10H¹, 2A⁰, 5A⁰, 10D⁰, 10B¹, 5F⁰, 20N³, 2B⁰, 20I⁷, 10A³, 10B², 1A⁰, 10D², 20F¹, 10B⁵, 10F¹, 10A⁰, 10E², 10C¹, 5C⁰, 2C⁰</t>
        </is>
      </c>
      <c r="O3869" t="inlineStr"/>
    </row>
    <row r="3870">
      <c r="A3870">
        <f>HYPERLINK("https://mathstats.uncg.edu/sites/pauli/congruence/csg15.html#group20D15", "20D¹⁵")</f>
        <v/>
      </c>
      <c r="B3870" t="n">
        <v>15</v>
      </c>
      <c r="C3870" t="inlineStr"/>
      <c r="D3870" t="inlineStr">
        <is>
          <t>240</t>
        </is>
      </c>
      <c r="E3870" t="inlineStr">
        <is>
          <t>1</t>
        </is>
      </c>
      <c r="F3870" t="inlineStr">
        <is>
          <t>10</t>
        </is>
      </c>
      <c r="G3870" t="inlineStr">
        <is>
          <t>0</t>
        </is>
      </c>
      <c r="H3870" t="inlineStr">
        <is>
          <t>0</t>
        </is>
      </c>
      <c r="I3870" t="inlineStr">
        <is>
          <t>20¹²</t>
        </is>
      </c>
      <c r="J3870" t="n">
        <v>12</v>
      </c>
      <c r="K3870" t="inlineStr">
        <is>
          <t>2¹, 4²</t>
        </is>
      </c>
      <c r="L3870" t="inlineStr">
        <is>
          <t>4G⁰, 20A⁵, 20C⁷, 20H⁷</t>
        </is>
      </c>
      <c r="M3870" t="inlineStr"/>
      <c r="N3870" t="inlineStr">
        <is>
          <t>2A⁰, 2C⁰, 20E³, 4C⁰, 4G⁰, 2B⁰, 10A³, 4E⁰, 4B⁰, 20A⁵, 1A⁰, 20F³, 10F¹, 20H⁷, 4A⁰, 4D⁰, 20C⁷, 10C¹, 4F⁰, 5C⁰, 20E²</t>
        </is>
      </c>
      <c r="O3870" t="inlineStr"/>
    </row>
    <row r="3871">
      <c r="A3871">
        <f>HYPERLINK("https://mathstats.uncg.edu/sites/pauli/congruence/csg15.html#group20E15", "20E¹⁵")</f>
        <v/>
      </c>
      <c r="B3871" t="n">
        <v>15</v>
      </c>
      <c r="C3871" t="inlineStr"/>
      <c r="D3871" t="inlineStr">
        <is>
          <t>240</t>
        </is>
      </c>
      <c r="E3871" t="inlineStr">
        <is>
          <t>1</t>
        </is>
      </c>
      <c r="F3871" t="inlineStr">
        <is>
          <t>30</t>
        </is>
      </c>
      <c r="G3871" t="inlineStr">
        <is>
          <t>0</t>
        </is>
      </c>
      <c r="H3871" t="inlineStr">
        <is>
          <t>0</t>
        </is>
      </c>
      <c r="I3871" t="inlineStr">
        <is>
          <t>20¹²</t>
        </is>
      </c>
      <c r="J3871" t="n">
        <v>12</v>
      </c>
      <c r="K3871" t="inlineStr">
        <is>
          <t>2³, 4⁶</t>
        </is>
      </c>
      <c r="L3871" t="inlineStr">
        <is>
          <t>20B⁷, 20C⁷, 20G⁷</t>
        </is>
      </c>
      <c r="M3871" t="inlineStr"/>
      <c r="N3871" t="inlineStr">
        <is>
          <t>2A⁰, 20B⁷, 20E³, 4C⁰, 10A³, 2B⁰, 4E⁰, 20F², 4B⁰, 1A⁰, 20F³, 10F¹, 20G⁷, 20C⁷, 10C¹, 20B⁴, 5C⁰, 2C⁰</t>
        </is>
      </c>
      <c r="O3871" t="inlineStr"/>
    </row>
    <row r="3872">
      <c r="A3872">
        <f>HYPERLINK("https://mathstats.uncg.edu/sites/pauli/congruence/csg15.html#group20F15", "20F¹⁵")</f>
        <v/>
      </c>
      <c r="B3872" t="n">
        <v>15</v>
      </c>
      <c r="C3872" t="inlineStr"/>
      <c r="D3872" t="inlineStr">
        <is>
          <t>240</t>
        </is>
      </c>
      <c r="E3872" t="inlineStr">
        <is>
          <t>1</t>
        </is>
      </c>
      <c r="F3872" t="inlineStr">
        <is>
          <t>60</t>
        </is>
      </c>
      <c r="G3872" t="inlineStr">
        <is>
          <t>0</t>
        </is>
      </c>
      <c r="H3872" t="inlineStr">
        <is>
          <t>0</t>
        </is>
      </c>
      <c r="I3872" t="inlineStr">
        <is>
          <t>20¹²</t>
        </is>
      </c>
      <c r="J3872" t="n">
        <v>12</v>
      </c>
      <c r="K3872" t="inlineStr">
        <is>
          <t>2², 4², 8⁶</t>
        </is>
      </c>
      <c r="L3872" t="inlineStr">
        <is>
          <t>10B³, 20C³, 20A⁵, 20B⁶, 20F⁷, 20B⁸</t>
        </is>
      </c>
      <c r="M3872" t="inlineStr"/>
      <c r="N3872" t="inlineStr">
        <is>
          <t>2A⁰, 5A⁰, 10A², 20B⁶, 20C³, 5B⁰, 10A¹, 20A¹, 20A⁵, 10E¹, 20F⁷, 1A⁰, 20B⁸, 20B¹, 10A⁰, 20D², 4A⁰, 4D⁰, 10B³, 5E⁰, 10C¹, 5C⁰, 20E², 5G⁰, 20D³</t>
        </is>
      </c>
      <c r="O3872" t="inlineStr"/>
    </row>
    <row r="3873">
      <c r="A3873">
        <f>HYPERLINK("https://mathstats.uncg.edu/sites/pauli/congruence/csg15.html#group20G15", "20G¹⁵")</f>
        <v/>
      </c>
      <c r="B3873" t="n">
        <v>15</v>
      </c>
      <c r="C3873" t="inlineStr"/>
      <c r="D3873" t="inlineStr">
        <is>
          <t>240</t>
        </is>
      </c>
      <c r="E3873" t="inlineStr">
        <is>
          <t>1</t>
        </is>
      </c>
      <c r="F3873" t="inlineStr">
        <is>
          <t>60</t>
        </is>
      </c>
      <c r="G3873" t="inlineStr">
        <is>
          <t>0</t>
        </is>
      </c>
      <c r="H3873" t="inlineStr">
        <is>
          <t>0</t>
        </is>
      </c>
      <c r="I3873" t="inlineStr">
        <is>
          <t>20¹²</t>
        </is>
      </c>
      <c r="J3873" t="n">
        <v>12</v>
      </c>
      <c r="K3873" t="inlineStr">
        <is>
          <t>2², 4⁶, 8⁴</t>
        </is>
      </c>
      <c r="L3873" t="inlineStr">
        <is>
          <t>20C⁴, 20B⁵, 20D⁷, 20G⁷, 20H⁷</t>
        </is>
      </c>
      <c r="M3873" t="inlineStr"/>
      <c r="N3873" t="inlineStr">
        <is>
          <t>20D⁷, 5A⁰, 10B¹, 20B², 4C⁰, 20B⁵, 5F⁰, 20C⁴, 2B⁰, 20A¹, 1A⁰, 10D², 20F³, 10F¹, 20H⁷, 20G⁷, 4A⁰, 20B⁴, 4F⁰, 5C⁰, 20E²</t>
        </is>
      </c>
      <c r="O3873" t="inlineStr"/>
    </row>
    <row r="3874">
      <c r="A3874">
        <f>HYPERLINK("https://mathstats.uncg.edu/sites/pauli/congruence/csg15.html#group20H15", "20H¹⁵")</f>
        <v/>
      </c>
      <c r="B3874" t="n">
        <v>15</v>
      </c>
      <c r="C3874" t="inlineStr"/>
      <c r="D3874" t="inlineStr">
        <is>
          <t>240</t>
        </is>
      </c>
      <c r="E3874" t="inlineStr">
        <is>
          <t>2</t>
        </is>
      </c>
      <c r="F3874" t="inlineStr">
        <is>
          <t>30</t>
        </is>
      </c>
      <c r="G3874" t="inlineStr">
        <is>
          <t>0</t>
        </is>
      </c>
      <c r="H3874" t="inlineStr">
        <is>
          <t>0</t>
        </is>
      </c>
      <c r="I3874" t="inlineStr">
        <is>
          <t>20¹²</t>
        </is>
      </c>
      <c r="J3874" t="n">
        <v>12</v>
      </c>
      <c r="K3874" t="inlineStr">
        <is>
          <t>4³, 8⁶</t>
        </is>
      </c>
      <c r="L3874" t="inlineStr">
        <is>
          <t>20G⁵, 20A⁷, 20I⁷</t>
        </is>
      </c>
      <c r="M3874" t="inlineStr"/>
      <c r="N3874" t="inlineStr">
        <is>
          <t>10E², 20F¹, 20G⁵, 10D⁰, 20E³, 20A⁷, 5C⁰, 20B⁴, 2B⁰, 20I⁷, 4B⁰, 1A⁰, 10F¹</t>
        </is>
      </c>
      <c r="O3874" t="inlineStr"/>
    </row>
    <row r="3875">
      <c r="A3875">
        <f>HYPERLINK("https://mathstats.uncg.edu/sites/pauli/congruence/csg15.html#group20I15", "20I¹⁵")</f>
        <v/>
      </c>
      <c r="B3875" t="n">
        <v>15</v>
      </c>
      <c r="C3875" t="inlineStr"/>
      <c r="D3875" t="inlineStr">
        <is>
          <t>360</t>
        </is>
      </c>
      <c r="E3875" t="inlineStr">
        <is>
          <t>1</t>
        </is>
      </c>
      <c r="F3875" t="inlineStr">
        <is>
          <t>90</t>
        </is>
      </c>
      <c r="G3875" t="inlineStr">
        <is>
          <t>4</t>
        </is>
      </c>
      <c r="H3875" t="inlineStr">
        <is>
          <t>0</t>
        </is>
      </c>
      <c r="I3875" t="inlineStr">
        <is>
          <t>10²⁴, 20⁶</t>
        </is>
      </c>
      <c r="J3875" t="n">
        <v>30</v>
      </c>
      <c r="K3875" t="inlineStr">
        <is>
          <t>2³, 4³, 8⁹</t>
        </is>
      </c>
      <c r="L3875" t="inlineStr">
        <is>
          <t>20J¹, 20G⁵, 10A⁶</t>
        </is>
      </c>
      <c r="M3875" t="inlineStr"/>
      <c r="N3875" t="inlineStr">
        <is>
          <t>5A⁰, 10G⁰, 10D⁰, 5B⁰, 2B⁰, 1A⁰, 20J¹, 10J¹, 10I¹, 10F², 20G⁵, 10C², 10C⁰, 5G⁰, 10A⁶, 10B¹, 10E¹, 10F¹, 10B⁰, 10C³, 10E², 5E⁰, 5C⁰</t>
        </is>
      </c>
      <c r="O3875" t="inlineStr"/>
    </row>
    <row r="3876">
      <c r="A3876">
        <f>HYPERLINK("https://mathstats.uncg.edu/sites/pauli/congruence/csg15.html#group21A15", "21A¹⁵")</f>
        <v/>
      </c>
      <c r="B3876" t="n">
        <v>15</v>
      </c>
      <c r="C3876" t="inlineStr"/>
      <c r="D3876" t="inlineStr">
        <is>
          <t>252</t>
        </is>
      </c>
      <c r="E3876" t="inlineStr">
        <is>
          <t>1</t>
        </is>
      </c>
      <c r="F3876" t="inlineStr">
        <is>
          <t>63</t>
        </is>
      </c>
      <c r="G3876" t="inlineStr">
        <is>
          <t>4</t>
        </is>
      </c>
      <c r="H3876" t="inlineStr">
        <is>
          <t>0</t>
        </is>
      </c>
      <c r="I3876" t="inlineStr">
        <is>
          <t>21¹²</t>
        </is>
      </c>
      <c r="J3876" t="n">
        <v>12</v>
      </c>
      <c r="K3876" t="inlineStr">
        <is>
          <t>3¹, 6⁴, 12³</t>
        </is>
      </c>
      <c r="L3876" t="inlineStr">
        <is>
          <t>21D⁵, 21A⁷</t>
        </is>
      </c>
      <c r="M3876" t="inlineStr"/>
      <c r="N3876" t="inlineStr">
        <is>
          <t>21D⁵, 7D⁰, 21E¹, 21D¹, 7A¹, 21A⁰, 21A⁷, 3A⁰, 1A⁰, 7A⁰</t>
        </is>
      </c>
      <c r="O3876" t="inlineStr"/>
    </row>
    <row r="3877">
      <c r="A3877">
        <f>HYPERLINK("https://mathstats.uncg.edu/sites/pauli/congruence/csg15.html#group21B15", "21B¹⁵")</f>
        <v/>
      </c>
      <c r="B3877" t="n">
        <v>15</v>
      </c>
      <c r="C3877" t="inlineStr"/>
      <c r="D3877" t="inlineStr">
        <is>
          <t>252</t>
        </is>
      </c>
      <c r="E3877" t="inlineStr">
        <is>
          <t>1</t>
        </is>
      </c>
      <c r="F3877" t="inlineStr">
        <is>
          <t>63</t>
        </is>
      </c>
      <c r="G3877" t="inlineStr">
        <is>
          <t>4</t>
        </is>
      </c>
      <c r="H3877" t="inlineStr">
        <is>
          <t>0</t>
        </is>
      </c>
      <c r="I3877" t="inlineStr">
        <is>
          <t>21¹²</t>
        </is>
      </c>
      <c r="J3877" t="n">
        <v>12</v>
      </c>
      <c r="K3877" t="inlineStr">
        <is>
          <t>3¹, 6⁴, 12³</t>
        </is>
      </c>
      <c r="L3877" t="inlineStr">
        <is>
          <t>21D⁴, 21C⁶, 21A⁷</t>
        </is>
      </c>
      <c r="M3877" t="inlineStr"/>
      <c r="N3877" t="inlineStr">
        <is>
          <t>21D⁴, 21D², 21C⁶, 7D⁰, 21E¹, 7A¹, 21A⁰, 21A⁷, 3C⁰, 3A⁰, 1A⁰, 7A⁰</t>
        </is>
      </c>
      <c r="O3877" t="inlineStr"/>
    </row>
    <row r="3878">
      <c r="A3878">
        <f>HYPERLINK("https://mathstats.uncg.edu/sites/pauli/congruence/csg15.html#group23A15", "23A¹⁵")</f>
        <v/>
      </c>
      <c r="B3878" t="n">
        <v>15</v>
      </c>
      <c r="C3878" t="inlineStr"/>
      <c r="D3878" t="inlineStr">
        <is>
          <t>276</t>
        </is>
      </c>
      <c r="E3878" t="inlineStr">
        <is>
          <t>1</t>
        </is>
      </c>
      <c r="F3878" t="inlineStr">
        <is>
          <t>276</t>
        </is>
      </c>
      <c r="G3878" t="inlineStr">
        <is>
          <t>12</t>
        </is>
      </c>
      <c r="H3878" t="inlineStr">
        <is>
          <t>0</t>
        </is>
      </c>
      <c r="I3878" t="inlineStr">
        <is>
          <t>23¹²</t>
        </is>
      </c>
      <c r="J3878" t="n">
        <v>12</v>
      </c>
      <c r="K3878" t="inlineStr">
        <is>
          <t>1¹, 11¹, 22¹²</t>
        </is>
      </c>
      <c r="L3878" t="inlineStr">
        <is>
          <t>1A⁰</t>
        </is>
      </c>
      <c r="M3878" t="inlineStr"/>
      <c r="N3878" t="inlineStr">
        <is>
          <t>1A⁰</t>
        </is>
      </c>
      <c r="O3878" t="inlineStr"/>
    </row>
    <row r="3879">
      <c r="A3879">
        <f>HYPERLINK("https://mathstats.uncg.edu/sites/pauli/congruence/csg15.html#group24A15", "24A¹⁵")</f>
        <v/>
      </c>
      <c r="B3879" t="n">
        <v>15</v>
      </c>
      <c r="C3879" t="inlineStr"/>
      <c r="D3879" t="inlineStr">
        <is>
          <t>288</t>
        </is>
      </c>
      <c r="E3879" t="inlineStr">
        <is>
          <t>1</t>
        </is>
      </c>
      <c r="F3879" t="inlineStr">
        <is>
          <t>9</t>
        </is>
      </c>
      <c r="G3879" t="inlineStr">
        <is>
          <t>0</t>
        </is>
      </c>
      <c r="H3879" t="inlineStr">
        <is>
          <t>0</t>
        </is>
      </c>
      <c r="I3879" t="inlineStr">
        <is>
          <t>12¹⁶, 24⁴</t>
        </is>
      </c>
      <c r="J3879" t="n">
        <v>20</v>
      </c>
      <c r="K3879" t="inlineStr">
        <is>
          <t>1³, 2³</t>
        </is>
      </c>
      <c r="L3879" t="inlineStr">
        <is>
          <t>24E⁶, 12B⁷, 24V⁷, 24X⁷, 24C⁸, 24I⁸</t>
        </is>
      </c>
      <c r="M3879" t="inlineStr"/>
      <c r="N3879" t="inlineStr">
        <is>
          <t>12I², 2A⁰, 12C⁰, 12K¹, 12D², 4C⁰, 6C¹, 24X⁷, 12B², 12E², 4G⁰, 12M¹, 2B⁰, 4E⁰, 6G⁰, 4B⁰, 12G³, 1A⁰, 24I⁸, 12A⁴, 6B¹, 24N⁴, 4D⁰, 12B⁷, 12A², 3C⁰, 24R³, 6A¹, 12B¹, 6H⁰, 3A⁰, 6E¹, 12G¹, 6B⁰, 24E⁶, 24V⁷, 12E¹, 12F⁰, 12C³, 12L¹, 12J³, 12A⁰, 6A⁰, 24C⁸, 12C¹, 4A⁰, 12J¹, 12D⁰, 4F⁰, 12C⁴, 12H⁰, 2C⁰, 6D⁰</t>
        </is>
      </c>
      <c r="O3879" t="inlineStr"/>
    </row>
    <row r="3880">
      <c r="A3880">
        <f>HYPERLINK("https://mathstats.uncg.edu/sites/pauli/congruence/csg15.html#group24B15", "24B¹⁵")</f>
        <v/>
      </c>
      <c r="B3880" t="n">
        <v>15</v>
      </c>
      <c r="C3880" t="inlineStr"/>
      <c r="D3880" t="inlineStr">
        <is>
          <t>288</t>
        </is>
      </c>
      <c r="E3880" t="inlineStr">
        <is>
          <t>1</t>
        </is>
      </c>
      <c r="F3880" t="inlineStr">
        <is>
          <t>9</t>
        </is>
      </c>
      <c r="G3880" t="inlineStr">
        <is>
          <t>0</t>
        </is>
      </c>
      <c r="H3880" t="inlineStr">
        <is>
          <t>0</t>
        </is>
      </c>
      <c r="I3880" t="inlineStr">
        <is>
          <t>12¹⁶, 24⁴</t>
        </is>
      </c>
      <c r="J3880" t="n">
        <v>20</v>
      </c>
      <c r="K3880" t="inlineStr">
        <is>
          <t>1³, 2³</t>
        </is>
      </c>
      <c r="L3880" t="inlineStr">
        <is>
          <t>24F⁶, 12B⁷, 24W⁷, 24Y⁷, 24A⁸, 24C⁸, 24J⁸</t>
        </is>
      </c>
      <c r="M3880" t="inlineStr"/>
      <c r="N3880" t="inlineStr">
        <is>
          <t>2A⁰, 12I², 12C⁰, 12K¹, 12D², 6C¹, 4C⁰, 12B², 24F⁶, 12E², 4G⁰, 2B⁰, 4E⁰, 12M¹, 6G⁰, 4B⁰, 12G³, 1A⁰, 8K⁰, 12A⁴, 6B¹, 24N⁴, 4D⁰, 24J⁸, 12B⁷, 12A², 3C⁰, 24R³, 6A¹, 12B¹, 6H⁰, 3A⁰, 12G¹, 6E¹, 8N⁰, 6B⁰, 24A⁸, 2C⁰, 12E¹, 12C³, 12F⁰, 24W⁷, 12L¹, 12J³, 24J³, 12A⁰, 6A⁰, 24C⁸, 12C¹, 4A⁰, 12J¹, 12D⁰, 4F⁰, 12C⁴, 12H⁰, 8J⁰, 24Y⁷, 6D⁰, 24G⁴</t>
        </is>
      </c>
      <c r="O3880" t="inlineStr"/>
    </row>
    <row r="3881">
      <c r="A3881">
        <f>HYPERLINK("https://mathstats.uncg.edu/sites/pauli/congruence/csg15.html#group24C15", "24C¹⁵")</f>
        <v/>
      </c>
      <c r="B3881" t="n">
        <v>15</v>
      </c>
      <c r="C3881" t="inlineStr"/>
      <c r="D3881" t="inlineStr">
        <is>
          <t>288</t>
        </is>
      </c>
      <c r="E3881" t="inlineStr">
        <is>
          <t>1</t>
        </is>
      </c>
      <c r="F3881" t="inlineStr">
        <is>
          <t>12</t>
        </is>
      </c>
      <c r="G3881" t="inlineStr">
        <is>
          <t>0</t>
        </is>
      </c>
      <c r="H3881" t="inlineStr">
        <is>
          <t>0</t>
        </is>
      </c>
      <c r="I3881" t="inlineStr">
        <is>
          <t>12¹⁶, 24⁴</t>
        </is>
      </c>
      <c r="J3881" t="n">
        <v>20</v>
      </c>
      <c r="K3881" t="inlineStr">
        <is>
          <t>2², 4²</t>
        </is>
      </c>
      <c r="L3881" t="inlineStr">
        <is>
          <t>24R⁴, 12C⁷, 24X⁷, 24Y⁷</t>
        </is>
      </c>
      <c r="M3881" t="inlineStr"/>
      <c r="N3881" t="inlineStr">
        <is>
          <t>12C⁰, 4C⁰, 12C², 24X⁷, 6G⁰, 12M¹, 2B⁰, 1A⁰, 8K⁰, 12A¹, 3C⁰, 6K⁰, 24R³, 3A⁰, 6F⁰, 12G¹, 3B⁰, 12B³, 12F¹, 12L¹, 12J³, 24J³, 12A⁰, 12C¹, 12D³, 12I³, 4A⁰, 24R⁴, 12C⁷, 12J¹, 4F⁰, 12G², 3D⁰, 24Y⁷, 6D⁰</t>
        </is>
      </c>
      <c r="O3881" t="inlineStr"/>
    </row>
    <row r="3882">
      <c r="A3882">
        <f>HYPERLINK("https://mathstats.uncg.edu/sites/pauli/congruence/csg15.html#group24D15", "24D¹⁵")</f>
        <v/>
      </c>
      <c r="B3882" t="n">
        <v>15</v>
      </c>
      <c r="C3882" t="inlineStr"/>
      <c r="D3882" t="inlineStr">
        <is>
          <t>288</t>
        </is>
      </c>
      <c r="E3882" t="inlineStr">
        <is>
          <t>1</t>
        </is>
      </c>
      <c r="F3882" t="inlineStr">
        <is>
          <t>18</t>
        </is>
      </c>
      <c r="G3882" t="inlineStr">
        <is>
          <t>0</t>
        </is>
      </c>
      <c r="H3882" t="inlineStr">
        <is>
          <t>0</t>
        </is>
      </c>
      <c r="I3882" t="inlineStr">
        <is>
          <t>6⁸, 12⁴, 24⁸</t>
        </is>
      </c>
      <c r="J3882" t="n">
        <v>20</v>
      </c>
      <c r="K3882" t="inlineStr">
        <is>
          <t>1⁴, 2⁵, 4¹</t>
        </is>
      </c>
      <c r="L3882" t="inlineStr">
        <is>
          <t>24J⁷, 24T⁷, 24V⁷, 24D⁸, 24E⁸, 24G⁸</t>
        </is>
      </c>
      <c r="M3882" t="inlineStr"/>
      <c r="N3882" t="inlineStr">
        <is>
          <t>2A⁰, 24E¹, 24O², 12C⁰, 12K¹, 24T⁷, 12D², 6C¹, 4C⁰, 12B², 6G⁰, 12E², 24J⁷, 2B⁰, 4E⁰, 8C⁰, 4B⁰, 12G³, 1A⁰, 24O³, 24B², 6B¹, 8G⁰, 24N⁴, 24M⁴, 24D², 24E⁸, 3C⁰, 12B¹, 6A¹, 6H⁰, 3A⁰, 6E¹, 6B⁰, 24D⁸, 8D⁰, 24V⁷, 24J⁴, 12L¹, 24D⁴, 24G⁸, 6A⁰, 12C¹, 24C¹, 24E⁴, 12D⁰, 12H⁰, 24L³, 2C⁰, 6D⁰</t>
        </is>
      </c>
      <c r="O3882" t="inlineStr"/>
    </row>
    <row r="3883">
      <c r="A3883">
        <f>HYPERLINK("https://mathstats.uncg.edu/sites/pauli/congruence/csg15.html#group24E15", "24E¹⁵")</f>
        <v/>
      </c>
      <c r="B3883" t="n">
        <v>15</v>
      </c>
      <c r="C3883" t="inlineStr"/>
      <c r="D3883" t="inlineStr">
        <is>
          <t>288</t>
        </is>
      </c>
      <c r="E3883" t="inlineStr">
        <is>
          <t>1</t>
        </is>
      </c>
      <c r="F3883" t="inlineStr">
        <is>
          <t>18</t>
        </is>
      </c>
      <c r="G3883" t="inlineStr">
        <is>
          <t>0</t>
        </is>
      </c>
      <c r="H3883" t="inlineStr">
        <is>
          <t>0</t>
        </is>
      </c>
      <c r="I3883" t="inlineStr">
        <is>
          <t>6⁸, 12⁴, 24⁸</t>
        </is>
      </c>
      <c r="J3883" t="n">
        <v>20</v>
      </c>
      <c r="K3883" t="inlineStr">
        <is>
          <t>1⁴, 2⁵, 4¹</t>
        </is>
      </c>
      <c r="L3883" t="inlineStr">
        <is>
          <t>24J⁷, 24U⁷, 24W⁷, 24B⁸, 24D⁸, 24F⁸, 24H⁸</t>
        </is>
      </c>
      <c r="M3883" t="inlineStr"/>
      <c r="N3883" t="inlineStr">
        <is>
          <t>2A⁰, 24E¹, 24O², 12K¹, 12C⁰, 12D², 6C¹, 4C⁰, 12B², 6G⁰, 12E², 24J⁷, 2B⁰, 8C⁰, 4E⁰, 4B⁰, 12G³, 1A⁰, 24O³, 24B², 6B¹, 8G⁰, 24N⁴, 24H⁸, 24M⁴, 24D², 3C⁰, 12B¹, 6A¹, 6H⁰, 3A⁰, 6E¹, 24U⁷, 24F⁴, 6B⁰, 24D⁸, 8D⁰, 24B⁸, 24J⁴, 8I⁰, 24W⁷, 12L¹, 24D⁴, 6A⁰, 12C¹, 24F⁸, 24C¹, 24E⁴, 12D⁰, 12H⁰, 24L³, 8J⁰, 2C⁰, 6D⁰, 24G⁴, 8O⁰</t>
        </is>
      </c>
      <c r="O3883" t="inlineStr"/>
    </row>
    <row r="3884">
      <c r="A3884">
        <f>HYPERLINK("https://mathstats.uncg.edu/sites/pauli/congruence/csg15.html#group24F15", "24F¹⁵")</f>
        <v/>
      </c>
      <c r="B3884" t="n">
        <v>15</v>
      </c>
      <c r="C3884" t="inlineStr"/>
      <c r="D3884" t="inlineStr">
        <is>
          <t>288</t>
        </is>
      </c>
      <c r="E3884" t="inlineStr">
        <is>
          <t>1</t>
        </is>
      </c>
      <c r="F3884" t="inlineStr">
        <is>
          <t>18</t>
        </is>
      </c>
      <c r="G3884" t="inlineStr">
        <is>
          <t>0</t>
        </is>
      </c>
      <c r="H3884" t="inlineStr">
        <is>
          <t>0</t>
        </is>
      </c>
      <c r="I3884" t="inlineStr">
        <is>
          <t>12¹⁶, 24⁴</t>
        </is>
      </c>
      <c r="J3884" t="n">
        <v>20</v>
      </c>
      <c r="K3884" t="inlineStr">
        <is>
          <t>2⁵, 4²</t>
        </is>
      </c>
      <c r="L3884" t="inlineStr">
        <is>
          <t>24J⁶, 12D⁷</t>
        </is>
      </c>
      <c r="M3884" t="inlineStr"/>
      <c r="N3884" t="inlineStr">
        <is>
          <t>2A⁰, 12C⁰, 12K¹, 12D², 12F³, 4C⁰, 6C¹, 6G⁰, 12E², 12B⁴, 12M¹, 2B⁰, 12B², 12N¹, 4E⁰, 12G³, 1A⁰, 4B⁰, 12H², 6B¹, 3C⁰, 6A¹, 12B¹, 6H⁰, 3A⁰, 6E¹, 6B⁰, 12H¹, 24J⁶, 12L¹, 12G⁰, 12D⁷, 12C¹, 6A⁰, 12I³, 12D⁰, 12C⁴, 12H⁰, 12C², 2C⁰, 6D⁰</t>
        </is>
      </c>
      <c r="O3884" t="inlineStr"/>
    </row>
    <row r="3885">
      <c r="A3885">
        <f>HYPERLINK("https://mathstats.uncg.edu/sites/pauli/congruence/csg15.html#group24G15", "24G¹⁵")</f>
        <v/>
      </c>
      <c r="B3885" t="n">
        <v>15</v>
      </c>
      <c r="C3885" t="inlineStr"/>
      <c r="D3885" t="inlineStr">
        <is>
          <t>288</t>
        </is>
      </c>
      <c r="E3885" t="inlineStr">
        <is>
          <t>1</t>
        </is>
      </c>
      <c r="F3885" t="inlineStr">
        <is>
          <t>36</t>
        </is>
      </c>
      <c r="G3885" t="inlineStr">
        <is>
          <t>0</t>
        </is>
      </c>
      <c r="H3885" t="inlineStr">
        <is>
          <t>0</t>
        </is>
      </c>
      <c r="I3885" t="inlineStr">
        <is>
          <t>6⁸, 12⁴, 24⁸</t>
        </is>
      </c>
      <c r="J3885" t="n">
        <v>20</v>
      </c>
      <c r="K3885" t="inlineStr">
        <is>
          <t>2⁸, 4³, 8¹</t>
        </is>
      </c>
      <c r="L3885" t="inlineStr">
        <is>
          <t>24N⁷</t>
        </is>
      </c>
      <c r="M3885" t="inlineStr"/>
      <c r="N3885" t="inlineStr">
        <is>
          <t>24I⁴, 6B⁰, 12K¹, 12D², 24N⁷, 24J⁴, 6G⁰, 2B⁰, 8C⁰, 12N¹, 4B⁰, 1A⁰, 24B², 12C¹, 6E⁰, 6L⁰, 24D², 12E³, 3C⁰, 12B¹, 24K³, 12D⁰, 6H⁰, 3A⁰, 24L³, 12C², 6D⁰</t>
        </is>
      </c>
      <c r="O3885" t="inlineStr"/>
    </row>
    <row r="3886">
      <c r="A3886">
        <f>HYPERLINK("https://mathstats.uncg.edu/sites/pauli/congruence/csg15.html#group24H15", "24H¹⁵")</f>
        <v/>
      </c>
      <c r="B3886" t="n">
        <v>15</v>
      </c>
      <c r="C3886" t="inlineStr"/>
      <c r="D3886" t="inlineStr">
        <is>
          <t>288</t>
        </is>
      </c>
      <c r="E3886" t="inlineStr">
        <is>
          <t>1</t>
        </is>
      </c>
      <c r="F3886" t="inlineStr">
        <is>
          <t>36</t>
        </is>
      </c>
      <c r="G3886" t="inlineStr">
        <is>
          <t>0</t>
        </is>
      </c>
      <c r="H3886" t="inlineStr">
        <is>
          <t>0</t>
        </is>
      </c>
      <c r="I3886" t="inlineStr">
        <is>
          <t>6⁸, 12⁴, 24⁸</t>
        </is>
      </c>
      <c r="J3886" t="n">
        <v>20</v>
      </c>
      <c r="K3886" t="inlineStr">
        <is>
          <t>1⁴, 2⁶, 4³, 8¹</t>
        </is>
      </c>
      <c r="L3886" t="inlineStr">
        <is>
          <t>24N⁷, 24T⁷, 24U⁷, 24E⁸, 24F⁸</t>
        </is>
      </c>
      <c r="M3886" t="inlineStr"/>
      <c r="N3886" t="inlineStr">
        <is>
          <t>24I⁴, 12K¹, 24T⁷, 12D², 6G⁰, 2B⁰, 8C⁰, 12N¹, 4B⁰, 1A⁰, 24B², 24M⁴, 24D², 24E⁸, 3C⁰, 12B¹, 24K³, 6H⁰, 3A⁰, 24U⁷, 24F⁴, 6B⁰, 24N⁷, 24J⁴, 8I⁰, 12C¹, 6E⁰, 6L⁰, 24F⁸, 12E³, 12D⁰, 24L³, 12C², 6D⁰</t>
        </is>
      </c>
      <c r="O3886" t="inlineStr"/>
    </row>
    <row r="3887">
      <c r="A3887">
        <f>HYPERLINK("https://mathstats.uncg.edu/sites/pauli/congruence/csg15.html#group24I15", "24I¹⁵")</f>
        <v/>
      </c>
      <c r="B3887" t="n">
        <v>15</v>
      </c>
      <c r="C3887" t="inlineStr"/>
      <c r="D3887" t="inlineStr">
        <is>
          <t>288</t>
        </is>
      </c>
      <c r="E3887" t="inlineStr">
        <is>
          <t>1</t>
        </is>
      </c>
      <c r="F3887" t="inlineStr">
        <is>
          <t>36</t>
        </is>
      </c>
      <c r="G3887" t="inlineStr">
        <is>
          <t>0</t>
        </is>
      </c>
      <c r="H3887" t="inlineStr">
        <is>
          <t>0</t>
        </is>
      </c>
      <c r="I3887" t="inlineStr">
        <is>
          <t>6⁸, 12⁴, 24⁸</t>
        </is>
      </c>
      <c r="J3887" t="n">
        <v>20</v>
      </c>
      <c r="K3887" t="inlineStr">
        <is>
          <t>1⁸, 2¹⁰, 4²</t>
        </is>
      </c>
      <c r="L3887" t="inlineStr">
        <is>
          <t>24I⁷, 24V⁷, 24W⁷, 24G⁸, 24H⁸</t>
        </is>
      </c>
      <c r="M3887" t="inlineStr"/>
      <c r="N3887" t="inlineStr">
        <is>
          <t>24I⁴, 2A⁰, 24E¹, 12C⁰, 12K¹, 12D², 6C¹, 4C⁰, 12B², 12E², 6G⁰, 2B⁰, 4E⁰, 4B⁰, 12G³, 1A⁰, 6B¹, 24N⁴, 24H⁸, 24N³, 24D², 24I⁷, 3C⁰, 12B¹, 6A¹, 24K³, 6H⁰, 3A⁰, 6E¹, 6B⁰, 24N², 24V⁷, 24W⁷, 12L¹, 24G⁸, 6A⁰, 12C¹, 24E⁴, 12D⁰, 12H⁰, 8J⁰, 2C⁰, 6D⁰, 24G⁴</t>
        </is>
      </c>
      <c r="O3887" t="inlineStr"/>
    </row>
    <row r="3888">
      <c r="A3888">
        <f>HYPERLINK("https://mathstats.uncg.edu/sites/pauli/congruence/csg15.html#group24J15", "24J¹⁵")</f>
        <v/>
      </c>
      <c r="B3888" t="n">
        <v>15</v>
      </c>
      <c r="C3888" t="inlineStr"/>
      <c r="D3888" t="inlineStr">
        <is>
          <t>288</t>
        </is>
      </c>
      <c r="E3888" t="inlineStr">
        <is>
          <t>1</t>
        </is>
      </c>
      <c r="F3888" t="inlineStr">
        <is>
          <t>36</t>
        </is>
      </c>
      <c r="G3888" t="inlineStr">
        <is>
          <t>0</t>
        </is>
      </c>
      <c r="H3888" t="inlineStr">
        <is>
          <t>0</t>
        </is>
      </c>
      <c r="I3888" t="inlineStr">
        <is>
          <t>12¹⁶, 24⁴</t>
        </is>
      </c>
      <c r="J3888" t="n">
        <v>20</v>
      </c>
      <c r="K3888" t="inlineStr">
        <is>
          <t>1⁸, 2¹⁰, 4²</t>
        </is>
      </c>
      <c r="L3888" t="inlineStr">
        <is>
          <t>12D⁷, 24V⁷, 24W⁷, 24I⁸, 24J⁸</t>
        </is>
      </c>
      <c r="M3888" t="inlineStr"/>
      <c r="N3888" t="inlineStr">
        <is>
          <t>2A⁰, 12C⁰, 12K¹, 12D², 12F³, 4C⁰, 6C¹, 6G⁰, 12E², 12B⁴, 12M¹, 2B⁰, 12B², 12N¹, 4E⁰, 12G³, 1A⁰, 24I⁸, 4B⁰, 12H², 6B¹, 24N⁴, 24J⁸, 3C⁰, 6A¹, 12B¹, 6H⁰, 3A⁰, 8J⁰, 6E¹, 6B⁰, 12H¹, 24V⁷, 24W⁷, 12L¹, 12G⁰, 12D⁷, 12C¹, 6A⁰, 12I³, 12D⁰, 12C⁴, 12H⁰, 12C², 2C⁰, 6D⁰, 24G⁴</t>
        </is>
      </c>
      <c r="O3888" t="inlineStr"/>
    </row>
    <row r="3889">
      <c r="A3889">
        <f>HYPERLINK("https://mathstats.uncg.edu/sites/pauli/congruence/csg15.html#group24K15", "24K¹⁵")</f>
        <v/>
      </c>
      <c r="B3889" t="n">
        <v>15</v>
      </c>
      <c r="C3889" t="inlineStr"/>
      <c r="D3889" t="inlineStr">
        <is>
          <t>288</t>
        </is>
      </c>
      <c r="E3889" t="inlineStr">
        <is>
          <t>1</t>
        </is>
      </c>
      <c r="F3889" t="inlineStr">
        <is>
          <t>36</t>
        </is>
      </c>
      <c r="G3889" t="inlineStr">
        <is>
          <t>8</t>
        </is>
      </c>
      <c r="H3889" t="inlineStr">
        <is>
          <t>0</t>
        </is>
      </c>
      <c r="I3889" t="inlineStr">
        <is>
          <t>12⁸, 24⁸</t>
        </is>
      </c>
      <c r="J3889" t="n">
        <v>16</v>
      </c>
      <c r="K3889" t="inlineStr">
        <is>
          <t>2², 4⁸</t>
        </is>
      </c>
      <c r="L3889" t="inlineStr">
        <is>
          <t>12C⁵, 24U⁵, 24S⁷</t>
        </is>
      </c>
      <c r="M3889" t="inlineStr"/>
      <c r="N3889" t="inlineStr">
        <is>
          <t>12T¹, 24Q⁴, 24O², 24E¹, 12D¹, 12C⁰, 4C⁰, 6G⁰, 2B⁰, 12N¹, 1A⁰, 24O³, 12C⁵, 24N³, 24U⁵, 3C⁰, 6H⁰, 3A⁰, 12H³, 24S⁷, 12U¹, 6B⁰, 24N², 8D⁰, 12L¹, 12G⁰, 12C¹, 6E⁰, 6L⁰, 24C¹, 12D⁰, 12H⁰, 6D⁰</t>
        </is>
      </c>
      <c r="O3889" t="inlineStr"/>
    </row>
    <row r="3890">
      <c r="A3890">
        <f>HYPERLINK("https://mathstats.uncg.edu/sites/pauli/congruence/csg15.html#group24L15", "24L¹⁵")</f>
        <v/>
      </c>
      <c r="B3890" t="n">
        <v>15</v>
      </c>
      <c r="C3890" t="inlineStr"/>
      <c r="D3890" t="inlineStr">
        <is>
          <t>288</t>
        </is>
      </c>
      <c r="E3890" t="inlineStr">
        <is>
          <t>1</t>
        </is>
      </c>
      <c r="F3890" t="inlineStr">
        <is>
          <t>36</t>
        </is>
      </c>
      <c r="G3890" t="inlineStr">
        <is>
          <t>8</t>
        </is>
      </c>
      <c r="H3890" t="inlineStr">
        <is>
          <t>0</t>
        </is>
      </c>
      <c r="I3890" t="inlineStr">
        <is>
          <t>12⁸, 24⁸</t>
        </is>
      </c>
      <c r="J3890" t="n">
        <v>16</v>
      </c>
      <c r="K3890" t="inlineStr">
        <is>
          <t>2², 4⁸</t>
        </is>
      </c>
      <c r="L3890" t="inlineStr">
        <is>
          <t>12D⁵, 24T⁵, 24S⁷</t>
        </is>
      </c>
      <c r="M3890" t="inlineStr"/>
      <c r="N3890" t="inlineStr">
        <is>
          <t>12T¹, 12I², 24Q⁴, 12C⁰, 4C⁰, 6G⁰, 24M³, 2B⁰, 12M¹, 12N¹, 1A⁰, 12H², 12Q¹, 3C⁰, 6H⁰, 3A⁰, 24S⁷, 12G¹, 6B⁰, 24I¹, 12F⁰, 12D⁵, 12L¹, 12J³, 12G⁰, 12A⁰, 12C¹, 12I³, 6E⁰, 24T⁵, 6L⁰, 4A⁰, 12J¹, 12D⁰, 4F⁰, 12H⁰, 6D⁰</t>
        </is>
      </c>
      <c r="O3890" t="inlineStr"/>
    </row>
    <row r="3891">
      <c r="A3891">
        <f>HYPERLINK("https://mathstats.uncg.edu/sites/pauli/congruence/csg15.html#group24M15", "24M¹⁵")</f>
        <v/>
      </c>
      <c r="B3891" t="n">
        <v>15</v>
      </c>
      <c r="C3891" t="inlineStr"/>
      <c r="D3891" t="inlineStr">
        <is>
          <t>288</t>
        </is>
      </c>
      <c r="E3891" t="inlineStr">
        <is>
          <t>1</t>
        </is>
      </c>
      <c r="F3891" t="inlineStr">
        <is>
          <t>36</t>
        </is>
      </c>
      <c r="G3891" t="inlineStr">
        <is>
          <t>8</t>
        </is>
      </c>
      <c r="H3891" t="inlineStr">
        <is>
          <t>0</t>
        </is>
      </c>
      <c r="I3891" t="inlineStr">
        <is>
          <t>12⁸, 24⁸</t>
        </is>
      </c>
      <c r="J3891" t="n">
        <v>16</v>
      </c>
      <c r="K3891" t="inlineStr">
        <is>
          <t>2⁶, 4⁶</t>
        </is>
      </c>
      <c r="L3891" t="inlineStr">
        <is>
          <t>24D⁶, 24G⁶, 24K⁶, 24R⁷, 24AA⁷</t>
        </is>
      </c>
      <c r="M3891" t="inlineStr"/>
      <c r="N3891" t="inlineStr">
        <is>
          <t>24E¹, 24D⁶, 12C⁰, 24AA⁷, 4C⁰, 24I³, 6G⁰, 24Q², 8L⁰, 2B⁰, 24P², 12M¹, 24C², 1A⁰, 24O³, 24R⁷, 24A⁰, 3C⁰, 24K⁶, 3A⁰, 8P⁰, 12G¹, 8D⁰, 8B⁰, 24L², 12L¹, 12J³, 8H⁰, 24G⁶, 12A⁰, 12C¹, 4A⁰, 24M², 24K⁴, 24C¹, 12J¹, 4F⁰, 24L⁴, 6D⁰</t>
        </is>
      </c>
      <c r="O3891" t="inlineStr"/>
    </row>
    <row r="3892">
      <c r="A3892">
        <f>HYPERLINK("https://mathstats.uncg.edu/sites/pauli/congruence/csg15.html#group24N15", "24N¹⁵")</f>
        <v/>
      </c>
      <c r="B3892" t="n">
        <v>15</v>
      </c>
      <c r="C3892" t="inlineStr"/>
      <c r="D3892" t="inlineStr">
        <is>
          <t>288</t>
        </is>
      </c>
      <c r="E3892" t="inlineStr">
        <is>
          <t>1</t>
        </is>
      </c>
      <c r="F3892" t="inlineStr">
        <is>
          <t>36</t>
        </is>
      </c>
      <c r="G3892" t="inlineStr">
        <is>
          <t>8</t>
        </is>
      </c>
      <c r="H3892" t="inlineStr">
        <is>
          <t>0</t>
        </is>
      </c>
      <c r="I3892" t="inlineStr">
        <is>
          <t>12⁸, 24⁸</t>
        </is>
      </c>
      <c r="J3892" t="n">
        <v>16</v>
      </c>
      <c r="K3892" t="inlineStr">
        <is>
          <t>2⁶, 4⁶</t>
        </is>
      </c>
      <c r="L3892" t="inlineStr">
        <is>
          <t>24G⁶, 24H⁶, 24I⁶, 24R⁷, 24Z⁷</t>
        </is>
      </c>
      <c r="M3892" t="inlineStr"/>
      <c r="N3892" t="inlineStr">
        <is>
          <t>24E¹, 12C⁰, 4C⁰, 24I³, 6G⁰, 24Q², 24P², 2B⁰, 12M¹, 24C², 1A⁰, 24O³, 24R⁷, 24A⁰, 24H⁶, 3C⁰, 3A⁰, 12G¹, 24I⁶, 8D⁰, 24Z⁷, 8B⁰, 24L², 12L¹, 12J³, 8H⁰, 24G⁶, 12A⁰, 12C¹, 4A⁰, 24K⁴, 24C¹, 12J¹, 4F⁰, 24L⁴, 6D⁰</t>
        </is>
      </c>
      <c r="O3892" t="inlineStr"/>
    </row>
    <row r="3893">
      <c r="A3893">
        <f>HYPERLINK("https://mathstats.uncg.edu/sites/pauli/congruence/csg15.html#group24O15", "24O¹⁵")</f>
        <v/>
      </c>
      <c r="B3893" t="n">
        <v>15</v>
      </c>
      <c r="C3893" t="inlineStr"/>
      <c r="D3893" t="inlineStr">
        <is>
          <t>288</t>
        </is>
      </c>
      <c r="E3893" t="inlineStr">
        <is>
          <t>1</t>
        </is>
      </c>
      <c r="F3893" t="inlineStr">
        <is>
          <t>36</t>
        </is>
      </c>
      <c r="G3893" t="inlineStr">
        <is>
          <t>16</t>
        </is>
      </c>
      <c r="H3893" t="inlineStr">
        <is>
          <t>0</t>
        </is>
      </c>
      <c r="I3893" t="inlineStr">
        <is>
          <t>24¹²</t>
        </is>
      </c>
      <c r="J3893" t="n">
        <v>12</v>
      </c>
      <c r="K3893" t="inlineStr">
        <is>
          <t>2², 4⁴, 8²</t>
        </is>
      </c>
      <c r="L3893" t="inlineStr">
        <is>
          <t>24W⁵, 24E⁶, 24AB⁷, 24M⁸, 24P⁸</t>
        </is>
      </c>
      <c r="M3893" t="inlineStr"/>
      <c r="N3893" t="inlineStr">
        <is>
          <t>24O⁴, 12I², 24E¹, 24O², 24Q³, 12C⁰, 4C⁰, 24P², 12M¹, 2B⁰, 24P³, 24M⁸, 24W⁵, 1A⁰, 24A⁰, 24AB⁷, 24R³, 6H⁰, 3A⁰, 24H¹, 24G², 24H², 6B⁰, 24E⁶, 8D⁰, 24D¹, 12F⁰, 8B⁰, 24B¹, 24P⁸, 24L², 8H⁰, 12A⁰, 4A⁰, 24C¹, 12J¹, 12D⁰, 4F⁰, 12H⁰, 6D⁰</t>
        </is>
      </c>
      <c r="O3893" t="inlineStr"/>
    </row>
    <row r="3894">
      <c r="A3894">
        <f>HYPERLINK("https://mathstats.uncg.edu/sites/pauli/congruence/csg15.html#group24P15", "24P¹⁵")</f>
        <v/>
      </c>
      <c r="B3894" t="n">
        <v>15</v>
      </c>
      <c r="C3894" t="inlineStr"/>
      <c r="D3894" t="inlineStr">
        <is>
          <t>288</t>
        </is>
      </c>
      <c r="E3894" t="inlineStr">
        <is>
          <t>1</t>
        </is>
      </c>
      <c r="F3894" t="inlineStr">
        <is>
          <t>36</t>
        </is>
      </c>
      <c r="G3894" t="inlineStr">
        <is>
          <t>16</t>
        </is>
      </c>
      <c r="H3894" t="inlineStr">
        <is>
          <t>0</t>
        </is>
      </c>
      <c r="I3894" t="inlineStr">
        <is>
          <t>24¹²</t>
        </is>
      </c>
      <c r="J3894" t="n">
        <v>12</v>
      </c>
      <c r="K3894" t="inlineStr">
        <is>
          <t>2², 4⁴, 8²</t>
        </is>
      </c>
      <c r="L3894" t="inlineStr">
        <is>
          <t>24W⁵, 24F⁶, 24K⁷, 24AB⁷, 24K⁸, 24L⁸, 24N⁸</t>
        </is>
      </c>
      <c r="M3894" t="inlineStr"/>
      <c r="N3894" t="inlineStr">
        <is>
          <t>24O⁴, 12I², 24E¹, 24O², 24Q³, 12C⁰, 4C⁰, 8A⁰, 24F⁶, 24P², 2B⁰, 24P³, 12M¹, 8K⁰, 24W⁵, 1A⁰, 8H¹, 24A¹, 24A⁰, 24N⁸, 24AB⁷, 24R³, 6H⁰, 3A⁰, 24H¹, 24K⁷, 6B⁰, 8D⁰, 24D¹, 8B⁰, 12F⁰, 24B¹, 24L², 8D¹, 24J³, 8H⁰, 24H⁴, 12A⁰, 24K², 4A⁰, 24K⁸, 24L⁸, 24C¹, 12J¹, 12D⁰, 4F⁰, 12H⁰, 6D⁰</t>
        </is>
      </c>
      <c r="O3894" t="inlineStr"/>
    </row>
    <row r="3895">
      <c r="A3895">
        <f>HYPERLINK("https://mathstats.uncg.edu/sites/pauli/congruence/csg15.html#group24Q15", "24Q¹⁵")</f>
        <v/>
      </c>
      <c r="B3895" t="n">
        <v>15</v>
      </c>
      <c r="C3895" t="inlineStr"/>
      <c r="D3895" t="inlineStr">
        <is>
          <t>288</t>
        </is>
      </c>
      <c r="E3895" t="inlineStr">
        <is>
          <t>1</t>
        </is>
      </c>
      <c r="F3895" t="inlineStr">
        <is>
          <t>36</t>
        </is>
      </c>
      <c r="G3895" t="inlineStr">
        <is>
          <t>16</t>
        </is>
      </c>
      <c r="H3895" t="inlineStr">
        <is>
          <t>0</t>
        </is>
      </c>
      <c r="I3895" t="inlineStr">
        <is>
          <t>24¹²</t>
        </is>
      </c>
      <c r="J3895" t="n">
        <v>12</v>
      </c>
      <c r="K3895" t="inlineStr">
        <is>
          <t>2⁴, 4³, 8²</t>
        </is>
      </c>
      <c r="L3895" t="inlineStr">
        <is>
          <t>24W⁵, 24AC⁷</t>
        </is>
      </c>
      <c r="M3895" t="inlineStr"/>
      <c r="N3895" t="inlineStr">
        <is>
          <t>12I², 24O², 24Q³, 24E¹, 12C⁰, 24AC⁷, 4C⁰, 24P², 12M¹, 24P³, 2B⁰, 1A⁰, 24W⁵, 24A⁰, 6H⁰, 3A⁰, 24H¹, 6B⁰, 8D⁰, 24D¹, 12F⁰, 8B⁰, 24L², 8H⁰, 12A⁰, 4A⁰, 24C¹, 12J¹, 12D⁰, 4F⁰, 12H⁰, 6D⁰</t>
        </is>
      </c>
      <c r="O3895" t="inlineStr"/>
    </row>
    <row r="3896">
      <c r="A3896">
        <f>HYPERLINK("https://mathstats.uncg.edu/sites/pauli/congruence/csg15.html#group24R15", "24R¹⁵")</f>
        <v/>
      </c>
      <c r="B3896" t="n">
        <v>15</v>
      </c>
      <c r="C3896" t="inlineStr"/>
      <c r="D3896" t="inlineStr">
        <is>
          <t>288</t>
        </is>
      </c>
      <c r="E3896" t="inlineStr">
        <is>
          <t>1</t>
        </is>
      </c>
      <c r="F3896" t="inlineStr">
        <is>
          <t>36</t>
        </is>
      </c>
      <c r="G3896" t="inlineStr">
        <is>
          <t>16</t>
        </is>
      </c>
      <c r="H3896" t="inlineStr">
        <is>
          <t>0</t>
        </is>
      </c>
      <c r="I3896" t="inlineStr">
        <is>
          <t>24¹²</t>
        </is>
      </c>
      <c r="J3896" t="n">
        <v>12</v>
      </c>
      <c r="K3896" t="inlineStr">
        <is>
          <t>1², 2³, 4³, 8²</t>
        </is>
      </c>
      <c r="L3896" t="inlineStr">
        <is>
          <t>24AB³, 24W⁵, 24L⁷, 24AC⁷</t>
        </is>
      </c>
      <c r="M3896" t="inlineStr"/>
      <c r="N3896" t="inlineStr">
        <is>
          <t>12I², 24O², 24Q³, 24E¹, 12C⁰, 24AC⁷, 4C⁰, 24P², 2B⁰, 12M¹, 24P³, 1A⁰, 24W⁵, 24A⁰, 24L⁷, 6H⁰, 3A⁰, 24H¹, 6B⁰, 8D⁰, 24D¹, 8B⁰, 12F⁰, 24L², 24F¹, 8H⁰, 12A⁰, 8F⁰, 4A⁰, 8I¹, 24C¹, 12J¹, 12D⁰, 4F⁰, 24AB³, 12H⁰, 6D⁰</t>
        </is>
      </c>
      <c r="O3896" t="inlineStr"/>
    </row>
    <row r="3897">
      <c r="A3897">
        <f>HYPERLINK("https://mathstats.uncg.edu/sites/pauli/congruence/csg15.html#group24S15", "24S¹⁵")</f>
        <v/>
      </c>
      <c r="B3897" t="n">
        <v>15</v>
      </c>
      <c r="C3897" t="inlineStr"/>
      <c r="D3897" t="inlineStr">
        <is>
          <t>288</t>
        </is>
      </c>
      <c r="E3897" t="inlineStr">
        <is>
          <t>1</t>
        </is>
      </c>
      <c r="F3897" t="inlineStr">
        <is>
          <t>72</t>
        </is>
      </c>
      <c r="G3897" t="inlineStr">
        <is>
          <t>16</t>
        </is>
      </c>
      <c r="H3897" t="inlineStr">
        <is>
          <t>0</t>
        </is>
      </c>
      <c r="I3897" t="inlineStr">
        <is>
          <t>24¹²</t>
        </is>
      </c>
      <c r="J3897" t="n">
        <v>12</v>
      </c>
      <c r="K3897" t="inlineStr">
        <is>
          <t>4¹⁰, 8⁴</t>
        </is>
      </c>
      <c r="L3897" t="inlineStr">
        <is>
          <t>24V⁵</t>
        </is>
      </c>
      <c r="M3897" t="inlineStr"/>
      <c r="N3897" t="inlineStr">
        <is>
          <t>24E¹, 6B⁰, 12C⁰, 3A⁰, 24N², 4C⁰, 24D¹, 8B⁰, 24P², 12M¹, 2B⁰, 1A⁰, 12H², 24V⁵, 24A⁰, 24T³, 12D⁰, 6H⁰, 12H⁰, 24H¹, 6D⁰</t>
        </is>
      </c>
      <c r="O3897" t="inlineStr"/>
    </row>
    <row r="3898">
      <c r="A3898">
        <f>HYPERLINK("https://mathstats.uncg.edu/sites/pauli/congruence/csg15.html#group24T15", "24T¹⁵")</f>
        <v/>
      </c>
      <c r="B3898" t="n">
        <v>15</v>
      </c>
      <c r="C3898" t="inlineStr"/>
      <c r="D3898" t="inlineStr">
        <is>
          <t>288</t>
        </is>
      </c>
      <c r="E3898" t="inlineStr">
        <is>
          <t>1</t>
        </is>
      </c>
      <c r="F3898" t="inlineStr">
        <is>
          <t>72</t>
        </is>
      </c>
      <c r="G3898" t="inlineStr">
        <is>
          <t>16</t>
        </is>
      </c>
      <c r="H3898" t="inlineStr">
        <is>
          <t>0</t>
        </is>
      </c>
      <c r="I3898" t="inlineStr">
        <is>
          <t>24¹²</t>
        </is>
      </c>
      <c r="J3898" t="n">
        <v>12</v>
      </c>
      <c r="K3898" t="inlineStr">
        <is>
          <t>4¹⁰, 8⁴</t>
        </is>
      </c>
      <c r="L3898" t="inlineStr">
        <is>
          <t>24V⁵, 24J⁶, 24O⁸</t>
        </is>
      </c>
      <c r="M3898" t="inlineStr"/>
      <c r="N3898" t="inlineStr">
        <is>
          <t>24E¹, 6B⁰, 12C⁰, 24N², 4C⁰, 24D¹, 8B⁰, 24P², 12M¹, 2B⁰, 24J⁶, 12H⁰, 1A⁰, 12H², 24V⁵, 24A⁰, 24O⁸, 24T³, 12D⁰, 6H⁰, 3A⁰, 24H¹, 6D⁰</t>
        </is>
      </c>
      <c r="O3898" t="inlineStr"/>
    </row>
    <row r="3899">
      <c r="A3899">
        <f>HYPERLINK("https://mathstats.uncg.edu/sites/pauli/congruence/csg15.html#group24U15", "24U¹⁵")</f>
        <v/>
      </c>
      <c r="B3899" t="n">
        <v>15</v>
      </c>
      <c r="C3899" t="inlineStr"/>
      <c r="D3899" t="inlineStr">
        <is>
          <t>288</t>
        </is>
      </c>
      <c r="E3899" t="inlineStr">
        <is>
          <t>2</t>
        </is>
      </c>
      <c r="F3899" t="inlineStr">
        <is>
          <t>36</t>
        </is>
      </c>
      <c r="G3899" t="inlineStr">
        <is>
          <t>8</t>
        </is>
      </c>
      <c r="H3899" t="inlineStr">
        <is>
          <t>0</t>
        </is>
      </c>
      <c r="I3899" t="inlineStr">
        <is>
          <t>12⁸, 24⁸</t>
        </is>
      </c>
      <c r="J3899" t="n">
        <v>16</v>
      </c>
      <c r="K3899" t="inlineStr">
        <is>
          <t>2⁸, 4¹⁰, 8²</t>
        </is>
      </c>
      <c r="L3899" t="inlineStr">
        <is>
          <t>24H⁶, 24I⁶, 24K⁶, 24O⁷, 24Z⁷, 24AA⁷</t>
        </is>
      </c>
      <c r="M3899" t="inlineStr"/>
      <c r="N3899" t="inlineStr">
        <is>
          <t>24E¹, 24I⁶, 12C⁰, 24AA⁷, 24P⁴, 24O⁷, 24Z⁷, 4C⁰, 8B⁰, 24I³, 24P², 24Q², 12M¹, 2B⁰, 6G⁰, 8L⁰, 24C², 1A⁰, 12L¹, 12C¹, 24A⁰, 12I³, 24N³, 24M², 24H⁶, 3C⁰, 24K⁶, 3A⁰, 6D⁰</t>
        </is>
      </c>
      <c r="O3899" t="inlineStr"/>
    </row>
    <row r="3900">
      <c r="A3900">
        <f>HYPERLINK("https://mathstats.uncg.edu/sites/pauli/congruence/csg15.html#group26A15", "26A¹⁵")</f>
        <v/>
      </c>
      <c r="B3900" t="n">
        <v>15</v>
      </c>
      <c r="C3900" t="inlineStr"/>
      <c r="D3900" t="inlineStr">
        <is>
          <t>273</t>
        </is>
      </c>
      <c r="E3900" t="inlineStr">
        <is>
          <t>1</t>
        </is>
      </c>
      <c r="F3900" t="inlineStr">
        <is>
          <t>273</t>
        </is>
      </c>
      <c r="G3900" t="inlineStr">
        <is>
          <t>7</t>
        </is>
      </c>
      <c r="H3900" t="inlineStr">
        <is>
          <t>0</t>
        </is>
      </c>
      <c r="I3900" t="inlineStr">
        <is>
          <t>13⁷, 26⁷</t>
        </is>
      </c>
      <c r="J3900" t="n">
        <v>14</v>
      </c>
      <c r="K3900" t="inlineStr">
        <is>
          <t>1³, 6³, 12²¹</t>
        </is>
      </c>
      <c r="L3900" t="inlineStr">
        <is>
          <t>2B⁰, 13C³</t>
        </is>
      </c>
      <c r="M3900" t="inlineStr"/>
      <c r="N3900" t="inlineStr">
        <is>
          <t>13C³, 1A⁰, 2B⁰</t>
        </is>
      </c>
      <c r="O3900" t="inlineStr"/>
    </row>
    <row r="3901">
      <c r="A3901">
        <f>HYPERLINK("https://mathstats.uncg.edu/sites/pauli/congruence/csg15.html#group28A15", "28A¹⁵")</f>
        <v/>
      </c>
      <c r="B3901" t="n">
        <v>15</v>
      </c>
      <c r="C3901" t="inlineStr"/>
      <c r="D3901" t="inlineStr">
        <is>
          <t>224</t>
        </is>
      </c>
      <c r="E3901" t="inlineStr">
        <is>
          <t>1</t>
        </is>
      </c>
      <c r="F3901" t="inlineStr">
        <is>
          <t>112</t>
        </is>
      </c>
      <c r="G3901" t="inlineStr">
        <is>
          <t>0</t>
        </is>
      </c>
      <c r="H3901" t="inlineStr">
        <is>
          <t>2</t>
        </is>
      </c>
      <c r="I3901" t="inlineStr">
        <is>
          <t>28⁸</t>
        </is>
      </c>
      <c r="J3901" t="n">
        <v>8</v>
      </c>
      <c r="K3901" t="inlineStr">
        <is>
          <t>2², 6², 12⁸</t>
        </is>
      </c>
      <c r="L3901" t="inlineStr">
        <is>
          <t>14C³, 28A⁴, 28H⁶</t>
        </is>
      </c>
      <c r="M3901" t="inlineStr"/>
      <c r="N3901" t="inlineStr">
        <is>
          <t>2A⁰, 28H⁶, 4A⁰, 28A⁴, 4D⁰, 14C³, 14A¹, 7F⁰, 28A¹, 1A⁰, 7A⁰</t>
        </is>
      </c>
      <c r="O3901" t="inlineStr"/>
    </row>
    <row r="3902">
      <c r="A3902">
        <f>HYPERLINK("https://mathstats.uncg.edu/sites/pauli/congruence/csg15.html#group28B15", "28B¹⁵")</f>
        <v/>
      </c>
      <c r="B3902" t="n">
        <v>15</v>
      </c>
      <c r="C3902" t="inlineStr"/>
      <c r="D3902" t="inlineStr">
        <is>
          <t>224</t>
        </is>
      </c>
      <c r="E3902" t="inlineStr">
        <is>
          <t>1</t>
        </is>
      </c>
      <c r="F3902" t="inlineStr">
        <is>
          <t>112</t>
        </is>
      </c>
      <c r="G3902" t="inlineStr">
        <is>
          <t>0</t>
        </is>
      </c>
      <c r="H3902" t="inlineStr">
        <is>
          <t>2</t>
        </is>
      </c>
      <c r="I3902" t="inlineStr">
        <is>
          <t>28⁸</t>
        </is>
      </c>
      <c r="J3902" t="n">
        <v>8</v>
      </c>
      <c r="K3902" t="inlineStr">
        <is>
          <t>2², 6², 12⁸</t>
        </is>
      </c>
      <c r="L3902" t="inlineStr">
        <is>
          <t>7B¹, 28A², 28D³, 28H⁶</t>
        </is>
      </c>
      <c r="M3902" t="inlineStr"/>
      <c r="N3902" t="inlineStr">
        <is>
          <t>28D³, 28H⁶, 4A⁰, 7B⁰, 7C⁰, 7F⁰, 7A⁰, 28A¹, 1A⁰, 7B¹, 28A²</t>
        </is>
      </c>
      <c r="O3902" t="inlineStr"/>
    </row>
    <row r="3903">
      <c r="A3903">
        <f>HYPERLINK("https://mathstats.uncg.edu/sites/pauli/congruence/csg15.html#group28C15", "28C¹⁵")</f>
        <v/>
      </c>
      <c r="B3903" t="n">
        <v>15</v>
      </c>
      <c r="C3903" t="inlineStr"/>
      <c r="D3903" t="inlineStr">
        <is>
          <t>252</t>
        </is>
      </c>
      <c r="E3903" t="inlineStr">
        <is>
          <t>1</t>
        </is>
      </c>
      <c r="F3903" t="inlineStr">
        <is>
          <t>63</t>
        </is>
      </c>
      <c r="G3903" t="inlineStr">
        <is>
          <t>4</t>
        </is>
      </c>
      <c r="H3903" t="inlineStr">
        <is>
          <t>0</t>
        </is>
      </c>
      <c r="I3903" t="inlineStr">
        <is>
          <t>14⁶, 28⁶</t>
        </is>
      </c>
      <c r="J3903" t="n">
        <v>12</v>
      </c>
      <c r="K3903" t="inlineStr">
        <is>
          <t>3³, 6⁹</t>
        </is>
      </c>
      <c r="L3903" t="inlineStr">
        <is>
          <t>14F⁵, 28C⁷</t>
        </is>
      </c>
      <c r="M3903" t="inlineStr"/>
      <c r="N3903" t="inlineStr">
        <is>
          <t>7D⁰, 14B¹, 28B³, 7A¹, 14F², 2B⁰, 28C⁷, 14F⁵, 1A⁰, 7A⁰</t>
        </is>
      </c>
      <c r="O3903" t="inlineStr"/>
    </row>
    <row r="3904">
      <c r="A3904">
        <f>HYPERLINK("https://mathstats.uncg.edu/sites/pauli/congruence/csg15.html#group28D15", "28D¹⁵")</f>
        <v/>
      </c>
      <c r="B3904" t="n">
        <v>15</v>
      </c>
      <c r="C3904" t="inlineStr"/>
      <c r="D3904" t="inlineStr">
        <is>
          <t>252</t>
        </is>
      </c>
      <c r="E3904" t="inlineStr">
        <is>
          <t>1</t>
        </is>
      </c>
      <c r="F3904" t="inlineStr">
        <is>
          <t>63</t>
        </is>
      </c>
      <c r="G3904" t="inlineStr">
        <is>
          <t>4</t>
        </is>
      </c>
      <c r="H3904" t="inlineStr">
        <is>
          <t>0</t>
        </is>
      </c>
      <c r="I3904" t="inlineStr">
        <is>
          <t>14⁶, 28⁶</t>
        </is>
      </c>
      <c r="J3904" t="n">
        <v>12</v>
      </c>
      <c r="K3904" t="inlineStr">
        <is>
          <t>3³, 6⁹</t>
        </is>
      </c>
      <c r="L3904" t="inlineStr">
        <is>
          <t>14F⁵, 28I⁶, 28A⁸</t>
        </is>
      </c>
      <c r="M3904" t="inlineStr"/>
      <c r="N3904" t="inlineStr">
        <is>
          <t>28I⁶, 28C², 7D⁰, 14B¹, 28A⁸, 4C⁰, 7A¹, 14F², 2B⁰, 14F⁵, 1A⁰, 7A⁰</t>
        </is>
      </c>
      <c r="O3904" t="inlineStr"/>
    </row>
    <row r="3905">
      <c r="A3905">
        <f>HYPERLINK("https://mathstats.uncg.edu/sites/pauli/congruence/csg15.html#group28E15", "28E¹⁵")</f>
        <v/>
      </c>
      <c r="B3905" t="n">
        <v>15</v>
      </c>
      <c r="C3905" t="inlineStr"/>
      <c r="D3905" t="inlineStr">
        <is>
          <t>252</t>
        </is>
      </c>
      <c r="E3905" t="inlineStr">
        <is>
          <t>1</t>
        </is>
      </c>
      <c r="F3905" t="inlineStr">
        <is>
          <t>126</t>
        </is>
      </c>
      <c r="G3905" t="inlineStr">
        <is>
          <t>10</t>
        </is>
      </c>
      <c r="H3905" t="inlineStr">
        <is>
          <t>0</t>
        </is>
      </c>
      <c r="I3905" t="inlineStr">
        <is>
          <t>28⁹</t>
        </is>
      </c>
      <c r="J3905" t="n">
        <v>9</v>
      </c>
      <c r="K3905" t="inlineStr">
        <is>
          <t>3², 6⁸, 12⁶</t>
        </is>
      </c>
      <c r="L3905" t="inlineStr">
        <is>
          <t>28I⁶</t>
        </is>
      </c>
      <c r="M3905" t="inlineStr"/>
      <c r="N3905" t="inlineStr">
        <is>
          <t>28C², 7D⁰, 14B¹, 4C⁰, 14F², 2B⁰, 28I⁶, 1A⁰, 7A⁰</t>
        </is>
      </c>
      <c r="O3905" t="inlineStr"/>
    </row>
    <row r="3906">
      <c r="A3906">
        <f>HYPERLINK("https://mathstats.uncg.edu/sites/pauli/congruence/csg15.html#group28F15", "28F¹⁵")</f>
        <v/>
      </c>
      <c r="B3906" t="n">
        <v>15</v>
      </c>
      <c r="C3906" t="inlineStr"/>
      <c r="D3906" t="inlineStr">
        <is>
          <t>252</t>
        </is>
      </c>
      <c r="E3906" t="inlineStr">
        <is>
          <t>1</t>
        </is>
      </c>
      <c r="F3906" t="inlineStr">
        <is>
          <t>126</t>
        </is>
      </c>
      <c r="G3906" t="inlineStr">
        <is>
          <t>10</t>
        </is>
      </c>
      <c r="H3906" t="inlineStr">
        <is>
          <t>0</t>
        </is>
      </c>
      <c r="I3906" t="inlineStr">
        <is>
          <t>28⁹</t>
        </is>
      </c>
      <c r="J3906" t="n">
        <v>9</v>
      </c>
      <c r="K3906" t="inlineStr">
        <is>
          <t>3², 6⁸, 12⁶</t>
        </is>
      </c>
      <c r="L3906" t="inlineStr">
        <is>
          <t>28B⁴, 28D⁵, 28I⁶</t>
        </is>
      </c>
      <c r="M3906" t="inlineStr"/>
      <c r="N3906" t="inlineStr">
        <is>
          <t>28C², 7D⁰, 14B¹, 4A⁰, 28D⁵, 4C⁰, 14F², 2B⁰, 28B⁴, 4F⁰, 28I⁶, 28A¹, 1A⁰, 7A⁰</t>
        </is>
      </c>
      <c r="O3906" t="inlineStr"/>
    </row>
    <row r="3907">
      <c r="A3907">
        <f>HYPERLINK("https://mathstats.uncg.edu/sites/pauli/congruence/csg15.html#group28G15", "28G¹⁵")</f>
        <v/>
      </c>
      <c r="B3907" t="n">
        <v>15</v>
      </c>
      <c r="C3907" t="inlineStr"/>
      <c r="D3907" t="inlineStr">
        <is>
          <t>252</t>
        </is>
      </c>
      <c r="E3907" t="inlineStr">
        <is>
          <t>2</t>
        </is>
      </c>
      <c r="F3907" t="inlineStr">
        <is>
          <t>63</t>
        </is>
      </c>
      <c r="G3907" t="inlineStr">
        <is>
          <t>4</t>
        </is>
      </c>
      <c r="H3907" t="inlineStr">
        <is>
          <t>0</t>
        </is>
      </c>
      <c r="I3907" t="inlineStr">
        <is>
          <t>14⁶, 28⁶</t>
        </is>
      </c>
      <c r="J3907" t="n">
        <v>12</v>
      </c>
      <c r="K3907" t="inlineStr">
        <is>
          <t>6²¹</t>
        </is>
      </c>
      <c r="L3907" t="inlineStr">
        <is>
          <t>14A⁴, 28C⁷, 28A⁸</t>
        </is>
      </c>
      <c r="M3907" t="inlineStr"/>
      <c r="N3907" t="inlineStr">
        <is>
          <t>14A⁴, 14A², 7D⁰, 14B¹, 28A⁸, 7C⁰, 28B³, 14F², 2B⁰, 7G⁰, 28C⁷, 1A⁰, 7A⁰</t>
        </is>
      </c>
      <c r="O3907" t="inlineStr"/>
    </row>
    <row r="3908">
      <c r="A3908">
        <f>HYPERLINK("https://mathstats.uncg.edu/sites/pauli/congruence/csg15.html#group28H15", "28H¹⁵")</f>
        <v/>
      </c>
      <c r="B3908" t="n">
        <v>15</v>
      </c>
      <c r="C3908" t="inlineStr"/>
      <c r="D3908" t="inlineStr">
        <is>
          <t>252</t>
        </is>
      </c>
      <c r="E3908" t="inlineStr">
        <is>
          <t>2</t>
        </is>
      </c>
      <c r="F3908" t="inlineStr">
        <is>
          <t>126</t>
        </is>
      </c>
      <c r="G3908" t="inlineStr">
        <is>
          <t>10</t>
        </is>
      </c>
      <c r="H3908" t="inlineStr">
        <is>
          <t>0</t>
        </is>
      </c>
      <c r="I3908" t="inlineStr">
        <is>
          <t>28⁹</t>
        </is>
      </c>
      <c r="J3908" t="n">
        <v>9</v>
      </c>
      <c r="K3908" t="inlineStr">
        <is>
          <t>6¹⁴, 12¹⁴</t>
        </is>
      </c>
      <c r="L3908" t="inlineStr">
        <is>
          <t>28C⁵, 28I⁶</t>
        </is>
      </c>
      <c r="M3908" t="inlineStr"/>
      <c r="N3908" t="inlineStr">
        <is>
          <t>28C², 7D⁰, 14B¹, 4C⁰, 14F², 28C⁵, 2B⁰, 28I⁶, 1A⁰, 7A⁰</t>
        </is>
      </c>
      <c r="O3908" t="inlineStr"/>
    </row>
    <row r="3909">
      <c r="A3909">
        <f>HYPERLINK("https://mathstats.uncg.edu/sites/pauli/congruence/csg15.html#group30A15", "30A¹⁵")</f>
        <v/>
      </c>
      <c r="B3909" t="n">
        <v>15</v>
      </c>
      <c r="C3909" t="inlineStr"/>
      <c r="D3909" t="inlineStr">
        <is>
          <t>240</t>
        </is>
      </c>
      <c r="E3909" t="inlineStr">
        <is>
          <t>1</t>
        </is>
      </c>
      <c r="F3909" t="inlineStr">
        <is>
          <t>40</t>
        </is>
      </c>
      <c r="G3909" t="inlineStr">
        <is>
          <t>0</t>
        </is>
      </c>
      <c r="H3909" t="inlineStr">
        <is>
          <t>0</t>
        </is>
      </c>
      <c r="I3909" t="inlineStr">
        <is>
          <t>10⁶, 30⁶</t>
        </is>
      </c>
      <c r="J3909" t="n">
        <v>12</v>
      </c>
      <c r="K3909" t="inlineStr">
        <is>
          <t>2², 4⁵, 8²</t>
        </is>
      </c>
      <c r="L3909" t="inlineStr">
        <is>
          <t>6I⁰, 10A³, 30J⁵, 30L⁷</t>
        </is>
      </c>
      <c r="M3909" t="inlineStr"/>
      <c r="N3909" t="inlineStr">
        <is>
          <t>30J⁵, 2A⁰, 3B⁰, 6I⁰, 6C⁰, 5C⁰, 10A³, 2B⁰, 30L⁷, 1A⁰, 10F¹, 10C¹, 15C², 6F⁰, 2C⁰</t>
        </is>
      </c>
      <c r="O3909" t="inlineStr"/>
    </row>
    <row r="3910">
      <c r="A3910">
        <f>HYPERLINK("https://mathstats.uncg.edu/sites/pauli/congruence/csg15.html#group30B15", "30B¹⁵")</f>
        <v/>
      </c>
      <c r="B3910" t="n">
        <v>15</v>
      </c>
      <c r="C3910" t="inlineStr"/>
      <c r="D3910" t="inlineStr">
        <is>
          <t>240</t>
        </is>
      </c>
      <c r="E3910" t="inlineStr">
        <is>
          <t>1</t>
        </is>
      </c>
      <c r="F3910" t="inlineStr">
        <is>
          <t>60</t>
        </is>
      </c>
      <c r="G3910" t="inlineStr">
        <is>
          <t>0</t>
        </is>
      </c>
      <c r="H3910" t="inlineStr">
        <is>
          <t>0</t>
        </is>
      </c>
      <c r="I3910" t="inlineStr">
        <is>
          <t>10⁶, 30⁶</t>
        </is>
      </c>
      <c r="J3910" t="n">
        <v>12</v>
      </c>
      <c r="K3910" t="inlineStr">
        <is>
          <t>1², 2³, 4⁷, 8³</t>
        </is>
      </c>
      <c r="L3910" t="inlineStr">
        <is>
          <t>10C², 30F³, 15B⁵, 30I⁵, 30D⁸</t>
        </is>
      </c>
      <c r="M3910" t="inlineStr"/>
      <c r="N3910" t="inlineStr">
        <is>
          <t>3B⁰, 5A⁰, 30D⁸, 10D⁰, 5B⁰, 10E¹, 1A⁰, 30I⁵, 10B⁰, 15C¹, 15A³, 30F³, 10C², 5E⁰, 15B¹, 15C², 5C⁰, 15B⁵, 5G⁰</t>
        </is>
      </c>
      <c r="O3910" t="inlineStr"/>
    </row>
    <row r="3911">
      <c r="A3911">
        <f>HYPERLINK("https://mathstats.uncg.edu/sites/pauli/congruence/csg15.html#group30C15", "30C¹⁵")</f>
        <v/>
      </c>
      <c r="B3911" t="n">
        <v>15</v>
      </c>
      <c r="C3911" t="inlineStr"/>
      <c r="D3911" t="inlineStr">
        <is>
          <t>240</t>
        </is>
      </c>
      <c r="E3911" t="inlineStr">
        <is>
          <t>1</t>
        </is>
      </c>
      <c r="F3911" t="inlineStr">
        <is>
          <t>60</t>
        </is>
      </c>
      <c r="G3911" t="inlineStr">
        <is>
          <t>0</t>
        </is>
      </c>
      <c r="H3911" t="inlineStr">
        <is>
          <t>0</t>
        </is>
      </c>
      <c r="I3911" t="inlineStr">
        <is>
          <t>10⁶, 30⁶</t>
        </is>
      </c>
      <c r="J3911" t="n">
        <v>12</v>
      </c>
      <c r="K3911" t="inlineStr">
        <is>
          <t>1², 2³, 4⁷, 8³</t>
        </is>
      </c>
      <c r="L3911" t="inlineStr">
        <is>
          <t>10B³, 30G³, 15B⁵, 30J⁵, 30A⁸, 30D⁸</t>
        </is>
      </c>
      <c r="M3911" t="inlineStr"/>
      <c r="N3911" t="inlineStr">
        <is>
          <t>30J⁵, 2A⁰, 3B⁰, 5A⁰, 10A², 30D⁸, 6C⁰, 30D², 5B⁰, 10A¹, 30G³, 10E¹, 1A⁰, 15C¹, 15A³, 30A⁸, 10A⁰, 10B³, 5E⁰, 15B¹, 10C¹, 15C², 5C⁰, 15B⁵, 5G⁰</t>
        </is>
      </c>
      <c r="O3911" t="inlineStr"/>
    </row>
    <row r="3912">
      <c r="A3912">
        <f>HYPERLINK("https://mathstats.uncg.edu/sites/pauli/congruence/csg15.html#group30D15", "30D¹⁵")</f>
        <v/>
      </c>
      <c r="B3912" t="n">
        <v>15</v>
      </c>
      <c r="C3912" t="inlineStr"/>
      <c r="D3912" t="inlineStr">
        <is>
          <t>240</t>
        </is>
      </c>
      <c r="E3912" t="inlineStr">
        <is>
          <t>1</t>
        </is>
      </c>
      <c r="F3912" t="inlineStr">
        <is>
          <t>60</t>
        </is>
      </c>
      <c r="G3912" t="inlineStr">
        <is>
          <t>8</t>
        </is>
      </c>
      <c r="H3912" t="inlineStr">
        <is>
          <t>0</t>
        </is>
      </c>
      <c r="I3912" t="inlineStr">
        <is>
          <t>30⁸</t>
        </is>
      </c>
      <c r="J3912" t="n">
        <v>8</v>
      </c>
      <c r="K3912" t="inlineStr">
        <is>
          <t>4³, 8⁶</t>
        </is>
      </c>
      <c r="L3912" t="inlineStr">
        <is>
          <t>15A⁵</t>
        </is>
      </c>
      <c r="M3912" t="inlineStr"/>
      <c r="N3912" t="inlineStr">
        <is>
          <t>15D¹, 15D², 15A⁵, 3C⁰, 1A⁰, 15C³, 3A⁰, 5C⁰</t>
        </is>
      </c>
      <c r="O3912" t="inlineStr"/>
    </row>
    <row r="3913">
      <c r="A3913">
        <f>HYPERLINK("https://mathstats.uncg.edu/sites/pauli/congruence/csg15.html#group30E15", "30E¹⁵")</f>
        <v/>
      </c>
      <c r="B3913" t="n">
        <v>15</v>
      </c>
      <c r="C3913" t="inlineStr"/>
      <c r="D3913" t="inlineStr">
        <is>
          <t>240</t>
        </is>
      </c>
      <c r="E3913" t="inlineStr">
        <is>
          <t>1</t>
        </is>
      </c>
      <c r="F3913" t="inlineStr">
        <is>
          <t>120</t>
        </is>
      </c>
      <c r="G3913" t="inlineStr">
        <is>
          <t>0</t>
        </is>
      </c>
      <c r="H3913" t="inlineStr">
        <is>
          <t>0</t>
        </is>
      </c>
      <c r="I3913" t="inlineStr">
        <is>
          <t>10⁶, 30⁶</t>
        </is>
      </c>
      <c r="J3913" t="n">
        <v>12</v>
      </c>
      <c r="K3913" t="inlineStr">
        <is>
          <t>2⁶, 4¹⁵, 8⁶</t>
        </is>
      </c>
      <c r="L3913" t="inlineStr">
        <is>
          <t>10E², 30I⁵, 30L⁷</t>
        </is>
      </c>
      <c r="M3913" t="inlineStr"/>
      <c r="N3913" t="inlineStr">
        <is>
          <t>3B⁰, 10E², 10D⁰, 5C⁰, 6F⁰, 1A⁰, 2B⁰, 15C², 30L⁷, 30I⁵, 10F¹</t>
        </is>
      </c>
      <c r="O3913" t="inlineStr"/>
    </row>
    <row r="3914">
      <c r="A3914">
        <f>HYPERLINK("https://mathstats.uncg.edu/sites/pauli/congruence/csg15.html#group30F15", "30F¹⁵")</f>
        <v/>
      </c>
      <c r="B3914" t="n">
        <v>15</v>
      </c>
      <c r="C3914" t="inlineStr"/>
      <c r="D3914" t="inlineStr">
        <is>
          <t>270</t>
        </is>
      </c>
      <c r="E3914" t="inlineStr">
        <is>
          <t>1</t>
        </is>
      </c>
      <c r="F3914" t="inlineStr">
        <is>
          <t>135</t>
        </is>
      </c>
      <c r="G3914" t="inlineStr">
        <is>
          <t>10</t>
        </is>
      </c>
      <c r="H3914" t="inlineStr">
        <is>
          <t>0</t>
        </is>
      </c>
      <c r="I3914" t="inlineStr">
        <is>
          <t>15⁶, 30⁶</t>
        </is>
      </c>
      <c r="J3914" t="n">
        <v>12</v>
      </c>
      <c r="K3914" t="inlineStr">
        <is>
          <t>1³, 2⁶, 4¹², 8⁹</t>
        </is>
      </c>
      <c r="L3914" t="inlineStr">
        <is>
          <t>15H³, 30P⁷</t>
        </is>
      </c>
      <c r="M3914" t="inlineStr"/>
      <c r="N3914" t="inlineStr">
        <is>
          <t>30P⁷, 30D³, 5A⁰, 10I¹, 30E³, 15A¹, 10B¹, 6D⁰, 15F¹, 5E⁰, 2B⁰, 3A⁰, 1A⁰, 15H³, 15A⁰</t>
        </is>
      </c>
      <c r="O3914" t="inlineStr"/>
    </row>
    <row r="3915">
      <c r="A3915">
        <f>HYPERLINK("https://mathstats.uncg.edu/sites/pauli/congruence/csg15.html#group34A15", "34A¹⁵")</f>
        <v/>
      </c>
      <c r="B3915" t="n">
        <v>15</v>
      </c>
      <c r="C3915" t="inlineStr"/>
      <c r="D3915" t="inlineStr">
        <is>
          <t>272</t>
        </is>
      </c>
      <c r="E3915" t="inlineStr">
        <is>
          <t>1</t>
        </is>
      </c>
      <c r="F3915" t="inlineStr">
        <is>
          <t>136</t>
        </is>
      </c>
      <c r="G3915" t="inlineStr">
        <is>
          <t>16</t>
        </is>
      </c>
      <c r="H3915" t="inlineStr">
        <is>
          <t>2</t>
        </is>
      </c>
      <c r="I3915" t="inlineStr">
        <is>
          <t>34⁸</t>
        </is>
      </c>
      <c r="J3915" t="n">
        <v>8</v>
      </c>
      <c r="K3915" t="inlineStr">
        <is>
          <t>8¹, 16⁸</t>
        </is>
      </c>
      <c r="L3915" t="inlineStr">
        <is>
          <t>17A⁶</t>
        </is>
      </c>
      <c r="M3915" t="inlineStr"/>
      <c r="N3915" t="inlineStr">
        <is>
          <t>1A⁰, 17A⁶</t>
        </is>
      </c>
      <c r="O3915" t="inlineStr"/>
    </row>
    <row r="3916">
      <c r="A3916">
        <f>HYPERLINK("https://mathstats.uncg.edu/sites/pauli/congruence/csg15.html#group35A15", "35A¹⁵")</f>
        <v/>
      </c>
      <c r="B3916" t="n">
        <v>15</v>
      </c>
      <c r="C3916" t="inlineStr"/>
      <c r="D3916" t="inlineStr">
        <is>
          <t>210</t>
        </is>
      </c>
      <c r="E3916" t="inlineStr">
        <is>
          <t>1</t>
        </is>
      </c>
      <c r="F3916" t="inlineStr">
        <is>
          <t>105</t>
        </is>
      </c>
      <c r="G3916" t="inlineStr">
        <is>
          <t>2</t>
        </is>
      </c>
      <c r="H3916" t="inlineStr">
        <is>
          <t>0</t>
        </is>
      </c>
      <c r="I3916" t="inlineStr">
        <is>
          <t>35⁶</t>
        </is>
      </c>
      <c r="J3916" t="n">
        <v>6</v>
      </c>
      <c r="K3916" t="inlineStr">
        <is>
          <t>3¹, 6³, 12¹, 24³</t>
        </is>
      </c>
      <c r="L3916" t="inlineStr">
        <is>
          <t>7A¹, 35A⁷</t>
        </is>
      </c>
      <c r="M3916" t="inlineStr"/>
      <c r="N3916" t="inlineStr">
        <is>
          <t>35A⁷, 5A⁰, 7D⁰, 1A⁰, 35A², 7A⁰, 7A¹</t>
        </is>
      </c>
      <c r="O3916" t="inlineStr"/>
    </row>
    <row r="3917">
      <c r="A3917">
        <f>HYPERLINK("https://mathstats.uncg.edu/sites/pauli/congruence/csg15.html#group35B15", "35B¹⁵")</f>
        <v/>
      </c>
      <c r="B3917" t="n">
        <v>15</v>
      </c>
      <c r="C3917" t="inlineStr"/>
      <c r="D3917" t="inlineStr">
        <is>
          <t>240</t>
        </is>
      </c>
      <c r="E3917" t="inlineStr">
        <is>
          <t>1</t>
        </is>
      </c>
      <c r="F3917" t="inlineStr">
        <is>
          <t>80</t>
        </is>
      </c>
      <c r="G3917" t="inlineStr">
        <is>
          <t>0</t>
        </is>
      </c>
      <c r="H3917" t="inlineStr">
        <is>
          <t>0</t>
        </is>
      </c>
      <c r="I3917" t="inlineStr">
        <is>
          <t>5⁶, 35⁶</t>
        </is>
      </c>
      <c r="J3917" t="n">
        <v>12</v>
      </c>
      <c r="K3917" t="inlineStr">
        <is>
          <t>2², 4⁴, 12¹, 24²</t>
        </is>
      </c>
      <c r="L3917" t="inlineStr">
        <is>
          <t>7E⁰, 35A⁵</t>
        </is>
      </c>
      <c r="M3917" t="inlineStr"/>
      <c r="N3917" t="inlineStr">
        <is>
          <t>35A⁵, 7E⁰, 1A⁰, 5C⁰, 7B⁰</t>
        </is>
      </c>
      <c r="O3917" t="inlineStr"/>
    </row>
    <row r="3918">
      <c r="A3918">
        <f>HYPERLINK("https://mathstats.uncg.edu/sites/pauli/congruence/csg15.html#group35C15", "35C¹⁵")</f>
        <v/>
      </c>
      <c r="B3918" t="n">
        <v>15</v>
      </c>
      <c r="C3918" t="inlineStr"/>
      <c r="D3918" t="inlineStr">
        <is>
          <t>240</t>
        </is>
      </c>
      <c r="E3918" t="inlineStr">
        <is>
          <t>1</t>
        </is>
      </c>
      <c r="F3918" t="inlineStr">
        <is>
          <t>120</t>
        </is>
      </c>
      <c r="G3918" t="inlineStr">
        <is>
          <t>0</t>
        </is>
      </c>
      <c r="H3918" t="inlineStr">
        <is>
          <t>0</t>
        </is>
      </c>
      <c r="I3918" t="inlineStr">
        <is>
          <t>5⁶, 35⁶</t>
        </is>
      </c>
      <c r="J3918" t="n">
        <v>12</v>
      </c>
      <c r="K3918" t="inlineStr">
        <is>
          <t>1², 2², 4⁶, 6¹, 12¹, 24³</t>
        </is>
      </c>
      <c r="L3918" t="inlineStr">
        <is>
          <t>5G⁰, 35A³, 35A⁵, 35A⁸</t>
        </is>
      </c>
      <c r="M3918" t="inlineStr"/>
      <c r="N3918" t="inlineStr">
        <is>
          <t>35A⁵, 5A⁰, 7B⁰, 5C⁰, 5B⁰, 5E⁰, 35B², 35A⁸, 1A⁰, 35A³, 5G⁰</t>
        </is>
      </c>
      <c r="O3918" t="inlineStr"/>
    </row>
    <row r="3919">
      <c r="A3919">
        <f>HYPERLINK("https://mathstats.uncg.edu/sites/pauli/congruence/csg15.html#group35D15", "35D¹⁵")</f>
        <v/>
      </c>
      <c r="B3919" t="n">
        <v>15</v>
      </c>
      <c r="C3919" t="inlineStr"/>
      <c r="D3919" t="inlineStr">
        <is>
          <t>252</t>
        </is>
      </c>
      <c r="E3919" t="inlineStr">
        <is>
          <t>1</t>
        </is>
      </c>
      <c r="F3919" t="inlineStr">
        <is>
          <t>126</t>
        </is>
      </c>
      <c r="G3919" t="inlineStr">
        <is>
          <t>4</t>
        </is>
      </c>
      <c r="H3919" t="inlineStr">
        <is>
          <t>0</t>
        </is>
      </c>
      <c r="I3919" t="inlineStr">
        <is>
          <t>7⁶, 35⁶</t>
        </is>
      </c>
      <c r="J3919" t="n">
        <v>12</v>
      </c>
      <c r="K3919" t="inlineStr">
        <is>
          <t>3², 6⁶, 12¹, 24³</t>
        </is>
      </c>
      <c r="L3919" t="inlineStr">
        <is>
          <t>7A¹, 35E⁶</t>
        </is>
      </c>
      <c r="M3919" t="inlineStr"/>
      <c r="N3919" t="inlineStr">
        <is>
          <t>35C², 5B⁰, 7D⁰, 1A⁰, 35E⁶, 7A⁰, 7A¹</t>
        </is>
      </c>
      <c r="O3919" t="inlineStr"/>
    </row>
    <row r="3920">
      <c r="A3920">
        <f>HYPERLINK("https://mathstats.uncg.edu/sites/pauli/congruence/csg15.html#group36A15", "36A¹⁵")</f>
        <v/>
      </c>
      <c r="B3920" t="n">
        <v>15</v>
      </c>
      <c r="C3920" t="inlineStr"/>
      <c r="D3920" t="inlineStr">
        <is>
          <t>216</t>
        </is>
      </c>
      <c r="E3920" t="inlineStr">
        <is>
          <t>1</t>
        </is>
      </c>
      <c r="F3920" t="inlineStr">
        <is>
          <t>9</t>
        </is>
      </c>
      <c r="G3920" t="inlineStr">
        <is>
          <t>0</t>
        </is>
      </c>
      <c r="H3920" t="inlineStr">
        <is>
          <t>0</t>
        </is>
      </c>
      <c r="I3920" t="inlineStr">
        <is>
          <t>18⁴, 36⁴</t>
        </is>
      </c>
      <c r="J3920" t="n">
        <v>8</v>
      </c>
      <c r="K3920" t="inlineStr">
        <is>
          <t>1³, 2³</t>
        </is>
      </c>
      <c r="L3920" t="inlineStr">
        <is>
          <t>12D³, 36H⁵, 18A⁶, 36E⁷, 36A⁸, 36E⁸</t>
        </is>
      </c>
      <c r="M3920" t="inlineStr"/>
      <c r="N3920" t="inlineStr">
        <is>
          <t>36E⁸, 3B⁰, 12C⁰, 36E³, 12F¹, 4C⁰, 36B², 6G⁰, 36E⁴, 2B⁰, 36H⁵, 1A⁰, 9B¹, 12L¹, 18E³, 3D⁰, 36A⁸, 9D⁰, 12D³, 12C¹, 18A⁶, 9A², 9A⁰, 36E⁷, 6F⁰, 3C⁰, 6K⁰, 18E¹, 3A⁰, 12C², 18I², 6D⁰</t>
        </is>
      </c>
      <c r="O3920" t="inlineStr"/>
    </row>
    <row r="3921">
      <c r="A3921">
        <f>HYPERLINK("https://mathstats.uncg.edu/sites/pauli/congruence/csg15.html#group36B15", "36B¹⁵")</f>
        <v/>
      </c>
      <c r="B3921" t="n">
        <v>15</v>
      </c>
      <c r="C3921" t="inlineStr"/>
      <c r="D3921" t="inlineStr">
        <is>
          <t>216</t>
        </is>
      </c>
      <c r="E3921" t="inlineStr">
        <is>
          <t>1</t>
        </is>
      </c>
      <c r="F3921" t="inlineStr">
        <is>
          <t>9</t>
        </is>
      </c>
      <c r="G3921" t="inlineStr">
        <is>
          <t>0</t>
        </is>
      </c>
      <c r="H3921" t="inlineStr">
        <is>
          <t>0</t>
        </is>
      </c>
      <c r="I3921" t="inlineStr">
        <is>
          <t>18⁴, 36⁴</t>
        </is>
      </c>
      <c r="J3921" t="n">
        <v>8</v>
      </c>
      <c r="K3921" t="inlineStr">
        <is>
          <t>1³, 2³</t>
        </is>
      </c>
      <c r="L3921" t="inlineStr">
        <is>
          <t>12E³, 18L⁴, 36C⁷, 36F⁷, 36A⁸, 36F⁸</t>
        </is>
      </c>
      <c r="M3921" t="inlineStr"/>
      <c r="N3921" t="inlineStr">
        <is>
          <t>12K¹, 12D², 6G⁰, 36E⁴, 2B⁰, 12N¹, 4B⁰, 1A⁰, 18A⁰, 18L², 3C⁰, 12B¹, 18E¹, 3A⁰, 6H⁰, 36D³, 6B⁰, 18L⁴, 36F⁷, 36A⁸, 36C⁷, 9D⁰, 12C¹, 18D⁰, 6E⁰, 6L⁰, 9A⁰, 36D⁴, 12E³, 36F⁸, 12D⁰, 12C², 18I², 6D⁰</t>
        </is>
      </c>
      <c r="O3921" t="inlineStr"/>
    </row>
    <row r="3922">
      <c r="A3922">
        <f>HYPERLINK("https://mathstats.uncg.edu/sites/pauli/congruence/csg15.html#group36C15", "36C¹⁵")</f>
        <v/>
      </c>
      <c r="B3922" t="n">
        <v>15</v>
      </c>
      <c r="C3922" t="inlineStr"/>
      <c r="D3922" t="inlineStr">
        <is>
          <t>216</t>
        </is>
      </c>
      <c r="E3922" t="inlineStr">
        <is>
          <t>1</t>
        </is>
      </c>
      <c r="F3922" t="inlineStr">
        <is>
          <t>9</t>
        </is>
      </c>
      <c r="G3922" t="inlineStr">
        <is>
          <t>0</t>
        </is>
      </c>
      <c r="H3922" t="inlineStr">
        <is>
          <t>0</t>
        </is>
      </c>
      <c r="I3922" t="inlineStr">
        <is>
          <t>18⁴, 36⁴</t>
        </is>
      </c>
      <c r="J3922" t="n">
        <v>8</v>
      </c>
      <c r="K3922" t="inlineStr">
        <is>
          <t>1³, 2³</t>
        </is>
      </c>
      <c r="L3922" t="inlineStr">
        <is>
          <t>12F³, 36P⁴, 18A⁷, 36G⁷, 36A⁸, 36G⁸</t>
        </is>
      </c>
      <c r="M3922" t="inlineStr"/>
      <c r="N3922" t="inlineStr">
        <is>
          <t>2A⁰, 18A⁷, 12F³, 6C¹, 18A³, 6G⁰, 36E⁴, 18B¹, 2B⁰, 12E², 12N¹, 36G⁸, 1A⁰, 18D³, 6B¹, 18A⁴, 18B³, 3C⁰, 6A¹, 18E¹, 3A⁰, 6H⁰, 36G⁷, 18A¹, 6E¹, 6B⁰, 36P⁴, 18A², 36A⁸, 12G⁰, 9D⁰, 12C¹, 6A⁰, 9A⁰, 12D⁰, 12C², 2C⁰, 18I², 6D⁰, 36C²</t>
        </is>
      </c>
      <c r="O3922" t="inlineStr"/>
    </row>
    <row r="3923">
      <c r="A3923">
        <f>HYPERLINK("https://mathstats.uncg.edu/sites/pauli/congruence/csg15.html#group36D15", "36D¹⁵")</f>
        <v/>
      </c>
      <c r="B3923" t="n">
        <v>15</v>
      </c>
      <c r="C3923" t="inlineStr"/>
      <c r="D3923" t="inlineStr">
        <is>
          <t>216</t>
        </is>
      </c>
      <c r="E3923" t="inlineStr">
        <is>
          <t>1</t>
        </is>
      </c>
      <c r="F3923" t="inlineStr">
        <is>
          <t>9</t>
        </is>
      </c>
      <c r="G3923" t="inlineStr">
        <is>
          <t>0</t>
        </is>
      </c>
      <c r="H3923" t="inlineStr">
        <is>
          <t>0</t>
        </is>
      </c>
      <c r="I3923" t="inlineStr">
        <is>
          <t>18⁴, 36⁴</t>
        </is>
      </c>
      <c r="J3923" t="n">
        <v>8</v>
      </c>
      <c r="K3923" t="inlineStr">
        <is>
          <t>1³, 2³</t>
        </is>
      </c>
      <c r="L3923" t="inlineStr">
        <is>
          <t>12G³, 36H⁵, 36C⁶, 18A⁷, 36C⁷, 36B⁸, 36C⁸, 36D⁸</t>
        </is>
      </c>
      <c r="M3923" t="inlineStr"/>
      <c r="N3923" t="inlineStr">
        <is>
          <t>2A⁰, 18A⁷, 12K¹, 36C⁸, 36E³, 12C⁰, 12D², 6C¹, 36B², 18A³, 6G⁰, 18B¹, 4C⁰, 2B⁰, 12B², 4E⁰, 12E², 4B⁰, 12G³, 1A⁰, 18D³, 6B¹, 18A⁴, 18B³, 3C⁰, 12B¹, 6A¹, 18E¹, 3A⁰, 6H⁰, 18A¹, 36D³, 6E¹, 6B⁰, 36B⁸, 36H⁵, 18A², 12L¹, 36D⁸, 36C⁷, 9D⁰, 6A⁰, 12C¹, 36C⁶, 9A⁰, 36D⁴, 12D⁰, 12H⁰, 2C⁰, 18I², 6D⁰</t>
        </is>
      </c>
      <c r="O3923" t="inlineStr"/>
    </row>
    <row r="3924">
      <c r="A3924">
        <f>HYPERLINK("https://mathstats.uncg.edu/sites/pauli/congruence/csg15.html#group36E15", "36E¹⁵")</f>
        <v/>
      </c>
      <c r="B3924" t="n">
        <v>15</v>
      </c>
      <c r="C3924" t="inlineStr"/>
      <c r="D3924" t="inlineStr">
        <is>
          <t>216</t>
        </is>
      </c>
      <c r="E3924" t="inlineStr">
        <is>
          <t>1</t>
        </is>
      </c>
      <c r="F3924" t="inlineStr">
        <is>
          <t>54</t>
        </is>
      </c>
      <c r="G3924" t="inlineStr">
        <is>
          <t>4</t>
        </is>
      </c>
      <c r="H3924" t="inlineStr">
        <is>
          <t>0</t>
        </is>
      </c>
      <c r="I3924" t="inlineStr">
        <is>
          <t>36⁶</t>
        </is>
      </c>
      <c r="J3924" t="n">
        <v>6</v>
      </c>
      <c r="K3924" t="inlineStr">
        <is>
          <t>6¹, 12⁴</t>
        </is>
      </c>
      <c r="L3924" t="inlineStr">
        <is>
          <t>36H⁴, 36I⁴, 36C⁵, 18B⁶</t>
        </is>
      </c>
      <c r="M3924" t="inlineStr"/>
      <c r="N3924" t="inlineStr">
        <is>
          <t>12D¹, 6B⁰, 36I⁴, 18B⁶, 9G⁰, 18K², 9B², 36H⁴, 9E⁰, 1A⁰, 18A⁰, 9B¹, 36C⁵, 6E⁰, 9A⁰, 3C⁰, 18F¹, 18G², 3A⁰, 18A¹</t>
        </is>
      </c>
      <c r="O3924" t="inlineStr"/>
    </row>
    <row r="3925">
      <c r="A3925">
        <f>HYPERLINK("https://mathstats.uncg.edu/sites/pauli/congruence/csg15.html#group36F15", "36F¹⁵")</f>
        <v/>
      </c>
      <c r="B3925" t="n">
        <v>15</v>
      </c>
      <c r="C3925" t="inlineStr"/>
      <c r="D3925" t="inlineStr">
        <is>
          <t>216</t>
        </is>
      </c>
      <c r="E3925" t="inlineStr">
        <is>
          <t>1</t>
        </is>
      </c>
      <c r="F3925" t="inlineStr">
        <is>
          <t>108</t>
        </is>
      </c>
      <c r="G3925" t="inlineStr">
        <is>
          <t>4</t>
        </is>
      </c>
      <c r="H3925" t="inlineStr">
        <is>
          <t>0</t>
        </is>
      </c>
      <c r="I3925" t="inlineStr">
        <is>
          <t>36⁶</t>
        </is>
      </c>
      <c r="J3925" t="n">
        <v>6</v>
      </c>
      <c r="K3925" t="inlineStr">
        <is>
          <t>6², 12⁸</t>
        </is>
      </c>
      <c r="L3925" t="inlineStr">
        <is>
          <t>9B², 36M⁴, 36E⁵, 36J⁵</t>
        </is>
      </c>
      <c r="M3925" t="inlineStr"/>
      <c r="N3925" t="inlineStr">
        <is>
          <t>12G¹, 36J⁵, 9G⁰, 9B², 9E⁰, 1A⁰, 9B¹, 36A¹, 12A⁰, 4A⁰, 36E⁵, 9A⁰, 36M⁴, 3C⁰, 3A⁰</t>
        </is>
      </c>
      <c r="O3925" t="inlineStr"/>
    </row>
    <row r="3926">
      <c r="A3926">
        <f>HYPERLINK("https://mathstats.uncg.edu/sites/pauli/congruence/csg15.html#group36G15", "36G¹⁵")</f>
        <v/>
      </c>
      <c r="B3926" t="n">
        <v>15</v>
      </c>
      <c r="C3926" t="inlineStr"/>
      <c r="D3926" t="inlineStr">
        <is>
          <t>216</t>
        </is>
      </c>
      <c r="E3926" t="inlineStr">
        <is>
          <t>1</t>
        </is>
      </c>
      <c r="F3926" t="inlineStr">
        <is>
          <t>108</t>
        </is>
      </c>
      <c r="G3926" t="inlineStr">
        <is>
          <t>4</t>
        </is>
      </c>
      <c r="H3926" t="inlineStr">
        <is>
          <t>0</t>
        </is>
      </c>
      <c r="I3926" t="inlineStr">
        <is>
          <t>36⁶</t>
        </is>
      </c>
      <c r="J3926" t="n">
        <v>6</v>
      </c>
      <c r="K3926" t="inlineStr">
        <is>
          <t>6², 12¹⁷</t>
        </is>
      </c>
      <c r="L3926" t="inlineStr">
        <is>
          <t>36H⁴, 36K⁴, 36D⁵, 18C⁶</t>
        </is>
      </c>
      <c r="M3926" t="inlineStr"/>
      <c r="N3926" t="inlineStr">
        <is>
          <t>18C⁶, 36K⁴, 12D¹, 6B⁰, 18H², 6E⁰, 36D⁵, 9E⁰, 18B¹, 3C⁰, 18G¹, 18F¹, 36H⁴, 3A⁰, 1A⁰</t>
        </is>
      </c>
      <c r="O3926" t="inlineStr"/>
    </row>
    <row r="3927">
      <c r="A3927">
        <f>HYPERLINK("https://mathstats.uncg.edu/sites/pauli/congruence/csg15.html#group36H15", "36H¹⁵")</f>
        <v/>
      </c>
      <c r="B3927" t="n">
        <v>15</v>
      </c>
      <c r="C3927" t="inlineStr"/>
      <c r="D3927" t="inlineStr">
        <is>
          <t>216</t>
        </is>
      </c>
      <c r="E3927" t="inlineStr">
        <is>
          <t>1</t>
        </is>
      </c>
      <c r="F3927" t="inlineStr">
        <is>
          <t>108</t>
        </is>
      </c>
      <c r="G3927" t="inlineStr">
        <is>
          <t>4</t>
        </is>
      </c>
      <c r="H3927" t="inlineStr">
        <is>
          <t>0</t>
        </is>
      </c>
      <c r="I3927" t="inlineStr">
        <is>
          <t>36⁶</t>
        </is>
      </c>
      <c r="J3927" t="n">
        <v>6</v>
      </c>
      <c r="K3927" t="inlineStr">
        <is>
          <t>6², 12¹⁷</t>
        </is>
      </c>
      <c r="L3927" t="inlineStr">
        <is>
          <t>36I⁴, 36J⁴, 36D⁵, 18C⁶</t>
        </is>
      </c>
      <c r="M3927" t="inlineStr"/>
      <c r="N3927" t="inlineStr">
        <is>
          <t>18C⁶, 36J⁴, 12D¹, 6B⁰, 36I⁴, 18H², 6E⁰, 36D⁵, 18B¹, 3C⁰, 18G¹, 18F¹, 9E⁰, 3A⁰, 1A⁰</t>
        </is>
      </c>
      <c r="O3927" t="inlineStr"/>
    </row>
    <row r="3928">
      <c r="A3928">
        <f>HYPERLINK("https://mathstats.uncg.edu/sites/pauli/congruence/csg15.html#group36I15", "36I¹⁵")</f>
        <v/>
      </c>
      <c r="B3928" t="n">
        <v>15</v>
      </c>
      <c r="C3928" t="inlineStr"/>
      <c r="D3928" t="inlineStr">
        <is>
          <t>216</t>
        </is>
      </c>
      <c r="E3928" t="inlineStr">
        <is>
          <t>2</t>
        </is>
      </c>
      <c r="F3928" t="inlineStr">
        <is>
          <t>27</t>
        </is>
      </c>
      <c r="G3928" t="inlineStr">
        <is>
          <t>0</t>
        </is>
      </c>
      <c r="H3928" t="inlineStr">
        <is>
          <t>0</t>
        </is>
      </c>
      <c r="I3928" t="inlineStr">
        <is>
          <t>18⁴, 36⁴</t>
        </is>
      </c>
      <c r="J3928" t="n">
        <v>8</v>
      </c>
      <c r="K3928" t="inlineStr">
        <is>
          <t>2⁹, 6⁶</t>
        </is>
      </c>
      <c r="L3928" t="inlineStr">
        <is>
          <t>12E³, 36K⁵, 18D⁶, 36D⁷, 36G⁷, 36C⁸, 36F⁸, 36E⁸</t>
        </is>
      </c>
      <c r="M3928" t="inlineStr"/>
      <c r="N3928" t="inlineStr">
        <is>
          <t>36E⁸, 12K¹, 36C⁸, 36E³, 12D², 6G⁰, 36E⁴, 18B¹, 2B⁰, 12N¹, 4B⁰, 1A⁰, 9B¹, 18A⁰, 18L², 18D³, 3C⁰, 12B¹, 18E¹, 3A⁰, 6H⁰, 36G⁷, 6B⁰, 36K⁵, 36D⁷, 18E³, 18D⁶, 12C¹, 18H², 6E⁰, 6L⁰, 9A⁰, 36D⁴, 12E³, 36F⁸, 12D⁰, 18G², 12C², 18A¹, 6D⁰, 36C²</t>
        </is>
      </c>
      <c r="O3928" t="inlineStr"/>
    </row>
    <row r="3929">
      <c r="A3929">
        <f>HYPERLINK("https://mathstats.uncg.edu/sites/pauli/congruence/csg15.html#group36J15", "36J¹⁵")</f>
        <v/>
      </c>
      <c r="B3929" t="n">
        <v>15</v>
      </c>
      <c r="C3929" t="inlineStr"/>
      <c r="D3929" t="inlineStr">
        <is>
          <t>216</t>
        </is>
      </c>
      <c r="E3929" t="inlineStr">
        <is>
          <t>2</t>
        </is>
      </c>
      <c r="F3929" t="inlineStr">
        <is>
          <t>27</t>
        </is>
      </c>
      <c r="G3929" t="inlineStr">
        <is>
          <t>0</t>
        </is>
      </c>
      <c r="H3929" t="inlineStr">
        <is>
          <t>0</t>
        </is>
      </c>
      <c r="I3929" t="inlineStr">
        <is>
          <t>18⁴, 36⁴</t>
        </is>
      </c>
      <c r="J3929" t="n">
        <v>8</v>
      </c>
      <c r="K3929" t="inlineStr">
        <is>
          <t>2⁹, 6⁶</t>
        </is>
      </c>
      <c r="L3929" t="inlineStr">
        <is>
          <t>12F³, 36K⁵, 36H⁶, 18E⁷, 36F⁷, 36D⁸, 36E⁸, 36G⁸</t>
        </is>
      </c>
      <c r="M3929" t="inlineStr"/>
      <c r="N3929" t="inlineStr">
        <is>
          <t>36E⁸, 2A⁰, 36E³, 18E⁷, 12F³, 6C¹, 6G⁰, 36E⁴, 12E², 2B⁰, 12N¹, 36G⁸, 1A⁰, 9B¹, 18A⁰, 18L², 36H⁶, 6B¹, 18A⁴, 3C⁰, 6A¹, 18E¹, 3A⁰, 6H⁰, 36D³, 6E¹, 6B⁰, 36K⁵, 18A², 36F⁷, 36D⁸, 18E³, 12G⁰, 12C¹, 6A⁰, 9A⁰, 18C³, 12D⁰, 12C², 2C⁰, 6D⁰, 36C²</t>
        </is>
      </c>
      <c r="O3929" t="inlineStr"/>
    </row>
    <row r="3930">
      <c r="A3930">
        <f>HYPERLINK("https://mathstats.uncg.edu/sites/pauli/congruence/csg15.html#group36K15", "36K¹⁵")</f>
        <v/>
      </c>
      <c r="B3930" t="n">
        <v>15</v>
      </c>
      <c r="C3930" t="inlineStr"/>
      <c r="D3930" t="inlineStr">
        <is>
          <t>216</t>
        </is>
      </c>
      <c r="E3930" t="inlineStr">
        <is>
          <t>2</t>
        </is>
      </c>
      <c r="F3930" t="inlineStr">
        <is>
          <t>27</t>
        </is>
      </c>
      <c r="G3930" t="inlineStr">
        <is>
          <t>0</t>
        </is>
      </c>
      <c r="H3930" t="inlineStr">
        <is>
          <t>0</t>
        </is>
      </c>
      <c r="I3930" t="inlineStr">
        <is>
          <t>18⁴, 36⁴</t>
        </is>
      </c>
      <c r="J3930" t="n">
        <v>8</v>
      </c>
      <c r="K3930" t="inlineStr">
        <is>
          <t>2⁹, 6⁶</t>
        </is>
      </c>
      <c r="L3930" t="inlineStr">
        <is>
          <t>12G³, 36R⁴, 18E⁷, 36D⁷, 36E⁷, 36B⁸, 36F⁸, 36G⁸</t>
        </is>
      </c>
      <c r="M3930" t="inlineStr"/>
      <c r="N3930" t="inlineStr">
        <is>
          <t>2A⁰, 12C⁰, 12K¹, 18E⁷, 12D², 6C¹, 36B², 4C⁰, 36R⁴, 6G⁰, 36E⁴, 2B⁰, 12B², 4E⁰, 12E², 36G⁸, 12G³, 1A⁰, 18A⁰, 9B¹, 18L², 4B⁰, 6B¹, 18A⁴, 36E⁷, 3C⁰, 6A¹, 12B¹, 18E¹, 6H⁰, 3A⁰, 6E¹, 6B⁰, 36B⁸, 18A², 36D⁷, 12L¹, 18E³, 6A⁰, 12C¹, 9A⁰, 18C³, 36D⁴, 36F⁸, 12D⁰, 12H⁰, 2C⁰, 6D⁰, 36C²</t>
        </is>
      </c>
      <c r="O3930" t="inlineStr"/>
    </row>
    <row r="3931">
      <c r="A3931">
        <f>HYPERLINK("https://mathstats.uncg.edu/sites/pauli/congruence/csg15.html#group36L15", "36L¹⁵")</f>
        <v/>
      </c>
      <c r="B3931" t="n">
        <v>15</v>
      </c>
      <c r="C3931" t="inlineStr"/>
      <c r="D3931" t="inlineStr">
        <is>
          <t>216</t>
        </is>
      </c>
      <c r="E3931" t="inlineStr">
        <is>
          <t>2</t>
        </is>
      </c>
      <c r="F3931" t="inlineStr">
        <is>
          <t>54</t>
        </is>
      </c>
      <c r="G3931" t="inlineStr">
        <is>
          <t>4</t>
        </is>
      </c>
      <c r="H3931" t="inlineStr">
        <is>
          <t>0</t>
        </is>
      </c>
      <c r="I3931" t="inlineStr">
        <is>
          <t>36⁶</t>
        </is>
      </c>
      <c r="J3931" t="n">
        <v>6</v>
      </c>
      <c r="K3931" t="inlineStr">
        <is>
          <t>4⁹, 12⁶</t>
        </is>
      </c>
      <c r="L3931" t="inlineStr">
        <is>
          <t>12H³, 36C⁵, 36D⁵, 18D⁶</t>
        </is>
      </c>
      <c r="M3931" t="inlineStr"/>
      <c r="N3931" t="inlineStr">
        <is>
          <t>12D¹, 6B⁰, 6H⁰, 18B¹, 6G⁰, 2B⁰, 1A⁰, 9B¹, 18A⁰, 18L², 18E³, 18D⁶, 36C⁵, 18D³, 18H², 6E⁰, 36D⁵, 6L⁰, 9A⁰, 3C⁰, 18G², 18E¹, 3A⁰, 12H³, 18A¹, 6D⁰</t>
        </is>
      </c>
      <c r="O3931" t="inlineStr"/>
    </row>
    <row r="3932">
      <c r="A3932">
        <f>HYPERLINK("https://mathstats.uncg.edu/sites/pauli/congruence/csg15.html#group36M15", "36M¹⁵")</f>
        <v/>
      </c>
      <c r="B3932" t="n">
        <v>15</v>
      </c>
      <c r="C3932" t="inlineStr"/>
      <c r="D3932" t="inlineStr">
        <is>
          <t>216</t>
        </is>
      </c>
      <c r="E3932" t="inlineStr">
        <is>
          <t>2</t>
        </is>
      </c>
      <c r="F3932" t="inlineStr">
        <is>
          <t>54</t>
        </is>
      </c>
      <c r="G3932" t="inlineStr">
        <is>
          <t>4</t>
        </is>
      </c>
      <c r="H3932" t="inlineStr">
        <is>
          <t>0</t>
        </is>
      </c>
      <c r="I3932" t="inlineStr">
        <is>
          <t>36⁶</t>
        </is>
      </c>
      <c r="J3932" t="n">
        <v>6</v>
      </c>
      <c r="K3932" t="inlineStr">
        <is>
          <t>2⁶, 4⁶, 6⁴, 12⁴</t>
        </is>
      </c>
      <c r="L3932" t="inlineStr">
        <is>
          <t>12I³, 36E⁶, 36I⁶, 36E⁷</t>
        </is>
      </c>
      <c r="M3932" t="inlineStr"/>
      <c r="N3932" t="inlineStr">
        <is>
          <t>12C⁰, 36E⁶, 36B², 4C⁰, 6G⁰, 36E⁴, 2B⁰, 12M¹, 1A⁰, 12L¹, 9B¹, 18E³, 36I⁶, 12C¹, 12I³, 9A⁰, 36E⁷, 3C⁰, 18E¹, 3A⁰, 6D⁰</t>
        </is>
      </c>
      <c r="O3932" t="inlineStr"/>
    </row>
    <row r="3933">
      <c r="A3933">
        <f>HYPERLINK("https://mathstats.uncg.edu/sites/pauli/congruence/csg15.html#group36N15", "36N¹⁵")</f>
        <v/>
      </c>
      <c r="B3933" t="n">
        <v>15</v>
      </c>
      <c r="C3933" t="inlineStr"/>
      <c r="D3933" t="inlineStr">
        <is>
          <t>216</t>
        </is>
      </c>
      <c r="E3933" t="inlineStr">
        <is>
          <t>2</t>
        </is>
      </c>
      <c r="F3933" t="inlineStr">
        <is>
          <t>54</t>
        </is>
      </c>
      <c r="G3933" t="inlineStr">
        <is>
          <t>4</t>
        </is>
      </c>
      <c r="H3933" t="inlineStr">
        <is>
          <t>0</t>
        </is>
      </c>
      <c r="I3933" t="inlineStr">
        <is>
          <t>36⁶</t>
        </is>
      </c>
      <c r="J3933" t="n">
        <v>6</v>
      </c>
      <c r="K3933" t="inlineStr">
        <is>
          <t>2⁶, 4⁶, 6⁴, 12⁴</t>
        </is>
      </c>
      <c r="L3933" t="inlineStr">
        <is>
          <t>12J³, 36E⁵, 36F⁶, 36I⁶, 36E⁷</t>
        </is>
      </c>
      <c r="M3933" t="inlineStr"/>
      <c r="N3933" t="inlineStr">
        <is>
          <t>12G¹, 12C⁰, 36B², 4C⁰, 6G⁰, 36E⁴, 2B⁰, 12M¹, 1A⁰, 9B¹, 12J³, 12L¹, 18E³, 36A¹, 36F⁶, 12A⁰, 36I⁶, 12C¹, 4A⁰, 36E⁵, 9A⁰, 36E⁷, 3C⁰, 12J¹, 4F⁰, 18E¹, 3A⁰, 6D⁰</t>
        </is>
      </c>
      <c r="O3933" t="inlineStr"/>
    </row>
    <row r="3934">
      <c r="A3934">
        <f>HYPERLINK("https://mathstats.uncg.edu/sites/pauli/congruence/csg15.html#group36O15", "36O¹⁵")</f>
        <v/>
      </c>
      <c r="B3934" t="n">
        <v>15</v>
      </c>
      <c r="C3934" t="inlineStr"/>
      <c r="D3934" t="inlineStr">
        <is>
          <t>216</t>
        </is>
      </c>
      <c r="E3934" t="inlineStr">
        <is>
          <t>2</t>
        </is>
      </c>
      <c r="F3934" t="inlineStr">
        <is>
          <t>108</t>
        </is>
      </c>
      <c r="G3934" t="inlineStr">
        <is>
          <t>4</t>
        </is>
      </c>
      <c r="H3934" t="inlineStr">
        <is>
          <t>0</t>
        </is>
      </c>
      <c r="I3934" t="inlineStr">
        <is>
          <t>36⁶</t>
        </is>
      </c>
      <c r="J3934" t="n">
        <v>6</v>
      </c>
      <c r="K3934" t="inlineStr">
        <is>
          <t>12¹⁸</t>
        </is>
      </c>
      <c r="L3934" t="inlineStr">
        <is>
          <t>36J⁴, 36K⁴, 36C⁵, 36D⁵, 18E⁶</t>
        </is>
      </c>
      <c r="M3934" t="inlineStr"/>
      <c r="N3934" t="inlineStr">
        <is>
          <t>36K⁴, 36J⁴, 18E⁶, 12D¹, 6B⁰, 18B¹, 18M², 1A⁰, 9B¹, 18A⁰, 36C⁵, 18H², 6E⁰, 36D⁵, 9A⁰, 3C⁰, 18G¹, 18G², 3A⁰, 18A¹</t>
        </is>
      </c>
      <c r="O3934" t="inlineStr"/>
    </row>
    <row r="3935">
      <c r="A3935">
        <f>HYPERLINK("https://mathstats.uncg.edu/sites/pauli/congruence/csg15.html#group36P15", "36P¹⁵")</f>
        <v/>
      </c>
      <c r="B3935" t="n">
        <v>15</v>
      </c>
      <c r="C3935" t="inlineStr"/>
      <c r="D3935" t="inlineStr">
        <is>
          <t>288</t>
        </is>
      </c>
      <c r="E3935" t="inlineStr">
        <is>
          <t>1</t>
        </is>
      </c>
      <c r="F3935" t="inlineStr">
        <is>
          <t>24</t>
        </is>
      </c>
      <c r="G3935" t="inlineStr">
        <is>
          <t>24</t>
        </is>
      </c>
      <c r="H3935" t="inlineStr">
        <is>
          <t>0</t>
        </is>
      </c>
      <c r="I3935" t="inlineStr">
        <is>
          <t>36⁸</t>
        </is>
      </c>
      <c r="J3935" t="n">
        <v>8</v>
      </c>
      <c r="K3935" t="inlineStr">
        <is>
          <t>4⁶</t>
        </is>
      </c>
      <c r="L3935" t="inlineStr">
        <is>
          <t>12M³, 36F³, 36M⁵</t>
        </is>
      </c>
      <c r="M3935" t="inlineStr"/>
      <c r="N3935" t="inlineStr">
        <is>
          <t>12G¹, 12D¹, 6B⁰, 36D², 36H³, 12F⁰, 1A⁰, 18A⁰, 36A¹, 12A⁰, 9D⁰, 18D⁰, 6E⁰, 4A⁰, 9A⁰, 12M³, 36M⁵, 36F³, 12Q¹, 3C⁰, 3A⁰</t>
        </is>
      </c>
      <c r="O3935" t="inlineStr"/>
    </row>
    <row r="3936">
      <c r="A3936">
        <f>HYPERLINK("https://mathstats.uncg.edu/sites/pauli/congruence/csg15.html#group36Q15", "36Q¹⁵")</f>
        <v/>
      </c>
      <c r="B3936" t="n">
        <v>15</v>
      </c>
      <c r="C3936" t="inlineStr"/>
      <c r="D3936" t="inlineStr">
        <is>
          <t>288</t>
        </is>
      </c>
      <c r="E3936" t="inlineStr">
        <is>
          <t>1</t>
        </is>
      </c>
      <c r="F3936" t="inlineStr">
        <is>
          <t>72</t>
        </is>
      </c>
      <c r="G3936" t="inlineStr">
        <is>
          <t>8</t>
        </is>
      </c>
      <c r="H3936" t="inlineStr">
        <is>
          <t>0</t>
        </is>
      </c>
      <c r="I3936" t="inlineStr">
        <is>
          <t>12¹², 36⁴</t>
        </is>
      </c>
      <c r="J3936" t="n">
        <v>16</v>
      </c>
      <c r="K3936" t="inlineStr">
        <is>
          <t>4⁶, 12¹⁰</t>
        </is>
      </c>
      <c r="L3936" t="inlineStr">
        <is>
          <t>12M³, 36H⁴, 36J⁷</t>
        </is>
      </c>
      <c r="M3936" t="inlineStr"/>
      <c r="N3936" t="inlineStr">
        <is>
          <t>12G¹, 12D¹, 6B⁰, 36J⁷, 12F⁰, 36H⁴, 9E⁰, 1A⁰, 12A⁰, 6E⁰, 4A⁰, 12M³, 36M⁴, 12Q¹, 3C⁰, 18F¹, 3A⁰</t>
        </is>
      </c>
      <c r="O3936" t="inlineStr"/>
    </row>
    <row r="3937">
      <c r="A3937">
        <f>HYPERLINK("https://mathstats.uncg.edu/sites/pauli/congruence/csg15.html#group36R15", "36R¹⁵")</f>
        <v/>
      </c>
      <c r="B3937" t="n">
        <v>15</v>
      </c>
      <c r="C3937" t="inlineStr"/>
      <c r="D3937" t="inlineStr">
        <is>
          <t>288</t>
        </is>
      </c>
      <c r="E3937" t="inlineStr">
        <is>
          <t>1</t>
        </is>
      </c>
      <c r="F3937" t="inlineStr">
        <is>
          <t>72</t>
        </is>
      </c>
      <c r="G3937" t="inlineStr">
        <is>
          <t>8</t>
        </is>
      </c>
      <c r="H3937" t="inlineStr">
        <is>
          <t>0</t>
        </is>
      </c>
      <c r="I3937" t="inlineStr">
        <is>
          <t>12¹², 36⁴</t>
        </is>
      </c>
      <c r="J3937" t="n">
        <v>16</v>
      </c>
      <c r="K3937" t="inlineStr">
        <is>
          <t>4⁶, 12¹⁰</t>
        </is>
      </c>
      <c r="L3937" t="inlineStr">
        <is>
          <t>12M³, 36I⁴, 36J⁷</t>
        </is>
      </c>
      <c r="M3937" t="inlineStr"/>
      <c r="N3937" t="inlineStr">
        <is>
          <t>12G¹, 12D¹, 6B⁰, 36J⁷, 36I⁴, 12F⁰, 9E⁰, 1A⁰, 12A⁰, 6E⁰, 4A⁰, 12M³, 36M⁴, 12Q¹, 3C⁰, 18F¹, 3A⁰</t>
        </is>
      </c>
      <c r="O3937" t="inlineStr"/>
    </row>
    <row r="3938">
      <c r="A3938">
        <f>HYPERLINK("https://mathstats.uncg.edu/sites/pauli/congruence/csg15.html#group36S15", "36S¹⁵")</f>
        <v/>
      </c>
      <c r="B3938" t="n">
        <v>15</v>
      </c>
      <c r="C3938" t="inlineStr"/>
      <c r="D3938" t="inlineStr">
        <is>
          <t>288</t>
        </is>
      </c>
      <c r="E3938" t="inlineStr">
        <is>
          <t>1</t>
        </is>
      </c>
      <c r="F3938" t="inlineStr">
        <is>
          <t>144</t>
        </is>
      </c>
      <c r="G3938" t="inlineStr">
        <is>
          <t>8</t>
        </is>
      </c>
      <c r="H3938" t="inlineStr">
        <is>
          <t>0</t>
        </is>
      </c>
      <c r="I3938" t="inlineStr">
        <is>
          <t>12¹², 36⁴</t>
        </is>
      </c>
      <c r="J3938" t="n">
        <v>16</v>
      </c>
      <c r="K3938" t="inlineStr">
        <is>
          <t>4¹², 12²⁰</t>
        </is>
      </c>
      <c r="L3938" t="inlineStr">
        <is>
          <t>12M³, 36J⁴, 36K⁷</t>
        </is>
      </c>
      <c r="M3938" t="inlineStr"/>
      <c r="N3938" t="inlineStr">
        <is>
          <t>12G¹, 36J⁴, 12D¹, 12A⁰, 6B⁰, 6E⁰, 4A⁰, 12M³, 12F⁰, 36K⁷, 12Q¹, 3C⁰, 18G¹, 3A⁰, 1A⁰</t>
        </is>
      </c>
      <c r="O3938" t="inlineStr"/>
    </row>
    <row r="3939">
      <c r="A3939">
        <f>HYPERLINK("https://mathstats.uncg.edu/sites/pauli/congruence/csg15.html#group36T15", "36T¹⁵")</f>
        <v/>
      </c>
      <c r="B3939" t="n">
        <v>15</v>
      </c>
      <c r="C3939" t="inlineStr"/>
      <c r="D3939" t="inlineStr">
        <is>
          <t>288</t>
        </is>
      </c>
      <c r="E3939" t="inlineStr">
        <is>
          <t>1</t>
        </is>
      </c>
      <c r="F3939" t="inlineStr">
        <is>
          <t>144</t>
        </is>
      </c>
      <c r="G3939" t="inlineStr">
        <is>
          <t>8</t>
        </is>
      </c>
      <c r="H3939" t="inlineStr">
        <is>
          <t>0</t>
        </is>
      </c>
      <c r="I3939" t="inlineStr">
        <is>
          <t>12¹², 36⁴</t>
        </is>
      </c>
      <c r="J3939" t="n">
        <v>16</v>
      </c>
      <c r="K3939" t="inlineStr">
        <is>
          <t>4¹², 12²⁰</t>
        </is>
      </c>
      <c r="L3939" t="inlineStr">
        <is>
          <t>12M³, 36K⁴, 36K⁷</t>
        </is>
      </c>
      <c r="M3939" t="inlineStr"/>
      <c r="N3939" t="inlineStr">
        <is>
          <t>12G¹, 36K⁴, 12D¹, 12A⁰, 6B⁰, 6E⁰, 4A⁰, 12M³, 12F⁰, 36K⁷, 12Q¹, 3C⁰, 18G¹, 3A⁰, 1A⁰</t>
        </is>
      </c>
      <c r="O3939" t="inlineStr"/>
    </row>
    <row r="3940">
      <c r="A3940">
        <f>HYPERLINK("https://mathstats.uncg.edu/sites/pauli/congruence/csg15.html#group39A15", "39A¹⁵")</f>
        <v/>
      </c>
      <c r="B3940" t="n">
        <v>15</v>
      </c>
      <c r="C3940" t="inlineStr"/>
      <c r="D3940" t="inlineStr">
        <is>
          <t>273</t>
        </is>
      </c>
      <c r="E3940" t="inlineStr">
        <is>
          <t>1</t>
        </is>
      </c>
      <c r="F3940" t="inlineStr">
        <is>
          <t>91</t>
        </is>
      </c>
      <c r="G3940" t="inlineStr">
        <is>
          <t>21</t>
        </is>
      </c>
      <c r="H3940" t="inlineStr">
        <is>
          <t>0</t>
        </is>
      </c>
      <c r="I3940" t="inlineStr">
        <is>
          <t>39⁷</t>
        </is>
      </c>
      <c r="J3940" t="n">
        <v>7</v>
      </c>
      <c r="K3940" t="inlineStr">
        <is>
          <t>1¹, 6¹, 12⁷</t>
        </is>
      </c>
      <c r="L3940" t="inlineStr">
        <is>
          <t>3A⁰, 13C³</t>
        </is>
      </c>
      <c r="M3940" t="inlineStr"/>
      <c r="N3940" t="inlineStr">
        <is>
          <t>3A⁰, 13C³, 1A⁰</t>
        </is>
      </c>
      <c r="O3940" t="inlineStr"/>
    </row>
    <row r="3941">
      <c r="A3941">
        <f>HYPERLINK("https://mathstats.uncg.edu/sites/pauli/congruence/csg15.html#group40A15", "40A¹⁵")</f>
        <v/>
      </c>
      <c r="B3941" t="n">
        <v>15</v>
      </c>
      <c r="C3941" t="inlineStr"/>
      <c r="D3941" t="inlineStr">
        <is>
          <t>240</t>
        </is>
      </c>
      <c r="E3941" t="inlineStr">
        <is>
          <t>1</t>
        </is>
      </c>
      <c r="F3941" t="inlineStr">
        <is>
          <t>30</t>
        </is>
      </c>
      <c r="G3941" t="inlineStr">
        <is>
          <t>0</t>
        </is>
      </c>
      <c r="H3941" t="inlineStr">
        <is>
          <t>0</t>
        </is>
      </c>
      <c r="I3941" t="inlineStr">
        <is>
          <t>10⁸, 40⁴</t>
        </is>
      </c>
      <c r="J3941" t="n">
        <v>12</v>
      </c>
      <c r="K3941" t="inlineStr">
        <is>
          <t>2³, 4⁶</t>
        </is>
      </c>
      <c r="L3941" t="inlineStr">
        <is>
          <t>20E⁵, 40J⁷</t>
        </is>
      </c>
      <c r="M3941" t="inlineStr"/>
      <c r="N3941" t="inlineStr">
        <is>
          <t>20A², 5A⁰, 20E⁵, 20E³, 10B¹, 5F⁰, 40J⁷, 2B⁰, 20F², 4B⁰, 1A⁰, 10D², 10F¹, 5C⁰</t>
        </is>
      </c>
      <c r="O3941" t="inlineStr"/>
    </row>
    <row r="3942">
      <c r="A3942">
        <f>HYPERLINK("https://mathstats.uncg.edu/sites/pauli/congruence/csg15.html#group40B15", "40B¹⁵")</f>
        <v/>
      </c>
      <c r="B3942" t="n">
        <v>15</v>
      </c>
      <c r="C3942" t="inlineStr"/>
      <c r="D3942" t="inlineStr">
        <is>
          <t>240</t>
        </is>
      </c>
      <c r="E3942" t="inlineStr">
        <is>
          <t>1</t>
        </is>
      </c>
      <c r="F3942" t="inlineStr">
        <is>
          <t>30</t>
        </is>
      </c>
      <c r="G3942" t="inlineStr">
        <is>
          <t>0</t>
        </is>
      </c>
      <c r="H3942" t="inlineStr">
        <is>
          <t>0</t>
        </is>
      </c>
      <c r="I3942" t="inlineStr">
        <is>
          <t>10⁸, 40⁴</t>
        </is>
      </c>
      <c r="J3942" t="n">
        <v>12</v>
      </c>
      <c r="K3942" t="inlineStr">
        <is>
          <t>2³, 4⁶</t>
        </is>
      </c>
      <c r="L3942" t="inlineStr">
        <is>
          <t>20C⁷, 40F⁷, 40H⁷</t>
        </is>
      </c>
      <c r="M3942" t="inlineStr"/>
      <c r="N3942" t="inlineStr">
        <is>
          <t>2A⁰, 20E³, 4C⁰, 10A³, 2B⁰, 4E⁰, 4B⁰, 1A⁰, 20F³, 40F⁷, 10F¹, 40H⁷, 20C⁷, 10C¹, 5C⁰, 2C⁰</t>
        </is>
      </c>
      <c r="O3942" t="inlineStr"/>
    </row>
    <row r="3943">
      <c r="A3943">
        <f>HYPERLINK("https://mathstats.uncg.edu/sites/pauli/congruence/csg15.html#group40C15", "40C¹⁵")</f>
        <v/>
      </c>
      <c r="B3943" t="n">
        <v>15</v>
      </c>
      <c r="C3943" t="inlineStr"/>
      <c r="D3943" t="inlineStr">
        <is>
          <t>240</t>
        </is>
      </c>
      <c r="E3943" t="inlineStr">
        <is>
          <t>1</t>
        </is>
      </c>
      <c r="F3943" t="inlineStr">
        <is>
          <t>30</t>
        </is>
      </c>
      <c r="G3943" t="inlineStr">
        <is>
          <t>0</t>
        </is>
      </c>
      <c r="H3943" t="inlineStr">
        <is>
          <t>0</t>
        </is>
      </c>
      <c r="I3943" t="inlineStr">
        <is>
          <t>10⁸, 40⁴</t>
        </is>
      </c>
      <c r="J3943" t="n">
        <v>12</v>
      </c>
      <c r="K3943" t="inlineStr">
        <is>
          <t>2³, 4⁶</t>
        </is>
      </c>
      <c r="L3943" t="inlineStr">
        <is>
          <t>8G⁰, 20C⁷, 40G⁷, 40I⁷</t>
        </is>
      </c>
      <c r="M3943" t="inlineStr"/>
      <c r="N3943" t="inlineStr">
        <is>
          <t>2A⁰, 40G⁷, 40I⁷, 8D⁰, 20E³, 4C⁰, 10A³, 2B⁰, 8C⁰, 4E⁰, 4B⁰, 1A⁰, 20F³, 10F¹, 8G⁰, 20C⁷, 10C¹, 5C⁰, 2C⁰</t>
        </is>
      </c>
      <c r="O3943" t="inlineStr"/>
    </row>
    <row r="3944">
      <c r="A3944">
        <f>HYPERLINK("https://mathstats.uncg.edu/sites/pauli/congruence/csg15.html#group40D15", "40D¹⁵")</f>
        <v/>
      </c>
      <c r="B3944" t="n">
        <v>15</v>
      </c>
      <c r="C3944" t="inlineStr"/>
      <c r="D3944" t="inlineStr">
        <is>
          <t>240</t>
        </is>
      </c>
      <c r="E3944" t="inlineStr">
        <is>
          <t>1</t>
        </is>
      </c>
      <c r="F3944" t="inlineStr">
        <is>
          <t>60</t>
        </is>
      </c>
      <c r="G3944" t="inlineStr">
        <is>
          <t>0</t>
        </is>
      </c>
      <c r="H3944" t="inlineStr">
        <is>
          <t>0</t>
        </is>
      </c>
      <c r="I3944" t="inlineStr">
        <is>
          <t>10⁸, 40⁴</t>
        </is>
      </c>
      <c r="J3944" t="n">
        <v>12</v>
      </c>
      <c r="K3944" t="inlineStr">
        <is>
          <t>2², 4⁶, 8⁴</t>
        </is>
      </c>
      <c r="L3944" t="inlineStr">
        <is>
          <t>40C⁴, 20D⁷, 40H⁷, 40I⁷</t>
        </is>
      </c>
      <c r="M3944" t="inlineStr"/>
      <c r="N3944" t="inlineStr">
        <is>
          <t>20D⁷, 5A⁰, 40I⁷, 8D⁰, 10B¹, 20B², 4C⁰, 5F⁰, 2B⁰, 1A⁰, 20F³, 10D², 10F¹, 40C⁴, 40H⁷, 20B⁴, 5C⁰</t>
        </is>
      </c>
      <c r="O3944" t="inlineStr"/>
    </row>
    <row r="3945">
      <c r="A3945">
        <f>HYPERLINK("https://mathstats.uncg.edu/sites/pauli/congruence/csg15.html#group40E15", "40E¹⁵")</f>
        <v/>
      </c>
      <c r="B3945" t="n">
        <v>15</v>
      </c>
      <c r="C3945" t="inlineStr"/>
      <c r="D3945" t="inlineStr">
        <is>
          <t>240</t>
        </is>
      </c>
      <c r="E3945" t="inlineStr">
        <is>
          <t>1</t>
        </is>
      </c>
      <c r="F3945" t="inlineStr">
        <is>
          <t>60</t>
        </is>
      </c>
      <c r="G3945" t="inlineStr">
        <is>
          <t>0</t>
        </is>
      </c>
      <c r="H3945" t="inlineStr">
        <is>
          <t>0</t>
        </is>
      </c>
      <c r="I3945" t="inlineStr">
        <is>
          <t>10⁸, 40⁴</t>
        </is>
      </c>
      <c r="J3945" t="n">
        <v>12</v>
      </c>
      <c r="K3945" t="inlineStr">
        <is>
          <t>2⁴, 4⁹, 8²</t>
        </is>
      </c>
      <c r="L3945" t="inlineStr">
        <is>
          <t>20A⁷, 40F⁷, 40G⁷</t>
        </is>
      </c>
      <c r="M3945" t="inlineStr"/>
      <c r="N3945" t="inlineStr">
        <is>
          <t>40G⁷, 10E², 20E³, 10D⁰, 20A⁷, 1A⁰, 8C⁰, 2B⁰, 20B⁴, 4B⁰, 5C⁰, 40F⁷, 10F¹</t>
        </is>
      </c>
      <c r="O3945" t="inlineStr"/>
    </row>
    <row r="3946">
      <c r="A3946">
        <f>HYPERLINK("https://mathstats.uncg.edu/sites/pauli/congruence/csg15.html#group40F15", "40F¹⁵")</f>
        <v/>
      </c>
      <c r="B3946" t="n">
        <v>15</v>
      </c>
      <c r="C3946" t="inlineStr"/>
      <c r="D3946" t="inlineStr">
        <is>
          <t>240</t>
        </is>
      </c>
      <c r="E3946" t="inlineStr">
        <is>
          <t>1</t>
        </is>
      </c>
      <c r="F3946" t="inlineStr">
        <is>
          <t>60</t>
        </is>
      </c>
      <c r="G3946" t="inlineStr">
        <is>
          <t>8</t>
        </is>
      </c>
      <c r="H3946" t="inlineStr">
        <is>
          <t>0</t>
        </is>
      </c>
      <c r="I3946" t="inlineStr">
        <is>
          <t>20⁴, 40⁴</t>
        </is>
      </c>
      <c r="J3946" t="n">
        <v>8</v>
      </c>
      <c r="K3946" t="inlineStr">
        <is>
          <t>2², 4⁶, 8⁴</t>
        </is>
      </c>
      <c r="L3946" t="inlineStr">
        <is>
          <t>20G⁷, 40D⁷, 40I⁷</t>
        </is>
      </c>
      <c r="M3946" t="inlineStr"/>
      <c r="N3946" t="inlineStr">
        <is>
          <t>40I⁷, 8D⁰, 20G⁷, 4C⁰, 10F¹, 1A⁰, 2B⁰, 5C⁰, 20F³, 40D⁷</t>
        </is>
      </c>
      <c r="O3946" t="inlineStr"/>
    </row>
    <row r="3947">
      <c r="A3947">
        <f>HYPERLINK("https://mathstats.uncg.edu/sites/pauli/congruence/csg15.html#group40G15", "40G¹⁵")</f>
        <v/>
      </c>
      <c r="B3947" t="n">
        <v>15</v>
      </c>
      <c r="C3947" t="inlineStr"/>
      <c r="D3947" t="inlineStr">
        <is>
          <t>240</t>
        </is>
      </c>
      <c r="E3947" t="inlineStr">
        <is>
          <t>1</t>
        </is>
      </c>
      <c r="F3947" t="inlineStr">
        <is>
          <t>60</t>
        </is>
      </c>
      <c r="G3947" t="inlineStr">
        <is>
          <t>8</t>
        </is>
      </c>
      <c r="H3947" t="inlineStr">
        <is>
          <t>0</t>
        </is>
      </c>
      <c r="I3947" t="inlineStr">
        <is>
          <t>20⁴, 40⁴</t>
        </is>
      </c>
      <c r="J3947" t="n">
        <v>8</v>
      </c>
      <c r="K3947" t="inlineStr">
        <is>
          <t>2², 4⁶, 8⁴</t>
        </is>
      </c>
      <c r="L3947" t="inlineStr">
        <is>
          <t>20G⁷, 40E⁷, 40H⁷</t>
        </is>
      </c>
      <c r="M3947" t="inlineStr"/>
      <c r="N3947" t="inlineStr">
        <is>
          <t>40E⁷, 20G⁷, 5C⁰, 4C⁰, 40H⁷, 8B⁰, 2B⁰, 1A⁰, 20F³, 10F¹</t>
        </is>
      </c>
      <c r="O3947" t="inlineStr"/>
    </row>
    <row r="3948">
      <c r="A3948">
        <f>HYPERLINK("https://mathstats.uncg.edu/sites/pauli/congruence/csg15.html#group40H15", "40H¹⁵")</f>
        <v/>
      </c>
      <c r="B3948" t="n">
        <v>15</v>
      </c>
      <c r="C3948" t="inlineStr"/>
      <c r="D3948" t="inlineStr">
        <is>
          <t>240</t>
        </is>
      </c>
      <c r="E3948" t="inlineStr">
        <is>
          <t>1</t>
        </is>
      </c>
      <c r="F3948" t="inlineStr">
        <is>
          <t>60</t>
        </is>
      </c>
      <c r="G3948" t="inlineStr">
        <is>
          <t>8</t>
        </is>
      </c>
      <c r="H3948" t="inlineStr">
        <is>
          <t>0</t>
        </is>
      </c>
      <c r="I3948" t="inlineStr">
        <is>
          <t>20⁴, 40⁴</t>
        </is>
      </c>
      <c r="J3948" t="n">
        <v>8</v>
      </c>
      <c r="K3948" t="inlineStr">
        <is>
          <t>2², 4⁶, 8⁴</t>
        </is>
      </c>
      <c r="L3948" t="inlineStr">
        <is>
          <t>20H⁷, 40D⁷, 40H⁷</t>
        </is>
      </c>
      <c r="M3948" t="inlineStr"/>
      <c r="N3948" t="inlineStr">
        <is>
          <t>20H⁷, 4A⁰, 4C⁰, 5C⁰, 40H⁷, 10F¹, 2B⁰, 4F⁰, 1A⁰, 20E², 20F³, 40D⁷</t>
        </is>
      </c>
      <c r="O3948" t="inlineStr"/>
    </row>
    <row r="3949">
      <c r="A3949">
        <f>HYPERLINK("https://mathstats.uncg.edu/sites/pauli/congruence/csg15.html#group40I15", "40I¹⁵")</f>
        <v/>
      </c>
      <c r="B3949" t="n">
        <v>15</v>
      </c>
      <c r="C3949" t="inlineStr"/>
      <c r="D3949" t="inlineStr">
        <is>
          <t>240</t>
        </is>
      </c>
      <c r="E3949" t="inlineStr">
        <is>
          <t>1</t>
        </is>
      </c>
      <c r="F3949" t="inlineStr">
        <is>
          <t>60</t>
        </is>
      </c>
      <c r="G3949" t="inlineStr">
        <is>
          <t>8</t>
        </is>
      </c>
      <c r="H3949" t="inlineStr">
        <is>
          <t>0</t>
        </is>
      </c>
      <c r="I3949" t="inlineStr">
        <is>
          <t>20⁴, 40⁴</t>
        </is>
      </c>
      <c r="J3949" t="n">
        <v>8</v>
      </c>
      <c r="K3949" t="inlineStr">
        <is>
          <t>2², 4⁶, 8⁴</t>
        </is>
      </c>
      <c r="L3949" t="inlineStr">
        <is>
          <t>8H⁰, 20H⁷, 40E⁷, 40I⁷</t>
        </is>
      </c>
      <c r="M3949" t="inlineStr"/>
      <c r="N3949" t="inlineStr">
        <is>
          <t>40I⁷, 8D⁰, 4C⁰, 8B⁰, 2B⁰, 1A⁰, 20F³, 10F¹, 8H⁰, 40E⁷, 20H⁷, 4A⁰, 4F⁰, 5C⁰, 20E²</t>
        </is>
      </c>
      <c r="O3949" t="inlineStr"/>
    </row>
    <row r="3950">
      <c r="A3950">
        <f>HYPERLINK("https://mathstats.uncg.edu/sites/pauli/congruence/csg15.html#group40J15", "40J¹⁵")</f>
        <v/>
      </c>
      <c r="B3950" t="n">
        <v>15</v>
      </c>
      <c r="C3950" t="inlineStr"/>
      <c r="D3950" t="inlineStr">
        <is>
          <t>240</t>
        </is>
      </c>
      <c r="E3950" t="inlineStr">
        <is>
          <t>1</t>
        </is>
      </c>
      <c r="F3950" t="inlineStr">
        <is>
          <t>60</t>
        </is>
      </c>
      <c r="G3950" t="inlineStr">
        <is>
          <t>8</t>
        </is>
      </c>
      <c r="H3950" t="inlineStr">
        <is>
          <t>0</t>
        </is>
      </c>
      <c r="I3950" t="inlineStr">
        <is>
          <t>20⁴, 40⁴</t>
        </is>
      </c>
      <c r="J3950" t="n">
        <v>8</v>
      </c>
      <c r="K3950" t="inlineStr">
        <is>
          <t>2⁴, 4⁹, 8²</t>
        </is>
      </c>
      <c r="L3950" t="inlineStr">
        <is>
          <t>20F⁵</t>
        </is>
      </c>
      <c r="M3950" t="inlineStr"/>
      <c r="N3950" t="inlineStr">
        <is>
          <t>10E², 20F⁵, 10D⁰, 4C⁰, 5C⁰, 2B⁰, 20F², 1A⁰, 20F³, 10F¹</t>
        </is>
      </c>
      <c r="O3950" t="inlineStr"/>
    </row>
    <row r="3951">
      <c r="A3951">
        <f>HYPERLINK("https://mathstats.uncg.edu/sites/pauli/congruence/csg15.html#group40K15", "40K¹⁵")</f>
        <v/>
      </c>
      <c r="B3951" t="n">
        <v>15</v>
      </c>
      <c r="C3951" t="inlineStr"/>
      <c r="D3951" t="inlineStr">
        <is>
          <t>240</t>
        </is>
      </c>
      <c r="E3951" t="inlineStr">
        <is>
          <t>1</t>
        </is>
      </c>
      <c r="F3951" t="inlineStr">
        <is>
          <t>80</t>
        </is>
      </c>
      <c r="G3951" t="inlineStr">
        <is>
          <t>12</t>
        </is>
      </c>
      <c r="H3951" t="inlineStr">
        <is>
          <t>0</t>
        </is>
      </c>
      <c r="I3951" t="inlineStr">
        <is>
          <t>40⁶</t>
        </is>
      </c>
      <c r="J3951" t="n">
        <v>6</v>
      </c>
      <c r="K3951" t="inlineStr">
        <is>
          <t>4⁴, 16⁴</t>
        </is>
      </c>
      <c r="L3951" t="inlineStr">
        <is>
          <t>20D³, 40D⁵</t>
        </is>
      </c>
      <c r="M3951" t="inlineStr"/>
      <c r="N3951" t="inlineStr">
        <is>
          <t>5A⁰, 8F⁰, 4A⁰, 5E⁰, 20A¹, 1A⁰, 40D⁵, 20D³</t>
        </is>
      </c>
      <c r="O3951" t="inlineStr"/>
    </row>
    <row r="3952">
      <c r="A3952">
        <f>HYPERLINK("https://mathstats.uncg.edu/sites/pauli/congruence/csg15.html#group40L15", "40L¹⁵")</f>
        <v/>
      </c>
      <c r="B3952" t="n">
        <v>15</v>
      </c>
      <c r="C3952" t="inlineStr"/>
      <c r="D3952" t="inlineStr">
        <is>
          <t>240</t>
        </is>
      </c>
      <c r="E3952" t="inlineStr">
        <is>
          <t>1</t>
        </is>
      </c>
      <c r="F3952" t="inlineStr">
        <is>
          <t>120</t>
        </is>
      </c>
      <c r="G3952" t="inlineStr">
        <is>
          <t>0</t>
        </is>
      </c>
      <c r="H3952" t="inlineStr">
        <is>
          <t>0</t>
        </is>
      </c>
      <c r="I3952" t="inlineStr">
        <is>
          <t>5⁴, 10², 20², 40⁴</t>
        </is>
      </c>
      <c r="J3952" t="n">
        <v>12</v>
      </c>
      <c r="K3952" t="inlineStr">
        <is>
          <t>2⁴, 4¹⁰, 8⁵, 16²</t>
        </is>
      </c>
      <c r="L3952" t="inlineStr">
        <is>
          <t>40G⁷</t>
        </is>
      </c>
      <c r="M3952" t="inlineStr"/>
      <c r="N3952" t="inlineStr">
        <is>
          <t>40G⁷, 20E³, 1A⁰, 8C⁰, 2B⁰, 4B⁰, 5C⁰, 10F¹</t>
        </is>
      </c>
      <c r="O3952" t="inlineStr"/>
    </row>
    <row r="3953">
      <c r="A3953">
        <f>HYPERLINK("https://mathstats.uncg.edu/sites/pauli/congruence/csg15.html#group40M15", "40M¹⁵")</f>
        <v/>
      </c>
      <c r="B3953" t="n">
        <v>15</v>
      </c>
      <c r="C3953" t="inlineStr"/>
      <c r="D3953" t="inlineStr">
        <is>
          <t>240</t>
        </is>
      </c>
      <c r="E3953" t="inlineStr">
        <is>
          <t>1</t>
        </is>
      </c>
      <c r="F3953" t="inlineStr">
        <is>
          <t>120</t>
        </is>
      </c>
      <c r="G3953" t="inlineStr">
        <is>
          <t>0</t>
        </is>
      </c>
      <c r="H3953" t="inlineStr">
        <is>
          <t>0</t>
        </is>
      </c>
      <c r="I3953" t="inlineStr">
        <is>
          <t>5⁴, 10², 20², 40⁴</t>
        </is>
      </c>
      <c r="J3953" t="n">
        <v>12</v>
      </c>
      <c r="K3953" t="inlineStr">
        <is>
          <t>2⁴, 4¹⁰, 8⁵, 16²</t>
        </is>
      </c>
      <c r="L3953" t="inlineStr">
        <is>
          <t>8I⁰, 40G⁷</t>
        </is>
      </c>
      <c r="M3953" t="inlineStr"/>
      <c r="N3953" t="inlineStr">
        <is>
          <t>40G⁷, 20E³, 1A⁰, 8C⁰, 2B⁰, 8I⁰, 4B⁰, 5C⁰, 10F¹</t>
        </is>
      </c>
      <c r="O3953" t="inlineStr"/>
    </row>
    <row r="3954">
      <c r="A3954">
        <f>HYPERLINK("https://mathstats.uncg.edu/sites/pauli/congruence/csg15.html#group40N15", "40N¹⁵")</f>
        <v/>
      </c>
      <c r="B3954" t="n">
        <v>15</v>
      </c>
      <c r="C3954" t="inlineStr"/>
      <c r="D3954" t="inlineStr">
        <is>
          <t>240</t>
        </is>
      </c>
      <c r="E3954" t="inlineStr">
        <is>
          <t>1</t>
        </is>
      </c>
      <c r="F3954" t="inlineStr">
        <is>
          <t>120</t>
        </is>
      </c>
      <c r="G3954" t="inlineStr">
        <is>
          <t>0</t>
        </is>
      </c>
      <c r="H3954" t="inlineStr">
        <is>
          <t>0</t>
        </is>
      </c>
      <c r="I3954" t="inlineStr">
        <is>
          <t>10⁴, 20⁶, 40²</t>
        </is>
      </c>
      <c r="J3954" t="n">
        <v>12</v>
      </c>
      <c r="K3954" t="inlineStr">
        <is>
          <t>2⁸, 4¹⁸, 8⁴</t>
        </is>
      </c>
      <c r="L3954" t="inlineStr">
        <is>
          <t>20C⁷</t>
        </is>
      </c>
      <c r="M3954" t="inlineStr"/>
      <c r="N3954" t="inlineStr">
        <is>
          <t>2A⁰, 20E³, 4C⁰, 5C⁰, 20C⁷, 10A³, 10C¹, 4E⁰, 2B⁰, 4B⁰, 1A⁰, 2C⁰, 20F³, 10F¹</t>
        </is>
      </c>
      <c r="O3954" t="inlineStr"/>
    </row>
    <row r="3955">
      <c r="A3955">
        <f>HYPERLINK("https://mathstats.uncg.edu/sites/pauli/congruence/csg15.html#group40O15", "40O¹⁵")</f>
        <v/>
      </c>
      <c r="B3955" t="n">
        <v>15</v>
      </c>
      <c r="C3955" t="inlineStr"/>
      <c r="D3955" t="inlineStr">
        <is>
          <t>240</t>
        </is>
      </c>
      <c r="E3955" t="inlineStr">
        <is>
          <t>1</t>
        </is>
      </c>
      <c r="F3955" t="inlineStr">
        <is>
          <t>120</t>
        </is>
      </c>
      <c r="G3955" t="inlineStr">
        <is>
          <t>0</t>
        </is>
      </c>
      <c r="H3955" t="inlineStr">
        <is>
          <t>0</t>
        </is>
      </c>
      <c r="I3955" t="inlineStr">
        <is>
          <t>10⁴, 20⁶, 40²</t>
        </is>
      </c>
      <c r="J3955" t="n">
        <v>12</v>
      </c>
      <c r="K3955" t="inlineStr">
        <is>
          <t>2⁸, 4¹⁸, 8⁴</t>
        </is>
      </c>
      <c r="L3955" t="inlineStr">
        <is>
          <t>8J⁰, 20C⁷</t>
        </is>
      </c>
      <c r="M3955" t="inlineStr"/>
      <c r="N3955" t="inlineStr">
        <is>
          <t>2A⁰, 20E³, 4C⁰, 5C⁰, 10A³, 2B⁰, 4E⁰, 4B⁰, 1A⁰, 20F³, 10F¹, 20C⁷, 10C¹, 8J⁰, 2C⁰</t>
        </is>
      </c>
      <c r="O3955" t="inlineStr"/>
    </row>
    <row r="3956">
      <c r="A3956">
        <f>HYPERLINK("https://mathstats.uncg.edu/sites/pauli/congruence/csg15.html#group40P15", "40P¹⁵")</f>
        <v/>
      </c>
      <c r="B3956" t="n">
        <v>15</v>
      </c>
      <c r="C3956" t="inlineStr"/>
      <c r="D3956" t="inlineStr">
        <is>
          <t>240</t>
        </is>
      </c>
      <c r="E3956" t="inlineStr">
        <is>
          <t>1</t>
        </is>
      </c>
      <c r="F3956" t="inlineStr">
        <is>
          <t>120</t>
        </is>
      </c>
      <c r="G3956" t="inlineStr">
        <is>
          <t>4</t>
        </is>
      </c>
      <c r="H3956" t="inlineStr">
        <is>
          <t>0</t>
        </is>
      </c>
      <c r="I3956" t="inlineStr">
        <is>
          <t>20⁸, 40²</t>
        </is>
      </c>
      <c r="J3956" t="n">
        <v>10</v>
      </c>
      <c r="K3956" t="inlineStr">
        <is>
          <t>4², 8⁶, 16⁴</t>
        </is>
      </c>
      <c r="L3956" t="inlineStr">
        <is>
          <t>20H⁷</t>
        </is>
      </c>
      <c r="M3956" t="inlineStr"/>
      <c r="N3956" t="inlineStr">
        <is>
          <t>20H⁷, 4A⁰, 4C⁰, 5C⁰, 2B⁰, 4F⁰, 1A⁰, 20E², 20F³, 10F¹</t>
        </is>
      </c>
      <c r="O3956" t="inlineStr"/>
    </row>
    <row r="3957">
      <c r="A3957">
        <f>HYPERLINK("https://mathstats.uncg.edu/sites/pauli/congruence/csg15.html#group40Q15", "40Q¹⁵")</f>
        <v/>
      </c>
      <c r="B3957" t="n">
        <v>15</v>
      </c>
      <c r="C3957" t="inlineStr"/>
      <c r="D3957" t="inlineStr">
        <is>
          <t>240</t>
        </is>
      </c>
      <c r="E3957" t="inlineStr">
        <is>
          <t>1</t>
        </is>
      </c>
      <c r="F3957" t="inlineStr">
        <is>
          <t>120</t>
        </is>
      </c>
      <c r="G3957" t="inlineStr">
        <is>
          <t>4</t>
        </is>
      </c>
      <c r="H3957" t="inlineStr">
        <is>
          <t>0</t>
        </is>
      </c>
      <c r="I3957" t="inlineStr">
        <is>
          <t>20⁸, 40²</t>
        </is>
      </c>
      <c r="J3957" t="n">
        <v>10</v>
      </c>
      <c r="K3957" t="inlineStr">
        <is>
          <t>4², 8⁶, 16⁴</t>
        </is>
      </c>
      <c r="L3957" t="inlineStr">
        <is>
          <t>8K⁰, 20H⁷</t>
        </is>
      </c>
      <c r="M3957" t="inlineStr"/>
      <c r="N3957" t="inlineStr">
        <is>
          <t>20H⁷, 4A⁰, 4C⁰, 5C⁰, 1A⁰, 2B⁰, 4F⁰, 8K⁰, 20E², 20F³, 10F¹</t>
        </is>
      </c>
      <c r="O3957" t="inlineStr"/>
    </row>
    <row r="3958">
      <c r="A3958">
        <f>HYPERLINK("https://mathstats.uncg.edu/sites/pauli/congruence/csg15.html#group40R15", "40R¹⁵")</f>
        <v/>
      </c>
      <c r="B3958" t="n">
        <v>15</v>
      </c>
      <c r="C3958" t="inlineStr"/>
      <c r="D3958" t="inlineStr">
        <is>
          <t>240</t>
        </is>
      </c>
      <c r="E3958" t="inlineStr">
        <is>
          <t>1</t>
        </is>
      </c>
      <c r="F3958" t="inlineStr">
        <is>
          <t>120</t>
        </is>
      </c>
      <c r="G3958" t="inlineStr">
        <is>
          <t>8</t>
        </is>
      </c>
      <c r="H3958" t="inlineStr">
        <is>
          <t>0</t>
        </is>
      </c>
      <c r="I3958" t="inlineStr">
        <is>
          <t>20⁴, 40⁴</t>
        </is>
      </c>
      <c r="J3958" t="n">
        <v>8</v>
      </c>
      <c r="K3958" t="inlineStr">
        <is>
          <t>2⁴, 4¹⁰, 8⁵, 16²</t>
        </is>
      </c>
      <c r="L3958" t="inlineStr">
        <is>
          <t>40E⁷</t>
        </is>
      </c>
      <c r="M3958" t="inlineStr"/>
      <c r="N3958" t="inlineStr">
        <is>
          <t>40E⁷, 4C⁰, 8B⁰, 1A⁰, 2B⁰, 5C⁰, 20F³, 10F¹</t>
        </is>
      </c>
      <c r="O3958" t="inlineStr"/>
    </row>
    <row r="3959">
      <c r="A3959">
        <f>HYPERLINK("https://mathstats.uncg.edu/sites/pauli/congruence/csg15.html#group40S15", "40S¹⁵")</f>
        <v/>
      </c>
      <c r="B3959" t="n">
        <v>15</v>
      </c>
      <c r="C3959" t="inlineStr"/>
      <c r="D3959" t="inlineStr">
        <is>
          <t>240</t>
        </is>
      </c>
      <c r="E3959" t="inlineStr">
        <is>
          <t>1</t>
        </is>
      </c>
      <c r="F3959" t="inlineStr">
        <is>
          <t>120</t>
        </is>
      </c>
      <c r="G3959" t="inlineStr">
        <is>
          <t>8</t>
        </is>
      </c>
      <c r="H3959" t="inlineStr">
        <is>
          <t>0</t>
        </is>
      </c>
      <c r="I3959" t="inlineStr">
        <is>
          <t>20⁴, 40⁴</t>
        </is>
      </c>
      <c r="J3959" t="n">
        <v>8</v>
      </c>
      <c r="K3959" t="inlineStr">
        <is>
          <t>2⁴, 4¹⁰, 8⁵, 16²</t>
        </is>
      </c>
      <c r="L3959" t="inlineStr">
        <is>
          <t>8L⁰, 40E⁷</t>
        </is>
      </c>
      <c r="M3959" t="inlineStr"/>
      <c r="N3959" t="inlineStr">
        <is>
          <t>40E⁷, 4C⁰, 5C⁰, 8B⁰, 8L⁰, 2B⁰, 1A⁰, 20F³, 10F¹</t>
        </is>
      </c>
      <c r="O3959" t="inlineStr"/>
    </row>
    <row r="3960">
      <c r="A3960">
        <f>HYPERLINK("https://mathstats.uncg.edu/sites/pauli/congruence/csg15.html#group40T15", "40T¹⁵")</f>
        <v/>
      </c>
      <c r="B3960" t="n">
        <v>15</v>
      </c>
      <c r="C3960" t="inlineStr"/>
      <c r="D3960" t="inlineStr">
        <is>
          <t>240</t>
        </is>
      </c>
      <c r="E3960" t="inlineStr">
        <is>
          <t>2</t>
        </is>
      </c>
      <c r="F3960" t="inlineStr">
        <is>
          <t>30</t>
        </is>
      </c>
      <c r="G3960" t="inlineStr">
        <is>
          <t>0</t>
        </is>
      </c>
      <c r="H3960" t="inlineStr">
        <is>
          <t>0</t>
        </is>
      </c>
      <c r="I3960" t="inlineStr">
        <is>
          <t>10⁸, 40⁴</t>
        </is>
      </c>
      <c r="J3960" t="n">
        <v>12</v>
      </c>
      <c r="K3960" t="inlineStr">
        <is>
          <t>4³, 8⁶</t>
        </is>
      </c>
      <c r="L3960" t="inlineStr">
        <is>
          <t>40K⁵, 20B⁷, 40J⁷</t>
        </is>
      </c>
      <c r="M3960" t="inlineStr"/>
      <c r="N3960" t="inlineStr">
        <is>
          <t>2A⁰, 20B⁷, 2C⁰, 5C⁰, 40J⁷, 2B⁰, 20B⁴, 10A³, 20F², 10C¹, 1A⁰, 40K⁵, 10F¹</t>
        </is>
      </c>
      <c r="O3960" t="inlineStr"/>
    </row>
    <row r="3961">
      <c r="A3961">
        <f>HYPERLINK("https://mathstats.uncg.edu/sites/pauli/congruence/csg15.html#group40U15", "40U¹⁵")</f>
        <v/>
      </c>
      <c r="B3961" t="n">
        <v>15</v>
      </c>
      <c r="C3961" t="inlineStr"/>
      <c r="D3961" t="inlineStr">
        <is>
          <t>288</t>
        </is>
      </c>
      <c r="E3961" t="inlineStr">
        <is>
          <t>1</t>
        </is>
      </c>
      <c r="F3961" t="inlineStr">
        <is>
          <t>18</t>
        </is>
      </c>
      <c r="G3961" t="inlineStr">
        <is>
          <t>0</t>
        </is>
      </c>
      <c r="H3961" t="inlineStr">
        <is>
          <t>0</t>
        </is>
      </c>
      <c r="I3961" t="inlineStr">
        <is>
          <t>4⁸, 8², 20⁸, 40²</t>
        </is>
      </c>
      <c r="J3961" t="n">
        <v>20</v>
      </c>
      <c r="K3961" t="inlineStr">
        <is>
          <t>1⁶, 4³</t>
        </is>
      </c>
      <c r="L3961" t="inlineStr">
        <is>
          <t>20K⁷, 40W⁷, 40Y⁷</t>
        </is>
      </c>
      <c r="M3961" t="inlineStr"/>
      <c r="N3961" t="inlineStr">
        <is>
          <t>20E¹, 2A⁰, 40W⁷, 4C⁰, 20C³, 5B⁰, 10A¹, 4G⁰, 20D¹, 4E⁰, 2B⁰, 4B⁰, 1A⁰, 20L³, 20B¹, 20K⁷, 4A⁰, 4D⁰, 10C⁰, 40Y⁷, 4F⁰, 20J³, 2C⁰, 10G¹</t>
        </is>
      </c>
      <c r="O3961" t="inlineStr"/>
    </row>
    <row r="3962">
      <c r="A3962">
        <f>HYPERLINK("https://mathstats.uncg.edu/sites/pauli/congruence/csg15.html#group40V15", "40V¹⁵")</f>
        <v/>
      </c>
      <c r="B3962" t="n">
        <v>15</v>
      </c>
      <c r="C3962" t="inlineStr"/>
      <c r="D3962" t="inlineStr">
        <is>
          <t>288</t>
        </is>
      </c>
      <c r="E3962" t="inlineStr">
        <is>
          <t>1</t>
        </is>
      </c>
      <c r="F3962" t="inlineStr">
        <is>
          <t>18</t>
        </is>
      </c>
      <c r="G3962" t="inlineStr">
        <is>
          <t>0</t>
        </is>
      </c>
      <c r="H3962" t="inlineStr">
        <is>
          <t>0</t>
        </is>
      </c>
      <c r="I3962" t="inlineStr">
        <is>
          <t>4⁸, 8², 20⁸, 40²</t>
        </is>
      </c>
      <c r="J3962" t="n">
        <v>20</v>
      </c>
      <c r="K3962" t="inlineStr">
        <is>
          <t>1⁶, 4³</t>
        </is>
      </c>
      <c r="L3962" t="inlineStr">
        <is>
          <t>8N⁰, 20K⁷, 40X⁷, 40Z⁷</t>
        </is>
      </c>
      <c r="M3962" t="inlineStr"/>
      <c r="N3962" t="inlineStr">
        <is>
          <t>2A⁰, 20E¹, 8N⁰, 4C⁰, 20C³, 40X⁷, 5B⁰, 10A¹, 4G⁰, 2B⁰, 4E⁰, 20D¹, 4B⁰, 8J⁰, 1A⁰, 8K⁰, 20B¹, 20L³, 20K⁷, 4A⁰, 4D⁰, 10C⁰, 4F⁰, 40Z⁷, 20J³, 2C⁰, 10G¹</t>
        </is>
      </c>
      <c r="O3962" t="inlineStr"/>
    </row>
    <row r="3963">
      <c r="A3963">
        <f>HYPERLINK("https://mathstats.uncg.edu/sites/pauli/congruence/csg15.html#group40W15", "40W¹⁵")</f>
        <v/>
      </c>
      <c r="B3963" t="n">
        <v>15</v>
      </c>
      <c r="C3963" t="inlineStr"/>
      <c r="D3963" t="inlineStr">
        <is>
          <t>288</t>
        </is>
      </c>
      <c r="E3963" t="inlineStr">
        <is>
          <t>1</t>
        </is>
      </c>
      <c r="F3963" t="inlineStr">
        <is>
          <t>36</t>
        </is>
      </c>
      <c r="G3963" t="inlineStr">
        <is>
          <t>0</t>
        </is>
      </c>
      <c r="H3963" t="inlineStr">
        <is>
          <t>0</t>
        </is>
      </c>
      <c r="I3963" t="inlineStr">
        <is>
          <t>2⁴, 4², 8⁴, 10⁴, 20², 40⁴</t>
        </is>
      </c>
      <c r="J3963" t="n">
        <v>20</v>
      </c>
      <c r="K3963" t="inlineStr">
        <is>
          <t>1⁸, 2², 4⁴, 8¹</t>
        </is>
      </c>
      <c r="L3963" t="inlineStr">
        <is>
          <t>40M⁷, 40U⁷, 40W⁷</t>
        </is>
      </c>
      <c r="M3963" t="inlineStr"/>
      <c r="N3963" t="inlineStr">
        <is>
          <t>20E¹, 2A⁰, 40U⁷, 40H³, 40W⁷, 8D⁰, 4C⁰, 5B⁰, 10A¹, 20D¹, 8C⁰, 2B⁰, 4E⁰, 4B⁰, 1A⁰, 40F³, 40M⁷, 8G⁰, 10C⁰, 20J³, 2C⁰, 10G¹</t>
        </is>
      </c>
      <c r="O3963" t="inlineStr"/>
    </row>
    <row r="3964">
      <c r="A3964">
        <f>HYPERLINK("https://mathstats.uncg.edu/sites/pauli/congruence/csg15.html#group40X15", "40X¹⁵")</f>
        <v/>
      </c>
      <c r="B3964" t="n">
        <v>15</v>
      </c>
      <c r="C3964" t="inlineStr"/>
      <c r="D3964" t="inlineStr">
        <is>
          <t>288</t>
        </is>
      </c>
      <c r="E3964" t="inlineStr">
        <is>
          <t>1</t>
        </is>
      </c>
      <c r="F3964" t="inlineStr">
        <is>
          <t>36</t>
        </is>
      </c>
      <c r="G3964" t="inlineStr">
        <is>
          <t>0</t>
        </is>
      </c>
      <c r="H3964" t="inlineStr">
        <is>
          <t>0</t>
        </is>
      </c>
      <c r="I3964" t="inlineStr">
        <is>
          <t>2⁴, 4², 8⁴, 10⁴, 20², 40⁴</t>
        </is>
      </c>
      <c r="J3964" t="n">
        <v>20</v>
      </c>
      <c r="K3964" t="inlineStr">
        <is>
          <t>1⁸, 2², 4⁴, 8¹</t>
        </is>
      </c>
      <c r="L3964" t="inlineStr">
        <is>
          <t>8O⁰, 40M⁷, 40V⁷, 40X⁷</t>
        </is>
      </c>
      <c r="M3964" t="inlineStr"/>
      <c r="N3964" t="inlineStr">
        <is>
          <t>2A⁰, 20E¹, 40H³, 8D⁰, 4C⁰, 40X⁷, 5B⁰, 10A¹, 2B⁰, 4E⁰, 20D¹, 8C⁰, 4B⁰, 8J⁰, 1A⁰, 8I⁰, 40V⁷, 40F³, 40M⁷, 8G⁰, 10C⁰, 20J³, 2C⁰, 10G¹, 8O⁰</t>
        </is>
      </c>
      <c r="O3964" t="inlineStr"/>
    </row>
    <row r="3965">
      <c r="A3965">
        <f>HYPERLINK("https://mathstats.uncg.edu/sites/pauli/congruence/csg15.html#group40Y15", "40Y¹⁵")</f>
        <v/>
      </c>
      <c r="B3965" t="n">
        <v>15</v>
      </c>
      <c r="C3965" t="inlineStr"/>
      <c r="D3965" t="inlineStr">
        <is>
          <t>288</t>
        </is>
      </c>
      <c r="E3965" t="inlineStr">
        <is>
          <t>1</t>
        </is>
      </c>
      <c r="F3965" t="inlineStr">
        <is>
          <t>36</t>
        </is>
      </c>
      <c r="G3965" t="inlineStr">
        <is>
          <t>0</t>
        </is>
      </c>
      <c r="H3965" t="inlineStr">
        <is>
          <t>0</t>
        </is>
      </c>
      <c r="I3965" t="inlineStr">
        <is>
          <t>4⁸, 8², 20⁸, 40²</t>
        </is>
      </c>
      <c r="J3965" t="n">
        <v>20</v>
      </c>
      <c r="K3965" t="inlineStr">
        <is>
          <t>1⁴, 2⁴, 4², 8²</t>
        </is>
      </c>
      <c r="L3965" t="inlineStr">
        <is>
          <t>20L⁷</t>
        </is>
      </c>
      <c r="M3965" t="inlineStr"/>
      <c r="N3965" t="inlineStr">
        <is>
          <t>2A⁰, 20E¹, 20L⁷, 4C⁰, 5B⁰, 10A¹, 2B⁰, 20D¹, 4E⁰, 20K³, 4B⁰, 1A⁰, 20A⁰, 10C⁰, 20I³, 20J³, 2C⁰, 20C², 10G¹</t>
        </is>
      </c>
      <c r="O3965" t="inlineStr"/>
    </row>
    <row r="3966">
      <c r="A3966">
        <f>HYPERLINK("https://mathstats.uncg.edu/sites/pauli/congruence/csg15.html#group40Z15", "40Z¹⁵")</f>
        <v/>
      </c>
      <c r="B3966" t="n">
        <v>15</v>
      </c>
      <c r="C3966" t="inlineStr"/>
      <c r="D3966" t="inlineStr">
        <is>
          <t>288</t>
        </is>
      </c>
      <c r="E3966" t="inlineStr">
        <is>
          <t>1</t>
        </is>
      </c>
      <c r="F3966" t="inlineStr">
        <is>
          <t>72</t>
        </is>
      </c>
      <c r="G3966" t="inlineStr">
        <is>
          <t>0</t>
        </is>
      </c>
      <c r="H3966" t="inlineStr">
        <is>
          <t>0</t>
        </is>
      </c>
      <c r="I3966" t="inlineStr">
        <is>
          <t>2⁴, 4², 8⁴, 10⁴, 20², 40⁴</t>
        </is>
      </c>
      <c r="J3966" t="n">
        <v>20</v>
      </c>
      <c r="K3966" t="inlineStr">
        <is>
          <t>1⁸, 2⁴, 4⁶, 8², 16¹</t>
        </is>
      </c>
      <c r="L3966" t="inlineStr">
        <is>
          <t>40O⁷</t>
        </is>
      </c>
      <c r="M3966" t="inlineStr"/>
      <c r="N3966" t="inlineStr">
        <is>
          <t>20H³, 10G⁰, 40F³, 40O⁷, 5B⁰, 10C⁰, 40E³, 20D¹, 8C⁰, 2B⁰, 4B⁰, 1A⁰, 20C², 10B⁰</t>
        </is>
      </c>
      <c r="O3966" t="inlineStr"/>
    </row>
    <row r="3967">
      <c r="A3967">
        <f>HYPERLINK("https://mathstats.uncg.edu/sites/pauli/congruence/csg15.html#group40AA15", "40AA¹⁵")</f>
        <v/>
      </c>
      <c r="B3967" t="n">
        <v>15</v>
      </c>
      <c r="C3967" t="inlineStr"/>
      <c r="D3967" t="inlineStr">
        <is>
          <t>288</t>
        </is>
      </c>
      <c r="E3967" t="inlineStr">
        <is>
          <t>1</t>
        </is>
      </c>
      <c r="F3967" t="inlineStr">
        <is>
          <t>72</t>
        </is>
      </c>
      <c r="G3967" t="inlineStr">
        <is>
          <t>0</t>
        </is>
      </c>
      <c r="H3967" t="inlineStr">
        <is>
          <t>0</t>
        </is>
      </c>
      <c r="I3967" t="inlineStr">
        <is>
          <t>2⁴, 4², 8⁴, 10⁴, 20², 40⁴</t>
        </is>
      </c>
      <c r="J3967" t="n">
        <v>20</v>
      </c>
      <c r="K3967" t="inlineStr">
        <is>
          <t>1⁸, 2⁴, 4⁶, 8², 16¹</t>
        </is>
      </c>
      <c r="L3967" t="inlineStr">
        <is>
          <t>40O⁷, 40U⁷, 40V⁷</t>
        </is>
      </c>
      <c r="M3967" t="inlineStr"/>
      <c r="N3967" t="inlineStr">
        <is>
          <t>40U⁷, 10G⁰, 40O⁷, 5B⁰, 20D¹, 8C⁰, 2B⁰, 8I⁰, 4B⁰, 1A⁰, 20H³, 40V⁷, 10B⁰, 40F³, 10C⁰, 40E³, 20C²</t>
        </is>
      </c>
      <c r="O3967" t="inlineStr"/>
    </row>
    <row r="3968">
      <c r="A3968">
        <f>HYPERLINK("https://mathstats.uncg.edu/sites/pauli/congruence/csg15.html#group40AB15", "40AB¹⁵")</f>
        <v/>
      </c>
      <c r="B3968" t="n">
        <v>15</v>
      </c>
      <c r="C3968" t="inlineStr"/>
      <c r="D3968" t="inlineStr">
        <is>
          <t>288</t>
        </is>
      </c>
      <c r="E3968" t="inlineStr">
        <is>
          <t>1</t>
        </is>
      </c>
      <c r="F3968" t="inlineStr">
        <is>
          <t>72</t>
        </is>
      </c>
      <c r="G3968" t="inlineStr">
        <is>
          <t>0</t>
        </is>
      </c>
      <c r="H3968" t="inlineStr">
        <is>
          <t>0</t>
        </is>
      </c>
      <c r="I3968" t="inlineStr">
        <is>
          <t>2⁴, 4², 8⁴, 10⁴, 20², 40⁴</t>
        </is>
      </c>
      <c r="J3968" t="n">
        <v>20</v>
      </c>
      <c r="K3968" t="inlineStr">
        <is>
          <t>1¹⁶, 2⁴, 4⁸, 8²</t>
        </is>
      </c>
      <c r="L3968" t="inlineStr">
        <is>
          <t>40L⁷, 40W⁷, 40X⁷</t>
        </is>
      </c>
      <c r="M3968" t="inlineStr"/>
      <c r="N3968" t="inlineStr">
        <is>
          <t>2A⁰, 20E¹, 40L⁷, 40W⁷, 4C⁰, 40X⁷, 5B⁰, 10A¹, 2B⁰, 4E⁰, 20D¹, 4B⁰, 8J⁰, 1A⁰, 10C⁰, 40E³, 20J³, 2C⁰, 10G¹, 40G³</t>
        </is>
      </c>
      <c r="O3968" t="inlineStr"/>
    </row>
    <row r="3969">
      <c r="A3969">
        <f>HYPERLINK("https://mathstats.uncg.edu/sites/pauli/congruence/csg15.html#group40AC15", "40AC¹⁵")</f>
        <v/>
      </c>
      <c r="B3969" t="n">
        <v>15</v>
      </c>
      <c r="C3969" t="inlineStr"/>
      <c r="D3969" t="inlineStr">
        <is>
          <t>288</t>
        </is>
      </c>
      <c r="E3969" t="inlineStr">
        <is>
          <t>1</t>
        </is>
      </c>
      <c r="F3969" t="inlineStr">
        <is>
          <t>72</t>
        </is>
      </c>
      <c r="G3969" t="inlineStr">
        <is>
          <t>0</t>
        </is>
      </c>
      <c r="H3969" t="inlineStr">
        <is>
          <t>0</t>
        </is>
      </c>
      <c r="I3969" t="inlineStr">
        <is>
          <t>4⁸, 8², 20⁸, 40²</t>
        </is>
      </c>
      <c r="J3969" t="n">
        <v>20</v>
      </c>
      <c r="K3969" t="inlineStr">
        <is>
          <t>2⁴, 4⁴, 8², 16²</t>
        </is>
      </c>
      <c r="L3969" t="inlineStr">
        <is>
          <t>20M⁷, 40Y⁷, 40Z⁷</t>
        </is>
      </c>
      <c r="M3969" t="inlineStr"/>
      <c r="N3969" t="inlineStr">
        <is>
          <t>20E¹, 20M⁷, 4C⁰, 20G³, 5B⁰, 5D⁰, 2B⁰, 20K³, 8K⁰, 1A⁰, 20B³, 20B¹, 10F⁰, 4A⁰, 10C⁰, 40Y⁷, 4F⁰, 40Z⁷, 20L³, 20C²</t>
        </is>
      </c>
      <c r="O3969" t="inlineStr"/>
    </row>
    <row r="3970">
      <c r="A3970">
        <f>HYPERLINK("https://mathstats.uncg.edu/sites/pauli/congruence/csg15.html#group40AD15", "40AD¹⁵")</f>
        <v/>
      </c>
      <c r="B3970" t="n">
        <v>15</v>
      </c>
      <c r="C3970" t="inlineStr"/>
      <c r="D3970" t="inlineStr">
        <is>
          <t>288</t>
        </is>
      </c>
      <c r="E3970" t="inlineStr">
        <is>
          <t>1</t>
        </is>
      </c>
      <c r="F3970" t="inlineStr">
        <is>
          <t>72</t>
        </is>
      </c>
      <c r="G3970" t="inlineStr">
        <is>
          <t>0</t>
        </is>
      </c>
      <c r="H3970" t="inlineStr">
        <is>
          <t>0</t>
        </is>
      </c>
      <c r="I3970" t="inlineStr">
        <is>
          <t>4⁸, 8², 20⁸, 40²</t>
        </is>
      </c>
      <c r="J3970" t="n">
        <v>20</v>
      </c>
      <c r="K3970" t="inlineStr">
        <is>
          <t>1¹⁶, 2⁴, 4⁸, 8²</t>
        </is>
      </c>
      <c r="L3970" t="inlineStr">
        <is>
          <t>20L⁷, 40W⁷, 40X⁷</t>
        </is>
      </c>
      <c r="M3970" t="inlineStr"/>
      <c r="N3970" t="inlineStr">
        <is>
          <t>2A⁰, 20E¹, 20L⁷, 40W⁷, 4C⁰, 40X⁷, 5B⁰, 10A¹, 2B⁰, 4E⁰, 20D¹, 4B⁰, 8J⁰, 1A⁰, 20K³, 20A⁰, 10C⁰, 20I³, 20J³, 2C⁰, 20C², 10G¹</t>
        </is>
      </c>
      <c r="O3970" t="inlineStr"/>
    </row>
    <row r="3971">
      <c r="A3971">
        <f>HYPERLINK("https://mathstats.uncg.edu/sites/pauli/congruence/csg15.html#group40AE15", "40AE¹⁵")</f>
        <v/>
      </c>
      <c r="B3971" t="n">
        <v>15</v>
      </c>
      <c r="C3971" t="inlineStr"/>
      <c r="D3971" t="inlineStr">
        <is>
          <t>288</t>
        </is>
      </c>
      <c r="E3971" t="inlineStr">
        <is>
          <t>1</t>
        </is>
      </c>
      <c r="F3971" t="inlineStr">
        <is>
          <t>72</t>
        </is>
      </c>
      <c r="G3971" t="inlineStr">
        <is>
          <t>8</t>
        </is>
      </c>
      <c r="H3971" t="inlineStr">
        <is>
          <t>0</t>
        </is>
      </c>
      <c r="I3971" t="inlineStr">
        <is>
          <t>4⁴, 8⁴, 20⁴, 40⁴</t>
        </is>
      </c>
      <c r="J3971" t="n">
        <v>16</v>
      </c>
      <c r="K3971" t="inlineStr">
        <is>
          <t>2¹², 8⁶</t>
        </is>
      </c>
      <c r="L3971" t="inlineStr">
        <is>
          <t>40S⁷, 40AA⁷</t>
        </is>
      </c>
      <c r="M3971" t="inlineStr"/>
      <c r="N3971" t="inlineStr">
        <is>
          <t>20E¹, 40H³, 8D⁰, 4C⁰, 8B⁰, 5B⁰, 2B⁰, 1A⁰, 40S⁷, 20B¹, 8H⁰, 40AA⁷, 4A⁰, 10C⁰, 4F⁰, 40D³, 20L³</t>
        </is>
      </c>
      <c r="O3971" t="inlineStr"/>
    </row>
    <row r="3972">
      <c r="A3972">
        <f>HYPERLINK("https://mathstats.uncg.edu/sites/pauli/congruence/csg15.html#group40AF15", "40AF¹⁵")</f>
        <v/>
      </c>
      <c r="B3972" t="n">
        <v>15</v>
      </c>
      <c r="C3972" t="inlineStr"/>
      <c r="D3972" t="inlineStr">
        <is>
          <t>288</t>
        </is>
      </c>
      <c r="E3972" t="inlineStr">
        <is>
          <t>1</t>
        </is>
      </c>
      <c r="F3972" t="inlineStr">
        <is>
          <t>72</t>
        </is>
      </c>
      <c r="G3972" t="inlineStr">
        <is>
          <t>8</t>
        </is>
      </c>
      <c r="H3972" t="inlineStr">
        <is>
          <t>0</t>
        </is>
      </c>
      <c r="I3972" t="inlineStr">
        <is>
          <t>4⁴, 8⁴, 20⁴, 40⁴</t>
        </is>
      </c>
      <c r="J3972" t="n">
        <v>16</v>
      </c>
      <c r="K3972" t="inlineStr">
        <is>
          <t>2¹², 8⁶</t>
        </is>
      </c>
      <c r="L3972" t="inlineStr">
        <is>
          <t>8P⁰, 40S⁷, 40AB⁷</t>
        </is>
      </c>
      <c r="M3972" t="inlineStr"/>
      <c r="N3972" t="inlineStr">
        <is>
          <t>20E¹, 40H³, 8D⁰, 4C⁰, 8B⁰, 5B⁰, 8L⁰, 2B⁰, 1A⁰, 40S⁷, 20B¹, 8H⁰, 4A⁰, 10C⁰, 4F⁰, 8P⁰, 40D³, 40AB⁷, 20L³</t>
        </is>
      </c>
      <c r="O3972" t="inlineStr"/>
    </row>
    <row r="3973">
      <c r="A3973">
        <f>HYPERLINK("https://mathstats.uncg.edu/sites/pauli/congruence/csg15.html#group40AG15", "40AG¹⁵")</f>
        <v/>
      </c>
      <c r="B3973" t="n">
        <v>15</v>
      </c>
      <c r="C3973" t="inlineStr"/>
      <c r="D3973" t="inlineStr">
        <is>
          <t>288</t>
        </is>
      </c>
      <c r="E3973" t="inlineStr">
        <is>
          <t>2</t>
        </is>
      </c>
      <c r="F3973" t="inlineStr">
        <is>
          <t>36</t>
        </is>
      </c>
      <c r="G3973" t="inlineStr">
        <is>
          <t>8</t>
        </is>
      </c>
      <c r="H3973" t="inlineStr">
        <is>
          <t>0</t>
        </is>
      </c>
      <c r="I3973" t="inlineStr">
        <is>
          <t>4⁴, 8⁴, 20⁴, 40⁴</t>
        </is>
      </c>
      <c r="J3973" t="n">
        <v>16</v>
      </c>
      <c r="K3973" t="inlineStr">
        <is>
          <t>2¹², 8⁶</t>
        </is>
      </c>
      <c r="L3973" t="inlineStr">
        <is>
          <t>20J⁵, 40O⁵, 40T⁷</t>
        </is>
      </c>
      <c r="M3973" t="inlineStr"/>
      <c r="N3973" t="inlineStr">
        <is>
          <t>20E¹, 40A¹, 10G⁰, 20J⁵, 40O⁵, 40T⁷, 4C⁰, 5B⁰, 2B⁰, 20K³, 1A⁰, 20B¹, 10B⁰, 20A⁰, 20I¹, 40I³, 4A⁰, 20G¹, 10C⁰, 4F⁰, 20L³</t>
        </is>
      </c>
      <c r="O3973" t="inlineStr"/>
    </row>
    <row r="3974">
      <c r="A3974">
        <f>HYPERLINK("https://mathstats.uncg.edu/sites/pauli/congruence/csg15.html#group40AH15", "40AH¹⁵")</f>
        <v/>
      </c>
      <c r="B3974" t="n">
        <v>15</v>
      </c>
      <c r="C3974" t="inlineStr"/>
      <c r="D3974" t="inlineStr">
        <is>
          <t>288</t>
        </is>
      </c>
      <c r="E3974" t="inlineStr">
        <is>
          <t>2</t>
        </is>
      </c>
      <c r="F3974" t="inlineStr">
        <is>
          <t>36</t>
        </is>
      </c>
      <c r="G3974" t="inlineStr">
        <is>
          <t>8</t>
        </is>
      </c>
      <c r="H3974" t="inlineStr">
        <is>
          <t>0</t>
        </is>
      </c>
      <c r="I3974" t="inlineStr">
        <is>
          <t>4⁴, 8⁴, 20⁴, 40⁴</t>
        </is>
      </c>
      <c r="J3974" t="n">
        <v>16</v>
      </c>
      <c r="K3974" t="inlineStr">
        <is>
          <t>2¹², 8⁶</t>
        </is>
      </c>
      <c r="L3974" t="inlineStr">
        <is>
          <t>20K⁵, 40N⁵, 40T⁷</t>
        </is>
      </c>
      <c r="M3974" t="inlineStr"/>
      <c r="N3974" t="inlineStr">
        <is>
          <t>20E¹, 20C¹, 20M³, 10G⁰, 40H³, 8D⁰, 40T⁷, 4C⁰, 5B⁰, 2B⁰, 1A⁰, 20J¹, 10B⁰, 20A⁰, 20K⁵, 20I¹, 10C⁰, 40N⁵, 40G³</t>
        </is>
      </c>
      <c r="O3974" t="inlineStr"/>
    </row>
    <row r="3975">
      <c r="A3975">
        <f>HYPERLINK("https://mathstats.uncg.edu/sites/pauli/congruence/csg15.html#group40AI15", "40AI¹⁵")</f>
        <v/>
      </c>
      <c r="B3975" t="n">
        <v>15</v>
      </c>
      <c r="C3975" t="inlineStr"/>
      <c r="D3975" t="inlineStr">
        <is>
          <t>288</t>
        </is>
      </c>
      <c r="E3975" t="inlineStr">
        <is>
          <t>2</t>
        </is>
      </c>
      <c r="F3975" t="inlineStr">
        <is>
          <t>72</t>
        </is>
      </c>
      <c r="G3975" t="inlineStr">
        <is>
          <t>8</t>
        </is>
      </c>
      <c r="H3975" t="inlineStr">
        <is>
          <t>0</t>
        </is>
      </c>
      <c r="I3975" t="inlineStr">
        <is>
          <t>4⁴, 8⁴, 20⁴, 40⁴</t>
        </is>
      </c>
      <c r="J3975" t="n">
        <v>16</v>
      </c>
      <c r="K3975" t="inlineStr">
        <is>
          <t>2¹⁶, 4⁴, 8⁸, 16²</t>
        </is>
      </c>
      <c r="L3975" t="inlineStr">
        <is>
          <t>40Q⁷, 40AA⁷, 40AB⁷</t>
        </is>
      </c>
      <c r="M3975" t="inlineStr"/>
      <c r="N3975" t="inlineStr">
        <is>
          <t>20E¹, 40D³, 40AA⁷, 40Q⁷, 4C⁰, 8B⁰, 5B⁰, 10C⁰, 8L⁰, 2B⁰, 20K³, 1A⁰, 40AB⁷, 40G³</t>
        </is>
      </c>
      <c r="O3975" t="inlineStr"/>
    </row>
    <row r="3976">
      <c r="A3976">
        <f>HYPERLINK("https://mathstats.uncg.edu/sites/pauli/congruence/csg15.html#group40AJ15", "40AJ¹⁵")</f>
        <v/>
      </c>
      <c r="B3976" t="n">
        <v>15</v>
      </c>
      <c r="C3976" t="inlineStr"/>
      <c r="D3976" t="inlineStr">
        <is>
          <t>360</t>
        </is>
      </c>
      <c r="E3976" t="inlineStr">
        <is>
          <t>1</t>
        </is>
      </c>
      <c r="F3976" t="inlineStr">
        <is>
          <t>90</t>
        </is>
      </c>
      <c r="G3976" t="inlineStr">
        <is>
          <t>4</t>
        </is>
      </c>
      <c r="H3976" t="inlineStr">
        <is>
          <t>0</t>
        </is>
      </c>
      <c r="I3976" t="inlineStr">
        <is>
          <t>5²⁴, 40⁶</t>
        </is>
      </c>
      <c r="J3976" t="n">
        <v>30</v>
      </c>
      <c r="K3976" t="inlineStr">
        <is>
          <t>2³, 4³, 8⁹</t>
        </is>
      </c>
      <c r="L3976" t="inlineStr">
        <is>
          <t>40A¹, 40K⁵, 20D⁶</t>
        </is>
      </c>
      <c r="M3976" t="inlineStr"/>
      <c r="N3976" t="inlineStr">
        <is>
          <t>5A⁰, 40A¹, 10B¹, 5B⁰, 2B⁰, 20F², 1A⁰, 10F¹, 20D⁶, 20A⁰, 10I¹, 10F², 5E⁰, 20P³, 10C⁰, 5C⁰, 40K⁵, 5G⁰</t>
        </is>
      </c>
      <c r="O3976" t="inlineStr"/>
    </row>
    <row r="3977">
      <c r="A3977">
        <f>HYPERLINK("https://mathstats.uncg.edu/sites/pauli/congruence/csg15.html#group42A15", "42A¹⁵")</f>
        <v/>
      </c>
      <c r="B3977" t="n">
        <v>15</v>
      </c>
      <c r="C3977" t="inlineStr"/>
      <c r="D3977" t="inlineStr">
        <is>
          <t>224</t>
        </is>
      </c>
      <c r="E3977" t="inlineStr">
        <is>
          <t>1</t>
        </is>
      </c>
      <c r="F3977" t="inlineStr">
        <is>
          <t>112</t>
        </is>
      </c>
      <c r="G3977" t="inlineStr">
        <is>
          <t>0</t>
        </is>
      </c>
      <c r="H3977" t="inlineStr">
        <is>
          <t>2</t>
        </is>
      </c>
      <c r="I3977" t="inlineStr">
        <is>
          <t>14⁴, 42⁴</t>
        </is>
      </c>
      <c r="J3977" t="n">
        <v>8</v>
      </c>
      <c r="K3977" t="inlineStr">
        <is>
          <t>1², 2¹, 3², 6⁹, 12⁴</t>
        </is>
      </c>
      <c r="L3977" t="inlineStr">
        <is>
          <t>14G¹, 42D⁴, 21B⁶</t>
        </is>
      </c>
      <c r="M3977" t="inlineStr"/>
      <c r="N3977" t="inlineStr">
        <is>
          <t>3B⁰, 14A⁰, 21B², 42D⁴, 7F⁰, 1A⁰, 14G¹, 21B⁶, 7A⁰</t>
        </is>
      </c>
      <c r="O3977" t="inlineStr"/>
    </row>
    <row r="3978">
      <c r="A3978">
        <f>HYPERLINK("https://mathstats.uncg.edu/sites/pauli/congruence/csg15.html#group42B15", "42B¹⁵")</f>
        <v/>
      </c>
      <c r="B3978" t="n">
        <v>15</v>
      </c>
      <c r="C3978" t="inlineStr"/>
      <c r="D3978" t="inlineStr">
        <is>
          <t>224</t>
        </is>
      </c>
      <c r="E3978" t="inlineStr">
        <is>
          <t>1</t>
        </is>
      </c>
      <c r="F3978" t="inlineStr">
        <is>
          <t>112</t>
        </is>
      </c>
      <c r="G3978" t="inlineStr">
        <is>
          <t>0</t>
        </is>
      </c>
      <c r="H3978" t="inlineStr">
        <is>
          <t>2</t>
        </is>
      </c>
      <c r="I3978" t="inlineStr">
        <is>
          <t>14⁴, 42⁴</t>
        </is>
      </c>
      <c r="J3978" t="n">
        <v>8</v>
      </c>
      <c r="K3978" t="inlineStr">
        <is>
          <t>1², 2¹, 3², 6⁹, 12⁴</t>
        </is>
      </c>
      <c r="L3978" t="inlineStr">
        <is>
          <t>14C³, 42E⁴, 21B⁶</t>
        </is>
      </c>
      <c r="M3978" t="inlineStr"/>
      <c r="N3978" t="inlineStr">
        <is>
          <t>3B⁰, 2A⁰, 21B², 42E⁴, 14C³, 6C⁰, 7F⁰, 14A¹, 1A⁰, 21B⁶, 7A⁰</t>
        </is>
      </c>
      <c r="O3978" t="inlineStr"/>
    </row>
    <row r="3979">
      <c r="A3979">
        <f>HYPERLINK("https://mathstats.uncg.edu/sites/pauli/congruence/csg15.html#group42C15", "42C¹⁵")</f>
        <v/>
      </c>
      <c r="B3979" t="n">
        <v>15</v>
      </c>
      <c r="C3979" t="inlineStr"/>
      <c r="D3979" t="inlineStr">
        <is>
          <t>252</t>
        </is>
      </c>
      <c r="E3979" t="inlineStr">
        <is>
          <t>1</t>
        </is>
      </c>
      <c r="F3979" t="inlineStr">
        <is>
          <t>63</t>
        </is>
      </c>
      <c r="G3979" t="inlineStr">
        <is>
          <t>16</t>
        </is>
      </c>
      <c r="H3979" t="inlineStr">
        <is>
          <t>0</t>
        </is>
      </c>
      <c r="I3979" t="inlineStr">
        <is>
          <t>42⁶</t>
        </is>
      </c>
      <c r="J3979" t="n">
        <v>6</v>
      </c>
      <c r="K3979" t="inlineStr">
        <is>
          <t>3¹, 6⁴, 12³</t>
        </is>
      </c>
      <c r="L3979" t="inlineStr">
        <is>
          <t>42I⁴, 21C⁶, 42G⁷</t>
        </is>
      </c>
      <c r="M3979" t="inlineStr"/>
      <c r="N3979" t="inlineStr">
        <is>
          <t>14E¹, 42I⁴, 21D², 21C⁶, 7D⁰, 21E¹, 42G⁷, 21A⁰, 3C⁰, 3A⁰, 1A⁰, 7A⁰</t>
        </is>
      </c>
      <c r="O3979" t="inlineStr"/>
    </row>
    <row r="3980">
      <c r="A3980">
        <f>HYPERLINK("https://mathstats.uncg.edu/sites/pauli/congruence/csg15.html#group42D15", "42D¹⁵")</f>
        <v/>
      </c>
      <c r="B3980" t="n">
        <v>15</v>
      </c>
      <c r="C3980" t="inlineStr"/>
      <c r="D3980" t="inlineStr">
        <is>
          <t>252</t>
        </is>
      </c>
      <c r="E3980" t="inlineStr">
        <is>
          <t>1</t>
        </is>
      </c>
      <c r="F3980" t="inlineStr">
        <is>
          <t>84</t>
        </is>
      </c>
      <c r="G3980" t="inlineStr">
        <is>
          <t>12</t>
        </is>
      </c>
      <c r="H3980" t="inlineStr">
        <is>
          <t>0</t>
        </is>
      </c>
      <c r="I3980" t="inlineStr">
        <is>
          <t>21⁴, 42⁴</t>
        </is>
      </c>
      <c r="J3980" t="n">
        <v>8</v>
      </c>
      <c r="K3980" t="inlineStr">
        <is>
          <t>1³, 3³, 6¹²</t>
        </is>
      </c>
      <c r="L3980" t="inlineStr">
        <is>
          <t>14D³, 21C³, 42C³</t>
        </is>
      </c>
      <c r="M3980" t="inlineStr"/>
      <c r="N3980" t="inlineStr">
        <is>
          <t>14B¹, 21C³, 7F⁰, 21A⁰, 2B⁰, 3A⁰, 1A⁰, 42C³, 6D⁰, 7A⁰, 14D³</t>
        </is>
      </c>
      <c r="O3980" t="inlineStr"/>
    </row>
    <row r="3981">
      <c r="A3981">
        <f>HYPERLINK("https://mathstats.uncg.edu/sites/pauli/congruence/csg15.html#group42E15", "42E¹⁵")</f>
        <v/>
      </c>
      <c r="B3981" t="n">
        <v>15</v>
      </c>
      <c r="C3981" t="inlineStr"/>
      <c r="D3981" t="inlineStr">
        <is>
          <t>252</t>
        </is>
      </c>
      <c r="E3981" t="inlineStr">
        <is>
          <t>2</t>
        </is>
      </c>
      <c r="F3981" t="inlineStr">
        <is>
          <t>63</t>
        </is>
      </c>
      <c r="G3981" t="inlineStr">
        <is>
          <t>16</t>
        </is>
      </c>
      <c r="H3981" t="inlineStr">
        <is>
          <t>0</t>
        </is>
      </c>
      <c r="I3981" t="inlineStr">
        <is>
          <t>42⁶</t>
        </is>
      </c>
      <c r="J3981" t="n">
        <v>6</v>
      </c>
      <c r="K3981" t="inlineStr">
        <is>
          <t>6⁷, 12⁷</t>
        </is>
      </c>
      <c r="L3981" t="inlineStr">
        <is>
          <t>21D⁴, 42D⁶, 42H⁷</t>
        </is>
      </c>
      <c r="M3981" t="inlineStr"/>
      <c r="N3981" t="inlineStr">
        <is>
          <t>14A⁰, 21D⁴, 42A², 14B², 7D⁰, 42A¹, 42H⁷, 21E¹, 21A⁰, 42D⁶, 3A⁰, 1A⁰, 7A⁰</t>
        </is>
      </c>
      <c r="O3981" t="inlineStr"/>
    </row>
    <row r="3982">
      <c r="A3982">
        <f>HYPERLINK("https://mathstats.uncg.edu/sites/pauli/congruence/csg15.html#group42F15", "42F¹⁵")</f>
        <v/>
      </c>
      <c r="B3982" t="n">
        <v>15</v>
      </c>
      <c r="C3982" t="inlineStr"/>
      <c r="D3982" t="inlineStr">
        <is>
          <t>252</t>
        </is>
      </c>
      <c r="E3982" t="inlineStr">
        <is>
          <t>2</t>
        </is>
      </c>
      <c r="F3982" t="inlineStr">
        <is>
          <t>63</t>
        </is>
      </c>
      <c r="G3982" t="inlineStr">
        <is>
          <t>16</t>
        </is>
      </c>
      <c r="H3982" t="inlineStr">
        <is>
          <t>0</t>
        </is>
      </c>
      <c r="I3982" t="inlineStr">
        <is>
          <t>42⁶</t>
        </is>
      </c>
      <c r="J3982" t="n">
        <v>6</v>
      </c>
      <c r="K3982" t="inlineStr">
        <is>
          <t>6⁷, 12⁷</t>
        </is>
      </c>
      <c r="L3982" t="inlineStr">
        <is>
          <t>21E⁴, 42D⁶, 42G⁷</t>
        </is>
      </c>
      <c r="M3982" t="inlineStr"/>
      <c r="N3982" t="inlineStr">
        <is>
          <t>42A², 7D⁰, 21E¹, 7C⁰, 21C¹, 42G⁷, 21A⁰, 42D⁶, 21C², 7G⁰, 3A⁰, 1A⁰, 21E⁴, 7A⁰</t>
        </is>
      </c>
      <c r="O3982" t="inlineStr"/>
    </row>
    <row r="3983">
      <c r="A3983">
        <f>HYPERLINK("https://mathstats.uncg.edu/sites/pauli/congruence/csg15.html#group42G15", "42G¹⁵")</f>
        <v/>
      </c>
      <c r="B3983" t="n">
        <v>15</v>
      </c>
      <c r="C3983" t="inlineStr"/>
      <c r="D3983" t="inlineStr">
        <is>
          <t>252</t>
        </is>
      </c>
      <c r="E3983" t="inlineStr">
        <is>
          <t>2</t>
        </is>
      </c>
      <c r="F3983" t="inlineStr">
        <is>
          <t>63</t>
        </is>
      </c>
      <c r="G3983" t="inlineStr">
        <is>
          <t>16</t>
        </is>
      </c>
      <c r="H3983" t="inlineStr">
        <is>
          <t>0</t>
        </is>
      </c>
      <c r="I3983" t="inlineStr">
        <is>
          <t>42⁶</t>
        </is>
      </c>
      <c r="J3983" t="n">
        <v>6</v>
      </c>
      <c r="K3983" t="inlineStr">
        <is>
          <t>6⁷, 12⁷</t>
        </is>
      </c>
      <c r="L3983" t="inlineStr">
        <is>
          <t>42F³, 21D⁵, 42H⁵, 42H⁷</t>
        </is>
      </c>
      <c r="M3983" t="inlineStr"/>
      <c r="N3983" t="inlineStr">
        <is>
          <t>14A⁰, 6B⁰, 14B², 42A¹, 7D⁰, 42H⁷, 21D¹, 21A⁰, 1A⁰, 21D⁵, 21E¹, 42H⁵, 42B¹, 3A⁰, 42F³, 7A⁰</t>
        </is>
      </c>
      <c r="O3983" t="inlineStr"/>
    </row>
    <row r="3984">
      <c r="A3984">
        <f>HYPERLINK("https://mathstats.uncg.edu/sites/pauli/congruence/csg15.html#group42H15", "42H¹⁵")</f>
        <v/>
      </c>
      <c r="B3984" t="n">
        <v>15</v>
      </c>
      <c r="C3984" t="inlineStr"/>
      <c r="D3984" t="inlineStr">
        <is>
          <t>252</t>
        </is>
      </c>
      <c r="E3984" t="inlineStr">
        <is>
          <t>2</t>
        </is>
      </c>
      <c r="F3984" t="inlineStr">
        <is>
          <t>63</t>
        </is>
      </c>
      <c r="G3984" t="inlineStr">
        <is>
          <t>16</t>
        </is>
      </c>
      <c r="H3984" t="inlineStr">
        <is>
          <t>0</t>
        </is>
      </c>
      <c r="I3984" t="inlineStr">
        <is>
          <t>42⁶</t>
        </is>
      </c>
      <c r="J3984" t="n">
        <v>6</v>
      </c>
      <c r="K3984" t="inlineStr">
        <is>
          <t>2³, 4³, 6⁶, 12⁶</t>
        </is>
      </c>
      <c r="L3984" t="inlineStr">
        <is>
          <t>42F³, 42I⁷, 42K⁷, 42L⁷</t>
        </is>
      </c>
      <c r="M3984" t="inlineStr"/>
      <c r="N3984" t="inlineStr">
        <is>
          <t>14A⁰, 6B⁰, 42A¹, 14B¹, 21D¹, 6H⁰, 14C², 21A⁰, 42K⁷, 2B⁰, 1A⁰, 42I⁷, 42F³, 42L⁷, 42B¹, 3A⁰, 42C³, 6D⁰, 7A⁰</t>
        </is>
      </c>
      <c r="O3984" t="inlineStr"/>
    </row>
    <row r="3985">
      <c r="A3985">
        <f>HYPERLINK("https://mathstats.uncg.edu/sites/pauli/congruence/csg15.html#group42I15", "42I¹⁵")</f>
        <v/>
      </c>
      <c r="B3985" t="n">
        <v>15</v>
      </c>
      <c r="C3985" t="inlineStr"/>
      <c r="D3985" t="inlineStr">
        <is>
          <t>252</t>
        </is>
      </c>
      <c r="E3985" t="inlineStr">
        <is>
          <t>2</t>
        </is>
      </c>
      <c r="F3985" t="inlineStr">
        <is>
          <t>126</t>
        </is>
      </c>
      <c r="G3985" t="inlineStr">
        <is>
          <t>16</t>
        </is>
      </c>
      <c r="H3985" t="inlineStr">
        <is>
          <t>0</t>
        </is>
      </c>
      <c r="I3985" t="inlineStr">
        <is>
          <t>42⁶</t>
        </is>
      </c>
      <c r="J3985" t="n">
        <v>6</v>
      </c>
      <c r="K3985" t="inlineStr">
        <is>
          <t>6¹⁴, 12¹⁴</t>
        </is>
      </c>
      <c r="L3985" t="inlineStr">
        <is>
          <t>42F³, 42J⁷</t>
        </is>
      </c>
      <c r="M3985" t="inlineStr"/>
      <c r="N3985" t="inlineStr">
        <is>
          <t>14A⁰, 42J⁷, 6B⁰, 42A¹, 14F¹, 21D¹, 21A⁰, 42B¹, 3A⁰, 1A⁰, 42F³, 7A⁰</t>
        </is>
      </c>
      <c r="O3985" t="inlineStr"/>
    </row>
    <row r="3986">
      <c r="A3986">
        <f>HYPERLINK("https://mathstats.uncg.edu/sites/pauli/congruence/csg15.html#group43A15", "43A¹⁵")</f>
        <v/>
      </c>
      <c r="B3986" t="n">
        <v>15</v>
      </c>
      <c r="C3986" t="inlineStr"/>
      <c r="D3986" t="inlineStr">
        <is>
          <t>308</t>
        </is>
      </c>
      <c r="E3986" t="inlineStr">
        <is>
          <t>1</t>
        </is>
      </c>
      <c r="F3986" t="inlineStr">
        <is>
          <t>44</t>
        </is>
      </c>
      <c r="G3986" t="inlineStr">
        <is>
          <t>0</t>
        </is>
      </c>
      <c r="H3986" t="inlineStr">
        <is>
          <t>14</t>
        </is>
      </c>
      <c r="I3986" t="inlineStr">
        <is>
          <t>1⁷, 43⁷</t>
        </is>
      </c>
      <c r="J3986" t="n">
        <v>14</v>
      </c>
      <c r="K3986" t="inlineStr">
        <is>
          <t>1², 42¹</t>
        </is>
      </c>
      <c r="L3986" t="inlineStr">
        <is>
          <t>43A³</t>
        </is>
      </c>
      <c r="M3986" t="inlineStr"/>
      <c r="N3986" t="inlineStr">
        <is>
          <t>1A⁰, 43A³</t>
        </is>
      </c>
      <c r="O3986" t="inlineStr"/>
    </row>
    <row r="3987">
      <c r="A3987">
        <f>HYPERLINK("https://mathstats.uncg.edu/sites/pauli/congruence/csg15.html#group45A15", "45A¹⁵")</f>
        <v/>
      </c>
      <c r="B3987" t="n">
        <v>15</v>
      </c>
      <c r="C3987" t="inlineStr"/>
      <c r="D3987" t="inlineStr">
        <is>
          <t>216</t>
        </is>
      </c>
      <c r="E3987" t="inlineStr">
        <is>
          <t>1</t>
        </is>
      </c>
      <c r="F3987" t="inlineStr">
        <is>
          <t>18</t>
        </is>
      </c>
      <c r="G3987" t="inlineStr">
        <is>
          <t>0</t>
        </is>
      </c>
      <c r="H3987" t="inlineStr">
        <is>
          <t>0</t>
        </is>
      </c>
      <c r="I3987" t="inlineStr">
        <is>
          <t>9⁴, 45⁴</t>
        </is>
      </c>
      <c r="J3987" t="n">
        <v>8</v>
      </c>
      <c r="K3987" t="inlineStr">
        <is>
          <t>1², 2², 4¹, 8¹</t>
        </is>
      </c>
      <c r="L3987" t="inlineStr">
        <is>
          <t>9A², 15E³, 45F⁵, 45B⁷</t>
        </is>
      </c>
      <c r="M3987" t="inlineStr"/>
      <c r="N3987" t="inlineStr">
        <is>
          <t>3B⁰, 45A², 45F⁵, 5B⁰, 1A⁰, 9B¹, 15C¹, 15B⁰, 9D⁰, 9A², 15E³, 9A⁰, 45B⁷, 3C⁰, 3A⁰, 3D⁰, 15E¹</t>
        </is>
      </c>
      <c r="O3987" t="inlineStr"/>
    </row>
    <row r="3988">
      <c r="A3988">
        <f>HYPERLINK("https://mathstats.uncg.edu/sites/pauli/congruence/csg15.html#group45B15", "45B¹⁵")</f>
        <v/>
      </c>
      <c r="B3988" t="n">
        <v>15</v>
      </c>
      <c r="C3988" t="inlineStr"/>
      <c r="D3988" t="inlineStr">
        <is>
          <t>216</t>
        </is>
      </c>
      <c r="E3988" t="inlineStr">
        <is>
          <t>1</t>
        </is>
      </c>
      <c r="F3988" t="inlineStr">
        <is>
          <t>18</t>
        </is>
      </c>
      <c r="G3988" t="inlineStr">
        <is>
          <t>0</t>
        </is>
      </c>
      <c r="H3988" t="inlineStr">
        <is>
          <t>0</t>
        </is>
      </c>
      <c r="I3988" t="inlineStr">
        <is>
          <t>9⁴, 45⁴</t>
        </is>
      </c>
      <c r="J3988" t="n">
        <v>8</v>
      </c>
      <c r="K3988" t="inlineStr">
        <is>
          <t>1², 2², 4¹, 8¹</t>
        </is>
      </c>
      <c r="L3988" t="inlineStr">
        <is>
          <t>15F³, 45F⁵, 45D⁶, 45A⁸</t>
        </is>
      </c>
      <c r="M3988" t="inlineStr"/>
      <c r="N3988" t="inlineStr">
        <is>
          <t>45A², 45F⁵, 45D⁶, 45A⁸, 5B⁰, 5D⁰, 15F³, 1A⁰, 15B⁰, 9D⁰, 15E¹, 9A⁰, 15B², 3C⁰, 3A⁰, 15C⁰</t>
        </is>
      </c>
      <c r="O3988" t="inlineStr"/>
    </row>
    <row r="3989">
      <c r="A3989">
        <f>HYPERLINK("https://mathstats.uncg.edu/sites/pauli/congruence/csg15.html#group45C15", "45C¹⁵")</f>
        <v/>
      </c>
      <c r="B3989" t="n">
        <v>15</v>
      </c>
      <c r="C3989" t="inlineStr"/>
      <c r="D3989" t="inlineStr">
        <is>
          <t>216</t>
        </is>
      </c>
      <c r="E3989" t="inlineStr">
        <is>
          <t>2</t>
        </is>
      </c>
      <c r="F3989" t="inlineStr">
        <is>
          <t>54</t>
        </is>
      </c>
      <c r="G3989" t="inlineStr">
        <is>
          <t>0</t>
        </is>
      </c>
      <c r="H3989" t="inlineStr">
        <is>
          <t>0</t>
        </is>
      </c>
      <c r="I3989" t="inlineStr">
        <is>
          <t>9⁴, 45⁴</t>
        </is>
      </c>
      <c r="J3989" t="n">
        <v>8</v>
      </c>
      <c r="K3989" t="inlineStr">
        <is>
          <t>2⁶, 6⁴, 8³, 24²</t>
        </is>
      </c>
      <c r="L3989" t="inlineStr">
        <is>
          <t>15F³, 45C⁴, 45B⁷, 45A⁸</t>
        </is>
      </c>
      <c r="M3989" t="inlineStr"/>
      <c r="N3989" t="inlineStr">
        <is>
          <t>45A², 45A⁸, 5B⁰, 5D⁰, 15F³, 1A⁰, 9B¹, 15B⁰, 15E¹, 9A⁰, 45C⁴, 45B⁷, 15B², 3C⁰, 3A⁰, 15C⁰</t>
        </is>
      </c>
      <c r="O3989" t="inlineStr"/>
    </row>
    <row r="3990">
      <c r="A3990">
        <f>HYPERLINK("https://mathstats.uncg.edu/sites/pauli/congruence/csg15.html#group45D15", "45D¹⁵")</f>
        <v/>
      </c>
      <c r="B3990" t="n">
        <v>15</v>
      </c>
      <c r="C3990" t="inlineStr"/>
      <c r="D3990" t="inlineStr">
        <is>
          <t>240</t>
        </is>
      </c>
      <c r="E3990" t="inlineStr">
        <is>
          <t>1</t>
        </is>
      </c>
      <c r="F3990" t="inlineStr">
        <is>
          <t>40</t>
        </is>
      </c>
      <c r="G3990" t="inlineStr">
        <is>
          <t>0</t>
        </is>
      </c>
      <c r="H3990" t="inlineStr">
        <is>
          <t>6</t>
        </is>
      </c>
      <c r="I3990" t="inlineStr">
        <is>
          <t>15⁴, 45⁴</t>
        </is>
      </c>
      <c r="J3990" t="n">
        <v>8</v>
      </c>
      <c r="K3990" t="inlineStr">
        <is>
          <t>2², 4⁵, 8²</t>
        </is>
      </c>
      <c r="L3990" t="inlineStr">
        <is>
          <t>15G³, 45B³, 45B⁸</t>
        </is>
      </c>
      <c r="M3990" t="inlineStr"/>
      <c r="N3990" t="inlineStr">
        <is>
          <t>3B⁰, 5A⁰, 45B³, 45B⁸, 15G³, 5C⁰, 15B¹, 5F⁰, 15C², 9C⁰, 1A⁰</t>
        </is>
      </c>
      <c r="O3990" t="inlineStr"/>
    </row>
    <row r="3991">
      <c r="A3991">
        <f>HYPERLINK("https://mathstats.uncg.edu/sites/pauli/congruence/csg15.html#group48A15", "48A¹⁵")</f>
        <v/>
      </c>
      <c r="B3991" t="n">
        <v>15</v>
      </c>
      <c r="C3991" t="inlineStr"/>
      <c r="D3991" t="inlineStr">
        <is>
          <t>192</t>
        </is>
      </c>
      <c r="E3991" t="inlineStr">
        <is>
          <t>1</t>
        </is>
      </c>
      <c r="F3991" t="inlineStr">
        <is>
          <t>12</t>
        </is>
      </c>
      <c r="G3991" t="inlineStr">
        <is>
          <t>0</t>
        </is>
      </c>
      <c r="H3991" t="inlineStr">
        <is>
          <t>0</t>
        </is>
      </c>
      <c r="I3991" t="inlineStr">
        <is>
          <t>48⁴</t>
        </is>
      </c>
      <c r="J3991" t="n">
        <v>4</v>
      </c>
      <c r="K3991" t="inlineStr">
        <is>
          <t>2², 4²</t>
        </is>
      </c>
      <c r="L3991" t="inlineStr">
        <is>
          <t>48G⁶, 24B⁷, 48I⁷, 48B⁸</t>
        </is>
      </c>
      <c r="M3991" t="inlineStr"/>
      <c r="N3991" t="inlineStr">
        <is>
          <t>48I⁷, 12G¹, 2A⁰, 6B⁰, 8A⁰, 12F⁰, 24A⁴, 8E⁰, 12C³, 24B¹, 1A⁰, 48G⁶, 24E³, 12A⁰, 24A¹, 24K², 6B¹, 4A⁰, 4D⁰, 24B⁴, 12A², 3C⁰, 6A¹, 3A⁰, 48B⁸, 24B⁷, 48B³</t>
        </is>
      </c>
      <c r="O3991" t="inlineStr"/>
    </row>
    <row r="3992">
      <c r="A3992">
        <f>HYPERLINK("https://mathstats.uncg.edu/sites/pauli/congruence/csg15.html#group48B15", "48B¹⁵")</f>
        <v/>
      </c>
      <c r="B3992" t="n">
        <v>15</v>
      </c>
      <c r="C3992" t="inlineStr"/>
      <c r="D3992" t="inlineStr">
        <is>
          <t>192</t>
        </is>
      </c>
      <c r="E3992" t="inlineStr">
        <is>
          <t>1</t>
        </is>
      </c>
      <c r="F3992" t="inlineStr">
        <is>
          <t>12</t>
        </is>
      </c>
      <c r="G3992" t="inlineStr">
        <is>
          <t>0</t>
        </is>
      </c>
      <c r="H3992" t="inlineStr">
        <is>
          <t>0</t>
        </is>
      </c>
      <c r="I3992" t="inlineStr">
        <is>
          <t>48⁴</t>
        </is>
      </c>
      <c r="J3992" t="n">
        <v>4</v>
      </c>
      <c r="K3992" t="inlineStr">
        <is>
          <t>2², 4²</t>
        </is>
      </c>
      <c r="L3992" t="inlineStr">
        <is>
          <t>48H⁶, 24B⁷, 48J⁷, 48A⁸, 48B⁸</t>
        </is>
      </c>
      <c r="M3992" t="inlineStr"/>
      <c r="N3992" t="inlineStr">
        <is>
          <t>2A⁰, 48A⁸, 8A⁰, 1A⁰, 48A³, 24A¹, 6B¹, 4D⁰, 24B⁴, 12A², 3C⁰, 6A¹, 3A⁰, 48B³, 12G¹, 6B⁰, 16A⁰, 48H⁶, 12F⁰, 24A⁴, 8E⁰, 12C³, 24B¹, 24E³, 12A⁰, 24K², 48J⁷, 4A⁰, 16F⁰, 48B⁸, 24B⁷</t>
        </is>
      </c>
      <c r="O3992" t="inlineStr"/>
    </row>
    <row r="3993">
      <c r="A3993">
        <f>HYPERLINK("https://mathstats.uncg.edu/sites/pauli/congruence/csg15.html#group48C15", "48C¹⁵")</f>
        <v/>
      </c>
      <c r="B3993" t="n">
        <v>15</v>
      </c>
      <c r="C3993" t="inlineStr"/>
      <c r="D3993" t="inlineStr">
        <is>
          <t>192</t>
        </is>
      </c>
      <c r="E3993" t="inlineStr">
        <is>
          <t>1</t>
        </is>
      </c>
      <c r="F3993" t="inlineStr">
        <is>
          <t>24</t>
        </is>
      </c>
      <c r="G3993" t="inlineStr">
        <is>
          <t>0</t>
        </is>
      </c>
      <c r="H3993" t="inlineStr">
        <is>
          <t>0</t>
        </is>
      </c>
      <c r="I3993" t="inlineStr">
        <is>
          <t>48⁴</t>
        </is>
      </c>
      <c r="J3993" t="n">
        <v>4</v>
      </c>
      <c r="K3993" t="inlineStr">
        <is>
          <t>4⁶</t>
        </is>
      </c>
      <c r="L3993" t="inlineStr">
        <is>
          <t>48E⁶, 48F⁶, 24A⁷</t>
        </is>
      </c>
      <c r="M3993" t="inlineStr"/>
      <c r="N3993" t="inlineStr">
        <is>
          <t>12G¹, 2A⁰, 6B⁰, 24D³, 12F⁰, 12C³, 48E⁶, 24B¹, 24A⁷, 1A⁰, 48F⁶, 12A⁰, 6B¹, 4A⁰, 4D⁰, 24B⁴, 12A², 3C⁰, 6A¹, 3A⁰, 24G², 24H²</t>
        </is>
      </c>
      <c r="O3993" t="inlineStr"/>
    </row>
    <row r="3994">
      <c r="A3994">
        <f>HYPERLINK("https://mathstats.uncg.edu/sites/pauli/congruence/csg15.html#group48D15", "48D¹⁵")</f>
        <v/>
      </c>
      <c r="B3994" t="n">
        <v>15</v>
      </c>
      <c r="C3994" t="inlineStr"/>
      <c r="D3994" t="inlineStr">
        <is>
          <t>192</t>
        </is>
      </c>
      <c r="E3994" t="inlineStr">
        <is>
          <t>2</t>
        </is>
      </c>
      <c r="F3994" t="inlineStr">
        <is>
          <t>8</t>
        </is>
      </c>
      <c r="G3994" t="inlineStr">
        <is>
          <t>0</t>
        </is>
      </c>
      <c r="H3994" t="inlineStr">
        <is>
          <t>0</t>
        </is>
      </c>
      <c r="I3994" t="inlineStr">
        <is>
          <t>48⁴</t>
        </is>
      </c>
      <c r="J3994" t="n">
        <v>4</v>
      </c>
      <c r="K3994" t="inlineStr">
        <is>
          <t>8²</t>
        </is>
      </c>
      <c r="L3994" t="inlineStr">
        <is>
          <t>48A⁴, 24D⁷, 48I⁷, 48J⁷</t>
        </is>
      </c>
      <c r="M3994" t="inlineStr"/>
      <c r="N3994" t="inlineStr">
        <is>
          <t>48I⁷, 12G¹, 3B⁰, 16A⁰, 24D³, 12B³, 24A², 8A⁰, 24D⁷, 24B¹, 1A⁰, 24E³, 12A⁰, 24A¹, 48A³, 48J⁷, 4A⁰, 12A¹, 3C⁰, 48A⁴, 3A⁰, 3D⁰, 48B³</t>
        </is>
      </c>
      <c r="O3994" t="inlineStr"/>
    </row>
    <row r="3995">
      <c r="A3995">
        <f>HYPERLINK("https://mathstats.uncg.edu/sites/pauli/congruence/csg15.html#group48E15", "48E¹⁵")</f>
        <v/>
      </c>
      <c r="B3995" t="n">
        <v>15</v>
      </c>
      <c r="C3995" t="inlineStr"/>
      <c r="D3995" t="inlineStr">
        <is>
          <t>288</t>
        </is>
      </c>
      <c r="E3995" t="inlineStr">
        <is>
          <t>1</t>
        </is>
      </c>
      <c r="F3995" t="inlineStr">
        <is>
          <t>9</t>
        </is>
      </c>
      <c r="G3995" t="inlineStr">
        <is>
          <t>0</t>
        </is>
      </c>
      <c r="H3995" t="inlineStr">
        <is>
          <t>0</t>
        </is>
      </c>
      <c r="I3995" t="inlineStr">
        <is>
          <t>6¹⁶, 48⁴</t>
        </is>
      </c>
      <c r="J3995" t="n">
        <v>20</v>
      </c>
      <c r="K3995" t="inlineStr">
        <is>
          <t>1³, 2³</t>
        </is>
      </c>
      <c r="L3995" t="inlineStr">
        <is>
          <t>48I⁶, 24J⁷, 48X⁷, 48Z⁷, 48D⁸, 48L⁸</t>
        </is>
      </c>
      <c r="M3995" t="inlineStr"/>
      <c r="N3995" t="inlineStr">
        <is>
          <t>24O², 24E¹, 2A⁰, 12C⁰, 48G³, 12K¹, 12D², 4C⁰, 6C¹, 12B², 6G⁰, 12E², 24J⁷, 8C⁰, 2B⁰, 4E⁰, 4B⁰, 12G³, 1A⁰, 24O³, 24B², 48L⁸, 6B¹, 8G⁰, 24D², 3C⁰, 12B¹, 6A¹, 6H⁰, 3A⁰, 48X⁷, 6E¹, 6B⁰, 48I⁶, 8D⁰, 24J⁴, 48Z⁷, 12L¹, 48G⁴, 24D⁴, 12C¹, 6A⁰, 48D⁸, 24C¹, 24E⁴, 12D⁰, 12H⁰, 24L³, 2C⁰, 6D⁰</t>
        </is>
      </c>
      <c r="O3995" t="inlineStr"/>
    </row>
    <row r="3996">
      <c r="A3996">
        <f>HYPERLINK("https://mathstats.uncg.edu/sites/pauli/congruence/csg15.html#group48F15", "48F¹⁵")</f>
        <v/>
      </c>
      <c r="B3996" t="n">
        <v>15</v>
      </c>
      <c r="C3996" t="inlineStr"/>
      <c r="D3996" t="inlineStr">
        <is>
          <t>288</t>
        </is>
      </c>
      <c r="E3996" t="inlineStr">
        <is>
          <t>1</t>
        </is>
      </c>
      <c r="F3996" t="inlineStr">
        <is>
          <t>9</t>
        </is>
      </c>
      <c r="G3996" t="inlineStr">
        <is>
          <t>0</t>
        </is>
      </c>
      <c r="H3996" t="inlineStr">
        <is>
          <t>0</t>
        </is>
      </c>
      <c r="I3996" t="inlineStr">
        <is>
          <t>6¹⁶, 48⁴</t>
        </is>
      </c>
      <c r="J3996" t="n">
        <v>20</v>
      </c>
      <c r="K3996" t="inlineStr">
        <is>
          <t>1³, 2³</t>
        </is>
      </c>
      <c r="L3996" t="inlineStr">
        <is>
          <t>48J⁶, 24J⁷, 48Y⁷, 48AA⁷, 48C⁸, 48D⁸, 48M⁸</t>
        </is>
      </c>
      <c r="M3996" t="inlineStr"/>
      <c r="N3996" t="inlineStr">
        <is>
          <t>24O², 24E¹, 2A⁰, 16G⁰, 12K¹, 12C⁰, 48G³, 12D², 4C⁰, 6C¹, 12B², 6G⁰, 12E², 24J⁷, 2B⁰, 8C⁰, 4E⁰, 4B⁰, 12H⁰, 1A⁰, 12G³, 24O³, 48Y⁷, 24B², 16E⁰, 6B¹, 8G⁰, 24D², 48M⁸, 3C⁰, 12B¹, 6A¹, 48D³, 6H⁰, 3A⁰, 48D⁴, 6E¹, 6B⁰, 8D⁰, 24J⁴, 12L¹, 48G⁴, 24D⁴, 6A⁰, 12C¹, 48J⁶, 16D⁰, 48D⁸, 48C⁸, 24C¹, 24E⁴, 12D⁰, 48AA⁷, 24L³, 2C⁰, 6D⁰</t>
        </is>
      </c>
      <c r="O3996" t="inlineStr"/>
    </row>
    <row r="3997">
      <c r="A3997">
        <f>HYPERLINK("https://mathstats.uncg.edu/sites/pauli/congruence/csg15.html#group48G15", "48G¹⁵")</f>
        <v/>
      </c>
      <c r="B3997" t="n">
        <v>15</v>
      </c>
      <c r="C3997" t="inlineStr"/>
      <c r="D3997" t="inlineStr">
        <is>
          <t>288</t>
        </is>
      </c>
      <c r="E3997" t="inlineStr">
        <is>
          <t>1</t>
        </is>
      </c>
      <c r="F3997" t="inlineStr">
        <is>
          <t>12</t>
        </is>
      </c>
      <c r="G3997" t="inlineStr">
        <is>
          <t>0</t>
        </is>
      </c>
      <c r="H3997" t="inlineStr">
        <is>
          <t>0</t>
        </is>
      </c>
      <c r="I3997" t="inlineStr">
        <is>
          <t>6¹⁶, 48⁴</t>
        </is>
      </c>
      <c r="J3997" t="n">
        <v>20</v>
      </c>
      <c r="K3997" t="inlineStr">
        <is>
          <t>1², 2¹, 4²</t>
        </is>
      </c>
      <c r="L3997" t="inlineStr">
        <is>
          <t>48J⁴, 24H⁷, 48Z⁷, 48AA⁷</t>
        </is>
      </c>
      <c r="M3997" t="inlineStr"/>
      <c r="N3997" t="inlineStr">
        <is>
          <t>24E¹, 12C⁰, 48G³, 4C⁰, 12C², 6G⁰, 2B⁰, 1A⁰, 24O³, 16E⁰, 24N³, 3C⁰, 6K⁰, 48D³, 3A⁰, 6F⁰, 3B⁰, 8D⁰, 12F¹, 48Z⁷, 12L¹, 12C¹, 12D³, 24I², 48J⁴, 24C¹, 48AA⁷, 24H⁷, 3D⁰, 6D⁰</t>
        </is>
      </c>
      <c r="O3997" t="inlineStr"/>
    </row>
    <row r="3998">
      <c r="A3998">
        <f>HYPERLINK("https://mathstats.uncg.edu/sites/pauli/congruence/csg15.html#group48H15", "48H¹⁵")</f>
        <v/>
      </c>
      <c r="B3998" t="n">
        <v>15</v>
      </c>
      <c r="C3998" t="inlineStr"/>
      <c r="D3998" t="inlineStr">
        <is>
          <t>288</t>
        </is>
      </c>
      <c r="E3998" t="inlineStr">
        <is>
          <t>1</t>
        </is>
      </c>
      <c r="F3998" t="inlineStr">
        <is>
          <t>12</t>
        </is>
      </c>
      <c r="G3998" t="inlineStr">
        <is>
          <t>24</t>
        </is>
      </c>
      <c r="H3998" t="inlineStr">
        <is>
          <t>0</t>
        </is>
      </c>
      <c r="I3998" t="inlineStr">
        <is>
          <t>24⁴, 48⁴</t>
        </is>
      </c>
      <c r="J3998" t="n">
        <v>8</v>
      </c>
      <c r="K3998" t="inlineStr">
        <is>
          <t>2², 4²</t>
        </is>
      </c>
      <c r="L3998" t="inlineStr">
        <is>
          <t>16K³, 48E⁵, 24K⁷, 48O⁷</t>
        </is>
      </c>
      <c r="M3998" t="inlineStr"/>
      <c r="N3998" t="inlineStr">
        <is>
          <t>12C⁰, 4C⁰, 8A⁰, 2B⁰, 8K⁰, 1A⁰, 8H¹, 16B⁰, 24A¹, 24A⁰, 16F¹, 3A⁰, 16H¹, 24K⁷, 48E⁵, 8D⁰, 8B⁰, 16B¹, 48A⁰, 24L², 8D¹, 24J³, 8H⁰, 48C³, 16K³, 24H⁴, 12A⁰, 4A⁰, 24C¹, 12J¹, 4F⁰, 48O⁷, 6D⁰</t>
        </is>
      </c>
      <c r="O3998" t="inlineStr"/>
    </row>
    <row r="3999">
      <c r="A3999">
        <f>HYPERLINK("https://mathstats.uncg.edu/sites/pauli/congruence/csg15.html#group48I15", "48I¹⁵")</f>
        <v/>
      </c>
      <c r="B3999" t="n">
        <v>15</v>
      </c>
      <c r="C3999" t="inlineStr"/>
      <c r="D3999" t="inlineStr">
        <is>
          <t>288</t>
        </is>
      </c>
      <c r="E3999" t="inlineStr">
        <is>
          <t>1</t>
        </is>
      </c>
      <c r="F3999" t="inlineStr">
        <is>
          <t>12</t>
        </is>
      </c>
      <c r="G3999" t="inlineStr">
        <is>
          <t>24</t>
        </is>
      </c>
      <c r="H3999" t="inlineStr">
        <is>
          <t>0</t>
        </is>
      </c>
      <c r="I3999" t="inlineStr">
        <is>
          <t>24⁴, 48⁴</t>
        </is>
      </c>
      <c r="J3999" t="n">
        <v>8</v>
      </c>
      <c r="K3999" t="inlineStr">
        <is>
          <t>1², 2¹, 4²</t>
        </is>
      </c>
      <c r="L3999" t="inlineStr">
        <is>
          <t>16L³, 48E⁵, 24L⁷, 48P⁷</t>
        </is>
      </c>
      <c r="M3999" t="inlineStr"/>
      <c r="N3999" t="inlineStr">
        <is>
          <t>48E⁵, 12C⁰, 16I¹, 8D⁰, 4C⁰, 48P⁷, 8B⁰, 16B¹, 48A⁰, 2B⁰, 24L², 1A⁰, 24F¹, 8H⁰, 16B⁰, 48C³, 16E⁰, 12A⁰, 8F⁰, 16L³, 48E⁴, 24A⁰, 4A⁰, 8I¹, 16C¹, 24C¹, 24L⁷, 12J¹, 4F⁰, 16F¹, 3A⁰, 48D³, 6D⁰</t>
        </is>
      </c>
      <c r="O3999" t="inlineStr"/>
    </row>
    <row r="4000">
      <c r="A4000">
        <f>HYPERLINK("https://mathstats.uncg.edu/sites/pauli/congruence/csg15.html#group48J15", "48J¹⁵")</f>
        <v/>
      </c>
      <c r="B4000" t="n">
        <v>15</v>
      </c>
      <c r="C4000" t="inlineStr"/>
      <c r="D4000" t="inlineStr">
        <is>
          <t>288</t>
        </is>
      </c>
      <c r="E4000" t="inlineStr">
        <is>
          <t>1</t>
        </is>
      </c>
      <c r="F4000" t="inlineStr">
        <is>
          <t>12</t>
        </is>
      </c>
      <c r="G4000" t="inlineStr">
        <is>
          <t>24</t>
        </is>
      </c>
      <c r="H4000" t="inlineStr">
        <is>
          <t>0</t>
        </is>
      </c>
      <c r="I4000" t="inlineStr">
        <is>
          <t>24⁴, 48⁴</t>
        </is>
      </c>
      <c r="J4000" t="n">
        <v>8</v>
      </c>
      <c r="K4000" t="inlineStr">
        <is>
          <t>2⁶</t>
        </is>
      </c>
      <c r="L4000" t="inlineStr">
        <is>
          <t>16M³, 48E⁵, 48F⁵, 24D⁶, 48F⁸, 48X⁸</t>
        </is>
      </c>
      <c r="M4000" t="inlineStr"/>
      <c r="N4000" t="inlineStr">
        <is>
          <t>24D⁶, 48F⁸, 12C⁰, 48X⁸, 4C⁰, 8L⁰, 2B⁰, 1A⁰, 16E², 16B⁰, 16D¹, 24A⁰, 16F¹, 3A⁰, 8P⁰, 48F⁵, 48E⁵, 8D⁰, 16M³, 8B⁰, 16B¹, 48A⁰, 24L², 16J¹, 8H⁰, 48C³, 12A⁰, 48E³, 16F², 4A⁰, 24M², 24C¹, 12J¹, 4F⁰, 6D⁰</t>
        </is>
      </c>
      <c r="O4000" t="inlineStr"/>
    </row>
    <row r="4001">
      <c r="A4001">
        <f>HYPERLINK("https://mathstats.uncg.edu/sites/pauli/congruence/csg15.html#group48K15", "48K¹⁵")</f>
        <v/>
      </c>
      <c r="B4001" t="n">
        <v>15</v>
      </c>
      <c r="C4001" t="inlineStr"/>
      <c r="D4001" t="inlineStr">
        <is>
          <t>288</t>
        </is>
      </c>
      <c r="E4001" t="inlineStr">
        <is>
          <t>1</t>
        </is>
      </c>
      <c r="F4001" t="inlineStr">
        <is>
          <t>18</t>
        </is>
      </c>
      <c r="G4001" t="inlineStr">
        <is>
          <t>0</t>
        </is>
      </c>
      <c r="H4001" t="inlineStr">
        <is>
          <t>0</t>
        </is>
      </c>
      <c r="I4001" t="inlineStr">
        <is>
          <t>6¹⁶, 48⁴</t>
        </is>
      </c>
      <c r="J4001" t="n">
        <v>20</v>
      </c>
      <c r="K4001" t="inlineStr">
        <is>
          <t>2³, 4³</t>
        </is>
      </c>
      <c r="L4001" t="inlineStr">
        <is>
          <t>48K⁶, 24I⁷</t>
        </is>
      </c>
      <c r="M4001" t="inlineStr"/>
      <c r="N4001" t="inlineStr">
        <is>
          <t>24I⁴, 2A⁰, 24E¹, 12C⁰, 12K¹, 12D², 4C⁰, 6C¹, 12B², 6G⁰, 12E², 2B⁰, 4E⁰, 48K⁶, 4B⁰, 1A⁰, 12G³, 6B¹, 24N³, 24D², 24I⁷, 3C⁰, 12B¹, 24K³, 6A¹, 6H⁰, 3A⁰, 6E¹, 6B⁰, 24N², 12L¹, 12C¹, 6A⁰, 24E⁴, 12D⁰, 12H⁰, 2C⁰, 6D⁰</t>
        </is>
      </c>
      <c r="O4001" t="inlineStr"/>
    </row>
    <row r="4002">
      <c r="A4002">
        <f>HYPERLINK("https://mathstats.uncg.edu/sites/pauli/congruence/csg15.html#group48L15", "48L¹⁵")</f>
        <v/>
      </c>
      <c r="B4002" t="n">
        <v>15</v>
      </c>
      <c r="C4002" t="inlineStr"/>
      <c r="D4002" t="inlineStr">
        <is>
          <t>288</t>
        </is>
      </c>
      <c r="E4002" t="inlineStr">
        <is>
          <t>1</t>
        </is>
      </c>
      <c r="F4002" t="inlineStr">
        <is>
          <t>24</t>
        </is>
      </c>
      <c r="G4002" t="inlineStr">
        <is>
          <t>24</t>
        </is>
      </c>
      <c r="H4002" t="inlineStr">
        <is>
          <t>0</t>
        </is>
      </c>
      <c r="I4002" t="inlineStr">
        <is>
          <t>24⁴, 48⁴</t>
        </is>
      </c>
      <c r="J4002" t="n">
        <v>8</v>
      </c>
      <c r="K4002" t="inlineStr">
        <is>
          <t>2⁸, 8¹</t>
        </is>
      </c>
      <c r="L4002" t="inlineStr">
        <is>
          <t>16R³, 48F⁵</t>
        </is>
      </c>
      <c r="M4002" t="inlineStr"/>
      <c r="N4002" t="inlineStr">
        <is>
          <t>48F⁵, 12C⁰, 4C⁰, 8B⁰, 48A⁰, 8L⁰, 2B⁰, 16J¹, 1A⁰, 16B⁰, 16D¹, 48E³, 24A⁰, 24M², 16R³, 3A⁰, 6D⁰</t>
        </is>
      </c>
      <c r="O4002" t="inlineStr"/>
    </row>
    <row r="4003">
      <c r="A4003">
        <f>HYPERLINK("https://mathstats.uncg.edu/sites/pauli/congruence/csg15.html#group48M15", "48M¹⁵")</f>
        <v/>
      </c>
      <c r="B4003" t="n">
        <v>15</v>
      </c>
      <c r="C4003" t="inlineStr"/>
      <c r="D4003" t="inlineStr">
        <is>
          <t>288</t>
        </is>
      </c>
      <c r="E4003" t="inlineStr">
        <is>
          <t>1</t>
        </is>
      </c>
      <c r="F4003" t="inlineStr">
        <is>
          <t>24</t>
        </is>
      </c>
      <c r="G4003" t="inlineStr">
        <is>
          <t>24</t>
        </is>
      </c>
      <c r="H4003" t="inlineStr">
        <is>
          <t>0</t>
        </is>
      </c>
      <c r="I4003" t="inlineStr">
        <is>
          <t>24⁴, 48⁴</t>
        </is>
      </c>
      <c r="J4003" t="n">
        <v>8</v>
      </c>
      <c r="K4003" t="inlineStr">
        <is>
          <t>2⁸, 8¹</t>
        </is>
      </c>
      <c r="L4003" t="inlineStr">
        <is>
          <t>16S³, 48F⁵</t>
        </is>
      </c>
      <c r="M4003" t="inlineStr"/>
      <c r="N4003" t="inlineStr">
        <is>
          <t>48F⁵, 12C⁰, 4C⁰, 8B⁰, 16S³, 48A⁰, 8L⁰, 2B⁰, 16J¹, 1A⁰, 16B⁰, 16D¹, 48E³, 24A⁰, 24M², 3A⁰, 6D⁰</t>
        </is>
      </c>
      <c r="O4003" t="inlineStr"/>
    </row>
    <row r="4004">
      <c r="A4004">
        <f>HYPERLINK("https://mathstats.uncg.edu/sites/pauli/congruence/csg15.html#group48N15", "48N¹⁵")</f>
        <v/>
      </c>
      <c r="B4004" t="n">
        <v>15</v>
      </c>
      <c r="C4004" t="inlineStr"/>
      <c r="D4004" t="inlineStr">
        <is>
          <t>288</t>
        </is>
      </c>
      <c r="E4004" t="inlineStr">
        <is>
          <t>1</t>
        </is>
      </c>
      <c r="F4004" t="inlineStr">
        <is>
          <t>36</t>
        </is>
      </c>
      <c r="G4004" t="inlineStr">
        <is>
          <t>0</t>
        </is>
      </c>
      <c r="H4004" t="inlineStr">
        <is>
          <t>0</t>
        </is>
      </c>
      <c r="I4004" t="inlineStr">
        <is>
          <t>3⁸, 6⁴, 12⁴, 48⁴</t>
        </is>
      </c>
      <c r="J4004" t="n">
        <v>20</v>
      </c>
      <c r="K4004" t="inlineStr">
        <is>
          <t>1⁴, 2⁶, 4³, 8¹</t>
        </is>
      </c>
      <c r="L4004" t="inlineStr">
        <is>
          <t>24T⁷, 48Q⁷, 48Y⁷, 48K⁸, 48Y⁸</t>
        </is>
      </c>
      <c r="M4004" t="inlineStr"/>
      <c r="N4004" t="inlineStr">
        <is>
          <t>12K¹, 24T⁷, 48K⁸, 48F⁴, 6G⁰, 48Y⁸, 2B⁰, 8C⁰, 4B⁰, 1A⁰, 48G⁴, 48Y⁷, 48Q⁷, 24B², 16D⁰, 24M⁴, 24D², 3C⁰, 12B¹, 12D⁰, 3A⁰, 24L³, 6D⁰, 48D⁴</t>
        </is>
      </c>
      <c r="O4004" t="inlineStr"/>
    </row>
    <row r="4005">
      <c r="A4005">
        <f>HYPERLINK("https://mathstats.uncg.edu/sites/pauli/congruence/csg15.html#group48O15", "48O¹⁵")</f>
        <v/>
      </c>
      <c r="B4005" t="n">
        <v>15</v>
      </c>
      <c r="C4005" t="inlineStr"/>
      <c r="D4005" t="inlineStr">
        <is>
          <t>288</t>
        </is>
      </c>
      <c r="E4005" t="inlineStr">
        <is>
          <t>1</t>
        </is>
      </c>
      <c r="F4005" t="inlineStr">
        <is>
          <t>36</t>
        </is>
      </c>
      <c r="G4005" t="inlineStr">
        <is>
          <t>0</t>
        </is>
      </c>
      <c r="H4005" t="inlineStr">
        <is>
          <t>0</t>
        </is>
      </c>
      <c r="I4005" t="inlineStr">
        <is>
          <t>3⁸, 6⁴, 12⁴, 48⁴</t>
        </is>
      </c>
      <c r="J4005" t="n">
        <v>20</v>
      </c>
      <c r="K4005" t="inlineStr">
        <is>
          <t>1⁴, 2⁶, 4³, 8¹</t>
        </is>
      </c>
      <c r="L4005" t="inlineStr">
        <is>
          <t>24T⁷, 48R⁷, 48X⁷, 48J⁸, 48Y⁸</t>
        </is>
      </c>
      <c r="M4005" t="inlineStr"/>
      <c r="N4005" t="inlineStr">
        <is>
          <t>12K¹, 24T⁷, 48F⁴, 6G⁰, 48Y⁸, 8C⁰, 2B⁰, 4B⁰, 1A⁰, 48G⁴, 48B⁴, 24B², 48R⁷, 16C⁰, 6D⁰, 24M⁴, 24D², 3C⁰, 12B¹, 48J⁸, 12D⁰, 3A⁰, 24L³, 48X⁷</t>
        </is>
      </c>
      <c r="O4005" t="inlineStr"/>
    </row>
    <row r="4006">
      <c r="A4006">
        <f>HYPERLINK("https://mathstats.uncg.edu/sites/pauli/congruence/csg15.html#group48P15", "48P¹⁵")</f>
        <v/>
      </c>
      <c r="B4006" t="n">
        <v>15</v>
      </c>
      <c r="C4006" t="inlineStr"/>
      <c r="D4006" t="inlineStr">
        <is>
          <t>288</t>
        </is>
      </c>
      <c r="E4006" t="inlineStr">
        <is>
          <t>1</t>
        </is>
      </c>
      <c r="F4006" t="inlineStr">
        <is>
          <t>36</t>
        </is>
      </c>
      <c r="G4006" t="inlineStr">
        <is>
          <t>0</t>
        </is>
      </c>
      <c r="H4006" t="inlineStr">
        <is>
          <t>0</t>
        </is>
      </c>
      <c r="I4006" t="inlineStr">
        <is>
          <t>3⁸, 6⁴, 12⁴, 48⁴</t>
        </is>
      </c>
      <c r="J4006" t="n">
        <v>20</v>
      </c>
      <c r="K4006" t="inlineStr">
        <is>
          <t>1⁴, 2⁶, 4³, 8¹</t>
        </is>
      </c>
      <c r="L4006" t="inlineStr">
        <is>
          <t>24U⁷, 48Q⁷, 48X⁷, 48I⁸, 48Y⁸</t>
        </is>
      </c>
      <c r="M4006" t="inlineStr"/>
      <c r="N4006" t="inlineStr">
        <is>
          <t>24U⁷, 48I⁸, 24F⁴, 12K¹, 48F⁴, 6G⁰, 48Y⁸, 8C⁰, 2B⁰, 8I⁰, 4B⁰, 1A⁰, 48G⁴, 48Q⁷, 24B², 6D⁰, 24M⁴, 24D², 3C⁰, 12B¹, 12D⁰, 3A⁰, 24L³, 48X⁷</t>
        </is>
      </c>
      <c r="O4006" t="inlineStr"/>
    </row>
    <row r="4007">
      <c r="A4007">
        <f>HYPERLINK("https://mathstats.uncg.edu/sites/pauli/congruence/csg15.html#group48Q15", "48Q¹⁵")</f>
        <v/>
      </c>
      <c r="B4007" t="n">
        <v>15</v>
      </c>
      <c r="C4007" t="inlineStr"/>
      <c r="D4007" t="inlineStr">
        <is>
          <t>288</t>
        </is>
      </c>
      <c r="E4007" t="inlineStr">
        <is>
          <t>1</t>
        </is>
      </c>
      <c r="F4007" t="inlineStr">
        <is>
          <t>36</t>
        </is>
      </c>
      <c r="G4007" t="inlineStr">
        <is>
          <t>0</t>
        </is>
      </c>
      <c r="H4007" t="inlineStr">
        <is>
          <t>0</t>
        </is>
      </c>
      <c r="I4007" t="inlineStr">
        <is>
          <t>3⁸, 6⁴, 12⁴, 48⁴</t>
        </is>
      </c>
      <c r="J4007" t="n">
        <v>20</v>
      </c>
      <c r="K4007" t="inlineStr">
        <is>
          <t>1⁴, 2⁶, 4³, 8¹</t>
        </is>
      </c>
      <c r="L4007" t="inlineStr">
        <is>
          <t>24U⁷, 48R⁷, 48Y⁷, 48E⁸, 48I⁸, 48J⁸, 48K⁸</t>
        </is>
      </c>
      <c r="M4007" t="inlineStr"/>
      <c r="N4007" t="inlineStr">
        <is>
          <t>24U⁷, 48I⁸, 24F⁴, 12K¹, 48K⁸, 48F⁴, 6G⁰, 2B⁰, 8C⁰, 8I⁰, 4B⁰, 1A⁰, 48G⁴, 48B⁴, 16H⁰, 48Y⁷, 24B², 48R⁷, 48E⁸, 16D⁰, 24M⁴, 16C⁰, 24D², 3C⁰, 12B¹, 48J⁸, 12D⁰, 3A⁰, 24L³, 6D⁰, 48D⁴</t>
        </is>
      </c>
      <c r="O4007" t="inlineStr"/>
    </row>
    <row r="4008">
      <c r="A4008">
        <f>HYPERLINK("https://mathstats.uncg.edu/sites/pauli/congruence/csg15.html#group48R15", "48R¹⁵")</f>
        <v/>
      </c>
      <c r="B4008" t="n">
        <v>15</v>
      </c>
      <c r="C4008" t="inlineStr"/>
      <c r="D4008" t="inlineStr">
        <is>
          <t>288</t>
        </is>
      </c>
      <c r="E4008" t="inlineStr">
        <is>
          <t>1</t>
        </is>
      </c>
      <c r="F4008" t="inlineStr">
        <is>
          <t>36</t>
        </is>
      </c>
      <c r="G4008" t="inlineStr">
        <is>
          <t>0</t>
        </is>
      </c>
      <c r="H4008" t="inlineStr">
        <is>
          <t>0</t>
        </is>
      </c>
      <c r="I4008" t="inlineStr">
        <is>
          <t>6¹⁶, 48⁴</t>
        </is>
      </c>
      <c r="J4008" t="n">
        <v>20</v>
      </c>
      <c r="K4008" t="inlineStr">
        <is>
          <t>1⁴, 2⁶, 4³, 8¹</t>
        </is>
      </c>
      <c r="L4008" t="inlineStr">
        <is>
          <t>24N⁷, 48X⁷, 48Y⁷, 48L⁸, 48M⁸</t>
        </is>
      </c>
      <c r="M4008" t="inlineStr"/>
      <c r="N4008" t="inlineStr">
        <is>
          <t>24I⁴, 12K¹, 12D², 6G⁰, 2B⁰, 8C⁰, 12N¹, 4B⁰, 1A⁰, 48Y⁷, 24B², 48L⁸, 24D², 48M⁸, 3C⁰, 12B¹, 24K³, 6H⁰, 3A⁰, 48X⁷, 48D⁴, 6B⁰, 24N⁷, 24J⁴, 48G⁴, 12C¹, 6E⁰, 6L⁰, 16D⁰, 12E³, 12D⁰, 24L³, 12C², 6D⁰</t>
        </is>
      </c>
      <c r="O4008" t="inlineStr"/>
    </row>
    <row r="4009">
      <c r="A4009">
        <f>HYPERLINK("https://mathstats.uncg.edu/sites/pauli/congruence/csg15.html#group48S15", "48S¹⁵")</f>
        <v/>
      </c>
      <c r="B4009" t="n">
        <v>15</v>
      </c>
      <c r="C4009" t="inlineStr"/>
      <c r="D4009" t="inlineStr">
        <is>
          <t>288</t>
        </is>
      </c>
      <c r="E4009" t="inlineStr">
        <is>
          <t>1</t>
        </is>
      </c>
      <c r="F4009" t="inlineStr">
        <is>
          <t>36</t>
        </is>
      </c>
      <c r="G4009" t="inlineStr">
        <is>
          <t>16</t>
        </is>
      </c>
      <c r="H4009" t="inlineStr">
        <is>
          <t>0</t>
        </is>
      </c>
      <c r="I4009" t="inlineStr">
        <is>
          <t>12⁸, 48⁴</t>
        </is>
      </c>
      <c r="J4009" t="n">
        <v>12</v>
      </c>
      <c r="K4009" t="inlineStr">
        <is>
          <t>2², 4⁴, 8²</t>
        </is>
      </c>
      <c r="L4009" t="inlineStr">
        <is>
          <t>24W⁵, 48AB⁷</t>
        </is>
      </c>
      <c r="M4009" t="inlineStr"/>
      <c r="N4009" t="inlineStr">
        <is>
          <t>12I², 24O², 24Q³, 24E¹, 12C⁰, 4C⁰, 24P², 12M¹, 24P³, 2B⁰, 1A⁰, 24W⁵, 24A⁰, 6H⁰, 3A⁰, 24H¹, 6B⁰, 8D⁰, 24D¹, 12F⁰, 8B⁰, 24L², 8H⁰, 48AB⁷, 12A⁰, 4A⁰, 24C¹, 12J¹, 12D⁰, 4F⁰, 12H⁰, 6D⁰</t>
        </is>
      </c>
      <c r="O4009" t="inlineStr"/>
    </row>
    <row r="4010">
      <c r="A4010">
        <f>HYPERLINK("https://mathstats.uncg.edu/sites/pauli/congruence/csg15.html#group48T15", "48T¹⁵")</f>
        <v/>
      </c>
      <c r="B4010" t="n">
        <v>15</v>
      </c>
      <c r="C4010" t="inlineStr"/>
      <c r="D4010" t="inlineStr">
        <is>
          <t>288</t>
        </is>
      </c>
      <c r="E4010" t="inlineStr">
        <is>
          <t>1</t>
        </is>
      </c>
      <c r="F4010" t="inlineStr">
        <is>
          <t>36</t>
        </is>
      </c>
      <c r="G4010" t="inlineStr">
        <is>
          <t>16</t>
        </is>
      </c>
      <c r="H4010" t="inlineStr">
        <is>
          <t>0</t>
        </is>
      </c>
      <c r="I4010" t="inlineStr">
        <is>
          <t>12⁸, 48⁴</t>
        </is>
      </c>
      <c r="J4010" t="n">
        <v>12</v>
      </c>
      <c r="K4010" t="inlineStr">
        <is>
          <t>2², 4⁴, 8²</t>
        </is>
      </c>
      <c r="L4010" t="inlineStr">
        <is>
          <t>24W⁵, 48O⁷, 48AB⁷</t>
        </is>
      </c>
      <c r="M4010" t="inlineStr"/>
      <c r="N4010" t="inlineStr">
        <is>
          <t>12I², 24O², 24Q³, 24E¹, 12C⁰, 4C⁰, 24P², 2B⁰, 12M¹, 24P³, 1A⁰, 24W⁵, 24A⁰, 6H⁰, 3A⁰, 24H¹, 16H¹, 6B⁰, 8D⁰, 24D¹, 8B⁰, 12F⁰, 24L², 8H⁰, 48AB⁷, 12A⁰, 4A⁰, 24C¹, 12J¹, 12D⁰, 4F⁰, 12H⁰, 48O⁷, 6D⁰</t>
        </is>
      </c>
      <c r="O4010" t="inlineStr"/>
    </row>
    <row r="4011">
      <c r="A4011">
        <f>HYPERLINK("https://mathstats.uncg.edu/sites/pauli/congruence/csg15.html#group48U15", "48U¹⁵")</f>
        <v/>
      </c>
      <c r="B4011" t="n">
        <v>15</v>
      </c>
      <c r="C4011" t="inlineStr"/>
      <c r="D4011" t="inlineStr">
        <is>
          <t>288</t>
        </is>
      </c>
      <c r="E4011" t="inlineStr">
        <is>
          <t>1</t>
        </is>
      </c>
      <c r="F4011" t="inlineStr">
        <is>
          <t>36</t>
        </is>
      </c>
      <c r="G4011" t="inlineStr">
        <is>
          <t>16</t>
        </is>
      </c>
      <c r="H4011" t="inlineStr">
        <is>
          <t>0</t>
        </is>
      </c>
      <c r="I4011" t="inlineStr">
        <is>
          <t>12⁸, 48⁴</t>
        </is>
      </c>
      <c r="J4011" t="n">
        <v>12</v>
      </c>
      <c r="K4011" t="inlineStr">
        <is>
          <t>2⁴, 4³, 8²</t>
        </is>
      </c>
      <c r="L4011" t="inlineStr">
        <is>
          <t>24W⁵, 48I⁶, 48AC⁷, 48N⁸, 48Z⁸</t>
        </is>
      </c>
      <c r="M4011" t="inlineStr"/>
      <c r="N4011" t="inlineStr">
        <is>
          <t>24O², 24E¹, 24Q³, 12I², 12C⁰, 48G³, 48AC⁷, 48Z⁸, 4C⁰, 24P², 2B⁰, 12M¹, 24P³, 1A⁰, 24W⁵, 24A⁰, 48N⁸, 6H⁰, 3A⁰, 24H¹, 6B⁰, 48I⁶, 8D⁰, 48H⁴, 24D¹, 8B⁰, 12F⁰, 24L², 8H⁰, 12A⁰, 4A⁰, 24C¹, 12J¹, 12D⁰, 4F⁰, 12H⁰, 6D⁰</t>
        </is>
      </c>
      <c r="O4011" t="inlineStr"/>
    </row>
    <row r="4012">
      <c r="A4012">
        <f>HYPERLINK("https://mathstats.uncg.edu/sites/pauli/congruence/csg15.html#group48V15", "48V¹⁵")</f>
        <v/>
      </c>
      <c r="B4012" t="n">
        <v>15</v>
      </c>
      <c r="C4012" t="inlineStr"/>
      <c r="D4012" t="inlineStr">
        <is>
          <t>288</t>
        </is>
      </c>
      <c r="E4012" t="inlineStr">
        <is>
          <t>1</t>
        </is>
      </c>
      <c r="F4012" t="inlineStr">
        <is>
          <t>36</t>
        </is>
      </c>
      <c r="G4012" t="inlineStr">
        <is>
          <t>16</t>
        </is>
      </c>
      <c r="H4012" t="inlineStr">
        <is>
          <t>0</t>
        </is>
      </c>
      <c r="I4012" t="inlineStr">
        <is>
          <t>12⁸, 48⁴</t>
        </is>
      </c>
      <c r="J4012" t="n">
        <v>12</v>
      </c>
      <c r="K4012" t="inlineStr">
        <is>
          <t>1², 2³, 4³, 8²</t>
        </is>
      </c>
      <c r="L4012" t="inlineStr">
        <is>
          <t>24W⁵, 48J⁶, 48P⁷, 48AC⁷, 48O⁸, 48P⁸, 48Q⁸</t>
        </is>
      </c>
      <c r="M4012" t="inlineStr"/>
      <c r="N4012" t="inlineStr">
        <is>
          <t>24O², 24E¹, 24Q³, 12I², 12C⁰, 48G³, 16I¹, 48AC⁷, 48O⁸, 48P⁷, 4C⁰, 24P², 2B⁰, 12M¹, 24P³, 1A⁰, 24W⁵, 16E⁰, 48E⁴, 24A⁰, 48D³, 6H⁰, 3A⁰, 24H¹, 6B⁰, 48H⁴, 8D⁰, 24D¹, 8B⁰, 12F⁰, 48P⁸, 48Q⁸, 24L², 8H⁰, 12A⁰, 4A⁰, 48J⁶, 16C¹, 24C¹, 12J¹, 12D⁰, 4F⁰, 12H⁰, 6D⁰</t>
        </is>
      </c>
      <c r="O4012" t="inlineStr"/>
    </row>
    <row r="4013">
      <c r="A4013">
        <f>HYPERLINK("https://mathstats.uncg.edu/sites/pauli/congruence/csg15.html#group48W15", "48W¹⁵")</f>
        <v/>
      </c>
      <c r="B4013" t="n">
        <v>15</v>
      </c>
      <c r="C4013" t="inlineStr"/>
      <c r="D4013" t="inlineStr">
        <is>
          <t>288</t>
        </is>
      </c>
      <c r="E4013" t="inlineStr">
        <is>
          <t>1</t>
        </is>
      </c>
      <c r="F4013" t="inlineStr">
        <is>
          <t>36</t>
        </is>
      </c>
      <c r="G4013" t="inlineStr">
        <is>
          <t>24</t>
        </is>
      </c>
      <c r="H4013" t="inlineStr">
        <is>
          <t>0</t>
        </is>
      </c>
      <c r="I4013" t="inlineStr">
        <is>
          <t>24⁴, 48⁴</t>
        </is>
      </c>
      <c r="J4013" t="n">
        <v>8</v>
      </c>
      <c r="K4013" t="inlineStr">
        <is>
          <t>2², 4⁴, 8²</t>
        </is>
      </c>
      <c r="L4013" t="inlineStr">
        <is>
          <t>48E⁵, 24AB⁷, 48AB⁷</t>
        </is>
      </c>
      <c r="M4013" t="inlineStr"/>
      <c r="N4013" t="inlineStr">
        <is>
          <t>24O⁴, 48E⁵, 12C⁰, 8D⁰, 4C⁰, 8B⁰, 16F¹, 16B¹, 48A⁰, 2B⁰, 24B¹, 24L², 1A⁰, 8H⁰, 16B⁰, 48C³, 48AB⁷, 12A⁰, 24A⁰, 4A⁰, 24C¹, 24AB⁷, 24R³, 12J¹, 4F⁰, 3A⁰, 6D⁰</t>
        </is>
      </c>
      <c r="O4013" t="inlineStr"/>
    </row>
    <row r="4014">
      <c r="A4014">
        <f>HYPERLINK("https://mathstats.uncg.edu/sites/pauli/congruence/csg15.html#group48X15", "48X¹⁵")</f>
        <v/>
      </c>
      <c r="B4014" t="n">
        <v>15</v>
      </c>
      <c r="C4014" t="inlineStr"/>
      <c r="D4014" t="inlineStr">
        <is>
          <t>288</t>
        </is>
      </c>
      <c r="E4014" t="inlineStr">
        <is>
          <t>1</t>
        </is>
      </c>
      <c r="F4014" t="inlineStr">
        <is>
          <t>36</t>
        </is>
      </c>
      <c r="G4014" t="inlineStr">
        <is>
          <t>24</t>
        </is>
      </c>
      <c r="H4014" t="inlineStr">
        <is>
          <t>0</t>
        </is>
      </c>
      <c r="I4014" t="inlineStr">
        <is>
          <t>24⁴, 48⁴</t>
        </is>
      </c>
      <c r="J4014" t="n">
        <v>8</v>
      </c>
      <c r="K4014" t="inlineStr">
        <is>
          <t>1², 2³, 4³, 8²</t>
        </is>
      </c>
      <c r="L4014" t="inlineStr">
        <is>
          <t>48E⁵, 24AC⁷, 48AC⁷</t>
        </is>
      </c>
      <c r="M4014" t="inlineStr"/>
      <c r="N4014" t="inlineStr">
        <is>
          <t>48E⁵, 12C⁰, 24AC⁷, 48G³, 48AC⁷, 48H⁴, 8D⁰, 4C⁰, 8B⁰, 16B¹, 48A⁰, 2B⁰, 24L², 1A⁰, 8H⁰, 16B⁰, 48C³, 12A⁰, 24A⁰, 4A⁰, 24C¹, 12J¹, 4F⁰, 16F¹, 3A⁰, 6D⁰</t>
        </is>
      </c>
      <c r="O4014" t="inlineStr"/>
    </row>
    <row r="4015">
      <c r="A4015">
        <f>HYPERLINK("https://mathstats.uncg.edu/sites/pauli/congruence/csg15.html#group48Y15", "48Y¹⁵")</f>
        <v/>
      </c>
      <c r="B4015" t="n">
        <v>15</v>
      </c>
      <c r="C4015" t="inlineStr"/>
      <c r="D4015" t="inlineStr">
        <is>
          <t>288</t>
        </is>
      </c>
      <c r="E4015" t="inlineStr">
        <is>
          <t>1</t>
        </is>
      </c>
      <c r="F4015" t="inlineStr">
        <is>
          <t>36</t>
        </is>
      </c>
      <c r="G4015" t="inlineStr">
        <is>
          <t>24</t>
        </is>
      </c>
      <c r="H4015" t="inlineStr">
        <is>
          <t>0</t>
        </is>
      </c>
      <c r="I4015" t="inlineStr">
        <is>
          <t>24⁴, 48⁴</t>
        </is>
      </c>
      <c r="J4015" t="n">
        <v>8</v>
      </c>
      <c r="K4015" t="inlineStr">
        <is>
          <t>2⁶, 4⁶</t>
        </is>
      </c>
      <c r="L4015" t="inlineStr">
        <is>
          <t>48E⁵, 48H⁵, 24G⁶, 48R⁸, 48AC⁸</t>
        </is>
      </c>
      <c r="M4015" t="inlineStr"/>
      <c r="N4015" t="inlineStr">
        <is>
          <t>48E⁵, 12C⁰, 48R⁸, 8D⁰, 4C⁰, 8B⁰, 16F¹, 24Q², 48H⁵, 2B⁰, 16B¹, 48A⁰, 24L², 1A⁰, 48H³, 8H⁰, 16B⁰, 24G⁶, 48C³, 12A⁰, 24A⁰, 4A⁰, 24C¹, 12J¹, 4F⁰, 48AC⁸, 3A⁰, 6D⁰</t>
        </is>
      </c>
      <c r="O4015" t="inlineStr"/>
    </row>
    <row r="4016">
      <c r="A4016">
        <f>HYPERLINK("https://mathstats.uncg.edu/sites/pauli/congruence/csg15.html#group48Z15", "48Z¹⁵")</f>
        <v/>
      </c>
      <c r="B4016" t="n">
        <v>15</v>
      </c>
      <c r="C4016" t="inlineStr"/>
      <c r="D4016" t="inlineStr">
        <is>
          <t>288</t>
        </is>
      </c>
      <c r="E4016" t="inlineStr">
        <is>
          <t>1</t>
        </is>
      </c>
      <c r="F4016" t="inlineStr">
        <is>
          <t>36</t>
        </is>
      </c>
      <c r="G4016" t="inlineStr">
        <is>
          <t>24</t>
        </is>
      </c>
      <c r="H4016" t="inlineStr">
        <is>
          <t>0</t>
        </is>
      </c>
      <c r="I4016" t="inlineStr">
        <is>
          <t>24⁴, 48⁴</t>
        </is>
      </c>
      <c r="J4016" t="n">
        <v>8</v>
      </c>
      <c r="K4016" t="inlineStr">
        <is>
          <t>4¹⁴, 8²</t>
        </is>
      </c>
      <c r="L4016" t="inlineStr">
        <is>
          <t>48G⁵, 48H⁵, 24H⁶, 48S⁸, 48AE⁸</t>
        </is>
      </c>
      <c r="M4016" t="inlineStr"/>
      <c r="N4016" t="inlineStr">
        <is>
          <t>24E¹, 12C⁰, 4C⁰, 8B⁰, 24P², 48H⁵, 24Q², 12M¹, 2B⁰, 48A⁰, 48G⁵, 1A⁰, 48AE⁸, 48H³, 48S⁸, 16B⁰, 24A⁰, 24H⁶, 48F³, 3A⁰, 6D⁰</t>
        </is>
      </c>
      <c r="O4016" t="inlineStr"/>
    </row>
    <row r="4017">
      <c r="A4017">
        <f>HYPERLINK("https://mathstats.uncg.edu/sites/pauli/congruence/csg15.html#group48AA15", "48AA¹⁵")</f>
        <v/>
      </c>
      <c r="B4017" t="n">
        <v>15</v>
      </c>
      <c r="C4017" t="inlineStr"/>
      <c r="D4017" t="inlineStr">
        <is>
          <t>288</t>
        </is>
      </c>
      <c r="E4017" t="inlineStr">
        <is>
          <t>1</t>
        </is>
      </c>
      <c r="F4017" t="inlineStr">
        <is>
          <t>36</t>
        </is>
      </c>
      <c r="G4017" t="inlineStr">
        <is>
          <t>24</t>
        </is>
      </c>
      <c r="H4017" t="inlineStr">
        <is>
          <t>0</t>
        </is>
      </c>
      <c r="I4017" t="inlineStr">
        <is>
          <t>24⁴, 48⁴</t>
        </is>
      </c>
      <c r="J4017" t="n">
        <v>8</v>
      </c>
      <c r="K4017" t="inlineStr">
        <is>
          <t>4¹⁴, 8²</t>
        </is>
      </c>
      <c r="L4017" t="inlineStr">
        <is>
          <t>48G⁵, 48H⁵, 24I⁶, 48T⁸, 48AF⁸</t>
        </is>
      </c>
      <c r="M4017" t="inlineStr"/>
      <c r="N4017" t="inlineStr">
        <is>
          <t>24E¹, 24I⁶, 12C⁰, 48AF⁸, 4C⁰, 8B⁰, 48T⁸, 24P², 48H⁵, 24Q², 12M¹, 2B⁰, 48A⁰, 48G⁵, 1A⁰, 48H³, 16B⁰, 24A⁰, 48F³, 3A⁰, 6D⁰</t>
        </is>
      </c>
      <c r="O4017" t="inlineStr"/>
    </row>
    <row r="4018">
      <c r="A4018">
        <f>HYPERLINK("https://mathstats.uncg.edu/sites/pauli/congruence/csg15.html#group48AB15", "48AB¹⁵")</f>
        <v/>
      </c>
      <c r="B4018" t="n">
        <v>15</v>
      </c>
      <c r="C4018" t="inlineStr"/>
      <c r="D4018" t="inlineStr">
        <is>
          <t>288</t>
        </is>
      </c>
      <c r="E4018" t="inlineStr">
        <is>
          <t>1</t>
        </is>
      </c>
      <c r="F4018" t="inlineStr">
        <is>
          <t>72</t>
        </is>
      </c>
      <c r="G4018" t="inlineStr">
        <is>
          <t>16</t>
        </is>
      </c>
      <c r="H4018" t="inlineStr">
        <is>
          <t>0</t>
        </is>
      </c>
      <c r="I4018" t="inlineStr">
        <is>
          <t>12⁸, 48⁴</t>
        </is>
      </c>
      <c r="J4018" t="n">
        <v>12</v>
      </c>
      <c r="K4018" t="inlineStr">
        <is>
          <t>4¹⁰, 8⁴</t>
        </is>
      </c>
      <c r="L4018" t="inlineStr">
        <is>
          <t>24V⁵</t>
        </is>
      </c>
      <c r="M4018" t="inlineStr"/>
      <c r="N4018" t="inlineStr">
        <is>
          <t>24E¹, 6B⁰, 12C⁰, 3A⁰, 24N², 4C⁰, 24D¹, 8B⁰, 24P², 12M¹, 2B⁰, 1A⁰, 12H², 24V⁵, 24A⁰, 24T³, 12D⁰, 6H⁰, 12H⁰, 24H¹, 6D⁰</t>
        </is>
      </c>
      <c r="O4018" t="inlineStr"/>
    </row>
    <row r="4019">
      <c r="A4019">
        <f>HYPERLINK("https://mathstats.uncg.edu/sites/pauli/congruence/csg15.html#group48AC15", "48AC¹⁵")</f>
        <v/>
      </c>
      <c r="B4019" t="n">
        <v>15</v>
      </c>
      <c r="C4019" t="inlineStr"/>
      <c r="D4019" t="inlineStr">
        <is>
          <t>288</t>
        </is>
      </c>
      <c r="E4019" t="inlineStr">
        <is>
          <t>1</t>
        </is>
      </c>
      <c r="F4019" t="inlineStr">
        <is>
          <t>72</t>
        </is>
      </c>
      <c r="G4019" t="inlineStr">
        <is>
          <t>16</t>
        </is>
      </c>
      <c r="H4019" t="inlineStr">
        <is>
          <t>0</t>
        </is>
      </c>
      <c r="I4019" t="inlineStr">
        <is>
          <t>12⁸, 48⁴</t>
        </is>
      </c>
      <c r="J4019" t="n">
        <v>12</v>
      </c>
      <c r="K4019" t="inlineStr">
        <is>
          <t>4¹⁰, 8⁴</t>
        </is>
      </c>
      <c r="L4019" t="inlineStr">
        <is>
          <t>24V⁵, 48K⁶, 48W⁸</t>
        </is>
      </c>
      <c r="M4019" t="inlineStr"/>
      <c r="N4019" t="inlineStr">
        <is>
          <t>24E¹, 6B⁰, 12C⁰, 24N², 48W⁸, 4C⁰, 24D¹, 8B⁰, 24P², 2B⁰, 12M¹, 12H⁰, 48K⁶, 1A⁰, 12H², 24V⁵, 24A⁰, 24T³, 12D⁰, 6H⁰, 3A⁰, 24H¹, 6D⁰</t>
        </is>
      </c>
      <c r="O4019" t="inlineStr"/>
    </row>
    <row r="4020">
      <c r="A4020">
        <f>HYPERLINK("https://mathstats.uncg.edu/sites/pauli/congruence/csg15.html#group48AD15", "48AD¹⁵")</f>
        <v/>
      </c>
      <c r="B4020" t="n">
        <v>15</v>
      </c>
      <c r="C4020" t="inlineStr"/>
      <c r="D4020" t="inlineStr">
        <is>
          <t>288</t>
        </is>
      </c>
      <c r="E4020" t="inlineStr">
        <is>
          <t>1</t>
        </is>
      </c>
      <c r="F4020" t="inlineStr">
        <is>
          <t>72</t>
        </is>
      </c>
      <c r="G4020" t="inlineStr">
        <is>
          <t>24</t>
        </is>
      </c>
      <c r="H4020" t="inlineStr">
        <is>
          <t>0</t>
        </is>
      </c>
      <c r="I4020" t="inlineStr">
        <is>
          <t>24⁴, 48⁴</t>
        </is>
      </c>
      <c r="J4020" t="n">
        <v>8</v>
      </c>
      <c r="K4020" t="inlineStr">
        <is>
          <t>2⁸, 4⁸, 8¹, 16¹</t>
        </is>
      </c>
      <c r="L4020" t="inlineStr">
        <is>
          <t>48F⁵</t>
        </is>
      </c>
      <c r="M4020" t="inlineStr"/>
      <c r="N4020" t="inlineStr">
        <is>
          <t>48F⁵, 12C⁰, 4C⁰, 8B⁰, 48A⁰, 8L⁰, 2B⁰, 16J¹, 1A⁰, 16B⁰, 16D¹, 48E³, 24A⁰, 24M², 3A⁰, 6D⁰</t>
        </is>
      </c>
      <c r="O4020" t="inlineStr"/>
    </row>
    <row r="4021">
      <c r="A4021">
        <f>HYPERLINK("https://mathstats.uncg.edu/sites/pauli/congruence/csg15.html#group48AE15", "48AE¹⁵")</f>
        <v/>
      </c>
      <c r="B4021" t="n">
        <v>15</v>
      </c>
      <c r="C4021" t="inlineStr"/>
      <c r="D4021" t="inlineStr">
        <is>
          <t>288</t>
        </is>
      </c>
      <c r="E4021" t="inlineStr">
        <is>
          <t>1</t>
        </is>
      </c>
      <c r="F4021" t="inlineStr">
        <is>
          <t>72</t>
        </is>
      </c>
      <c r="G4021" t="inlineStr">
        <is>
          <t>24</t>
        </is>
      </c>
      <c r="H4021" t="inlineStr">
        <is>
          <t>0</t>
        </is>
      </c>
      <c r="I4021" t="inlineStr">
        <is>
          <t>24⁴, 48⁴</t>
        </is>
      </c>
      <c r="J4021" t="n">
        <v>8</v>
      </c>
      <c r="K4021" t="inlineStr">
        <is>
          <t>2⁸, 4⁸, 8¹, 16¹</t>
        </is>
      </c>
      <c r="L4021" t="inlineStr">
        <is>
          <t>48F⁵</t>
        </is>
      </c>
      <c r="M4021" t="inlineStr"/>
      <c r="N4021" t="inlineStr">
        <is>
          <t>48F⁵, 12C⁰, 4C⁰, 8B⁰, 48A⁰, 8L⁰, 2B⁰, 16J¹, 1A⁰, 16B⁰, 16D¹, 48E³, 24A⁰, 24M², 3A⁰, 6D⁰</t>
        </is>
      </c>
      <c r="O4021" t="inlineStr"/>
    </row>
    <row r="4022">
      <c r="A4022">
        <f>HYPERLINK("https://mathstats.uncg.edu/sites/pauli/congruence/csg15.html#group48AF15", "48AF¹⁵")</f>
        <v/>
      </c>
      <c r="B4022" t="n">
        <v>15</v>
      </c>
      <c r="C4022" t="inlineStr"/>
      <c r="D4022" t="inlineStr">
        <is>
          <t>288</t>
        </is>
      </c>
      <c r="E4022" t="inlineStr">
        <is>
          <t>2</t>
        </is>
      </c>
      <c r="F4022" t="inlineStr">
        <is>
          <t>36</t>
        </is>
      </c>
      <c r="G4022" t="inlineStr">
        <is>
          <t>24</t>
        </is>
      </c>
      <c r="H4022" t="inlineStr">
        <is>
          <t>0</t>
        </is>
      </c>
      <c r="I4022" t="inlineStr">
        <is>
          <t>24⁴, 48⁴</t>
        </is>
      </c>
      <c r="J4022" t="n">
        <v>8</v>
      </c>
      <c r="K4022" t="inlineStr">
        <is>
          <t>2⁸, 4¹⁰, 8²</t>
        </is>
      </c>
      <c r="L4022" t="inlineStr">
        <is>
          <t>48F⁵, 48G⁵, 48H⁵, 24K⁶, 48AA⁸, 48AB⁸, 48AD⁸</t>
        </is>
      </c>
      <c r="M4022" t="inlineStr"/>
      <c r="N4022" t="inlineStr">
        <is>
          <t>48AB⁸, 48F⁵, 24E¹, 12C⁰, 4C⁰, 8B⁰, 24P², 48H⁵, 2B⁰, 12M¹, 48A⁰, 8L⁰, 16J¹, 48G⁵, 1A⁰, 48AD⁸, 48H³, 24Q², 16B⁰, 16D¹, 48E³, 24A⁰, 6D⁰, 24M², 24K⁶, 48F³, 3A⁰, 48AA⁸</t>
        </is>
      </c>
      <c r="O4022" t="inlineStr"/>
    </row>
    <row r="4023">
      <c r="A4023">
        <f>HYPERLINK("https://mathstats.uncg.edu/sites/pauli/congruence/csg15.html#group51A15", "51A¹⁵")</f>
        <v/>
      </c>
      <c r="B4023" t="n">
        <v>15</v>
      </c>
      <c r="C4023" t="inlineStr"/>
      <c r="D4023" t="inlineStr">
        <is>
          <t>216</t>
        </is>
      </c>
      <c r="E4023" t="inlineStr">
        <is>
          <t>1</t>
        </is>
      </c>
      <c r="F4023" t="inlineStr">
        <is>
          <t>18</t>
        </is>
      </c>
      <c r="G4023" t="inlineStr">
        <is>
          <t>0</t>
        </is>
      </c>
      <c r="H4023" t="inlineStr">
        <is>
          <t>0</t>
        </is>
      </c>
      <c r="I4023" t="inlineStr">
        <is>
          <t>3⁴, 51⁴</t>
        </is>
      </c>
      <c r="J4023" t="n">
        <v>8</v>
      </c>
      <c r="K4023" t="inlineStr">
        <is>
          <t>1², 16¹</t>
        </is>
      </c>
      <c r="L4023" t="inlineStr">
        <is>
          <t>3D⁰, 51A⁵, 51B⁷</t>
        </is>
      </c>
      <c r="M4023" t="inlineStr"/>
      <c r="N4023" t="inlineStr">
        <is>
          <t>3B⁰, 51A⁵, 51A³, 51B⁷, 3C⁰, 17A¹, 1A⁰, 3A⁰, 3D⁰</t>
        </is>
      </c>
      <c r="O4023" t="inlineStr"/>
    </row>
    <row r="4024">
      <c r="A4024">
        <f>HYPERLINK("https://mathstats.uncg.edu/sites/pauli/congruence/csg15.html#group51B15", "51B¹⁵")</f>
        <v/>
      </c>
      <c r="B4024" t="n">
        <v>15</v>
      </c>
      <c r="C4024" t="inlineStr"/>
      <c r="D4024" t="inlineStr">
        <is>
          <t>216</t>
        </is>
      </c>
      <c r="E4024" t="inlineStr">
        <is>
          <t>1</t>
        </is>
      </c>
      <c r="F4024" t="inlineStr">
        <is>
          <t>54</t>
        </is>
      </c>
      <c r="G4024" t="inlineStr">
        <is>
          <t>0</t>
        </is>
      </c>
      <c r="H4024" t="inlineStr">
        <is>
          <t>0</t>
        </is>
      </c>
      <c r="I4024" t="inlineStr">
        <is>
          <t>3⁴, 51⁴</t>
        </is>
      </c>
      <c r="J4024" t="n">
        <v>8</v>
      </c>
      <c r="K4024" t="inlineStr">
        <is>
          <t>1², 2², 16¹, 32¹</t>
        </is>
      </c>
      <c r="L4024" t="inlineStr">
        <is>
          <t>51A⁷, 51B⁷</t>
        </is>
      </c>
      <c r="M4024" t="inlineStr"/>
      <c r="N4024" t="inlineStr">
        <is>
          <t>51B⁷, 3C⁰, 17A¹, 1A⁰, 3A⁰, 51A³, 51A⁷</t>
        </is>
      </c>
      <c r="O4024" t="inlineStr"/>
    </row>
    <row r="4025">
      <c r="A4025">
        <f>HYPERLINK("https://mathstats.uncg.edu/sites/pauli/congruence/csg15.html#group52A15", "52A¹⁵")</f>
        <v/>
      </c>
      <c r="B4025" t="n">
        <v>15</v>
      </c>
      <c r="C4025" t="inlineStr"/>
      <c r="D4025" t="inlineStr">
        <is>
          <t>336</t>
        </is>
      </c>
      <c r="E4025" t="inlineStr">
        <is>
          <t>1</t>
        </is>
      </c>
      <c r="F4025" t="inlineStr">
        <is>
          <t>28</t>
        </is>
      </c>
      <c r="G4025" t="inlineStr">
        <is>
          <t>0</t>
        </is>
      </c>
      <c r="H4025" t="inlineStr">
        <is>
          <t>24</t>
        </is>
      </c>
      <c r="I4025" t="inlineStr">
        <is>
          <t>4⁶, 52⁶</t>
        </is>
      </c>
      <c r="J4025" t="n">
        <v>12</v>
      </c>
      <c r="K4025" t="inlineStr">
        <is>
          <t>1⁴, 12²</t>
        </is>
      </c>
      <c r="L4025" t="inlineStr">
        <is>
          <t>52B³, 26C⁵</t>
        </is>
      </c>
      <c r="M4025" t="inlineStr"/>
      <c r="N4025" t="inlineStr">
        <is>
          <t>52B³, 2A⁰, 26B¹, 26A¹, 26C⁵, 13A⁰, 26A³, 26A⁰, 13B⁰, 52A¹, 1A⁰</t>
        </is>
      </c>
      <c r="O4025" t="inlineStr"/>
    </row>
    <row r="4026">
      <c r="A4026">
        <f>HYPERLINK("https://mathstats.uncg.edu/sites/pauli/congruence/csg15.html#group54A15", "54A¹⁵")</f>
        <v/>
      </c>
      <c r="B4026" t="n">
        <v>15</v>
      </c>
      <c r="C4026" t="inlineStr"/>
      <c r="D4026" t="inlineStr">
        <is>
          <t>243</t>
        </is>
      </c>
      <c r="E4026" t="inlineStr">
        <is>
          <t>2</t>
        </is>
      </c>
      <c r="F4026" t="inlineStr">
        <is>
          <t>243</t>
        </is>
      </c>
      <c r="G4026" t="inlineStr">
        <is>
          <t>13</t>
        </is>
      </c>
      <c r="H4026" t="inlineStr">
        <is>
          <t>0</t>
        </is>
      </c>
      <c r="I4026" t="inlineStr">
        <is>
          <t>27³, 54³</t>
        </is>
      </c>
      <c r="J4026" t="n">
        <v>6</v>
      </c>
      <c r="K4026" t="inlineStr">
        <is>
          <t>6²⁷, 18¹⁸</t>
        </is>
      </c>
      <c r="L4026" t="inlineStr">
        <is>
          <t>18J³, 27B³</t>
        </is>
      </c>
      <c r="M4026" t="inlineStr"/>
      <c r="N4026" t="inlineStr">
        <is>
          <t>18J³, 9A⁰, 9G⁰, 27B³, 2B⁰, 18E¹, 3A⁰, 1A⁰, 6D⁰</t>
        </is>
      </c>
      <c r="O4026" t="inlineStr"/>
    </row>
    <row r="4027">
      <c r="A4027">
        <f>HYPERLINK("https://mathstats.uncg.edu/sites/pauli/congruence/csg15.html#group56A15", "56A¹⁵")</f>
        <v/>
      </c>
      <c r="B4027" t="n">
        <v>15</v>
      </c>
      <c r="C4027" t="inlineStr"/>
      <c r="D4027" t="inlineStr">
        <is>
          <t>224</t>
        </is>
      </c>
      <c r="E4027" t="inlineStr">
        <is>
          <t>2</t>
        </is>
      </c>
      <c r="F4027" t="inlineStr">
        <is>
          <t>28</t>
        </is>
      </c>
      <c r="G4027" t="inlineStr">
        <is>
          <t>0</t>
        </is>
      </c>
      <c r="H4027" t="inlineStr">
        <is>
          <t>8</t>
        </is>
      </c>
      <c r="I4027" t="inlineStr">
        <is>
          <t>56⁴</t>
        </is>
      </c>
      <c r="J4027" t="n">
        <v>4</v>
      </c>
      <c r="K4027" t="inlineStr">
        <is>
          <t>4², 12⁴</t>
        </is>
      </c>
      <c r="L4027" t="inlineStr">
        <is>
          <t>56F⁶, 56G⁶, 28A⁷, 56E⁷, 56D⁷, 56A⁸, 56B⁸</t>
        </is>
      </c>
      <c r="M4027" t="inlineStr"/>
      <c r="N4027" t="inlineStr">
        <is>
          <t>28D³, 2A⁰, 28E², 56D³, 56B³, 14A⁰, 56A⁸, 14A¹, 8A⁰, 8E⁰, 1A⁰, 14D¹, 56G⁶, 56E⁷, 56D⁷, 4A⁰, 7C⁰, 28A⁴, 56B⁸, 4D⁰, 28A⁷, 56C³, 28A¹, 56F⁶, 7A⁰, 56A³</t>
        </is>
      </c>
      <c r="O4027" t="inlineStr"/>
    </row>
    <row r="4028">
      <c r="A4028">
        <f>HYPERLINK("https://mathstats.uncg.edu/sites/pauli/congruence/csg15.html#group56B15", "56B¹⁵")</f>
        <v/>
      </c>
      <c r="B4028" t="n">
        <v>15</v>
      </c>
      <c r="C4028" t="inlineStr"/>
      <c r="D4028" t="inlineStr">
        <is>
          <t>224</t>
        </is>
      </c>
      <c r="E4028" t="inlineStr">
        <is>
          <t>2</t>
        </is>
      </c>
      <c r="F4028" t="inlineStr">
        <is>
          <t>112</t>
        </is>
      </c>
      <c r="G4028" t="inlineStr">
        <is>
          <t>8</t>
        </is>
      </c>
      <c r="H4028" t="inlineStr">
        <is>
          <t>2</t>
        </is>
      </c>
      <c r="I4028" t="inlineStr">
        <is>
          <t>56⁴</t>
        </is>
      </c>
      <c r="J4028" t="n">
        <v>4</v>
      </c>
      <c r="K4028" t="inlineStr">
        <is>
          <t>4², 12², 24⁸</t>
        </is>
      </c>
      <c r="L4028" t="inlineStr">
        <is>
          <t>56A³, 56B³, 28H⁶</t>
        </is>
      </c>
      <c r="M4028" t="inlineStr"/>
      <c r="N4028" t="inlineStr">
        <is>
          <t>28H⁶, 56B³, 4A⁰, 7F⁰, 28A¹, 1A⁰, 7A⁰, 56A³</t>
        </is>
      </c>
      <c r="O4028" t="inlineStr"/>
    </row>
    <row r="4029">
      <c r="A4029">
        <f>HYPERLINK("https://mathstats.uncg.edu/sites/pauli/congruence/csg15.html#group56C15", "56C¹⁵")</f>
        <v/>
      </c>
      <c r="B4029" t="n">
        <v>15</v>
      </c>
      <c r="C4029" t="inlineStr"/>
      <c r="D4029" t="inlineStr">
        <is>
          <t>224</t>
        </is>
      </c>
      <c r="E4029" t="inlineStr">
        <is>
          <t>2</t>
        </is>
      </c>
      <c r="F4029" t="inlineStr">
        <is>
          <t>112</t>
        </is>
      </c>
      <c r="G4029" t="inlineStr">
        <is>
          <t>8</t>
        </is>
      </c>
      <c r="H4029" t="inlineStr">
        <is>
          <t>2</t>
        </is>
      </c>
      <c r="I4029" t="inlineStr">
        <is>
          <t>56⁴</t>
        </is>
      </c>
      <c r="J4029" t="n">
        <v>4</v>
      </c>
      <c r="K4029" t="inlineStr">
        <is>
          <t>4², 12², 24⁸</t>
        </is>
      </c>
      <c r="L4029" t="inlineStr">
        <is>
          <t>56C³, 56D³, 28H⁶</t>
        </is>
      </c>
      <c r="M4029" t="inlineStr"/>
      <c r="N4029" t="inlineStr">
        <is>
          <t>28H⁶, 56D³, 4A⁰, 7F⁰, 8A⁰, 56C³, 28A¹, 1A⁰, 7A⁰</t>
        </is>
      </c>
      <c r="O4029" t="inlineStr"/>
    </row>
    <row r="4030">
      <c r="A4030">
        <f>HYPERLINK("https://mathstats.uncg.edu/sites/pauli/congruence/csg15.html#group56D15", "56D¹⁵")</f>
        <v/>
      </c>
      <c r="B4030" t="n">
        <v>15</v>
      </c>
      <c r="C4030" t="inlineStr"/>
      <c r="D4030" t="inlineStr">
        <is>
          <t>224</t>
        </is>
      </c>
      <c r="E4030" t="inlineStr">
        <is>
          <t>2</t>
        </is>
      </c>
      <c r="F4030" t="inlineStr">
        <is>
          <t>112</t>
        </is>
      </c>
      <c r="G4030" t="inlineStr">
        <is>
          <t>8</t>
        </is>
      </c>
      <c r="H4030" t="inlineStr">
        <is>
          <t>2</t>
        </is>
      </c>
      <c r="I4030" t="inlineStr">
        <is>
          <t>56⁴</t>
        </is>
      </c>
      <c r="J4030" t="n">
        <v>4</v>
      </c>
      <c r="K4030" t="inlineStr">
        <is>
          <t>8⁴, 24⁸</t>
        </is>
      </c>
      <c r="L4030" t="inlineStr">
        <is>
          <t>28D³, 56H⁶</t>
        </is>
      </c>
      <c r="M4030" t="inlineStr"/>
      <c r="N4030" t="inlineStr">
        <is>
          <t>28D³, 8F⁰, 4A⁰, 7C⁰, 56H⁶, 28A¹, 1A⁰, 7A⁰</t>
        </is>
      </c>
      <c r="O4030" t="inlineStr"/>
    </row>
    <row r="4031">
      <c r="A4031">
        <f>HYPERLINK("https://mathstats.uncg.edu/sites/pauli/congruence/csg15.html#group56E15", "56E¹⁵")</f>
        <v/>
      </c>
      <c r="B4031" t="n">
        <v>15</v>
      </c>
      <c r="C4031" t="inlineStr"/>
      <c r="D4031" t="inlineStr">
        <is>
          <t>252</t>
        </is>
      </c>
      <c r="E4031" t="inlineStr">
        <is>
          <t>1</t>
        </is>
      </c>
      <c r="F4031" t="inlineStr">
        <is>
          <t>63</t>
        </is>
      </c>
      <c r="G4031" t="inlineStr">
        <is>
          <t>16</t>
        </is>
      </c>
      <c r="H4031" t="inlineStr">
        <is>
          <t>0</t>
        </is>
      </c>
      <c r="I4031" t="inlineStr">
        <is>
          <t>28³, 56³</t>
        </is>
      </c>
      <c r="J4031" t="n">
        <v>6</v>
      </c>
      <c r="K4031" t="inlineStr">
        <is>
          <t>3³, 6⁹</t>
        </is>
      </c>
      <c r="L4031" t="inlineStr">
        <is>
          <t>28I⁶</t>
        </is>
      </c>
      <c r="M4031" t="inlineStr"/>
      <c r="N4031" t="inlineStr">
        <is>
          <t>28C², 7D⁰, 14B¹, 4C⁰, 14F², 2B⁰, 28I⁶, 1A⁰, 7A⁰</t>
        </is>
      </c>
      <c r="O4031" t="inlineStr"/>
    </row>
    <row r="4032">
      <c r="A4032">
        <f>HYPERLINK("https://mathstats.uncg.edu/sites/pauli/congruence/csg15.html#group56F15", "56F¹⁵")</f>
        <v/>
      </c>
      <c r="B4032" t="n">
        <v>15</v>
      </c>
      <c r="C4032" t="inlineStr"/>
      <c r="D4032" t="inlineStr">
        <is>
          <t>252</t>
        </is>
      </c>
      <c r="E4032" t="inlineStr">
        <is>
          <t>1</t>
        </is>
      </c>
      <c r="F4032" t="inlineStr">
        <is>
          <t>126</t>
        </is>
      </c>
      <c r="G4032" t="inlineStr">
        <is>
          <t>10</t>
        </is>
      </c>
      <c r="H4032" t="inlineStr">
        <is>
          <t>0</t>
        </is>
      </c>
      <c r="I4032" t="inlineStr">
        <is>
          <t>14⁶, 56³</t>
        </is>
      </c>
      <c r="J4032" t="n">
        <v>9</v>
      </c>
      <c r="K4032" t="inlineStr">
        <is>
          <t>3², 6⁸, 12⁶</t>
        </is>
      </c>
      <c r="L4032" t="inlineStr">
        <is>
          <t>28I⁶</t>
        </is>
      </c>
      <c r="M4032" t="inlineStr"/>
      <c r="N4032" t="inlineStr">
        <is>
          <t>28C², 7D⁰, 14B¹, 4C⁰, 14F², 2B⁰, 28I⁶, 1A⁰, 7A⁰</t>
        </is>
      </c>
      <c r="O4032" t="inlineStr"/>
    </row>
    <row r="4033">
      <c r="A4033">
        <f>HYPERLINK("https://mathstats.uncg.edu/sites/pauli/congruence/csg15.html#group56G15", "56G¹⁵")</f>
        <v/>
      </c>
      <c r="B4033" t="n">
        <v>15</v>
      </c>
      <c r="C4033" t="inlineStr"/>
      <c r="D4033" t="inlineStr">
        <is>
          <t>252</t>
        </is>
      </c>
      <c r="E4033" t="inlineStr">
        <is>
          <t>1</t>
        </is>
      </c>
      <c r="F4033" t="inlineStr">
        <is>
          <t>126</t>
        </is>
      </c>
      <c r="G4033" t="inlineStr">
        <is>
          <t>10</t>
        </is>
      </c>
      <c r="H4033" t="inlineStr">
        <is>
          <t>0</t>
        </is>
      </c>
      <c r="I4033" t="inlineStr">
        <is>
          <t>14⁶, 56³</t>
        </is>
      </c>
      <c r="J4033" t="n">
        <v>9</v>
      </c>
      <c r="K4033" t="inlineStr">
        <is>
          <t>3², 6⁸, 12⁶</t>
        </is>
      </c>
      <c r="L4033" t="inlineStr">
        <is>
          <t>56C⁵, 28I⁶</t>
        </is>
      </c>
      <c r="M4033" t="inlineStr"/>
      <c r="N4033" t="inlineStr">
        <is>
          <t>28C², 56C⁵, 7D⁰, 14B¹, 8D⁰, 4C⁰, 14F², 2B⁰, 28I⁶, 1A⁰, 7A⁰</t>
        </is>
      </c>
      <c r="O4033" t="inlineStr"/>
    </row>
    <row r="4034">
      <c r="A4034">
        <f>HYPERLINK("https://mathstats.uncg.edu/sites/pauli/congruence/csg15.html#group56H15", "56H¹⁵")</f>
        <v/>
      </c>
      <c r="B4034" t="n">
        <v>15</v>
      </c>
      <c r="C4034" t="inlineStr"/>
      <c r="D4034" t="inlineStr">
        <is>
          <t>252</t>
        </is>
      </c>
      <c r="E4034" t="inlineStr">
        <is>
          <t>2</t>
        </is>
      </c>
      <c r="F4034" t="inlineStr">
        <is>
          <t>126</t>
        </is>
      </c>
      <c r="G4034" t="inlineStr">
        <is>
          <t>10</t>
        </is>
      </c>
      <c r="H4034" t="inlineStr">
        <is>
          <t>0</t>
        </is>
      </c>
      <c r="I4034" t="inlineStr">
        <is>
          <t>14⁶, 56³</t>
        </is>
      </c>
      <c r="J4034" t="n">
        <v>9</v>
      </c>
      <c r="K4034" t="inlineStr">
        <is>
          <t>6¹⁴, 12¹⁴</t>
        </is>
      </c>
      <c r="L4034" t="inlineStr">
        <is>
          <t>56B⁵, 28I⁶</t>
        </is>
      </c>
      <c r="M4034" t="inlineStr"/>
      <c r="N4034" t="inlineStr">
        <is>
          <t>28C², 56B⁵, 7D⁰, 14B¹, 4C⁰, 14F², 2B⁰, 28I⁶, 1A⁰, 7A⁰</t>
        </is>
      </c>
      <c r="O4034" t="inlineStr"/>
    </row>
    <row r="4035">
      <c r="A4035">
        <f>HYPERLINK("https://mathstats.uncg.edu/sites/pauli/congruence/csg15.html#group60A15", "60A¹⁵")</f>
        <v/>
      </c>
      <c r="B4035" t="n">
        <v>15</v>
      </c>
      <c r="C4035" t="inlineStr"/>
      <c r="D4035" t="inlineStr">
        <is>
          <t>216</t>
        </is>
      </c>
      <c r="E4035" t="inlineStr">
        <is>
          <t>1</t>
        </is>
      </c>
      <c r="F4035" t="inlineStr">
        <is>
          <t>18</t>
        </is>
      </c>
      <c r="G4035" t="inlineStr">
        <is>
          <t>0</t>
        </is>
      </c>
      <c r="H4035" t="inlineStr">
        <is>
          <t>0</t>
        </is>
      </c>
      <c r="I4035" t="inlineStr">
        <is>
          <t>6², 12², 30², 60²</t>
        </is>
      </c>
      <c r="J4035" t="n">
        <v>8</v>
      </c>
      <c r="K4035" t="inlineStr">
        <is>
          <t>1⁶, 4³</t>
        </is>
      </c>
      <c r="L4035" t="inlineStr">
        <is>
          <t>20G³, 60A⁵, 30C⁶, 60A⁸</t>
        </is>
      </c>
      <c r="M4035" t="inlineStr"/>
      <c r="N4035" t="inlineStr">
        <is>
          <t>20E¹, 12C⁰, 20G³, 4C⁰, 30C⁶, 5B⁰, 5D⁰, 2B⁰, 1A⁰, 20C², 10F⁰, 15B⁰, 30E², 60A⁵, 15B², 10C⁰, 3A⁰, 60A⁸, 6D⁰</t>
        </is>
      </c>
      <c r="O4035" t="inlineStr"/>
    </row>
    <row r="4036">
      <c r="A4036">
        <f>HYPERLINK("https://mathstats.uncg.edu/sites/pauli/congruence/csg15.html#group60B15", "60B¹⁵")</f>
        <v/>
      </c>
      <c r="B4036" t="n">
        <v>15</v>
      </c>
      <c r="C4036" t="inlineStr"/>
      <c r="D4036" t="inlineStr">
        <is>
          <t>216</t>
        </is>
      </c>
      <c r="E4036" t="inlineStr">
        <is>
          <t>1</t>
        </is>
      </c>
      <c r="F4036" t="inlineStr">
        <is>
          <t>18</t>
        </is>
      </c>
      <c r="G4036" t="inlineStr">
        <is>
          <t>0</t>
        </is>
      </c>
      <c r="H4036" t="inlineStr">
        <is>
          <t>0</t>
        </is>
      </c>
      <c r="I4036" t="inlineStr">
        <is>
          <t>6², 12², 30², 60²</t>
        </is>
      </c>
      <c r="J4036" t="n">
        <v>8</v>
      </c>
      <c r="K4036" t="inlineStr">
        <is>
          <t>1⁶, 4³</t>
        </is>
      </c>
      <c r="L4036" t="inlineStr">
        <is>
          <t>20H³, 30H⁴, 60H⁷, 60A⁸</t>
        </is>
      </c>
      <c r="M4036" t="inlineStr"/>
      <c r="N4036" t="inlineStr">
        <is>
          <t>30A⁰, 10G⁰, 60H⁷, 5B⁰, 2B⁰, 20D¹, 4B⁰, 1A⁰, 20H³, 10B⁰, 15B⁰, 60A⁸, 30E², 10C⁰, 12B¹, 30H⁴, 3A⁰, 20C², 6D⁰</t>
        </is>
      </c>
      <c r="O4036" t="inlineStr"/>
    </row>
    <row r="4037">
      <c r="A4037">
        <f>HYPERLINK("https://mathstats.uncg.edu/sites/pauli/congruence/csg15.html#group60C15", "60C¹⁵")</f>
        <v/>
      </c>
      <c r="B4037" t="n">
        <v>15</v>
      </c>
      <c r="C4037" t="inlineStr"/>
      <c r="D4037" t="inlineStr">
        <is>
          <t>216</t>
        </is>
      </c>
      <c r="E4037" t="inlineStr">
        <is>
          <t>1</t>
        </is>
      </c>
      <c r="F4037" t="inlineStr">
        <is>
          <t>18</t>
        </is>
      </c>
      <c r="G4037" t="inlineStr">
        <is>
          <t>0</t>
        </is>
      </c>
      <c r="H4037" t="inlineStr">
        <is>
          <t>0</t>
        </is>
      </c>
      <c r="I4037" t="inlineStr">
        <is>
          <t>6², 12², 30², 60²</t>
        </is>
      </c>
      <c r="J4037" t="n">
        <v>8</v>
      </c>
      <c r="K4037" t="inlineStr">
        <is>
          <t>1⁶, 4³</t>
        </is>
      </c>
      <c r="L4037" t="inlineStr">
        <is>
          <t>20I³, 60C⁴, 30F⁷, 60A⁸</t>
        </is>
      </c>
      <c r="M4037" t="inlineStr"/>
      <c r="N4037" t="inlineStr">
        <is>
          <t>2A⁰, 3A⁰, 30C³, 6C¹, 5B⁰, 60C⁴, 10A¹, 2B⁰, 1A⁰, 30B³, 20A⁰, 60A⁸, 15B⁰, 30E², 6A⁰, 30F⁷, 10C⁰, 6A¹, 20I³, 2C⁰, 20C², 6D⁰, 10G¹</t>
        </is>
      </c>
      <c r="O4037" t="inlineStr"/>
    </row>
    <row r="4038">
      <c r="A4038">
        <f>HYPERLINK("https://mathstats.uncg.edu/sites/pauli/congruence/csg15.html#group60D15", "60D¹⁵")</f>
        <v/>
      </c>
      <c r="B4038" t="n">
        <v>15</v>
      </c>
      <c r="C4038" t="inlineStr"/>
      <c r="D4038" t="inlineStr">
        <is>
          <t>216</t>
        </is>
      </c>
      <c r="E4038" t="inlineStr">
        <is>
          <t>1</t>
        </is>
      </c>
      <c r="F4038" t="inlineStr">
        <is>
          <t>18</t>
        </is>
      </c>
      <c r="G4038" t="inlineStr">
        <is>
          <t>0</t>
        </is>
      </c>
      <c r="H4038" t="inlineStr">
        <is>
          <t>0</t>
        </is>
      </c>
      <c r="I4038" t="inlineStr">
        <is>
          <t>6², 12², 30², 60²</t>
        </is>
      </c>
      <c r="J4038" t="n">
        <v>8</v>
      </c>
      <c r="K4038" t="inlineStr">
        <is>
          <t>1⁶, 4³</t>
        </is>
      </c>
      <c r="L4038" t="inlineStr">
        <is>
          <t>12B², 20J³, 60A⁵, 30F⁷, 60H⁷</t>
        </is>
      </c>
      <c r="M4038" t="inlineStr"/>
      <c r="N4038" t="inlineStr">
        <is>
          <t>20E¹, 2A⁰, 12C⁰, 60H⁷, 30C³, 4C⁰, 6C¹, 12B², 5B⁰, 10A¹, 2B⁰, 20D¹, 4E⁰, 4B⁰, 1A⁰, 30B³, 15B⁰, 30E², 6A⁰, 30F⁷, 60A⁵, 10C⁰, 6A¹, 12B¹, 3A⁰, 20J³, 2C⁰, 6D⁰, 10G¹</t>
        </is>
      </c>
      <c r="O4038" t="inlineStr"/>
    </row>
    <row r="4039">
      <c r="A4039">
        <f>HYPERLINK("https://mathstats.uncg.edu/sites/pauli/congruence/csg15.html#group60E15", "60E¹⁵")</f>
        <v/>
      </c>
      <c r="B4039" t="n">
        <v>15</v>
      </c>
      <c r="C4039" t="inlineStr"/>
      <c r="D4039" t="inlineStr">
        <is>
          <t>216</t>
        </is>
      </c>
      <c r="E4039" t="inlineStr">
        <is>
          <t>1</t>
        </is>
      </c>
      <c r="F4039" t="inlineStr">
        <is>
          <t>54</t>
        </is>
      </c>
      <c r="G4039" t="inlineStr">
        <is>
          <t>0</t>
        </is>
      </c>
      <c r="H4039" t="inlineStr">
        <is>
          <t>0</t>
        </is>
      </c>
      <c r="I4039" t="inlineStr">
        <is>
          <t>6², 12², 30², 60²</t>
        </is>
      </c>
      <c r="J4039" t="n">
        <v>8</v>
      </c>
      <c r="K4039" t="inlineStr">
        <is>
          <t>1⁶, 2⁶, 4³, 8³</t>
        </is>
      </c>
      <c r="L4039" t="inlineStr">
        <is>
          <t>12C², 30O⁵, 60I⁷</t>
        </is>
      </c>
      <c r="M4039" t="inlineStr"/>
      <c r="N4039" t="inlineStr">
        <is>
          <t>5B⁰, 6G⁰, 2B⁰, 30O⁵, 1A⁰, 15B⁰, 30E², 12C¹, 60I⁷, 10C⁰, 3C⁰, 3A⁰, 12C², 6D⁰, 15E¹</t>
        </is>
      </c>
      <c r="O4039" t="inlineStr"/>
    </row>
    <row r="4040">
      <c r="A4040">
        <f>HYPERLINK("https://mathstats.uncg.edu/sites/pauli/congruence/csg15.html#group60F15", "60F¹⁵")</f>
        <v/>
      </c>
      <c r="B4040" t="n">
        <v>15</v>
      </c>
      <c r="C4040" t="inlineStr"/>
      <c r="D4040" t="inlineStr">
        <is>
          <t>216</t>
        </is>
      </c>
      <c r="E4040" t="inlineStr">
        <is>
          <t>1</t>
        </is>
      </c>
      <c r="F4040" t="inlineStr">
        <is>
          <t>54</t>
        </is>
      </c>
      <c r="G4040" t="inlineStr">
        <is>
          <t>0</t>
        </is>
      </c>
      <c r="H4040" t="inlineStr">
        <is>
          <t>0</t>
        </is>
      </c>
      <c r="I4040" t="inlineStr">
        <is>
          <t>6², 12², 30², 60²</t>
        </is>
      </c>
      <c r="J4040" t="n">
        <v>8</v>
      </c>
      <c r="K4040" t="inlineStr">
        <is>
          <t>1⁶, 2⁶, 4³, 8³</t>
        </is>
      </c>
      <c r="L4040" t="inlineStr">
        <is>
          <t>30I⁴, 60I⁷, 60A⁸</t>
        </is>
      </c>
      <c r="M4040" t="inlineStr"/>
      <c r="N4040" t="inlineStr">
        <is>
          <t>15B⁰, 20C², 30E², 12C¹, 60I⁷, 30I⁴, 5B⁰, 10C⁰, 2B⁰, 3A⁰, 1A⁰, 60A⁸, 6D⁰, 15C⁰</t>
        </is>
      </c>
      <c r="O4040" t="inlineStr"/>
    </row>
    <row r="4041">
      <c r="A4041">
        <f>HYPERLINK("https://mathstats.uncg.edu/sites/pauli/congruence/csg15.html#group60G15", "60G¹⁵")</f>
        <v/>
      </c>
      <c r="B4041" t="n">
        <v>15</v>
      </c>
      <c r="C4041" t="inlineStr"/>
      <c r="D4041" t="inlineStr">
        <is>
          <t>216</t>
        </is>
      </c>
      <c r="E4041" t="inlineStr">
        <is>
          <t>1</t>
        </is>
      </c>
      <c r="F4041" t="inlineStr">
        <is>
          <t>54</t>
        </is>
      </c>
      <c r="G4041" t="inlineStr">
        <is>
          <t>0</t>
        </is>
      </c>
      <c r="H4041" t="inlineStr">
        <is>
          <t>0</t>
        </is>
      </c>
      <c r="I4041" t="inlineStr">
        <is>
          <t>6², 12², 30², 60²</t>
        </is>
      </c>
      <c r="J4041" t="n">
        <v>8</v>
      </c>
      <c r="K4041" t="inlineStr">
        <is>
          <t>1⁶, 2⁶, 4³, 8³</t>
        </is>
      </c>
      <c r="L4041" t="inlineStr">
        <is>
          <t>30O⁵, 60F⁶, 60A⁸</t>
        </is>
      </c>
      <c r="M4041" t="inlineStr"/>
      <c r="N4041" t="inlineStr">
        <is>
          <t>60F⁶, 5B⁰, 6G⁰, 2B⁰, 30O⁵, 1A⁰, 15B⁰, 60A⁸, 30E², 10C⁰, 3C⁰, 3A⁰, 20C², 6D⁰, 15E¹</t>
        </is>
      </c>
      <c r="O4041" t="inlineStr"/>
    </row>
    <row r="4042">
      <c r="A4042">
        <f>HYPERLINK("https://mathstats.uncg.edu/sites/pauli/congruence/csg15.html#group60H15", "60H¹⁵")</f>
        <v/>
      </c>
      <c r="B4042" t="n">
        <v>15</v>
      </c>
      <c r="C4042" t="inlineStr"/>
      <c r="D4042" t="inlineStr">
        <is>
          <t>216</t>
        </is>
      </c>
      <c r="E4042" t="inlineStr">
        <is>
          <t>1</t>
        </is>
      </c>
      <c r="F4042" t="inlineStr">
        <is>
          <t>54</t>
        </is>
      </c>
      <c r="G4042" t="inlineStr">
        <is>
          <t>0</t>
        </is>
      </c>
      <c r="H4042" t="inlineStr">
        <is>
          <t>0</t>
        </is>
      </c>
      <c r="I4042" t="inlineStr">
        <is>
          <t>6², 12², 30², 60²</t>
        </is>
      </c>
      <c r="J4042" t="n">
        <v>8</v>
      </c>
      <c r="K4042" t="inlineStr">
        <is>
          <t>1⁶, 2⁶, 4³, 8³</t>
        </is>
      </c>
      <c r="L4042" t="inlineStr">
        <is>
          <t>30P⁵, 60E⁶, 60A⁸</t>
        </is>
      </c>
      <c r="M4042" t="inlineStr"/>
      <c r="N4042" t="inlineStr">
        <is>
          <t>15B⁰, 60E⁶, 6B⁰, 30E², 20C², 5B⁰, 10C⁰, 2B⁰, 6H⁰, 3A⁰, 1A⁰, 30P⁵, 60A⁸, 6D⁰, 30C¹</t>
        </is>
      </c>
      <c r="O4042" t="inlineStr"/>
    </row>
    <row r="4043">
      <c r="A4043">
        <f>HYPERLINK("https://mathstats.uncg.edu/sites/pauli/congruence/csg15.html#group60I15", "60I¹⁵")</f>
        <v/>
      </c>
      <c r="B4043" t="n">
        <v>15</v>
      </c>
      <c r="C4043" t="inlineStr"/>
      <c r="D4043" t="inlineStr">
        <is>
          <t>216</t>
        </is>
      </c>
      <c r="E4043" t="inlineStr">
        <is>
          <t>1</t>
        </is>
      </c>
      <c r="F4043" t="inlineStr">
        <is>
          <t>54</t>
        </is>
      </c>
      <c r="G4043" t="inlineStr">
        <is>
          <t>0</t>
        </is>
      </c>
      <c r="H4043" t="inlineStr">
        <is>
          <t>0</t>
        </is>
      </c>
      <c r="I4043" t="inlineStr">
        <is>
          <t>6², 12², 30², 60²</t>
        </is>
      </c>
      <c r="J4043" t="n">
        <v>8</v>
      </c>
      <c r="K4043" t="inlineStr">
        <is>
          <t>1⁶, 2⁶, 4³, 8³</t>
        </is>
      </c>
      <c r="L4043" t="inlineStr">
        <is>
          <t>60B⁵, 30D⁶, 60A⁸</t>
        </is>
      </c>
      <c r="M4043" t="inlineStr"/>
      <c r="N4043" t="inlineStr">
        <is>
          <t>15B⁰, 20C², 30D⁶, 30E², 5B⁰, 10C⁰, 2B⁰, 12D⁰, 3A⁰, 1A⁰, 60A⁸, 6D⁰, 60B⁵, 30C²</t>
        </is>
      </c>
      <c r="O4043" t="inlineStr"/>
    </row>
    <row r="4044">
      <c r="A4044">
        <f>HYPERLINK("https://mathstats.uncg.edu/sites/pauli/congruence/csg15.html#group60J15", "60J¹⁵")</f>
        <v/>
      </c>
      <c r="B4044" t="n">
        <v>15</v>
      </c>
      <c r="C4044" t="inlineStr"/>
      <c r="D4044" t="inlineStr">
        <is>
          <t>216</t>
        </is>
      </c>
      <c r="E4044" t="inlineStr">
        <is>
          <t>1</t>
        </is>
      </c>
      <c r="F4044" t="inlineStr">
        <is>
          <t>54</t>
        </is>
      </c>
      <c r="G4044" t="inlineStr">
        <is>
          <t>0</t>
        </is>
      </c>
      <c r="H4044" t="inlineStr">
        <is>
          <t>0</t>
        </is>
      </c>
      <c r="I4044" t="inlineStr">
        <is>
          <t>6², 12², 30², 60²</t>
        </is>
      </c>
      <c r="J4044" t="n">
        <v>8</v>
      </c>
      <c r="K4044" t="inlineStr">
        <is>
          <t>1⁶, 2⁶, 4³, 8³</t>
        </is>
      </c>
      <c r="L4044" t="inlineStr">
        <is>
          <t>30C⁶, 60F⁶, 60I⁷</t>
        </is>
      </c>
      <c r="M4044" t="inlineStr"/>
      <c r="N4044" t="inlineStr">
        <is>
          <t>15B⁰, 60F⁶, 30E², 12C¹, 60I⁷, 30C⁶, 15B², 5B⁰, 5D⁰, 10C⁰, 2B⁰, 3A⁰, 1A⁰, 10F⁰, 6D⁰</t>
        </is>
      </c>
      <c r="O4044" t="inlineStr"/>
    </row>
    <row r="4045">
      <c r="A4045">
        <f>HYPERLINK("https://mathstats.uncg.edu/sites/pauli/congruence/csg15.html#group60K15", "60K¹⁵")</f>
        <v/>
      </c>
      <c r="B4045" t="n">
        <v>15</v>
      </c>
      <c r="C4045" t="inlineStr"/>
      <c r="D4045" t="inlineStr">
        <is>
          <t>216</t>
        </is>
      </c>
      <c r="E4045" t="inlineStr">
        <is>
          <t>1</t>
        </is>
      </c>
      <c r="F4045" t="inlineStr">
        <is>
          <t>54</t>
        </is>
      </c>
      <c r="G4045" t="inlineStr">
        <is>
          <t>0</t>
        </is>
      </c>
      <c r="H4045" t="inlineStr">
        <is>
          <t>0</t>
        </is>
      </c>
      <c r="I4045" t="inlineStr">
        <is>
          <t>6², 12², 30², 60²</t>
        </is>
      </c>
      <c r="J4045" t="n">
        <v>8</v>
      </c>
      <c r="K4045" t="inlineStr">
        <is>
          <t>1⁶, 2⁶, 4³, 8³</t>
        </is>
      </c>
      <c r="L4045" t="inlineStr">
        <is>
          <t>30D⁶, 60F⁶, 60H⁷</t>
        </is>
      </c>
      <c r="M4045" t="inlineStr"/>
      <c r="N4045" t="inlineStr">
        <is>
          <t>15B⁰, 60F⁶, 30D⁶, 30E², 60H⁷, 4B⁰, 5B⁰, 10C⁰, 20D¹, 12B¹, 2B⁰, 3A⁰, 1A⁰, 6D⁰, 30C²</t>
        </is>
      </c>
      <c r="O4045" t="inlineStr"/>
    </row>
    <row r="4046">
      <c r="A4046">
        <f>HYPERLINK("https://mathstats.uncg.edu/sites/pauli/congruence/csg15.html#group60L15", "60L¹⁵")</f>
        <v/>
      </c>
      <c r="B4046" t="n">
        <v>15</v>
      </c>
      <c r="C4046" t="inlineStr"/>
      <c r="D4046" t="inlineStr">
        <is>
          <t>216</t>
        </is>
      </c>
      <c r="E4046" t="inlineStr">
        <is>
          <t>1</t>
        </is>
      </c>
      <c r="F4046" t="inlineStr">
        <is>
          <t>54</t>
        </is>
      </c>
      <c r="G4046" t="inlineStr">
        <is>
          <t>0</t>
        </is>
      </c>
      <c r="H4046" t="inlineStr">
        <is>
          <t>0</t>
        </is>
      </c>
      <c r="I4046" t="inlineStr">
        <is>
          <t>6², 12², 30², 60²</t>
        </is>
      </c>
      <c r="J4046" t="n">
        <v>8</v>
      </c>
      <c r="K4046" t="inlineStr">
        <is>
          <t>1⁶, 2⁶, 4³, 8³</t>
        </is>
      </c>
      <c r="L4046" t="inlineStr">
        <is>
          <t>60E⁶, 60F⁶, 30F⁷</t>
        </is>
      </c>
      <c r="M4046" t="inlineStr"/>
      <c r="N4046" t="inlineStr">
        <is>
          <t>2A⁰, 60E⁶, 60F⁶, 30C³, 6C¹, 5B⁰, 10A¹, 2B⁰, 1A⁰, 30B³, 15B⁰, 30E², 6A⁰, 30F⁷, 10C⁰, 6A¹, 3A⁰, 2C⁰, 6D⁰, 10G¹</t>
        </is>
      </c>
      <c r="O4046" t="inlineStr"/>
    </row>
    <row r="4047">
      <c r="A4047">
        <f>HYPERLINK("https://mathstats.uncg.edu/sites/pauli/congruence/csg15.html#group60M15", "60M¹⁵")</f>
        <v/>
      </c>
      <c r="B4047" t="n">
        <v>15</v>
      </c>
      <c r="C4047" t="inlineStr"/>
      <c r="D4047" t="inlineStr">
        <is>
          <t>216</t>
        </is>
      </c>
      <c r="E4047" t="inlineStr">
        <is>
          <t>1</t>
        </is>
      </c>
      <c r="F4047" t="inlineStr">
        <is>
          <t>54</t>
        </is>
      </c>
      <c r="G4047" t="inlineStr">
        <is>
          <t>0</t>
        </is>
      </c>
      <c r="H4047" t="inlineStr">
        <is>
          <t>0</t>
        </is>
      </c>
      <c r="I4047" t="inlineStr">
        <is>
          <t>6², 12², 30², 60²</t>
        </is>
      </c>
      <c r="J4047" t="n">
        <v>8</v>
      </c>
      <c r="K4047" t="inlineStr">
        <is>
          <t>1⁶, 2⁶, 4³, 8³</t>
        </is>
      </c>
      <c r="L4047" t="inlineStr">
        <is>
          <t>12D², 30P⁵, 60H⁷, 60I⁷</t>
        </is>
      </c>
      <c r="M4047" t="inlineStr"/>
      <c r="N4047" t="inlineStr">
        <is>
          <t>6B⁰, 60H⁷, 12D², 5B⁰, 20D¹, 2B⁰, 4B⁰, 1A⁰, 30P⁵, 15B⁰, 30E², 12C¹, 60I⁷, 10C⁰, 12B¹, 6H⁰, 3A⁰, 6D⁰, 30C¹</t>
        </is>
      </c>
      <c r="O4047" t="inlineStr"/>
    </row>
    <row r="4048">
      <c r="A4048">
        <f>HYPERLINK("https://mathstats.uncg.edu/sites/pauli/congruence/csg15.html#group60N15", "60N¹⁵")</f>
        <v/>
      </c>
      <c r="B4048" t="n">
        <v>15</v>
      </c>
      <c r="C4048" t="inlineStr"/>
      <c r="D4048" t="inlineStr">
        <is>
          <t>216</t>
        </is>
      </c>
      <c r="E4048" t="inlineStr">
        <is>
          <t>1</t>
        </is>
      </c>
      <c r="F4048" t="inlineStr">
        <is>
          <t>54</t>
        </is>
      </c>
      <c r="G4048" t="inlineStr">
        <is>
          <t>0</t>
        </is>
      </c>
      <c r="H4048" t="inlineStr">
        <is>
          <t>0</t>
        </is>
      </c>
      <c r="I4048" t="inlineStr">
        <is>
          <t>6², 12², 30², 60²</t>
        </is>
      </c>
      <c r="J4048" t="n">
        <v>8</v>
      </c>
      <c r="K4048" t="inlineStr">
        <is>
          <t>1⁶, 2⁶, 4³, 8³</t>
        </is>
      </c>
      <c r="L4048" t="inlineStr">
        <is>
          <t>12E², 60B⁵, 30F⁷, 60I⁷</t>
        </is>
      </c>
      <c r="M4048" t="inlineStr"/>
      <c r="N4048" t="inlineStr">
        <is>
          <t>2A⁰, 30C³, 6C¹, 5B⁰, 12E², 10A¹, 2B⁰, 1A⁰, 30B³, 10G¹, 60I⁷, 10C⁰, 6A¹, 3A⁰, 15B⁰, 12C¹, 6A⁰, 30F⁷, 30E², 12D⁰, 2C⁰, 6D⁰, 60B⁵</t>
        </is>
      </c>
      <c r="O4048" t="inlineStr"/>
    </row>
    <row r="4049">
      <c r="A4049">
        <f>HYPERLINK("https://mathstats.uncg.edu/sites/pauli/congruence/csg15.html#group60O15", "60O¹⁵")</f>
        <v/>
      </c>
      <c r="B4049" t="n">
        <v>15</v>
      </c>
      <c r="C4049" t="inlineStr"/>
      <c r="D4049" t="inlineStr">
        <is>
          <t>216</t>
        </is>
      </c>
      <c r="E4049" t="inlineStr">
        <is>
          <t>2</t>
        </is>
      </c>
      <c r="F4049" t="inlineStr">
        <is>
          <t>54</t>
        </is>
      </c>
      <c r="G4049" t="inlineStr">
        <is>
          <t>0</t>
        </is>
      </c>
      <c r="H4049" t="inlineStr">
        <is>
          <t>0</t>
        </is>
      </c>
      <c r="I4049" t="inlineStr">
        <is>
          <t>6², 12², 30², 60²</t>
        </is>
      </c>
      <c r="J4049" t="n">
        <v>8</v>
      </c>
      <c r="K4049" t="inlineStr">
        <is>
          <t>2¹⁸, 8⁹</t>
        </is>
      </c>
      <c r="L4049" t="inlineStr">
        <is>
          <t>30D⁶, 60E⁶, 60I⁷</t>
        </is>
      </c>
      <c r="M4049" t="inlineStr"/>
      <c r="N4049" t="inlineStr">
        <is>
          <t>15B⁰, 60E⁶, 30D⁶, 30E², 60I⁷, 12C¹, 5B⁰, 10C⁰, 2B⁰, 3A⁰, 1A⁰, 6D⁰, 30C²</t>
        </is>
      </c>
      <c r="O4049" t="inlineStr"/>
    </row>
    <row r="4050">
      <c r="A4050">
        <f>HYPERLINK("https://mathstats.uncg.edu/sites/pauli/congruence/csg15.html#group60P15", "60P¹⁵")</f>
        <v/>
      </c>
      <c r="B4050" t="n">
        <v>15</v>
      </c>
      <c r="C4050" t="inlineStr"/>
      <c r="D4050" t="inlineStr">
        <is>
          <t>240</t>
        </is>
      </c>
      <c r="E4050" t="inlineStr">
        <is>
          <t>1</t>
        </is>
      </c>
      <c r="F4050" t="inlineStr">
        <is>
          <t>20</t>
        </is>
      </c>
      <c r="G4050" t="inlineStr">
        <is>
          <t>0</t>
        </is>
      </c>
      <c r="H4050" t="inlineStr">
        <is>
          <t>12</t>
        </is>
      </c>
      <c r="I4050" t="inlineStr">
        <is>
          <t>60⁴</t>
        </is>
      </c>
      <c r="J4050" t="n">
        <v>4</v>
      </c>
      <c r="K4050" t="inlineStr">
        <is>
          <t>4¹, 8²</t>
        </is>
      </c>
      <c r="L4050" t="inlineStr">
        <is>
          <t>20N³, 30G⁷</t>
        </is>
      </c>
      <c r="M4050" t="inlineStr"/>
      <c r="N4050" t="inlineStr">
        <is>
          <t>10H¹, 2A⁰, 30G⁷, 5A⁰, 30B⁴, 10D⁰, 5F⁰, 20N³, 1A⁰, 20F¹, 30A¹, 10A⁰, 6A⁰, 10C¹, 5C⁰</t>
        </is>
      </c>
      <c r="O4050" t="inlineStr"/>
    </row>
    <row r="4051">
      <c r="A4051">
        <f>HYPERLINK("https://mathstats.uncg.edu/sites/pauli/congruence/csg15.html#group60Q15", "60Q¹⁵")</f>
        <v/>
      </c>
      <c r="B4051" t="n">
        <v>15</v>
      </c>
      <c r="C4051" t="inlineStr"/>
      <c r="D4051" t="inlineStr">
        <is>
          <t>240</t>
        </is>
      </c>
      <c r="E4051" t="inlineStr">
        <is>
          <t>1</t>
        </is>
      </c>
      <c r="F4051" t="inlineStr">
        <is>
          <t>20</t>
        </is>
      </c>
      <c r="G4051" t="inlineStr">
        <is>
          <t>0</t>
        </is>
      </c>
      <c r="H4051" t="inlineStr">
        <is>
          <t>12</t>
        </is>
      </c>
      <c r="I4051" t="inlineStr">
        <is>
          <t>60⁴</t>
        </is>
      </c>
      <c r="J4051" t="n">
        <v>4</v>
      </c>
      <c r="K4051" t="inlineStr">
        <is>
          <t>4¹, 8²</t>
        </is>
      </c>
      <c r="L4051" t="inlineStr">
        <is>
          <t>20N³, 30H⁷</t>
        </is>
      </c>
      <c r="M4051" t="inlineStr"/>
      <c r="N4051" t="inlineStr">
        <is>
          <t>10H¹, 2A⁰, 5A⁰, 10D⁰, 5F⁰, 20N³, 1A⁰, 20F¹, 10A⁰, 30H⁷, 30B¹, 10C¹, 15B³, 5C⁰, 15A⁰</t>
        </is>
      </c>
      <c r="O4051" t="inlineStr"/>
    </row>
    <row r="4052">
      <c r="A4052">
        <f>HYPERLINK("https://mathstats.uncg.edu/sites/pauli/congruence/csg15.html#group60R15", "60R¹⁵")</f>
        <v/>
      </c>
      <c r="B4052" t="n">
        <v>15</v>
      </c>
      <c r="C4052" t="inlineStr"/>
      <c r="D4052" t="inlineStr">
        <is>
          <t>240</t>
        </is>
      </c>
      <c r="E4052" t="inlineStr">
        <is>
          <t>1</t>
        </is>
      </c>
      <c r="F4052" t="inlineStr">
        <is>
          <t>30</t>
        </is>
      </c>
      <c r="G4052" t="inlineStr">
        <is>
          <t>16</t>
        </is>
      </c>
      <c r="H4052" t="inlineStr">
        <is>
          <t>0</t>
        </is>
      </c>
      <c r="I4052" t="inlineStr">
        <is>
          <t>60⁴</t>
        </is>
      </c>
      <c r="J4052" t="n">
        <v>4</v>
      </c>
      <c r="K4052" t="inlineStr">
        <is>
          <t>4¹, 8³, 16²</t>
        </is>
      </c>
      <c r="L4052" t="inlineStr">
        <is>
          <t>30Q⁵, 60L⁷</t>
        </is>
      </c>
      <c r="M4052" t="inlineStr"/>
      <c r="N4052" t="inlineStr">
        <is>
          <t>30Q⁵, 15D¹, 6B⁰, 30H³, 30F², 10D⁰, 15D², 1A⁰, 3A⁰, 5C⁰, 60L⁷</t>
        </is>
      </c>
      <c r="O4052" t="inlineStr"/>
    </row>
    <row r="4053">
      <c r="A4053">
        <f>HYPERLINK("https://mathstats.uncg.edu/sites/pauli/congruence/csg15.html#group60S15", "60S¹⁵")</f>
        <v/>
      </c>
      <c r="B4053" t="n">
        <v>15</v>
      </c>
      <c r="C4053" t="inlineStr"/>
      <c r="D4053" t="inlineStr">
        <is>
          <t>240</t>
        </is>
      </c>
      <c r="E4053" t="inlineStr">
        <is>
          <t>1</t>
        </is>
      </c>
      <c r="F4053" t="inlineStr">
        <is>
          <t>30</t>
        </is>
      </c>
      <c r="G4053" t="inlineStr">
        <is>
          <t>16</t>
        </is>
      </c>
      <c r="H4053" t="inlineStr">
        <is>
          <t>0</t>
        </is>
      </c>
      <c r="I4053" t="inlineStr">
        <is>
          <t>60⁴</t>
        </is>
      </c>
      <c r="J4053" t="n">
        <v>4</v>
      </c>
      <c r="K4053" t="inlineStr">
        <is>
          <t>4¹, 8³, 16²</t>
        </is>
      </c>
      <c r="L4053" t="inlineStr">
        <is>
          <t>30Q⁵, 60L⁷</t>
        </is>
      </c>
      <c r="M4053" t="inlineStr"/>
      <c r="N4053" t="inlineStr">
        <is>
          <t>30Q⁵, 15D¹, 6B⁰, 30H³, 30F², 10D⁰, 15D², 1A⁰, 3A⁰, 5C⁰, 60L⁷</t>
        </is>
      </c>
      <c r="O4053" t="inlineStr"/>
    </row>
    <row r="4054">
      <c r="A4054">
        <f>HYPERLINK("https://mathstats.uncg.edu/sites/pauli/congruence/csg15.html#group60T15", "60T¹⁵")</f>
        <v/>
      </c>
      <c r="B4054" t="n">
        <v>15</v>
      </c>
      <c r="C4054" t="inlineStr"/>
      <c r="D4054" t="inlineStr">
        <is>
          <t>240</t>
        </is>
      </c>
      <c r="E4054" t="inlineStr">
        <is>
          <t>1</t>
        </is>
      </c>
      <c r="F4054" t="inlineStr">
        <is>
          <t>40</t>
        </is>
      </c>
      <c r="G4054" t="inlineStr">
        <is>
          <t>0</t>
        </is>
      </c>
      <c r="H4054" t="inlineStr">
        <is>
          <t>12</t>
        </is>
      </c>
      <c r="I4054" t="inlineStr">
        <is>
          <t>60⁴</t>
        </is>
      </c>
      <c r="J4054" t="n">
        <v>4</v>
      </c>
      <c r="K4054" t="inlineStr">
        <is>
          <t>2⁴, 8⁴</t>
        </is>
      </c>
      <c r="L4054" t="inlineStr">
        <is>
          <t>12O¹, 60B⁴, 30K⁷</t>
        </is>
      </c>
      <c r="M4054" t="inlineStr"/>
      <c r="N4054" t="inlineStr">
        <is>
          <t>3B⁰, 2A⁰, 30A¹, 5A⁰, 10A⁰, 6A⁰, 30D², 30K⁷, 60B⁴, 6C⁰, 6J⁰, 15B¹, 12O¹, 1A⁰, 12B⁰</t>
        </is>
      </c>
      <c r="O4054" t="inlineStr"/>
    </row>
    <row r="4055">
      <c r="A4055">
        <f>HYPERLINK("https://mathstats.uncg.edu/sites/pauli/congruence/csg15.html#group60U15", "60U¹⁵")</f>
        <v/>
      </c>
      <c r="B4055" t="n">
        <v>15</v>
      </c>
      <c r="C4055" t="inlineStr"/>
      <c r="D4055" t="inlineStr">
        <is>
          <t>240</t>
        </is>
      </c>
      <c r="E4055" t="inlineStr">
        <is>
          <t>1</t>
        </is>
      </c>
      <c r="F4055" t="inlineStr">
        <is>
          <t>120</t>
        </is>
      </c>
      <c r="G4055" t="inlineStr">
        <is>
          <t>0</t>
        </is>
      </c>
      <c r="H4055" t="inlineStr">
        <is>
          <t>0</t>
        </is>
      </c>
      <c r="I4055" t="inlineStr">
        <is>
          <t>5⁴, 15⁴, 20², 60²</t>
        </is>
      </c>
      <c r="J4055" t="n">
        <v>12</v>
      </c>
      <c r="K4055" t="inlineStr">
        <is>
          <t>2⁶, 4¹⁵, 8⁶</t>
        </is>
      </c>
      <c r="L4055" t="inlineStr">
        <is>
          <t>20F², 30L⁷</t>
        </is>
      </c>
      <c r="M4055" t="inlineStr"/>
      <c r="N4055" t="inlineStr">
        <is>
          <t>3B⁰, 6F⁰, 1A⁰, 2B⁰, 15C², 30L⁷, 20F², 5C⁰, 10F¹</t>
        </is>
      </c>
      <c r="O4055" t="inlineStr"/>
    </row>
    <row r="4056">
      <c r="A4056">
        <f>HYPERLINK("https://mathstats.uncg.edu/sites/pauli/congruence/csg15.html#group60V15", "60V¹⁵")</f>
        <v/>
      </c>
      <c r="B4056" t="n">
        <v>15</v>
      </c>
      <c r="C4056" t="inlineStr"/>
      <c r="D4056" t="inlineStr">
        <is>
          <t>240</t>
        </is>
      </c>
      <c r="E4056" t="inlineStr">
        <is>
          <t>1</t>
        </is>
      </c>
      <c r="F4056" t="inlineStr">
        <is>
          <t>120</t>
        </is>
      </c>
      <c r="G4056" t="inlineStr">
        <is>
          <t>0</t>
        </is>
      </c>
      <c r="H4056" t="inlineStr">
        <is>
          <t>0</t>
        </is>
      </c>
      <c r="I4056" t="inlineStr">
        <is>
          <t>5⁴, 15⁴, 20², 60²</t>
        </is>
      </c>
      <c r="J4056" t="n">
        <v>12</v>
      </c>
      <c r="K4056" t="inlineStr">
        <is>
          <t>2⁶, 4¹⁵, 8⁶</t>
        </is>
      </c>
      <c r="L4056" t="inlineStr">
        <is>
          <t>12E⁰, 20E³, 30L⁷</t>
        </is>
      </c>
      <c r="M4056" t="inlineStr"/>
      <c r="N4056" t="inlineStr">
        <is>
          <t>3B⁰, 20E³, 5C⁰, 6F⁰, 2B⁰, 15C², 30L⁷, 4B⁰, 1A⁰, 12E⁰, 10F¹</t>
        </is>
      </c>
      <c r="O4056" t="inlineStr"/>
    </row>
    <row r="4057">
      <c r="A4057">
        <f>HYPERLINK("https://mathstats.uncg.edu/sites/pauli/congruence/csg15.html#group60W15", "60W¹⁵")</f>
        <v/>
      </c>
      <c r="B4057" t="n">
        <v>15</v>
      </c>
      <c r="C4057" t="inlineStr"/>
      <c r="D4057" t="inlineStr">
        <is>
          <t>240</t>
        </is>
      </c>
      <c r="E4057" t="inlineStr">
        <is>
          <t>1</t>
        </is>
      </c>
      <c r="F4057" t="inlineStr">
        <is>
          <t>120</t>
        </is>
      </c>
      <c r="G4057" t="inlineStr">
        <is>
          <t>16</t>
        </is>
      </c>
      <c r="H4057" t="inlineStr">
        <is>
          <t>0</t>
        </is>
      </c>
      <c r="I4057" t="inlineStr">
        <is>
          <t>60⁴</t>
        </is>
      </c>
      <c r="J4057" t="n">
        <v>4</v>
      </c>
      <c r="K4057" t="inlineStr">
        <is>
          <t>4², 8⁶, 16⁴</t>
        </is>
      </c>
      <c r="L4057" t="inlineStr">
        <is>
          <t>15D², 60J⁷</t>
        </is>
      </c>
      <c r="M4057" t="inlineStr"/>
      <c r="N4057" t="inlineStr">
        <is>
          <t>60J⁷, 15D¹, 12A⁰, 4A⁰, 5C⁰, 15D², 3A⁰, 1A⁰, 20E²</t>
        </is>
      </c>
      <c r="O4057" t="inlineStr"/>
    </row>
    <row r="4058">
      <c r="A4058">
        <f>HYPERLINK("https://mathstats.uncg.edu/sites/pauli/congruence/csg15.html#group60X15", "60X¹⁵")</f>
        <v/>
      </c>
      <c r="B4058" t="n">
        <v>15</v>
      </c>
      <c r="C4058" t="inlineStr"/>
      <c r="D4058" t="inlineStr">
        <is>
          <t>240</t>
        </is>
      </c>
      <c r="E4058" t="inlineStr">
        <is>
          <t>1</t>
        </is>
      </c>
      <c r="F4058" t="inlineStr">
        <is>
          <t>120</t>
        </is>
      </c>
      <c r="G4058" t="inlineStr">
        <is>
          <t>16</t>
        </is>
      </c>
      <c r="H4058" t="inlineStr">
        <is>
          <t>0</t>
        </is>
      </c>
      <c r="I4058" t="inlineStr">
        <is>
          <t>60⁴</t>
        </is>
      </c>
      <c r="J4058" t="n">
        <v>4</v>
      </c>
      <c r="K4058" t="inlineStr">
        <is>
          <t>4², 8⁶, 16⁴</t>
        </is>
      </c>
      <c r="L4058" t="inlineStr">
        <is>
          <t>12F⁰, 30H³, 60J⁷</t>
        </is>
      </c>
      <c r="M4058" t="inlineStr"/>
      <c r="N4058" t="inlineStr">
        <is>
          <t>60J⁷, 15D¹, 12A⁰, 6B⁰, 3A⁰, 4A⁰, 5C⁰, 12F⁰, 30H³, 1A⁰, 20E²</t>
        </is>
      </c>
      <c r="O4058" t="inlineStr"/>
    </row>
    <row r="4059">
      <c r="A4059">
        <f>HYPERLINK("https://mathstats.uncg.edu/sites/pauli/congruence/csg15.html#group60Y15", "60Y¹⁵")</f>
        <v/>
      </c>
      <c r="B4059" t="n">
        <v>15</v>
      </c>
      <c r="C4059" t="inlineStr"/>
      <c r="D4059" t="inlineStr">
        <is>
          <t>240</t>
        </is>
      </c>
      <c r="E4059" t="inlineStr">
        <is>
          <t>2</t>
        </is>
      </c>
      <c r="F4059" t="inlineStr">
        <is>
          <t>20</t>
        </is>
      </c>
      <c r="G4059" t="inlineStr">
        <is>
          <t>0</t>
        </is>
      </c>
      <c r="H4059" t="inlineStr">
        <is>
          <t>12</t>
        </is>
      </c>
      <c r="I4059" t="inlineStr">
        <is>
          <t>60⁴</t>
        </is>
      </c>
      <c r="J4059" t="n">
        <v>4</v>
      </c>
      <c r="K4059" t="inlineStr">
        <is>
          <t>2², 4¹, 8⁴</t>
        </is>
      </c>
      <c r="L4059" t="inlineStr">
        <is>
          <t>60B⁴, 30M⁷</t>
        </is>
      </c>
      <c r="M4059" t="inlineStr"/>
      <c r="N4059" t="inlineStr">
        <is>
          <t>3B⁰, 2A⁰, 5A⁰, 10A⁰, 15D³, 30B¹, 30D², 60B⁴, 6C⁰, 15B¹, 30M⁷, 12B⁰, 1A⁰, 15A⁰</t>
        </is>
      </c>
      <c r="O4059" t="inlineStr"/>
    </row>
    <row r="4060">
      <c r="A4060">
        <f>HYPERLINK("https://mathstats.uncg.edu/sites/pauli/congruence/csg15.html#group60Z15", "60Z¹⁵")</f>
        <v/>
      </c>
      <c r="B4060" t="n">
        <v>15</v>
      </c>
      <c r="C4060" t="inlineStr"/>
      <c r="D4060" t="inlineStr">
        <is>
          <t>240</t>
        </is>
      </c>
      <c r="E4060" t="inlineStr">
        <is>
          <t>2</t>
        </is>
      </c>
      <c r="F4060" t="inlineStr">
        <is>
          <t>30</t>
        </is>
      </c>
      <c r="G4060" t="inlineStr">
        <is>
          <t>16</t>
        </is>
      </c>
      <c r="H4060" t="inlineStr">
        <is>
          <t>0</t>
        </is>
      </c>
      <c r="I4060" t="inlineStr">
        <is>
          <t>60⁴</t>
        </is>
      </c>
      <c r="J4060" t="n">
        <v>4</v>
      </c>
      <c r="K4060" t="inlineStr">
        <is>
          <t>4¹, 8³, 16²</t>
        </is>
      </c>
      <c r="L4060" t="inlineStr">
        <is>
          <t>30Q⁵, 60K⁷, 60L⁷</t>
        </is>
      </c>
      <c r="M4060" t="inlineStr"/>
      <c r="N4060" t="inlineStr">
        <is>
          <t>30Q⁵, 15D¹, 30F², 6B⁰, 30H³, 10D⁰, 5C⁰, 60K⁷, 15D², 3A⁰, 1A⁰, 60L⁷, 20F¹</t>
        </is>
      </c>
      <c r="O4060" t="inlineStr"/>
    </row>
    <row r="4061">
      <c r="A4061">
        <f>HYPERLINK("https://mathstats.uncg.edu/sites/pauli/congruence/csg15.html#group60AA15", "60AA¹⁵")</f>
        <v/>
      </c>
      <c r="B4061" t="n">
        <v>15</v>
      </c>
      <c r="C4061" t="inlineStr"/>
      <c r="D4061" t="inlineStr">
        <is>
          <t>288</t>
        </is>
      </c>
      <c r="E4061" t="inlineStr">
        <is>
          <t>1</t>
        </is>
      </c>
      <c r="F4061" t="inlineStr">
        <is>
          <t>72</t>
        </is>
      </c>
      <c r="G4061" t="inlineStr">
        <is>
          <t>0</t>
        </is>
      </c>
      <c r="H4061" t="inlineStr">
        <is>
          <t>0</t>
        </is>
      </c>
      <c r="I4061" t="inlineStr">
        <is>
          <t>2⁴, 4¹, 6⁴, 10⁴, 12¹, 20¹, 30⁴, 60¹</t>
        </is>
      </c>
      <c r="J4061" t="n">
        <v>20</v>
      </c>
      <c r="K4061" t="inlineStr">
        <is>
          <t>1¹², 2⁶, 4⁶, 8³</t>
        </is>
      </c>
      <c r="L4061" t="inlineStr">
        <is>
          <t>30Q⁷</t>
        </is>
      </c>
      <c r="M4061" t="inlineStr"/>
      <c r="N4061" t="inlineStr">
        <is>
          <t>30Q⁷, 3B⁰, 2A⁰, 6I⁰, 6C⁰, 5B⁰, 10A¹, 2B⁰, 30G³, 1A⁰, 15C¹, 10C⁰, 30K³, 6F⁰, 2C⁰, 10G¹</t>
        </is>
      </c>
      <c r="O4061" t="inlineStr"/>
    </row>
    <row r="4062">
      <c r="A4062">
        <f>HYPERLINK("https://mathstats.uncg.edu/sites/pauli/congruence/csg15.html#group60AB15", "60AB¹⁵")</f>
        <v/>
      </c>
      <c r="B4062" t="n">
        <v>15</v>
      </c>
      <c r="C4062" t="inlineStr"/>
      <c r="D4062" t="inlineStr">
        <is>
          <t>288</t>
        </is>
      </c>
      <c r="E4062" t="inlineStr">
        <is>
          <t>1</t>
        </is>
      </c>
      <c r="F4062" t="inlineStr">
        <is>
          <t>72</t>
        </is>
      </c>
      <c r="G4062" t="inlineStr">
        <is>
          <t>0</t>
        </is>
      </c>
      <c r="H4062" t="inlineStr">
        <is>
          <t>0</t>
        </is>
      </c>
      <c r="I4062" t="inlineStr">
        <is>
          <t>2⁴, 4¹, 6⁴, 10⁴, 12¹, 20¹, 30⁴, 60¹</t>
        </is>
      </c>
      <c r="J4062" t="n">
        <v>20</v>
      </c>
      <c r="K4062" t="inlineStr">
        <is>
          <t>1¹², 2⁶, 4⁶, 8³</t>
        </is>
      </c>
      <c r="L4062" t="inlineStr">
        <is>
          <t>12I⁰, 30Q⁷</t>
        </is>
      </c>
      <c r="M4062" t="inlineStr"/>
      <c r="N4062" t="inlineStr">
        <is>
          <t>30Q⁷, 3B⁰, 2A⁰, 6I⁰, 6C⁰, 12I⁰, 5B⁰, 10A¹, 2B⁰, 30G³, 1A⁰, 15C¹, 10C⁰, 30K³, 6F⁰, 2C⁰, 10G¹</t>
        </is>
      </c>
      <c r="O4062" t="inlineStr"/>
    </row>
    <row r="4063">
      <c r="A4063">
        <f>HYPERLINK("https://mathstats.uncg.edu/sites/pauli/congruence/csg15.html#group60AC15", "60AC¹⁵")</f>
        <v/>
      </c>
      <c r="B4063" t="n">
        <v>15</v>
      </c>
      <c r="C4063" t="inlineStr"/>
      <c r="D4063" t="inlineStr">
        <is>
          <t>288</t>
        </is>
      </c>
      <c r="E4063" t="inlineStr">
        <is>
          <t>1</t>
        </is>
      </c>
      <c r="F4063" t="inlineStr">
        <is>
          <t>144</t>
        </is>
      </c>
      <c r="G4063" t="inlineStr">
        <is>
          <t>0</t>
        </is>
      </c>
      <c r="H4063" t="inlineStr">
        <is>
          <t>0</t>
        </is>
      </c>
      <c r="I4063" t="inlineStr">
        <is>
          <t>1², 2¹, 3², 4², 5², 6¹, 10¹, 12², 15², 20², 30¹, 60²</t>
        </is>
      </c>
      <c r="J4063" t="n">
        <v>20</v>
      </c>
      <c r="K4063" t="inlineStr">
        <is>
          <t>1¹⁶, 2¹², 4¹⁰, 8⁶, 16¹</t>
        </is>
      </c>
      <c r="L4063" t="inlineStr">
        <is>
          <t>60P⁷</t>
        </is>
      </c>
      <c r="M4063" t="inlineStr"/>
      <c r="N4063" t="inlineStr">
        <is>
          <t>15C¹, 3B⁰, 5B⁰, 10C⁰, 6F⁰, 20D¹, 60P⁷, 30K³, 2B⁰, 4B⁰, 1A⁰, 12E⁰</t>
        </is>
      </c>
      <c r="O4063" t="inlineStr"/>
    </row>
    <row r="4064">
      <c r="A4064">
        <f>HYPERLINK("https://mathstats.uncg.edu/sites/pauli/congruence/csg15.html#group60AD15", "60AD¹⁵")</f>
        <v/>
      </c>
      <c r="B4064" t="n">
        <v>15</v>
      </c>
      <c r="C4064" t="inlineStr"/>
      <c r="D4064" t="inlineStr">
        <is>
          <t>288</t>
        </is>
      </c>
      <c r="E4064" t="inlineStr">
        <is>
          <t>1</t>
        </is>
      </c>
      <c r="F4064" t="inlineStr">
        <is>
          <t>144</t>
        </is>
      </c>
      <c r="G4064" t="inlineStr">
        <is>
          <t>0</t>
        </is>
      </c>
      <c r="H4064" t="inlineStr">
        <is>
          <t>0</t>
        </is>
      </c>
      <c r="I4064" t="inlineStr">
        <is>
          <t>1², 2¹, 3², 4², 5², 6¹, 10¹, 12², 15², 20², 30¹, 60²</t>
        </is>
      </c>
      <c r="J4064" t="n">
        <v>20</v>
      </c>
      <c r="K4064" t="inlineStr">
        <is>
          <t>1¹⁶, 2¹², 4¹⁰, 8⁶, 16¹</t>
        </is>
      </c>
      <c r="L4064" t="inlineStr">
        <is>
          <t>12J⁰, 60P⁷</t>
        </is>
      </c>
      <c r="M4064" t="inlineStr"/>
      <c r="N4064" t="inlineStr">
        <is>
          <t>3B⁰, 5B⁰, 12J⁰, 2B⁰, 20D¹, 4B⁰, 1A⁰, 15C¹, 10C⁰, 60P⁷, 30K³, 6F⁰, 12E⁰</t>
        </is>
      </c>
      <c r="O4064" t="inlineStr"/>
    </row>
    <row r="4065">
      <c r="A4065">
        <f>HYPERLINK("https://mathstats.uncg.edu/sites/pauli/congruence/csg15.html#group60AE15", "60AE¹⁵")</f>
        <v/>
      </c>
      <c r="B4065" t="n">
        <v>15</v>
      </c>
      <c r="C4065" t="inlineStr"/>
      <c r="D4065" t="inlineStr">
        <is>
          <t>288</t>
        </is>
      </c>
      <c r="E4065" t="inlineStr">
        <is>
          <t>2</t>
        </is>
      </c>
      <c r="F4065" t="inlineStr">
        <is>
          <t>24</t>
        </is>
      </c>
      <c r="G4065" t="inlineStr">
        <is>
          <t>24</t>
        </is>
      </c>
      <c r="H4065" t="inlineStr">
        <is>
          <t>0</t>
        </is>
      </c>
      <c r="I4065" t="inlineStr">
        <is>
          <t>12⁴, 60⁴</t>
        </is>
      </c>
      <c r="J4065" t="n">
        <v>8</v>
      </c>
      <c r="K4065" t="inlineStr">
        <is>
          <t>2⁸, 8⁴</t>
        </is>
      </c>
      <c r="L4065" t="inlineStr">
        <is>
          <t>20Q³, 60C³, 60C⁵</t>
        </is>
      </c>
      <c r="M4065" t="inlineStr"/>
      <c r="N4065" t="inlineStr">
        <is>
          <t>30A⁰, 20C¹, 15B⁰, 60C³, 12A⁰, 60C⁵, 4A⁰, 20G¹, 5B⁰, 60B³, 3A⁰, 1A⁰, 20Q³, 20B¹, 10B⁰</t>
        </is>
      </c>
      <c r="O4065" t="inlineStr"/>
    </row>
    <row r="4066">
      <c r="A4066">
        <f>HYPERLINK("https://mathstats.uncg.edu/sites/pauli/congruence/csg15.html#group60AF15", "60AF¹⁵")</f>
        <v/>
      </c>
      <c r="B4066" t="n">
        <v>15</v>
      </c>
      <c r="C4066" t="inlineStr"/>
      <c r="D4066" t="inlineStr">
        <is>
          <t>288</t>
        </is>
      </c>
      <c r="E4066" t="inlineStr">
        <is>
          <t>2</t>
        </is>
      </c>
      <c r="F4066" t="inlineStr">
        <is>
          <t>72</t>
        </is>
      </c>
      <c r="G4066" t="inlineStr">
        <is>
          <t>0</t>
        </is>
      </c>
      <c r="H4066" t="inlineStr">
        <is>
          <t>0</t>
        </is>
      </c>
      <c r="I4066" t="inlineStr">
        <is>
          <t>2⁴, 4¹, 6⁴, 10⁴, 12¹, 20¹, 30⁴, 60¹</t>
        </is>
      </c>
      <c r="J4066" t="n">
        <v>20</v>
      </c>
      <c r="K4066" t="inlineStr">
        <is>
          <t>2¹², 4⁶, 8⁶, 16³</t>
        </is>
      </c>
      <c r="L4066" t="inlineStr">
        <is>
          <t>20J¹, 30S⁷</t>
        </is>
      </c>
      <c r="M4066" t="inlineStr"/>
      <c r="N4066" t="inlineStr">
        <is>
          <t>3B⁰, 10G⁰, 5B⁰, 2B⁰, 30S⁷, 1A⁰, 20J¹, 10B⁰, 15C¹, 30F³, 10C⁰, 30K³, 6F⁰</t>
        </is>
      </c>
      <c r="O4066" t="inlineStr"/>
    </row>
    <row r="4067">
      <c r="A4067">
        <f>HYPERLINK("https://mathstats.uncg.edu/sites/pauli/congruence/csg15.html#group60AG15", "60AG¹⁵")</f>
        <v/>
      </c>
      <c r="B4067" t="n">
        <v>15</v>
      </c>
      <c r="C4067" t="inlineStr"/>
      <c r="D4067" t="inlineStr">
        <is>
          <t>288</t>
        </is>
      </c>
      <c r="E4067" t="inlineStr">
        <is>
          <t>2</t>
        </is>
      </c>
      <c r="F4067" t="inlineStr">
        <is>
          <t>72</t>
        </is>
      </c>
      <c r="G4067" t="inlineStr">
        <is>
          <t>24</t>
        </is>
      </c>
      <c r="H4067" t="inlineStr">
        <is>
          <t>0</t>
        </is>
      </c>
      <c r="I4067" t="inlineStr">
        <is>
          <t>12⁴, 60⁴</t>
        </is>
      </c>
      <c r="J4067" t="n">
        <v>8</v>
      </c>
      <c r="K4067" t="inlineStr">
        <is>
          <t>2⁸, 4⁸, 8⁴, 16⁴</t>
        </is>
      </c>
      <c r="L4067" t="inlineStr">
        <is>
          <t>60D³, 60C⁵</t>
        </is>
      </c>
      <c r="M4067" t="inlineStr"/>
      <c r="N4067" t="inlineStr">
        <is>
          <t>30A⁰, 15B⁰, 12A⁰, 60C⁵, 4A⁰, 20G¹, 5B⁰, 60B³, 60D³, 3A⁰, 1A⁰, 20B¹, 10B⁰</t>
        </is>
      </c>
      <c r="O4067" t="inlineStr"/>
    </row>
    <row r="4068">
      <c r="A4068">
        <f>HYPERLINK("https://mathstats.uncg.edu/sites/pauli/congruence/csg15.html#group63A15", "63A¹⁵")</f>
        <v/>
      </c>
      <c r="B4068" t="n">
        <v>15</v>
      </c>
      <c r="C4068" t="inlineStr"/>
      <c r="D4068" t="inlineStr">
        <is>
          <t>252</t>
        </is>
      </c>
      <c r="E4068" t="inlineStr">
        <is>
          <t>1</t>
        </is>
      </c>
      <c r="F4068" t="inlineStr">
        <is>
          <t>252</t>
        </is>
      </c>
      <c r="G4068" t="inlineStr">
        <is>
          <t>20</t>
        </is>
      </c>
      <c r="H4068" t="inlineStr">
        <is>
          <t>0</t>
        </is>
      </c>
      <c r="I4068" t="inlineStr">
        <is>
          <t>63⁴</t>
        </is>
      </c>
      <c r="J4068" t="n">
        <v>4</v>
      </c>
      <c r="K4068" t="inlineStr">
        <is>
          <t>1¹, 2¹, 3¹, 6⁶, 12⁴, 18¹, 36⁴</t>
        </is>
      </c>
      <c r="L4068" t="inlineStr">
        <is>
          <t>63A², 21C³</t>
        </is>
      </c>
      <c r="M4068" t="inlineStr"/>
      <c r="N4068" t="inlineStr">
        <is>
          <t>9A⁰, 63A², 7F⁰, 21A⁰, 3A⁰, 1A⁰, 21C³, 7A⁰</t>
        </is>
      </c>
      <c r="O4068" t="inlineStr"/>
    </row>
    <row r="4069">
      <c r="A4069">
        <f>HYPERLINK("https://mathstats.uncg.edu/sites/pauli/congruence/csg15.html#group64A15", "64A¹⁵")</f>
        <v/>
      </c>
      <c r="B4069" t="n">
        <v>15</v>
      </c>
      <c r="C4069" t="inlineStr"/>
      <c r="D4069" t="inlineStr">
        <is>
          <t>192</t>
        </is>
      </c>
      <c r="E4069" t="inlineStr">
        <is>
          <t>1</t>
        </is>
      </c>
      <c r="F4069" t="inlineStr">
        <is>
          <t>12</t>
        </is>
      </c>
      <c r="G4069" t="inlineStr">
        <is>
          <t>0</t>
        </is>
      </c>
      <c r="H4069" t="inlineStr">
        <is>
          <t>0</t>
        </is>
      </c>
      <c r="I4069" t="inlineStr">
        <is>
          <t>32², 64²</t>
        </is>
      </c>
      <c r="J4069" t="n">
        <v>4</v>
      </c>
      <c r="K4069" t="inlineStr">
        <is>
          <t>2⁴, 4⁴</t>
        </is>
      </c>
      <c r="L4069" t="inlineStr">
        <is>
          <t>32B⁷, 64G⁷</t>
        </is>
      </c>
      <c r="M4069" t="inlineStr"/>
      <c r="N4069" t="inlineStr">
        <is>
          <t>2A⁰, 16D³, 8A¹, 4C⁰, 8B⁰, 2B⁰, 8B¹, 4E⁰, 4B⁰, 1A⁰, 64G⁷, 16D¹, 16B², 32E³, 32B⁷, 2C⁰</t>
        </is>
      </c>
      <c r="O4069" t="inlineStr"/>
    </row>
    <row r="4070">
      <c r="A4070">
        <f>HYPERLINK("https://mathstats.uncg.edu/sites/pauli/congruence/csg15.html#group64B15", "64B¹⁵")</f>
        <v/>
      </c>
      <c r="B4070" t="n">
        <v>15</v>
      </c>
      <c r="C4070" t="inlineStr"/>
      <c r="D4070" t="inlineStr">
        <is>
          <t>192</t>
        </is>
      </c>
      <c r="E4070" t="inlineStr">
        <is>
          <t>1</t>
        </is>
      </c>
      <c r="F4070" t="inlineStr">
        <is>
          <t>12</t>
        </is>
      </c>
      <c r="G4070" t="inlineStr">
        <is>
          <t>0</t>
        </is>
      </c>
      <c r="H4070" t="inlineStr">
        <is>
          <t>0</t>
        </is>
      </c>
      <c r="I4070" t="inlineStr">
        <is>
          <t>32², 64²</t>
        </is>
      </c>
      <c r="J4070" t="n">
        <v>4</v>
      </c>
      <c r="K4070" t="inlineStr">
        <is>
          <t>2⁴, 4⁴</t>
        </is>
      </c>
      <c r="L4070" t="inlineStr">
        <is>
          <t>32B⁷, 64H⁷</t>
        </is>
      </c>
      <c r="M4070" t="inlineStr"/>
      <c r="N4070" t="inlineStr">
        <is>
          <t>2A⁰, 16D³, 8A¹, 4C⁰, 8B⁰, 2B⁰, 8B¹, 4E⁰, 4B⁰, 64H⁷, 1A⁰, 16D¹, 16B², 32E³, 32B⁷, 2C⁰</t>
        </is>
      </c>
      <c r="O4070" t="inlineStr"/>
    </row>
    <row r="4071">
      <c r="A4071">
        <f>HYPERLINK("https://mathstats.uncg.edu/sites/pauli/congruence/csg15.html#group64C15", "64C¹⁵")</f>
        <v/>
      </c>
      <c r="B4071" t="n">
        <v>15</v>
      </c>
      <c r="C4071" t="inlineStr"/>
      <c r="D4071" t="inlineStr">
        <is>
          <t>192</t>
        </is>
      </c>
      <c r="E4071" t="inlineStr">
        <is>
          <t>1</t>
        </is>
      </c>
      <c r="F4071" t="inlineStr">
        <is>
          <t>12</t>
        </is>
      </c>
      <c r="G4071" t="inlineStr">
        <is>
          <t>0</t>
        </is>
      </c>
      <c r="H4071" t="inlineStr">
        <is>
          <t>0</t>
        </is>
      </c>
      <c r="I4071" t="inlineStr">
        <is>
          <t>32², 64²</t>
        </is>
      </c>
      <c r="J4071" t="n">
        <v>4</v>
      </c>
      <c r="K4071" t="inlineStr">
        <is>
          <t>2⁴, 4⁴</t>
        </is>
      </c>
      <c r="L4071" t="inlineStr">
        <is>
          <t>32C⁷, 64I⁷</t>
        </is>
      </c>
      <c r="M4071" t="inlineStr"/>
      <c r="N4071" t="inlineStr">
        <is>
          <t>2A⁰, 16D³, 8A¹, 2C⁰, 4C⁰, 8B⁰, 32C⁷, 2B⁰, 32G³, 8B¹, 4E⁰, 4B⁰, 1A⁰, 16D¹, 16B², 64I⁷</t>
        </is>
      </c>
      <c r="O4071" t="inlineStr"/>
    </row>
    <row r="4072">
      <c r="A4072">
        <f>HYPERLINK("https://mathstats.uncg.edu/sites/pauli/congruence/csg15.html#group64D15", "64D¹⁵")</f>
        <v/>
      </c>
      <c r="B4072" t="n">
        <v>15</v>
      </c>
      <c r="C4072" t="inlineStr"/>
      <c r="D4072" t="inlineStr">
        <is>
          <t>192</t>
        </is>
      </c>
      <c r="E4072" t="inlineStr">
        <is>
          <t>1</t>
        </is>
      </c>
      <c r="F4072" t="inlineStr">
        <is>
          <t>12</t>
        </is>
      </c>
      <c r="G4072" t="inlineStr">
        <is>
          <t>0</t>
        </is>
      </c>
      <c r="H4072" t="inlineStr">
        <is>
          <t>0</t>
        </is>
      </c>
      <c r="I4072" t="inlineStr">
        <is>
          <t>32², 64²</t>
        </is>
      </c>
      <c r="J4072" t="n">
        <v>4</v>
      </c>
      <c r="K4072" t="inlineStr">
        <is>
          <t>2⁴, 4⁴</t>
        </is>
      </c>
      <c r="L4072" t="inlineStr">
        <is>
          <t>32C⁷, 64J⁷</t>
        </is>
      </c>
      <c r="M4072" t="inlineStr"/>
      <c r="N4072" t="inlineStr">
        <is>
          <t>2A⁰, 16D³, 8A¹, 4C⁰, 8B⁰, 32C⁷, 2B⁰, 8B¹, 32G³, 4E⁰, 4B⁰, 1A⁰, 16D¹, 16B², 64J⁷, 2C⁰</t>
        </is>
      </c>
      <c r="O4072" t="inlineStr"/>
    </row>
    <row r="4073">
      <c r="A4073">
        <f>HYPERLINK("https://mathstats.uncg.edu/sites/pauli/congruence/csg15.html#group64E15", "64E¹⁵")</f>
        <v/>
      </c>
      <c r="B4073" t="n">
        <v>15</v>
      </c>
      <c r="C4073" t="inlineStr"/>
      <c r="D4073" t="inlineStr">
        <is>
          <t>192</t>
        </is>
      </c>
      <c r="E4073" t="inlineStr">
        <is>
          <t>1</t>
        </is>
      </c>
      <c r="F4073" t="inlineStr">
        <is>
          <t>24</t>
        </is>
      </c>
      <c r="G4073" t="inlineStr">
        <is>
          <t>0</t>
        </is>
      </c>
      <c r="H4073" t="inlineStr">
        <is>
          <t>0</t>
        </is>
      </c>
      <c r="I4073" t="inlineStr">
        <is>
          <t>32², 64²</t>
        </is>
      </c>
      <c r="J4073" t="n">
        <v>4</v>
      </c>
      <c r="K4073" t="inlineStr">
        <is>
          <t>2⁴, 4⁴</t>
        </is>
      </c>
      <c r="L4073" t="inlineStr">
        <is>
          <t>32D⁷</t>
        </is>
      </c>
      <c r="M4073" t="inlineStr"/>
      <c r="N4073" t="inlineStr">
        <is>
          <t>2A⁰, 16D³, 8A¹, 4C⁰, 8B⁰, 2B⁰, 8B¹, 4E⁰, 32F³, 32A⁴, 4B⁰, 1A⁰, 16D¹, 16B², 32D⁷, 2C⁰</t>
        </is>
      </c>
      <c r="O4073" t="inlineStr"/>
    </row>
    <row r="4074">
      <c r="A4074">
        <f>HYPERLINK("https://mathstats.uncg.edu/sites/pauli/congruence/csg15.html#group64F15", "64F¹⁵")</f>
        <v/>
      </c>
      <c r="B4074" t="n">
        <v>15</v>
      </c>
      <c r="C4074" t="inlineStr"/>
      <c r="D4074" t="inlineStr">
        <is>
          <t>192</t>
        </is>
      </c>
      <c r="E4074" t="inlineStr">
        <is>
          <t>1</t>
        </is>
      </c>
      <c r="F4074" t="inlineStr">
        <is>
          <t>24</t>
        </is>
      </c>
      <c r="G4074" t="inlineStr">
        <is>
          <t>0</t>
        </is>
      </c>
      <c r="H4074" t="inlineStr">
        <is>
          <t>0</t>
        </is>
      </c>
      <c r="I4074" t="inlineStr">
        <is>
          <t>32², 64²</t>
        </is>
      </c>
      <c r="J4074" t="n">
        <v>4</v>
      </c>
      <c r="K4074" t="inlineStr">
        <is>
          <t>2⁴, 4⁴</t>
        </is>
      </c>
      <c r="L4074" t="inlineStr">
        <is>
          <t>32E⁷</t>
        </is>
      </c>
      <c r="M4074" t="inlineStr"/>
      <c r="N4074" t="inlineStr">
        <is>
          <t>2A⁰, 16D³, 8A¹, 32E⁷, 4C⁰, 8B⁰, 2B⁰, 8B¹, 4E⁰, 4B⁰, 1A⁰, 32B⁴, 16D¹, 16B², 2C⁰, 32H³</t>
        </is>
      </c>
      <c r="O4074" t="inlineStr"/>
    </row>
    <row r="4075">
      <c r="A4075">
        <f>HYPERLINK("https://mathstats.uncg.edu/sites/pauli/congruence/csg15.html#group64G15", "64G¹⁵")</f>
        <v/>
      </c>
      <c r="B4075" t="n">
        <v>15</v>
      </c>
      <c r="C4075" t="inlineStr"/>
      <c r="D4075" t="inlineStr">
        <is>
          <t>192</t>
        </is>
      </c>
      <c r="E4075" t="inlineStr">
        <is>
          <t>1</t>
        </is>
      </c>
      <c r="F4075" t="inlineStr">
        <is>
          <t>48</t>
        </is>
      </c>
      <c r="G4075" t="inlineStr">
        <is>
          <t>0</t>
        </is>
      </c>
      <c r="H4075" t="inlineStr">
        <is>
          <t>0</t>
        </is>
      </c>
      <c r="I4075" t="inlineStr">
        <is>
          <t>32², 64²</t>
        </is>
      </c>
      <c r="J4075" t="n">
        <v>4</v>
      </c>
      <c r="K4075" t="inlineStr">
        <is>
          <t>4¹², 8², 16²</t>
        </is>
      </c>
      <c r="L4075" t="inlineStr">
        <is>
          <t>32I⁷, 64G⁷</t>
        </is>
      </c>
      <c r="M4075" t="inlineStr"/>
      <c r="N4075" t="inlineStr">
        <is>
          <t>16D¹, 32I⁷, 16F³, 4C⁰, 8B⁰, 32E³, 2B⁰, 8L⁰, 32F³, 1A⁰, 64G⁷, 16A²</t>
        </is>
      </c>
      <c r="O4075" t="inlineStr"/>
    </row>
    <row r="4076">
      <c r="A4076">
        <f>HYPERLINK("https://mathstats.uncg.edu/sites/pauli/congruence/csg15.html#group64H15", "64H¹⁵")</f>
        <v/>
      </c>
      <c r="B4076" t="n">
        <v>15</v>
      </c>
      <c r="C4076" t="inlineStr"/>
      <c r="D4076" t="inlineStr">
        <is>
          <t>192</t>
        </is>
      </c>
      <c r="E4076" t="inlineStr">
        <is>
          <t>1</t>
        </is>
      </c>
      <c r="F4076" t="inlineStr">
        <is>
          <t>48</t>
        </is>
      </c>
      <c r="G4076" t="inlineStr">
        <is>
          <t>0</t>
        </is>
      </c>
      <c r="H4076" t="inlineStr">
        <is>
          <t>0</t>
        </is>
      </c>
      <c r="I4076" t="inlineStr">
        <is>
          <t>32², 64²</t>
        </is>
      </c>
      <c r="J4076" t="n">
        <v>4</v>
      </c>
      <c r="K4076" t="inlineStr">
        <is>
          <t>4¹², 8², 16²</t>
        </is>
      </c>
      <c r="L4076" t="inlineStr">
        <is>
          <t>32I⁷, 64H⁷</t>
        </is>
      </c>
      <c r="M4076" t="inlineStr"/>
      <c r="N4076" t="inlineStr">
        <is>
          <t>16D¹, 32I⁷, 16F³, 4C⁰, 8B⁰, 32E³, 2B⁰, 8L⁰, 32F³, 64H⁷, 1A⁰, 16A²</t>
        </is>
      </c>
      <c r="O4076" t="inlineStr"/>
    </row>
    <row r="4077">
      <c r="A4077">
        <f>HYPERLINK("https://mathstats.uncg.edu/sites/pauli/congruence/csg15.html#group64I15", "64I¹⁵")</f>
        <v/>
      </c>
      <c r="B4077" t="n">
        <v>15</v>
      </c>
      <c r="C4077" t="inlineStr"/>
      <c r="D4077" t="inlineStr">
        <is>
          <t>192</t>
        </is>
      </c>
      <c r="E4077" t="inlineStr">
        <is>
          <t>1</t>
        </is>
      </c>
      <c r="F4077" t="inlineStr">
        <is>
          <t>48</t>
        </is>
      </c>
      <c r="G4077" t="inlineStr">
        <is>
          <t>0</t>
        </is>
      </c>
      <c r="H4077" t="inlineStr">
        <is>
          <t>0</t>
        </is>
      </c>
      <c r="I4077" t="inlineStr">
        <is>
          <t>32², 64²</t>
        </is>
      </c>
      <c r="J4077" t="n">
        <v>4</v>
      </c>
      <c r="K4077" t="inlineStr">
        <is>
          <t>4¹², 8², 16²</t>
        </is>
      </c>
      <c r="L4077" t="inlineStr">
        <is>
          <t>32J⁷, 64I⁷</t>
        </is>
      </c>
      <c r="M4077" t="inlineStr"/>
      <c r="N4077" t="inlineStr">
        <is>
          <t>16D¹, 16F³, 4C⁰, 8B⁰, 32J⁷, 8L⁰, 2B⁰, 32G³, 1A⁰, 64I⁷, 32H³, 16A²</t>
        </is>
      </c>
      <c r="O4077" t="inlineStr"/>
    </row>
    <row r="4078">
      <c r="A4078">
        <f>HYPERLINK("https://mathstats.uncg.edu/sites/pauli/congruence/csg15.html#group64J15", "64J¹⁵")</f>
        <v/>
      </c>
      <c r="B4078" t="n">
        <v>15</v>
      </c>
      <c r="C4078" t="inlineStr"/>
      <c r="D4078" t="inlineStr">
        <is>
          <t>192</t>
        </is>
      </c>
      <c r="E4078" t="inlineStr">
        <is>
          <t>1</t>
        </is>
      </c>
      <c r="F4078" t="inlineStr">
        <is>
          <t>48</t>
        </is>
      </c>
      <c r="G4078" t="inlineStr">
        <is>
          <t>0</t>
        </is>
      </c>
      <c r="H4078" t="inlineStr">
        <is>
          <t>0</t>
        </is>
      </c>
      <c r="I4078" t="inlineStr">
        <is>
          <t>32², 64²</t>
        </is>
      </c>
      <c r="J4078" t="n">
        <v>4</v>
      </c>
      <c r="K4078" t="inlineStr">
        <is>
          <t>4¹², 8², 16²</t>
        </is>
      </c>
      <c r="L4078" t="inlineStr">
        <is>
          <t>32J⁷, 64J⁷</t>
        </is>
      </c>
      <c r="M4078" t="inlineStr"/>
      <c r="N4078" t="inlineStr">
        <is>
          <t>16D¹, 64J⁷, 16F³, 4C⁰, 8B⁰, 32J⁷, 8L⁰, 2B⁰, 32G³, 1A⁰, 32H³, 16A²</t>
        </is>
      </c>
      <c r="O4078" t="inlineStr"/>
    </row>
    <row r="4079">
      <c r="A4079">
        <f>HYPERLINK("https://mathstats.uncg.edu/sites/pauli/congruence/csg15.html#group64K15", "64K¹⁵")</f>
        <v/>
      </c>
      <c r="B4079" t="n">
        <v>15</v>
      </c>
      <c r="C4079" t="inlineStr"/>
      <c r="D4079" t="inlineStr">
        <is>
          <t>192</t>
        </is>
      </c>
      <c r="E4079" t="inlineStr">
        <is>
          <t>2</t>
        </is>
      </c>
      <c r="F4079" t="inlineStr">
        <is>
          <t>48</t>
        </is>
      </c>
      <c r="G4079" t="inlineStr">
        <is>
          <t>0</t>
        </is>
      </c>
      <c r="H4079" t="inlineStr">
        <is>
          <t>0</t>
        </is>
      </c>
      <c r="I4079" t="inlineStr">
        <is>
          <t>32², 64²</t>
        </is>
      </c>
      <c r="J4079" t="n">
        <v>4</v>
      </c>
      <c r="K4079" t="inlineStr">
        <is>
          <t>2⁸, 4⁴, 8⁴, 16²</t>
        </is>
      </c>
      <c r="L4079" t="inlineStr">
        <is>
          <t>32K⁷</t>
        </is>
      </c>
      <c r="M4079" t="inlineStr"/>
      <c r="N4079" t="inlineStr">
        <is>
          <t>16B², 8A¹, 8C¹, 8D⁰, 4A⁰, 32K⁷, 4C⁰, 2B⁰, 4F⁰, 32A⁴, 1A⁰, 32B⁴, 16E³</t>
        </is>
      </c>
      <c r="O4079" t="inlineStr"/>
    </row>
    <row r="4080">
      <c r="A4080">
        <f>HYPERLINK("https://mathstats.uncg.edu/sites/pauli/congruence/csg15.html#group64L15", "64L¹⁵")</f>
        <v/>
      </c>
      <c r="B4080" t="n">
        <v>15</v>
      </c>
      <c r="C4080" t="inlineStr"/>
      <c r="D4080" t="inlineStr">
        <is>
          <t>192</t>
        </is>
      </c>
      <c r="E4080" t="inlineStr">
        <is>
          <t>2</t>
        </is>
      </c>
      <c r="F4080" t="inlineStr">
        <is>
          <t>48</t>
        </is>
      </c>
      <c r="G4080" t="inlineStr">
        <is>
          <t>0</t>
        </is>
      </c>
      <c r="H4080" t="inlineStr">
        <is>
          <t>0</t>
        </is>
      </c>
      <c r="I4080" t="inlineStr">
        <is>
          <t>32², 64²</t>
        </is>
      </c>
      <c r="J4080" t="n">
        <v>4</v>
      </c>
      <c r="K4080" t="inlineStr">
        <is>
          <t>2⁸, 4⁴, 8⁴, 16²</t>
        </is>
      </c>
      <c r="L4080" t="inlineStr">
        <is>
          <t>32K⁷</t>
        </is>
      </c>
      <c r="M4080" t="inlineStr"/>
      <c r="N4080" t="inlineStr">
        <is>
          <t>16B², 8A¹, 8C¹, 8D⁰, 4A⁰, 32K⁷, 4C⁰, 2B⁰, 4F⁰, 32A⁴, 1A⁰, 32B⁴, 16E³</t>
        </is>
      </c>
      <c r="O4080" t="inlineStr"/>
    </row>
    <row r="4081">
      <c r="A4081">
        <f>HYPERLINK("https://mathstats.uncg.edu/sites/pauli/congruence/csg15.html#group66A15", "66A¹⁵")</f>
        <v/>
      </c>
      <c r="B4081" t="n">
        <v>15</v>
      </c>
      <c r="C4081" t="inlineStr"/>
      <c r="D4081" t="inlineStr">
        <is>
          <t>216</t>
        </is>
      </c>
      <c r="E4081" t="inlineStr">
        <is>
          <t>1</t>
        </is>
      </c>
      <c r="F4081" t="inlineStr">
        <is>
          <t>108</t>
        </is>
      </c>
      <c r="G4081" t="inlineStr">
        <is>
          <t>0</t>
        </is>
      </c>
      <c r="H4081" t="inlineStr">
        <is>
          <t>0</t>
        </is>
      </c>
      <c r="I4081" t="inlineStr">
        <is>
          <t>3², 6², 33², 66²</t>
        </is>
      </c>
      <c r="J4081" t="n">
        <v>8</v>
      </c>
      <c r="K4081" t="inlineStr">
        <is>
          <t>1⁶, 2⁶, 10³, 20³</t>
        </is>
      </c>
      <c r="L4081" t="inlineStr">
        <is>
          <t>6G⁰, 33A⁵, 66A⁸</t>
        </is>
      </c>
      <c r="M4081" t="inlineStr"/>
      <c r="N4081" t="inlineStr">
        <is>
          <t>66A⁸, 11A¹, 33A³, 33A⁵, 6G⁰, 3C⁰, 2B⁰, 3A⁰, 22C², 1A⁰, 6D⁰</t>
        </is>
      </c>
      <c r="O4081" t="inlineStr"/>
    </row>
    <row r="4082">
      <c r="A4082">
        <f>HYPERLINK("https://mathstats.uncg.edu/sites/pauli/congruence/csg15.html#group67A15", "67A¹⁵")</f>
        <v/>
      </c>
      <c r="B4082" t="n">
        <v>15</v>
      </c>
      <c r="C4082" t="inlineStr"/>
      <c r="D4082" t="inlineStr">
        <is>
          <t>204</t>
        </is>
      </c>
      <c r="E4082" t="inlineStr">
        <is>
          <t>1</t>
        </is>
      </c>
      <c r="F4082" t="inlineStr">
        <is>
          <t>68</t>
        </is>
      </c>
      <c r="G4082" t="inlineStr">
        <is>
          <t>0</t>
        </is>
      </c>
      <c r="H4082" t="inlineStr">
        <is>
          <t>0</t>
        </is>
      </c>
      <c r="I4082" t="inlineStr">
        <is>
          <t>1³, 67³</t>
        </is>
      </c>
      <c r="J4082" t="n">
        <v>6</v>
      </c>
      <c r="K4082" t="inlineStr">
        <is>
          <t>1², 66¹</t>
        </is>
      </c>
      <c r="L4082" t="inlineStr">
        <is>
          <t>67A⁵</t>
        </is>
      </c>
      <c r="M4082" t="inlineStr"/>
      <c r="N4082" t="inlineStr">
        <is>
          <t>1A⁰, 67A⁵</t>
        </is>
      </c>
      <c r="O4082" t="inlineStr"/>
    </row>
    <row r="4083">
      <c r="A4083">
        <f>HYPERLINK("https://mathstats.uncg.edu/sites/pauli/congruence/csg15.html#group68A15", "68A¹⁵")</f>
        <v/>
      </c>
      <c r="B4083" t="n">
        <v>15</v>
      </c>
      <c r="C4083" t="inlineStr"/>
      <c r="D4083" t="inlineStr">
        <is>
          <t>216</t>
        </is>
      </c>
      <c r="E4083" t="inlineStr">
        <is>
          <t>1</t>
        </is>
      </c>
      <c r="F4083" t="inlineStr">
        <is>
          <t>54</t>
        </is>
      </c>
      <c r="G4083" t="inlineStr">
        <is>
          <t>0</t>
        </is>
      </c>
      <c r="H4083" t="inlineStr">
        <is>
          <t>0</t>
        </is>
      </c>
      <c r="I4083" t="inlineStr">
        <is>
          <t>2², 4², 34², 68²</t>
        </is>
      </c>
      <c r="J4083" t="n">
        <v>8</v>
      </c>
      <c r="K4083" t="inlineStr">
        <is>
          <t>1⁶, 16³</t>
        </is>
      </c>
      <c r="L4083" t="inlineStr">
        <is>
          <t>34A⁷, 68A⁷, 68C⁷</t>
        </is>
      </c>
      <c r="M4083" t="inlineStr"/>
      <c r="N4083" t="inlineStr">
        <is>
          <t>2A⁰, 68C⁷, 34C³, 34A⁷, 68A⁷, 17A¹, 2B⁰, 34B³, 1A⁰, 2C⁰</t>
        </is>
      </c>
      <c r="O4083" t="inlineStr"/>
    </row>
    <row r="4084">
      <c r="A4084">
        <f>HYPERLINK("https://mathstats.uncg.edu/sites/pauli/congruence/csg15.html#group68B15", "68B¹⁵")</f>
        <v/>
      </c>
      <c r="B4084" t="n">
        <v>15</v>
      </c>
      <c r="C4084" t="inlineStr"/>
      <c r="D4084" t="inlineStr">
        <is>
          <t>216</t>
        </is>
      </c>
      <c r="E4084" t="inlineStr">
        <is>
          <t>1</t>
        </is>
      </c>
      <c r="F4084" t="inlineStr">
        <is>
          <t>54</t>
        </is>
      </c>
      <c r="G4084" t="inlineStr">
        <is>
          <t>0</t>
        </is>
      </c>
      <c r="H4084" t="inlineStr">
        <is>
          <t>0</t>
        </is>
      </c>
      <c r="I4084" t="inlineStr">
        <is>
          <t>2², 4², 34², 68²</t>
        </is>
      </c>
      <c r="J4084" t="n">
        <v>8</v>
      </c>
      <c r="K4084" t="inlineStr">
        <is>
          <t>1⁶, 16³</t>
        </is>
      </c>
      <c r="L4084" t="inlineStr">
        <is>
          <t>34B⁷, 68A⁷, 68D⁷</t>
        </is>
      </c>
      <c r="M4084" t="inlineStr"/>
      <c r="N4084" t="inlineStr">
        <is>
          <t>34C³, 4C⁰, 68A⁷, 34B⁷, 17A¹, 2B⁰, 1A⁰, 34A³, 68D⁷</t>
        </is>
      </c>
      <c r="O4084" t="inlineStr"/>
    </row>
    <row r="4085">
      <c r="A4085">
        <f>HYPERLINK("https://mathstats.uncg.edu/sites/pauli/congruence/csg15.html#group68C15", "68C¹⁵")</f>
        <v/>
      </c>
      <c r="B4085" t="n">
        <v>15</v>
      </c>
      <c r="C4085" t="inlineStr"/>
      <c r="D4085" t="inlineStr">
        <is>
          <t>216</t>
        </is>
      </c>
      <c r="E4085" t="inlineStr">
        <is>
          <t>1</t>
        </is>
      </c>
      <c r="F4085" t="inlineStr">
        <is>
          <t>54</t>
        </is>
      </c>
      <c r="G4085" t="inlineStr">
        <is>
          <t>0</t>
        </is>
      </c>
      <c r="H4085" t="inlineStr">
        <is>
          <t>0</t>
        </is>
      </c>
      <c r="I4085" t="inlineStr">
        <is>
          <t>2², 4², 34², 68²</t>
        </is>
      </c>
      <c r="J4085" t="n">
        <v>8</v>
      </c>
      <c r="K4085" t="inlineStr">
        <is>
          <t>1⁶, 16³</t>
        </is>
      </c>
      <c r="L4085" t="inlineStr">
        <is>
          <t>34B⁷, 68B⁷, 68C⁷</t>
        </is>
      </c>
      <c r="M4085" t="inlineStr"/>
      <c r="N4085" t="inlineStr">
        <is>
          <t>68C⁷, 68B⁷, 34C³, 34B⁷, 17A¹, 2B⁰, 4B⁰, 1A⁰, 34A³</t>
        </is>
      </c>
      <c r="O4085" t="inlineStr"/>
    </row>
    <row r="4086">
      <c r="A4086">
        <f>HYPERLINK("https://mathstats.uncg.edu/sites/pauli/congruence/csg15.html#group68D15", "68D¹⁵")</f>
        <v/>
      </c>
      <c r="B4086" t="n">
        <v>15</v>
      </c>
      <c r="C4086" t="inlineStr"/>
      <c r="D4086" t="inlineStr">
        <is>
          <t>216</t>
        </is>
      </c>
      <c r="E4086" t="inlineStr">
        <is>
          <t>1</t>
        </is>
      </c>
      <c r="F4086" t="inlineStr">
        <is>
          <t>54</t>
        </is>
      </c>
      <c r="G4086" t="inlineStr">
        <is>
          <t>0</t>
        </is>
      </c>
      <c r="H4086" t="inlineStr">
        <is>
          <t>0</t>
        </is>
      </c>
      <c r="I4086" t="inlineStr">
        <is>
          <t>2², 4², 34², 68²</t>
        </is>
      </c>
      <c r="J4086" t="n">
        <v>8</v>
      </c>
      <c r="K4086" t="inlineStr">
        <is>
          <t>1⁶, 16³</t>
        </is>
      </c>
      <c r="L4086" t="inlineStr">
        <is>
          <t>4E⁰, 34A⁷, 68B⁷, 68D⁷</t>
        </is>
      </c>
      <c r="M4086" t="inlineStr"/>
      <c r="N4086" t="inlineStr">
        <is>
          <t>2A⁰, 68B⁷, 34C³, 34A⁷, 4C⁰, 17A¹, 2B⁰, 4E⁰, 4B⁰, 34B³, 1A⁰, 2C⁰, 68D⁷</t>
        </is>
      </c>
      <c r="O4086" t="inlineStr"/>
    </row>
    <row r="4087">
      <c r="A4087">
        <f>HYPERLINK("https://mathstats.uncg.edu/sites/pauli/congruence/csg15.html#group68E15", "68E¹⁵")</f>
        <v/>
      </c>
      <c r="B4087" t="n">
        <v>15</v>
      </c>
      <c r="C4087" t="inlineStr"/>
      <c r="D4087" t="inlineStr">
        <is>
          <t>216</t>
        </is>
      </c>
      <c r="E4087" t="inlineStr">
        <is>
          <t>1</t>
        </is>
      </c>
      <c r="F4087" t="inlineStr">
        <is>
          <t>108</t>
        </is>
      </c>
      <c r="G4087" t="inlineStr">
        <is>
          <t>4</t>
        </is>
      </c>
      <c r="H4087" t="inlineStr">
        <is>
          <t>0</t>
        </is>
      </c>
      <c r="I4087" t="inlineStr">
        <is>
          <t>4³, 68³</t>
        </is>
      </c>
      <c r="J4087" t="n">
        <v>6</v>
      </c>
      <c r="K4087" t="inlineStr">
        <is>
          <t>1⁴, 2⁴, 16², 32²</t>
        </is>
      </c>
      <c r="L4087" t="inlineStr">
        <is>
          <t>68D⁷</t>
        </is>
      </c>
      <c r="M4087" t="inlineStr"/>
      <c r="N4087" t="inlineStr">
        <is>
          <t>17A¹, 2B⁰, 34C³, 1A⁰, 4C⁰, 68D⁷</t>
        </is>
      </c>
      <c r="O4087" t="inlineStr"/>
    </row>
    <row r="4088">
      <c r="A4088">
        <f>HYPERLINK("https://mathstats.uncg.edu/sites/pauli/congruence/csg15.html#group68F15", "68F¹⁵")</f>
        <v/>
      </c>
      <c r="B4088" t="n">
        <v>15</v>
      </c>
      <c r="C4088" t="inlineStr"/>
      <c r="D4088" t="inlineStr">
        <is>
          <t>216</t>
        </is>
      </c>
      <c r="E4088" t="inlineStr">
        <is>
          <t>1</t>
        </is>
      </c>
      <c r="F4088" t="inlineStr">
        <is>
          <t>108</t>
        </is>
      </c>
      <c r="G4088" t="inlineStr">
        <is>
          <t>4</t>
        </is>
      </c>
      <c r="H4088" t="inlineStr">
        <is>
          <t>0</t>
        </is>
      </c>
      <c r="I4088" t="inlineStr">
        <is>
          <t>4³, 68³</t>
        </is>
      </c>
      <c r="J4088" t="n">
        <v>6</v>
      </c>
      <c r="K4088" t="inlineStr">
        <is>
          <t>1⁴, 2⁴, 16², 32²</t>
        </is>
      </c>
      <c r="L4088" t="inlineStr">
        <is>
          <t>4F⁰, 68A⁵, 68D⁷</t>
        </is>
      </c>
      <c r="M4088" t="inlineStr"/>
      <c r="N4088" t="inlineStr">
        <is>
          <t>34C³, 4A⁰, 4C⁰, 68A⁵, 17A¹, 2B⁰, 4F⁰, 1A⁰, 68D⁷</t>
        </is>
      </c>
      <c r="O4088" t="inlineStr"/>
    </row>
    <row r="4089">
      <c r="A4089">
        <f>HYPERLINK("https://mathstats.uncg.edu/sites/pauli/congruence/csg15.html#group70A15", "70A¹⁵")</f>
        <v/>
      </c>
      <c r="B4089" t="n">
        <v>15</v>
      </c>
      <c r="C4089" t="inlineStr"/>
      <c r="D4089" t="inlineStr">
        <is>
          <t>210</t>
        </is>
      </c>
      <c r="E4089" t="inlineStr">
        <is>
          <t>1</t>
        </is>
      </c>
      <c r="F4089" t="inlineStr">
        <is>
          <t>105</t>
        </is>
      </c>
      <c r="G4089" t="inlineStr">
        <is>
          <t>8</t>
        </is>
      </c>
      <c r="H4089" t="inlineStr">
        <is>
          <t>0</t>
        </is>
      </c>
      <c r="I4089" t="inlineStr">
        <is>
          <t>70³</t>
        </is>
      </c>
      <c r="J4089" t="n">
        <v>3</v>
      </c>
      <c r="K4089" t="inlineStr">
        <is>
          <t>3¹, 6³, 12¹, 24³</t>
        </is>
      </c>
      <c r="L4089" t="inlineStr">
        <is>
          <t>14E¹, 35A⁷</t>
        </is>
      </c>
      <c r="M4089" t="inlineStr"/>
      <c r="N4089" t="inlineStr">
        <is>
          <t>35A⁷, 5A⁰, 1A⁰, 7D⁰, 14E¹, 35A², 7A⁰</t>
        </is>
      </c>
      <c r="O4089" t="inlineStr"/>
    </row>
    <row r="4090">
      <c r="A4090">
        <f>HYPERLINK("https://mathstats.uncg.edu/sites/pauli/congruence/csg15.html#group70B15", "70B¹⁵")</f>
        <v/>
      </c>
      <c r="B4090" t="n">
        <v>15</v>
      </c>
      <c r="C4090" t="inlineStr"/>
      <c r="D4090" t="inlineStr">
        <is>
          <t>210</t>
        </is>
      </c>
      <c r="E4090" t="inlineStr">
        <is>
          <t>2</t>
        </is>
      </c>
      <c r="F4090" t="inlineStr">
        <is>
          <t>70</t>
        </is>
      </c>
      <c r="G4090" t="inlineStr">
        <is>
          <t>0</t>
        </is>
      </c>
      <c r="H4090" t="inlineStr">
        <is>
          <t>6</t>
        </is>
      </c>
      <c r="I4090" t="inlineStr">
        <is>
          <t>70³</t>
        </is>
      </c>
      <c r="J4090" t="n">
        <v>3</v>
      </c>
      <c r="K4090" t="inlineStr">
        <is>
          <t>4¹, 8², 12², 24⁴</t>
        </is>
      </c>
      <c r="L4090" t="inlineStr">
        <is>
          <t>10E⁰, 70A⁵</t>
        </is>
      </c>
      <c r="M4090" t="inlineStr"/>
      <c r="N4090" t="inlineStr">
        <is>
          <t>2A⁰, 5A⁰, 10A⁰, 10E⁰, 14A¹, 70A⁵, 1A⁰, 35A², 7A⁰</t>
        </is>
      </c>
      <c r="O4090" t="inlineStr"/>
    </row>
    <row r="4091">
      <c r="A4091">
        <f>HYPERLINK("https://mathstats.uncg.edu/sites/pauli/congruence/csg15.html#group70C15", "70C¹⁵")</f>
        <v/>
      </c>
      <c r="B4091" t="n">
        <v>15</v>
      </c>
      <c r="C4091" t="inlineStr"/>
      <c r="D4091" t="inlineStr">
        <is>
          <t>210</t>
        </is>
      </c>
      <c r="E4091" t="inlineStr">
        <is>
          <t>2</t>
        </is>
      </c>
      <c r="F4091" t="inlineStr">
        <is>
          <t>105</t>
        </is>
      </c>
      <c r="G4091" t="inlineStr">
        <is>
          <t>8</t>
        </is>
      </c>
      <c r="H4091" t="inlineStr">
        <is>
          <t>0</t>
        </is>
      </c>
      <c r="I4091" t="inlineStr">
        <is>
          <t>70³</t>
        </is>
      </c>
      <c r="J4091" t="n">
        <v>3</v>
      </c>
      <c r="K4091" t="inlineStr">
        <is>
          <t>2¹, 4¹, 6², 8³, 12², 24⁶</t>
        </is>
      </c>
      <c r="L4091" t="inlineStr">
        <is>
          <t>35B⁶</t>
        </is>
      </c>
      <c r="M4091" t="inlineStr"/>
      <c r="N4091" t="inlineStr">
        <is>
          <t>5E⁰, 5A⁰, 35B⁶, 1A⁰, 35A², 7A⁰</t>
        </is>
      </c>
      <c r="O4091" t="inlineStr"/>
    </row>
    <row r="4092">
      <c r="A4092">
        <f>HYPERLINK("https://mathstats.uncg.edu/sites/pauli/congruence/csg15.html#group70D15", "70D¹⁵")</f>
        <v/>
      </c>
      <c r="B4092" t="n">
        <v>15</v>
      </c>
      <c r="C4092" t="inlineStr"/>
      <c r="D4092" t="inlineStr">
        <is>
          <t>210</t>
        </is>
      </c>
      <c r="E4092" t="inlineStr">
        <is>
          <t>2</t>
        </is>
      </c>
      <c r="F4092" t="inlineStr">
        <is>
          <t>210</t>
        </is>
      </c>
      <c r="G4092" t="inlineStr">
        <is>
          <t>6</t>
        </is>
      </c>
      <c r="H4092" t="inlineStr">
        <is>
          <t>0</t>
        </is>
      </c>
      <c r="I4092" t="inlineStr">
        <is>
          <t>35², 70²</t>
        </is>
      </c>
      <c r="J4092" t="n">
        <v>4</v>
      </c>
      <c r="K4092" t="inlineStr">
        <is>
          <t>4³, 8⁶, 12⁶, 24¹²</t>
        </is>
      </c>
      <c r="L4092" t="inlineStr">
        <is>
          <t>10F¹, 14B¹, 35B⁴</t>
        </is>
      </c>
      <c r="M4092" t="inlineStr"/>
      <c r="N4092" t="inlineStr">
        <is>
          <t>14B¹, 35B⁴, 5C⁰, 2B⁰, 1A⁰, 7A⁰, 10F¹</t>
        </is>
      </c>
      <c r="O4092" t="inlineStr"/>
    </row>
    <row r="4093">
      <c r="A4093">
        <f>HYPERLINK("https://mathstats.uncg.edu/sites/pauli/congruence/csg15.html#group70E15", "70E¹⁵")</f>
        <v/>
      </c>
      <c r="B4093" t="n">
        <v>15</v>
      </c>
      <c r="C4093" t="inlineStr"/>
      <c r="D4093" t="inlineStr">
        <is>
          <t>252</t>
        </is>
      </c>
      <c r="E4093" t="inlineStr">
        <is>
          <t>1</t>
        </is>
      </c>
      <c r="F4093" t="inlineStr">
        <is>
          <t>126</t>
        </is>
      </c>
      <c r="G4093" t="inlineStr">
        <is>
          <t>16</t>
        </is>
      </c>
      <c r="H4093" t="inlineStr">
        <is>
          <t>0</t>
        </is>
      </c>
      <c r="I4093" t="inlineStr">
        <is>
          <t>14³, 70³</t>
        </is>
      </c>
      <c r="J4093" t="n">
        <v>6</v>
      </c>
      <c r="K4093" t="inlineStr">
        <is>
          <t>3², 6⁶, 12¹, 24³</t>
        </is>
      </c>
      <c r="L4093" t="inlineStr">
        <is>
          <t>14E¹, 35E⁶</t>
        </is>
      </c>
      <c r="M4093" t="inlineStr"/>
      <c r="N4093" t="inlineStr">
        <is>
          <t>35C², 14E¹, 7D⁰, 35E⁶, 5B⁰, 1A⁰, 7A⁰</t>
        </is>
      </c>
      <c r="O4093" t="inlineStr"/>
    </row>
    <row r="4094">
      <c r="A4094">
        <f>HYPERLINK("https://mathstats.uncg.edu/sites/pauli/congruence/csg15.html#group72A15", "72A¹⁵")</f>
        <v/>
      </c>
      <c r="B4094" t="n">
        <v>15</v>
      </c>
      <c r="C4094" t="inlineStr"/>
      <c r="D4094" t="inlineStr">
        <is>
          <t>192</t>
        </is>
      </c>
      <c r="E4094" t="inlineStr">
        <is>
          <t>1</t>
        </is>
      </c>
      <c r="F4094" t="inlineStr">
        <is>
          <t>16</t>
        </is>
      </c>
      <c r="G4094" t="inlineStr">
        <is>
          <t>0</t>
        </is>
      </c>
      <c r="H4094" t="inlineStr">
        <is>
          <t>0</t>
        </is>
      </c>
      <c r="I4094" t="inlineStr">
        <is>
          <t>24², 72²</t>
        </is>
      </c>
      <c r="J4094" t="n">
        <v>4</v>
      </c>
      <c r="K4094" t="inlineStr">
        <is>
          <t>2⁴, 4²</t>
        </is>
      </c>
      <c r="L4094" t="inlineStr">
        <is>
          <t>24F³, 36A⁷</t>
        </is>
      </c>
      <c r="M4094" t="inlineStr"/>
      <c r="N4094" t="inlineStr">
        <is>
          <t>3B⁰, 2A⁰, 18B², 12I¹, 4A⁰, 4D⁰, 12A¹, 6C⁰, 9A¹, 36C⁴, 1A⁰, 24F³, 36A⁷</t>
        </is>
      </c>
      <c r="O4094" t="inlineStr"/>
    </row>
    <row r="4095">
      <c r="A4095">
        <f>HYPERLINK("https://mathstats.uncg.edu/sites/pauli/congruence/csg15.html#group72B15", "72B¹⁵")</f>
        <v/>
      </c>
      <c r="B4095" t="n">
        <v>15</v>
      </c>
      <c r="C4095" t="inlineStr"/>
      <c r="D4095" t="inlineStr">
        <is>
          <t>192</t>
        </is>
      </c>
      <c r="E4095" t="inlineStr">
        <is>
          <t>1</t>
        </is>
      </c>
      <c r="F4095" t="inlineStr">
        <is>
          <t>16</t>
        </is>
      </c>
      <c r="G4095" t="inlineStr">
        <is>
          <t>0</t>
        </is>
      </c>
      <c r="H4095" t="inlineStr">
        <is>
          <t>0</t>
        </is>
      </c>
      <c r="I4095" t="inlineStr">
        <is>
          <t>24², 72²</t>
        </is>
      </c>
      <c r="J4095" t="n">
        <v>4</v>
      </c>
      <c r="K4095" t="inlineStr">
        <is>
          <t>2⁴, 4²</t>
        </is>
      </c>
      <c r="L4095" t="inlineStr">
        <is>
          <t>24G³, 36A⁷, 72A⁸</t>
        </is>
      </c>
      <c r="M4095" t="inlineStr"/>
      <c r="N4095" t="inlineStr">
        <is>
          <t>3B⁰, 2A⁰, 12I¹, 24A², 6C⁰, 8A⁰, 72A⁸, 8E⁰, 24G³, 1A⁰, 36A⁷, 18B², 4A⁰, 4D⁰, 12A¹, 9A¹, 36C⁴</t>
        </is>
      </c>
      <c r="O4095" t="inlineStr"/>
    </row>
    <row r="4096">
      <c r="A4096">
        <f>HYPERLINK("https://mathstats.uncg.edu/sites/pauli/congruence/csg15.html#group72C15", "72C¹⁵")</f>
        <v/>
      </c>
      <c r="B4096" t="n">
        <v>15</v>
      </c>
      <c r="C4096" t="inlineStr"/>
      <c r="D4096" t="inlineStr">
        <is>
          <t>192</t>
        </is>
      </c>
      <c r="E4096" t="inlineStr">
        <is>
          <t>1</t>
        </is>
      </c>
      <c r="F4096" t="inlineStr">
        <is>
          <t>32</t>
        </is>
      </c>
      <c r="G4096" t="inlineStr">
        <is>
          <t>0</t>
        </is>
      </c>
      <c r="H4096" t="inlineStr">
        <is>
          <t>0</t>
        </is>
      </c>
      <c r="I4096" t="inlineStr">
        <is>
          <t>24², 72²</t>
        </is>
      </c>
      <c r="J4096" t="n">
        <v>4</v>
      </c>
      <c r="K4096" t="inlineStr">
        <is>
          <t>4⁸</t>
        </is>
      </c>
      <c r="L4096" t="inlineStr">
        <is>
          <t>24F³, 36B⁷</t>
        </is>
      </c>
      <c r="M4096" t="inlineStr"/>
      <c r="N4096" t="inlineStr">
        <is>
          <t>2A⁰, 3B⁰, 12I¹, 4A⁰, 36B⁷, 4D⁰, 12A¹, 6C⁰, 18C², 1A⁰, 24F³</t>
        </is>
      </c>
      <c r="O4096" t="inlineStr"/>
    </row>
    <row r="4097">
      <c r="A4097">
        <f>HYPERLINK("https://mathstats.uncg.edu/sites/pauli/congruence/csg15.html#group72D15", "72D¹⁵")</f>
        <v/>
      </c>
      <c r="B4097" t="n">
        <v>15</v>
      </c>
      <c r="C4097" t="inlineStr"/>
      <c r="D4097" t="inlineStr">
        <is>
          <t>192</t>
        </is>
      </c>
      <c r="E4097" t="inlineStr">
        <is>
          <t>1</t>
        </is>
      </c>
      <c r="F4097" t="inlineStr">
        <is>
          <t>32</t>
        </is>
      </c>
      <c r="G4097" t="inlineStr">
        <is>
          <t>0</t>
        </is>
      </c>
      <c r="H4097" t="inlineStr">
        <is>
          <t>0</t>
        </is>
      </c>
      <c r="I4097" t="inlineStr">
        <is>
          <t>24², 72²</t>
        </is>
      </c>
      <c r="J4097" t="n">
        <v>4</v>
      </c>
      <c r="K4097" t="inlineStr">
        <is>
          <t>4⁸</t>
        </is>
      </c>
      <c r="L4097" t="inlineStr">
        <is>
          <t>24G³, 36B⁷</t>
        </is>
      </c>
      <c r="M4097" t="inlineStr"/>
      <c r="N4097" t="inlineStr">
        <is>
          <t>2A⁰, 3B⁰, 12I¹, 24A², 4A⁰, 36B⁷, 4D⁰, 12A¹, 6C⁰, 8A⁰, 8E⁰, 24G³, 1A⁰, 18C²</t>
        </is>
      </c>
      <c r="O4097" t="inlineStr"/>
    </row>
    <row r="4098">
      <c r="A4098">
        <f>HYPERLINK("https://mathstats.uncg.edu/sites/pauli/congruence/csg15.html#group72E15", "72E¹⁵")</f>
        <v/>
      </c>
      <c r="B4098" t="n">
        <v>15</v>
      </c>
      <c r="C4098" t="inlineStr"/>
      <c r="D4098" t="inlineStr">
        <is>
          <t>192</t>
        </is>
      </c>
      <c r="E4098" t="inlineStr">
        <is>
          <t>1</t>
        </is>
      </c>
      <c r="F4098" t="inlineStr">
        <is>
          <t>64</t>
        </is>
      </c>
      <c r="G4098" t="inlineStr">
        <is>
          <t>0</t>
        </is>
      </c>
      <c r="H4098" t="inlineStr">
        <is>
          <t>0</t>
        </is>
      </c>
      <c r="I4098" t="inlineStr">
        <is>
          <t>24², 72²</t>
        </is>
      </c>
      <c r="J4098" t="n">
        <v>4</v>
      </c>
      <c r="K4098" t="inlineStr">
        <is>
          <t>4⁸, 8⁴</t>
        </is>
      </c>
      <c r="L4098" t="inlineStr">
        <is>
          <t>24C⁴, 36C⁴</t>
        </is>
      </c>
      <c r="M4098" t="inlineStr"/>
      <c r="N4098" t="inlineStr">
        <is>
          <t>24C⁴, 3B⁰, 8F⁰, 4A⁰, 12A¹, 9A¹, 36C⁴, 1A⁰</t>
        </is>
      </c>
      <c r="O4098" t="inlineStr"/>
    </row>
    <row r="4099">
      <c r="A4099">
        <f>HYPERLINK("https://mathstats.uncg.edu/sites/pauli/congruence/csg15.html#group72F15", "72F¹⁵")</f>
        <v/>
      </c>
      <c r="B4099" t="n">
        <v>15</v>
      </c>
      <c r="C4099" t="inlineStr"/>
      <c r="D4099" t="inlineStr">
        <is>
          <t>216</t>
        </is>
      </c>
      <c r="E4099" t="inlineStr">
        <is>
          <t>1</t>
        </is>
      </c>
      <c r="F4099" t="inlineStr">
        <is>
          <t>18</t>
        </is>
      </c>
      <c r="G4099" t="inlineStr">
        <is>
          <t>0</t>
        </is>
      </c>
      <c r="H4099" t="inlineStr">
        <is>
          <t>0</t>
        </is>
      </c>
      <c r="I4099" t="inlineStr">
        <is>
          <t>9⁴, 18², 72²</t>
        </is>
      </c>
      <c r="J4099" t="n">
        <v>8</v>
      </c>
      <c r="K4099" t="inlineStr">
        <is>
          <t>1⁴, 2⁵, 4¹</t>
        </is>
      </c>
      <c r="L4099" t="inlineStr">
        <is>
          <t>24K³, 36C⁷, 72E⁸</t>
        </is>
      </c>
      <c r="M4099" t="inlineStr"/>
      <c r="N4099" t="inlineStr">
        <is>
          <t>72E⁸, 12K¹, 6G⁰, 2B⁰, 4B⁰, 1A⁰, 36C⁷, 9D⁰, 9A⁰, 36D⁴, 24D², 3C⁰, 12B¹, 24K³, 12D⁰, 18E¹, 3A⁰, 36D³, 18I², 6D⁰</t>
        </is>
      </c>
      <c r="O4099" t="inlineStr"/>
    </row>
    <row r="4100">
      <c r="A4100">
        <f>HYPERLINK("https://mathstats.uncg.edu/sites/pauli/congruence/csg15.html#group72G15", "72G¹⁵")</f>
        <v/>
      </c>
      <c r="B4100" t="n">
        <v>15</v>
      </c>
      <c r="C4100" t="inlineStr"/>
      <c r="D4100" t="inlineStr">
        <is>
          <t>216</t>
        </is>
      </c>
      <c r="E4100" t="inlineStr">
        <is>
          <t>1</t>
        </is>
      </c>
      <c r="F4100" t="inlineStr">
        <is>
          <t>18</t>
        </is>
      </c>
      <c r="G4100" t="inlineStr">
        <is>
          <t>0</t>
        </is>
      </c>
      <c r="H4100" t="inlineStr">
        <is>
          <t>0</t>
        </is>
      </c>
      <c r="I4100" t="inlineStr">
        <is>
          <t>9⁴, 18², 72²</t>
        </is>
      </c>
      <c r="J4100" t="n">
        <v>8</v>
      </c>
      <c r="K4100" t="inlineStr">
        <is>
          <t>1⁴, 2⁵, 4¹</t>
        </is>
      </c>
      <c r="L4100" t="inlineStr">
        <is>
          <t>24L³, 36C⁷, 72B⁸, 72C⁸</t>
        </is>
      </c>
      <c r="M4100" t="inlineStr"/>
      <c r="N4100" t="inlineStr">
        <is>
          <t>12K¹, 72B⁸, 6G⁰, 2B⁰, 8C⁰, 4B⁰, 1A⁰, 24B², 36C⁷, 9D⁰, 72C⁸, 9A⁰, 24D², 36D⁴, 3C⁰, 12B¹, 12D⁰, 18E¹, 3A⁰, 24L³, 36D³, 18I², 6D⁰</t>
        </is>
      </c>
      <c r="O4100" t="inlineStr"/>
    </row>
    <row r="4101">
      <c r="A4101">
        <f>HYPERLINK("https://mathstats.uncg.edu/sites/pauli/congruence/csg15.html#group72H15", "72H¹⁵")</f>
        <v/>
      </c>
      <c r="B4101" t="n">
        <v>15</v>
      </c>
      <c r="C4101" t="inlineStr"/>
      <c r="D4101" t="inlineStr">
        <is>
          <t>216</t>
        </is>
      </c>
      <c r="E4101" t="inlineStr">
        <is>
          <t>1</t>
        </is>
      </c>
      <c r="F4101" t="inlineStr">
        <is>
          <t>54</t>
        </is>
      </c>
      <c r="G4101" t="inlineStr">
        <is>
          <t>0</t>
        </is>
      </c>
      <c r="H4101" t="inlineStr">
        <is>
          <t>0</t>
        </is>
      </c>
      <c r="I4101" t="inlineStr">
        <is>
          <t>12³, 24³, 36¹, 72¹</t>
        </is>
      </c>
      <c r="J4101" t="n">
        <v>8</v>
      </c>
      <c r="K4101" t="inlineStr">
        <is>
          <t>1³, 2³, 3³, 6⁶</t>
        </is>
      </c>
      <c r="L4101" t="inlineStr">
        <is>
          <t>24C⁵, 36I⁵</t>
        </is>
      </c>
      <c r="M4101" t="inlineStr"/>
      <c r="N4101" t="inlineStr">
        <is>
          <t>36I⁵, 12C⁰, 12C¹, 24C⁵, 18I¹, 12L¹, 4C⁰, 6G⁰, 3C⁰, 2B⁰, 24C², 9E⁰, 3A⁰, 1A⁰, 6D⁰</t>
        </is>
      </c>
      <c r="O4101" t="inlineStr"/>
    </row>
    <row r="4102">
      <c r="A4102">
        <f>HYPERLINK("https://mathstats.uncg.edu/sites/pauli/congruence/csg15.html#group72I15", "72I¹⁵")</f>
        <v/>
      </c>
      <c r="B4102" t="n">
        <v>15</v>
      </c>
      <c r="C4102" t="inlineStr"/>
      <c r="D4102" t="inlineStr">
        <is>
          <t>216</t>
        </is>
      </c>
      <c r="E4102" t="inlineStr">
        <is>
          <t>1</t>
        </is>
      </c>
      <c r="F4102" t="inlineStr">
        <is>
          <t>54</t>
        </is>
      </c>
      <c r="G4102" t="inlineStr">
        <is>
          <t>0</t>
        </is>
      </c>
      <c r="H4102" t="inlineStr">
        <is>
          <t>0</t>
        </is>
      </c>
      <c r="I4102" t="inlineStr">
        <is>
          <t>12³, 24³, 36¹, 72¹</t>
        </is>
      </c>
      <c r="J4102" t="n">
        <v>8</v>
      </c>
      <c r="K4102" t="inlineStr">
        <is>
          <t>1³, 2³, 3³, 6⁶</t>
        </is>
      </c>
      <c r="L4102" t="inlineStr">
        <is>
          <t>24E⁵, 36I⁵</t>
        </is>
      </c>
      <c r="M4102" t="inlineStr"/>
      <c r="N4102" t="inlineStr">
        <is>
          <t>36I⁵, 24A³, 12C⁰, 8A¹, 18I¹, 4C⁰, 24D¹, 6G⁰, 2B⁰, 9E⁰, 24E⁵, 12L¹, 1A⁰, 12C¹, 3C⁰, 3A⁰, 6D⁰</t>
        </is>
      </c>
      <c r="O4102" t="inlineStr"/>
    </row>
    <row r="4103">
      <c r="A4103">
        <f>HYPERLINK("https://mathstats.uncg.edu/sites/pauli/congruence/csg15.html#group72J15", "72J¹⁵")</f>
        <v/>
      </c>
      <c r="B4103" t="n">
        <v>15</v>
      </c>
      <c r="C4103" t="inlineStr"/>
      <c r="D4103" t="inlineStr">
        <is>
          <t>216</t>
        </is>
      </c>
      <c r="E4103" t="inlineStr">
        <is>
          <t>1</t>
        </is>
      </c>
      <c r="F4103" t="inlineStr">
        <is>
          <t>54</t>
        </is>
      </c>
      <c r="G4103" t="inlineStr">
        <is>
          <t>8</t>
        </is>
      </c>
      <c r="H4103" t="inlineStr">
        <is>
          <t>0</t>
        </is>
      </c>
      <c r="I4103" t="inlineStr">
        <is>
          <t>36², 72²</t>
        </is>
      </c>
      <c r="J4103" t="n">
        <v>4</v>
      </c>
      <c r="K4103" t="inlineStr">
        <is>
          <t>1², 2⁴, 4², 6², 12²</t>
        </is>
      </c>
      <c r="L4103" t="inlineStr">
        <is>
          <t>24P³, 36F⁶, 72D⁶, 72B⁷</t>
        </is>
      </c>
      <c r="M4103" t="inlineStr"/>
      <c r="N4103" t="inlineStr">
        <is>
          <t>24E¹, 12C⁰, 36B², 24D¹, 4C⁰, 2B⁰, 24P³, 1A⁰, 36A¹, 36F⁶, 12A⁰, 72D⁶, 4A⁰, 9A⁰, 72B⁷, 12J¹, 4F⁰, 18E¹, 3A⁰, 6D⁰</t>
        </is>
      </c>
      <c r="O4103" t="inlineStr"/>
    </row>
    <row r="4104">
      <c r="A4104">
        <f>HYPERLINK("https://mathstats.uncg.edu/sites/pauli/congruence/csg15.html#group72K15", "72K¹⁵")</f>
        <v/>
      </c>
      <c r="B4104" t="n">
        <v>15</v>
      </c>
      <c r="C4104" t="inlineStr"/>
      <c r="D4104" t="inlineStr">
        <is>
          <t>216</t>
        </is>
      </c>
      <c r="E4104" t="inlineStr">
        <is>
          <t>1</t>
        </is>
      </c>
      <c r="F4104" t="inlineStr">
        <is>
          <t>54</t>
        </is>
      </c>
      <c r="G4104" t="inlineStr">
        <is>
          <t>8</t>
        </is>
      </c>
      <c r="H4104" t="inlineStr">
        <is>
          <t>0</t>
        </is>
      </c>
      <c r="I4104" t="inlineStr">
        <is>
          <t>36², 72²</t>
        </is>
      </c>
      <c r="J4104" t="n">
        <v>4</v>
      </c>
      <c r="K4104" t="inlineStr">
        <is>
          <t>1², 2⁴, 4², 6², 12²</t>
        </is>
      </c>
      <c r="L4104" t="inlineStr">
        <is>
          <t>24Q³, 36E⁶, 72C⁶, 72B⁷</t>
        </is>
      </c>
      <c r="M4104" t="inlineStr"/>
      <c r="N4104" t="inlineStr">
        <is>
          <t>24Q³, 12C⁰, 36E⁶, 8D⁰, 36B², 24D¹, 4C⁰, 2B⁰, 12M¹, 1A⁰, 72C⁶, 9A⁰, 72B⁷, 24C¹, 18E¹, 3A⁰, 6D⁰</t>
        </is>
      </c>
      <c r="O4104" t="inlineStr"/>
    </row>
    <row r="4105">
      <c r="A4105">
        <f>HYPERLINK("https://mathstats.uncg.edu/sites/pauli/congruence/csg15.html#group72L15", "72L¹⁵")</f>
        <v/>
      </c>
      <c r="B4105" t="n">
        <v>15</v>
      </c>
      <c r="C4105" t="inlineStr"/>
      <c r="D4105" t="inlineStr">
        <is>
          <t>216</t>
        </is>
      </c>
      <c r="E4105" t="inlineStr">
        <is>
          <t>1</t>
        </is>
      </c>
      <c r="F4105" t="inlineStr">
        <is>
          <t>108</t>
        </is>
      </c>
      <c r="G4105" t="inlineStr">
        <is>
          <t>10</t>
        </is>
      </c>
      <c r="H4105" t="inlineStr">
        <is>
          <t>0</t>
        </is>
      </c>
      <c r="I4105" t="inlineStr">
        <is>
          <t>72³</t>
        </is>
      </c>
      <c r="J4105" t="n">
        <v>3</v>
      </c>
      <c r="K4105" t="inlineStr">
        <is>
          <t>2², 4⁴, 8², 12², 24²</t>
        </is>
      </c>
      <c r="L4105" t="inlineStr">
        <is>
          <t>24H⁴, 72A⁴, 36F⁶</t>
        </is>
      </c>
      <c r="M4105" t="inlineStr"/>
      <c r="N4105" t="inlineStr">
        <is>
          <t>12C⁰, 36B², 4C⁰, 8A⁰, 2B⁰, 1A⁰, 8D¹, 72A⁴, 36A¹, 36F⁶, 24H⁴, 12A⁰, 24A¹, 4A⁰, 9A⁰, 12J¹, 4F⁰, 18E¹, 3A⁰, 6D⁰</t>
        </is>
      </c>
      <c r="O4105" t="inlineStr"/>
    </row>
    <row r="4106">
      <c r="A4106">
        <f>HYPERLINK("https://mathstats.uncg.edu/sites/pauli/congruence/csg15.html#group72M15", "72M¹⁵")</f>
        <v/>
      </c>
      <c r="B4106" t="n">
        <v>15</v>
      </c>
      <c r="C4106" t="inlineStr"/>
      <c r="D4106" t="inlineStr">
        <is>
          <t>216</t>
        </is>
      </c>
      <c r="E4106" t="inlineStr">
        <is>
          <t>1</t>
        </is>
      </c>
      <c r="F4106" t="inlineStr">
        <is>
          <t>108</t>
        </is>
      </c>
      <c r="G4106" t="inlineStr">
        <is>
          <t>10</t>
        </is>
      </c>
      <c r="H4106" t="inlineStr">
        <is>
          <t>0</t>
        </is>
      </c>
      <c r="I4106" t="inlineStr">
        <is>
          <t>72³</t>
        </is>
      </c>
      <c r="J4106" t="n">
        <v>3</v>
      </c>
      <c r="K4106" t="inlineStr">
        <is>
          <t>2², 4⁴, 8², 12², 24²</t>
        </is>
      </c>
      <c r="L4106" t="inlineStr">
        <is>
          <t>24O⁴, 72B⁴, 36F⁶</t>
        </is>
      </c>
      <c r="M4106" t="inlineStr"/>
      <c r="N4106" t="inlineStr">
        <is>
          <t>24O⁴, 12C⁰, 72B⁴, 4C⁰, 36B², 2B⁰, 24B¹, 1A⁰, 36A¹, 36F⁶, 12A⁰, 4A⁰, 9A⁰, 12J¹, 4F⁰, 18E¹, 3A⁰, 6D⁰</t>
        </is>
      </c>
      <c r="O4106" t="inlineStr"/>
    </row>
    <row r="4107">
      <c r="A4107">
        <f>HYPERLINK("https://mathstats.uncg.edu/sites/pauli/congruence/csg15.html#group72N15", "72N¹⁵")</f>
        <v/>
      </c>
      <c r="B4107" t="n">
        <v>15</v>
      </c>
      <c r="C4107" t="inlineStr"/>
      <c r="D4107" t="inlineStr">
        <is>
          <t>216</t>
        </is>
      </c>
      <c r="E4107" t="inlineStr">
        <is>
          <t>2</t>
        </is>
      </c>
      <c r="F4107" t="inlineStr">
        <is>
          <t>27</t>
        </is>
      </c>
      <c r="G4107" t="inlineStr">
        <is>
          <t>8</t>
        </is>
      </c>
      <c r="H4107" t="inlineStr">
        <is>
          <t>0</t>
        </is>
      </c>
      <c r="I4107" t="inlineStr">
        <is>
          <t>36², 72²</t>
        </is>
      </c>
      <c r="J4107" t="n">
        <v>4</v>
      </c>
      <c r="K4107" t="inlineStr">
        <is>
          <t>2⁹, 6⁶</t>
        </is>
      </c>
      <c r="L4107" t="inlineStr">
        <is>
          <t>24H³, 72A⁵, 36E⁷, 72B⁷</t>
        </is>
      </c>
      <c r="M4107" t="inlineStr"/>
      <c r="N4107" t="inlineStr">
        <is>
          <t>12C⁰, 4C⁰, 24D¹, 36B², 6G⁰, 36E⁴, 72A⁵, 2B⁰, 12L¹, 1A⁰, 9B¹, 18E³, 12C¹, 24H³, 9A⁰, 36E⁷, 72B⁷, 3C⁰, 18E¹, 3A⁰, 6D⁰</t>
        </is>
      </c>
      <c r="O4107" t="inlineStr"/>
    </row>
    <row r="4108">
      <c r="A4108">
        <f>HYPERLINK("https://mathstats.uncg.edu/sites/pauli/congruence/csg15.html#group72O15", "72O¹⁵")</f>
        <v/>
      </c>
      <c r="B4108" t="n">
        <v>15</v>
      </c>
      <c r="C4108" t="inlineStr"/>
      <c r="D4108" t="inlineStr">
        <is>
          <t>216</t>
        </is>
      </c>
      <c r="E4108" t="inlineStr">
        <is>
          <t>2</t>
        </is>
      </c>
      <c r="F4108" t="inlineStr">
        <is>
          <t>27</t>
        </is>
      </c>
      <c r="G4108" t="inlineStr">
        <is>
          <t>8</t>
        </is>
      </c>
      <c r="H4108" t="inlineStr">
        <is>
          <t>0</t>
        </is>
      </c>
      <c r="I4108" t="inlineStr">
        <is>
          <t>36², 72²</t>
        </is>
      </c>
      <c r="J4108" t="n">
        <v>4</v>
      </c>
      <c r="K4108" t="inlineStr">
        <is>
          <t>2⁹, 6⁶</t>
        </is>
      </c>
      <c r="L4108" t="inlineStr">
        <is>
          <t>24I³, 72E⁴, 36E⁷, 72D⁸</t>
        </is>
      </c>
      <c r="M4108" t="inlineStr"/>
      <c r="N4108" t="inlineStr">
        <is>
          <t>12C⁰, 72E⁴, 4C⁰, 36B², 24I³, 8B⁰, 6G⁰, 36E⁴, 2B⁰, 24C², 1A⁰, 12L¹, 9B¹, 18E³, 12C¹, 24A⁰, 9A⁰, 36E⁷, 3C⁰, 72D⁸, 18E¹, 3A⁰, 6D⁰</t>
        </is>
      </c>
      <c r="O4108" t="inlineStr"/>
    </row>
    <row r="4109">
      <c r="A4109">
        <f>HYPERLINK("https://mathstats.uncg.edu/sites/pauli/congruence/csg15.html#group72P15", "72P¹⁵")</f>
        <v/>
      </c>
      <c r="B4109" t="n">
        <v>15</v>
      </c>
      <c r="C4109" t="inlineStr"/>
      <c r="D4109" t="inlineStr">
        <is>
          <t>216</t>
        </is>
      </c>
      <c r="E4109" t="inlineStr">
        <is>
          <t>2</t>
        </is>
      </c>
      <c r="F4109" t="inlineStr">
        <is>
          <t>27</t>
        </is>
      </c>
      <c r="G4109" t="inlineStr">
        <is>
          <t>8</t>
        </is>
      </c>
      <c r="H4109" t="inlineStr">
        <is>
          <t>0</t>
        </is>
      </c>
      <c r="I4109" t="inlineStr">
        <is>
          <t>36², 72²</t>
        </is>
      </c>
      <c r="J4109" t="n">
        <v>4</v>
      </c>
      <c r="K4109" t="inlineStr">
        <is>
          <t>2⁹, 6⁶</t>
        </is>
      </c>
      <c r="L4109" t="inlineStr">
        <is>
          <t>24S³, 36R⁴, 72B⁷, 72D⁸</t>
        </is>
      </c>
      <c r="M4109" t="inlineStr"/>
      <c r="N4109" t="inlineStr">
        <is>
          <t>6B⁰, 12C⁰, 6H⁰, 36B², 24D¹, 4C⁰, 36R⁴, 2B⁰, 24C², 12H⁰, 1A⁰, 18A⁰, 18L², 24S³, 9A⁰, 72B⁷, 72D⁸, 12D⁰, 18E¹, 3A⁰, 6D⁰, 36C²</t>
        </is>
      </c>
      <c r="O4109" t="inlineStr"/>
    </row>
    <row r="4110">
      <c r="A4110">
        <f>HYPERLINK("https://mathstats.uncg.edu/sites/pauli/congruence/csg15.html#group72Q15", "72Q¹⁵")</f>
        <v/>
      </c>
      <c r="B4110" t="n">
        <v>15</v>
      </c>
      <c r="C4110" t="inlineStr"/>
      <c r="D4110" t="inlineStr">
        <is>
          <t>216</t>
        </is>
      </c>
      <c r="E4110" t="inlineStr">
        <is>
          <t>2</t>
        </is>
      </c>
      <c r="F4110" t="inlineStr">
        <is>
          <t>27</t>
        </is>
      </c>
      <c r="G4110" t="inlineStr">
        <is>
          <t>8</t>
        </is>
      </c>
      <c r="H4110" t="inlineStr">
        <is>
          <t>0</t>
        </is>
      </c>
      <c r="I4110" t="inlineStr">
        <is>
          <t>36², 72²</t>
        </is>
      </c>
      <c r="J4110" t="n">
        <v>4</v>
      </c>
      <c r="K4110" t="inlineStr">
        <is>
          <t>2⁹, 6⁶</t>
        </is>
      </c>
      <c r="L4110" t="inlineStr">
        <is>
          <t>24S³, 72A⁵, 36C⁶, 72D⁸</t>
        </is>
      </c>
      <c r="M4110" t="inlineStr"/>
      <c r="N4110" t="inlineStr">
        <is>
          <t>6B⁰, 12C⁰, 6H⁰, 36B², 4C⁰, 24D¹, 18B¹, 72A⁵, 2B⁰, 24C², 12H⁰, 1A⁰, 18D³, 24S³, 36C⁶, 9A⁰, 72D⁸, 12D⁰, 18E¹, 3A⁰, 36D³, 18A¹, 6D⁰</t>
        </is>
      </c>
      <c r="O4110" t="inlineStr"/>
    </row>
    <row r="4111">
      <c r="A4111">
        <f>HYPERLINK("https://mathstats.uncg.edu/sites/pauli/congruence/csg15.html#group72R15", "72R¹⁵")</f>
        <v/>
      </c>
      <c r="B4111" t="n">
        <v>15</v>
      </c>
      <c r="C4111" t="inlineStr"/>
      <c r="D4111" t="inlineStr">
        <is>
          <t>216</t>
        </is>
      </c>
      <c r="E4111" t="inlineStr">
        <is>
          <t>2</t>
        </is>
      </c>
      <c r="F4111" t="inlineStr">
        <is>
          <t>54</t>
        </is>
      </c>
      <c r="G4111" t="inlineStr">
        <is>
          <t>0</t>
        </is>
      </c>
      <c r="H4111" t="inlineStr">
        <is>
          <t>0</t>
        </is>
      </c>
      <c r="I4111" t="inlineStr">
        <is>
          <t>9⁴, 18², 72²</t>
        </is>
      </c>
      <c r="J4111" t="n">
        <v>8</v>
      </c>
      <c r="K4111" t="inlineStr">
        <is>
          <t>2¹², 4³, 6⁸, 12²</t>
        </is>
      </c>
      <c r="L4111" t="inlineStr">
        <is>
          <t>24K³, 36D⁷, 72C⁸, 72E⁸</t>
        </is>
      </c>
      <c r="M4111" t="inlineStr"/>
      <c r="N4111" t="inlineStr">
        <is>
          <t>72E⁸, 12K¹, 6G⁰, 2B⁰, 4B⁰, 36D⁷, 1A⁰, 9B¹, 18E³, 72C⁸, 9A⁰, 36D⁴, 24D², 3C⁰, 12B¹, 24K³, 12D⁰, 18E¹, 3A⁰, 6D⁰, 36C²</t>
        </is>
      </c>
      <c r="O4111" t="inlineStr"/>
    </row>
    <row r="4112">
      <c r="A4112">
        <f>HYPERLINK("https://mathstats.uncg.edu/sites/pauli/congruence/csg15.html#group72S15", "72S¹⁵")</f>
        <v/>
      </c>
      <c r="B4112" t="n">
        <v>15</v>
      </c>
      <c r="C4112" t="inlineStr"/>
      <c r="D4112" t="inlineStr">
        <is>
          <t>216</t>
        </is>
      </c>
      <c r="E4112" t="inlineStr">
        <is>
          <t>2</t>
        </is>
      </c>
      <c r="F4112" t="inlineStr">
        <is>
          <t>54</t>
        </is>
      </c>
      <c r="G4112" t="inlineStr">
        <is>
          <t>0</t>
        </is>
      </c>
      <c r="H4112" t="inlineStr">
        <is>
          <t>0</t>
        </is>
      </c>
      <c r="I4112" t="inlineStr">
        <is>
          <t>9⁴, 18², 72²</t>
        </is>
      </c>
      <c r="J4112" t="n">
        <v>8</v>
      </c>
      <c r="K4112" t="inlineStr">
        <is>
          <t>2¹², 4³, 6⁸, 12²</t>
        </is>
      </c>
      <c r="L4112" t="inlineStr">
        <is>
          <t>24L³, 36D⁷, 72B⁸, 72E⁸</t>
        </is>
      </c>
      <c r="M4112" t="inlineStr"/>
      <c r="N4112" t="inlineStr">
        <is>
          <t>72E⁸, 12K¹, 72B⁸, 6G⁰, 2B⁰, 8C⁰, 4B⁰, 36D⁷, 1A⁰, 9B¹, 18E³, 24B², 9A⁰, 36D⁴, 24D², 3C⁰, 12B¹, 12D⁰, 18E¹, 3A⁰, 24L³, 6D⁰, 36C²</t>
        </is>
      </c>
      <c r="O4112" t="inlineStr"/>
    </row>
    <row r="4113">
      <c r="A4113">
        <f>HYPERLINK("https://mathstats.uncg.edu/sites/pauli/congruence/csg15.html#group72T15", "72T¹⁵")</f>
        <v/>
      </c>
      <c r="B4113" t="n">
        <v>15</v>
      </c>
      <c r="C4113" t="inlineStr"/>
      <c r="D4113" t="inlineStr">
        <is>
          <t>216</t>
        </is>
      </c>
      <c r="E4113" t="inlineStr">
        <is>
          <t>2</t>
        </is>
      </c>
      <c r="F4113" t="inlineStr">
        <is>
          <t>54</t>
        </is>
      </c>
      <c r="G4113" t="inlineStr">
        <is>
          <t>4</t>
        </is>
      </c>
      <c r="H4113" t="inlineStr">
        <is>
          <t>0</t>
        </is>
      </c>
      <c r="I4113" t="inlineStr">
        <is>
          <t>18⁴, 72²</t>
        </is>
      </c>
      <c r="J4113" t="n">
        <v>6</v>
      </c>
      <c r="K4113" t="inlineStr">
        <is>
          <t>4⁹, 12⁶</t>
        </is>
      </c>
      <c r="L4113" t="inlineStr">
        <is>
          <t>24M³, 36H⁶</t>
        </is>
      </c>
      <c r="M4113" t="inlineStr"/>
      <c r="N4113" t="inlineStr">
        <is>
          <t>6G⁰, 24M³, 2B⁰, 1A⁰, 9B¹, 18E³, 36H⁶, 12G⁰, 9A⁰, 3C⁰, 12D⁰, 18E¹, 3A⁰, 36D³, 6D⁰, 36C²</t>
        </is>
      </c>
      <c r="O4113" t="inlineStr"/>
    </row>
    <row r="4114">
      <c r="A4114">
        <f>HYPERLINK("https://mathstats.uncg.edu/sites/pauli/congruence/csg15.html#group72U15", "72U¹⁵")</f>
        <v/>
      </c>
      <c r="B4114" t="n">
        <v>15</v>
      </c>
      <c r="C4114" t="inlineStr"/>
      <c r="D4114" t="inlineStr">
        <is>
          <t>216</t>
        </is>
      </c>
      <c r="E4114" t="inlineStr">
        <is>
          <t>2</t>
        </is>
      </c>
      <c r="F4114" t="inlineStr">
        <is>
          <t>54</t>
        </is>
      </c>
      <c r="G4114" t="inlineStr">
        <is>
          <t>4</t>
        </is>
      </c>
      <c r="H4114" t="inlineStr">
        <is>
          <t>0</t>
        </is>
      </c>
      <c r="I4114" t="inlineStr">
        <is>
          <t>18⁴, 72²</t>
        </is>
      </c>
      <c r="J4114" t="n">
        <v>6</v>
      </c>
      <c r="K4114" t="inlineStr">
        <is>
          <t>2⁶, 4⁶, 6⁴, 12⁴</t>
        </is>
      </c>
      <c r="L4114" t="inlineStr">
        <is>
          <t>24N³, 72D⁶, 72E⁶, 36E⁷</t>
        </is>
      </c>
      <c r="M4114" t="inlineStr"/>
      <c r="N4114" t="inlineStr">
        <is>
          <t>24E¹, 12C⁰, 36B², 4C⁰, 6G⁰, 36E⁴, 2B⁰, 1A⁰, 12L¹, 9B¹, 18E³, 72E⁶, 12C¹, 72D⁶, 24N³, 9A⁰, 36E⁷, 3C⁰, 18E¹, 3A⁰, 6D⁰</t>
        </is>
      </c>
      <c r="O4114" t="inlineStr"/>
    </row>
    <row r="4115">
      <c r="A4115">
        <f>HYPERLINK("https://mathstats.uncg.edu/sites/pauli/congruence/csg15.html#group72V15", "72V¹⁵")</f>
        <v/>
      </c>
      <c r="B4115" t="n">
        <v>15</v>
      </c>
      <c r="C4115" t="inlineStr"/>
      <c r="D4115" t="inlineStr">
        <is>
          <t>216</t>
        </is>
      </c>
      <c r="E4115" t="inlineStr">
        <is>
          <t>2</t>
        </is>
      </c>
      <c r="F4115" t="inlineStr">
        <is>
          <t>54</t>
        </is>
      </c>
      <c r="G4115" t="inlineStr">
        <is>
          <t>4</t>
        </is>
      </c>
      <c r="H4115" t="inlineStr">
        <is>
          <t>0</t>
        </is>
      </c>
      <c r="I4115" t="inlineStr">
        <is>
          <t>18⁴, 72²</t>
        </is>
      </c>
      <c r="J4115" t="n">
        <v>6</v>
      </c>
      <c r="K4115" t="inlineStr">
        <is>
          <t>2⁶, 4⁶, 6⁴, 12⁴</t>
        </is>
      </c>
      <c r="L4115" t="inlineStr">
        <is>
          <t>24O³, 72C⁶, 72E⁶, 36E⁷</t>
        </is>
      </c>
      <c r="M4115" t="inlineStr"/>
      <c r="N4115" t="inlineStr">
        <is>
          <t>24E¹, 12C⁰, 8D⁰, 36B², 4C⁰, 6G⁰, 36E⁴, 2B⁰, 1A⁰, 24O³, 12L¹, 9B¹, 18E³, 72C⁶, 72E⁶, 12C¹, 9A⁰, 36E⁷, 24C¹, 3C⁰, 18E¹, 3A⁰, 6D⁰</t>
        </is>
      </c>
      <c r="O4115" t="inlineStr"/>
    </row>
    <row r="4116">
      <c r="A4116">
        <f>HYPERLINK("https://mathstats.uncg.edu/sites/pauli/congruence/csg15.html#group72W15", "72W¹⁵")</f>
        <v/>
      </c>
      <c r="B4116" t="n">
        <v>15</v>
      </c>
      <c r="C4116" t="inlineStr"/>
      <c r="D4116" t="inlineStr">
        <is>
          <t>216</t>
        </is>
      </c>
      <c r="E4116" t="inlineStr">
        <is>
          <t>2</t>
        </is>
      </c>
      <c r="F4116" t="inlineStr">
        <is>
          <t>54</t>
        </is>
      </c>
      <c r="G4116" t="inlineStr">
        <is>
          <t>8</t>
        </is>
      </c>
      <c r="H4116" t="inlineStr">
        <is>
          <t>0</t>
        </is>
      </c>
      <c r="I4116" t="inlineStr">
        <is>
          <t>36², 72²</t>
        </is>
      </c>
      <c r="J4116" t="n">
        <v>4</v>
      </c>
      <c r="K4116" t="inlineStr">
        <is>
          <t>2⁶, 4⁶, 6⁴, 12⁴</t>
        </is>
      </c>
      <c r="L4116" t="inlineStr">
        <is>
          <t>24T³, 36I⁶, 72E⁶, 72B⁷</t>
        </is>
      </c>
      <c r="M4116" t="inlineStr"/>
      <c r="N4116" t="inlineStr">
        <is>
          <t>24E¹, 12C⁰, 72E⁶, 36I⁶, 9A⁰, 36B², 24D¹, 72B⁷, 24T³, 4C⁰, 2B⁰, 12M¹, 18E¹, 3A⁰, 1A⁰, 6D⁰</t>
        </is>
      </c>
      <c r="O4116" t="inlineStr"/>
    </row>
    <row r="4117">
      <c r="A4117">
        <f>HYPERLINK("https://mathstats.uncg.edu/sites/pauli/congruence/csg15.html#group72X15", "72X¹⁵")</f>
        <v/>
      </c>
      <c r="B4117" t="n">
        <v>15</v>
      </c>
      <c r="C4117" t="inlineStr"/>
      <c r="D4117" t="inlineStr">
        <is>
          <t>216</t>
        </is>
      </c>
      <c r="E4117" t="inlineStr">
        <is>
          <t>2</t>
        </is>
      </c>
      <c r="F4117" t="inlineStr">
        <is>
          <t>108</t>
        </is>
      </c>
      <c r="G4117" t="inlineStr">
        <is>
          <t>10</t>
        </is>
      </c>
      <c r="H4117" t="inlineStr">
        <is>
          <t>0</t>
        </is>
      </c>
      <c r="I4117" t="inlineStr">
        <is>
          <t>72³</t>
        </is>
      </c>
      <c r="J4117" t="n">
        <v>3</v>
      </c>
      <c r="K4117" t="inlineStr">
        <is>
          <t>4⁶, 8⁶, 12⁴, 24⁴</t>
        </is>
      </c>
      <c r="L4117" t="inlineStr">
        <is>
          <t>24O⁴, 72C⁴, 72D⁴, 36F⁶</t>
        </is>
      </c>
      <c r="M4117" t="inlineStr"/>
      <c r="N4117" t="inlineStr">
        <is>
          <t>24O⁴, 12C⁰, 4C⁰, 36B², 72C⁴, 2B⁰, 24B¹, 72D⁴, 1A⁰, 36A¹, 36F⁶, 12A⁰, 4A⁰, 9A⁰, 12J¹, 4F⁰, 18E¹, 3A⁰, 6D⁰</t>
        </is>
      </c>
      <c r="O4117" t="inlineStr"/>
    </row>
    <row r="4118">
      <c r="A4118">
        <f>HYPERLINK("https://mathstats.uncg.edu/sites/pauli/congruence/csg15.html#group72Y15", "72Y¹⁵")</f>
        <v/>
      </c>
      <c r="B4118" t="n">
        <v>15</v>
      </c>
      <c r="C4118" t="inlineStr"/>
      <c r="D4118" t="inlineStr">
        <is>
          <t>288</t>
        </is>
      </c>
      <c r="E4118" t="inlineStr">
        <is>
          <t>1</t>
        </is>
      </c>
      <c r="F4118" t="inlineStr">
        <is>
          <t>48</t>
        </is>
      </c>
      <c r="G4118" t="inlineStr">
        <is>
          <t>0</t>
        </is>
      </c>
      <c r="H4118" t="inlineStr">
        <is>
          <t>0</t>
        </is>
      </c>
      <c r="I4118" t="inlineStr">
        <is>
          <t>4¹², 8³, 36⁴, 72¹</t>
        </is>
      </c>
      <c r="J4118" t="n">
        <v>20</v>
      </c>
      <c r="K4118" t="inlineStr">
        <is>
          <t>2⁴, 4⁶, 8²</t>
        </is>
      </c>
      <c r="L4118" t="inlineStr">
        <is>
          <t>24R⁴, 36I⁷</t>
        </is>
      </c>
      <c r="M4118" t="inlineStr"/>
      <c r="N4118" t="inlineStr">
        <is>
          <t>3B⁰, 12F¹, 4C⁰, 9B⁰, 2B⁰, 1A⁰, 8K⁰, 36I⁷, 18E⁰, 4A⁰, 12A¹, 24R⁴, 12G², 4F⁰, 36B³, 6F⁰, 36G³</t>
        </is>
      </c>
      <c r="O4118" t="inlineStr"/>
    </row>
    <row r="4119">
      <c r="A4119">
        <f>HYPERLINK("https://mathstats.uncg.edu/sites/pauli/congruence/csg15.html#group72Z15", "72Z¹⁵")</f>
        <v/>
      </c>
      <c r="B4119" t="n">
        <v>15</v>
      </c>
      <c r="C4119" t="inlineStr"/>
      <c r="D4119" t="inlineStr">
        <is>
          <t>288</t>
        </is>
      </c>
      <c r="E4119" t="inlineStr">
        <is>
          <t>2</t>
        </is>
      </c>
      <c r="F4119" t="inlineStr">
        <is>
          <t>144</t>
        </is>
      </c>
      <c r="G4119" t="inlineStr">
        <is>
          <t>32</t>
        </is>
      </c>
      <c r="H4119" t="inlineStr">
        <is>
          <t>0</t>
        </is>
      </c>
      <c r="I4119" t="inlineStr">
        <is>
          <t>72⁴</t>
        </is>
      </c>
      <c r="J4119" t="n">
        <v>4</v>
      </c>
      <c r="K4119" t="inlineStr">
        <is>
          <t>8¹², 24⁸</t>
        </is>
      </c>
      <c r="L4119" t="inlineStr">
        <is>
          <t>36D², 24AB³, 72E⁷</t>
        </is>
      </c>
      <c r="M4119" t="inlineStr"/>
      <c r="N4119" t="inlineStr">
        <is>
          <t>36A¹, 24F¹, 36D², 12A⁰, 6B⁰, 8F⁰, 4A⁰, 9A⁰, 12F⁰, 24AB³, 3A⁰, 1A⁰, 18A⁰, 72E⁷</t>
        </is>
      </c>
      <c r="O4119" t="inlineStr"/>
    </row>
    <row r="4120">
      <c r="A4120">
        <f>HYPERLINK("https://mathstats.uncg.edu/sites/pauli/congruence/csg15.html#group76A15", "76A¹⁵")</f>
        <v/>
      </c>
      <c r="B4120" t="n">
        <v>15</v>
      </c>
      <c r="C4120" t="inlineStr"/>
      <c r="D4120" t="inlineStr">
        <is>
          <t>228</t>
        </is>
      </c>
      <c r="E4120" t="inlineStr">
        <is>
          <t>2</t>
        </is>
      </c>
      <c r="F4120" t="inlineStr">
        <is>
          <t>228</t>
        </is>
      </c>
      <c r="G4120" t="inlineStr">
        <is>
          <t>10</t>
        </is>
      </c>
      <c r="H4120" t="inlineStr">
        <is>
          <t>3</t>
        </is>
      </c>
      <c r="I4120" t="inlineStr">
        <is>
          <t>76³</t>
        </is>
      </c>
      <c r="J4120" t="n">
        <v>3</v>
      </c>
      <c r="K4120" t="inlineStr">
        <is>
          <t>12², 36¹²</t>
        </is>
      </c>
      <c r="L4120" t="inlineStr">
        <is>
          <t>4A⁰, 19A²</t>
        </is>
      </c>
      <c r="M4120" t="inlineStr"/>
      <c r="N4120" t="inlineStr">
        <is>
          <t>19A², 1A⁰, 4A⁰</t>
        </is>
      </c>
      <c r="O4120" t="inlineStr"/>
    </row>
    <row r="4121">
      <c r="A4121">
        <f>HYPERLINK("https://mathstats.uncg.edu/sites/pauli/congruence/csg15.html#group77A15", "77A¹⁵")</f>
        <v/>
      </c>
      <c r="B4121" t="n">
        <v>15</v>
      </c>
      <c r="C4121" t="inlineStr"/>
      <c r="D4121" t="inlineStr">
        <is>
          <t>231</t>
        </is>
      </c>
      <c r="E4121" t="inlineStr">
        <is>
          <t>2</t>
        </is>
      </c>
      <c r="F4121" t="inlineStr">
        <is>
          <t>231</t>
        </is>
      </c>
      <c r="G4121" t="inlineStr">
        <is>
          <t>15</t>
        </is>
      </c>
      <c r="H4121" t="inlineStr">
        <is>
          <t>0</t>
        </is>
      </c>
      <c r="I4121" t="inlineStr">
        <is>
          <t>77³</t>
        </is>
      </c>
      <c r="J4121" t="n">
        <v>3</v>
      </c>
      <c r="K4121" t="inlineStr">
        <is>
          <t>6¹, 12³, 30², 60⁶</t>
        </is>
      </c>
      <c r="L4121" t="inlineStr">
        <is>
          <t>7D⁰, 77A⁴, 77B⁴</t>
        </is>
      </c>
      <c r="M4121" t="inlineStr"/>
      <c r="N4121" t="inlineStr">
        <is>
          <t>11A⁰, 7D⁰, 77B⁴, 1A⁰, 7A⁰, 77A⁴</t>
        </is>
      </c>
      <c r="O4121" t="inlineStr"/>
    </row>
    <row r="4122">
      <c r="A4122">
        <f>HYPERLINK("https://mathstats.uncg.edu/sites/pauli/congruence/csg15.html#group80A15", "80A¹⁵")</f>
        <v/>
      </c>
      <c r="B4122" t="n">
        <v>15</v>
      </c>
      <c r="C4122" t="inlineStr"/>
      <c r="D4122" t="inlineStr">
        <is>
          <t>192</t>
        </is>
      </c>
      <c r="E4122" t="inlineStr">
        <is>
          <t>1</t>
        </is>
      </c>
      <c r="F4122" t="inlineStr">
        <is>
          <t>24</t>
        </is>
      </c>
      <c r="G4122" t="inlineStr">
        <is>
          <t>0</t>
        </is>
      </c>
      <c r="H4122" t="inlineStr">
        <is>
          <t>0</t>
        </is>
      </c>
      <c r="I4122" t="inlineStr">
        <is>
          <t>16², 80²</t>
        </is>
      </c>
      <c r="J4122" t="n">
        <v>4</v>
      </c>
      <c r="K4122" t="inlineStr">
        <is>
          <t>2⁴, 8²</t>
        </is>
      </c>
      <c r="L4122" t="inlineStr">
        <is>
          <t>40B⁷, 80A⁷</t>
        </is>
      </c>
      <c r="M4122" t="inlineStr"/>
      <c r="N4122" t="inlineStr">
        <is>
          <t>2A⁰, 20C³, 8A⁰, 5B⁰, 8E⁰, 10A¹, 1A⁰, 20B¹, 80A⁷, 4A⁰, 4D⁰, 40B⁷, 40B³</t>
        </is>
      </c>
      <c r="O4122" t="inlineStr"/>
    </row>
    <row r="4123">
      <c r="A4123">
        <f>HYPERLINK("https://mathstats.uncg.edu/sites/pauli/congruence/csg15.html#group80B15", "80B¹⁵")</f>
        <v/>
      </c>
      <c r="B4123" t="n">
        <v>15</v>
      </c>
      <c r="C4123" t="inlineStr"/>
      <c r="D4123" t="inlineStr">
        <is>
          <t>192</t>
        </is>
      </c>
      <c r="E4123" t="inlineStr">
        <is>
          <t>1</t>
        </is>
      </c>
      <c r="F4123" t="inlineStr">
        <is>
          <t>24</t>
        </is>
      </c>
      <c r="G4123" t="inlineStr">
        <is>
          <t>0</t>
        </is>
      </c>
      <c r="H4123" t="inlineStr">
        <is>
          <t>0</t>
        </is>
      </c>
      <c r="I4123" t="inlineStr">
        <is>
          <t>16², 80²</t>
        </is>
      </c>
      <c r="J4123" t="n">
        <v>4</v>
      </c>
      <c r="K4123" t="inlineStr">
        <is>
          <t>2⁴, 8²</t>
        </is>
      </c>
      <c r="L4123" t="inlineStr">
        <is>
          <t>16F⁰, 40B⁷, 80B⁷</t>
        </is>
      </c>
      <c r="M4123" t="inlineStr"/>
      <c r="N4123" t="inlineStr">
        <is>
          <t>2A⁰, 16A⁰, 80B⁷, 20C³, 8A⁰, 5B⁰, 8E⁰, 10A¹, 1A⁰, 20B¹, 4A⁰, 4D⁰, 16F⁰, 40B⁷, 40B³</t>
        </is>
      </c>
      <c r="O4123" t="inlineStr"/>
    </row>
    <row r="4124">
      <c r="A4124">
        <f>HYPERLINK("https://mathstats.uncg.edu/sites/pauli/congruence/csg15.html#group80C15", "80C¹⁵")</f>
        <v/>
      </c>
      <c r="B4124" t="n">
        <v>15</v>
      </c>
      <c r="C4124" t="inlineStr"/>
      <c r="D4124" t="inlineStr">
        <is>
          <t>192</t>
        </is>
      </c>
      <c r="E4124" t="inlineStr">
        <is>
          <t>1</t>
        </is>
      </c>
      <c r="F4124" t="inlineStr">
        <is>
          <t>48</t>
        </is>
      </c>
      <c r="G4124" t="inlineStr">
        <is>
          <t>0</t>
        </is>
      </c>
      <c r="H4124" t="inlineStr">
        <is>
          <t>0</t>
        </is>
      </c>
      <c r="I4124" t="inlineStr">
        <is>
          <t>16², 80²</t>
        </is>
      </c>
      <c r="J4124" t="n">
        <v>4</v>
      </c>
      <c r="K4124" t="inlineStr">
        <is>
          <t>2⁸, 8⁴</t>
        </is>
      </c>
      <c r="L4124" t="inlineStr">
        <is>
          <t>40A⁷</t>
        </is>
      </c>
      <c r="M4124" t="inlineStr"/>
      <c r="N4124" t="inlineStr">
        <is>
          <t>40A⁷, 2A⁰, 40A³, 4A⁰, 4D⁰, 20C³, 5B⁰, 10A¹, 1A⁰, 20B¹</t>
        </is>
      </c>
      <c r="O4124" t="inlineStr"/>
    </row>
    <row r="4125">
      <c r="A4125">
        <f>HYPERLINK("https://mathstats.uncg.edu/sites/pauli/congruence/csg15.html#group80D15", "80D¹⁵")</f>
        <v/>
      </c>
      <c r="B4125" t="n">
        <v>15</v>
      </c>
      <c r="C4125" t="inlineStr"/>
      <c r="D4125" t="inlineStr">
        <is>
          <t>192</t>
        </is>
      </c>
      <c r="E4125" t="inlineStr">
        <is>
          <t>2</t>
        </is>
      </c>
      <c r="F4125" t="inlineStr">
        <is>
          <t>48</t>
        </is>
      </c>
      <c r="G4125" t="inlineStr">
        <is>
          <t>0</t>
        </is>
      </c>
      <c r="H4125" t="inlineStr">
        <is>
          <t>0</t>
        </is>
      </c>
      <c r="I4125" t="inlineStr">
        <is>
          <t>16², 80²</t>
        </is>
      </c>
      <c r="J4125" t="n">
        <v>4</v>
      </c>
      <c r="K4125" t="inlineStr">
        <is>
          <t>8⁴, 32²</t>
        </is>
      </c>
      <c r="L4125" t="inlineStr">
        <is>
          <t>40C⁷, 80A⁷, 80B⁷</t>
        </is>
      </c>
      <c r="M4125" t="inlineStr"/>
      <c r="N4125" t="inlineStr">
        <is>
          <t>40A³, 80A⁷, 16A⁰, 40C⁷, 80B⁷, 4A⁰, 40B³, 5B⁰, 8A⁰, 5D⁰, 1A⁰, 20B³, 20B¹</t>
        </is>
      </c>
      <c r="O4125" t="inlineStr"/>
    </row>
    <row r="4126">
      <c r="A4126">
        <f>HYPERLINK("https://mathstats.uncg.edu/sites/pauli/congruence/csg15.html#group80E15", "80E¹⁵")</f>
        <v/>
      </c>
      <c r="B4126" t="n">
        <v>15</v>
      </c>
      <c r="C4126" t="inlineStr"/>
      <c r="D4126" t="inlineStr">
        <is>
          <t>240</t>
        </is>
      </c>
      <c r="E4126" t="inlineStr">
        <is>
          <t>1</t>
        </is>
      </c>
      <c r="F4126" t="inlineStr">
        <is>
          <t>30</t>
        </is>
      </c>
      <c r="G4126" t="inlineStr">
        <is>
          <t>16</t>
        </is>
      </c>
      <c r="H4126" t="inlineStr">
        <is>
          <t>0</t>
        </is>
      </c>
      <c r="I4126" t="inlineStr">
        <is>
          <t>40², 80²</t>
        </is>
      </c>
      <c r="J4126" t="n">
        <v>4</v>
      </c>
      <c r="K4126" t="inlineStr">
        <is>
          <t>2³, 4⁶</t>
        </is>
      </c>
      <c r="L4126" t="inlineStr">
        <is>
          <t>40E⁷</t>
        </is>
      </c>
      <c r="M4126" t="inlineStr"/>
      <c r="N4126" t="inlineStr">
        <is>
          <t>40E⁷, 4C⁰, 8B⁰, 1A⁰, 2B⁰, 5C⁰, 20F³, 10F¹</t>
        </is>
      </c>
      <c r="O4126" t="inlineStr"/>
    </row>
    <row r="4127">
      <c r="A4127">
        <f>HYPERLINK("https://mathstats.uncg.edu/sites/pauli/congruence/csg15.html#group80F15", "80F¹⁵")</f>
        <v/>
      </c>
      <c r="B4127" t="n">
        <v>15</v>
      </c>
      <c r="C4127" t="inlineStr"/>
      <c r="D4127" t="inlineStr">
        <is>
          <t>240</t>
        </is>
      </c>
      <c r="E4127" t="inlineStr">
        <is>
          <t>1</t>
        </is>
      </c>
      <c r="F4127" t="inlineStr">
        <is>
          <t>30</t>
        </is>
      </c>
      <c r="G4127" t="inlineStr">
        <is>
          <t>16</t>
        </is>
      </c>
      <c r="H4127" t="inlineStr">
        <is>
          <t>0</t>
        </is>
      </c>
      <c r="I4127" t="inlineStr">
        <is>
          <t>40², 80²</t>
        </is>
      </c>
      <c r="J4127" t="n">
        <v>4</v>
      </c>
      <c r="K4127" t="inlineStr">
        <is>
          <t>2³, 4⁶</t>
        </is>
      </c>
      <c r="L4127" t="inlineStr">
        <is>
          <t>16B⁰, 40E⁷</t>
        </is>
      </c>
      <c r="M4127" t="inlineStr"/>
      <c r="N4127" t="inlineStr">
        <is>
          <t>16B⁰, 40E⁷, 4C⁰, 5C⁰, 8B⁰, 2B⁰, 1A⁰, 20F³, 10F¹</t>
        </is>
      </c>
      <c r="O4127" t="inlineStr"/>
    </row>
    <row r="4128">
      <c r="A4128">
        <f>HYPERLINK("https://mathstats.uncg.edu/sites/pauli/congruence/csg15.html#group80G15", "80G¹⁵")</f>
        <v/>
      </c>
      <c r="B4128" t="n">
        <v>15</v>
      </c>
      <c r="C4128" t="inlineStr"/>
      <c r="D4128" t="inlineStr">
        <is>
          <t>240</t>
        </is>
      </c>
      <c r="E4128" t="inlineStr">
        <is>
          <t>1</t>
        </is>
      </c>
      <c r="F4128" t="inlineStr">
        <is>
          <t>60</t>
        </is>
      </c>
      <c r="G4128" t="inlineStr">
        <is>
          <t>0</t>
        </is>
      </c>
      <c r="H4128" t="inlineStr">
        <is>
          <t>0</t>
        </is>
      </c>
      <c r="I4128" t="inlineStr">
        <is>
          <t>5⁸, 20², 80²</t>
        </is>
      </c>
      <c r="J4128" t="n">
        <v>12</v>
      </c>
      <c r="K4128" t="inlineStr">
        <is>
          <t>2⁴, 4⁹, 8²</t>
        </is>
      </c>
      <c r="L4128" t="inlineStr">
        <is>
          <t>40G⁷</t>
        </is>
      </c>
      <c r="M4128" t="inlineStr"/>
      <c r="N4128" t="inlineStr">
        <is>
          <t>40G⁷, 20E³, 1A⁰, 8C⁰, 2B⁰, 4B⁰, 5C⁰, 10F¹</t>
        </is>
      </c>
      <c r="O4128" t="inlineStr"/>
    </row>
    <row r="4129">
      <c r="A4129">
        <f>HYPERLINK("https://mathstats.uncg.edu/sites/pauli/congruence/csg15.html#group80H15", "80H¹⁵")</f>
        <v/>
      </c>
      <c r="B4129" t="n">
        <v>15</v>
      </c>
      <c r="C4129" t="inlineStr"/>
      <c r="D4129" t="inlineStr">
        <is>
          <t>240</t>
        </is>
      </c>
      <c r="E4129" t="inlineStr">
        <is>
          <t>1</t>
        </is>
      </c>
      <c r="F4129" t="inlineStr">
        <is>
          <t>60</t>
        </is>
      </c>
      <c r="G4129" t="inlineStr">
        <is>
          <t>0</t>
        </is>
      </c>
      <c r="H4129" t="inlineStr">
        <is>
          <t>0</t>
        </is>
      </c>
      <c r="I4129" t="inlineStr">
        <is>
          <t>5⁸, 20², 80²</t>
        </is>
      </c>
      <c r="J4129" t="n">
        <v>12</v>
      </c>
      <c r="K4129" t="inlineStr">
        <is>
          <t>2⁴, 4⁹, 8²</t>
        </is>
      </c>
      <c r="L4129" t="inlineStr">
        <is>
          <t>16C⁰, 40G⁷</t>
        </is>
      </c>
      <c r="M4129" t="inlineStr"/>
      <c r="N4129" t="inlineStr">
        <is>
          <t>40G⁷, 16C⁰, 20E³, 1A⁰, 8C⁰, 2B⁰, 4B⁰, 5C⁰, 10F¹</t>
        </is>
      </c>
      <c r="O4129" t="inlineStr"/>
    </row>
    <row r="4130">
      <c r="A4130">
        <f>HYPERLINK("https://mathstats.uncg.edu/sites/pauli/congruence/csg15.html#group80I15", "80I¹⁵")</f>
        <v/>
      </c>
      <c r="B4130" t="n">
        <v>15</v>
      </c>
      <c r="C4130" t="inlineStr"/>
      <c r="D4130" t="inlineStr">
        <is>
          <t>240</t>
        </is>
      </c>
      <c r="E4130" t="inlineStr">
        <is>
          <t>1</t>
        </is>
      </c>
      <c r="F4130" t="inlineStr">
        <is>
          <t>120</t>
        </is>
      </c>
      <c r="G4130" t="inlineStr">
        <is>
          <t>0</t>
        </is>
      </c>
      <c r="H4130" t="inlineStr">
        <is>
          <t>0</t>
        </is>
      </c>
      <c r="I4130" t="inlineStr">
        <is>
          <t>5⁴, 10⁶, 80²</t>
        </is>
      </c>
      <c r="J4130" t="n">
        <v>12</v>
      </c>
      <c r="K4130" t="inlineStr">
        <is>
          <t>2⁴, 4¹⁰, 8⁵, 16²</t>
        </is>
      </c>
      <c r="L4130" t="inlineStr">
        <is>
          <t>40G⁷</t>
        </is>
      </c>
      <c r="M4130" t="inlineStr"/>
      <c r="N4130" t="inlineStr">
        <is>
          <t>40G⁷, 20E³, 1A⁰, 8C⁰, 2B⁰, 4B⁰, 5C⁰, 10F¹</t>
        </is>
      </c>
      <c r="O4130" t="inlineStr"/>
    </row>
    <row r="4131">
      <c r="A4131">
        <f>HYPERLINK("https://mathstats.uncg.edu/sites/pauli/congruence/csg15.html#group80J15", "80J¹⁵")</f>
        <v/>
      </c>
      <c r="B4131" t="n">
        <v>15</v>
      </c>
      <c r="C4131" t="inlineStr"/>
      <c r="D4131" t="inlineStr">
        <is>
          <t>240</t>
        </is>
      </c>
      <c r="E4131" t="inlineStr">
        <is>
          <t>1</t>
        </is>
      </c>
      <c r="F4131" t="inlineStr">
        <is>
          <t>120</t>
        </is>
      </c>
      <c r="G4131" t="inlineStr">
        <is>
          <t>0</t>
        </is>
      </c>
      <c r="H4131" t="inlineStr">
        <is>
          <t>0</t>
        </is>
      </c>
      <c r="I4131" t="inlineStr">
        <is>
          <t>5⁴, 10⁶, 80²</t>
        </is>
      </c>
      <c r="J4131" t="n">
        <v>12</v>
      </c>
      <c r="K4131" t="inlineStr">
        <is>
          <t>2⁴, 4¹⁰, 8⁵, 16²</t>
        </is>
      </c>
      <c r="L4131" t="inlineStr">
        <is>
          <t>16D⁰, 40G⁷</t>
        </is>
      </c>
      <c r="M4131" t="inlineStr"/>
      <c r="N4131" t="inlineStr">
        <is>
          <t>40G⁷, 20E³, 16D⁰, 1A⁰, 8C⁰, 2B⁰, 4B⁰, 5C⁰, 10F¹</t>
        </is>
      </c>
      <c r="O4131" t="inlineStr"/>
    </row>
    <row r="4132">
      <c r="A4132">
        <f>HYPERLINK("https://mathstats.uncg.edu/sites/pauli/congruence/csg15.html#group80K15", "80K¹⁵")</f>
        <v/>
      </c>
      <c r="B4132" t="n">
        <v>15</v>
      </c>
      <c r="C4132" t="inlineStr"/>
      <c r="D4132" t="inlineStr">
        <is>
          <t>240</t>
        </is>
      </c>
      <c r="E4132" t="inlineStr">
        <is>
          <t>1</t>
        </is>
      </c>
      <c r="F4132" t="inlineStr">
        <is>
          <t>120</t>
        </is>
      </c>
      <c r="G4132" t="inlineStr">
        <is>
          <t>4</t>
        </is>
      </c>
      <c r="H4132" t="inlineStr">
        <is>
          <t>0</t>
        </is>
      </c>
      <c r="I4132" t="inlineStr">
        <is>
          <t>10⁸, 80²</t>
        </is>
      </c>
      <c r="J4132" t="n">
        <v>10</v>
      </c>
      <c r="K4132" t="inlineStr">
        <is>
          <t>2², 4⁵, 8⁴, 16⁴</t>
        </is>
      </c>
      <c r="L4132" t="inlineStr">
        <is>
          <t>40I⁷</t>
        </is>
      </c>
      <c r="M4132" t="inlineStr"/>
      <c r="N4132" t="inlineStr">
        <is>
          <t>40I⁷, 8D⁰, 4C⁰, 1A⁰, 2B⁰, 5C⁰, 20F³, 10F¹</t>
        </is>
      </c>
      <c r="O4132" t="inlineStr"/>
    </row>
    <row r="4133">
      <c r="A4133">
        <f>HYPERLINK("https://mathstats.uncg.edu/sites/pauli/congruence/csg15.html#group80L15", "80L¹⁵")</f>
        <v/>
      </c>
      <c r="B4133" t="n">
        <v>15</v>
      </c>
      <c r="C4133" t="inlineStr"/>
      <c r="D4133" t="inlineStr">
        <is>
          <t>240</t>
        </is>
      </c>
      <c r="E4133" t="inlineStr">
        <is>
          <t>1</t>
        </is>
      </c>
      <c r="F4133" t="inlineStr">
        <is>
          <t>120</t>
        </is>
      </c>
      <c r="G4133" t="inlineStr">
        <is>
          <t>4</t>
        </is>
      </c>
      <c r="H4133" t="inlineStr">
        <is>
          <t>0</t>
        </is>
      </c>
      <c r="I4133" t="inlineStr">
        <is>
          <t>10⁸, 80²</t>
        </is>
      </c>
      <c r="J4133" t="n">
        <v>10</v>
      </c>
      <c r="K4133" t="inlineStr">
        <is>
          <t>2², 4⁵, 8⁴, 16⁴</t>
        </is>
      </c>
      <c r="L4133" t="inlineStr">
        <is>
          <t>16E⁰, 40I⁷</t>
        </is>
      </c>
      <c r="M4133" t="inlineStr"/>
      <c r="N4133" t="inlineStr">
        <is>
          <t>16E⁰, 40I⁷, 8D⁰, 4C⁰, 1A⁰, 2B⁰, 5C⁰, 20F³, 10F¹</t>
        </is>
      </c>
      <c r="O4133" t="inlineStr"/>
    </row>
    <row r="4134">
      <c r="A4134">
        <f>HYPERLINK("https://mathstats.uncg.edu/sites/pauli/congruence/csg15.html#group80M15", "80M¹⁵")</f>
        <v/>
      </c>
      <c r="B4134" t="n">
        <v>15</v>
      </c>
      <c r="C4134" t="inlineStr"/>
      <c r="D4134" t="inlineStr">
        <is>
          <t>240</t>
        </is>
      </c>
      <c r="E4134" t="inlineStr">
        <is>
          <t>2</t>
        </is>
      </c>
      <c r="F4134" t="inlineStr">
        <is>
          <t>60</t>
        </is>
      </c>
      <c r="G4134" t="inlineStr">
        <is>
          <t>0</t>
        </is>
      </c>
      <c r="H4134" t="inlineStr">
        <is>
          <t>0</t>
        </is>
      </c>
      <c r="I4134" t="inlineStr">
        <is>
          <t>5⁸, 20², 80²</t>
        </is>
      </c>
      <c r="J4134" t="n">
        <v>12</v>
      </c>
      <c r="K4134" t="inlineStr">
        <is>
          <t>4⁶, 8¹²</t>
        </is>
      </c>
      <c r="L4134" t="inlineStr">
        <is>
          <t>40F⁷</t>
        </is>
      </c>
      <c r="M4134" t="inlineStr"/>
      <c r="N4134" t="inlineStr">
        <is>
          <t>2B⁰, 4B⁰, 1A⁰, 20E³, 40F⁷, 5C⁰, 10F¹</t>
        </is>
      </c>
      <c r="O4134" t="inlineStr"/>
    </row>
    <row r="4135">
      <c r="A4135">
        <f>HYPERLINK("https://mathstats.uncg.edu/sites/pauli/congruence/csg15.html#group80N15", "80N¹⁵")</f>
        <v/>
      </c>
      <c r="B4135" t="n">
        <v>15</v>
      </c>
      <c r="C4135" t="inlineStr"/>
      <c r="D4135" t="inlineStr">
        <is>
          <t>288</t>
        </is>
      </c>
      <c r="E4135" t="inlineStr">
        <is>
          <t>1</t>
        </is>
      </c>
      <c r="F4135" t="inlineStr">
        <is>
          <t>18</t>
        </is>
      </c>
      <c r="G4135" t="inlineStr">
        <is>
          <t>0</t>
        </is>
      </c>
      <c r="H4135" t="inlineStr">
        <is>
          <t>0</t>
        </is>
      </c>
      <c r="I4135" t="inlineStr">
        <is>
          <t>2⁸, 10⁸, 16², 80²</t>
        </is>
      </c>
      <c r="J4135" t="n">
        <v>20</v>
      </c>
      <c r="K4135" t="inlineStr">
        <is>
          <t>1⁶, 4³</t>
        </is>
      </c>
      <c r="L4135" t="inlineStr">
        <is>
          <t>40M⁷, 80G⁷, 80I⁷</t>
        </is>
      </c>
      <c r="M4135" t="inlineStr"/>
      <c r="N4135" t="inlineStr">
        <is>
          <t>20E¹, 2A⁰, 40H³, 8D⁰, 4C⁰, 5B⁰, 10A¹, 20D¹, 8C⁰, 2B⁰, 80G⁷, 4E⁰, 4B⁰, 1A⁰, 40F³, 40M⁷, 80I⁷, 8G⁰, 10C⁰, 20J³, 2C⁰, 10G¹</t>
        </is>
      </c>
      <c r="O4135" t="inlineStr"/>
    </row>
    <row r="4136">
      <c r="A4136">
        <f>HYPERLINK("https://mathstats.uncg.edu/sites/pauli/congruence/csg15.html#group80O15", "80O¹⁵")</f>
        <v/>
      </c>
      <c r="B4136" t="n">
        <v>15</v>
      </c>
      <c r="C4136" t="inlineStr"/>
      <c r="D4136" t="inlineStr">
        <is>
          <t>288</t>
        </is>
      </c>
      <c r="E4136" t="inlineStr">
        <is>
          <t>1</t>
        </is>
      </c>
      <c r="F4136" t="inlineStr">
        <is>
          <t>18</t>
        </is>
      </c>
      <c r="G4136" t="inlineStr">
        <is>
          <t>0</t>
        </is>
      </c>
      <c r="H4136" t="inlineStr">
        <is>
          <t>0</t>
        </is>
      </c>
      <c r="I4136" t="inlineStr">
        <is>
          <t>2⁸, 10⁸, 16², 80²</t>
        </is>
      </c>
      <c r="J4136" t="n">
        <v>20</v>
      </c>
      <c r="K4136" t="inlineStr">
        <is>
          <t>1⁶, 4³</t>
        </is>
      </c>
      <c r="L4136" t="inlineStr">
        <is>
          <t>16G⁰, 40M⁷, 80H⁷, 80J⁷</t>
        </is>
      </c>
      <c r="M4136" t="inlineStr"/>
      <c r="N4136" t="inlineStr">
        <is>
          <t>16G⁰, 20E¹, 2A⁰, 40H³, 8D⁰, 4C⁰, 80H⁷, 5B⁰, 80J⁷, 10A¹, 20D¹, 8C⁰, 2B⁰, 4E⁰, 4B⁰, 1A⁰, 16E⁰, 40F³, 40M⁷, 8G⁰, 16D⁰, 10C⁰, 20J³, 2C⁰, 10G¹</t>
        </is>
      </c>
      <c r="O4136" t="inlineStr"/>
    </row>
    <row r="4137">
      <c r="A4137">
        <f>HYPERLINK("https://mathstats.uncg.edu/sites/pauli/congruence/csg15.html#group80P15", "80P¹⁵")</f>
        <v/>
      </c>
      <c r="B4137" t="n">
        <v>15</v>
      </c>
      <c r="C4137" t="inlineStr"/>
      <c r="D4137" t="inlineStr">
        <is>
          <t>288</t>
        </is>
      </c>
      <c r="E4137" t="inlineStr">
        <is>
          <t>1</t>
        </is>
      </c>
      <c r="F4137" t="inlineStr">
        <is>
          <t>36</t>
        </is>
      </c>
      <c r="G4137" t="inlineStr">
        <is>
          <t>0</t>
        </is>
      </c>
      <c r="H4137" t="inlineStr">
        <is>
          <t>0</t>
        </is>
      </c>
      <c r="I4137" t="inlineStr">
        <is>
          <t>2⁸, 10⁸, 16², 80²</t>
        </is>
      </c>
      <c r="J4137" t="n">
        <v>20</v>
      </c>
      <c r="K4137" t="inlineStr">
        <is>
          <t>2⁶, 8³</t>
        </is>
      </c>
      <c r="L4137" t="inlineStr">
        <is>
          <t>40L⁷</t>
        </is>
      </c>
      <c r="M4137" t="inlineStr"/>
      <c r="N4137" t="inlineStr">
        <is>
          <t>20E¹, 2A⁰, 40L⁷, 4C⁰, 5B⁰, 10A¹, 20D¹, 4E⁰, 2B⁰, 4B⁰, 1A⁰, 10C⁰, 40E³, 20J³, 2C⁰, 10G¹, 40G³</t>
        </is>
      </c>
      <c r="O4137" t="inlineStr"/>
    </row>
    <row r="4138">
      <c r="A4138">
        <f>HYPERLINK("https://mathstats.uncg.edu/sites/pauli/congruence/csg15.html#group80Q15", "80Q¹⁵")</f>
        <v/>
      </c>
      <c r="B4138" t="n">
        <v>15</v>
      </c>
      <c r="C4138" t="inlineStr"/>
      <c r="D4138" t="inlineStr">
        <is>
          <t>288</t>
        </is>
      </c>
      <c r="E4138" t="inlineStr">
        <is>
          <t>1</t>
        </is>
      </c>
      <c r="F4138" t="inlineStr">
        <is>
          <t>72</t>
        </is>
      </c>
      <c r="G4138" t="inlineStr">
        <is>
          <t>0</t>
        </is>
      </c>
      <c r="H4138" t="inlineStr">
        <is>
          <t>0</t>
        </is>
      </c>
      <c r="I4138" t="inlineStr">
        <is>
          <t>1⁴, 2², 4², 5⁴, 10², 16², 20², 80²</t>
        </is>
      </c>
      <c r="J4138" t="n">
        <v>20</v>
      </c>
      <c r="K4138" t="inlineStr">
        <is>
          <t>1⁸, 2⁴, 4⁶, 8², 16¹</t>
        </is>
      </c>
      <c r="L4138" t="inlineStr">
        <is>
          <t>40U⁷, 80E⁷, 80H⁷</t>
        </is>
      </c>
      <c r="M4138" t="inlineStr"/>
      <c r="N4138" t="inlineStr">
        <is>
          <t>40U⁷, 40F³, 16D⁰, 80H⁷, 5B⁰, 80E⁷, 10C⁰, 20D¹, 8C⁰, 2B⁰, 4B⁰, 1A⁰</t>
        </is>
      </c>
      <c r="O4138" t="inlineStr"/>
    </row>
    <row r="4139">
      <c r="A4139">
        <f>HYPERLINK("https://mathstats.uncg.edu/sites/pauli/congruence/csg15.html#group80R15", "80R¹⁵")</f>
        <v/>
      </c>
      <c r="B4139" t="n">
        <v>15</v>
      </c>
      <c r="C4139" t="inlineStr"/>
      <c r="D4139" t="inlineStr">
        <is>
          <t>288</t>
        </is>
      </c>
      <c r="E4139" t="inlineStr">
        <is>
          <t>1</t>
        </is>
      </c>
      <c r="F4139" t="inlineStr">
        <is>
          <t>72</t>
        </is>
      </c>
      <c r="G4139" t="inlineStr">
        <is>
          <t>0</t>
        </is>
      </c>
      <c r="H4139" t="inlineStr">
        <is>
          <t>0</t>
        </is>
      </c>
      <c r="I4139" t="inlineStr">
        <is>
          <t>1⁴, 2², 4², 5⁴, 10², 16², 20², 80²</t>
        </is>
      </c>
      <c r="J4139" t="n">
        <v>20</v>
      </c>
      <c r="K4139" t="inlineStr">
        <is>
          <t>1⁸, 2⁴, 4⁶, 8², 16¹</t>
        </is>
      </c>
      <c r="L4139" t="inlineStr">
        <is>
          <t>40U⁷, 80F⁷, 80G⁷</t>
        </is>
      </c>
      <c r="M4139" t="inlineStr"/>
      <c r="N4139" t="inlineStr">
        <is>
          <t>40U⁷, 80F⁷, 40F³, 16C⁰, 5B⁰, 10C⁰, 20D¹, 8C⁰, 2B⁰, 80G⁷, 4B⁰, 1A⁰</t>
        </is>
      </c>
      <c r="O4139" t="inlineStr"/>
    </row>
    <row r="4140">
      <c r="A4140">
        <f>HYPERLINK("https://mathstats.uncg.edu/sites/pauli/congruence/csg15.html#group80S15", "80S¹⁵")</f>
        <v/>
      </c>
      <c r="B4140" t="n">
        <v>15</v>
      </c>
      <c r="C4140" t="inlineStr"/>
      <c r="D4140" t="inlineStr">
        <is>
          <t>288</t>
        </is>
      </c>
      <c r="E4140" t="inlineStr">
        <is>
          <t>1</t>
        </is>
      </c>
      <c r="F4140" t="inlineStr">
        <is>
          <t>72</t>
        </is>
      </c>
      <c r="G4140" t="inlineStr">
        <is>
          <t>0</t>
        </is>
      </c>
      <c r="H4140" t="inlineStr">
        <is>
          <t>0</t>
        </is>
      </c>
      <c r="I4140" t="inlineStr">
        <is>
          <t>1⁴, 2², 4², 5⁴, 10², 16², 20², 80²</t>
        </is>
      </c>
      <c r="J4140" t="n">
        <v>20</v>
      </c>
      <c r="K4140" t="inlineStr">
        <is>
          <t>1⁸, 2⁴, 4⁶, 8², 16¹</t>
        </is>
      </c>
      <c r="L4140" t="inlineStr">
        <is>
          <t>40V⁷, 80E⁷, 80G⁷</t>
        </is>
      </c>
      <c r="M4140" t="inlineStr"/>
      <c r="N4140" t="inlineStr">
        <is>
          <t>40F³, 5B⁰, 80E⁷, 10C⁰, 20D¹, 8C⁰, 2B⁰, 80G⁷, 4B⁰, 8I⁰, 1A⁰, 40V⁷</t>
        </is>
      </c>
      <c r="O4140" t="inlineStr"/>
    </row>
    <row r="4141">
      <c r="A4141">
        <f>HYPERLINK("https://mathstats.uncg.edu/sites/pauli/congruence/csg15.html#group80T15", "80T¹⁵")</f>
        <v/>
      </c>
      <c r="B4141" t="n">
        <v>15</v>
      </c>
      <c r="C4141" t="inlineStr"/>
      <c r="D4141" t="inlineStr">
        <is>
          <t>288</t>
        </is>
      </c>
      <c r="E4141" t="inlineStr">
        <is>
          <t>1</t>
        </is>
      </c>
      <c r="F4141" t="inlineStr">
        <is>
          <t>72</t>
        </is>
      </c>
      <c r="G4141" t="inlineStr">
        <is>
          <t>0</t>
        </is>
      </c>
      <c r="H4141" t="inlineStr">
        <is>
          <t>0</t>
        </is>
      </c>
      <c r="I4141" t="inlineStr">
        <is>
          <t>1⁴, 2², 4², 5⁴, 10², 16², 20², 80²</t>
        </is>
      </c>
      <c r="J4141" t="n">
        <v>20</v>
      </c>
      <c r="K4141" t="inlineStr">
        <is>
          <t>1⁸, 2⁴, 4⁶, 8², 16¹</t>
        </is>
      </c>
      <c r="L4141" t="inlineStr">
        <is>
          <t>16H⁰, 40V⁷, 80F⁷, 80H⁷</t>
        </is>
      </c>
      <c r="M4141" t="inlineStr"/>
      <c r="N4141" t="inlineStr">
        <is>
          <t>80F⁷, 40F³, 16C⁰, 16D⁰, 80H⁷, 5B⁰, 10C⁰, 20D¹, 8C⁰, 2B⁰, 8I⁰, 4B⁰, 1A⁰, 40V⁷, 16H⁰</t>
        </is>
      </c>
      <c r="O4141" t="inlineStr"/>
    </row>
    <row r="4142">
      <c r="A4142">
        <f>HYPERLINK("https://mathstats.uncg.edu/sites/pauli/congruence/csg15.html#group80U15", "80U¹⁵")</f>
        <v/>
      </c>
      <c r="B4142" t="n">
        <v>15</v>
      </c>
      <c r="C4142" t="inlineStr"/>
      <c r="D4142" t="inlineStr">
        <is>
          <t>288</t>
        </is>
      </c>
      <c r="E4142" t="inlineStr">
        <is>
          <t>1</t>
        </is>
      </c>
      <c r="F4142" t="inlineStr">
        <is>
          <t>72</t>
        </is>
      </c>
      <c r="G4142" t="inlineStr">
        <is>
          <t>0</t>
        </is>
      </c>
      <c r="H4142" t="inlineStr">
        <is>
          <t>0</t>
        </is>
      </c>
      <c r="I4142" t="inlineStr">
        <is>
          <t>2⁸, 10⁸, 16², 80²</t>
        </is>
      </c>
      <c r="J4142" t="n">
        <v>20</v>
      </c>
      <c r="K4142" t="inlineStr">
        <is>
          <t>1⁴, 2², 4⁶, 8¹, 16²</t>
        </is>
      </c>
      <c r="L4142" t="inlineStr">
        <is>
          <t>40N⁷, 80I⁷, 80J⁷</t>
        </is>
      </c>
      <c r="M4142" t="inlineStr"/>
      <c r="N4142" t="inlineStr">
        <is>
          <t>20E¹, 40H³, 8D⁰, 20G³, 4C⁰, 5B⁰, 80J⁷, 5D⁰, 2B⁰, 1A⁰, 10F⁰, 40N⁷, 16E⁰, 80I⁷, 10C⁰, 20C², 40G³</t>
        </is>
      </c>
      <c r="O4142" t="inlineStr"/>
    </row>
    <row r="4143">
      <c r="A4143">
        <f>HYPERLINK("https://mathstats.uncg.edu/sites/pauli/congruence/csg15.html#group80V15", "80V¹⁵")</f>
        <v/>
      </c>
      <c r="B4143" t="n">
        <v>15</v>
      </c>
      <c r="C4143" t="inlineStr"/>
      <c r="D4143" t="inlineStr">
        <is>
          <t>288</t>
        </is>
      </c>
      <c r="E4143" t="inlineStr">
        <is>
          <t>1</t>
        </is>
      </c>
      <c r="F4143" t="inlineStr">
        <is>
          <t>72</t>
        </is>
      </c>
      <c r="G4143" t="inlineStr">
        <is>
          <t>0</t>
        </is>
      </c>
      <c r="H4143" t="inlineStr">
        <is>
          <t>0</t>
        </is>
      </c>
      <c r="I4143" t="inlineStr">
        <is>
          <t>2⁸, 10⁸, 16², 80²</t>
        </is>
      </c>
      <c r="J4143" t="n">
        <v>20</v>
      </c>
      <c r="K4143" t="inlineStr">
        <is>
          <t>1⁸, 2⁴, 4⁶, 8², 16¹</t>
        </is>
      </c>
      <c r="L4143" t="inlineStr">
        <is>
          <t>40O⁷, 80G⁷, 80H⁷</t>
        </is>
      </c>
      <c r="M4143" t="inlineStr"/>
      <c r="N4143" t="inlineStr">
        <is>
          <t>10G⁰, 40O⁷, 80H⁷, 5B⁰, 20D¹, 8C⁰, 2B⁰, 80G⁷, 4B⁰, 1A⁰, 20H³, 10B⁰, 40F³, 16D⁰, 10C⁰, 40E³, 20C²</t>
        </is>
      </c>
      <c r="O4143" t="inlineStr"/>
    </row>
    <row r="4144">
      <c r="A4144">
        <f>HYPERLINK("https://mathstats.uncg.edu/sites/pauli/congruence/csg15.html#group84A15", "84A¹⁵")</f>
        <v/>
      </c>
      <c r="B4144" t="n">
        <v>15</v>
      </c>
      <c r="C4144" t="inlineStr"/>
      <c r="D4144" t="inlineStr">
        <is>
          <t>192</t>
        </is>
      </c>
      <c r="E4144" t="inlineStr">
        <is>
          <t>1</t>
        </is>
      </c>
      <c r="F4144" t="inlineStr">
        <is>
          <t>24</t>
        </is>
      </c>
      <c r="G4144" t="inlineStr">
        <is>
          <t>0</t>
        </is>
      </c>
      <c r="H4144" t="inlineStr">
        <is>
          <t>0</t>
        </is>
      </c>
      <c r="I4144" t="inlineStr">
        <is>
          <t>12², 84²</t>
        </is>
      </c>
      <c r="J4144" t="n">
        <v>4</v>
      </c>
      <c r="K4144" t="inlineStr">
        <is>
          <t>1², 2², 6¹, 12¹</t>
        </is>
      </c>
      <c r="L4144" t="inlineStr">
        <is>
          <t>42E⁷, 84B⁸</t>
        </is>
      </c>
      <c r="M4144" t="inlineStr"/>
      <c r="N4144" t="inlineStr">
        <is>
          <t>42E⁷, 2A⁰, 6B⁰, 3A⁰, 21A², 42B⁴, 6B¹, 7B⁰, 14B⁰, 3C⁰, 6A¹, 42C⁴, 84B⁸, 1A⁰, 21A³</t>
        </is>
      </c>
      <c r="O4144" t="inlineStr"/>
    </row>
    <row r="4145">
      <c r="A4145">
        <f>HYPERLINK("https://mathstats.uncg.edu/sites/pauli/congruence/csg15.html#group84B15", "84B¹⁵")</f>
        <v/>
      </c>
      <c r="B4145" t="n">
        <v>15</v>
      </c>
      <c r="C4145" t="inlineStr"/>
      <c r="D4145" t="inlineStr">
        <is>
          <t>192</t>
        </is>
      </c>
      <c r="E4145" t="inlineStr">
        <is>
          <t>1</t>
        </is>
      </c>
      <c r="F4145" t="inlineStr">
        <is>
          <t>24</t>
        </is>
      </c>
      <c r="G4145" t="inlineStr">
        <is>
          <t>0</t>
        </is>
      </c>
      <c r="H4145" t="inlineStr">
        <is>
          <t>0</t>
        </is>
      </c>
      <c r="I4145" t="inlineStr">
        <is>
          <t>12², 84²</t>
        </is>
      </c>
      <c r="J4145" t="n">
        <v>4</v>
      </c>
      <c r="K4145" t="inlineStr">
        <is>
          <t>1², 2², 6¹, 12¹</t>
        </is>
      </c>
      <c r="L4145" t="inlineStr">
        <is>
          <t>42E⁷, 84A⁸, 84B⁸</t>
        </is>
      </c>
      <c r="M4145" t="inlineStr"/>
      <c r="N4145" t="inlineStr">
        <is>
          <t>42E⁷, 2A⁰, 6B⁰, 3A⁰, 28A⁰, 42C⁴, 1A⁰, 21A³, 84A⁸, 21A², 42B⁴, 6B¹, 7B⁰, 14B⁰, 3C⁰, 6A¹, 84B⁸</t>
        </is>
      </c>
      <c r="O4145" t="inlineStr"/>
    </row>
    <row r="4146">
      <c r="A4146">
        <f>HYPERLINK("https://mathstats.uncg.edu/sites/pauli/congruence/csg15.html#group84C15", "84C¹⁵")</f>
        <v/>
      </c>
      <c r="B4146" t="n">
        <v>15</v>
      </c>
      <c r="C4146" t="inlineStr"/>
      <c r="D4146" t="inlineStr">
        <is>
          <t>192</t>
        </is>
      </c>
      <c r="E4146" t="inlineStr">
        <is>
          <t>1</t>
        </is>
      </c>
      <c r="F4146" t="inlineStr">
        <is>
          <t>32</t>
        </is>
      </c>
      <c r="G4146" t="inlineStr">
        <is>
          <t>0</t>
        </is>
      </c>
      <c r="H4146" t="inlineStr">
        <is>
          <t>0</t>
        </is>
      </c>
      <c r="I4146" t="inlineStr">
        <is>
          <t>12², 84²</t>
        </is>
      </c>
      <c r="J4146" t="n">
        <v>4</v>
      </c>
      <c r="K4146" t="inlineStr">
        <is>
          <t>2⁴, 12²</t>
        </is>
      </c>
      <c r="L4146" t="inlineStr">
        <is>
          <t>12A², 28E³, 42B⁴, 84C⁸</t>
        </is>
      </c>
      <c r="M4146" t="inlineStr"/>
      <c r="N4146" t="inlineStr">
        <is>
          <t>2A⁰, 28E³, 1A⁰, 28A², 12A⁰, 21A², 42B⁴, 84C⁸, 4A⁰, 4D⁰, 7B⁰, 14B⁰, 12A², 6A¹, 3A⁰</t>
        </is>
      </c>
      <c r="O4146" t="inlineStr"/>
    </row>
    <row r="4147">
      <c r="A4147">
        <f>HYPERLINK("https://mathstats.uncg.edu/sites/pauli/congruence/csg15.html#group84D15", "84D¹⁵")</f>
        <v/>
      </c>
      <c r="B4147" t="n">
        <v>15</v>
      </c>
      <c r="C4147" t="inlineStr"/>
      <c r="D4147" t="inlineStr">
        <is>
          <t>192</t>
        </is>
      </c>
      <c r="E4147" t="inlineStr">
        <is>
          <t>1</t>
        </is>
      </c>
      <c r="F4147" t="inlineStr">
        <is>
          <t>48</t>
        </is>
      </c>
      <c r="G4147" t="inlineStr">
        <is>
          <t>0</t>
        </is>
      </c>
      <c r="H4147" t="inlineStr">
        <is>
          <t>0</t>
        </is>
      </c>
      <c r="I4147" t="inlineStr">
        <is>
          <t>12², 84²</t>
        </is>
      </c>
      <c r="J4147" t="n">
        <v>4</v>
      </c>
      <c r="K4147" t="inlineStr">
        <is>
          <t>2², 4², 12¹, 24¹</t>
        </is>
      </c>
      <c r="L4147" t="inlineStr">
        <is>
          <t>12D¹, 42D⁷</t>
        </is>
      </c>
      <c r="M4147" t="inlineStr"/>
      <c r="N4147" t="inlineStr">
        <is>
          <t>42D⁷, 12D¹, 6B⁰, 21A², 6E⁰, 7B⁰, 3C⁰, 42C⁴, 3A⁰, 1A⁰, 21A³</t>
        </is>
      </c>
      <c r="O4147" t="inlineStr"/>
    </row>
    <row r="4148">
      <c r="A4148">
        <f>HYPERLINK("https://mathstats.uncg.edu/sites/pauli/congruence/csg15.html#group84E15", "84E¹⁵")</f>
        <v/>
      </c>
      <c r="B4148" t="n">
        <v>15</v>
      </c>
      <c r="C4148" t="inlineStr"/>
      <c r="D4148" t="inlineStr">
        <is>
          <t>192</t>
        </is>
      </c>
      <c r="E4148" t="inlineStr">
        <is>
          <t>1</t>
        </is>
      </c>
      <c r="F4148" t="inlineStr">
        <is>
          <t>96</t>
        </is>
      </c>
      <c r="G4148" t="inlineStr">
        <is>
          <t>0</t>
        </is>
      </c>
      <c r="H4148" t="inlineStr">
        <is>
          <t>0</t>
        </is>
      </c>
      <c r="I4148" t="inlineStr">
        <is>
          <t>12², 84²</t>
        </is>
      </c>
      <c r="J4148" t="n">
        <v>4</v>
      </c>
      <c r="K4148" t="inlineStr">
        <is>
          <t>2⁴, 4⁴, 12², 24²</t>
        </is>
      </c>
      <c r="L4148" t="inlineStr">
        <is>
          <t>12F⁰, 42C⁴, 84C⁸</t>
        </is>
      </c>
      <c r="M4148" t="inlineStr"/>
      <c r="N4148" t="inlineStr">
        <is>
          <t>12A⁰, 6B⁰, 21A², 84C⁸, 4A⁰, 7B⁰, 12F⁰, 42C⁴, 3A⁰, 1A⁰, 28A²</t>
        </is>
      </c>
      <c r="O4148" t="inlineStr"/>
    </row>
    <row r="4149">
      <c r="A4149">
        <f>HYPERLINK("https://mathstats.uncg.edu/sites/pauli/congruence/csg15.html#group84F15", "84F¹⁵")</f>
        <v/>
      </c>
      <c r="B4149" t="n">
        <v>15</v>
      </c>
      <c r="C4149" t="inlineStr"/>
      <c r="D4149" t="inlineStr">
        <is>
          <t>192</t>
        </is>
      </c>
      <c r="E4149" t="inlineStr">
        <is>
          <t>1</t>
        </is>
      </c>
      <c r="F4149" t="inlineStr">
        <is>
          <t>96</t>
        </is>
      </c>
      <c r="G4149" t="inlineStr">
        <is>
          <t>0</t>
        </is>
      </c>
      <c r="H4149" t="inlineStr">
        <is>
          <t>0</t>
        </is>
      </c>
      <c r="I4149" t="inlineStr">
        <is>
          <t>12², 84²</t>
        </is>
      </c>
      <c r="J4149" t="n">
        <v>4</v>
      </c>
      <c r="K4149" t="inlineStr">
        <is>
          <t>2⁴, 4⁴, 12², 24²</t>
        </is>
      </c>
      <c r="L4149" t="inlineStr">
        <is>
          <t>12G¹, 21A³, 84C⁸</t>
        </is>
      </c>
      <c r="M4149" t="inlineStr"/>
      <c r="N4149" t="inlineStr">
        <is>
          <t>12G¹, 12A⁰, 21A², 84C⁸, 4A⁰, 7B⁰, 3C⁰, 3A⁰, 1A⁰, 21A³, 28A²</t>
        </is>
      </c>
      <c r="O4149" t="inlineStr"/>
    </row>
    <row r="4150">
      <c r="A4150">
        <f>HYPERLINK("https://mathstats.uncg.edu/sites/pauli/congruence/csg15.html#group84G15", "84G¹⁵")</f>
        <v/>
      </c>
      <c r="B4150" t="n">
        <v>15</v>
      </c>
      <c r="C4150" t="inlineStr"/>
      <c r="D4150" t="inlineStr">
        <is>
          <t>224</t>
        </is>
      </c>
      <c r="E4150" t="inlineStr">
        <is>
          <t>2</t>
        </is>
      </c>
      <c r="F4150" t="inlineStr">
        <is>
          <t>28</t>
        </is>
      </c>
      <c r="G4150" t="inlineStr">
        <is>
          <t>0</t>
        </is>
      </c>
      <c r="H4150" t="inlineStr">
        <is>
          <t>8</t>
        </is>
      </c>
      <c r="I4150" t="inlineStr">
        <is>
          <t>28², 84²</t>
        </is>
      </c>
      <c r="J4150" t="n">
        <v>4</v>
      </c>
      <c r="K4150" t="inlineStr">
        <is>
          <t>2², 4¹, 6⁴, 12²</t>
        </is>
      </c>
      <c r="L4150" t="inlineStr">
        <is>
          <t>42F⁷, 84D⁸, 84E⁸</t>
        </is>
      </c>
      <c r="M4150" t="inlineStr"/>
      <c r="N4150" t="inlineStr">
        <is>
          <t>84D⁸, 3B⁰, 2A⁰, 21B³, 14A⁰, 6C⁰, 42F⁷, 14A¹, 84E⁸, 1A⁰, 14D¹, 21B², 42E⁴, 7C⁰, 42D⁴, 7A⁰, 12B⁰</t>
        </is>
      </c>
      <c r="O4150" t="inlineStr"/>
    </row>
    <row r="4151">
      <c r="A4151">
        <f>HYPERLINK("https://mathstats.uncg.edu/sites/pauli/congruence/csg15.html#group84H15", "84H¹⁵")</f>
        <v/>
      </c>
      <c r="B4151" t="n">
        <v>15</v>
      </c>
      <c r="C4151" t="inlineStr"/>
      <c r="D4151" t="inlineStr">
        <is>
          <t>252</t>
        </is>
      </c>
      <c r="E4151" t="inlineStr">
        <is>
          <t>2</t>
        </is>
      </c>
      <c r="F4151" t="inlineStr">
        <is>
          <t>63</t>
        </is>
      </c>
      <c r="G4151" t="inlineStr">
        <is>
          <t>16</t>
        </is>
      </c>
      <c r="H4151" t="inlineStr">
        <is>
          <t>0</t>
        </is>
      </c>
      <c r="I4151" t="inlineStr">
        <is>
          <t>21⁴, 84²</t>
        </is>
      </c>
      <c r="J4151" t="n">
        <v>6</v>
      </c>
      <c r="K4151" t="inlineStr">
        <is>
          <t>2³, 4³, 6⁶, 12⁶</t>
        </is>
      </c>
      <c r="L4151" t="inlineStr">
        <is>
          <t>42K⁷, 84B⁷, 84C⁷</t>
        </is>
      </c>
      <c r="M4151" t="inlineStr"/>
      <c r="N4151" t="inlineStr">
        <is>
          <t>84B⁷, 28B², 14B¹, 84C⁷, 21D¹, 21A⁰, 42K⁷, 2B⁰, 12D⁰, 3A⁰, 1A⁰, 42C³, 6D⁰, 7A⁰</t>
        </is>
      </c>
      <c r="O4151" t="inlineStr"/>
    </row>
    <row r="4152">
      <c r="A4152">
        <f>HYPERLINK("https://mathstats.uncg.edu/sites/pauli/congruence/csg15.html#group84I15", "84I¹⁵")</f>
        <v/>
      </c>
      <c r="B4152" t="n">
        <v>15</v>
      </c>
      <c r="C4152" t="inlineStr"/>
      <c r="D4152" t="inlineStr">
        <is>
          <t>252</t>
        </is>
      </c>
      <c r="E4152" t="inlineStr">
        <is>
          <t>2</t>
        </is>
      </c>
      <c r="F4152" t="inlineStr">
        <is>
          <t>63</t>
        </is>
      </c>
      <c r="G4152" t="inlineStr">
        <is>
          <t>20</t>
        </is>
      </c>
      <c r="H4152" t="inlineStr">
        <is>
          <t>0</t>
        </is>
      </c>
      <c r="I4152" t="inlineStr">
        <is>
          <t>42², 84²</t>
        </is>
      </c>
      <c r="J4152" t="n">
        <v>4</v>
      </c>
      <c r="K4152" t="inlineStr">
        <is>
          <t>2³, 4³, 6⁶, 12⁶</t>
        </is>
      </c>
      <c r="L4152" t="inlineStr">
        <is>
          <t>84B⁶, 42K⁷, 84G⁸</t>
        </is>
      </c>
      <c r="M4152" t="inlineStr"/>
      <c r="N4152" t="inlineStr">
        <is>
          <t>12C⁰, 14B¹, 21D¹, 84G⁸, 4C⁰, 21A⁰, 42K⁷, 2B⁰, 1A⁰, 28C², 3A⁰, 42C³, 84B⁶, 6D⁰, 7A⁰</t>
        </is>
      </c>
      <c r="O4152" t="inlineStr"/>
    </row>
    <row r="4153">
      <c r="A4153">
        <f>HYPERLINK("https://mathstats.uncg.edu/sites/pauli/congruence/csg15.html#group85A15", "85A¹⁵")</f>
        <v/>
      </c>
      <c r="B4153" t="n">
        <v>15</v>
      </c>
      <c r="C4153" t="inlineStr"/>
      <c r="D4153" t="inlineStr">
        <is>
          <t>216</t>
        </is>
      </c>
      <c r="E4153" t="inlineStr">
        <is>
          <t>1</t>
        </is>
      </c>
      <c r="F4153" t="inlineStr">
        <is>
          <t>108</t>
        </is>
      </c>
      <c r="G4153" t="inlineStr">
        <is>
          <t>0</t>
        </is>
      </c>
      <c r="H4153" t="inlineStr">
        <is>
          <t>0</t>
        </is>
      </c>
      <c r="I4153" t="inlineStr">
        <is>
          <t>1², 5², 17², 85²</t>
        </is>
      </c>
      <c r="J4153" t="n">
        <v>8</v>
      </c>
      <c r="K4153" t="inlineStr">
        <is>
          <t>1⁴, 4², 16², 64¹</t>
        </is>
      </c>
      <c r="L4153" t="inlineStr">
        <is>
          <t>85B⁷</t>
        </is>
      </c>
      <c r="M4153" t="inlineStr"/>
      <c r="N4153" t="inlineStr">
        <is>
          <t>85B⁷, 5B⁰, 1A⁰, 17A¹</t>
        </is>
      </c>
      <c r="O4153" t="inlineStr"/>
    </row>
    <row r="4154">
      <c r="A4154">
        <f>HYPERLINK("https://mathstats.uncg.edu/sites/pauli/congruence/csg15.html#group85B15", "85B¹⁵")</f>
        <v/>
      </c>
      <c r="B4154" t="n">
        <v>15</v>
      </c>
      <c r="C4154" t="inlineStr"/>
      <c r="D4154" t="inlineStr">
        <is>
          <t>216</t>
        </is>
      </c>
      <c r="E4154" t="inlineStr">
        <is>
          <t>1</t>
        </is>
      </c>
      <c r="F4154" t="inlineStr">
        <is>
          <t>108</t>
        </is>
      </c>
      <c r="G4154" t="inlineStr">
        <is>
          <t>0</t>
        </is>
      </c>
      <c r="H4154" t="inlineStr">
        <is>
          <t>0</t>
        </is>
      </c>
      <c r="I4154" t="inlineStr">
        <is>
          <t>1², 5², 17², 85²</t>
        </is>
      </c>
      <c r="J4154" t="n">
        <v>8</v>
      </c>
      <c r="K4154" t="inlineStr">
        <is>
          <t>1⁴, 4², 16², 64¹</t>
        </is>
      </c>
      <c r="L4154" t="inlineStr">
        <is>
          <t>5D⁰, 85B⁷</t>
        </is>
      </c>
      <c r="M4154" t="inlineStr"/>
      <c r="N4154" t="inlineStr">
        <is>
          <t>5B⁰, 5D⁰, 17A¹, 85B⁷, 1A⁰</t>
        </is>
      </c>
      <c r="O4154" t="inlineStr"/>
    </row>
    <row r="4155">
      <c r="A4155">
        <f>HYPERLINK("https://mathstats.uncg.edu/sites/pauli/congruence/csg15.html#group88A15", "88A¹⁵")</f>
        <v/>
      </c>
      <c r="B4155" t="n">
        <v>15</v>
      </c>
      <c r="C4155" t="inlineStr"/>
      <c r="D4155" t="inlineStr">
        <is>
          <t>192</t>
        </is>
      </c>
      <c r="E4155" t="inlineStr">
        <is>
          <t>1</t>
        </is>
      </c>
      <c r="F4155" t="inlineStr">
        <is>
          <t>48</t>
        </is>
      </c>
      <c r="G4155" t="inlineStr">
        <is>
          <t>0</t>
        </is>
      </c>
      <c r="H4155" t="inlineStr">
        <is>
          <t>0</t>
        </is>
      </c>
      <c r="I4155" t="inlineStr">
        <is>
          <t>8², 88²</t>
        </is>
      </c>
      <c r="J4155" t="n">
        <v>4</v>
      </c>
      <c r="K4155" t="inlineStr">
        <is>
          <t>2⁴, 20²</t>
        </is>
      </c>
      <c r="L4155" t="inlineStr">
        <is>
          <t>44A⁷</t>
        </is>
      </c>
      <c r="M4155" t="inlineStr"/>
      <c r="N4155" t="inlineStr">
        <is>
          <t>2A⁰, 11A¹, 22A², 44B⁴, 4D⁰, 4A⁰, 44A⁷, 1A⁰</t>
        </is>
      </c>
      <c r="O4155" t="inlineStr"/>
    </row>
    <row r="4156">
      <c r="A4156">
        <f>HYPERLINK("https://mathstats.uncg.edu/sites/pauli/congruence/csg15.html#group88B15", "88B¹⁵")</f>
        <v/>
      </c>
      <c r="B4156" t="n">
        <v>15</v>
      </c>
      <c r="C4156" t="inlineStr"/>
      <c r="D4156" t="inlineStr">
        <is>
          <t>192</t>
        </is>
      </c>
      <c r="E4156" t="inlineStr">
        <is>
          <t>1</t>
        </is>
      </c>
      <c r="F4156" t="inlineStr">
        <is>
          <t>48</t>
        </is>
      </c>
      <c r="G4156" t="inlineStr">
        <is>
          <t>0</t>
        </is>
      </c>
      <c r="H4156" t="inlineStr">
        <is>
          <t>0</t>
        </is>
      </c>
      <c r="I4156" t="inlineStr">
        <is>
          <t>8², 88²</t>
        </is>
      </c>
      <c r="J4156" t="n">
        <v>4</v>
      </c>
      <c r="K4156" t="inlineStr">
        <is>
          <t>2⁴, 20²</t>
        </is>
      </c>
      <c r="L4156" t="inlineStr">
        <is>
          <t>8E⁰, 44A⁷, 88A⁸</t>
        </is>
      </c>
      <c r="M4156" t="inlineStr"/>
      <c r="N4156" t="inlineStr">
        <is>
          <t>2A⁰, 4A⁰, 4D⁰, 11A¹, 22A², 44B⁴, 8A⁰, 8E⁰, 44A⁷, 88A⁸, 1A⁰</t>
        </is>
      </c>
      <c r="O4156" t="inlineStr"/>
    </row>
    <row r="4157">
      <c r="A4157">
        <f>HYPERLINK("https://mathstats.uncg.edu/sites/pauli/congruence/csg15.html#group88C15", "88C¹⁵")</f>
        <v/>
      </c>
      <c r="B4157" t="n">
        <v>15</v>
      </c>
      <c r="C4157" t="inlineStr"/>
      <c r="D4157" t="inlineStr">
        <is>
          <t>192</t>
        </is>
      </c>
      <c r="E4157" t="inlineStr">
        <is>
          <t>1</t>
        </is>
      </c>
      <c r="F4157" t="inlineStr">
        <is>
          <t>192</t>
        </is>
      </c>
      <c r="G4157" t="inlineStr">
        <is>
          <t>0</t>
        </is>
      </c>
      <c r="H4157" t="inlineStr">
        <is>
          <t>0</t>
        </is>
      </c>
      <c r="I4157" t="inlineStr">
        <is>
          <t>8², 88²</t>
        </is>
      </c>
      <c r="J4157" t="n">
        <v>4</v>
      </c>
      <c r="K4157" t="inlineStr">
        <is>
          <t>4⁸, 40⁴</t>
        </is>
      </c>
      <c r="L4157" t="inlineStr">
        <is>
          <t>8F⁰, 44B⁴</t>
        </is>
      </c>
      <c r="M4157" t="inlineStr"/>
      <c r="N4157" t="inlineStr">
        <is>
          <t>8F⁰, 1A⁰, 4A⁰, 44B⁴, 11A¹</t>
        </is>
      </c>
      <c r="O4157" t="inlineStr"/>
    </row>
    <row r="4158">
      <c r="A4158">
        <f>HYPERLINK("https://mathstats.uncg.edu/sites/pauli/congruence/csg15.html#group90A15", "90A¹⁵")</f>
        <v/>
      </c>
      <c r="B4158" t="n">
        <v>15</v>
      </c>
      <c r="C4158" t="inlineStr"/>
      <c r="D4158" t="inlineStr">
        <is>
          <t>180</t>
        </is>
      </c>
      <c r="E4158" t="inlineStr">
        <is>
          <t>1</t>
        </is>
      </c>
      <c r="F4158" t="inlineStr">
        <is>
          <t>15</t>
        </is>
      </c>
      <c r="G4158" t="inlineStr">
        <is>
          <t>0</t>
        </is>
      </c>
      <c r="H4158" t="inlineStr">
        <is>
          <t>0</t>
        </is>
      </c>
      <c r="I4158" t="inlineStr">
        <is>
          <t>90²</t>
        </is>
      </c>
      <c r="J4158" t="n">
        <v>2</v>
      </c>
      <c r="K4158" t="inlineStr">
        <is>
          <t>1¹, 2¹, 4¹, 8¹</t>
        </is>
      </c>
      <c r="L4158" t="inlineStr">
        <is>
          <t>18A³, 30B⁵, 45A⁶, 90A⁷, 90A⁸</t>
        </is>
      </c>
      <c r="M4158" t="inlineStr"/>
      <c r="N4158" t="inlineStr">
        <is>
          <t>2A⁰, 30A³, 5A⁰, 6B⁰, 45A⁶, 18A³, 90A⁸, 18A², 1A⁰, 30B⁵, 30A², 9D⁰, 10A⁰, 90A⁷, 15A², 6B¹, 9A⁰, 3C⁰, 6A¹, 3A⁰, 18A¹, 15A¹, 45A³</t>
        </is>
      </c>
      <c r="O4158" t="inlineStr"/>
    </row>
    <row r="4159">
      <c r="A4159">
        <f>HYPERLINK("https://mathstats.uncg.edu/sites/pauli/congruence/csg15.html#group90B15", "90B¹⁵")</f>
        <v/>
      </c>
      <c r="B4159" t="n">
        <v>15</v>
      </c>
      <c r="C4159" t="inlineStr"/>
      <c r="D4159" t="inlineStr">
        <is>
          <t>180</t>
        </is>
      </c>
      <c r="E4159" t="inlineStr">
        <is>
          <t>1</t>
        </is>
      </c>
      <c r="F4159" t="inlineStr">
        <is>
          <t>30</t>
        </is>
      </c>
      <c r="G4159" t="inlineStr">
        <is>
          <t>0</t>
        </is>
      </c>
      <c r="H4159" t="inlineStr">
        <is>
          <t>0</t>
        </is>
      </c>
      <c r="I4159" t="inlineStr">
        <is>
          <t>90²</t>
        </is>
      </c>
      <c r="J4159" t="n">
        <v>2</v>
      </c>
      <c r="K4159" t="inlineStr">
        <is>
          <t>2¹, 4¹, 8³</t>
        </is>
      </c>
      <c r="L4159" t="inlineStr">
        <is>
          <t>30B⁵, 45B⁶</t>
        </is>
      </c>
      <c r="M4159" t="inlineStr"/>
      <c r="N4159" t="inlineStr">
        <is>
          <t>2A⁰, 30A³, 5A⁰, 6B⁰, 1A⁰, 30B⁵, 45B⁶, 30A², 10A⁰, 15A², 6B¹, 3C⁰, 6A¹, 3A⁰, 15A¹</t>
        </is>
      </c>
      <c r="O4159" t="inlineStr"/>
    </row>
    <row r="4160">
      <c r="A4160">
        <f>HYPERLINK("https://mathstats.uncg.edu/sites/pauli/congruence/csg15.html#group90C15", "90C¹⁵")</f>
        <v/>
      </c>
      <c r="B4160" t="n">
        <v>15</v>
      </c>
      <c r="C4160" t="inlineStr"/>
      <c r="D4160" t="inlineStr">
        <is>
          <t>180</t>
        </is>
      </c>
      <c r="E4160" t="inlineStr">
        <is>
          <t>1</t>
        </is>
      </c>
      <c r="F4160" t="inlineStr">
        <is>
          <t>30</t>
        </is>
      </c>
      <c r="G4160" t="inlineStr">
        <is>
          <t>0</t>
        </is>
      </c>
      <c r="H4160" t="inlineStr">
        <is>
          <t>0</t>
        </is>
      </c>
      <c r="I4160" t="inlineStr">
        <is>
          <t>90²</t>
        </is>
      </c>
      <c r="J4160" t="n">
        <v>2</v>
      </c>
      <c r="K4160" t="inlineStr">
        <is>
          <t>2³, 8³</t>
        </is>
      </c>
      <c r="L4160" t="inlineStr">
        <is>
          <t>18B³, 30B⁵, 90B⁷</t>
        </is>
      </c>
      <c r="M4160" t="inlineStr"/>
      <c r="N4160" t="inlineStr">
        <is>
          <t>2A⁰, 30A³, 5A⁰, 6B⁰, 90B⁷, 18B¹, 1A⁰, 30B⁵, 30A², 10A⁰, 15A², 6B¹, 18B³, 3C⁰, 6A¹, 3A⁰, 15A¹</t>
        </is>
      </c>
      <c r="O4160" t="inlineStr"/>
    </row>
    <row r="4161">
      <c r="A4161">
        <f>HYPERLINK("https://mathstats.uncg.edu/sites/pauli/congruence/csg15.html#group90D15", "90D¹⁵")</f>
        <v/>
      </c>
      <c r="B4161" t="n">
        <v>15</v>
      </c>
      <c r="C4161" t="inlineStr"/>
      <c r="D4161" t="inlineStr">
        <is>
          <t>180</t>
        </is>
      </c>
      <c r="E4161" t="inlineStr">
        <is>
          <t>1</t>
        </is>
      </c>
      <c r="F4161" t="inlineStr">
        <is>
          <t>60</t>
        </is>
      </c>
      <c r="G4161" t="inlineStr">
        <is>
          <t>0</t>
        </is>
      </c>
      <c r="H4161" t="inlineStr">
        <is>
          <t>0</t>
        </is>
      </c>
      <c r="I4161" t="inlineStr">
        <is>
          <t>90²</t>
        </is>
      </c>
      <c r="J4161" t="n">
        <v>2</v>
      </c>
      <c r="K4161" t="inlineStr">
        <is>
          <t>4³, 8⁶</t>
        </is>
      </c>
      <c r="L4161" t="inlineStr">
        <is>
          <t>30B⁵</t>
        </is>
      </c>
      <c r="M4161" t="inlineStr"/>
      <c r="N4161" t="inlineStr">
        <is>
          <t>2A⁰, 30A³, 5A⁰, 30A², 6B⁰, 10A⁰, 15A², 6B¹, 3C⁰, 6A¹, 3A⁰, 1A⁰, 15A¹, 30B⁵</t>
        </is>
      </c>
      <c r="O4161" t="inlineStr"/>
    </row>
    <row r="4162">
      <c r="A4162">
        <f>HYPERLINK("https://mathstats.uncg.edu/sites/pauli/congruence/csg15.html#group90E15", "90E¹⁵")</f>
        <v/>
      </c>
      <c r="B4162" t="n">
        <v>15</v>
      </c>
      <c r="C4162" t="inlineStr"/>
      <c r="D4162" t="inlineStr">
        <is>
          <t>180</t>
        </is>
      </c>
      <c r="E4162" t="inlineStr">
        <is>
          <t>1</t>
        </is>
      </c>
      <c r="F4162" t="inlineStr">
        <is>
          <t>90</t>
        </is>
      </c>
      <c r="G4162" t="inlineStr">
        <is>
          <t>0</t>
        </is>
      </c>
      <c r="H4162" t="inlineStr">
        <is>
          <t>0</t>
        </is>
      </c>
      <c r="I4162" t="inlineStr">
        <is>
          <t>90²</t>
        </is>
      </c>
      <c r="J4162" t="n">
        <v>2</v>
      </c>
      <c r="K4162" t="inlineStr">
        <is>
          <t>2¹, 4³, 8², 12¹, 24²</t>
        </is>
      </c>
      <c r="L4162" t="inlineStr">
        <is>
          <t>18A², 30A⁵, 45E⁵</t>
        </is>
      </c>
      <c r="M4162" t="inlineStr"/>
      <c r="N4162" t="inlineStr">
        <is>
          <t>2A⁰, 15D¹, 45E⁵, 9A⁰, 5C⁰, 10C¹, 6A¹, 18A², 30A⁵, 3A⁰, 1A⁰</t>
        </is>
      </c>
      <c r="O4162" t="inlineStr"/>
    </row>
    <row r="4163">
      <c r="A4163">
        <f>HYPERLINK("https://mathstats.uncg.edu/sites/pauli/congruence/csg15.html#group90F15", "90F¹⁵")</f>
        <v/>
      </c>
      <c r="B4163" t="n">
        <v>15</v>
      </c>
      <c r="C4163" t="inlineStr"/>
      <c r="D4163" t="inlineStr">
        <is>
          <t>180</t>
        </is>
      </c>
      <c r="E4163" t="inlineStr">
        <is>
          <t>2</t>
        </is>
      </c>
      <c r="F4163" t="inlineStr">
        <is>
          <t>45</t>
        </is>
      </c>
      <c r="G4163" t="inlineStr">
        <is>
          <t>0</t>
        </is>
      </c>
      <c r="H4163" t="inlineStr">
        <is>
          <t>0</t>
        </is>
      </c>
      <c r="I4163" t="inlineStr">
        <is>
          <t>90²</t>
        </is>
      </c>
      <c r="J4163" t="n">
        <v>2</v>
      </c>
      <c r="K4163" t="inlineStr">
        <is>
          <t>2³, 6², 8³, 24²</t>
        </is>
      </c>
      <c r="L4163" t="inlineStr">
        <is>
          <t>18C³, 30B⁵, 90A⁶, 45A⁷, 90A⁸</t>
        </is>
      </c>
      <c r="M4163" t="inlineStr"/>
      <c r="N4163" t="inlineStr">
        <is>
          <t>2A⁰, 30A³, 5A⁰, 90A⁶, 6B⁰, 45A⁷, 90A⁸, 18A², 1A⁰, 18A⁰, 9B¹, 30B⁵, 30A², 10A⁰, 15A², 6B¹, 9A⁰, 18C³, 3C⁰, 6A¹, 3A⁰, 15A¹, 45A³</t>
        </is>
      </c>
      <c r="O4163" t="inlineStr"/>
    </row>
    <row r="4164">
      <c r="A4164">
        <f>HYPERLINK("https://mathstats.uncg.edu/sites/pauli/congruence/csg15.html#group90G15", "90G¹⁵")</f>
        <v/>
      </c>
      <c r="B4164" t="n">
        <v>15</v>
      </c>
      <c r="C4164" t="inlineStr"/>
      <c r="D4164" t="inlineStr">
        <is>
          <t>216</t>
        </is>
      </c>
      <c r="E4164" t="inlineStr">
        <is>
          <t>1</t>
        </is>
      </c>
      <c r="F4164" t="inlineStr">
        <is>
          <t>72</t>
        </is>
      </c>
      <c r="G4164" t="inlineStr">
        <is>
          <t>0</t>
        </is>
      </c>
      <c r="H4164" t="inlineStr">
        <is>
          <t>0</t>
        </is>
      </c>
      <c r="I4164" t="inlineStr">
        <is>
          <t>3¹, 6¹, 9¹, 15¹, 18¹, 30¹, 45¹, 90¹</t>
        </is>
      </c>
      <c r="J4164" t="n">
        <v>8</v>
      </c>
      <c r="K4164" t="inlineStr">
        <is>
          <t>1¹², 2⁶, 4⁶, 8³</t>
        </is>
      </c>
      <c r="L4164" t="inlineStr">
        <is>
          <t>18D², 30K³, 45C⁵</t>
        </is>
      </c>
      <c r="M4164" t="inlineStr"/>
      <c r="N4164" t="inlineStr">
        <is>
          <t>45C⁵, 15C¹, 3B⁰, 5B⁰, 6F⁰, 18D², 10C⁰, 2B⁰, 30K³, 9C⁰, 1A⁰</t>
        </is>
      </c>
      <c r="O4164" t="inlineStr"/>
    </row>
    <row r="4165">
      <c r="A4165">
        <f>HYPERLINK("https://mathstats.uncg.edu/sites/pauli/congruence/csg15.html#group90H15", "90H¹⁵")</f>
        <v/>
      </c>
      <c r="B4165" t="n">
        <v>15</v>
      </c>
      <c r="C4165" t="inlineStr"/>
      <c r="D4165" t="inlineStr">
        <is>
          <t>216</t>
        </is>
      </c>
      <c r="E4165" t="inlineStr">
        <is>
          <t>1</t>
        </is>
      </c>
      <c r="F4165" t="inlineStr">
        <is>
          <t>72</t>
        </is>
      </c>
      <c r="G4165" t="inlineStr">
        <is>
          <t>0</t>
        </is>
      </c>
      <c r="H4165" t="inlineStr">
        <is>
          <t>0</t>
        </is>
      </c>
      <c r="I4165" t="inlineStr">
        <is>
          <t>3¹, 6¹, 9¹, 15¹, 18¹, 30¹, 45¹, 90¹</t>
        </is>
      </c>
      <c r="J4165" t="n">
        <v>8</v>
      </c>
      <c r="K4165" t="inlineStr">
        <is>
          <t>1¹², 2⁶, 4⁶, 8³</t>
        </is>
      </c>
      <c r="L4165" t="inlineStr">
        <is>
          <t>18E², 30K³, 45D⁵</t>
        </is>
      </c>
      <c r="M4165" t="inlineStr"/>
      <c r="N4165" t="inlineStr">
        <is>
          <t>15C¹, 3B⁰, 9A¹, 18E², 5B⁰, 10C⁰, 1A⁰, 2B⁰, 30K³, 6F⁰, 45D⁵</t>
        </is>
      </c>
      <c r="O4165" t="inlineStr"/>
    </row>
    <row r="4166">
      <c r="A4166">
        <f>HYPERLINK("https://mathstats.uncg.edu/sites/pauli/congruence/csg15.html#group90I15", "90I¹⁵")</f>
        <v/>
      </c>
      <c r="B4166" t="n">
        <v>15</v>
      </c>
      <c r="C4166" t="inlineStr"/>
      <c r="D4166" t="inlineStr">
        <is>
          <t>216</t>
        </is>
      </c>
      <c r="E4166" t="inlineStr">
        <is>
          <t>1</t>
        </is>
      </c>
      <c r="F4166" t="inlineStr">
        <is>
          <t>108</t>
        </is>
      </c>
      <c r="G4166" t="inlineStr">
        <is>
          <t>0</t>
        </is>
      </c>
      <c r="H4166" t="inlineStr">
        <is>
          <t>0</t>
        </is>
      </c>
      <c r="I4166" t="inlineStr">
        <is>
          <t>6³, 18¹, 30³, 90¹</t>
        </is>
      </c>
      <c r="J4166" t="n">
        <v>8</v>
      </c>
      <c r="K4166" t="inlineStr">
        <is>
          <t>1², 2², 3², 4¹, 6⁴, 8¹, 12¹, 24²</t>
        </is>
      </c>
      <c r="L4166" t="inlineStr">
        <is>
          <t>30E⁵, 45G⁵</t>
        </is>
      </c>
      <c r="M4166" t="inlineStr"/>
      <c r="N4166" t="inlineStr">
        <is>
          <t>15B⁰, 30E⁵, 45G⁵, 5B⁰, 3C⁰, 9E⁰, 3A⁰, 1A⁰, 15E¹, 30C²</t>
        </is>
      </c>
      <c r="O4166" t="inlineStr"/>
    </row>
    <row r="4167">
      <c r="A4167">
        <f>HYPERLINK("https://mathstats.uncg.edu/sites/pauli/congruence/csg15.html#group90J15", "90J¹⁵")</f>
        <v/>
      </c>
      <c r="B4167" t="n">
        <v>15</v>
      </c>
      <c r="C4167" t="inlineStr"/>
      <c r="D4167" t="inlineStr">
        <is>
          <t>216</t>
        </is>
      </c>
      <c r="E4167" t="inlineStr">
        <is>
          <t>1</t>
        </is>
      </c>
      <c r="F4167" t="inlineStr">
        <is>
          <t>108</t>
        </is>
      </c>
      <c r="G4167" t="inlineStr">
        <is>
          <t>0</t>
        </is>
      </c>
      <c r="H4167" t="inlineStr">
        <is>
          <t>0</t>
        </is>
      </c>
      <c r="I4167" t="inlineStr">
        <is>
          <t>6³, 18¹, 30³, 90¹</t>
        </is>
      </c>
      <c r="J4167" t="n">
        <v>8</v>
      </c>
      <c r="K4167" t="inlineStr">
        <is>
          <t>1², 2², 3², 4¹, 6⁴, 8¹, 12¹, 24²</t>
        </is>
      </c>
      <c r="L4167" t="inlineStr">
        <is>
          <t>18F², 30H⁵, 45G⁵</t>
        </is>
      </c>
      <c r="M4167" t="inlineStr"/>
      <c r="N4167" t="inlineStr">
        <is>
          <t>18F², 2A⁰, 6B⁰, 30C¹, 45G⁵, 5B⁰, 10A¹, 9E⁰, 1A⁰, 30B³, 30H⁵, 15B⁰, 6B¹, 3C⁰, 6A¹, 3A⁰, 15E¹</t>
        </is>
      </c>
      <c r="O4167" t="inlineStr"/>
    </row>
    <row r="4168">
      <c r="A4168">
        <f>HYPERLINK("https://mathstats.uncg.edu/sites/pauli/congruence/csg15.html#group90K15", "90K¹⁵")</f>
        <v/>
      </c>
      <c r="B4168" t="n">
        <v>15</v>
      </c>
      <c r="C4168" t="inlineStr"/>
      <c r="D4168" t="inlineStr">
        <is>
          <t>216</t>
        </is>
      </c>
      <c r="E4168" t="inlineStr">
        <is>
          <t>2</t>
        </is>
      </c>
      <c r="F4168" t="inlineStr">
        <is>
          <t>54</t>
        </is>
      </c>
      <c r="G4168" t="inlineStr">
        <is>
          <t>8</t>
        </is>
      </c>
      <c r="H4168" t="inlineStr">
        <is>
          <t>0</t>
        </is>
      </c>
      <c r="I4168" t="inlineStr">
        <is>
          <t>18², 90²</t>
        </is>
      </c>
      <c r="J4168" t="n">
        <v>4</v>
      </c>
      <c r="K4168" t="inlineStr">
        <is>
          <t>2⁶, 6⁴, 8³, 24²</t>
        </is>
      </c>
      <c r="L4168" t="inlineStr">
        <is>
          <t>30J³, 90A⁴, 45B⁷, 90B⁸</t>
        </is>
      </c>
      <c r="M4168" t="inlineStr"/>
      <c r="N4168" t="inlineStr">
        <is>
          <t>30A⁰, 45A², 90A⁴, 30J³, 5B⁰, 1A⁰, 9B¹, 10B⁰, 90B⁸, 15B⁰, 9A⁰, 45B⁷, 3C⁰, 3A⁰, 15E¹, 30C²</t>
        </is>
      </c>
      <c r="O4168" t="inlineStr"/>
    </row>
    <row r="4169">
      <c r="A4169">
        <f>HYPERLINK("https://mathstats.uncg.edu/sites/pauli/congruence/csg15.html#group90L15", "90L¹⁵")</f>
        <v/>
      </c>
      <c r="B4169" t="n">
        <v>15</v>
      </c>
      <c r="C4169" t="inlineStr"/>
      <c r="D4169" t="inlineStr">
        <is>
          <t>216</t>
        </is>
      </c>
      <c r="E4169" t="inlineStr">
        <is>
          <t>2</t>
        </is>
      </c>
      <c r="F4169" t="inlineStr">
        <is>
          <t>54</t>
        </is>
      </c>
      <c r="G4169" t="inlineStr">
        <is>
          <t>8</t>
        </is>
      </c>
      <c r="H4169" t="inlineStr">
        <is>
          <t>0</t>
        </is>
      </c>
      <c r="I4169" t="inlineStr">
        <is>
          <t>18², 90²</t>
        </is>
      </c>
      <c r="J4169" t="n">
        <v>4</v>
      </c>
      <c r="K4169" t="inlineStr">
        <is>
          <t>2⁶, 6⁴, 8³, 24²</t>
        </is>
      </c>
      <c r="L4169" t="inlineStr">
        <is>
          <t>30L³, 45C⁴, 90C⁷, 90B⁸</t>
        </is>
      </c>
      <c r="M4169" t="inlineStr"/>
      <c r="N4169" t="inlineStr">
        <is>
          <t>45A², 90B⁸, 30L³, 15B⁰, 6B⁰, 90C⁷, 30C¹, 9A⁰, 45C⁴, 5B⁰, 3A⁰, 1A⁰, 18A¹, 15C⁰, 30C²</t>
        </is>
      </c>
      <c r="O4169" t="inlineStr"/>
    </row>
    <row r="4170">
      <c r="A4170">
        <f>HYPERLINK("https://mathstats.uncg.edu/sites/pauli/congruence/csg15.html#group90M15", "90M¹⁵")</f>
        <v/>
      </c>
      <c r="B4170" t="n">
        <v>15</v>
      </c>
      <c r="C4170" t="inlineStr"/>
      <c r="D4170" t="inlineStr">
        <is>
          <t>216</t>
        </is>
      </c>
      <c r="E4170" t="inlineStr">
        <is>
          <t>2</t>
        </is>
      </c>
      <c r="F4170" t="inlineStr">
        <is>
          <t>54</t>
        </is>
      </c>
      <c r="G4170" t="inlineStr">
        <is>
          <t>8</t>
        </is>
      </c>
      <c r="H4170" t="inlineStr">
        <is>
          <t>0</t>
        </is>
      </c>
      <c r="I4170" t="inlineStr">
        <is>
          <t>18², 90²</t>
        </is>
      </c>
      <c r="J4170" t="n">
        <v>4</v>
      </c>
      <c r="K4170" t="inlineStr">
        <is>
          <t>2⁶, 6⁴, 8³, 24²</t>
        </is>
      </c>
      <c r="L4170" t="inlineStr">
        <is>
          <t>30L³, 90A⁵, 45D⁶, 90B⁸</t>
        </is>
      </c>
      <c r="M4170" t="inlineStr"/>
      <c r="N4170" t="inlineStr">
        <is>
          <t>45A², 30L³, 6B⁰, 45D⁶, 30C¹, 5B⁰, 90A⁵, 1A⁰, 18A⁰, 90B⁸, 15B⁰, 9A⁰, 3A⁰, 15C⁰, 30C²</t>
        </is>
      </c>
      <c r="O4170" t="inlineStr"/>
    </row>
    <row r="4171">
      <c r="A4171">
        <f>HYPERLINK("https://mathstats.uncg.edu/sites/pauli/congruence/csg15.html#group90N15", "90N¹⁵")</f>
        <v/>
      </c>
      <c r="B4171" t="n">
        <v>15</v>
      </c>
      <c r="C4171" t="inlineStr"/>
      <c r="D4171" t="inlineStr">
        <is>
          <t>216</t>
        </is>
      </c>
      <c r="E4171" t="inlineStr">
        <is>
          <t>2</t>
        </is>
      </c>
      <c r="F4171" t="inlineStr">
        <is>
          <t>54</t>
        </is>
      </c>
      <c r="G4171" t="inlineStr">
        <is>
          <t>8</t>
        </is>
      </c>
      <c r="H4171" t="inlineStr">
        <is>
          <t>0</t>
        </is>
      </c>
      <c r="I4171" t="inlineStr">
        <is>
          <t>18², 90²</t>
        </is>
      </c>
      <c r="J4171" t="n">
        <v>4</v>
      </c>
      <c r="K4171" t="inlineStr">
        <is>
          <t>2⁶, 6⁴, 8³, 24²</t>
        </is>
      </c>
      <c r="L4171" t="inlineStr">
        <is>
          <t>18G², 30I³, 90A⁵, 45B⁷, 90C⁷</t>
        </is>
      </c>
      <c r="M4171" t="inlineStr"/>
      <c r="N4171" t="inlineStr">
        <is>
          <t>45A², 6B⁰, 30I³, 30C¹, 5B⁰, 90A⁵, 1A⁰, 9B¹, 18A⁰, 15B⁰, 6E⁰, 90C⁷, 9A⁰, 45B⁷, 3C⁰, 18G², 3A⁰, 18A¹, 15E¹</t>
        </is>
      </c>
      <c r="O4171" t="inlineStr"/>
    </row>
    <row r="4172">
      <c r="A4172">
        <f>HYPERLINK("https://mathstats.uncg.edu/sites/pauli/congruence/csg15.html#group90O15", "90O¹⁵")</f>
        <v/>
      </c>
      <c r="B4172" t="n">
        <v>15</v>
      </c>
      <c r="C4172" t="inlineStr"/>
      <c r="D4172" t="inlineStr">
        <is>
          <t>216</t>
        </is>
      </c>
      <c r="E4172" t="inlineStr">
        <is>
          <t>2</t>
        </is>
      </c>
      <c r="F4172" t="inlineStr">
        <is>
          <t>108</t>
        </is>
      </c>
      <c r="G4172" t="inlineStr">
        <is>
          <t>8</t>
        </is>
      </c>
      <c r="H4172" t="inlineStr">
        <is>
          <t>0</t>
        </is>
      </c>
      <c r="I4172" t="inlineStr">
        <is>
          <t>18², 90²</t>
        </is>
      </c>
      <c r="J4172" t="n">
        <v>4</v>
      </c>
      <c r="K4172" t="inlineStr">
        <is>
          <t>2¹², 6⁸, 8⁶, 24⁴</t>
        </is>
      </c>
      <c r="L4172" t="inlineStr">
        <is>
          <t>30L³, 90D⁷</t>
        </is>
      </c>
      <c r="M4172" t="inlineStr"/>
      <c r="N4172" t="inlineStr">
        <is>
          <t>30L³, 90D⁷, 15B⁰, 6B⁰, 30C¹, 5B⁰, 18B¹, 3A⁰, 1A⁰, 15C⁰, 30C²</t>
        </is>
      </c>
      <c r="O4172" t="inlineStr"/>
    </row>
    <row r="4173">
      <c r="A4173">
        <f>HYPERLINK("https://mathstats.uncg.edu/sites/pauli/congruence/csg15.html#group90P15", "90P¹⁵")</f>
        <v/>
      </c>
      <c r="B4173" t="n">
        <v>15</v>
      </c>
      <c r="C4173" t="inlineStr"/>
      <c r="D4173" t="inlineStr">
        <is>
          <t>216</t>
        </is>
      </c>
      <c r="E4173" t="inlineStr">
        <is>
          <t>2</t>
        </is>
      </c>
      <c r="F4173" t="inlineStr">
        <is>
          <t>108</t>
        </is>
      </c>
      <c r="G4173" t="inlineStr">
        <is>
          <t>8</t>
        </is>
      </c>
      <c r="H4173" t="inlineStr">
        <is>
          <t>0</t>
        </is>
      </c>
      <c r="I4173" t="inlineStr">
        <is>
          <t>18², 90²</t>
        </is>
      </c>
      <c r="J4173" t="n">
        <v>4</v>
      </c>
      <c r="K4173" t="inlineStr">
        <is>
          <t>2¹², 6⁸, 8⁶, 24⁴</t>
        </is>
      </c>
      <c r="L4173" t="inlineStr">
        <is>
          <t>18H², 30I³, 90D⁷</t>
        </is>
      </c>
      <c r="M4173" t="inlineStr"/>
      <c r="N4173" t="inlineStr">
        <is>
          <t>90D⁷, 6B⁰, 30I³, 15B⁰, 18H², 6E⁰, 15E¹, 5B⁰, 18B¹, 3C⁰, 3A⁰, 1A⁰, 30C¹</t>
        </is>
      </c>
      <c r="O4173" t="inlineStr"/>
    </row>
    <row r="4174">
      <c r="A4174">
        <f>HYPERLINK("https://mathstats.uncg.edu/sites/pauli/congruence/csg15.html#group92A15", "92A¹⁵")</f>
        <v/>
      </c>
      <c r="B4174" t="n">
        <v>15</v>
      </c>
      <c r="C4174" t="inlineStr"/>
      <c r="D4174" t="inlineStr">
        <is>
          <t>192</t>
        </is>
      </c>
      <c r="E4174" t="inlineStr">
        <is>
          <t>1</t>
        </is>
      </c>
      <c r="F4174" t="inlineStr">
        <is>
          <t>96</t>
        </is>
      </c>
      <c r="G4174" t="inlineStr">
        <is>
          <t>0</t>
        </is>
      </c>
      <c r="H4174" t="inlineStr">
        <is>
          <t>0</t>
        </is>
      </c>
      <c r="I4174" t="inlineStr">
        <is>
          <t>4², 92²</t>
        </is>
      </c>
      <c r="J4174" t="n">
        <v>4</v>
      </c>
      <c r="K4174" t="inlineStr">
        <is>
          <t>2⁴, 44²</t>
        </is>
      </c>
      <c r="L4174" t="inlineStr">
        <is>
          <t>4D⁰, 46A⁴, 92B⁸</t>
        </is>
      </c>
      <c r="M4174" t="inlineStr"/>
      <c r="N4174" t="inlineStr">
        <is>
          <t>2A⁰, 4A⁰, 4D⁰, 92B⁸, 23A², 1A⁰, 46A⁴</t>
        </is>
      </c>
      <c r="O4174" t="inlineStr"/>
    </row>
    <row r="4175">
      <c r="A4175">
        <f>HYPERLINK("https://mathstats.uncg.edu/sites/pauli/congruence/csg15.html#group93A15", "93A¹⁵")</f>
        <v/>
      </c>
      <c r="B4175" t="n">
        <v>15</v>
      </c>
      <c r="C4175" t="inlineStr"/>
      <c r="D4175" t="inlineStr">
        <is>
          <t>192</t>
        </is>
      </c>
      <c r="E4175" t="inlineStr">
        <is>
          <t>1</t>
        </is>
      </c>
      <c r="F4175" t="inlineStr">
        <is>
          <t>96</t>
        </is>
      </c>
      <c r="G4175" t="inlineStr">
        <is>
          <t>0</t>
        </is>
      </c>
      <c r="H4175" t="inlineStr">
        <is>
          <t>0</t>
        </is>
      </c>
      <c r="I4175" t="inlineStr">
        <is>
          <t>3², 93²</t>
        </is>
      </c>
      <c r="J4175" t="n">
        <v>4</v>
      </c>
      <c r="K4175" t="inlineStr">
        <is>
          <t>1², 2², 30¹, 60¹</t>
        </is>
      </c>
      <c r="L4175" t="inlineStr">
        <is>
          <t>3C⁰, 93A⁸</t>
        </is>
      </c>
      <c r="M4175" t="inlineStr"/>
      <c r="N4175" t="inlineStr">
        <is>
          <t>3C⁰, 31A², 93A⁸, 3A⁰, 1A⁰</t>
        </is>
      </c>
      <c r="O4175" t="inlineStr"/>
    </row>
    <row r="4176">
      <c r="A4176">
        <f>HYPERLINK("https://mathstats.uncg.edu/sites/pauli/congruence/csg15.html#group95A15", "95A¹⁵")</f>
        <v/>
      </c>
      <c r="B4176" t="n">
        <v>15</v>
      </c>
      <c r="C4176" t="inlineStr"/>
      <c r="D4176" t="inlineStr">
        <is>
          <t>200</t>
        </is>
      </c>
      <c r="E4176" t="inlineStr">
        <is>
          <t>1</t>
        </is>
      </c>
      <c r="F4176" t="inlineStr">
        <is>
          <t>200</t>
        </is>
      </c>
      <c r="G4176" t="inlineStr">
        <is>
          <t>0</t>
        </is>
      </c>
      <c r="H4176" t="inlineStr">
        <is>
          <t>2</t>
        </is>
      </c>
      <c r="I4176" t="inlineStr">
        <is>
          <t>5², 95²</t>
        </is>
      </c>
      <c r="J4176" t="n">
        <v>4</v>
      </c>
      <c r="K4176" t="inlineStr">
        <is>
          <t>2², 4⁴, 36¹, 72²</t>
        </is>
      </c>
      <c r="L4176" t="inlineStr">
        <is>
          <t>5C⁰, 19A¹</t>
        </is>
      </c>
      <c r="M4176" t="inlineStr"/>
      <c r="N4176" t="inlineStr">
        <is>
          <t>19A¹, 5C⁰, 1A⁰</t>
        </is>
      </c>
      <c r="O4176" t="inlineStr"/>
    </row>
    <row r="4177">
      <c r="A4177">
        <f>HYPERLINK("https://mathstats.uncg.edu/sites/pauli/congruence/csg15.html#group96A15", "96A¹⁵")</f>
        <v/>
      </c>
      <c r="B4177" t="n">
        <v>15</v>
      </c>
      <c r="C4177" t="inlineStr"/>
      <c r="D4177" t="inlineStr">
        <is>
          <t>192</t>
        </is>
      </c>
      <c r="E4177" t="inlineStr">
        <is>
          <t>1</t>
        </is>
      </c>
      <c r="F4177" t="inlineStr">
        <is>
          <t>48</t>
        </is>
      </c>
      <c r="G4177" t="inlineStr">
        <is>
          <t>0</t>
        </is>
      </c>
      <c r="H4177" t="inlineStr">
        <is>
          <t>0</t>
        </is>
      </c>
      <c r="I4177" t="inlineStr">
        <is>
          <t>16¹, 32¹, 48¹, 96¹</t>
        </is>
      </c>
      <c r="J4177" t="n">
        <v>4</v>
      </c>
      <c r="K4177" t="inlineStr">
        <is>
          <t>2¹², 4⁶</t>
        </is>
      </c>
      <c r="L4177" t="inlineStr">
        <is>
          <t>48D⁷</t>
        </is>
      </c>
      <c r="M4177" t="inlineStr"/>
      <c r="N4177" t="inlineStr">
        <is>
          <t>48D⁷, 3B⁰, 24B³, 12F¹, 4C⁰, 8B⁰, 6F⁰, 2B⁰, 1A⁰, 16A²</t>
        </is>
      </c>
      <c r="O4177" t="inlineStr"/>
    </row>
    <row r="4178">
      <c r="A4178">
        <f>HYPERLINK("https://mathstats.uncg.edu/sites/pauli/congruence/csg15.html#group96B15", "96B¹⁵")</f>
        <v/>
      </c>
      <c r="B4178" t="n">
        <v>15</v>
      </c>
      <c r="C4178" t="inlineStr"/>
      <c r="D4178" t="inlineStr">
        <is>
          <t>192</t>
        </is>
      </c>
      <c r="E4178" t="inlineStr">
        <is>
          <t>1</t>
        </is>
      </c>
      <c r="F4178" t="inlineStr">
        <is>
          <t>48</t>
        </is>
      </c>
      <c r="G4178" t="inlineStr">
        <is>
          <t>0</t>
        </is>
      </c>
      <c r="H4178" t="inlineStr">
        <is>
          <t>0</t>
        </is>
      </c>
      <c r="I4178" t="inlineStr">
        <is>
          <t>16¹, 32¹, 48¹, 96¹</t>
        </is>
      </c>
      <c r="J4178" t="n">
        <v>4</v>
      </c>
      <c r="K4178" t="inlineStr">
        <is>
          <t>2¹², 4⁶</t>
        </is>
      </c>
      <c r="L4178" t="inlineStr">
        <is>
          <t>48D⁷</t>
        </is>
      </c>
      <c r="M4178" t="inlineStr"/>
      <c r="N4178" t="inlineStr">
        <is>
          <t>48D⁷, 3B⁰, 24B³, 12F¹, 4C⁰, 8B⁰, 6F⁰, 2B⁰, 1A⁰, 16A²</t>
        </is>
      </c>
      <c r="O4178" t="inlineStr"/>
    </row>
    <row r="4179">
      <c r="A4179">
        <f>HYPERLINK("https://mathstats.uncg.edu/sites/pauli/congruence/csg15.html#group96C15", "96C¹⁵")</f>
        <v/>
      </c>
      <c r="B4179" t="n">
        <v>15</v>
      </c>
      <c r="C4179" t="inlineStr"/>
      <c r="D4179" t="inlineStr">
        <is>
          <t>192</t>
        </is>
      </c>
      <c r="E4179" t="inlineStr">
        <is>
          <t>1</t>
        </is>
      </c>
      <c r="F4179" t="inlineStr">
        <is>
          <t>48</t>
        </is>
      </c>
      <c r="G4179" t="inlineStr">
        <is>
          <t>0</t>
        </is>
      </c>
      <c r="H4179" t="inlineStr">
        <is>
          <t>0</t>
        </is>
      </c>
      <c r="I4179" t="inlineStr">
        <is>
          <t>16¹, 32¹, 48¹, 96¹</t>
        </is>
      </c>
      <c r="J4179" t="n">
        <v>4</v>
      </c>
      <c r="K4179" t="inlineStr">
        <is>
          <t>2¹², 4⁶</t>
        </is>
      </c>
      <c r="L4179" t="inlineStr">
        <is>
          <t>32B¹, 48C⁷</t>
        </is>
      </c>
      <c r="M4179" t="inlineStr"/>
      <c r="N4179" t="inlineStr">
        <is>
          <t>16B⁰, 3B⁰, 24B³, 12F¹, 4C⁰, 8B⁰, 1A⁰, 32B¹, 2B⁰, 48C⁷, 6F⁰</t>
        </is>
      </c>
      <c r="O4179" t="inlineStr"/>
    </row>
    <row r="4180">
      <c r="A4180">
        <f>HYPERLINK("https://mathstats.uncg.edu/sites/pauli/congruence/csg15.html#group96D15", "96D¹⁵")</f>
        <v/>
      </c>
      <c r="B4180" t="n">
        <v>15</v>
      </c>
      <c r="C4180" t="inlineStr"/>
      <c r="D4180" t="inlineStr">
        <is>
          <t>192</t>
        </is>
      </c>
      <c r="E4180" t="inlineStr">
        <is>
          <t>1</t>
        </is>
      </c>
      <c r="F4180" t="inlineStr">
        <is>
          <t>48</t>
        </is>
      </c>
      <c r="G4180" t="inlineStr">
        <is>
          <t>0</t>
        </is>
      </c>
      <c r="H4180" t="inlineStr">
        <is>
          <t>0</t>
        </is>
      </c>
      <c r="I4180" t="inlineStr">
        <is>
          <t>16¹, 32¹, 48¹, 96¹</t>
        </is>
      </c>
      <c r="J4180" t="n">
        <v>4</v>
      </c>
      <c r="K4180" t="inlineStr">
        <is>
          <t>2¹², 4⁶</t>
        </is>
      </c>
      <c r="L4180" t="inlineStr">
        <is>
          <t>32D³, 48C⁷</t>
        </is>
      </c>
      <c r="M4180" t="inlineStr"/>
      <c r="N4180" t="inlineStr">
        <is>
          <t>16B⁰, 3B⁰, 24B³, 12F¹, 4C⁰, 8B⁰, 32D³, 2B⁰, 1A⁰, 48C⁷, 6F⁰</t>
        </is>
      </c>
      <c r="O4180" t="inlineStr"/>
    </row>
    <row r="4181">
      <c r="A4181">
        <f>HYPERLINK("https://mathstats.uncg.edu/sites/pauli/congruence/csg15.html#group96E15", "96E¹⁵")</f>
        <v/>
      </c>
      <c r="B4181" t="n">
        <v>15</v>
      </c>
      <c r="C4181" t="inlineStr"/>
      <c r="D4181" t="inlineStr">
        <is>
          <t>192</t>
        </is>
      </c>
      <c r="E4181" t="inlineStr">
        <is>
          <t>1</t>
        </is>
      </c>
      <c r="F4181" t="inlineStr">
        <is>
          <t>96</t>
        </is>
      </c>
      <c r="G4181" t="inlineStr">
        <is>
          <t>0</t>
        </is>
      </c>
      <c r="H4181" t="inlineStr">
        <is>
          <t>0</t>
        </is>
      </c>
      <c r="I4181" t="inlineStr">
        <is>
          <t>16¹, 32¹, 48¹, 96¹</t>
        </is>
      </c>
      <c r="J4181" t="n">
        <v>4</v>
      </c>
      <c r="K4181" t="inlineStr">
        <is>
          <t>2¹⁶, 4⁸, 8², 16¹</t>
        </is>
      </c>
      <c r="L4181" t="inlineStr">
        <is>
          <t>48H⁷</t>
        </is>
      </c>
      <c r="M4181" t="inlineStr"/>
      <c r="N4181" t="inlineStr">
        <is>
          <t>24C³, 3B⁰, 16B², 8A¹, 48H⁷, 12F¹, 4C⁰, 6F⁰, 2B⁰, 1A⁰</t>
        </is>
      </c>
      <c r="O4181" t="inlineStr"/>
    </row>
    <row r="4182">
      <c r="A4182">
        <f>HYPERLINK("https://mathstats.uncg.edu/sites/pauli/congruence/csg15.html#group96F15", "96F¹⁵")</f>
        <v/>
      </c>
      <c r="B4182" t="n">
        <v>15</v>
      </c>
      <c r="C4182" t="inlineStr"/>
      <c r="D4182" t="inlineStr">
        <is>
          <t>192</t>
        </is>
      </c>
      <c r="E4182" t="inlineStr">
        <is>
          <t>1</t>
        </is>
      </c>
      <c r="F4182" t="inlineStr">
        <is>
          <t>96</t>
        </is>
      </c>
      <c r="G4182" t="inlineStr">
        <is>
          <t>0</t>
        </is>
      </c>
      <c r="H4182" t="inlineStr">
        <is>
          <t>0</t>
        </is>
      </c>
      <c r="I4182" t="inlineStr">
        <is>
          <t>16¹, 32¹, 48¹, 96¹</t>
        </is>
      </c>
      <c r="J4182" t="n">
        <v>4</v>
      </c>
      <c r="K4182" t="inlineStr">
        <is>
          <t>2¹⁶, 4⁸, 8², 16¹</t>
        </is>
      </c>
      <c r="L4182" t="inlineStr">
        <is>
          <t>48H⁷</t>
        </is>
      </c>
      <c r="M4182" t="inlineStr"/>
      <c r="N4182" t="inlineStr">
        <is>
          <t>24C³, 3B⁰, 16B², 8A¹, 48H⁷, 12F¹, 4C⁰, 6F⁰, 2B⁰, 1A⁰</t>
        </is>
      </c>
      <c r="O4182" t="inlineStr"/>
    </row>
    <row r="4183">
      <c r="A4183">
        <f>HYPERLINK("https://mathstats.uncg.edu/sites/pauli/congruence/csg15.html#group96G15", "96G¹⁵")</f>
        <v/>
      </c>
      <c r="B4183" t="n">
        <v>15</v>
      </c>
      <c r="C4183" t="inlineStr"/>
      <c r="D4183" t="inlineStr">
        <is>
          <t>192</t>
        </is>
      </c>
      <c r="E4183" t="inlineStr">
        <is>
          <t>1</t>
        </is>
      </c>
      <c r="F4183" t="inlineStr">
        <is>
          <t>96</t>
        </is>
      </c>
      <c r="G4183" t="inlineStr">
        <is>
          <t>0</t>
        </is>
      </c>
      <c r="H4183" t="inlineStr">
        <is>
          <t>0</t>
        </is>
      </c>
      <c r="I4183" t="inlineStr">
        <is>
          <t>16¹, 32¹, 48¹, 96¹</t>
        </is>
      </c>
      <c r="J4183" t="n">
        <v>4</v>
      </c>
      <c r="K4183" t="inlineStr">
        <is>
          <t>2¹⁶, 4⁸, 8², 16¹</t>
        </is>
      </c>
      <c r="L4183" t="inlineStr">
        <is>
          <t>32E³, 48G⁷</t>
        </is>
      </c>
      <c r="M4183" t="inlineStr"/>
      <c r="N4183" t="inlineStr">
        <is>
          <t>3B⁰, 16D¹, 24B³, 48G⁷, 12F¹, 4C⁰, 8B⁰, 6F⁰, 32E³, 2B⁰, 1A⁰</t>
        </is>
      </c>
      <c r="O4183" t="inlineStr"/>
    </row>
    <row r="4184">
      <c r="A4184">
        <f>HYPERLINK("https://mathstats.uncg.edu/sites/pauli/congruence/csg15.html#group96H15", "96H¹⁵")</f>
        <v/>
      </c>
      <c r="B4184" t="n">
        <v>15</v>
      </c>
      <c r="C4184" t="inlineStr"/>
      <c r="D4184" t="inlineStr">
        <is>
          <t>192</t>
        </is>
      </c>
      <c r="E4184" t="inlineStr">
        <is>
          <t>1</t>
        </is>
      </c>
      <c r="F4184" t="inlineStr">
        <is>
          <t>96</t>
        </is>
      </c>
      <c r="G4184" t="inlineStr">
        <is>
          <t>0</t>
        </is>
      </c>
      <c r="H4184" t="inlineStr">
        <is>
          <t>0</t>
        </is>
      </c>
      <c r="I4184" t="inlineStr">
        <is>
          <t>16¹, 32¹, 48¹, 96¹</t>
        </is>
      </c>
      <c r="J4184" t="n">
        <v>4</v>
      </c>
      <c r="K4184" t="inlineStr">
        <is>
          <t>2¹⁶, 4⁸, 8², 16¹</t>
        </is>
      </c>
      <c r="L4184" t="inlineStr">
        <is>
          <t>32F³, 48G⁷</t>
        </is>
      </c>
      <c r="M4184" t="inlineStr"/>
      <c r="N4184" t="inlineStr">
        <is>
          <t>3B⁰, 16D¹, 24B³, 48G⁷, 12F¹, 4C⁰, 8B⁰, 6F⁰, 2B⁰, 32F³, 1A⁰</t>
        </is>
      </c>
      <c r="O4184" t="inlineStr"/>
    </row>
    <row r="4185">
      <c r="A4185">
        <f>HYPERLINK("https://mathstats.uncg.edu/sites/pauli/congruence/csg15.html#group96I15", "96I¹⁵")</f>
        <v/>
      </c>
      <c r="B4185" t="n">
        <v>15</v>
      </c>
      <c r="C4185" t="inlineStr"/>
      <c r="D4185" t="inlineStr">
        <is>
          <t>192</t>
        </is>
      </c>
      <c r="E4185" t="inlineStr">
        <is>
          <t>1</t>
        </is>
      </c>
      <c r="F4185" t="inlineStr">
        <is>
          <t>96</t>
        </is>
      </c>
      <c r="G4185" t="inlineStr">
        <is>
          <t>0</t>
        </is>
      </c>
      <c r="H4185" t="inlineStr">
        <is>
          <t>0</t>
        </is>
      </c>
      <c r="I4185" t="inlineStr">
        <is>
          <t>16¹, 32¹, 48¹, 96¹</t>
        </is>
      </c>
      <c r="J4185" t="n">
        <v>4</v>
      </c>
      <c r="K4185" t="inlineStr">
        <is>
          <t>2¹⁶, 4⁸, 8², 16¹</t>
        </is>
      </c>
      <c r="L4185" t="inlineStr">
        <is>
          <t>32G³, 48G⁷</t>
        </is>
      </c>
      <c r="M4185" t="inlineStr"/>
      <c r="N4185" t="inlineStr">
        <is>
          <t>3B⁰, 16D¹, 24B³, 48G⁷, 12F¹, 4C⁰, 8B⁰, 6F⁰, 2B⁰, 32G³, 1A⁰</t>
        </is>
      </c>
      <c r="O4185" t="inlineStr"/>
    </row>
    <row r="4186">
      <c r="A4186">
        <f>HYPERLINK("https://mathstats.uncg.edu/sites/pauli/congruence/csg15.html#group96J15", "96J¹⁵")</f>
        <v/>
      </c>
      <c r="B4186" t="n">
        <v>15</v>
      </c>
      <c r="C4186" t="inlineStr"/>
      <c r="D4186" t="inlineStr">
        <is>
          <t>192</t>
        </is>
      </c>
      <c r="E4186" t="inlineStr">
        <is>
          <t>1</t>
        </is>
      </c>
      <c r="F4186" t="inlineStr">
        <is>
          <t>96</t>
        </is>
      </c>
      <c r="G4186" t="inlineStr">
        <is>
          <t>0</t>
        </is>
      </c>
      <c r="H4186" t="inlineStr">
        <is>
          <t>0</t>
        </is>
      </c>
      <c r="I4186" t="inlineStr">
        <is>
          <t>16¹, 32¹, 48¹, 96¹</t>
        </is>
      </c>
      <c r="J4186" t="n">
        <v>4</v>
      </c>
      <c r="K4186" t="inlineStr">
        <is>
          <t>2¹⁶, 4⁸, 8², 16¹</t>
        </is>
      </c>
      <c r="L4186" t="inlineStr">
        <is>
          <t>32H³, 48G⁷</t>
        </is>
      </c>
      <c r="M4186" t="inlineStr"/>
      <c r="N4186" t="inlineStr">
        <is>
          <t>3B⁰, 16D¹, 24B³, 48G⁷, 12F¹, 4C⁰, 8B⁰, 6F⁰, 2B⁰, 1A⁰, 32H³</t>
        </is>
      </c>
      <c r="O4186" t="inlineStr"/>
    </row>
    <row r="4187">
      <c r="A4187">
        <f>HYPERLINK("https://mathstats.uncg.edu/sites/pauli/congruence/csg15.html#group96K15", "96K¹⁵")</f>
        <v/>
      </c>
      <c r="B4187" t="n">
        <v>15</v>
      </c>
      <c r="C4187" t="inlineStr"/>
      <c r="D4187" t="inlineStr">
        <is>
          <t>192</t>
        </is>
      </c>
      <c r="E4187" t="inlineStr">
        <is>
          <t>1</t>
        </is>
      </c>
      <c r="F4187" t="inlineStr">
        <is>
          <t>96</t>
        </is>
      </c>
      <c r="G4187" t="inlineStr">
        <is>
          <t>0</t>
        </is>
      </c>
      <c r="H4187" t="inlineStr">
        <is>
          <t>0</t>
        </is>
      </c>
      <c r="I4187" t="inlineStr">
        <is>
          <t>16¹, 32¹, 48¹, 96¹</t>
        </is>
      </c>
      <c r="J4187" t="n">
        <v>4</v>
      </c>
      <c r="K4187" t="inlineStr">
        <is>
          <t>2¹⁶, 4⁸, 8², 16¹</t>
        </is>
      </c>
      <c r="L4187" t="inlineStr">
        <is>
          <t>32A⁴, 48H⁷</t>
        </is>
      </c>
      <c r="M4187" t="inlineStr"/>
      <c r="N4187" t="inlineStr">
        <is>
          <t>3B⁰, 8A¹, 48H⁷, 12F¹, 4C⁰, 2B⁰, 32A⁴, 1A⁰, 24C³, 16B², 6F⁰</t>
        </is>
      </c>
      <c r="O4187" t="inlineStr"/>
    </row>
    <row r="4188">
      <c r="A4188">
        <f>HYPERLINK("https://mathstats.uncg.edu/sites/pauli/congruence/csg15.html#group96L15", "96L¹⁵")</f>
        <v/>
      </c>
      <c r="B4188" t="n">
        <v>15</v>
      </c>
      <c r="C4188" t="inlineStr"/>
      <c r="D4188" t="inlineStr">
        <is>
          <t>192</t>
        </is>
      </c>
      <c r="E4188" t="inlineStr">
        <is>
          <t>1</t>
        </is>
      </c>
      <c r="F4188" t="inlineStr">
        <is>
          <t>96</t>
        </is>
      </c>
      <c r="G4188" t="inlineStr">
        <is>
          <t>0</t>
        </is>
      </c>
      <c r="H4188" t="inlineStr">
        <is>
          <t>0</t>
        </is>
      </c>
      <c r="I4188" t="inlineStr">
        <is>
          <t>16¹, 32¹, 48¹, 96¹</t>
        </is>
      </c>
      <c r="J4188" t="n">
        <v>4</v>
      </c>
      <c r="K4188" t="inlineStr">
        <is>
          <t>2¹⁶, 4⁸, 8², 16¹</t>
        </is>
      </c>
      <c r="L4188" t="inlineStr">
        <is>
          <t>32B⁴, 48H⁷</t>
        </is>
      </c>
      <c r="M4188" t="inlineStr"/>
      <c r="N4188" t="inlineStr">
        <is>
          <t>24C³, 3B⁰, 16B², 8A¹, 48H⁷, 12F¹, 4C⁰, 6F⁰, 2B⁰, 1A⁰, 32B⁴</t>
        </is>
      </c>
      <c r="O4188" t="inlineStr"/>
    </row>
    <row r="4189">
      <c r="A4189">
        <f>HYPERLINK("https://mathstats.uncg.edu/sites/pauli/congruence/csg15.html#group96M15", "96M¹⁵")</f>
        <v/>
      </c>
      <c r="B4189" t="n">
        <v>15</v>
      </c>
      <c r="C4189" t="inlineStr"/>
      <c r="D4189" t="inlineStr">
        <is>
          <t>288</t>
        </is>
      </c>
      <c r="E4189" t="inlineStr">
        <is>
          <t>1</t>
        </is>
      </c>
      <c r="F4189" t="inlineStr">
        <is>
          <t>18</t>
        </is>
      </c>
      <c r="G4189" t="inlineStr">
        <is>
          <t>0</t>
        </is>
      </c>
      <c r="H4189" t="inlineStr">
        <is>
          <t>0</t>
        </is>
      </c>
      <c r="I4189" t="inlineStr">
        <is>
          <t>3¹⁶, 24², 96²</t>
        </is>
      </c>
      <c r="J4189" t="n">
        <v>20</v>
      </c>
      <c r="K4189" t="inlineStr">
        <is>
          <t>1⁴, 2⁵, 4¹</t>
        </is>
      </c>
      <c r="L4189" t="inlineStr">
        <is>
          <t>48R⁷, 96B⁸</t>
        </is>
      </c>
      <c r="M4189" t="inlineStr"/>
      <c r="N4189" t="inlineStr">
        <is>
          <t>12K¹, 48F⁴, 6G⁰, 8C⁰, 2B⁰, 4B⁰, 1A⁰, 48B⁴, 24B², 48R⁷, 96B⁸, 16C⁰, 24D², 3C⁰, 12B¹, 12D⁰, 3A⁰, 24L³, 6D⁰</t>
        </is>
      </c>
      <c r="O4189" t="inlineStr"/>
    </row>
    <row r="4190">
      <c r="A4190">
        <f>HYPERLINK("https://mathstats.uncg.edu/sites/pauli/congruence/csg15.html#group96N15", "96N¹⁵")</f>
        <v/>
      </c>
      <c r="B4190" t="n">
        <v>15</v>
      </c>
      <c r="C4190" t="inlineStr"/>
      <c r="D4190" t="inlineStr">
        <is>
          <t>288</t>
        </is>
      </c>
      <c r="E4190" t="inlineStr">
        <is>
          <t>1</t>
        </is>
      </c>
      <c r="F4190" t="inlineStr">
        <is>
          <t>18</t>
        </is>
      </c>
      <c r="G4190" t="inlineStr">
        <is>
          <t>0</t>
        </is>
      </c>
      <c r="H4190" t="inlineStr">
        <is>
          <t>0</t>
        </is>
      </c>
      <c r="I4190" t="inlineStr">
        <is>
          <t>3¹⁶, 24², 96²</t>
        </is>
      </c>
      <c r="J4190" t="n">
        <v>20</v>
      </c>
      <c r="K4190" t="inlineStr">
        <is>
          <t>1⁴, 2⁵, 4¹</t>
        </is>
      </c>
      <c r="L4190" t="inlineStr">
        <is>
          <t>48R⁷, 96A⁸, 96B⁸</t>
        </is>
      </c>
      <c r="M4190" t="inlineStr"/>
      <c r="N4190" t="inlineStr">
        <is>
          <t>12K¹, 48F⁴, 6G⁰, 8C⁰, 2B⁰, 4B⁰, 1A⁰, 48B⁴, 24B², 48R⁷, 96B⁸, 16C⁰, 32A⁰, 24D², 3C⁰, 12B¹, 12D⁰, 96A⁸, 3A⁰, 24L³, 6D⁰</t>
        </is>
      </c>
      <c r="O4190" t="inlineStr"/>
    </row>
    <row r="4191">
      <c r="A4191">
        <f>HYPERLINK("https://mathstats.uncg.edu/sites/pauli/congruence/csg15.html#group96O15", "96O¹⁵")</f>
        <v/>
      </c>
      <c r="B4191" t="n">
        <v>15</v>
      </c>
      <c r="C4191" t="inlineStr"/>
      <c r="D4191" t="inlineStr">
        <is>
          <t>288</t>
        </is>
      </c>
      <c r="E4191" t="inlineStr">
        <is>
          <t>1</t>
        </is>
      </c>
      <c r="F4191" t="inlineStr">
        <is>
          <t>18</t>
        </is>
      </c>
      <c r="G4191" t="inlineStr">
        <is>
          <t>32</t>
        </is>
      </c>
      <c r="H4191" t="inlineStr">
        <is>
          <t>0</t>
        </is>
      </c>
      <c r="I4191" t="inlineStr">
        <is>
          <t>48², 96²</t>
        </is>
      </c>
      <c r="J4191" t="n">
        <v>4</v>
      </c>
      <c r="K4191" t="inlineStr">
        <is>
          <t>1², 2⁴, 4²</t>
        </is>
      </c>
      <c r="L4191" t="inlineStr">
        <is>
          <t>48E⁵, 96A⁵</t>
        </is>
      </c>
      <c r="M4191" t="inlineStr"/>
      <c r="N4191" t="inlineStr">
        <is>
          <t>48E⁵, 12C⁰, 8D⁰, 96A⁵, 4C⁰, 8B⁰, 16B¹, 48A⁰, 2B⁰, 24L², 1A⁰, 8H⁰, 48C³, 16B⁰, 12A⁰, 24A⁰, 4A⁰, 24C¹, 12J¹, 4F⁰, 16F¹, 3A⁰, 6D⁰</t>
        </is>
      </c>
      <c r="O4191" t="inlineStr"/>
    </row>
    <row r="4192">
      <c r="A4192">
        <f>HYPERLINK("https://mathstats.uncg.edu/sites/pauli/congruence/csg15.html#group96P15", "96P¹⁵")</f>
        <v/>
      </c>
      <c r="B4192" t="n">
        <v>15</v>
      </c>
      <c r="C4192" t="inlineStr"/>
      <c r="D4192" t="inlineStr">
        <is>
          <t>288</t>
        </is>
      </c>
      <c r="E4192" t="inlineStr">
        <is>
          <t>1</t>
        </is>
      </c>
      <c r="F4192" t="inlineStr">
        <is>
          <t>36</t>
        </is>
      </c>
      <c r="G4192" t="inlineStr">
        <is>
          <t>0</t>
        </is>
      </c>
      <c r="H4192" t="inlineStr">
        <is>
          <t>0</t>
        </is>
      </c>
      <c r="I4192" t="inlineStr">
        <is>
          <t>3¹⁶, 24², 96²</t>
        </is>
      </c>
      <c r="J4192" t="n">
        <v>20</v>
      </c>
      <c r="K4192" t="inlineStr">
        <is>
          <t>2⁴, 4⁷</t>
        </is>
      </c>
      <c r="L4192" t="inlineStr">
        <is>
          <t>48Q⁷</t>
        </is>
      </c>
      <c r="M4192" t="inlineStr"/>
      <c r="N4192" t="inlineStr">
        <is>
          <t>12K¹, 48F⁴, 6G⁰, 8C⁰, 2B⁰, 4B⁰, 1A⁰, 48Q⁷, 24B², 24D², 3C⁰, 12B¹, 12D⁰, 3A⁰, 24L³, 6D⁰</t>
        </is>
      </c>
      <c r="O4192" t="inlineStr"/>
    </row>
    <row r="4193">
      <c r="A4193">
        <f>HYPERLINK("https://mathstats.uncg.edu/sites/pauli/congruence/csg15.html#group96Q15", "96Q¹⁵")</f>
        <v/>
      </c>
      <c r="B4193" t="n">
        <v>15</v>
      </c>
      <c r="C4193" t="inlineStr"/>
      <c r="D4193" t="inlineStr">
        <is>
          <t>288</t>
        </is>
      </c>
      <c r="E4193" t="inlineStr">
        <is>
          <t>1</t>
        </is>
      </c>
      <c r="F4193" t="inlineStr">
        <is>
          <t>36</t>
        </is>
      </c>
      <c r="G4193" t="inlineStr">
        <is>
          <t>32</t>
        </is>
      </c>
      <c r="H4193" t="inlineStr">
        <is>
          <t>0</t>
        </is>
      </c>
      <c r="I4193" t="inlineStr">
        <is>
          <t>48², 96²</t>
        </is>
      </c>
      <c r="J4193" t="n">
        <v>4</v>
      </c>
      <c r="K4193" t="inlineStr">
        <is>
          <t>2², 4⁸</t>
        </is>
      </c>
      <c r="L4193" t="inlineStr">
        <is>
          <t>48G⁵, 96A⁵</t>
        </is>
      </c>
      <c r="M4193" t="inlineStr"/>
      <c r="N4193" t="inlineStr">
        <is>
          <t>24E¹, 12C⁰, 96A⁵, 4C⁰, 8B⁰, 24P², 48A⁰, 12M¹, 2B⁰, 48G⁵, 1A⁰, 16B⁰, 24A⁰, 48F³, 3A⁰, 6D⁰</t>
        </is>
      </c>
      <c r="O4193" t="inlineStr"/>
    </row>
    <row r="4194">
      <c r="A4194">
        <f>HYPERLINK("https://mathstats.uncg.edu/sites/pauli/congruence/csg15.html#group96R15", "96R¹⁵")</f>
        <v/>
      </c>
      <c r="B4194" t="n">
        <v>15</v>
      </c>
      <c r="C4194" t="inlineStr"/>
      <c r="D4194" t="inlineStr">
        <is>
          <t>288</t>
        </is>
      </c>
      <c r="E4194" t="inlineStr">
        <is>
          <t>1</t>
        </is>
      </c>
      <c r="F4194" t="inlineStr">
        <is>
          <t>36</t>
        </is>
      </c>
      <c r="G4194" t="inlineStr">
        <is>
          <t>32</t>
        </is>
      </c>
      <c r="H4194" t="inlineStr">
        <is>
          <t>0</t>
        </is>
      </c>
      <c r="I4194" t="inlineStr">
        <is>
          <t>48², 96²</t>
        </is>
      </c>
      <c r="J4194" t="n">
        <v>4</v>
      </c>
      <c r="K4194" t="inlineStr">
        <is>
          <t>2⁶, 4⁶</t>
        </is>
      </c>
      <c r="L4194" t="inlineStr">
        <is>
          <t>96A³, 48G⁵, 96A⁷</t>
        </is>
      </c>
      <c r="M4194" t="inlineStr"/>
      <c r="N4194" t="inlineStr">
        <is>
          <t>24E¹, 12C⁰, 4C⁰, 8B⁰, 24P², 48A⁰, 12M¹, 2B⁰, 48G⁵, 1A⁰, 16B⁰, 24A⁰, 96A⁷, 32B¹, 48F³, 3A⁰, 96A³, 6D⁰</t>
        </is>
      </c>
      <c r="O4194" t="inlineStr"/>
    </row>
    <row r="4195">
      <c r="A4195">
        <f>HYPERLINK("https://mathstats.uncg.edu/sites/pauli/congruence/csg15.html#group96S15", "96S¹⁵")</f>
        <v/>
      </c>
      <c r="B4195" t="n">
        <v>15</v>
      </c>
      <c r="C4195" t="inlineStr"/>
      <c r="D4195" t="inlineStr">
        <is>
          <t>288</t>
        </is>
      </c>
      <c r="E4195" t="inlineStr">
        <is>
          <t>1</t>
        </is>
      </c>
      <c r="F4195" t="inlineStr">
        <is>
          <t>36</t>
        </is>
      </c>
      <c r="G4195" t="inlineStr">
        <is>
          <t>32</t>
        </is>
      </c>
      <c r="H4195" t="inlineStr">
        <is>
          <t>0</t>
        </is>
      </c>
      <c r="I4195" t="inlineStr">
        <is>
          <t>48², 96²</t>
        </is>
      </c>
      <c r="J4195" t="n">
        <v>4</v>
      </c>
      <c r="K4195" t="inlineStr">
        <is>
          <t>1⁴, 2⁶, 4³, 8¹</t>
        </is>
      </c>
      <c r="L4195" t="inlineStr">
        <is>
          <t>48F⁵, 96A⁵</t>
        </is>
      </c>
      <c r="M4195" t="inlineStr"/>
      <c r="N4195" t="inlineStr">
        <is>
          <t>48F⁵, 12C⁰, 96A⁵, 4C⁰, 8B⁰, 48A⁰, 8L⁰, 2B⁰, 16J¹, 1A⁰, 16B⁰, 16D¹, 48E³, 24A⁰, 24M², 3A⁰, 6D⁰</t>
        </is>
      </c>
      <c r="O4195" t="inlineStr"/>
    </row>
    <row r="4196">
      <c r="A4196">
        <f>HYPERLINK("https://mathstats.uncg.edu/sites/pauli/congruence/csg15.html#group96T15", "96T¹⁵")</f>
        <v/>
      </c>
      <c r="B4196" t="n">
        <v>15</v>
      </c>
      <c r="C4196" t="inlineStr"/>
      <c r="D4196" t="inlineStr">
        <is>
          <t>288</t>
        </is>
      </c>
      <c r="E4196" t="inlineStr">
        <is>
          <t>1</t>
        </is>
      </c>
      <c r="F4196" t="inlineStr">
        <is>
          <t>36</t>
        </is>
      </c>
      <c r="G4196" t="inlineStr">
        <is>
          <t>32</t>
        </is>
      </c>
      <c r="H4196" t="inlineStr">
        <is>
          <t>0</t>
        </is>
      </c>
      <c r="I4196" t="inlineStr">
        <is>
          <t>48², 96²</t>
        </is>
      </c>
      <c r="J4196" t="n">
        <v>4</v>
      </c>
      <c r="K4196" t="inlineStr">
        <is>
          <t>2⁴, 4¹⁰, 8³</t>
        </is>
      </c>
      <c r="L4196" t="inlineStr">
        <is>
          <t>48H⁵, 96A⁵</t>
        </is>
      </c>
      <c r="M4196" t="inlineStr"/>
      <c r="N4196" t="inlineStr">
        <is>
          <t>16B⁰, 12C⁰, 24A⁰, 96A⁵, 4C⁰, 8B⁰, 24Q², 48H⁵, 48A⁰, 2B⁰, 3A⁰, 1A⁰, 48H³, 6D⁰</t>
        </is>
      </c>
      <c r="O4196" t="inlineStr"/>
    </row>
    <row r="4197">
      <c r="A4197">
        <f>HYPERLINK("https://mathstats.uncg.edu/sites/pauli/congruence/csg15.html#group96U15", "96U¹⁵")</f>
        <v/>
      </c>
      <c r="B4197" t="n">
        <v>15</v>
      </c>
      <c r="C4197" t="inlineStr"/>
      <c r="D4197" t="inlineStr">
        <is>
          <t>288</t>
        </is>
      </c>
      <c r="E4197" t="inlineStr">
        <is>
          <t>1</t>
        </is>
      </c>
      <c r="F4197" t="inlineStr">
        <is>
          <t>36</t>
        </is>
      </c>
      <c r="G4197" t="inlineStr">
        <is>
          <t>32</t>
        </is>
      </c>
      <c r="H4197" t="inlineStr">
        <is>
          <t>0</t>
        </is>
      </c>
      <c r="I4197" t="inlineStr">
        <is>
          <t>48², 96²</t>
        </is>
      </c>
      <c r="J4197" t="n">
        <v>4</v>
      </c>
      <c r="K4197" t="inlineStr">
        <is>
          <t>2⁴, 4¹⁰, 8³</t>
        </is>
      </c>
      <c r="L4197" t="inlineStr">
        <is>
          <t>48H⁵, 96A⁵</t>
        </is>
      </c>
      <c r="M4197" t="inlineStr"/>
      <c r="N4197" t="inlineStr">
        <is>
          <t>16B⁰, 12C⁰, 24A⁰, 96A⁵, 4C⁰, 8B⁰, 24Q², 48H⁵, 48A⁰, 2B⁰, 3A⁰, 1A⁰, 48H³, 6D⁰</t>
        </is>
      </c>
      <c r="O4197" t="inlineStr"/>
    </row>
    <row r="4198">
      <c r="A4198">
        <f>HYPERLINK("https://mathstats.uncg.edu/sites/pauli/congruence/csg15.html#group96V15", "96V¹⁵")</f>
        <v/>
      </c>
      <c r="B4198" t="n">
        <v>15</v>
      </c>
      <c r="C4198" t="inlineStr"/>
      <c r="D4198" t="inlineStr">
        <is>
          <t>288</t>
        </is>
      </c>
      <c r="E4198" t="inlineStr">
        <is>
          <t>2</t>
        </is>
      </c>
      <c r="F4198" t="inlineStr">
        <is>
          <t>36</t>
        </is>
      </c>
      <c r="G4198" t="inlineStr">
        <is>
          <t>32</t>
        </is>
      </c>
      <c r="H4198" t="inlineStr">
        <is>
          <t>0</t>
        </is>
      </c>
      <c r="I4198" t="inlineStr">
        <is>
          <t>48², 96²</t>
        </is>
      </c>
      <c r="J4198" t="n">
        <v>4</v>
      </c>
      <c r="K4198" t="inlineStr">
        <is>
          <t>4¹⁸</t>
        </is>
      </c>
      <c r="L4198" t="inlineStr">
        <is>
          <t>48M³, 96A⁵, 96A⁷</t>
        </is>
      </c>
      <c r="M4198" t="inlineStr"/>
      <c r="N4198" t="inlineStr">
        <is>
          <t>6B⁰, 12C⁰, 3A⁰, 96A⁵, 4C⁰, 24D¹, 8B⁰, 48A⁰, 2B⁰, 1A⁰, 16B⁰, 48M³, 24A⁰, 96A⁷, 48A², 12D⁰, 6H⁰, 12H⁰, 24H¹, 6D⁰</t>
        </is>
      </c>
      <c r="O4198" t="inlineStr"/>
    </row>
    <row r="4199">
      <c r="A4199">
        <f>HYPERLINK("https://mathstats.uncg.edu/sites/pauli/congruence/csg15.html#group96W15", "96W¹⁵")</f>
        <v/>
      </c>
      <c r="B4199" t="n">
        <v>15</v>
      </c>
      <c r="C4199" t="inlineStr"/>
      <c r="D4199" t="inlineStr">
        <is>
          <t>288</t>
        </is>
      </c>
      <c r="E4199" t="inlineStr">
        <is>
          <t>2</t>
        </is>
      </c>
      <c r="F4199" t="inlineStr">
        <is>
          <t>36</t>
        </is>
      </c>
      <c r="G4199" t="inlineStr">
        <is>
          <t>32</t>
        </is>
      </c>
      <c r="H4199" t="inlineStr">
        <is>
          <t>0</t>
        </is>
      </c>
      <c r="I4199" t="inlineStr">
        <is>
          <t>48², 96²</t>
        </is>
      </c>
      <c r="J4199" t="n">
        <v>4</v>
      </c>
      <c r="K4199" t="inlineStr">
        <is>
          <t>2⁸, 4¹⁰, 8²</t>
        </is>
      </c>
      <c r="L4199" t="inlineStr">
        <is>
          <t>96A³, 48H⁵, 96A⁷</t>
        </is>
      </c>
      <c r="M4199" t="inlineStr"/>
      <c r="N4199" t="inlineStr">
        <is>
          <t>16B⁰, 12C⁰, 24A⁰, 96A⁷, 4C⁰, 8B⁰, 24Q², 48H⁵, 48A⁰, 32B¹, 2B⁰, 1A⁰, 3A⁰, 96A³, 48H³, 6D⁰</t>
        </is>
      </c>
      <c r="O4199" t="inlineStr"/>
    </row>
    <row r="4200">
      <c r="A4200">
        <f>HYPERLINK("https://mathstats.uncg.edu/sites/pauli/congruence/csg15.html#group98A15", "98A¹⁵")</f>
        <v/>
      </c>
      <c r="B4200" t="n">
        <v>15</v>
      </c>
      <c r="C4200" t="inlineStr"/>
      <c r="D4200" t="inlineStr">
        <is>
          <t>336</t>
        </is>
      </c>
      <c r="E4200" t="inlineStr">
        <is>
          <t>1</t>
        </is>
      </c>
      <c r="F4200" t="inlineStr">
        <is>
          <t>112</t>
        </is>
      </c>
      <c r="G4200" t="inlineStr">
        <is>
          <t>0</t>
        </is>
      </c>
      <c r="H4200" t="inlineStr">
        <is>
          <t>6</t>
        </is>
      </c>
      <c r="I4200" t="inlineStr">
        <is>
          <t>2²¹, 98³</t>
        </is>
      </c>
      <c r="J4200" t="n">
        <v>24</v>
      </c>
      <c r="K4200" t="inlineStr">
        <is>
          <t>1⁴, 6⁴, 42²</t>
        </is>
      </c>
      <c r="L4200" t="inlineStr">
        <is>
          <t>14C⁰, 98A⁵</t>
        </is>
      </c>
      <c r="M4200" t="inlineStr"/>
      <c r="N4200" t="inlineStr">
        <is>
          <t>2A⁰, 98A⁵, 7B⁰, 14B⁰, 49A¹, 14C⁰, 1A⁰</t>
        </is>
      </c>
      <c r="O4200" t="inlineStr"/>
    </row>
    <row r="4201">
      <c r="A4201">
        <f>HYPERLINK("https://mathstats.uncg.edu/sites/pauli/congruence/csg15.html#group99A15", "99A¹⁵")</f>
        <v/>
      </c>
      <c r="B4201" t="n">
        <v>15</v>
      </c>
      <c r="C4201" t="inlineStr"/>
      <c r="D4201" t="inlineStr">
        <is>
          <t>198</t>
        </is>
      </c>
      <c r="E4201" t="inlineStr">
        <is>
          <t>2</t>
        </is>
      </c>
      <c r="F4201" t="inlineStr">
        <is>
          <t>99</t>
        </is>
      </c>
      <c r="G4201" t="inlineStr">
        <is>
          <t>6</t>
        </is>
      </c>
      <c r="H4201" t="inlineStr">
        <is>
          <t>0</t>
        </is>
      </c>
      <c r="I4201" t="inlineStr">
        <is>
          <t>99²</t>
        </is>
      </c>
      <c r="J4201" t="n">
        <v>2</v>
      </c>
      <c r="K4201" t="inlineStr">
        <is>
          <t>4³, 12², 20⁶, 60⁴</t>
        </is>
      </c>
      <c r="L4201" t="inlineStr">
        <is>
          <t>9B¹, 33A⁴, 99A⁵</t>
        </is>
      </c>
      <c r="M4201" t="inlineStr"/>
      <c r="N4201" t="inlineStr">
        <is>
          <t>11A⁰, 9A⁰, 33A¹, 99A⁵, 3C⁰, 3A⁰, 1A⁰, 9B¹, 33A⁴</t>
        </is>
      </c>
      <c r="O4201" t="inlineStr"/>
    </row>
    <row r="4202">
      <c r="A4202">
        <f>HYPERLINK("https://mathstats.uncg.edu/sites/pauli/congruence/csg15.html#group99B15", "99B¹⁵")</f>
        <v/>
      </c>
      <c r="B4202" t="n">
        <v>15</v>
      </c>
      <c r="C4202" t="inlineStr"/>
      <c r="D4202" t="inlineStr">
        <is>
          <t>198</t>
        </is>
      </c>
      <c r="E4202" t="inlineStr">
        <is>
          <t>2</t>
        </is>
      </c>
      <c r="F4202" t="inlineStr">
        <is>
          <t>99</t>
        </is>
      </c>
      <c r="G4202" t="inlineStr">
        <is>
          <t>6</t>
        </is>
      </c>
      <c r="H4202" t="inlineStr">
        <is>
          <t>0</t>
        </is>
      </c>
      <c r="I4202" t="inlineStr">
        <is>
          <t>99²</t>
        </is>
      </c>
      <c r="J4202" t="n">
        <v>2</v>
      </c>
      <c r="K4202" t="inlineStr">
        <is>
          <t>4³, 12², 20⁶, 60⁴</t>
        </is>
      </c>
      <c r="L4202" t="inlineStr">
        <is>
          <t>9B¹, 33A⁴, 99A⁵</t>
        </is>
      </c>
      <c r="M4202" t="inlineStr"/>
      <c r="N4202" t="inlineStr">
        <is>
          <t>11A⁰, 9A⁰, 33A¹, 99A⁵, 3C⁰, 3A⁰, 1A⁰, 9B¹, 33A⁴</t>
        </is>
      </c>
      <c r="O4202" t="inlineStr"/>
    </row>
    <row r="4203">
      <c r="A4203">
        <f>HYPERLINK("https://mathstats.uncg.edu/sites/pauli/congruence/csg15.html#group99C15", "99C¹⁵")</f>
        <v/>
      </c>
      <c r="B4203" t="n">
        <v>15</v>
      </c>
      <c r="C4203" t="inlineStr"/>
      <c r="D4203" t="inlineStr">
        <is>
          <t>216</t>
        </is>
      </c>
      <c r="E4203" t="inlineStr">
        <is>
          <t>1</t>
        </is>
      </c>
      <c r="F4203" t="inlineStr">
        <is>
          <t>216</t>
        </is>
      </c>
      <c r="G4203" t="inlineStr">
        <is>
          <t>0</t>
        </is>
      </c>
      <c r="H4203" t="inlineStr">
        <is>
          <t>0</t>
        </is>
      </c>
      <c r="I4203" t="inlineStr">
        <is>
          <t>3³, 9¹, 33³, 99¹</t>
        </is>
      </c>
      <c r="J4203" t="n">
        <v>8</v>
      </c>
      <c r="K4203" t="inlineStr">
        <is>
          <t>1², 2², 3², 6⁴, 10¹, 20¹, 30¹, 60²</t>
        </is>
      </c>
      <c r="L4203" t="inlineStr">
        <is>
          <t>9E⁰, 33A⁵</t>
        </is>
      </c>
      <c r="M4203" t="inlineStr"/>
      <c r="N4203" t="inlineStr">
        <is>
          <t>3C⁰, 9E⁰, 3A⁰, 33A³, 1A⁰, 11A¹, 33A⁵</t>
        </is>
      </c>
      <c r="O4203" t="inlineStr"/>
    </row>
    <row r="4204">
      <c r="A4204">
        <f>HYPERLINK("https://mathstats.uncg.edu/sites/pauli/congruence/csg15.html#group100A15", "100A¹⁵")</f>
        <v/>
      </c>
      <c r="B4204" t="n">
        <v>15</v>
      </c>
      <c r="C4204" t="inlineStr"/>
      <c r="D4204" t="inlineStr">
        <is>
          <t>240</t>
        </is>
      </c>
      <c r="E4204" t="inlineStr">
        <is>
          <t>1</t>
        </is>
      </c>
      <c r="F4204" t="inlineStr">
        <is>
          <t>6</t>
        </is>
      </c>
      <c r="G4204" t="inlineStr">
        <is>
          <t>0</t>
        </is>
      </c>
      <c r="H4204" t="inlineStr">
        <is>
          <t>0</t>
        </is>
      </c>
      <c r="I4204" t="inlineStr">
        <is>
          <t>4¹⁰, 100²</t>
        </is>
      </c>
      <c r="J4204" t="n">
        <v>12</v>
      </c>
      <c r="K4204" t="inlineStr">
        <is>
          <t>1², 4¹</t>
        </is>
      </c>
      <c r="L4204" t="inlineStr">
        <is>
          <t>20A³, 50F⁵, 100B⁷</t>
        </is>
      </c>
      <c r="M4204" t="inlineStr"/>
      <c r="N4204" t="inlineStr">
        <is>
          <t>2A⁰, 20C¹, 100B⁷, 5B⁰, 50A³, 5D⁰, 10A¹, 10D¹, 1A⁰, 20A³, 10B⁰, 50A², 25A⁰, 25B⁰, 50F⁵</t>
        </is>
      </c>
      <c r="O4204" t="inlineStr"/>
    </row>
    <row r="4205">
      <c r="A4205">
        <f>HYPERLINK("https://mathstats.uncg.edu/sites/pauli/congruence/csg15.html#group100B15", "100B¹⁵")</f>
        <v/>
      </c>
      <c r="B4205" t="n">
        <v>15</v>
      </c>
      <c r="C4205" t="inlineStr"/>
      <c r="D4205" t="inlineStr">
        <is>
          <t>240</t>
        </is>
      </c>
      <c r="E4205" t="inlineStr">
        <is>
          <t>1</t>
        </is>
      </c>
      <c r="F4205" t="inlineStr">
        <is>
          <t>24</t>
        </is>
      </c>
      <c r="G4205" t="inlineStr">
        <is>
          <t>0</t>
        </is>
      </c>
      <c r="H4205" t="inlineStr">
        <is>
          <t>0</t>
        </is>
      </c>
      <c r="I4205" t="inlineStr">
        <is>
          <t>4¹⁰, 100²</t>
        </is>
      </c>
      <c r="J4205" t="n">
        <v>12</v>
      </c>
      <c r="K4205" t="inlineStr">
        <is>
          <t>2⁴, 8²</t>
        </is>
      </c>
      <c r="L4205" t="inlineStr">
        <is>
          <t>25B⁰, 20B³, 100A⁷</t>
        </is>
      </c>
      <c r="M4205" t="inlineStr"/>
      <c r="N4205" t="inlineStr">
        <is>
          <t>100A⁷, 4A⁰, 5B⁰, 25A⁰, 5D⁰, 1A⁰, 20B³, 20B¹, 25B⁰</t>
        </is>
      </c>
      <c r="O4205" t="inlineStr"/>
    </row>
    <row r="4206">
      <c r="A4206">
        <f>HYPERLINK("https://mathstats.uncg.edu/sites/pauli/congruence/csg15.html#group100C15", "100C¹⁵")</f>
        <v/>
      </c>
      <c r="B4206" t="n">
        <v>15</v>
      </c>
      <c r="C4206" t="inlineStr"/>
      <c r="D4206" t="inlineStr">
        <is>
          <t>240</t>
        </is>
      </c>
      <c r="E4206" t="inlineStr">
        <is>
          <t>1</t>
        </is>
      </c>
      <c r="F4206" t="inlineStr">
        <is>
          <t>120</t>
        </is>
      </c>
      <c r="G4206" t="inlineStr">
        <is>
          <t>0</t>
        </is>
      </c>
      <c r="H4206" t="inlineStr">
        <is>
          <t>0</t>
        </is>
      </c>
      <c r="I4206" t="inlineStr">
        <is>
          <t>4¹⁰, 100²</t>
        </is>
      </c>
      <c r="J4206" t="n">
        <v>12</v>
      </c>
      <c r="K4206" t="inlineStr">
        <is>
          <t>2⁴, 8⁴, 40²</t>
        </is>
      </c>
      <c r="L4206" t="inlineStr">
        <is>
          <t>20C³, 50A³, 100A⁷</t>
        </is>
      </c>
      <c r="M4206" t="inlineStr"/>
      <c r="N4206" t="inlineStr">
        <is>
          <t>2A⁰, 100A⁷, 4A⁰, 4D⁰, 20C³, 50A³, 25A⁰, 5B⁰, 10A¹, 1A⁰, 20B¹</t>
        </is>
      </c>
      <c r="O4206" t="inlineStr"/>
    </row>
    <row r="4207">
      <c r="A4207">
        <f>HYPERLINK("https://mathstats.uncg.edu/sites/pauli/congruence/csg15.html#group100D15", "100D¹⁵")</f>
        <v/>
      </c>
      <c r="B4207" t="n">
        <v>15</v>
      </c>
      <c r="C4207" t="inlineStr"/>
      <c r="D4207" t="inlineStr">
        <is>
          <t>360</t>
        </is>
      </c>
      <c r="E4207" t="inlineStr">
        <is>
          <t>2</t>
        </is>
      </c>
      <c r="F4207" t="inlineStr">
        <is>
          <t>90</t>
        </is>
      </c>
      <c r="G4207" t="inlineStr">
        <is>
          <t>4</t>
        </is>
      </c>
      <c r="H4207" t="inlineStr">
        <is>
          <t>0</t>
        </is>
      </c>
      <c r="I4207" t="inlineStr">
        <is>
          <t>2²⁰, 4⁵, 50⁴, 100¹</t>
        </is>
      </c>
      <c r="J4207" t="n">
        <v>30</v>
      </c>
      <c r="K4207" t="inlineStr">
        <is>
          <t>2⁶, 8⁶, 40³</t>
        </is>
      </c>
      <c r="L4207" t="inlineStr">
        <is>
          <t>20J¹, 50E⁶</t>
        </is>
      </c>
      <c r="M4207" t="inlineStr"/>
      <c r="N4207" t="inlineStr">
        <is>
          <t>10G⁰, 50E⁶, 50A², 5B⁰, 10C⁰, 25A⁰, 1A⁰, 2B⁰, 50B², 20J¹, 10B⁰</t>
        </is>
      </c>
      <c r="O4207" t="inlineStr"/>
    </row>
    <row r="4208">
      <c r="A4208">
        <f>HYPERLINK("https://mathstats.uncg.edu/sites/pauli/congruence/csg15.html#group102A15", "102A¹⁵")</f>
        <v/>
      </c>
      <c r="B4208" t="n">
        <v>15</v>
      </c>
      <c r="C4208" t="inlineStr"/>
      <c r="D4208" t="inlineStr">
        <is>
          <t>216</t>
        </is>
      </c>
      <c r="E4208" t="inlineStr">
        <is>
          <t>1</t>
        </is>
      </c>
      <c r="F4208" t="inlineStr">
        <is>
          <t>54</t>
        </is>
      </c>
      <c r="G4208" t="inlineStr">
        <is>
          <t>8</t>
        </is>
      </c>
      <c r="H4208" t="inlineStr">
        <is>
          <t>0</t>
        </is>
      </c>
      <c r="I4208" t="inlineStr">
        <is>
          <t>6², 102²</t>
        </is>
      </c>
      <c r="J4208" t="n">
        <v>4</v>
      </c>
      <c r="K4208" t="inlineStr">
        <is>
          <t>1², 2², 16¹, 32¹</t>
        </is>
      </c>
      <c r="L4208" t="inlineStr">
        <is>
          <t>51B⁷, 102A⁷</t>
        </is>
      </c>
      <c r="M4208" t="inlineStr"/>
      <c r="N4208" t="inlineStr">
        <is>
          <t>51B⁷, 3C⁰, 17A¹, 1A⁰, 102A⁷, 3A⁰, 51A³</t>
        </is>
      </c>
      <c r="O4208" t="inlineStr"/>
    </row>
    <row r="4209">
      <c r="A4209">
        <f>HYPERLINK("https://mathstats.uncg.edu/sites/pauli/congruence/csg15.html#group102B15", "102B¹⁵")</f>
        <v/>
      </c>
      <c r="B4209" t="n">
        <v>15</v>
      </c>
      <c r="C4209" t="inlineStr"/>
      <c r="D4209" t="inlineStr">
        <is>
          <t>216</t>
        </is>
      </c>
      <c r="E4209" t="inlineStr">
        <is>
          <t>1</t>
        </is>
      </c>
      <c r="F4209" t="inlineStr">
        <is>
          <t>54</t>
        </is>
      </c>
      <c r="G4209" t="inlineStr">
        <is>
          <t>8</t>
        </is>
      </c>
      <c r="H4209" t="inlineStr">
        <is>
          <t>0</t>
        </is>
      </c>
      <c r="I4209" t="inlineStr">
        <is>
          <t>6², 102²</t>
        </is>
      </c>
      <c r="J4209" t="n">
        <v>4</v>
      </c>
      <c r="K4209" t="inlineStr">
        <is>
          <t>1², 2², 16¹, 32¹</t>
        </is>
      </c>
      <c r="L4209" t="inlineStr">
        <is>
          <t>6E⁰, 51B⁷, 102B⁷</t>
        </is>
      </c>
      <c r="M4209" t="inlineStr"/>
      <c r="N4209" t="inlineStr">
        <is>
          <t>6B⁰, 6E⁰, 51A³, 102B⁷, 51B⁷, 3C⁰, 17A¹, 3A⁰, 1A⁰</t>
        </is>
      </c>
      <c r="O4209" t="inlineStr"/>
    </row>
    <row r="4210">
      <c r="A4210">
        <f>HYPERLINK("https://mathstats.uncg.edu/sites/pauli/congruence/csg15.html#group102C15", "102C¹⁵")</f>
        <v/>
      </c>
      <c r="B4210" t="n">
        <v>15</v>
      </c>
      <c r="C4210" t="inlineStr">
        <is>
          <t>Γ₀(102)</t>
        </is>
      </c>
      <c r="D4210" t="inlineStr">
        <is>
          <t>216</t>
        </is>
      </c>
      <c r="E4210" t="inlineStr">
        <is>
          <t>1</t>
        </is>
      </c>
      <c r="F4210" t="inlineStr">
        <is>
          <t>216</t>
        </is>
      </c>
      <c r="G4210" t="inlineStr">
        <is>
          <t>0</t>
        </is>
      </c>
      <c r="H4210" t="inlineStr">
        <is>
          <t>0</t>
        </is>
      </c>
      <c r="I4210" t="inlineStr">
        <is>
          <t>1¹, 2¹, 3¹, 6¹, 17¹, 34¹, 51¹, 102¹</t>
        </is>
      </c>
      <c r="J4210" t="n">
        <v>8</v>
      </c>
      <c r="K4210" t="inlineStr">
        <is>
          <t>1¹², 2⁶, 16⁶, 32³</t>
        </is>
      </c>
      <c r="L4210" t="inlineStr">
        <is>
          <t>6F⁰, 34C³, 51A⁵</t>
        </is>
      </c>
      <c r="M4210" t="inlineStr"/>
      <c r="N4210" t="inlineStr">
        <is>
          <t>3B⁰, 51A⁵, 34C³, 6F⁰, 17A¹, 2B⁰, 1A⁰</t>
        </is>
      </c>
      <c r="O4210" t="inlineStr"/>
    </row>
    <row r="4211">
      <c r="A4211">
        <f>HYPERLINK("https://mathstats.uncg.edu/sites/pauli/congruence/csg15.html#group102D15", "102D¹⁵")</f>
        <v/>
      </c>
      <c r="B4211" t="n">
        <v>15</v>
      </c>
      <c r="C4211" t="inlineStr"/>
      <c r="D4211" t="inlineStr">
        <is>
          <t>216</t>
        </is>
      </c>
      <c r="E4211" t="inlineStr">
        <is>
          <t>2</t>
        </is>
      </c>
      <c r="F4211" t="inlineStr">
        <is>
          <t>54</t>
        </is>
      </c>
      <c r="G4211" t="inlineStr">
        <is>
          <t>8</t>
        </is>
      </c>
      <c r="H4211" t="inlineStr">
        <is>
          <t>0</t>
        </is>
      </c>
      <c r="I4211" t="inlineStr">
        <is>
          <t>6², 102²</t>
        </is>
      </c>
      <c r="J4211" t="n">
        <v>4</v>
      </c>
      <c r="K4211" t="inlineStr">
        <is>
          <t>2⁶, 32³</t>
        </is>
      </c>
      <c r="L4211" t="inlineStr">
        <is>
          <t>51A⁷, 102A⁷, 102B⁷</t>
        </is>
      </c>
      <c r="M4211" t="inlineStr"/>
      <c r="N4211" t="inlineStr">
        <is>
          <t>6B⁰, 51A³, 102B⁷, 51A⁷, 17A¹, 102A⁷, 3A⁰, 1A⁰</t>
        </is>
      </c>
      <c r="O4211" t="inlineStr"/>
    </row>
    <row r="4212">
      <c r="A4212">
        <f>HYPERLINK("https://mathstats.uncg.edu/sites/pauli/congruence/csg15.html#group104A15", "104A¹⁵")</f>
        <v/>
      </c>
      <c r="B4212" t="n">
        <v>15</v>
      </c>
      <c r="C4212" t="inlineStr"/>
      <c r="D4212" t="inlineStr">
        <is>
          <t>224</t>
        </is>
      </c>
      <c r="E4212" t="inlineStr">
        <is>
          <t>1</t>
        </is>
      </c>
      <c r="F4212" t="inlineStr">
        <is>
          <t>56</t>
        </is>
      </c>
      <c r="G4212" t="inlineStr">
        <is>
          <t>0</t>
        </is>
      </c>
      <c r="H4212" t="inlineStr">
        <is>
          <t>8</t>
        </is>
      </c>
      <c r="I4212" t="inlineStr">
        <is>
          <t>8², 104²</t>
        </is>
      </c>
      <c r="J4212" t="n">
        <v>4</v>
      </c>
      <c r="K4212" t="inlineStr">
        <is>
          <t>2⁴, 24²</t>
        </is>
      </c>
      <c r="L4212" t="inlineStr">
        <is>
          <t>52B⁷, 104A⁷</t>
        </is>
      </c>
      <c r="M4212" t="inlineStr"/>
      <c r="N4212" t="inlineStr">
        <is>
          <t>2A⁰, 26A¹, 52A³, 4A⁰, 4D⁰, 13A⁰, 104A⁷, 52B⁷, 1A⁰</t>
        </is>
      </c>
      <c r="O4212" t="inlineStr"/>
    </row>
    <row r="4213">
      <c r="A4213">
        <f>HYPERLINK("https://mathstats.uncg.edu/sites/pauli/congruence/csg15.html#group104B15", "104B¹⁵")</f>
        <v/>
      </c>
      <c r="B4213" t="n">
        <v>15</v>
      </c>
      <c r="C4213" t="inlineStr"/>
      <c r="D4213" t="inlineStr">
        <is>
          <t>224</t>
        </is>
      </c>
      <c r="E4213" t="inlineStr">
        <is>
          <t>1</t>
        </is>
      </c>
      <c r="F4213" t="inlineStr">
        <is>
          <t>56</t>
        </is>
      </c>
      <c r="G4213" t="inlineStr">
        <is>
          <t>0</t>
        </is>
      </c>
      <c r="H4213" t="inlineStr">
        <is>
          <t>8</t>
        </is>
      </c>
      <c r="I4213" t="inlineStr">
        <is>
          <t>8², 104²</t>
        </is>
      </c>
      <c r="J4213" t="n">
        <v>4</v>
      </c>
      <c r="K4213" t="inlineStr">
        <is>
          <t>2⁴, 24²</t>
        </is>
      </c>
      <c r="L4213" t="inlineStr">
        <is>
          <t>8E⁰, 52B⁷, 104B⁷</t>
        </is>
      </c>
      <c r="M4213" t="inlineStr"/>
      <c r="N4213" t="inlineStr">
        <is>
          <t>2A⁰, 26A¹, 52A³, 104B⁷, 4A⁰, 4D⁰, 8A⁰, 13A⁰, 8E⁰, 52B⁷, 1A⁰</t>
        </is>
      </c>
      <c r="O4213" t="inlineStr"/>
    </row>
    <row r="4214">
      <c r="A4214">
        <f>HYPERLINK("https://mathstats.uncg.edu/sites/pauli/congruence/csg15.html#group104C15", "104C¹⁵")</f>
        <v/>
      </c>
      <c r="B4214" t="n">
        <v>15</v>
      </c>
      <c r="C4214" t="inlineStr"/>
      <c r="D4214" t="inlineStr">
        <is>
          <t>224</t>
        </is>
      </c>
      <c r="E4214" t="inlineStr">
        <is>
          <t>1</t>
        </is>
      </c>
      <c r="F4214" t="inlineStr">
        <is>
          <t>224</t>
        </is>
      </c>
      <c r="G4214" t="inlineStr">
        <is>
          <t>8</t>
        </is>
      </c>
      <c r="H4214" t="inlineStr">
        <is>
          <t>2</t>
        </is>
      </c>
      <c r="I4214" t="inlineStr">
        <is>
          <t>8², 104²</t>
        </is>
      </c>
      <c r="J4214" t="n">
        <v>4</v>
      </c>
      <c r="K4214" t="inlineStr">
        <is>
          <t>4⁸, 48⁴</t>
        </is>
      </c>
      <c r="L4214" t="inlineStr">
        <is>
          <t>8F⁰, 52A³</t>
        </is>
      </c>
      <c r="M4214" t="inlineStr"/>
      <c r="N4214" t="inlineStr">
        <is>
          <t>13A⁰, 8F⁰, 52A³, 1A⁰, 4A⁰</t>
        </is>
      </c>
      <c r="O4214" t="inlineStr"/>
    </row>
    <row r="4215">
      <c r="A4215">
        <f>HYPERLINK("https://mathstats.uncg.edu/sites/pauli/congruence/csg15.html#group104D15", "104D¹⁵")</f>
        <v/>
      </c>
      <c r="B4215" t="n">
        <v>15</v>
      </c>
      <c r="C4215" t="inlineStr"/>
      <c r="D4215" t="inlineStr">
        <is>
          <t>224</t>
        </is>
      </c>
      <c r="E4215" t="inlineStr">
        <is>
          <t>2</t>
        </is>
      </c>
      <c r="F4215" t="inlineStr">
        <is>
          <t>56</t>
        </is>
      </c>
      <c r="G4215" t="inlineStr">
        <is>
          <t>0</t>
        </is>
      </c>
      <c r="H4215" t="inlineStr">
        <is>
          <t>8</t>
        </is>
      </c>
      <c r="I4215" t="inlineStr">
        <is>
          <t>8², 104²</t>
        </is>
      </c>
      <c r="J4215" t="n">
        <v>4</v>
      </c>
      <c r="K4215" t="inlineStr">
        <is>
          <t>4⁴, 48²</t>
        </is>
      </c>
      <c r="L4215" t="inlineStr">
        <is>
          <t>52A⁷, 104A⁷, 104B⁷</t>
        </is>
      </c>
      <c r="M4215" t="inlineStr"/>
      <c r="N4215" t="inlineStr">
        <is>
          <t>52A⁷, 52A³, 104B⁷, 4A⁰, 8A⁰, 13A⁰, 104A⁷, 13B⁰, 1A⁰</t>
        </is>
      </c>
      <c r="O4215" t="inlineStr"/>
    </row>
    <row r="4216">
      <c r="A4216">
        <f>HYPERLINK("https://mathstats.uncg.edu/sites/pauli/congruence/csg15.html#group105A15", "105A¹⁵")</f>
        <v/>
      </c>
      <c r="B4216" t="n">
        <v>15</v>
      </c>
      <c r="C4216" t="inlineStr"/>
      <c r="D4216" t="inlineStr">
        <is>
          <t>210</t>
        </is>
      </c>
      <c r="E4216" t="inlineStr">
        <is>
          <t>2</t>
        </is>
      </c>
      <c r="F4216" t="inlineStr">
        <is>
          <t>70</t>
        </is>
      </c>
      <c r="G4216" t="inlineStr">
        <is>
          <t>6</t>
        </is>
      </c>
      <c r="H4216" t="inlineStr">
        <is>
          <t>3</t>
        </is>
      </c>
      <c r="I4216" t="inlineStr">
        <is>
          <t>105²</t>
        </is>
      </c>
      <c r="J4216" t="n">
        <v>2</v>
      </c>
      <c r="K4216" t="inlineStr">
        <is>
          <t>8¹, 16², 24², 48⁴</t>
        </is>
      </c>
      <c r="L4216" t="inlineStr">
        <is>
          <t>35A⁴</t>
        </is>
      </c>
      <c r="M4216" t="inlineStr"/>
      <c r="N4216" t="inlineStr">
        <is>
          <t>5A⁰, 1A⁰, 35A², 35A⁴, 7A⁰, 7C⁰</t>
        </is>
      </c>
      <c r="O4216" t="inlineStr"/>
    </row>
    <row r="4217">
      <c r="A4217">
        <f>HYPERLINK("https://mathstats.uncg.edu/sites/pauli/congruence/csg15.html#group105B15", "105B¹⁵")</f>
        <v/>
      </c>
      <c r="B4217" t="n">
        <v>15</v>
      </c>
      <c r="C4217" t="inlineStr"/>
      <c r="D4217" t="inlineStr">
        <is>
          <t>210</t>
        </is>
      </c>
      <c r="E4217" t="inlineStr">
        <is>
          <t>2</t>
        </is>
      </c>
      <c r="F4217" t="inlineStr">
        <is>
          <t>70</t>
        </is>
      </c>
      <c r="G4217" t="inlineStr">
        <is>
          <t>6</t>
        </is>
      </c>
      <c r="H4217" t="inlineStr">
        <is>
          <t>3</t>
        </is>
      </c>
      <c r="I4217" t="inlineStr">
        <is>
          <t>105²</t>
        </is>
      </c>
      <c r="J4217" t="n">
        <v>2</v>
      </c>
      <c r="K4217" t="inlineStr">
        <is>
          <t>8¹, 16², 24², 48⁴</t>
        </is>
      </c>
      <c r="L4217" t="inlineStr">
        <is>
          <t>35A⁴</t>
        </is>
      </c>
      <c r="M4217" t="inlineStr"/>
      <c r="N4217" t="inlineStr">
        <is>
          <t>5A⁰, 1A⁰, 35A², 35A⁴, 7A⁰, 7C⁰</t>
        </is>
      </c>
      <c r="O4217" t="inlineStr"/>
    </row>
    <row r="4218">
      <c r="A4218">
        <f>HYPERLINK("https://mathstats.uncg.edu/sites/pauli/congruence/csg15.html#group105C15", "105C¹⁵")</f>
        <v/>
      </c>
      <c r="B4218" t="n">
        <v>15</v>
      </c>
      <c r="C4218" t="inlineStr"/>
      <c r="D4218" t="inlineStr">
        <is>
          <t>210</t>
        </is>
      </c>
      <c r="E4218" t="inlineStr">
        <is>
          <t>2</t>
        </is>
      </c>
      <c r="F4218" t="inlineStr">
        <is>
          <t>105</t>
        </is>
      </c>
      <c r="G4218" t="inlineStr">
        <is>
          <t>10</t>
        </is>
      </c>
      <c r="H4218" t="inlineStr">
        <is>
          <t>0</t>
        </is>
      </c>
      <c r="I4218" t="inlineStr">
        <is>
          <t>105²</t>
        </is>
      </c>
      <c r="J4218" t="n">
        <v>2</v>
      </c>
      <c r="K4218" t="inlineStr">
        <is>
          <t>2¹, 4¹, 6², 8¹, 12², 16¹, 24², 48²</t>
        </is>
      </c>
      <c r="L4218" t="inlineStr">
        <is>
          <t>21D¹, 105A⁷</t>
        </is>
      </c>
      <c r="M4218" t="inlineStr"/>
      <c r="N4218" t="inlineStr">
        <is>
          <t>5A⁰, 21D¹, 21A⁰, 35A², 3A⁰, 1A⁰, 105A⁷, 15A¹, 7A⁰</t>
        </is>
      </c>
      <c r="O4218" t="inlineStr"/>
    </row>
    <row r="4219">
      <c r="A4219">
        <f>HYPERLINK("https://mathstats.uncg.edu/sites/pauli/congruence/csg15.html#group105D15", "105D¹⁵")</f>
        <v/>
      </c>
      <c r="B4219" t="n">
        <v>15</v>
      </c>
      <c r="C4219" t="inlineStr"/>
      <c r="D4219" t="inlineStr">
        <is>
          <t>252</t>
        </is>
      </c>
      <c r="E4219" t="inlineStr">
        <is>
          <t>2</t>
        </is>
      </c>
      <c r="F4219" t="inlineStr">
        <is>
          <t>126</t>
        </is>
      </c>
      <c r="G4219" t="inlineStr">
        <is>
          <t>20</t>
        </is>
      </c>
      <c r="H4219" t="inlineStr">
        <is>
          <t>0</t>
        </is>
      </c>
      <c r="I4219" t="inlineStr">
        <is>
          <t>21², 105²</t>
        </is>
      </c>
      <c r="J4219" t="n">
        <v>4</v>
      </c>
      <c r="K4219" t="inlineStr">
        <is>
          <t>2², 4², 6⁴, 8¹, 12⁴, 16¹, 24², 48²</t>
        </is>
      </c>
      <c r="L4219" t="inlineStr">
        <is>
          <t>21D¹, 105C⁶</t>
        </is>
      </c>
      <c r="M4219" t="inlineStr"/>
      <c r="N4219" t="inlineStr">
        <is>
          <t>35C², 15B⁰, 105C⁶, 21D¹, 5B⁰, 21A⁰, 3A⁰, 1A⁰, 7A⁰</t>
        </is>
      </c>
      <c r="O4219" t="inlineStr"/>
    </row>
    <row r="4220">
      <c r="A4220">
        <f>HYPERLINK("https://mathstats.uncg.edu/sites/pauli/congruence/csg15.html#group108A15", "108A¹⁵")</f>
        <v/>
      </c>
      <c r="B4220" t="n">
        <v>15</v>
      </c>
      <c r="C4220" t="inlineStr"/>
      <c r="D4220" t="inlineStr">
        <is>
          <t>216</t>
        </is>
      </c>
      <c r="E4220" t="inlineStr">
        <is>
          <t>1</t>
        </is>
      </c>
      <c r="F4220" t="inlineStr">
        <is>
          <t>36</t>
        </is>
      </c>
      <c r="G4220" t="inlineStr">
        <is>
          <t>0</t>
        </is>
      </c>
      <c r="H4220" t="inlineStr">
        <is>
          <t>0</t>
        </is>
      </c>
      <c r="I4220" t="inlineStr">
        <is>
          <t>6³, 12³, 54¹, 108¹</t>
        </is>
      </c>
      <c r="J4220" t="n">
        <v>8</v>
      </c>
      <c r="K4220" t="inlineStr">
        <is>
          <t>1⁶, 2⁶, 6³</t>
        </is>
      </c>
      <c r="L4220" t="inlineStr">
        <is>
          <t>36G³, 54B⁶</t>
        </is>
      </c>
      <c r="M4220" t="inlineStr"/>
      <c r="N4220" t="inlineStr">
        <is>
          <t>3B⁰, 18E⁰, 27A², 54B⁶, 12F¹, 4C⁰, 9B⁰, 1A⁰, 2B⁰, 6F⁰, 36G³</t>
        </is>
      </c>
      <c r="O4220" t="inlineStr"/>
    </row>
    <row r="4221">
      <c r="A4221">
        <f>HYPERLINK("https://mathstats.uncg.edu/sites/pauli/congruence/csg15.html#group110A15", "110A¹⁵")</f>
        <v/>
      </c>
      <c r="B4221" t="n">
        <v>15</v>
      </c>
      <c r="C4221" t="inlineStr">
        <is>
          <t>Γ₀(110)</t>
        </is>
      </c>
      <c r="D4221" t="inlineStr">
        <is>
          <t>216</t>
        </is>
      </c>
      <c r="E4221" t="inlineStr">
        <is>
          <t>1</t>
        </is>
      </c>
      <c r="F4221" t="inlineStr">
        <is>
          <t>216</t>
        </is>
      </c>
      <c r="G4221" t="inlineStr">
        <is>
          <t>0</t>
        </is>
      </c>
      <c r="H4221" t="inlineStr">
        <is>
          <t>0</t>
        </is>
      </c>
      <c r="I4221" t="inlineStr">
        <is>
          <t>1¹, 2¹, 5¹, 10¹, 11¹, 22¹, 55¹, 110¹</t>
        </is>
      </c>
      <c r="J4221" t="n">
        <v>8</v>
      </c>
      <c r="K4221" t="inlineStr">
        <is>
          <t>1¹², 4⁶, 10⁶, 40³</t>
        </is>
      </c>
      <c r="L4221" t="inlineStr">
        <is>
          <t>10C⁰, 22C², 55B⁵</t>
        </is>
      </c>
      <c r="M4221" t="inlineStr"/>
      <c r="N4221" t="inlineStr">
        <is>
          <t>55B⁵, 11A¹, 5B⁰, 10C⁰, 2B⁰, 22C², 1A⁰</t>
        </is>
      </c>
      <c r="O4221" t="inlineStr"/>
    </row>
    <row r="4222">
      <c r="A4222">
        <f>HYPERLINK("https://mathstats.uncg.edu/sites/pauli/congruence/csg15.html#group112A15", "112A¹⁵")</f>
        <v/>
      </c>
      <c r="B4222" t="n">
        <v>15</v>
      </c>
      <c r="C4222" t="inlineStr"/>
      <c r="D4222" t="inlineStr">
        <is>
          <t>192</t>
        </is>
      </c>
      <c r="E4222" t="inlineStr">
        <is>
          <t>1</t>
        </is>
      </c>
      <c r="F4222" t="inlineStr">
        <is>
          <t>24</t>
        </is>
      </c>
      <c r="G4222" t="inlineStr">
        <is>
          <t>0</t>
        </is>
      </c>
      <c r="H4222" t="inlineStr">
        <is>
          <t>0</t>
        </is>
      </c>
      <c r="I4222" t="inlineStr">
        <is>
          <t>8¹, 16¹, 56¹, 112¹</t>
        </is>
      </c>
      <c r="J4222" t="n">
        <v>4</v>
      </c>
      <c r="K4222" t="inlineStr">
        <is>
          <t>1⁶, 6³</t>
        </is>
      </c>
      <c r="L4222" t="inlineStr">
        <is>
          <t>56C⁷</t>
        </is>
      </c>
      <c r="M4222" t="inlineStr"/>
      <c r="N4222" t="inlineStr">
        <is>
          <t>8A¹, 7B⁰, 4C⁰, 14C¹, 2B⁰, 56C⁷, 28C³, 1A⁰</t>
        </is>
      </c>
      <c r="O4222" t="inlineStr"/>
    </row>
    <row r="4223">
      <c r="A4223">
        <f>HYPERLINK("https://mathstats.uncg.edu/sites/pauli/congruence/csg15.html#group112B15", "112B¹⁵")</f>
        <v/>
      </c>
      <c r="B4223" t="n">
        <v>15</v>
      </c>
      <c r="C4223" t="inlineStr"/>
      <c r="D4223" t="inlineStr">
        <is>
          <t>192</t>
        </is>
      </c>
      <c r="E4223" t="inlineStr">
        <is>
          <t>1</t>
        </is>
      </c>
      <c r="F4223" t="inlineStr">
        <is>
          <t>24</t>
        </is>
      </c>
      <c r="G4223" t="inlineStr">
        <is>
          <t>0</t>
        </is>
      </c>
      <c r="H4223" t="inlineStr">
        <is>
          <t>0</t>
        </is>
      </c>
      <c r="I4223" t="inlineStr">
        <is>
          <t>8¹, 16¹, 56¹, 112¹</t>
        </is>
      </c>
      <c r="J4223" t="n">
        <v>4</v>
      </c>
      <c r="K4223" t="inlineStr">
        <is>
          <t>1⁶, 6³</t>
        </is>
      </c>
      <c r="L4223" t="inlineStr">
        <is>
          <t>56C⁷</t>
        </is>
      </c>
      <c r="M4223" t="inlineStr"/>
      <c r="N4223" t="inlineStr">
        <is>
          <t>8A¹, 7B⁰, 4C⁰, 14C¹, 2B⁰, 56C⁷, 28C³, 1A⁰</t>
        </is>
      </c>
      <c r="O4223" t="inlineStr"/>
    </row>
    <row r="4224">
      <c r="A4224">
        <f>HYPERLINK("https://mathstats.uncg.edu/sites/pauli/congruence/csg15.html#group112C15", "112C¹⁵")</f>
        <v/>
      </c>
      <c r="B4224" t="n">
        <v>15</v>
      </c>
      <c r="C4224" t="inlineStr"/>
      <c r="D4224" t="inlineStr">
        <is>
          <t>192</t>
        </is>
      </c>
      <c r="E4224" t="inlineStr">
        <is>
          <t>1</t>
        </is>
      </c>
      <c r="F4224" t="inlineStr">
        <is>
          <t>24</t>
        </is>
      </c>
      <c r="G4224" t="inlineStr">
        <is>
          <t>0</t>
        </is>
      </c>
      <c r="H4224" t="inlineStr">
        <is>
          <t>0</t>
        </is>
      </c>
      <c r="I4224" t="inlineStr">
        <is>
          <t>8¹, 16¹, 56¹, 112¹</t>
        </is>
      </c>
      <c r="J4224" t="n">
        <v>4</v>
      </c>
      <c r="K4224" t="inlineStr">
        <is>
          <t>1⁶, 6³</t>
        </is>
      </c>
      <c r="L4224" t="inlineStr">
        <is>
          <t>16B⁰, 56B⁷</t>
        </is>
      </c>
      <c r="M4224" t="inlineStr"/>
      <c r="N4224" t="inlineStr">
        <is>
          <t>16B⁰, 7B⁰, 4C⁰, 14C¹, 8B⁰, 2B⁰, 28C³, 1A⁰, 56B⁷</t>
        </is>
      </c>
      <c r="O4224" t="inlineStr"/>
    </row>
    <row r="4225">
      <c r="A4225">
        <f>HYPERLINK("https://mathstats.uncg.edu/sites/pauli/congruence/csg15.html#group112D15", "112D¹⁵")</f>
        <v/>
      </c>
      <c r="B4225" t="n">
        <v>15</v>
      </c>
      <c r="C4225" t="inlineStr"/>
      <c r="D4225" t="inlineStr">
        <is>
          <t>192</t>
        </is>
      </c>
      <c r="E4225" t="inlineStr">
        <is>
          <t>1</t>
        </is>
      </c>
      <c r="F4225" t="inlineStr">
        <is>
          <t>24</t>
        </is>
      </c>
      <c r="G4225" t="inlineStr">
        <is>
          <t>0</t>
        </is>
      </c>
      <c r="H4225" t="inlineStr">
        <is>
          <t>0</t>
        </is>
      </c>
      <c r="I4225" t="inlineStr">
        <is>
          <t>8¹, 16¹, 56¹, 112¹</t>
        </is>
      </c>
      <c r="J4225" t="n">
        <v>4</v>
      </c>
      <c r="K4225" t="inlineStr">
        <is>
          <t>1⁶, 6³</t>
        </is>
      </c>
      <c r="L4225" t="inlineStr">
        <is>
          <t>16A², 56B⁷</t>
        </is>
      </c>
      <c r="M4225" t="inlineStr"/>
      <c r="N4225" t="inlineStr">
        <is>
          <t>16A², 7B⁰, 4C⁰, 14C¹, 8B⁰, 2B⁰, 28C³, 1A⁰, 56B⁷</t>
        </is>
      </c>
      <c r="O4225" t="inlineStr"/>
    </row>
    <row r="4226">
      <c r="A4226">
        <f>HYPERLINK("https://mathstats.uncg.edu/sites/pauli/congruence/csg15.html#group112E15", "112E¹⁵")</f>
        <v/>
      </c>
      <c r="B4226" t="n">
        <v>15</v>
      </c>
      <c r="C4226" t="inlineStr"/>
      <c r="D4226" t="inlineStr">
        <is>
          <t>192</t>
        </is>
      </c>
      <c r="E4226" t="inlineStr">
        <is>
          <t>1</t>
        </is>
      </c>
      <c r="F4226" t="inlineStr">
        <is>
          <t>48</t>
        </is>
      </c>
      <c r="G4226" t="inlineStr">
        <is>
          <t>0</t>
        </is>
      </c>
      <c r="H4226" t="inlineStr">
        <is>
          <t>0</t>
        </is>
      </c>
      <c r="I4226" t="inlineStr">
        <is>
          <t>8¹, 16¹, 56¹, 112¹</t>
        </is>
      </c>
      <c r="J4226" t="n">
        <v>4</v>
      </c>
      <c r="K4226" t="inlineStr">
        <is>
          <t>1⁴, 2⁴, 6², 12²</t>
        </is>
      </c>
      <c r="L4226" t="inlineStr">
        <is>
          <t>56C⁷</t>
        </is>
      </c>
      <c r="M4226" t="inlineStr"/>
      <c r="N4226" t="inlineStr">
        <is>
          <t>8A¹, 7B⁰, 4C⁰, 14C¹, 2B⁰, 56C⁷, 28C³, 1A⁰</t>
        </is>
      </c>
      <c r="O4226" t="inlineStr"/>
    </row>
    <row r="4227">
      <c r="A4227">
        <f>HYPERLINK("https://mathstats.uncg.edu/sites/pauli/congruence/csg15.html#group112F15", "112F¹⁵")</f>
        <v/>
      </c>
      <c r="B4227" t="n">
        <v>15</v>
      </c>
      <c r="C4227" t="inlineStr"/>
      <c r="D4227" t="inlineStr">
        <is>
          <t>192</t>
        </is>
      </c>
      <c r="E4227" t="inlineStr">
        <is>
          <t>1</t>
        </is>
      </c>
      <c r="F4227" t="inlineStr">
        <is>
          <t>48</t>
        </is>
      </c>
      <c r="G4227" t="inlineStr">
        <is>
          <t>0</t>
        </is>
      </c>
      <c r="H4227" t="inlineStr">
        <is>
          <t>0</t>
        </is>
      </c>
      <c r="I4227" t="inlineStr">
        <is>
          <t>8¹, 16¹, 56¹, 112¹</t>
        </is>
      </c>
      <c r="J4227" t="n">
        <v>4</v>
      </c>
      <c r="K4227" t="inlineStr">
        <is>
          <t>1⁴, 2⁴, 6², 12²</t>
        </is>
      </c>
      <c r="L4227" t="inlineStr">
        <is>
          <t>16B¹, 56B⁷</t>
        </is>
      </c>
      <c r="M4227" t="inlineStr"/>
      <c r="N4227" t="inlineStr">
        <is>
          <t>7B⁰, 4C⁰, 14C¹, 8B⁰, 16B¹, 2B⁰, 28C³, 1A⁰, 56B⁷</t>
        </is>
      </c>
      <c r="O4227" t="inlineStr"/>
    </row>
    <row r="4228">
      <c r="A4228">
        <f>HYPERLINK("https://mathstats.uncg.edu/sites/pauli/congruence/csg15.html#group112G15", "112G¹⁵")</f>
        <v/>
      </c>
      <c r="B4228" t="n">
        <v>15</v>
      </c>
      <c r="C4228" t="inlineStr"/>
      <c r="D4228" t="inlineStr">
        <is>
          <t>192</t>
        </is>
      </c>
      <c r="E4228" t="inlineStr">
        <is>
          <t>1</t>
        </is>
      </c>
      <c r="F4228" t="inlineStr">
        <is>
          <t>96</t>
        </is>
      </c>
      <c r="G4228" t="inlineStr">
        <is>
          <t>0</t>
        </is>
      </c>
      <c r="H4228" t="inlineStr">
        <is>
          <t>0</t>
        </is>
      </c>
      <c r="I4228" t="inlineStr">
        <is>
          <t>8¹, 16¹, 56¹, 112¹</t>
        </is>
      </c>
      <c r="J4228" t="n">
        <v>4</v>
      </c>
      <c r="K4228" t="inlineStr">
        <is>
          <t>1⁸, 2⁴, 4², 6⁴, 12², 24¹</t>
        </is>
      </c>
      <c r="L4228" t="inlineStr">
        <is>
          <t>16D¹, 56B⁷</t>
        </is>
      </c>
      <c r="M4228" t="inlineStr"/>
      <c r="N4228" t="inlineStr">
        <is>
          <t>16D¹, 7B⁰, 4C⁰, 14C¹, 8B⁰, 2B⁰, 28C³, 1A⁰, 56B⁷</t>
        </is>
      </c>
      <c r="O4228" t="inlineStr"/>
    </row>
    <row r="4229">
      <c r="A4229">
        <f>HYPERLINK("https://mathstats.uncg.edu/sites/pauli/congruence/csg15.html#group112H15", "112H¹⁵")</f>
        <v/>
      </c>
      <c r="B4229" t="n">
        <v>15</v>
      </c>
      <c r="C4229" t="inlineStr"/>
      <c r="D4229" t="inlineStr">
        <is>
          <t>192</t>
        </is>
      </c>
      <c r="E4229" t="inlineStr">
        <is>
          <t>1</t>
        </is>
      </c>
      <c r="F4229" t="inlineStr">
        <is>
          <t>96</t>
        </is>
      </c>
      <c r="G4229" t="inlineStr">
        <is>
          <t>0</t>
        </is>
      </c>
      <c r="H4229" t="inlineStr">
        <is>
          <t>0</t>
        </is>
      </c>
      <c r="I4229" t="inlineStr">
        <is>
          <t>8¹, 16¹, 56¹, 112¹</t>
        </is>
      </c>
      <c r="J4229" t="n">
        <v>4</v>
      </c>
      <c r="K4229" t="inlineStr">
        <is>
          <t>1⁸, 2⁴, 4², 6⁴, 12², 24¹</t>
        </is>
      </c>
      <c r="L4229" t="inlineStr">
        <is>
          <t>16B², 56C⁷</t>
        </is>
      </c>
      <c r="M4229" t="inlineStr"/>
      <c r="N4229" t="inlineStr">
        <is>
          <t>16B², 8A¹, 7B⁰, 4C⁰, 14C¹, 2B⁰, 56C⁷, 28C³, 1A⁰</t>
        </is>
      </c>
      <c r="O4229" t="inlineStr"/>
    </row>
    <row r="4230">
      <c r="A4230">
        <f>HYPERLINK("https://mathstats.uncg.edu/sites/pauli/congruence/csg15.html#group112I15", "112I¹⁵")</f>
        <v/>
      </c>
      <c r="B4230" t="n">
        <v>15</v>
      </c>
      <c r="C4230" t="inlineStr"/>
      <c r="D4230" t="inlineStr">
        <is>
          <t>224</t>
        </is>
      </c>
      <c r="E4230" t="inlineStr">
        <is>
          <t>2</t>
        </is>
      </c>
      <c r="F4230" t="inlineStr">
        <is>
          <t>56</t>
        </is>
      </c>
      <c r="G4230" t="inlineStr">
        <is>
          <t>4</t>
        </is>
      </c>
      <c r="H4230" t="inlineStr">
        <is>
          <t>8</t>
        </is>
      </c>
      <c r="I4230" t="inlineStr">
        <is>
          <t>112²</t>
        </is>
      </c>
      <c r="J4230" t="n">
        <v>2</v>
      </c>
      <c r="K4230" t="inlineStr">
        <is>
          <t>16², 48⁴</t>
        </is>
      </c>
      <c r="L4230" t="inlineStr">
        <is>
          <t>56D⁷, 112B⁷, 112D⁷</t>
        </is>
      </c>
      <c r="M4230" t="inlineStr"/>
      <c r="N4230" t="inlineStr">
        <is>
          <t>112B⁷, 28D³, 56D³, 16A⁰, 56D⁷, 4A⁰, 7C⁰, 8A⁰, 112D⁷, 28A¹, 1A⁰, 7A⁰, 56A³</t>
        </is>
      </c>
      <c r="O4230" t="inlineStr"/>
    </row>
    <row r="4231">
      <c r="A4231">
        <f>HYPERLINK("https://mathstats.uncg.edu/sites/pauli/congruence/csg15.html#group112J15", "112J¹⁵")</f>
        <v/>
      </c>
      <c r="B4231" t="n">
        <v>15</v>
      </c>
      <c r="C4231" t="inlineStr"/>
      <c r="D4231" t="inlineStr">
        <is>
          <t>224</t>
        </is>
      </c>
      <c r="E4231" t="inlineStr">
        <is>
          <t>2</t>
        </is>
      </c>
      <c r="F4231" t="inlineStr">
        <is>
          <t>56</t>
        </is>
      </c>
      <c r="G4231" t="inlineStr">
        <is>
          <t>4</t>
        </is>
      </c>
      <c r="H4231" t="inlineStr">
        <is>
          <t>8</t>
        </is>
      </c>
      <c r="I4231" t="inlineStr">
        <is>
          <t>112²</t>
        </is>
      </c>
      <c r="J4231" t="n">
        <v>2</v>
      </c>
      <c r="K4231" t="inlineStr">
        <is>
          <t>16², 48⁴</t>
        </is>
      </c>
      <c r="L4231" t="inlineStr">
        <is>
          <t>56E⁷, 112A⁷, 112C⁷</t>
        </is>
      </c>
      <c r="M4231" t="inlineStr"/>
      <c r="N4231" t="inlineStr">
        <is>
          <t>28D³, 112C⁷, 56E⁷, 16A⁰, 56B³, 112A⁷, 4A⁰, 7C⁰, 8A⁰, 56C³, 28A¹, 1A⁰, 7A⁰</t>
        </is>
      </c>
      <c r="O4231" t="inlineStr"/>
    </row>
    <row r="4232">
      <c r="A4232">
        <f>HYPERLINK("https://mathstats.uncg.edu/sites/pauli/congruence/csg15.html#group112K15", "112K¹⁵")</f>
        <v/>
      </c>
      <c r="B4232" t="n">
        <v>15</v>
      </c>
      <c r="C4232" t="inlineStr"/>
      <c r="D4232" t="inlineStr">
        <is>
          <t>256</t>
        </is>
      </c>
      <c r="E4232" t="inlineStr">
        <is>
          <t>1</t>
        </is>
      </c>
      <c r="F4232" t="inlineStr">
        <is>
          <t>32</t>
        </is>
      </c>
      <c r="G4232" t="inlineStr">
        <is>
          <t>0</t>
        </is>
      </c>
      <c r="H4232" t="inlineStr">
        <is>
          <t>16</t>
        </is>
      </c>
      <c r="I4232" t="inlineStr">
        <is>
          <t>16², 112²</t>
        </is>
      </c>
      <c r="J4232" t="n">
        <v>4</v>
      </c>
      <c r="K4232" t="inlineStr">
        <is>
          <t>2⁴, 12²</t>
        </is>
      </c>
      <c r="L4232" t="inlineStr">
        <is>
          <t>56G⁷</t>
        </is>
      </c>
      <c r="M4232" t="inlineStr"/>
      <c r="N4232" t="inlineStr">
        <is>
          <t>56G⁷, 56A⁴, 2A⁰, 7B⁰, 4A⁰, 4D⁰, 14B⁰, 8A⁰, 8E⁰, 28E³, 1A⁰, 28A²</t>
        </is>
      </c>
      <c r="O4232" t="inlineStr"/>
    </row>
    <row r="4233">
      <c r="A4233">
        <f>HYPERLINK("https://mathstats.uncg.edu/sites/pauli/congruence/csg15.html#group112L15", "112L¹⁵")</f>
        <v/>
      </c>
      <c r="B4233" t="n">
        <v>15</v>
      </c>
      <c r="C4233" t="inlineStr"/>
      <c r="D4233" t="inlineStr">
        <is>
          <t>256</t>
        </is>
      </c>
      <c r="E4233" t="inlineStr">
        <is>
          <t>1</t>
        </is>
      </c>
      <c r="F4233" t="inlineStr">
        <is>
          <t>32</t>
        </is>
      </c>
      <c r="G4233" t="inlineStr">
        <is>
          <t>0</t>
        </is>
      </c>
      <c r="H4233" t="inlineStr">
        <is>
          <t>16</t>
        </is>
      </c>
      <c r="I4233" t="inlineStr">
        <is>
          <t>16², 112²</t>
        </is>
      </c>
      <c r="J4233" t="n">
        <v>4</v>
      </c>
      <c r="K4233" t="inlineStr">
        <is>
          <t>2⁴, 12²</t>
        </is>
      </c>
      <c r="L4233" t="inlineStr">
        <is>
          <t>16F⁰, 56G⁷, 112A⁸</t>
        </is>
      </c>
      <c r="M4233" t="inlineStr"/>
      <c r="N4233" t="inlineStr">
        <is>
          <t>2A⁰, 16A⁰, 112A⁸, 8A⁰, 8E⁰, 28E³, 1A⁰, 28A², 56G⁷, 56A⁴, 4A⁰, 7B⁰, 16F⁰, 4D⁰, 14B⁰</t>
        </is>
      </c>
      <c r="O4233" t="inlineStr"/>
    </row>
    <row r="4234">
      <c r="A4234">
        <f>HYPERLINK("https://mathstats.uncg.edu/sites/pauli/congruence/csg15.html#group120A15", "120A¹⁵")</f>
        <v/>
      </c>
      <c r="B4234" t="n">
        <v>15</v>
      </c>
      <c r="C4234" t="inlineStr"/>
      <c r="D4234" t="inlineStr">
        <is>
          <t>180</t>
        </is>
      </c>
      <c r="E4234" t="inlineStr">
        <is>
          <t>1</t>
        </is>
      </c>
      <c r="F4234" t="inlineStr">
        <is>
          <t>15</t>
        </is>
      </c>
      <c r="G4234" t="inlineStr">
        <is>
          <t>0</t>
        </is>
      </c>
      <c r="H4234" t="inlineStr">
        <is>
          <t>0</t>
        </is>
      </c>
      <c r="I4234" t="inlineStr">
        <is>
          <t>60¹, 120¹</t>
        </is>
      </c>
      <c r="J4234" t="n">
        <v>2</v>
      </c>
      <c r="K4234" t="inlineStr">
        <is>
          <t>1³, 4³</t>
        </is>
      </c>
      <c r="L4234" t="inlineStr">
        <is>
          <t>24A³, 40A⁵, 60B⁶</t>
        </is>
      </c>
      <c r="M4234" t="inlineStr"/>
      <c r="N4234" t="inlineStr">
        <is>
          <t>30D³, 24A³, 5A⁰, 12C⁰, 8A¹, 15A¹, 10B¹, 20B², 4C⁰, 60B⁶, 2B⁰, 3A⁰, 40A⁵, 1A⁰, 6D⁰</t>
        </is>
      </c>
      <c r="O4234" t="inlineStr"/>
    </row>
    <row r="4235">
      <c r="A4235">
        <f>HYPERLINK("https://mathstats.uncg.edu/sites/pauli/congruence/csg15.html#group120B15", "120B¹⁵")</f>
        <v/>
      </c>
      <c r="B4235" t="n">
        <v>15</v>
      </c>
      <c r="C4235" t="inlineStr"/>
      <c r="D4235" t="inlineStr">
        <is>
          <t>180</t>
        </is>
      </c>
      <c r="E4235" t="inlineStr">
        <is>
          <t>2</t>
        </is>
      </c>
      <c r="F4235" t="inlineStr">
        <is>
          <t>15</t>
        </is>
      </c>
      <c r="G4235" t="inlineStr">
        <is>
          <t>0</t>
        </is>
      </c>
      <c r="H4235" t="inlineStr">
        <is>
          <t>0</t>
        </is>
      </c>
      <c r="I4235" t="inlineStr">
        <is>
          <t>60¹, 120¹</t>
        </is>
      </c>
      <c r="J4235" t="n">
        <v>2</v>
      </c>
      <c r="K4235" t="inlineStr">
        <is>
          <t>2³, 8³</t>
        </is>
      </c>
      <c r="L4235" t="inlineStr">
        <is>
          <t>40A⁵, 60D⁶</t>
        </is>
      </c>
      <c r="M4235" t="inlineStr"/>
      <c r="N4235" t="inlineStr">
        <is>
          <t>5A⁰, 60D⁶, 8A¹, 30E³, 10B¹, 20B², 4C⁰, 2B⁰, 40A⁵, 1A⁰, 15A⁰</t>
        </is>
      </c>
      <c r="O4235" t="inlineStr"/>
    </row>
    <row r="4236">
      <c r="A4236">
        <f>HYPERLINK("https://mathstats.uncg.edu/sites/pauli/congruence/csg15.html#group120C15", "120C¹⁵")</f>
        <v/>
      </c>
      <c r="B4236" t="n">
        <v>15</v>
      </c>
      <c r="C4236" t="inlineStr"/>
      <c r="D4236" t="inlineStr">
        <is>
          <t>192</t>
        </is>
      </c>
      <c r="E4236" t="inlineStr">
        <is>
          <t>2</t>
        </is>
      </c>
      <c r="F4236" t="inlineStr">
        <is>
          <t>96</t>
        </is>
      </c>
      <c r="G4236" t="inlineStr">
        <is>
          <t>0</t>
        </is>
      </c>
      <c r="H4236" t="inlineStr">
        <is>
          <t>0</t>
        </is>
      </c>
      <c r="I4236" t="inlineStr">
        <is>
          <t>8¹, 24¹, 40¹, 120¹</t>
        </is>
      </c>
      <c r="J4236" t="n">
        <v>4</v>
      </c>
      <c r="K4236" t="inlineStr">
        <is>
          <t>4⁸, 8⁴, 16⁴, 32²</t>
        </is>
      </c>
      <c r="L4236" t="inlineStr">
        <is>
          <t>40A³, 60F⁷</t>
        </is>
      </c>
      <c r="M4236" t="inlineStr"/>
      <c r="N4236" t="inlineStr">
        <is>
          <t>15C¹, 3B⁰, 40A³, 60F⁷, 4A⁰, 12A¹, 5B⁰, 1A⁰, 20B¹</t>
        </is>
      </c>
      <c r="O4236" t="inlineStr"/>
    </row>
    <row r="4237">
      <c r="A4237">
        <f>HYPERLINK("https://mathstats.uncg.edu/sites/pauli/congruence/csg15.html#group120D15", "120D¹⁵")</f>
        <v/>
      </c>
      <c r="B4237" t="n">
        <v>15</v>
      </c>
      <c r="C4237" t="inlineStr"/>
      <c r="D4237" t="inlineStr">
        <is>
          <t>192</t>
        </is>
      </c>
      <c r="E4237" t="inlineStr">
        <is>
          <t>2</t>
        </is>
      </c>
      <c r="F4237" t="inlineStr">
        <is>
          <t>96</t>
        </is>
      </c>
      <c r="G4237" t="inlineStr">
        <is>
          <t>0</t>
        </is>
      </c>
      <c r="H4237" t="inlineStr">
        <is>
          <t>0</t>
        </is>
      </c>
      <c r="I4237" t="inlineStr">
        <is>
          <t>8¹, 24¹, 40¹, 120¹</t>
        </is>
      </c>
      <c r="J4237" t="n">
        <v>4</v>
      </c>
      <c r="K4237" t="inlineStr">
        <is>
          <t>4⁸, 8⁴, 16⁴, 32²</t>
        </is>
      </c>
      <c r="L4237" t="inlineStr">
        <is>
          <t>24A², 40B³, 60F⁷</t>
        </is>
      </c>
      <c r="M4237" t="inlineStr"/>
      <c r="N4237" t="inlineStr">
        <is>
          <t>3B⁰, 15C¹, 24A², 60F⁷, 4A⁰, 12A¹, 40B³, 8A⁰, 5B⁰, 1A⁰, 20B¹</t>
        </is>
      </c>
      <c r="O4237" t="inlineStr"/>
    </row>
    <row r="4238">
      <c r="A4238">
        <f>HYPERLINK("https://mathstats.uncg.edu/sites/pauli/congruence/csg15.html#group120E15", "120E¹⁵")</f>
        <v/>
      </c>
      <c r="B4238" t="n">
        <v>15</v>
      </c>
      <c r="C4238" t="inlineStr"/>
      <c r="D4238" t="inlineStr">
        <is>
          <t>216</t>
        </is>
      </c>
      <c r="E4238" t="inlineStr">
        <is>
          <t>1</t>
        </is>
      </c>
      <c r="F4238" t="inlineStr">
        <is>
          <t>36</t>
        </is>
      </c>
      <c r="G4238" t="inlineStr">
        <is>
          <t>0</t>
        </is>
      </c>
      <c r="H4238" t="inlineStr">
        <is>
          <t>0</t>
        </is>
      </c>
      <c r="I4238" t="inlineStr">
        <is>
          <t>3², 6¹, 15², 24¹, 30¹, 120¹</t>
        </is>
      </c>
      <c r="J4238" t="n">
        <v>8</v>
      </c>
      <c r="K4238" t="inlineStr">
        <is>
          <t>1⁸, 2², 4⁴, 8¹</t>
        </is>
      </c>
      <c r="L4238" t="inlineStr">
        <is>
          <t>40E³, 60H⁷</t>
        </is>
      </c>
      <c r="M4238" t="inlineStr"/>
      <c r="N4238" t="inlineStr">
        <is>
          <t>15B⁰, 30E², 60H⁷, 4B⁰, 5B⁰, 10C⁰, 40E³, 20D¹, 12B¹, 2B⁰, 3A⁰, 1A⁰, 6D⁰</t>
        </is>
      </c>
      <c r="O4238" t="inlineStr"/>
    </row>
    <row r="4239">
      <c r="A4239">
        <f>HYPERLINK("https://mathstats.uncg.edu/sites/pauli/congruence/csg15.html#group120F15", "120F¹⁵")</f>
        <v/>
      </c>
      <c r="B4239" t="n">
        <v>15</v>
      </c>
      <c r="C4239" t="inlineStr"/>
      <c r="D4239" t="inlineStr">
        <is>
          <t>216</t>
        </is>
      </c>
      <c r="E4239" t="inlineStr">
        <is>
          <t>1</t>
        </is>
      </c>
      <c r="F4239" t="inlineStr">
        <is>
          <t>36</t>
        </is>
      </c>
      <c r="G4239" t="inlineStr">
        <is>
          <t>0</t>
        </is>
      </c>
      <c r="H4239" t="inlineStr">
        <is>
          <t>0</t>
        </is>
      </c>
      <c r="I4239" t="inlineStr">
        <is>
          <t>3², 6¹, 15², 24¹, 30¹, 120¹</t>
        </is>
      </c>
      <c r="J4239" t="n">
        <v>8</v>
      </c>
      <c r="K4239" t="inlineStr">
        <is>
          <t>1⁸, 2², 4⁴, 8¹</t>
        </is>
      </c>
      <c r="L4239" t="inlineStr">
        <is>
          <t>24B², 40F³, 60H⁷</t>
        </is>
      </c>
      <c r="M4239" t="inlineStr"/>
      <c r="N4239" t="inlineStr">
        <is>
          <t>60H⁷, 5B⁰, 20D¹, 8C⁰, 2B⁰, 4B⁰, 1A⁰, 24B², 15B⁰, 30E², 40F³, 10C⁰, 12B¹, 3A⁰, 6D⁰</t>
        </is>
      </c>
      <c r="O4239" t="inlineStr"/>
    </row>
    <row r="4240">
      <c r="A4240">
        <f>HYPERLINK("https://mathstats.uncg.edu/sites/pauli/congruence/csg15.html#group120G15", "120G¹⁵")</f>
        <v/>
      </c>
      <c r="B4240" t="n">
        <v>15</v>
      </c>
      <c r="C4240" t="inlineStr"/>
      <c r="D4240" t="inlineStr">
        <is>
          <t>216</t>
        </is>
      </c>
      <c r="E4240" t="inlineStr">
        <is>
          <t>1</t>
        </is>
      </c>
      <c r="F4240" t="inlineStr">
        <is>
          <t>54</t>
        </is>
      </c>
      <c r="G4240" t="inlineStr">
        <is>
          <t>8</t>
        </is>
      </c>
      <c r="H4240" t="inlineStr">
        <is>
          <t>0</t>
        </is>
      </c>
      <c r="I4240" t="inlineStr">
        <is>
          <t>12¹, 24¹, 60¹, 120¹</t>
        </is>
      </c>
      <c r="J4240" t="n">
        <v>4</v>
      </c>
      <c r="K4240" t="inlineStr">
        <is>
          <t>1⁶, 2⁶, 4³, 8³</t>
        </is>
      </c>
      <c r="L4240" t="inlineStr">
        <is>
          <t>60A⁵</t>
        </is>
      </c>
      <c r="M4240" t="inlineStr"/>
      <c r="N4240" t="inlineStr">
        <is>
          <t>20E¹, 15B⁰, 12C⁰, 30E², 60A⁵, 4C⁰, 5B⁰, 10C⁰, 2B⁰, 3A⁰, 1A⁰, 6D⁰</t>
        </is>
      </c>
      <c r="O4240" t="inlineStr"/>
    </row>
    <row r="4241">
      <c r="A4241">
        <f>HYPERLINK("https://mathstats.uncg.edu/sites/pauli/congruence/csg15.html#group120H15", "120H¹⁵")</f>
        <v/>
      </c>
      <c r="B4241" t="n">
        <v>15</v>
      </c>
      <c r="C4241" t="inlineStr"/>
      <c r="D4241" t="inlineStr">
        <is>
          <t>216</t>
        </is>
      </c>
      <c r="E4241" t="inlineStr">
        <is>
          <t>1</t>
        </is>
      </c>
      <c r="F4241" t="inlineStr">
        <is>
          <t>54</t>
        </is>
      </c>
      <c r="G4241" t="inlineStr">
        <is>
          <t>8</t>
        </is>
      </c>
      <c r="H4241" t="inlineStr">
        <is>
          <t>0</t>
        </is>
      </c>
      <c r="I4241" t="inlineStr">
        <is>
          <t>12¹, 24¹, 60¹, 120¹</t>
        </is>
      </c>
      <c r="J4241" t="n">
        <v>4</v>
      </c>
      <c r="K4241" t="inlineStr">
        <is>
          <t>1⁶, 2⁶, 4³, 8³</t>
        </is>
      </c>
      <c r="L4241" t="inlineStr">
        <is>
          <t>24C², 60A⁵</t>
        </is>
      </c>
      <c r="M4241" t="inlineStr"/>
      <c r="N4241" t="inlineStr">
        <is>
          <t>20E¹, 15B⁰, 12C⁰, 30E², 60A⁵, 4C⁰, 5B⁰, 10C⁰, 2B⁰, 24C², 3A⁰, 1A⁰, 6D⁰</t>
        </is>
      </c>
      <c r="O4241" t="inlineStr"/>
    </row>
    <row r="4242">
      <c r="A4242">
        <f>HYPERLINK("https://mathstats.uncg.edu/sites/pauli/congruence/csg15.html#group120I15", "120I¹⁵")</f>
        <v/>
      </c>
      <c r="B4242" t="n">
        <v>15</v>
      </c>
      <c r="C4242" t="inlineStr"/>
      <c r="D4242" t="inlineStr">
        <is>
          <t>216</t>
        </is>
      </c>
      <c r="E4242" t="inlineStr">
        <is>
          <t>1</t>
        </is>
      </c>
      <c r="F4242" t="inlineStr">
        <is>
          <t>108</t>
        </is>
      </c>
      <c r="G4242" t="inlineStr">
        <is>
          <t>0</t>
        </is>
      </c>
      <c r="H4242" t="inlineStr">
        <is>
          <t>0</t>
        </is>
      </c>
      <c r="I4242" t="inlineStr">
        <is>
          <t>3², 6¹, 15², 24¹, 30¹, 120¹</t>
        </is>
      </c>
      <c r="J4242" t="n">
        <v>8</v>
      </c>
      <c r="K4242" t="inlineStr">
        <is>
          <t>1⁸, 2¹⁰, 4⁶, 8⁵, 16¹</t>
        </is>
      </c>
      <c r="L4242" t="inlineStr">
        <is>
          <t>60H⁷</t>
        </is>
      </c>
      <c r="M4242" t="inlineStr"/>
      <c r="N4242" t="inlineStr">
        <is>
          <t>15B⁰, 30E², 60H⁷, 4B⁰, 5B⁰, 10C⁰, 20D¹, 12B¹, 2B⁰, 3A⁰, 1A⁰, 6D⁰</t>
        </is>
      </c>
      <c r="O4242" t="inlineStr"/>
    </row>
    <row r="4243">
      <c r="A4243">
        <f>HYPERLINK("https://mathstats.uncg.edu/sites/pauli/congruence/csg15.html#group120J15", "120J¹⁵")</f>
        <v/>
      </c>
      <c r="B4243" t="n">
        <v>15</v>
      </c>
      <c r="C4243" t="inlineStr"/>
      <c r="D4243" t="inlineStr">
        <is>
          <t>216</t>
        </is>
      </c>
      <c r="E4243" t="inlineStr">
        <is>
          <t>1</t>
        </is>
      </c>
      <c r="F4243" t="inlineStr">
        <is>
          <t>108</t>
        </is>
      </c>
      <c r="G4243" t="inlineStr">
        <is>
          <t>0</t>
        </is>
      </c>
      <c r="H4243" t="inlineStr">
        <is>
          <t>0</t>
        </is>
      </c>
      <c r="I4243" t="inlineStr">
        <is>
          <t>3², 6¹, 15², 24¹, 30¹, 120¹</t>
        </is>
      </c>
      <c r="J4243" t="n">
        <v>8</v>
      </c>
      <c r="K4243" t="inlineStr">
        <is>
          <t>1⁸, 2¹⁰, 4⁶, 8⁵, 16¹</t>
        </is>
      </c>
      <c r="L4243" t="inlineStr">
        <is>
          <t>24D², 60H⁷</t>
        </is>
      </c>
      <c r="M4243" t="inlineStr"/>
      <c r="N4243" t="inlineStr">
        <is>
          <t>60H⁷, 5B⁰, 2B⁰, 20D¹, 4B⁰, 1A⁰, 15B⁰, 30E², 24D², 10C⁰, 12B¹, 3A⁰, 6D⁰</t>
        </is>
      </c>
      <c r="O4243" t="inlineStr"/>
    </row>
    <row r="4244">
      <c r="A4244">
        <f>HYPERLINK("https://mathstats.uncg.edu/sites/pauli/congruence/csg15.html#group120K15", "120K¹⁵")</f>
        <v/>
      </c>
      <c r="B4244" t="n">
        <v>15</v>
      </c>
      <c r="C4244" t="inlineStr"/>
      <c r="D4244" t="inlineStr">
        <is>
          <t>288</t>
        </is>
      </c>
      <c r="E4244" t="inlineStr">
        <is>
          <t>1</t>
        </is>
      </c>
      <c r="F4244" t="inlineStr">
        <is>
          <t>72</t>
        </is>
      </c>
      <c r="G4244" t="inlineStr">
        <is>
          <t>0</t>
        </is>
      </c>
      <c r="H4244" t="inlineStr">
        <is>
          <t>0</t>
        </is>
      </c>
      <c r="I4244" t="inlineStr">
        <is>
          <t>1⁴, 3⁴, 5⁴, 8¹, 15⁴, 24¹, 40¹, 120¹</t>
        </is>
      </c>
      <c r="J4244" t="n">
        <v>20</v>
      </c>
      <c r="K4244" t="inlineStr">
        <is>
          <t>1¹², 2⁶, 4⁶, 8³</t>
        </is>
      </c>
      <c r="L4244" t="inlineStr">
        <is>
          <t>60P⁷</t>
        </is>
      </c>
      <c r="M4244" t="inlineStr"/>
      <c r="N4244" t="inlineStr">
        <is>
          <t>15C¹, 3B⁰, 5B⁰, 10C⁰, 6F⁰, 20D¹, 60P⁷, 30K³, 2B⁰, 4B⁰, 1A⁰, 12E⁰</t>
        </is>
      </c>
      <c r="O4244" t="inlineStr"/>
    </row>
    <row r="4245">
      <c r="A4245">
        <f>HYPERLINK("https://mathstats.uncg.edu/sites/pauli/congruence/csg15.html#group120L15", "120L¹⁵")</f>
        <v/>
      </c>
      <c r="B4245" t="n">
        <v>15</v>
      </c>
      <c r="C4245" t="inlineStr"/>
      <c r="D4245" t="inlineStr">
        <is>
          <t>288</t>
        </is>
      </c>
      <c r="E4245" t="inlineStr">
        <is>
          <t>1</t>
        </is>
      </c>
      <c r="F4245" t="inlineStr">
        <is>
          <t>72</t>
        </is>
      </c>
      <c r="G4245" t="inlineStr">
        <is>
          <t>0</t>
        </is>
      </c>
      <c r="H4245" t="inlineStr">
        <is>
          <t>0</t>
        </is>
      </c>
      <c r="I4245" t="inlineStr">
        <is>
          <t>1⁴, 3⁴, 5⁴, 8¹, 15⁴, 24¹, 40¹, 120¹</t>
        </is>
      </c>
      <c r="J4245" t="n">
        <v>20</v>
      </c>
      <c r="K4245" t="inlineStr">
        <is>
          <t>1¹², 2⁶, 4⁶, 8³</t>
        </is>
      </c>
      <c r="L4245" t="inlineStr">
        <is>
          <t>24B⁰, 60P⁷</t>
        </is>
      </c>
      <c r="M4245" t="inlineStr"/>
      <c r="N4245" t="inlineStr">
        <is>
          <t>3B⁰, 5B⁰, 2B⁰, 20D¹, 4B⁰, 1A⁰, 15C¹, 24B⁰, 10C⁰, 60P⁷, 30K³, 6F⁰, 12E⁰</t>
        </is>
      </c>
      <c r="O4245" t="inlineStr"/>
    </row>
    <row r="4246">
      <c r="A4246">
        <f>HYPERLINK("https://mathstats.uncg.edu/sites/pauli/congruence/csg15.html#group120M15", "120M¹⁵")</f>
        <v/>
      </c>
      <c r="B4246" t="n">
        <v>15</v>
      </c>
      <c r="C4246" t="inlineStr"/>
      <c r="D4246" t="inlineStr">
        <is>
          <t>288</t>
        </is>
      </c>
      <c r="E4246" t="inlineStr">
        <is>
          <t>2</t>
        </is>
      </c>
      <c r="F4246" t="inlineStr">
        <is>
          <t>72</t>
        </is>
      </c>
      <c r="G4246" t="inlineStr">
        <is>
          <t>0</t>
        </is>
      </c>
      <c r="H4246" t="inlineStr">
        <is>
          <t>0</t>
        </is>
      </c>
      <c r="I4246" t="inlineStr">
        <is>
          <t>1⁴, 3⁴, 5⁴, 8¹, 15⁴, 24¹, 40¹, 120¹</t>
        </is>
      </c>
      <c r="J4246" t="n">
        <v>20</v>
      </c>
      <c r="K4246" t="inlineStr">
        <is>
          <t>2¹², 4⁶, 8⁶, 16³</t>
        </is>
      </c>
      <c r="L4246" t="inlineStr">
        <is>
          <t>40A¹, 60O⁷</t>
        </is>
      </c>
      <c r="M4246" t="inlineStr"/>
      <c r="N4246" t="inlineStr">
        <is>
          <t>15C¹, 20A⁰, 3B⁰, 40A¹, 5B⁰, 10C⁰, 1A⁰, 60O⁷, 2B⁰, 30K³, 6F⁰</t>
        </is>
      </c>
      <c r="O4246" t="inlineStr"/>
    </row>
    <row r="4247">
      <c r="A4247">
        <f>HYPERLINK("https://mathstats.uncg.edu/sites/pauli/congruence/csg15.html#group124A15", "124A¹⁵")</f>
        <v/>
      </c>
      <c r="B4247" t="n">
        <v>15</v>
      </c>
      <c r="C4247" t="inlineStr"/>
      <c r="D4247" t="inlineStr">
        <is>
          <t>192</t>
        </is>
      </c>
      <c r="E4247" t="inlineStr">
        <is>
          <t>1</t>
        </is>
      </c>
      <c r="F4247" t="inlineStr">
        <is>
          <t>96</t>
        </is>
      </c>
      <c r="G4247" t="inlineStr">
        <is>
          <t>0</t>
        </is>
      </c>
      <c r="H4247" t="inlineStr">
        <is>
          <t>0</t>
        </is>
      </c>
      <c r="I4247" t="inlineStr">
        <is>
          <t>2¹, 4¹, 62¹, 124¹</t>
        </is>
      </c>
      <c r="J4247" t="n">
        <v>4</v>
      </c>
      <c r="K4247" t="inlineStr">
        <is>
          <t>1⁶, 30³</t>
        </is>
      </c>
      <c r="L4247" t="inlineStr">
        <is>
          <t>4C⁰, 62A⁷</t>
        </is>
      </c>
      <c r="M4247" t="inlineStr"/>
      <c r="N4247" t="inlineStr">
        <is>
          <t>31A², 2B⁰, 1A⁰, 62A⁷, 4C⁰</t>
        </is>
      </c>
      <c r="O4247" t="inlineStr"/>
    </row>
    <row r="4248">
      <c r="A4248">
        <f>HYPERLINK("https://mathstats.uncg.edu/sites/pauli/congruence/csg15.html#group126A15", "126A¹⁵")</f>
        <v/>
      </c>
      <c r="B4248" t="n">
        <v>15</v>
      </c>
      <c r="C4248" t="inlineStr"/>
      <c r="D4248" t="inlineStr">
        <is>
          <t>192</t>
        </is>
      </c>
      <c r="E4248" t="inlineStr">
        <is>
          <t>1</t>
        </is>
      </c>
      <c r="F4248" t="inlineStr">
        <is>
          <t>32</t>
        </is>
      </c>
      <c r="G4248" t="inlineStr">
        <is>
          <t>0</t>
        </is>
      </c>
      <c r="H4248" t="inlineStr">
        <is>
          <t>0</t>
        </is>
      </c>
      <c r="I4248" t="inlineStr">
        <is>
          <t>6¹, 18¹, 42¹, 126¹</t>
        </is>
      </c>
      <c r="J4248" t="n">
        <v>4</v>
      </c>
      <c r="K4248" t="inlineStr">
        <is>
          <t>1⁴, 2², 6², 12¹</t>
        </is>
      </c>
      <c r="L4248" t="inlineStr">
        <is>
          <t>42D³, 63B⁷</t>
        </is>
      </c>
      <c r="M4248" t="inlineStr"/>
      <c r="N4248" t="inlineStr">
        <is>
          <t>3B⁰, 21B¹, 7B⁰, 9A¹, 42D³, 63B⁷, 1A⁰</t>
        </is>
      </c>
      <c r="O4248" t="inlineStr"/>
    </row>
    <row r="4249">
      <c r="A4249">
        <f>HYPERLINK("https://mathstats.uncg.edu/sites/pauli/congruence/csg15.html#group126B15", "126B¹⁵")</f>
        <v/>
      </c>
      <c r="B4249" t="n">
        <v>15</v>
      </c>
      <c r="C4249" t="inlineStr"/>
      <c r="D4249" t="inlineStr">
        <is>
          <t>192</t>
        </is>
      </c>
      <c r="E4249" t="inlineStr">
        <is>
          <t>1</t>
        </is>
      </c>
      <c r="F4249" t="inlineStr">
        <is>
          <t>32</t>
        </is>
      </c>
      <c r="G4249" t="inlineStr">
        <is>
          <t>0</t>
        </is>
      </c>
      <c r="H4249" t="inlineStr">
        <is>
          <t>0</t>
        </is>
      </c>
      <c r="I4249" t="inlineStr">
        <is>
          <t>6¹, 18¹, 42¹, 126¹</t>
        </is>
      </c>
      <c r="J4249" t="n">
        <v>4</v>
      </c>
      <c r="K4249" t="inlineStr">
        <is>
          <t>1⁴, 2², 6², 12¹</t>
        </is>
      </c>
      <c r="L4249" t="inlineStr">
        <is>
          <t>18B², 42E³, 63B⁷</t>
        </is>
      </c>
      <c r="M4249" t="inlineStr"/>
      <c r="N4249" t="inlineStr">
        <is>
          <t>3B⁰, 2A⁰, 18B², 21B¹, 7B⁰, 42E³, 6C⁰, 9A¹, 14B⁰, 63B⁷, 1A⁰</t>
        </is>
      </c>
      <c r="O4249" t="inlineStr"/>
    </row>
    <row r="4250">
      <c r="A4250">
        <f>HYPERLINK("https://mathstats.uncg.edu/sites/pauli/congruence/csg15.html#group126C15", "126C¹⁵")</f>
        <v/>
      </c>
      <c r="B4250" t="n">
        <v>15</v>
      </c>
      <c r="C4250" t="inlineStr"/>
      <c r="D4250" t="inlineStr">
        <is>
          <t>192</t>
        </is>
      </c>
      <c r="E4250" t="inlineStr">
        <is>
          <t>1</t>
        </is>
      </c>
      <c r="F4250" t="inlineStr">
        <is>
          <t>64</t>
        </is>
      </c>
      <c r="G4250" t="inlineStr">
        <is>
          <t>0</t>
        </is>
      </c>
      <c r="H4250" t="inlineStr">
        <is>
          <t>0</t>
        </is>
      </c>
      <c r="I4250" t="inlineStr">
        <is>
          <t>6¹, 18¹, 42¹, 126¹</t>
        </is>
      </c>
      <c r="J4250" t="n">
        <v>4</v>
      </c>
      <c r="K4250" t="inlineStr">
        <is>
          <t>2⁸, 12⁴</t>
        </is>
      </c>
      <c r="L4250" t="inlineStr">
        <is>
          <t>18C², 42E³</t>
        </is>
      </c>
      <c r="M4250" t="inlineStr"/>
      <c r="N4250" t="inlineStr">
        <is>
          <t>3B⁰, 2A⁰, 21B¹, 7B⁰, 42E³, 6C⁰, 14B⁰, 1A⁰, 18C²</t>
        </is>
      </c>
      <c r="O4250" t="inlineStr"/>
    </row>
    <row r="4251">
      <c r="A4251">
        <f>HYPERLINK("https://mathstats.uncg.edu/sites/pauli/congruence/csg15.html#group126D15", "126D¹⁵")</f>
        <v/>
      </c>
      <c r="B4251" t="n">
        <v>15</v>
      </c>
      <c r="C4251" t="inlineStr"/>
      <c r="D4251" t="inlineStr">
        <is>
          <t>192</t>
        </is>
      </c>
      <c r="E4251" t="inlineStr">
        <is>
          <t>2</t>
        </is>
      </c>
      <c r="F4251" t="inlineStr">
        <is>
          <t>32</t>
        </is>
      </c>
      <c r="G4251" t="inlineStr">
        <is>
          <t>0</t>
        </is>
      </c>
      <c r="H4251" t="inlineStr">
        <is>
          <t>0</t>
        </is>
      </c>
      <c r="I4251" t="inlineStr">
        <is>
          <t>6¹, 18¹, 42¹, 126¹</t>
        </is>
      </c>
      <c r="J4251" t="n">
        <v>4</v>
      </c>
      <c r="K4251" t="inlineStr">
        <is>
          <t>2⁸, 12⁴</t>
        </is>
      </c>
      <c r="L4251" t="inlineStr">
        <is>
          <t>42D³, 63C⁷</t>
        </is>
      </c>
      <c r="M4251" t="inlineStr"/>
      <c r="N4251" t="inlineStr">
        <is>
          <t>3B⁰, 63C⁷, 42D³, 21B¹, 1A⁰, 7B⁰</t>
        </is>
      </c>
      <c r="O4251" t="inlineStr"/>
    </row>
    <row r="4252">
      <c r="A4252">
        <f>HYPERLINK("https://mathstats.uncg.edu/sites/pauli/congruence/csg15.html#group126E15", "126E¹⁵")</f>
        <v/>
      </c>
      <c r="B4252" t="n">
        <v>15</v>
      </c>
      <c r="C4252" t="inlineStr"/>
      <c r="D4252" t="inlineStr">
        <is>
          <t>192</t>
        </is>
      </c>
      <c r="E4252" t="inlineStr">
        <is>
          <t>2</t>
        </is>
      </c>
      <c r="F4252" t="inlineStr">
        <is>
          <t>32</t>
        </is>
      </c>
      <c r="G4252" t="inlineStr">
        <is>
          <t>0</t>
        </is>
      </c>
      <c r="H4252" t="inlineStr">
        <is>
          <t>0</t>
        </is>
      </c>
      <c r="I4252" t="inlineStr">
        <is>
          <t>6¹, 18¹, 42¹, 126¹</t>
        </is>
      </c>
      <c r="J4252" t="n">
        <v>4</v>
      </c>
      <c r="K4252" t="inlineStr">
        <is>
          <t>2⁸, 12⁴</t>
        </is>
      </c>
      <c r="L4252" t="inlineStr">
        <is>
          <t>42E³, 63C⁷</t>
        </is>
      </c>
      <c r="M4252" t="inlineStr"/>
      <c r="N4252" t="inlineStr">
        <is>
          <t>3B⁰, 2A⁰, 63C⁷, 21B¹, 7B⁰, 42E³, 6C⁰, 14B⁰, 1A⁰</t>
        </is>
      </c>
      <c r="O4252" t="inlineStr"/>
    </row>
    <row r="4253">
      <c r="A4253">
        <f>HYPERLINK("https://mathstats.uncg.edu/sites/pauli/congruence/csg15.html#group126F15", "126F¹⁵")</f>
        <v/>
      </c>
      <c r="B4253" t="n">
        <v>15</v>
      </c>
      <c r="C4253" t="inlineStr"/>
      <c r="D4253" t="inlineStr">
        <is>
          <t>252</t>
        </is>
      </c>
      <c r="E4253" t="inlineStr">
        <is>
          <t>2</t>
        </is>
      </c>
      <c r="F4253" t="inlineStr">
        <is>
          <t>21</t>
        </is>
      </c>
      <c r="G4253" t="inlineStr">
        <is>
          <t>24</t>
        </is>
      </c>
      <c r="H4253" t="inlineStr">
        <is>
          <t>0</t>
        </is>
      </c>
      <c r="I4253" t="inlineStr">
        <is>
          <t>126²</t>
        </is>
      </c>
      <c r="J4253" t="n">
        <v>2</v>
      </c>
      <c r="K4253" t="inlineStr">
        <is>
          <t>2¹, 4¹, 6², 12²</t>
        </is>
      </c>
      <c r="L4253" t="inlineStr">
        <is>
          <t>42E⁵, 63E⁶, 126A⁶, 126A⁷</t>
        </is>
      </c>
      <c r="M4253" t="inlineStr"/>
      <c r="N4253" t="inlineStr">
        <is>
          <t>14A⁰, 21D², 126A⁷, 42A¹, 63E⁶, 21A⁰, 1A⁰, 63A², 9D⁰, 42A², 42E⁵, 126A⁶, 9A⁰, 3C⁰, 3A⁰, 7A⁰</t>
        </is>
      </c>
      <c r="O4253" t="inlineStr"/>
    </row>
    <row r="4254">
      <c r="A4254">
        <f>HYPERLINK("https://mathstats.uncg.edu/sites/pauli/congruence/csg15.html#group128A15", "128A¹⁵")</f>
        <v/>
      </c>
      <c r="B4254" t="n">
        <v>15</v>
      </c>
      <c r="C4254" t="inlineStr"/>
      <c r="D4254" t="inlineStr">
        <is>
          <t>192</t>
        </is>
      </c>
      <c r="E4254" t="inlineStr">
        <is>
          <t>1</t>
        </is>
      </c>
      <c r="F4254" t="inlineStr">
        <is>
          <t>24</t>
        </is>
      </c>
      <c r="G4254" t="inlineStr">
        <is>
          <t>0</t>
        </is>
      </c>
      <c r="H4254" t="inlineStr">
        <is>
          <t>0</t>
        </is>
      </c>
      <c r="I4254" t="inlineStr">
        <is>
          <t>16², 32¹, 128¹</t>
        </is>
      </c>
      <c r="J4254" t="n">
        <v>4</v>
      </c>
      <c r="K4254" t="inlineStr">
        <is>
          <t>2⁴, 4⁶, 8²</t>
        </is>
      </c>
      <c r="L4254" t="inlineStr">
        <is>
          <t>64A⁷</t>
        </is>
      </c>
      <c r="M4254" t="inlineStr"/>
      <c r="N4254" t="inlineStr">
        <is>
          <t>16A¹, 8C⁰, 2B⁰, 1A⁰, 4B⁰, 64A⁷, 32C³</t>
        </is>
      </c>
      <c r="O4254" t="inlineStr"/>
    </row>
    <row r="4255">
      <c r="A4255">
        <f>HYPERLINK("https://mathstats.uncg.edu/sites/pauli/congruence/csg15.html#group128B15", "128B¹⁵")</f>
        <v/>
      </c>
      <c r="B4255" t="n">
        <v>15</v>
      </c>
      <c r="C4255" t="inlineStr"/>
      <c r="D4255" t="inlineStr">
        <is>
          <t>192</t>
        </is>
      </c>
      <c r="E4255" t="inlineStr">
        <is>
          <t>1</t>
        </is>
      </c>
      <c r="F4255" t="inlineStr">
        <is>
          <t>24</t>
        </is>
      </c>
      <c r="G4255" t="inlineStr">
        <is>
          <t>0</t>
        </is>
      </c>
      <c r="H4255" t="inlineStr">
        <is>
          <t>0</t>
        </is>
      </c>
      <c r="I4255" t="inlineStr">
        <is>
          <t>16², 32¹, 128¹</t>
        </is>
      </c>
      <c r="J4255" t="n">
        <v>4</v>
      </c>
      <c r="K4255" t="inlineStr">
        <is>
          <t>2⁴, 4⁶, 8²</t>
        </is>
      </c>
      <c r="L4255" t="inlineStr">
        <is>
          <t>64A⁷</t>
        </is>
      </c>
      <c r="M4255" t="inlineStr"/>
      <c r="N4255" t="inlineStr">
        <is>
          <t>16A¹, 8C⁰, 2B⁰, 1A⁰, 4B⁰, 64A⁷, 32C³</t>
        </is>
      </c>
      <c r="O4255" t="inlineStr"/>
    </row>
    <row r="4256">
      <c r="A4256">
        <f>HYPERLINK("https://mathstats.uncg.edu/sites/pauli/congruence/csg15.html#group128C15", "128C¹⁵")</f>
        <v/>
      </c>
      <c r="B4256" t="n">
        <v>15</v>
      </c>
      <c r="C4256" t="inlineStr"/>
      <c r="D4256" t="inlineStr">
        <is>
          <t>192</t>
        </is>
      </c>
      <c r="E4256" t="inlineStr">
        <is>
          <t>1</t>
        </is>
      </c>
      <c r="F4256" t="inlineStr">
        <is>
          <t>24</t>
        </is>
      </c>
      <c r="G4256" t="inlineStr">
        <is>
          <t>0</t>
        </is>
      </c>
      <c r="H4256" t="inlineStr">
        <is>
          <t>0</t>
        </is>
      </c>
      <c r="I4256" t="inlineStr">
        <is>
          <t>16², 32¹, 128¹</t>
        </is>
      </c>
      <c r="J4256" t="n">
        <v>4</v>
      </c>
      <c r="K4256" t="inlineStr">
        <is>
          <t>2⁴, 4⁶, 8²</t>
        </is>
      </c>
      <c r="L4256" t="inlineStr">
        <is>
          <t>64B⁷</t>
        </is>
      </c>
      <c r="M4256" t="inlineStr"/>
      <c r="N4256" t="inlineStr">
        <is>
          <t>16A¹, 8C⁰, 2B⁰, 64B⁷, 4B⁰, 1A⁰, 32C³</t>
        </is>
      </c>
      <c r="O4256" t="inlineStr"/>
    </row>
    <row r="4257">
      <c r="A4257">
        <f>HYPERLINK("https://mathstats.uncg.edu/sites/pauli/congruence/csg15.html#group128D15", "128D¹⁵")</f>
        <v/>
      </c>
      <c r="B4257" t="n">
        <v>15</v>
      </c>
      <c r="C4257" t="inlineStr"/>
      <c r="D4257" t="inlineStr">
        <is>
          <t>192</t>
        </is>
      </c>
      <c r="E4257" t="inlineStr">
        <is>
          <t>1</t>
        </is>
      </c>
      <c r="F4257" t="inlineStr">
        <is>
          <t>24</t>
        </is>
      </c>
      <c r="G4257" t="inlineStr">
        <is>
          <t>0</t>
        </is>
      </c>
      <c r="H4257" t="inlineStr">
        <is>
          <t>0</t>
        </is>
      </c>
      <c r="I4257" t="inlineStr">
        <is>
          <t>16², 32¹, 128¹</t>
        </is>
      </c>
      <c r="J4257" t="n">
        <v>4</v>
      </c>
      <c r="K4257" t="inlineStr">
        <is>
          <t>2⁴, 4⁶, 8²</t>
        </is>
      </c>
      <c r="L4257" t="inlineStr">
        <is>
          <t>64B⁷</t>
        </is>
      </c>
      <c r="M4257" t="inlineStr"/>
      <c r="N4257" t="inlineStr">
        <is>
          <t>16A¹, 8C⁰, 2B⁰, 64B⁷, 4B⁰, 1A⁰, 32C³</t>
        </is>
      </c>
      <c r="O4257" t="inlineStr"/>
    </row>
    <row r="4258">
      <c r="A4258">
        <f>HYPERLINK("https://mathstats.uncg.edu/sites/pauli/congruence/csg15.html#group128E15", "128E¹⁵")</f>
        <v/>
      </c>
      <c r="B4258" t="n">
        <v>15</v>
      </c>
      <c r="C4258" t="inlineStr"/>
      <c r="D4258" t="inlineStr">
        <is>
          <t>192</t>
        </is>
      </c>
      <c r="E4258" t="inlineStr">
        <is>
          <t>1</t>
        </is>
      </c>
      <c r="F4258" t="inlineStr">
        <is>
          <t>24</t>
        </is>
      </c>
      <c r="G4258" t="inlineStr">
        <is>
          <t>0</t>
        </is>
      </c>
      <c r="H4258" t="inlineStr">
        <is>
          <t>0</t>
        </is>
      </c>
      <c r="I4258" t="inlineStr">
        <is>
          <t>16², 32¹, 128¹</t>
        </is>
      </c>
      <c r="J4258" t="n">
        <v>4</v>
      </c>
      <c r="K4258" t="inlineStr">
        <is>
          <t>2⁴, 4⁶, 8²</t>
        </is>
      </c>
      <c r="L4258" t="inlineStr">
        <is>
          <t>64C⁷</t>
        </is>
      </c>
      <c r="M4258" t="inlineStr"/>
      <c r="N4258" t="inlineStr">
        <is>
          <t>16A¹, 8C⁰, 2B⁰, 4B⁰, 1A⁰, 32C³, 64C⁷</t>
        </is>
      </c>
      <c r="O4258" t="inlineStr"/>
    </row>
    <row r="4259">
      <c r="A4259">
        <f>HYPERLINK("https://mathstats.uncg.edu/sites/pauli/congruence/csg15.html#group128F15", "128F¹⁵")</f>
        <v/>
      </c>
      <c r="B4259" t="n">
        <v>15</v>
      </c>
      <c r="C4259" t="inlineStr"/>
      <c r="D4259" t="inlineStr">
        <is>
          <t>192</t>
        </is>
      </c>
      <c r="E4259" t="inlineStr">
        <is>
          <t>1</t>
        </is>
      </c>
      <c r="F4259" t="inlineStr">
        <is>
          <t>24</t>
        </is>
      </c>
      <c r="G4259" t="inlineStr">
        <is>
          <t>0</t>
        </is>
      </c>
      <c r="H4259" t="inlineStr">
        <is>
          <t>0</t>
        </is>
      </c>
      <c r="I4259" t="inlineStr">
        <is>
          <t>16², 32¹, 128¹</t>
        </is>
      </c>
      <c r="J4259" t="n">
        <v>4</v>
      </c>
      <c r="K4259" t="inlineStr">
        <is>
          <t>2⁴, 4⁶, 8²</t>
        </is>
      </c>
      <c r="L4259" t="inlineStr">
        <is>
          <t>64C⁷</t>
        </is>
      </c>
      <c r="M4259" t="inlineStr"/>
      <c r="N4259" t="inlineStr">
        <is>
          <t>16A¹, 8C⁰, 2B⁰, 4B⁰, 1A⁰, 32C³, 64C⁷</t>
        </is>
      </c>
      <c r="O4259" t="inlineStr"/>
    </row>
    <row r="4260">
      <c r="A4260">
        <f>HYPERLINK("https://mathstats.uncg.edu/sites/pauli/congruence/csg15.html#group128G15", "128G¹⁵")</f>
        <v/>
      </c>
      <c r="B4260" t="n">
        <v>15</v>
      </c>
      <c r="C4260" t="inlineStr"/>
      <c r="D4260" t="inlineStr">
        <is>
          <t>192</t>
        </is>
      </c>
      <c r="E4260" t="inlineStr">
        <is>
          <t>1</t>
        </is>
      </c>
      <c r="F4260" t="inlineStr">
        <is>
          <t>24</t>
        </is>
      </c>
      <c r="G4260" t="inlineStr">
        <is>
          <t>0</t>
        </is>
      </c>
      <c r="H4260" t="inlineStr">
        <is>
          <t>0</t>
        </is>
      </c>
      <c r="I4260" t="inlineStr">
        <is>
          <t>16², 32¹, 128¹</t>
        </is>
      </c>
      <c r="J4260" t="n">
        <v>4</v>
      </c>
      <c r="K4260" t="inlineStr">
        <is>
          <t>2⁴, 4⁶, 8²</t>
        </is>
      </c>
      <c r="L4260" t="inlineStr">
        <is>
          <t>64D⁷</t>
        </is>
      </c>
      <c r="M4260" t="inlineStr"/>
      <c r="N4260" t="inlineStr">
        <is>
          <t>64D⁷, 16A¹, 8C⁰, 2B⁰, 4B⁰, 1A⁰, 32C³</t>
        </is>
      </c>
      <c r="O4260" t="inlineStr"/>
    </row>
    <row r="4261">
      <c r="A4261">
        <f>HYPERLINK("https://mathstats.uncg.edu/sites/pauli/congruence/csg15.html#group128H15", "128H¹⁵")</f>
        <v/>
      </c>
      <c r="B4261" t="n">
        <v>15</v>
      </c>
      <c r="C4261" t="inlineStr"/>
      <c r="D4261" t="inlineStr">
        <is>
          <t>192</t>
        </is>
      </c>
      <c r="E4261" t="inlineStr">
        <is>
          <t>1</t>
        </is>
      </c>
      <c r="F4261" t="inlineStr">
        <is>
          <t>24</t>
        </is>
      </c>
      <c r="G4261" t="inlineStr">
        <is>
          <t>0</t>
        </is>
      </c>
      <c r="H4261" t="inlineStr">
        <is>
          <t>0</t>
        </is>
      </c>
      <c r="I4261" t="inlineStr">
        <is>
          <t>16², 32¹, 128¹</t>
        </is>
      </c>
      <c r="J4261" t="n">
        <v>4</v>
      </c>
      <c r="K4261" t="inlineStr">
        <is>
          <t>2⁴, 4⁶, 8²</t>
        </is>
      </c>
      <c r="L4261" t="inlineStr">
        <is>
          <t>64D⁷</t>
        </is>
      </c>
      <c r="M4261" t="inlineStr"/>
      <c r="N4261" t="inlineStr">
        <is>
          <t>64D⁷, 16A¹, 8C⁰, 2B⁰, 4B⁰, 1A⁰, 32C³</t>
        </is>
      </c>
      <c r="O4261" t="inlineStr"/>
    </row>
    <row r="4262">
      <c r="A4262">
        <f>HYPERLINK("https://mathstats.uncg.edu/sites/pauli/congruence/csg15.html#group132A15", "132A¹⁵")</f>
        <v/>
      </c>
      <c r="B4262" t="n">
        <v>15</v>
      </c>
      <c r="C4262" t="inlineStr"/>
      <c r="D4262" t="inlineStr">
        <is>
          <t>192</t>
        </is>
      </c>
      <c r="E4262" t="inlineStr">
        <is>
          <t>1</t>
        </is>
      </c>
      <c r="F4262" t="inlineStr">
        <is>
          <t>48</t>
        </is>
      </c>
      <c r="G4262" t="inlineStr">
        <is>
          <t>0</t>
        </is>
      </c>
      <c r="H4262" t="inlineStr">
        <is>
          <t>0</t>
        </is>
      </c>
      <c r="I4262" t="inlineStr">
        <is>
          <t>4¹, 12¹, 44¹, 132¹</t>
        </is>
      </c>
      <c r="J4262" t="n">
        <v>4</v>
      </c>
      <c r="K4262" t="inlineStr">
        <is>
          <t>1⁴, 2², 10², 20¹</t>
        </is>
      </c>
      <c r="L4262" t="inlineStr">
        <is>
          <t>12B⁰, 66B⁷</t>
        </is>
      </c>
      <c r="M4262" t="inlineStr"/>
      <c r="N4262" t="inlineStr">
        <is>
          <t>2A⁰, 3B⁰, 11A¹, 22A², 6C⁰, 1A⁰, 33C³, 66B⁷, 12B⁰</t>
        </is>
      </c>
      <c r="O4262" t="inlineStr"/>
    </row>
    <row r="4263">
      <c r="A4263">
        <f>HYPERLINK("https://mathstats.uncg.edu/sites/pauli/congruence/csg15.html#group132B15", "132B¹⁵")</f>
        <v/>
      </c>
      <c r="B4263" t="n">
        <v>15</v>
      </c>
      <c r="C4263" t="inlineStr"/>
      <c r="D4263" t="inlineStr">
        <is>
          <t>192</t>
        </is>
      </c>
      <c r="E4263" t="inlineStr">
        <is>
          <t>1</t>
        </is>
      </c>
      <c r="F4263" t="inlineStr">
        <is>
          <t>48</t>
        </is>
      </c>
      <c r="G4263" t="inlineStr">
        <is>
          <t>0</t>
        </is>
      </c>
      <c r="H4263" t="inlineStr">
        <is>
          <t>0</t>
        </is>
      </c>
      <c r="I4263" t="inlineStr">
        <is>
          <t>4¹, 12¹, 44¹, 132¹</t>
        </is>
      </c>
      <c r="J4263" t="n">
        <v>4</v>
      </c>
      <c r="K4263" t="inlineStr">
        <is>
          <t>1⁴, 2², 10², 20¹</t>
        </is>
      </c>
      <c r="L4263" t="inlineStr">
        <is>
          <t>44A⁴, 66B⁷</t>
        </is>
      </c>
      <c r="M4263" t="inlineStr"/>
      <c r="N4263" t="inlineStr">
        <is>
          <t>2A⁰, 3B⁰, 44A⁴, 11A¹, 22A², 6C⁰, 1A⁰, 66B⁷, 33C³</t>
        </is>
      </c>
      <c r="O4263" t="inlineStr"/>
    </row>
    <row r="4264">
      <c r="A4264">
        <f>HYPERLINK("https://mathstats.uncg.edu/sites/pauli/congruence/csg15.html#group132C15", "132C¹⁵")</f>
        <v/>
      </c>
      <c r="B4264" t="n">
        <v>15</v>
      </c>
      <c r="C4264" t="inlineStr"/>
      <c r="D4264" t="inlineStr">
        <is>
          <t>192</t>
        </is>
      </c>
      <c r="E4264" t="inlineStr">
        <is>
          <t>1</t>
        </is>
      </c>
      <c r="F4264" t="inlineStr">
        <is>
          <t>192</t>
        </is>
      </c>
      <c r="G4264" t="inlineStr">
        <is>
          <t>0</t>
        </is>
      </c>
      <c r="H4264" t="inlineStr">
        <is>
          <t>0</t>
        </is>
      </c>
      <c r="I4264" t="inlineStr">
        <is>
          <t>4¹, 12¹, 44¹, 132¹</t>
        </is>
      </c>
      <c r="J4264" t="n">
        <v>4</v>
      </c>
      <c r="K4264" t="inlineStr">
        <is>
          <t>2⁸, 4⁴, 20⁴, 40²</t>
        </is>
      </c>
      <c r="L4264" t="inlineStr">
        <is>
          <t>12A¹, 33C³, 44B⁴</t>
        </is>
      </c>
      <c r="M4264" t="inlineStr"/>
      <c r="N4264" t="inlineStr">
        <is>
          <t>3B⁰, 4A⁰, 11A¹, 12A¹, 44B⁴, 1A⁰, 33C³</t>
        </is>
      </c>
      <c r="O4264" t="inlineStr"/>
    </row>
    <row r="4265">
      <c r="A4265">
        <f>HYPERLINK("https://mathstats.uncg.edu/sites/pauli/congruence/csg15.html#group132D15", "132D¹⁵")</f>
        <v/>
      </c>
      <c r="B4265" t="n">
        <v>15</v>
      </c>
      <c r="C4265" t="inlineStr"/>
      <c r="D4265" t="inlineStr">
        <is>
          <t>198</t>
        </is>
      </c>
      <c r="E4265" t="inlineStr">
        <is>
          <t>2</t>
        </is>
      </c>
      <c r="F4265" t="inlineStr">
        <is>
          <t>99</t>
        </is>
      </c>
      <c r="G4265" t="inlineStr">
        <is>
          <t>6</t>
        </is>
      </c>
      <c r="H4265" t="inlineStr">
        <is>
          <t>0</t>
        </is>
      </c>
      <c r="I4265" t="inlineStr">
        <is>
          <t>66¹, 132¹</t>
        </is>
      </c>
      <c r="J4265" t="n">
        <v>2</v>
      </c>
      <c r="K4265" t="inlineStr">
        <is>
          <t>2³, 4³, 10⁶, 20⁶</t>
        </is>
      </c>
      <c r="L4265" t="inlineStr">
        <is>
          <t>12C¹, 66F⁶</t>
        </is>
      </c>
      <c r="M4265" t="inlineStr"/>
      <c r="N4265" t="inlineStr">
        <is>
          <t>11A⁰, 12C¹, 33A¹, 2B⁰, 66F⁶, 22B², 3A⁰, 1A⁰, 6D⁰</t>
        </is>
      </c>
      <c r="O4265" t="inlineStr"/>
    </row>
    <row r="4266">
      <c r="A4266">
        <f>HYPERLINK("https://mathstats.uncg.edu/sites/pauli/congruence/csg15.html#group135A15", "135A¹⁵")</f>
        <v/>
      </c>
      <c r="B4266" t="n">
        <v>15</v>
      </c>
      <c r="C4266" t="inlineStr"/>
      <c r="D4266" t="inlineStr">
        <is>
          <t>180</t>
        </is>
      </c>
      <c r="E4266" t="inlineStr">
        <is>
          <t>1</t>
        </is>
      </c>
      <c r="F4266" t="inlineStr">
        <is>
          <t>60</t>
        </is>
      </c>
      <c r="G4266" t="inlineStr">
        <is>
          <t>0</t>
        </is>
      </c>
      <c r="H4266" t="inlineStr">
        <is>
          <t>0</t>
        </is>
      </c>
      <c r="I4266" t="inlineStr">
        <is>
          <t>45¹, 135¹</t>
        </is>
      </c>
      <c r="J4266" t="n">
        <v>2</v>
      </c>
      <c r="K4266" t="inlineStr">
        <is>
          <t>1², 2², 4², 6¹, 8², 24¹</t>
        </is>
      </c>
      <c r="L4266" t="inlineStr">
        <is>
          <t>27A³, 45B³</t>
        </is>
      </c>
      <c r="M4266" t="inlineStr"/>
      <c r="N4266" t="inlineStr">
        <is>
          <t>15B¹, 3B⁰, 5A⁰, 45B³, 9C⁰, 1A⁰, 27A³</t>
        </is>
      </c>
      <c r="O4266" t="inlineStr"/>
    </row>
    <row r="4267">
      <c r="A4267">
        <f>HYPERLINK("https://mathstats.uncg.edu/sites/pauli/congruence/csg15.html#group135B15", "135B¹⁵")</f>
        <v/>
      </c>
      <c r="B4267" t="n">
        <v>15</v>
      </c>
      <c r="C4267" t="inlineStr"/>
      <c r="D4267" t="inlineStr">
        <is>
          <t>216</t>
        </is>
      </c>
      <c r="E4267" t="inlineStr">
        <is>
          <t>1</t>
        </is>
      </c>
      <c r="F4267" t="inlineStr">
        <is>
          <t>72</t>
        </is>
      </c>
      <c r="G4267" t="inlineStr">
        <is>
          <t>0</t>
        </is>
      </c>
      <c r="H4267" t="inlineStr">
        <is>
          <t>0</t>
        </is>
      </c>
      <c r="I4267" t="inlineStr">
        <is>
          <t>3³, 15³, 27¹, 135¹</t>
        </is>
      </c>
      <c r="J4267" t="n">
        <v>8</v>
      </c>
      <c r="K4267" t="inlineStr">
        <is>
          <t>1⁴, 2⁴, 4², 6², 8², 24¹</t>
        </is>
      </c>
      <c r="L4267" t="inlineStr">
        <is>
          <t>27A², 45D³</t>
        </is>
      </c>
      <c r="M4267" t="inlineStr"/>
      <c r="N4267" t="inlineStr">
        <is>
          <t>5B⁰, 3B⁰, 45D³, 9B⁰, 15C¹, 27A², 1A⁰</t>
        </is>
      </c>
      <c r="O4267" t="inlineStr"/>
    </row>
    <row r="4268">
      <c r="A4268">
        <f>HYPERLINK("https://mathstats.uncg.edu/sites/pauli/congruence/csg15.html#group136A15", "136A¹⁵")</f>
        <v/>
      </c>
      <c r="B4268" t="n">
        <v>15</v>
      </c>
      <c r="C4268" t="inlineStr"/>
      <c r="D4268" t="inlineStr">
        <is>
          <t>216</t>
        </is>
      </c>
      <c r="E4268" t="inlineStr">
        <is>
          <t>1</t>
        </is>
      </c>
      <c r="F4268" t="inlineStr">
        <is>
          <t>54</t>
        </is>
      </c>
      <c r="G4268" t="inlineStr">
        <is>
          <t>8</t>
        </is>
      </c>
      <c r="H4268" t="inlineStr">
        <is>
          <t>0</t>
        </is>
      </c>
      <c r="I4268" t="inlineStr">
        <is>
          <t>4¹, 8¹, 68¹, 136¹</t>
        </is>
      </c>
      <c r="J4268" t="n">
        <v>4</v>
      </c>
      <c r="K4268" t="inlineStr">
        <is>
          <t>1⁶, 16³</t>
        </is>
      </c>
      <c r="L4268" t="inlineStr">
        <is>
          <t>68D⁷</t>
        </is>
      </c>
      <c r="M4268" t="inlineStr"/>
      <c r="N4268" t="inlineStr">
        <is>
          <t>17A¹, 2B⁰, 34C³, 1A⁰, 4C⁰, 68D⁷</t>
        </is>
      </c>
      <c r="O4268" t="inlineStr"/>
    </row>
    <row r="4269">
      <c r="A4269">
        <f>HYPERLINK("https://mathstats.uncg.edu/sites/pauli/congruence/csg15.html#group136B15", "136B¹⁵")</f>
        <v/>
      </c>
      <c r="B4269" t="n">
        <v>15</v>
      </c>
      <c r="C4269" t="inlineStr"/>
      <c r="D4269" t="inlineStr">
        <is>
          <t>216</t>
        </is>
      </c>
      <c r="E4269" t="inlineStr">
        <is>
          <t>1</t>
        </is>
      </c>
      <c r="F4269" t="inlineStr">
        <is>
          <t>54</t>
        </is>
      </c>
      <c r="G4269" t="inlineStr">
        <is>
          <t>8</t>
        </is>
      </c>
      <c r="H4269" t="inlineStr">
        <is>
          <t>0</t>
        </is>
      </c>
      <c r="I4269" t="inlineStr">
        <is>
          <t>4¹, 8¹, 68¹, 136¹</t>
        </is>
      </c>
      <c r="J4269" t="n">
        <v>4</v>
      </c>
      <c r="K4269" t="inlineStr">
        <is>
          <t>1⁶, 16³</t>
        </is>
      </c>
      <c r="L4269" t="inlineStr">
        <is>
          <t>8B⁰, 68D⁷</t>
        </is>
      </c>
      <c r="M4269" t="inlineStr"/>
      <c r="N4269" t="inlineStr">
        <is>
          <t>34C³, 4C⁰, 8B⁰, 17A¹, 2B⁰, 1A⁰, 68D⁷</t>
        </is>
      </c>
      <c r="O4269" t="inlineStr"/>
    </row>
    <row r="4270">
      <c r="A4270">
        <f>HYPERLINK("https://mathstats.uncg.edu/sites/pauli/congruence/csg15.html#group136C15", "136C¹⁵")</f>
        <v/>
      </c>
      <c r="B4270" t="n">
        <v>15</v>
      </c>
      <c r="C4270" t="inlineStr"/>
      <c r="D4270" t="inlineStr">
        <is>
          <t>216</t>
        </is>
      </c>
      <c r="E4270" t="inlineStr">
        <is>
          <t>1</t>
        </is>
      </c>
      <c r="F4270" t="inlineStr">
        <is>
          <t>108</t>
        </is>
      </c>
      <c r="G4270" t="inlineStr">
        <is>
          <t>0</t>
        </is>
      </c>
      <c r="H4270" t="inlineStr">
        <is>
          <t>0</t>
        </is>
      </c>
      <c r="I4270" t="inlineStr">
        <is>
          <t>1², 2¹, 8¹, 17², 34¹, 136¹</t>
        </is>
      </c>
      <c r="J4270" t="n">
        <v>8</v>
      </c>
      <c r="K4270" t="inlineStr">
        <is>
          <t>1⁸, 2², 16⁴, 32¹</t>
        </is>
      </c>
      <c r="L4270" t="inlineStr">
        <is>
          <t>68B⁷</t>
        </is>
      </c>
      <c r="M4270" t="inlineStr"/>
      <c r="N4270" t="inlineStr">
        <is>
          <t>17A¹, 2B⁰, 68B⁷, 4B⁰, 34C³, 1A⁰</t>
        </is>
      </c>
      <c r="O4270" t="inlineStr"/>
    </row>
    <row r="4271">
      <c r="A4271">
        <f>HYPERLINK("https://mathstats.uncg.edu/sites/pauli/congruence/csg15.html#group136D15", "136D¹⁵")</f>
        <v/>
      </c>
      <c r="B4271" t="n">
        <v>15</v>
      </c>
      <c r="C4271" t="inlineStr">
        <is>
          <t>Γ₀(136)</t>
        </is>
      </c>
      <c r="D4271" t="inlineStr">
        <is>
          <t>216</t>
        </is>
      </c>
      <c r="E4271" t="inlineStr">
        <is>
          <t>1</t>
        </is>
      </c>
      <c r="F4271" t="inlineStr">
        <is>
          <t>108</t>
        </is>
      </c>
      <c r="G4271" t="inlineStr">
        <is>
          <t>0</t>
        </is>
      </c>
      <c r="H4271" t="inlineStr">
        <is>
          <t>0</t>
        </is>
      </c>
      <c r="I4271" t="inlineStr">
        <is>
          <t>1², 2¹, 8¹, 17², 34¹, 136¹</t>
        </is>
      </c>
      <c r="J4271" t="n">
        <v>8</v>
      </c>
      <c r="K4271" t="inlineStr">
        <is>
          <t>1⁸, 2², 16⁴, 32¹</t>
        </is>
      </c>
      <c r="L4271" t="inlineStr">
        <is>
          <t>8C⁰, 68B⁷</t>
        </is>
      </c>
      <c r="M4271" t="inlineStr"/>
      <c r="N4271" t="inlineStr">
        <is>
          <t>68B⁷, 34C³, 17A¹, 8C⁰, 2B⁰, 4B⁰, 1A⁰</t>
        </is>
      </c>
      <c r="O4271" t="inlineStr"/>
    </row>
    <row r="4272">
      <c r="A4272">
        <f>HYPERLINK("https://mathstats.uncg.edu/sites/pauli/congruence/csg15.html#group136E15", "136E¹⁵")</f>
        <v/>
      </c>
      <c r="B4272" t="n">
        <v>15</v>
      </c>
      <c r="C4272" t="inlineStr"/>
      <c r="D4272" t="inlineStr">
        <is>
          <t>216</t>
        </is>
      </c>
      <c r="E4272" t="inlineStr">
        <is>
          <t>1</t>
        </is>
      </c>
      <c r="F4272" t="inlineStr">
        <is>
          <t>108</t>
        </is>
      </c>
      <c r="G4272" t="inlineStr">
        <is>
          <t>4</t>
        </is>
      </c>
      <c r="H4272" t="inlineStr">
        <is>
          <t>0</t>
        </is>
      </c>
      <c r="I4272" t="inlineStr">
        <is>
          <t>2², 8¹, 34², 136¹</t>
        </is>
      </c>
      <c r="J4272" t="n">
        <v>6</v>
      </c>
      <c r="K4272" t="inlineStr">
        <is>
          <t>1⁴, 2⁴, 16², 32²</t>
        </is>
      </c>
      <c r="L4272" t="inlineStr">
        <is>
          <t>68D⁷</t>
        </is>
      </c>
      <c r="M4272" t="inlineStr"/>
      <c r="N4272" t="inlineStr">
        <is>
          <t>17A¹, 2B⁰, 34C³, 1A⁰, 4C⁰, 68D⁷</t>
        </is>
      </c>
      <c r="O4272" t="inlineStr"/>
    </row>
    <row r="4273">
      <c r="A4273">
        <f>HYPERLINK("https://mathstats.uncg.edu/sites/pauli/congruence/csg15.html#group136F15", "136F¹⁵")</f>
        <v/>
      </c>
      <c r="B4273" t="n">
        <v>15</v>
      </c>
      <c r="C4273" t="inlineStr"/>
      <c r="D4273" t="inlineStr">
        <is>
          <t>216</t>
        </is>
      </c>
      <c r="E4273" t="inlineStr">
        <is>
          <t>1</t>
        </is>
      </c>
      <c r="F4273" t="inlineStr">
        <is>
          <t>108</t>
        </is>
      </c>
      <c r="G4273" t="inlineStr">
        <is>
          <t>4</t>
        </is>
      </c>
      <c r="H4273" t="inlineStr">
        <is>
          <t>0</t>
        </is>
      </c>
      <c r="I4273" t="inlineStr">
        <is>
          <t>2², 8¹, 34², 136¹</t>
        </is>
      </c>
      <c r="J4273" t="n">
        <v>6</v>
      </c>
      <c r="K4273" t="inlineStr">
        <is>
          <t>1⁴, 2⁴, 16², 32²</t>
        </is>
      </c>
      <c r="L4273" t="inlineStr">
        <is>
          <t>8D⁰, 68D⁷</t>
        </is>
      </c>
      <c r="M4273" t="inlineStr"/>
      <c r="N4273" t="inlineStr">
        <is>
          <t>34C³, 8D⁰, 4C⁰, 17A¹, 2B⁰, 1A⁰, 68D⁷</t>
        </is>
      </c>
      <c r="O4273" t="inlineStr"/>
    </row>
    <row r="4274">
      <c r="A4274">
        <f>HYPERLINK("https://mathstats.uncg.edu/sites/pauli/congruence/csg15.html#group136G15", "136G¹⁵")</f>
        <v/>
      </c>
      <c r="B4274" t="n">
        <v>15</v>
      </c>
      <c r="C4274" t="inlineStr"/>
      <c r="D4274" t="inlineStr">
        <is>
          <t>216</t>
        </is>
      </c>
      <c r="E4274" t="inlineStr">
        <is>
          <t>2</t>
        </is>
      </c>
      <c r="F4274" t="inlineStr">
        <is>
          <t>54</t>
        </is>
      </c>
      <c r="G4274" t="inlineStr">
        <is>
          <t>8</t>
        </is>
      </c>
      <c r="H4274" t="inlineStr">
        <is>
          <t>0</t>
        </is>
      </c>
      <c r="I4274" t="inlineStr">
        <is>
          <t>4¹, 8¹, 68¹, 136¹</t>
        </is>
      </c>
      <c r="J4274" t="n">
        <v>4</v>
      </c>
      <c r="K4274" t="inlineStr">
        <is>
          <t>2⁶, 32³</t>
        </is>
      </c>
      <c r="L4274" t="inlineStr">
        <is>
          <t>68C⁷</t>
        </is>
      </c>
      <c r="M4274" t="inlineStr"/>
      <c r="N4274" t="inlineStr">
        <is>
          <t>68C⁷, 17A¹, 2B⁰, 34C³, 1A⁰</t>
        </is>
      </c>
      <c r="O4274" t="inlineStr"/>
    </row>
    <row r="4275">
      <c r="A4275">
        <f>HYPERLINK("https://mathstats.uncg.edu/sites/pauli/congruence/csg15.html#group138A15", "138A¹⁵")</f>
        <v/>
      </c>
      <c r="B4275" t="n">
        <v>15</v>
      </c>
      <c r="C4275" t="inlineStr"/>
      <c r="D4275" t="inlineStr">
        <is>
          <t>192</t>
        </is>
      </c>
      <c r="E4275" t="inlineStr">
        <is>
          <t>1</t>
        </is>
      </c>
      <c r="F4275" t="inlineStr">
        <is>
          <t>96</t>
        </is>
      </c>
      <c r="G4275" t="inlineStr">
        <is>
          <t>0</t>
        </is>
      </c>
      <c r="H4275" t="inlineStr">
        <is>
          <t>0</t>
        </is>
      </c>
      <c r="I4275" t="inlineStr">
        <is>
          <t>2¹, 6¹, 46¹, 138¹</t>
        </is>
      </c>
      <c r="J4275" t="n">
        <v>4</v>
      </c>
      <c r="K4275" t="inlineStr">
        <is>
          <t>1⁴, 2², 22², 44¹</t>
        </is>
      </c>
      <c r="L4275" t="inlineStr">
        <is>
          <t>69A⁷</t>
        </is>
      </c>
      <c r="M4275" t="inlineStr"/>
      <c r="N4275" t="inlineStr">
        <is>
          <t>3B⁰, 69A⁷, 1A⁰, 23A²</t>
        </is>
      </c>
      <c r="O4275" t="inlineStr"/>
    </row>
    <row r="4276">
      <c r="A4276">
        <f>HYPERLINK("https://mathstats.uncg.edu/sites/pauli/congruence/csg15.html#group138B15", "138B¹⁵")</f>
        <v/>
      </c>
      <c r="B4276" t="n">
        <v>15</v>
      </c>
      <c r="C4276" t="inlineStr"/>
      <c r="D4276" t="inlineStr">
        <is>
          <t>192</t>
        </is>
      </c>
      <c r="E4276" t="inlineStr">
        <is>
          <t>1</t>
        </is>
      </c>
      <c r="F4276" t="inlineStr">
        <is>
          <t>96</t>
        </is>
      </c>
      <c r="G4276" t="inlineStr">
        <is>
          <t>0</t>
        </is>
      </c>
      <c r="H4276" t="inlineStr">
        <is>
          <t>0</t>
        </is>
      </c>
      <c r="I4276" t="inlineStr">
        <is>
          <t>2¹, 6¹, 46¹, 138¹</t>
        </is>
      </c>
      <c r="J4276" t="n">
        <v>4</v>
      </c>
      <c r="K4276" t="inlineStr">
        <is>
          <t>1⁴, 2², 22², 44¹</t>
        </is>
      </c>
      <c r="L4276" t="inlineStr">
        <is>
          <t>6C⁰, 46A⁴, 69A⁷</t>
        </is>
      </c>
      <c r="M4276" t="inlineStr"/>
      <c r="N4276" t="inlineStr">
        <is>
          <t>2A⁰, 3B⁰, 6C⁰, 69A⁷, 23A², 1A⁰, 46A⁴</t>
        </is>
      </c>
      <c r="O4276" t="inlineStr"/>
    </row>
    <row r="4277">
      <c r="A4277">
        <f>HYPERLINK("https://mathstats.uncg.edu/sites/pauli/congruence/csg15.html#group140A15", "140A¹⁵")</f>
        <v/>
      </c>
      <c r="B4277" t="n">
        <v>15</v>
      </c>
      <c r="C4277" t="inlineStr"/>
      <c r="D4277" t="inlineStr">
        <is>
          <t>192</t>
        </is>
      </c>
      <c r="E4277" t="inlineStr">
        <is>
          <t>1</t>
        </is>
      </c>
      <c r="F4277" t="inlineStr">
        <is>
          <t>48</t>
        </is>
      </c>
      <c r="G4277" t="inlineStr">
        <is>
          <t>0</t>
        </is>
      </c>
      <c r="H4277" t="inlineStr">
        <is>
          <t>0</t>
        </is>
      </c>
      <c r="I4277" t="inlineStr">
        <is>
          <t>4¹, 20¹, 28¹, 140¹</t>
        </is>
      </c>
      <c r="J4277" t="n">
        <v>4</v>
      </c>
      <c r="K4277" t="inlineStr">
        <is>
          <t>1⁴, 4², 6², 24¹</t>
        </is>
      </c>
      <c r="L4277" t="inlineStr">
        <is>
          <t>70C⁷</t>
        </is>
      </c>
      <c r="M4277" t="inlineStr"/>
      <c r="N4277" t="inlineStr">
        <is>
          <t>2A⁰, 7B⁰, 14B⁰, 5B⁰, 70C⁷, 10A¹, 1A⁰, 35A³</t>
        </is>
      </c>
      <c r="O4277" t="inlineStr"/>
    </row>
    <row r="4278">
      <c r="A4278">
        <f>HYPERLINK("https://mathstats.uncg.edu/sites/pauli/congruence/csg15.html#group140B15", "140B¹⁵")</f>
        <v/>
      </c>
      <c r="B4278" t="n">
        <v>15</v>
      </c>
      <c r="C4278" t="inlineStr"/>
      <c r="D4278" t="inlineStr">
        <is>
          <t>192</t>
        </is>
      </c>
      <c r="E4278" t="inlineStr">
        <is>
          <t>1</t>
        </is>
      </c>
      <c r="F4278" t="inlineStr">
        <is>
          <t>48</t>
        </is>
      </c>
      <c r="G4278" t="inlineStr">
        <is>
          <t>0</t>
        </is>
      </c>
      <c r="H4278" t="inlineStr">
        <is>
          <t>0</t>
        </is>
      </c>
      <c r="I4278" t="inlineStr">
        <is>
          <t>4¹, 20¹, 28¹, 140¹</t>
        </is>
      </c>
      <c r="J4278" t="n">
        <v>4</v>
      </c>
      <c r="K4278" t="inlineStr">
        <is>
          <t>1⁴, 4², 6², 24¹</t>
        </is>
      </c>
      <c r="L4278" t="inlineStr">
        <is>
          <t>28A⁰, 70C⁷</t>
        </is>
      </c>
      <c r="M4278" t="inlineStr"/>
      <c r="N4278" t="inlineStr">
        <is>
          <t>2A⁰, 28A⁰, 7B⁰, 14B⁰, 5B⁰, 70C⁷, 10A¹, 1A⁰, 35A³</t>
        </is>
      </c>
      <c r="O4278" t="inlineStr"/>
    </row>
    <row r="4279">
      <c r="A4279">
        <f>HYPERLINK("https://mathstats.uncg.edu/sites/pauli/congruence/csg15.html#group140C15", "140C¹⁵")</f>
        <v/>
      </c>
      <c r="B4279" t="n">
        <v>15</v>
      </c>
      <c r="C4279" t="inlineStr"/>
      <c r="D4279" t="inlineStr">
        <is>
          <t>192</t>
        </is>
      </c>
      <c r="E4279" t="inlineStr">
        <is>
          <t>1</t>
        </is>
      </c>
      <c r="F4279" t="inlineStr">
        <is>
          <t>192</t>
        </is>
      </c>
      <c r="G4279" t="inlineStr">
        <is>
          <t>0</t>
        </is>
      </c>
      <c r="H4279" t="inlineStr">
        <is>
          <t>0</t>
        </is>
      </c>
      <c r="I4279" t="inlineStr">
        <is>
          <t>4¹, 20¹, 28¹, 140¹</t>
        </is>
      </c>
      <c r="J4279" t="n">
        <v>4</v>
      </c>
      <c r="K4279" t="inlineStr">
        <is>
          <t>2⁸, 8⁴, 12⁴, 48²</t>
        </is>
      </c>
      <c r="L4279" t="inlineStr">
        <is>
          <t>20B¹, 28A², 35A³</t>
        </is>
      </c>
      <c r="M4279" t="inlineStr"/>
      <c r="N4279" t="inlineStr">
        <is>
          <t>7B⁰, 4A⁰, 5B⁰, 1A⁰, 35A³, 20B¹, 28A²</t>
        </is>
      </c>
      <c r="O4279" t="inlineStr"/>
    </row>
    <row r="4280">
      <c r="A4280">
        <f>HYPERLINK("https://mathstats.uncg.edu/sites/pauli/congruence/csg15.html#group140D15", "140D¹⁵")</f>
        <v/>
      </c>
      <c r="B4280" t="n">
        <v>15</v>
      </c>
      <c r="C4280" t="inlineStr"/>
      <c r="D4280" t="inlineStr">
        <is>
          <t>192</t>
        </is>
      </c>
      <c r="E4280" t="inlineStr">
        <is>
          <t>2</t>
        </is>
      </c>
      <c r="F4280" t="inlineStr">
        <is>
          <t>48</t>
        </is>
      </c>
      <c r="G4280" t="inlineStr">
        <is>
          <t>0</t>
        </is>
      </c>
      <c r="H4280" t="inlineStr">
        <is>
          <t>0</t>
        </is>
      </c>
      <c r="I4280" t="inlineStr">
        <is>
          <t>4¹, 20¹, 28¹, 140¹</t>
        </is>
      </c>
      <c r="J4280" t="n">
        <v>4</v>
      </c>
      <c r="K4280" t="inlineStr">
        <is>
          <t>2⁴, 8², 12², 48¹</t>
        </is>
      </c>
      <c r="L4280" t="inlineStr">
        <is>
          <t>20C¹, 70B⁷</t>
        </is>
      </c>
      <c r="M4280" t="inlineStr"/>
      <c r="N4280" t="inlineStr">
        <is>
          <t>20C¹, 7B⁰, 5B⁰, 70B⁷, 1A⁰, 35A³, 10B⁰</t>
        </is>
      </c>
      <c r="O4280" t="inlineStr"/>
    </row>
    <row r="4281">
      <c r="A4281">
        <f>HYPERLINK("https://mathstats.uncg.edu/sites/pauli/congruence/csg15.html#group141A15", "141A¹⁵")</f>
        <v/>
      </c>
      <c r="B4281" t="n">
        <v>15</v>
      </c>
      <c r="C4281" t="inlineStr">
        <is>
          <t>Γ₀(141)</t>
        </is>
      </c>
      <c r="D4281" t="inlineStr">
        <is>
          <t>192</t>
        </is>
      </c>
      <c r="E4281" t="inlineStr">
        <is>
          <t>1</t>
        </is>
      </c>
      <c r="F4281" t="inlineStr">
        <is>
          <t>192</t>
        </is>
      </c>
      <c r="G4281" t="inlineStr">
        <is>
          <t>0</t>
        </is>
      </c>
      <c r="H4281" t="inlineStr">
        <is>
          <t>0</t>
        </is>
      </c>
      <c r="I4281" t="inlineStr">
        <is>
          <t>1¹, 3¹, 47¹, 141¹</t>
        </is>
      </c>
      <c r="J4281" t="n">
        <v>4</v>
      </c>
      <c r="K4281" t="inlineStr">
        <is>
          <t>1⁴, 2², 46², 92¹</t>
        </is>
      </c>
      <c r="L4281" t="inlineStr">
        <is>
          <t>3B⁰, 47A⁴</t>
        </is>
      </c>
      <c r="M4281" t="inlineStr"/>
      <c r="N4281" t="inlineStr">
        <is>
          <t>47A⁴, 3B⁰, 1A⁰</t>
        </is>
      </c>
      <c r="O4281" t="inlineStr"/>
    </row>
    <row r="4282">
      <c r="A4282">
        <f>HYPERLINK("https://mathstats.uncg.edu/sites/pauli/congruence/csg15.html#group144A15", "144A¹⁵")</f>
        <v/>
      </c>
      <c r="B4282" t="n">
        <v>15</v>
      </c>
      <c r="C4282" t="inlineStr"/>
      <c r="D4282" t="inlineStr">
        <is>
          <t>192</t>
        </is>
      </c>
      <c r="E4282" t="inlineStr">
        <is>
          <t>2</t>
        </is>
      </c>
      <c r="F4282" t="inlineStr">
        <is>
          <t>32</t>
        </is>
      </c>
      <c r="G4282" t="inlineStr">
        <is>
          <t>0</t>
        </is>
      </c>
      <c r="H4282" t="inlineStr">
        <is>
          <t>0</t>
        </is>
      </c>
      <c r="I4282" t="inlineStr">
        <is>
          <t>16³, 144¹</t>
        </is>
      </c>
      <c r="J4282" t="n">
        <v>4</v>
      </c>
      <c r="K4282" t="inlineStr">
        <is>
          <t>8⁴, 16²</t>
        </is>
      </c>
      <c r="L4282" t="inlineStr">
        <is>
          <t>48A⁴, 72A⁷</t>
        </is>
      </c>
      <c r="M4282" t="inlineStr"/>
      <c r="N4282" t="inlineStr">
        <is>
          <t>3B⁰, 72A⁷, 16A⁰, 24A², 4A⁰, 12A¹, 8A⁰, 9B⁰, 48A⁴, 36B³, 1A⁰</t>
        </is>
      </c>
      <c r="O4282" t="inlineStr"/>
    </row>
    <row r="4283">
      <c r="A4283">
        <f>HYPERLINK("https://mathstats.uncg.edu/sites/pauli/congruence/csg15.html#group144B15", "144B¹⁵")</f>
        <v/>
      </c>
      <c r="B4283" t="n">
        <v>15</v>
      </c>
      <c r="C4283" t="inlineStr"/>
      <c r="D4283" t="inlineStr">
        <is>
          <t>216</t>
        </is>
      </c>
      <c r="E4283" t="inlineStr">
        <is>
          <t>1</t>
        </is>
      </c>
      <c r="F4283" t="inlineStr">
        <is>
          <t>108</t>
        </is>
      </c>
      <c r="G4283" t="inlineStr">
        <is>
          <t>10</t>
        </is>
      </c>
      <c r="H4283" t="inlineStr">
        <is>
          <t>0</t>
        </is>
      </c>
      <c r="I4283" t="inlineStr">
        <is>
          <t>36², 144¹</t>
        </is>
      </c>
      <c r="J4283" t="n">
        <v>3</v>
      </c>
      <c r="K4283" t="inlineStr">
        <is>
          <t>1², 2³, 4³, 6², 8², 12¹, 24²</t>
        </is>
      </c>
      <c r="L4283" t="inlineStr">
        <is>
          <t>48E⁴, 72C⁶</t>
        </is>
      </c>
      <c r="M4283" t="inlineStr"/>
      <c r="N4283" t="inlineStr">
        <is>
          <t>72C⁶, 48E⁴, 12C⁰, 8D⁰, 9A⁰, 36B², 4C⁰, 16C¹, 24C¹, 2B⁰, 18E¹, 3A⁰, 1A⁰, 6D⁰</t>
        </is>
      </c>
      <c r="O4283" t="inlineStr"/>
    </row>
    <row r="4284">
      <c r="A4284">
        <f>HYPERLINK("https://mathstats.uncg.edu/sites/pauli/congruence/csg15.html#group144C15", "144C¹⁵")</f>
        <v/>
      </c>
      <c r="B4284" t="n">
        <v>15</v>
      </c>
      <c r="C4284" t="inlineStr"/>
      <c r="D4284" t="inlineStr">
        <is>
          <t>216</t>
        </is>
      </c>
      <c r="E4284" t="inlineStr">
        <is>
          <t>1</t>
        </is>
      </c>
      <c r="F4284" t="inlineStr">
        <is>
          <t>108</t>
        </is>
      </c>
      <c r="G4284" t="inlineStr">
        <is>
          <t>10</t>
        </is>
      </c>
      <c r="H4284" t="inlineStr">
        <is>
          <t>0</t>
        </is>
      </c>
      <c r="I4284" t="inlineStr">
        <is>
          <t>36², 144¹</t>
        </is>
      </c>
      <c r="J4284" t="n">
        <v>3</v>
      </c>
      <c r="K4284" t="inlineStr">
        <is>
          <t>1², 2³, 4³, 6², 8², 12¹, 24²</t>
        </is>
      </c>
      <c r="L4284" t="inlineStr">
        <is>
          <t>48H⁴, 72C⁶</t>
        </is>
      </c>
      <c r="M4284" t="inlineStr"/>
      <c r="N4284" t="inlineStr">
        <is>
          <t>72C⁶, 12C⁰, 48H⁴, 8D⁰, 9A⁰, 36B², 4C⁰, 24C¹, 2B⁰, 18E¹, 3A⁰, 1A⁰, 6D⁰</t>
        </is>
      </c>
      <c r="O4284" t="inlineStr"/>
    </row>
    <row r="4285">
      <c r="A4285">
        <f>HYPERLINK("https://mathstats.uncg.edu/sites/pauli/congruence/csg15.html#group144D15", "144D¹⁵")</f>
        <v/>
      </c>
      <c r="B4285" t="n">
        <v>15</v>
      </c>
      <c r="C4285" t="inlineStr"/>
      <c r="D4285" t="inlineStr">
        <is>
          <t>216</t>
        </is>
      </c>
      <c r="E4285" t="inlineStr">
        <is>
          <t>2</t>
        </is>
      </c>
      <c r="F4285" t="inlineStr">
        <is>
          <t>108</t>
        </is>
      </c>
      <c r="G4285" t="inlineStr">
        <is>
          <t>10</t>
        </is>
      </c>
      <c r="H4285" t="inlineStr">
        <is>
          <t>0</t>
        </is>
      </c>
      <c r="I4285" t="inlineStr">
        <is>
          <t>36², 144¹</t>
        </is>
      </c>
      <c r="J4285" t="n">
        <v>3</v>
      </c>
      <c r="K4285" t="inlineStr">
        <is>
          <t>2⁶, 4³, 6⁴, 8⁶, 12², 24⁴</t>
        </is>
      </c>
      <c r="L4285" t="inlineStr">
        <is>
          <t>48H⁴, 72C⁶</t>
        </is>
      </c>
      <c r="M4285" t="inlineStr"/>
      <c r="N4285" t="inlineStr">
        <is>
          <t>72C⁶, 12C⁰, 48H⁴, 8D⁰, 9A⁰, 36B², 4C⁰, 24C¹, 2B⁰, 18E¹, 3A⁰, 1A⁰, 6D⁰</t>
        </is>
      </c>
      <c r="O4285" t="inlineStr"/>
    </row>
    <row r="4286">
      <c r="A4286">
        <f>HYPERLINK("https://mathstats.uncg.edu/sites/pauli/congruence/csg15.html#group144E15", "144E¹⁵")</f>
        <v/>
      </c>
      <c r="B4286" t="n">
        <v>15</v>
      </c>
      <c r="C4286" t="inlineStr"/>
      <c r="D4286" t="inlineStr">
        <is>
          <t>288</t>
        </is>
      </c>
      <c r="E4286" t="inlineStr">
        <is>
          <t>1</t>
        </is>
      </c>
      <c r="F4286" t="inlineStr">
        <is>
          <t>48</t>
        </is>
      </c>
      <c r="G4286" t="inlineStr">
        <is>
          <t>0</t>
        </is>
      </c>
      <c r="H4286" t="inlineStr">
        <is>
          <t>0</t>
        </is>
      </c>
      <c r="I4286" t="inlineStr">
        <is>
          <t>2¹², 16³, 18⁴, 144¹</t>
        </is>
      </c>
      <c r="J4286" t="n">
        <v>20</v>
      </c>
      <c r="K4286" t="inlineStr">
        <is>
          <t>1⁴, 2⁴, 4⁵, 8²</t>
        </is>
      </c>
      <c r="L4286" t="inlineStr">
        <is>
          <t>48J⁴, 72D⁷</t>
        </is>
      </c>
      <c r="M4286" t="inlineStr"/>
      <c r="N4286" t="inlineStr">
        <is>
          <t>3B⁰, 16E⁰, 18E⁰, 24I², 8D⁰, 12F¹, 48J⁴, 4C⁰, 9B⁰, 72D⁷, 1A⁰, 2B⁰, 6F⁰, 36G³</t>
        </is>
      </c>
      <c r="O4286" t="inlineStr"/>
    </row>
    <row r="4287">
      <c r="A4287">
        <f>HYPERLINK("https://mathstats.uncg.edu/sites/pauli/congruence/csg15.html#group150A15", "150A¹⁵")</f>
        <v/>
      </c>
      <c r="B4287" t="n">
        <v>15</v>
      </c>
      <c r="C4287" t="inlineStr"/>
      <c r="D4287" t="inlineStr">
        <is>
          <t>180</t>
        </is>
      </c>
      <c r="E4287" t="inlineStr">
        <is>
          <t>1</t>
        </is>
      </c>
      <c r="F4287" t="inlineStr">
        <is>
          <t>30</t>
        </is>
      </c>
      <c r="G4287" t="inlineStr">
        <is>
          <t>0</t>
        </is>
      </c>
      <c r="H4287" t="inlineStr">
        <is>
          <t>0</t>
        </is>
      </c>
      <c r="I4287" t="inlineStr">
        <is>
          <t>30¹, 150¹</t>
        </is>
      </c>
      <c r="J4287" t="n">
        <v>2</v>
      </c>
      <c r="K4287" t="inlineStr">
        <is>
          <t>2², 4⁴, 20²</t>
        </is>
      </c>
      <c r="L4287" t="inlineStr">
        <is>
          <t>30B³, 50A⁵, 75A⁶</t>
        </is>
      </c>
      <c r="M4287" t="inlineStr"/>
      <c r="N4287" t="inlineStr">
        <is>
          <t>2A⁰, 15B⁰, 25A², 3A⁰, 50A⁵, 5B⁰, 10A¹, 6A¹, 75A⁶, 1A⁰, 30B³</t>
        </is>
      </c>
      <c r="O4287" t="inlineStr"/>
    </row>
    <row r="4288">
      <c r="A4288">
        <f>HYPERLINK("https://mathstats.uncg.edu/sites/pauli/congruence/csg15.html#group150B15", "150B¹⁵")</f>
        <v/>
      </c>
      <c r="B4288" t="n">
        <v>15</v>
      </c>
      <c r="C4288" t="inlineStr"/>
      <c r="D4288" t="inlineStr">
        <is>
          <t>180</t>
        </is>
      </c>
      <c r="E4288" t="inlineStr">
        <is>
          <t>1</t>
        </is>
      </c>
      <c r="F4288" t="inlineStr">
        <is>
          <t>30</t>
        </is>
      </c>
      <c r="G4288" t="inlineStr">
        <is>
          <t>0</t>
        </is>
      </c>
      <c r="H4288" t="inlineStr">
        <is>
          <t>0</t>
        </is>
      </c>
      <c r="I4288" t="inlineStr">
        <is>
          <t>30¹, 150¹</t>
        </is>
      </c>
      <c r="J4288" t="n">
        <v>2</v>
      </c>
      <c r="K4288" t="inlineStr">
        <is>
          <t>2², 4⁴, 20²</t>
        </is>
      </c>
      <c r="L4288" t="inlineStr">
        <is>
          <t>30B³, 50B⁵, 75B⁶</t>
        </is>
      </c>
      <c r="M4288" t="inlineStr"/>
      <c r="N4288" t="inlineStr">
        <is>
          <t>2A⁰, 15B⁰, 50B⁵, 25B², 5B⁰, 10A¹, 1A⁰, 6A¹, 3A⁰, 75B⁶, 30B³</t>
        </is>
      </c>
      <c r="O4288" t="inlineStr"/>
    </row>
    <row r="4289">
      <c r="A4289">
        <f>HYPERLINK("https://mathstats.uncg.edu/sites/pauli/congruence/csg15.html#group150C15", "150C¹⁵")</f>
        <v/>
      </c>
      <c r="B4289" t="n">
        <v>15</v>
      </c>
      <c r="C4289" t="inlineStr"/>
      <c r="D4289" t="inlineStr">
        <is>
          <t>180</t>
        </is>
      </c>
      <c r="E4289" t="inlineStr">
        <is>
          <t>1</t>
        </is>
      </c>
      <c r="F4289" t="inlineStr">
        <is>
          <t>30</t>
        </is>
      </c>
      <c r="G4289" t="inlineStr">
        <is>
          <t>0</t>
        </is>
      </c>
      <c r="H4289" t="inlineStr">
        <is>
          <t>0</t>
        </is>
      </c>
      <c r="I4289" t="inlineStr">
        <is>
          <t>30¹, 150¹</t>
        </is>
      </c>
      <c r="J4289" t="n">
        <v>2</v>
      </c>
      <c r="K4289" t="inlineStr">
        <is>
          <t>2², 4⁴, 20²</t>
        </is>
      </c>
      <c r="L4289" t="inlineStr">
        <is>
          <t>30B³, 50C⁵, 75C⁶</t>
        </is>
      </c>
      <c r="M4289" t="inlineStr"/>
      <c r="N4289" t="inlineStr">
        <is>
          <t>2A⁰, 15B⁰, 75C⁶, 5B⁰, 50C⁵, 10A¹, 6A¹, 3A⁰, 1A⁰, 25C², 30B³</t>
        </is>
      </c>
      <c r="O4289" t="inlineStr"/>
    </row>
    <row r="4290">
      <c r="A4290">
        <f>HYPERLINK("https://mathstats.uncg.edu/sites/pauli/congruence/csg15.html#group150D15", "150D¹⁵")</f>
        <v/>
      </c>
      <c r="B4290" t="n">
        <v>15</v>
      </c>
      <c r="C4290" t="inlineStr"/>
      <c r="D4290" t="inlineStr">
        <is>
          <t>180</t>
        </is>
      </c>
      <c r="E4290" t="inlineStr">
        <is>
          <t>1</t>
        </is>
      </c>
      <c r="F4290" t="inlineStr">
        <is>
          <t>30</t>
        </is>
      </c>
      <c r="G4290" t="inlineStr">
        <is>
          <t>0</t>
        </is>
      </c>
      <c r="H4290" t="inlineStr">
        <is>
          <t>0</t>
        </is>
      </c>
      <c r="I4290" t="inlineStr">
        <is>
          <t>30¹, 150¹</t>
        </is>
      </c>
      <c r="J4290" t="n">
        <v>2</v>
      </c>
      <c r="K4290" t="inlineStr">
        <is>
          <t>2², 4⁴, 20²</t>
        </is>
      </c>
      <c r="L4290" t="inlineStr">
        <is>
          <t>30B³, 50D⁵, 75D⁶</t>
        </is>
      </c>
      <c r="M4290" t="inlineStr"/>
      <c r="N4290" t="inlineStr">
        <is>
          <t>2A⁰, 15B⁰, 25D², 5B⁰, 50D⁵, 10A¹, 6A¹, 75D⁶, 3A⁰, 1A⁰, 30B³</t>
        </is>
      </c>
      <c r="O4290" t="inlineStr"/>
    </row>
    <row r="4291">
      <c r="A4291">
        <f>HYPERLINK("https://mathstats.uncg.edu/sites/pauli/congruence/csg15.html#group150E15", "150E¹⁵")</f>
        <v/>
      </c>
      <c r="B4291" t="n">
        <v>15</v>
      </c>
      <c r="C4291" t="inlineStr"/>
      <c r="D4291" t="inlineStr">
        <is>
          <t>180</t>
        </is>
      </c>
      <c r="E4291" t="inlineStr">
        <is>
          <t>1</t>
        </is>
      </c>
      <c r="F4291" t="inlineStr">
        <is>
          <t>60</t>
        </is>
      </c>
      <c r="G4291" t="inlineStr">
        <is>
          <t>0</t>
        </is>
      </c>
      <c r="H4291" t="inlineStr">
        <is>
          <t>0</t>
        </is>
      </c>
      <c r="I4291" t="inlineStr">
        <is>
          <t>30¹, 150¹</t>
        </is>
      </c>
      <c r="J4291" t="n">
        <v>2</v>
      </c>
      <c r="K4291" t="inlineStr">
        <is>
          <t>4², 8⁴, 40²</t>
        </is>
      </c>
      <c r="L4291" t="inlineStr">
        <is>
          <t>30C³, 50A⁵</t>
        </is>
      </c>
      <c r="M4291" t="inlineStr"/>
      <c r="N4291" t="inlineStr">
        <is>
          <t>2A⁰, 25A², 6A⁰, 50A⁵, 30C³, 5B⁰, 10A¹, 1A⁰</t>
        </is>
      </c>
      <c r="O4291" t="inlineStr"/>
    </row>
    <row r="4292">
      <c r="A4292">
        <f>HYPERLINK("https://mathstats.uncg.edu/sites/pauli/congruence/csg15.html#group150F15", "150F¹⁵")</f>
        <v/>
      </c>
      <c r="B4292" t="n">
        <v>15</v>
      </c>
      <c r="C4292" t="inlineStr"/>
      <c r="D4292" t="inlineStr">
        <is>
          <t>180</t>
        </is>
      </c>
      <c r="E4292" t="inlineStr">
        <is>
          <t>1</t>
        </is>
      </c>
      <c r="F4292" t="inlineStr">
        <is>
          <t>60</t>
        </is>
      </c>
      <c r="G4292" t="inlineStr">
        <is>
          <t>0</t>
        </is>
      </c>
      <c r="H4292" t="inlineStr">
        <is>
          <t>0</t>
        </is>
      </c>
      <c r="I4292" t="inlineStr">
        <is>
          <t>30¹, 150¹</t>
        </is>
      </c>
      <c r="J4292" t="n">
        <v>2</v>
      </c>
      <c r="K4292" t="inlineStr">
        <is>
          <t>4², 8⁴, 40²</t>
        </is>
      </c>
      <c r="L4292" t="inlineStr">
        <is>
          <t>30C³, 50B⁵</t>
        </is>
      </c>
      <c r="M4292" t="inlineStr"/>
      <c r="N4292" t="inlineStr">
        <is>
          <t>2A⁰, 6A⁰, 50B⁵, 30C³, 5B⁰, 10A¹, 1A⁰, 25B²</t>
        </is>
      </c>
      <c r="O4292" t="inlineStr"/>
    </row>
    <row r="4293">
      <c r="A4293">
        <f>HYPERLINK("https://mathstats.uncg.edu/sites/pauli/congruence/csg15.html#group150G15", "150G¹⁵")</f>
        <v/>
      </c>
      <c r="B4293" t="n">
        <v>15</v>
      </c>
      <c r="C4293" t="inlineStr"/>
      <c r="D4293" t="inlineStr">
        <is>
          <t>180</t>
        </is>
      </c>
      <c r="E4293" t="inlineStr">
        <is>
          <t>1</t>
        </is>
      </c>
      <c r="F4293" t="inlineStr">
        <is>
          <t>60</t>
        </is>
      </c>
      <c r="G4293" t="inlineStr">
        <is>
          <t>0</t>
        </is>
      </c>
      <c r="H4293" t="inlineStr">
        <is>
          <t>0</t>
        </is>
      </c>
      <c r="I4293" t="inlineStr">
        <is>
          <t>30¹, 150¹</t>
        </is>
      </c>
      <c r="J4293" t="n">
        <v>2</v>
      </c>
      <c r="K4293" t="inlineStr">
        <is>
          <t>4², 8⁴, 40²</t>
        </is>
      </c>
      <c r="L4293" t="inlineStr">
        <is>
          <t>30C³, 50C⁵</t>
        </is>
      </c>
      <c r="M4293" t="inlineStr"/>
      <c r="N4293" t="inlineStr">
        <is>
          <t>2A⁰, 6A⁰, 30C³, 5B⁰, 50C⁵, 10A¹, 1A⁰, 25C²</t>
        </is>
      </c>
      <c r="O4293" t="inlineStr"/>
    </row>
    <row r="4294">
      <c r="A4294">
        <f>HYPERLINK("https://mathstats.uncg.edu/sites/pauli/congruence/csg15.html#group150H15", "150H¹⁵")</f>
        <v/>
      </c>
      <c r="B4294" t="n">
        <v>15</v>
      </c>
      <c r="C4294" t="inlineStr"/>
      <c r="D4294" t="inlineStr">
        <is>
          <t>180</t>
        </is>
      </c>
      <c r="E4294" t="inlineStr">
        <is>
          <t>1</t>
        </is>
      </c>
      <c r="F4294" t="inlineStr">
        <is>
          <t>60</t>
        </is>
      </c>
      <c r="G4294" t="inlineStr">
        <is>
          <t>0</t>
        </is>
      </c>
      <c r="H4294" t="inlineStr">
        <is>
          <t>0</t>
        </is>
      </c>
      <c r="I4294" t="inlineStr">
        <is>
          <t>30¹, 150¹</t>
        </is>
      </c>
      <c r="J4294" t="n">
        <v>2</v>
      </c>
      <c r="K4294" t="inlineStr">
        <is>
          <t>4², 8⁴, 40²</t>
        </is>
      </c>
      <c r="L4294" t="inlineStr">
        <is>
          <t>30C³, 50D⁵</t>
        </is>
      </c>
      <c r="M4294" t="inlineStr"/>
      <c r="N4294" t="inlineStr">
        <is>
          <t>2A⁰, 6A⁰, 30C³, 5B⁰, 50D⁵, 10A¹, 1A⁰, 25D²</t>
        </is>
      </c>
      <c r="O4294" t="inlineStr"/>
    </row>
    <row r="4295">
      <c r="A4295">
        <f>HYPERLINK("https://mathstats.uncg.edu/sites/pauli/congruence/csg15.html#group150I15", "150I¹⁵")</f>
        <v/>
      </c>
      <c r="B4295" t="n">
        <v>15</v>
      </c>
      <c r="C4295" t="inlineStr"/>
      <c r="D4295" t="inlineStr">
        <is>
          <t>240</t>
        </is>
      </c>
      <c r="E4295" t="inlineStr">
        <is>
          <t>1</t>
        </is>
      </c>
      <c r="F4295" t="inlineStr">
        <is>
          <t>120</t>
        </is>
      </c>
      <c r="G4295" t="inlineStr">
        <is>
          <t>0</t>
        </is>
      </c>
      <c r="H4295" t="inlineStr">
        <is>
          <t>0</t>
        </is>
      </c>
      <c r="I4295" t="inlineStr">
        <is>
          <t>2⁵, 6⁵, 50¹, 150¹</t>
        </is>
      </c>
      <c r="J4295" t="n">
        <v>12</v>
      </c>
      <c r="K4295" t="inlineStr">
        <is>
          <t>1⁴, 2², 4⁴, 8², 20², 40¹</t>
        </is>
      </c>
      <c r="L4295" t="inlineStr">
        <is>
          <t>50A², 30F³, 75A⁵</t>
        </is>
      </c>
      <c r="M4295" t="inlineStr"/>
      <c r="N4295" t="inlineStr">
        <is>
          <t>15C¹, 3B⁰, 30F³, 75A⁵, 50A², 25A⁰, 5B⁰, 1A⁰, 10B⁰</t>
        </is>
      </c>
      <c r="O4295" t="inlineStr"/>
    </row>
    <row r="4296">
      <c r="A4296">
        <f>HYPERLINK("https://mathstats.uncg.edu/sites/pauli/congruence/csg15.html#group150J15", "150J¹⁵")</f>
        <v/>
      </c>
      <c r="B4296" t="n">
        <v>15</v>
      </c>
      <c r="C4296" t="inlineStr"/>
      <c r="D4296" t="inlineStr">
        <is>
          <t>240</t>
        </is>
      </c>
      <c r="E4296" t="inlineStr">
        <is>
          <t>1</t>
        </is>
      </c>
      <c r="F4296" t="inlineStr">
        <is>
          <t>120</t>
        </is>
      </c>
      <c r="G4296" t="inlineStr">
        <is>
          <t>0</t>
        </is>
      </c>
      <c r="H4296" t="inlineStr">
        <is>
          <t>0</t>
        </is>
      </c>
      <c r="I4296" t="inlineStr">
        <is>
          <t>2⁵, 6⁵, 50¹, 150¹</t>
        </is>
      </c>
      <c r="J4296" t="n">
        <v>12</v>
      </c>
      <c r="K4296" t="inlineStr">
        <is>
          <t>1⁴, 2², 4⁴, 8², 20², 40¹</t>
        </is>
      </c>
      <c r="L4296" t="inlineStr">
        <is>
          <t>30G³, 50A³, 75A⁵</t>
        </is>
      </c>
      <c r="M4296" t="inlineStr"/>
      <c r="N4296" t="inlineStr">
        <is>
          <t>2A⁰, 15C¹, 3B⁰, 75A⁵, 6C⁰, 50A³, 25A⁰, 5B⁰, 10A¹, 30G³, 1A⁰</t>
        </is>
      </c>
      <c r="O4296" t="inlineStr"/>
    </row>
    <row r="4297">
      <c r="A4297">
        <f>HYPERLINK("https://mathstats.uncg.edu/sites/pauli/congruence/csg15.html#group153A15", "153A¹⁵")</f>
        <v/>
      </c>
      <c r="B4297" t="n">
        <v>15</v>
      </c>
      <c r="C4297" t="inlineStr">
        <is>
          <t>Γ₀(153)</t>
        </is>
      </c>
      <c r="D4297" t="inlineStr">
        <is>
          <t>216</t>
        </is>
      </c>
      <c r="E4297" t="inlineStr">
        <is>
          <t>1</t>
        </is>
      </c>
      <c r="F4297" t="inlineStr">
        <is>
          <t>72</t>
        </is>
      </c>
      <c r="G4297" t="inlineStr">
        <is>
          <t>0</t>
        </is>
      </c>
      <c r="H4297" t="inlineStr">
        <is>
          <t>0</t>
        </is>
      </c>
      <c r="I4297" t="inlineStr">
        <is>
          <t>1³, 9¹, 17³, 153¹</t>
        </is>
      </c>
      <c r="J4297" t="n">
        <v>8</v>
      </c>
      <c r="K4297" t="inlineStr">
        <is>
          <t>1⁴, 2², 16², 32¹</t>
        </is>
      </c>
      <c r="L4297" t="inlineStr">
        <is>
          <t>9B⁰, 51A⁵</t>
        </is>
      </c>
      <c r="M4297" t="inlineStr"/>
      <c r="N4297" t="inlineStr">
        <is>
          <t>3B⁰, 9B⁰, 17A¹, 51A⁵, 1A⁰</t>
        </is>
      </c>
      <c r="O4297" t="inlineStr"/>
    </row>
    <row r="4298">
      <c r="A4298">
        <f>HYPERLINK("https://mathstats.uncg.edu/sites/pauli/congruence/csg15.html#group154A15", "154A¹⁵")</f>
        <v/>
      </c>
      <c r="B4298" t="n">
        <v>15</v>
      </c>
      <c r="C4298" t="inlineStr"/>
      <c r="D4298" t="inlineStr">
        <is>
          <t>192</t>
        </is>
      </c>
      <c r="E4298" t="inlineStr">
        <is>
          <t>1</t>
        </is>
      </c>
      <c r="F4298" t="inlineStr">
        <is>
          <t>96</t>
        </is>
      </c>
      <c r="G4298" t="inlineStr">
        <is>
          <t>0</t>
        </is>
      </c>
      <c r="H4298" t="inlineStr">
        <is>
          <t>0</t>
        </is>
      </c>
      <c r="I4298" t="inlineStr">
        <is>
          <t>2¹, 14¹, 22¹, 154¹</t>
        </is>
      </c>
      <c r="J4298" t="n">
        <v>4</v>
      </c>
      <c r="K4298" t="inlineStr">
        <is>
          <t>1⁴, 6², 10², 60¹</t>
        </is>
      </c>
      <c r="L4298" t="inlineStr">
        <is>
          <t>77B⁷</t>
        </is>
      </c>
      <c r="M4298" t="inlineStr"/>
      <c r="N4298" t="inlineStr">
        <is>
          <t>1A⁰, 7B⁰, 77B⁷, 11A¹</t>
        </is>
      </c>
      <c r="O4298" t="inlineStr"/>
    </row>
    <row r="4299">
      <c r="A4299">
        <f>HYPERLINK("https://mathstats.uncg.edu/sites/pauli/congruence/csg15.html#group154B15", "154B¹⁵")</f>
        <v/>
      </c>
      <c r="B4299" t="n">
        <v>15</v>
      </c>
      <c r="C4299" t="inlineStr"/>
      <c r="D4299" t="inlineStr">
        <is>
          <t>192</t>
        </is>
      </c>
      <c r="E4299" t="inlineStr">
        <is>
          <t>1</t>
        </is>
      </c>
      <c r="F4299" t="inlineStr">
        <is>
          <t>96</t>
        </is>
      </c>
      <c r="G4299" t="inlineStr">
        <is>
          <t>0</t>
        </is>
      </c>
      <c r="H4299" t="inlineStr">
        <is>
          <t>0</t>
        </is>
      </c>
      <c r="I4299" t="inlineStr">
        <is>
          <t>2¹, 14¹, 22¹, 154¹</t>
        </is>
      </c>
      <c r="J4299" t="n">
        <v>4</v>
      </c>
      <c r="K4299" t="inlineStr">
        <is>
          <t>1⁴, 6², 10², 60¹</t>
        </is>
      </c>
      <c r="L4299" t="inlineStr">
        <is>
          <t>22A², 77B⁷</t>
        </is>
      </c>
      <c r="M4299" t="inlineStr"/>
      <c r="N4299" t="inlineStr">
        <is>
          <t>2A⁰, 7B⁰, 77B⁷, 1A⁰, 11A¹, 22A²</t>
        </is>
      </c>
      <c r="O4299" t="inlineStr"/>
    </row>
    <row r="4300">
      <c r="A4300">
        <f>HYPERLINK("https://mathstats.uncg.edu/sites/pauli/congruence/csg15.html#group155A15", "155A¹⁵")</f>
        <v/>
      </c>
      <c r="B4300" t="n">
        <v>15</v>
      </c>
      <c r="C4300" t="inlineStr">
        <is>
          <t>Γ₀(155)</t>
        </is>
      </c>
      <c r="D4300" t="inlineStr">
        <is>
          <t>192</t>
        </is>
      </c>
      <c r="E4300" t="inlineStr">
        <is>
          <t>1</t>
        </is>
      </c>
      <c r="F4300" t="inlineStr">
        <is>
          <t>192</t>
        </is>
      </c>
      <c r="G4300" t="inlineStr">
        <is>
          <t>0</t>
        </is>
      </c>
      <c r="H4300" t="inlineStr">
        <is>
          <t>0</t>
        </is>
      </c>
      <c r="I4300" t="inlineStr">
        <is>
          <t>1¹, 5¹, 31¹, 155¹</t>
        </is>
      </c>
      <c r="J4300" t="n">
        <v>4</v>
      </c>
      <c r="K4300" t="inlineStr">
        <is>
          <t>1⁴, 4², 30², 120¹</t>
        </is>
      </c>
      <c r="L4300" t="inlineStr">
        <is>
          <t>5B⁰, 31A²</t>
        </is>
      </c>
      <c r="M4300" t="inlineStr"/>
      <c r="N4300" t="inlineStr">
        <is>
          <t>5B⁰, 31A², 1A⁰</t>
        </is>
      </c>
      <c r="O4300" t="inlineStr"/>
    </row>
    <row r="4301">
      <c r="A4301">
        <f>HYPERLINK("https://mathstats.uncg.edu/sites/pauli/congruence/csg15.html#group156A15", "156A¹⁵")</f>
        <v/>
      </c>
      <c r="B4301" t="n">
        <v>15</v>
      </c>
      <c r="C4301" t="inlineStr"/>
      <c r="D4301" t="inlineStr">
        <is>
          <t>224</t>
        </is>
      </c>
      <c r="E4301" t="inlineStr">
        <is>
          <t>1</t>
        </is>
      </c>
      <c r="F4301" t="inlineStr">
        <is>
          <t>56</t>
        </is>
      </c>
      <c r="G4301" t="inlineStr">
        <is>
          <t>0</t>
        </is>
      </c>
      <c r="H4301" t="inlineStr">
        <is>
          <t>8</t>
        </is>
      </c>
      <c r="I4301" t="inlineStr">
        <is>
          <t>4¹, 12¹, 52¹, 156¹</t>
        </is>
      </c>
      <c r="J4301" t="n">
        <v>4</v>
      </c>
      <c r="K4301" t="inlineStr">
        <is>
          <t>1⁴, 2², 12², 24¹</t>
        </is>
      </c>
      <c r="L4301" t="inlineStr">
        <is>
          <t>78C⁷</t>
        </is>
      </c>
      <c r="M4301" t="inlineStr"/>
      <c r="N4301" t="inlineStr">
        <is>
          <t>2A⁰, 3B⁰, 26A¹, 39A³, 78C⁷, 6C⁰, 13A⁰, 1A⁰</t>
        </is>
      </c>
      <c r="O4301" t="inlineStr"/>
    </row>
    <row r="4302">
      <c r="A4302">
        <f>HYPERLINK("https://mathstats.uncg.edu/sites/pauli/congruence/csg15.html#group156B15", "156B¹⁵")</f>
        <v/>
      </c>
      <c r="B4302" t="n">
        <v>15</v>
      </c>
      <c r="C4302" t="inlineStr"/>
      <c r="D4302" t="inlineStr">
        <is>
          <t>224</t>
        </is>
      </c>
      <c r="E4302" t="inlineStr">
        <is>
          <t>1</t>
        </is>
      </c>
      <c r="F4302" t="inlineStr">
        <is>
          <t>56</t>
        </is>
      </c>
      <c r="G4302" t="inlineStr">
        <is>
          <t>0</t>
        </is>
      </c>
      <c r="H4302" t="inlineStr">
        <is>
          <t>8</t>
        </is>
      </c>
      <c r="I4302" t="inlineStr">
        <is>
          <t>4¹, 12¹, 52¹, 156¹</t>
        </is>
      </c>
      <c r="J4302" t="n">
        <v>4</v>
      </c>
      <c r="K4302" t="inlineStr">
        <is>
          <t>1⁴, 2², 12², 24¹</t>
        </is>
      </c>
      <c r="L4302" t="inlineStr">
        <is>
          <t>12B⁰, 78C⁷</t>
        </is>
      </c>
      <c r="M4302" t="inlineStr"/>
      <c r="N4302" t="inlineStr">
        <is>
          <t>2A⁰, 3B⁰, 26A¹, 39A³, 78C⁷, 6C⁰, 13A⁰, 1A⁰, 12B⁰</t>
        </is>
      </c>
      <c r="O4302" t="inlineStr"/>
    </row>
    <row r="4303">
      <c r="A4303">
        <f>HYPERLINK("https://mathstats.uncg.edu/sites/pauli/congruence/csg15.html#group156C15", "156C¹⁵")</f>
        <v/>
      </c>
      <c r="B4303" t="n">
        <v>15</v>
      </c>
      <c r="C4303" t="inlineStr"/>
      <c r="D4303" t="inlineStr">
        <is>
          <t>224</t>
        </is>
      </c>
      <c r="E4303" t="inlineStr">
        <is>
          <t>2</t>
        </is>
      </c>
      <c r="F4303" t="inlineStr">
        <is>
          <t>56</t>
        </is>
      </c>
      <c r="G4303" t="inlineStr">
        <is>
          <t>0</t>
        </is>
      </c>
      <c r="H4303" t="inlineStr">
        <is>
          <t>8</t>
        </is>
      </c>
      <c r="I4303" t="inlineStr">
        <is>
          <t>4¹, 12¹, 52¹, 156¹</t>
        </is>
      </c>
      <c r="J4303" t="n">
        <v>4</v>
      </c>
      <c r="K4303" t="inlineStr">
        <is>
          <t>2⁴, 4², 24², 48¹</t>
        </is>
      </c>
      <c r="L4303" t="inlineStr">
        <is>
          <t>52A¹, 78B⁷</t>
        </is>
      </c>
      <c r="M4303" t="inlineStr"/>
      <c r="N4303" t="inlineStr">
        <is>
          <t>3B⁰, 39A³, 13A⁰, 78B⁷, 26A⁰, 52A¹, 1A⁰</t>
        </is>
      </c>
      <c r="O4303" t="inlineStr"/>
    </row>
    <row r="4304">
      <c r="A4304">
        <f>HYPERLINK("https://mathstats.uncg.edu/sites/pauli/congruence/csg15.html#group160A15", "160A¹⁵")</f>
        <v/>
      </c>
      <c r="B4304" t="n">
        <v>15</v>
      </c>
      <c r="C4304" t="inlineStr"/>
      <c r="D4304" t="inlineStr">
        <is>
          <t>288</t>
        </is>
      </c>
      <c r="E4304" t="inlineStr">
        <is>
          <t>1</t>
        </is>
      </c>
      <c r="F4304" t="inlineStr">
        <is>
          <t>36</t>
        </is>
      </c>
      <c r="G4304" t="inlineStr">
        <is>
          <t>0</t>
        </is>
      </c>
      <c r="H4304" t="inlineStr">
        <is>
          <t>0</t>
        </is>
      </c>
      <c r="I4304" t="inlineStr">
        <is>
          <t>1⁸, 5⁸, 8¹, 32¹, 40¹, 160¹</t>
        </is>
      </c>
      <c r="J4304" t="n">
        <v>20</v>
      </c>
      <c r="K4304" t="inlineStr">
        <is>
          <t>1⁸, 2², 4⁴, 8¹</t>
        </is>
      </c>
      <c r="L4304" t="inlineStr">
        <is>
          <t>80F⁷</t>
        </is>
      </c>
      <c r="M4304" t="inlineStr"/>
      <c r="N4304" t="inlineStr">
        <is>
          <t>80F⁷, 40F³, 16C⁰, 5B⁰, 10C⁰, 20D¹, 8C⁰, 2B⁰, 4B⁰, 1A⁰</t>
        </is>
      </c>
      <c r="O4304" t="inlineStr"/>
    </row>
    <row r="4305">
      <c r="A4305">
        <f>HYPERLINK("https://mathstats.uncg.edu/sites/pauli/congruence/csg15.html#group160B15", "160B¹⁵")</f>
        <v/>
      </c>
      <c r="B4305" t="n">
        <v>15</v>
      </c>
      <c r="C4305" t="inlineStr"/>
      <c r="D4305" t="inlineStr">
        <is>
          <t>288</t>
        </is>
      </c>
      <c r="E4305" t="inlineStr">
        <is>
          <t>1</t>
        </is>
      </c>
      <c r="F4305" t="inlineStr">
        <is>
          <t>36</t>
        </is>
      </c>
      <c r="G4305" t="inlineStr">
        <is>
          <t>0</t>
        </is>
      </c>
      <c r="H4305" t="inlineStr">
        <is>
          <t>0</t>
        </is>
      </c>
      <c r="I4305" t="inlineStr">
        <is>
          <t>1⁸, 5⁸, 8¹, 32¹, 40¹, 160¹</t>
        </is>
      </c>
      <c r="J4305" t="n">
        <v>20</v>
      </c>
      <c r="K4305" t="inlineStr">
        <is>
          <t>1⁸, 2², 4⁴, 8¹</t>
        </is>
      </c>
      <c r="L4305" t="inlineStr">
        <is>
          <t>32A⁰, 80F⁷</t>
        </is>
      </c>
      <c r="M4305" t="inlineStr"/>
      <c r="N4305" t="inlineStr">
        <is>
          <t>80F⁷, 40F³, 16C⁰, 32A⁰, 5B⁰, 10C⁰, 20D¹, 8C⁰, 2B⁰, 4B⁰, 1A⁰</t>
        </is>
      </c>
      <c r="O4305" t="inlineStr"/>
    </row>
    <row r="4306">
      <c r="A4306">
        <f>HYPERLINK("https://mathstats.uncg.edu/sites/pauli/congruence/csg15.html#group160C15", "160C¹⁵")</f>
        <v/>
      </c>
      <c r="B4306" t="n">
        <v>15</v>
      </c>
      <c r="C4306" t="inlineStr"/>
      <c r="D4306" t="inlineStr">
        <is>
          <t>288</t>
        </is>
      </c>
      <c r="E4306" t="inlineStr">
        <is>
          <t>2</t>
        </is>
      </c>
      <c r="F4306" t="inlineStr">
        <is>
          <t>36</t>
        </is>
      </c>
      <c r="G4306" t="inlineStr">
        <is>
          <t>0</t>
        </is>
      </c>
      <c r="H4306" t="inlineStr">
        <is>
          <t>0</t>
        </is>
      </c>
      <c r="I4306" t="inlineStr">
        <is>
          <t>1⁸, 5⁸, 8¹, 32¹, 40¹, 160¹</t>
        </is>
      </c>
      <c r="J4306" t="n">
        <v>20</v>
      </c>
      <c r="K4306" t="inlineStr">
        <is>
          <t>2¹², 8⁶</t>
        </is>
      </c>
      <c r="L4306" t="inlineStr">
        <is>
          <t>80E⁷</t>
        </is>
      </c>
      <c r="M4306" t="inlineStr"/>
      <c r="N4306" t="inlineStr">
        <is>
          <t>40F³, 5B⁰, 80E⁷, 10C⁰, 20D¹, 8C⁰, 2B⁰, 4B⁰, 1A⁰</t>
        </is>
      </c>
      <c r="O4306" t="inlineStr"/>
    </row>
    <row r="4307">
      <c r="A4307">
        <f>HYPERLINK("https://mathstats.uncg.edu/sites/pauli/congruence/csg15.html#group161A15", "161A¹⁵")</f>
        <v/>
      </c>
      <c r="B4307" t="n">
        <v>15</v>
      </c>
      <c r="C4307" t="inlineStr">
        <is>
          <t>Γ₀(161)</t>
        </is>
      </c>
      <c r="D4307" t="inlineStr">
        <is>
          <t>192</t>
        </is>
      </c>
      <c r="E4307" t="inlineStr">
        <is>
          <t>1</t>
        </is>
      </c>
      <c r="F4307" t="inlineStr">
        <is>
          <t>192</t>
        </is>
      </c>
      <c r="G4307" t="inlineStr">
        <is>
          <t>0</t>
        </is>
      </c>
      <c r="H4307" t="inlineStr">
        <is>
          <t>0</t>
        </is>
      </c>
      <c r="I4307" t="inlineStr">
        <is>
          <t>1¹, 7¹, 23¹, 161¹</t>
        </is>
      </c>
      <c r="J4307" t="n">
        <v>4</v>
      </c>
      <c r="K4307" t="inlineStr">
        <is>
          <t>1⁴, 6², 22², 132¹</t>
        </is>
      </c>
      <c r="L4307" t="inlineStr">
        <is>
          <t>7B⁰, 23A²</t>
        </is>
      </c>
      <c r="M4307" t="inlineStr"/>
      <c r="N4307" t="inlineStr">
        <is>
          <t>1A⁰, 7B⁰, 23A²</t>
        </is>
      </c>
      <c r="O4307" t="inlineStr"/>
    </row>
    <row r="4308">
      <c r="A4308">
        <f>HYPERLINK("https://mathstats.uncg.edu/sites/pauli/congruence/csg15.html#group165A15", "165A¹⁵")</f>
        <v/>
      </c>
      <c r="B4308" t="n">
        <v>15</v>
      </c>
      <c r="C4308" t="inlineStr"/>
      <c r="D4308" t="inlineStr">
        <is>
          <t>180</t>
        </is>
      </c>
      <c r="E4308" t="inlineStr">
        <is>
          <t>1</t>
        </is>
      </c>
      <c r="F4308" t="inlineStr">
        <is>
          <t>60</t>
        </is>
      </c>
      <c r="G4308" t="inlineStr">
        <is>
          <t>0</t>
        </is>
      </c>
      <c r="H4308" t="inlineStr">
        <is>
          <t>0</t>
        </is>
      </c>
      <c r="I4308" t="inlineStr">
        <is>
          <t>15¹, 165¹</t>
        </is>
      </c>
      <c r="J4308" t="n">
        <v>2</v>
      </c>
      <c r="K4308" t="inlineStr">
        <is>
          <t>1², 4², 10¹, 40¹</t>
        </is>
      </c>
      <c r="L4308" t="inlineStr">
        <is>
          <t>15A¹, 33A³, 55A⁵</t>
        </is>
      </c>
      <c r="M4308" t="inlineStr"/>
      <c r="N4308" t="inlineStr">
        <is>
          <t>5A⁰, 11A¹, 33A³, 3A⁰, 55A⁵, 1A⁰, 15A¹</t>
        </is>
      </c>
      <c r="O4308" t="inlineStr"/>
    </row>
    <row r="4309">
      <c r="A4309">
        <f>HYPERLINK("https://mathstats.uncg.edu/sites/pauli/congruence/csg15.html#group165B15", "165B¹⁵")</f>
        <v/>
      </c>
      <c r="B4309" t="n">
        <v>15</v>
      </c>
      <c r="C4309" t="inlineStr"/>
      <c r="D4309" t="inlineStr">
        <is>
          <t>180</t>
        </is>
      </c>
      <c r="E4309" t="inlineStr">
        <is>
          <t>2</t>
        </is>
      </c>
      <c r="F4309" t="inlineStr">
        <is>
          <t>60</t>
        </is>
      </c>
      <c r="G4309" t="inlineStr">
        <is>
          <t>0</t>
        </is>
      </c>
      <c r="H4309" t="inlineStr">
        <is>
          <t>0</t>
        </is>
      </c>
      <c r="I4309" t="inlineStr">
        <is>
          <t>15¹, 165¹</t>
        </is>
      </c>
      <c r="J4309" t="n">
        <v>2</v>
      </c>
      <c r="K4309" t="inlineStr">
        <is>
          <t>2², 8², 20¹, 80¹</t>
        </is>
      </c>
      <c r="L4309" t="inlineStr">
        <is>
          <t>15A⁰, 55A⁵</t>
        </is>
      </c>
      <c r="M4309" t="inlineStr"/>
      <c r="N4309" t="inlineStr">
        <is>
          <t>5A⁰, 55A⁵, 1A⁰, 11A¹, 15A⁰</t>
        </is>
      </c>
      <c r="O4309" t="inlineStr"/>
    </row>
    <row r="4310">
      <c r="A4310">
        <f>HYPERLINK("https://mathstats.uncg.edu/sites/pauli/congruence/csg15.html#group168A15", "168A¹⁵")</f>
        <v/>
      </c>
      <c r="B4310" t="n">
        <v>15</v>
      </c>
      <c r="C4310" t="inlineStr"/>
      <c r="D4310" t="inlineStr">
        <is>
          <t>252</t>
        </is>
      </c>
      <c r="E4310" t="inlineStr">
        <is>
          <t>2</t>
        </is>
      </c>
      <c r="F4310" t="inlineStr">
        <is>
          <t>21</t>
        </is>
      </c>
      <c r="G4310" t="inlineStr">
        <is>
          <t>24</t>
        </is>
      </c>
      <c r="H4310" t="inlineStr">
        <is>
          <t>0</t>
        </is>
      </c>
      <c r="I4310" t="inlineStr">
        <is>
          <t>84¹, 168¹</t>
        </is>
      </c>
      <c r="J4310" t="n">
        <v>2</v>
      </c>
      <c r="K4310" t="inlineStr">
        <is>
          <t>2³, 6⁶</t>
        </is>
      </c>
      <c r="L4310" t="inlineStr">
        <is>
          <t>56A⁵, 84B⁶</t>
        </is>
      </c>
      <c r="M4310" t="inlineStr"/>
      <c r="N4310" t="inlineStr">
        <is>
          <t>28C², 12C⁰, 14B¹, 4C⁰, 21A⁰, 2B⁰, 56A⁵, 3A⁰, 1A⁰, 42C³, 84B⁶, 6D⁰, 7A⁰</t>
        </is>
      </c>
      <c r="O4310" t="inlineStr"/>
    </row>
    <row r="4311">
      <c r="A4311">
        <f>HYPERLINK("https://mathstats.uncg.edu/sites/pauli/congruence/csg15.html#group168B15", "168B¹⁵")</f>
        <v/>
      </c>
      <c r="B4311" t="n">
        <v>15</v>
      </c>
      <c r="C4311" t="inlineStr"/>
      <c r="D4311" t="inlineStr">
        <is>
          <t>252</t>
        </is>
      </c>
      <c r="E4311" t="inlineStr">
        <is>
          <t>2</t>
        </is>
      </c>
      <c r="F4311" t="inlineStr">
        <is>
          <t>63</t>
        </is>
      </c>
      <c r="G4311" t="inlineStr">
        <is>
          <t>24</t>
        </is>
      </c>
      <c r="H4311" t="inlineStr">
        <is>
          <t>0</t>
        </is>
      </c>
      <c r="I4311" t="inlineStr">
        <is>
          <t>84¹, 168¹</t>
        </is>
      </c>
      <c r="J4311" t="n">
        <v>2</v>
      </c>
      <c r="K4311" t="inlineStr">
        <is>
          <t>2³, 4³, 6⁶, 12⁶</t>
        </is>
      </c>
      <c r="L4311" t="inlineStr">
        <is>
          <t>24D¹, 84B⁶</t>
        </is>
      </c>
      <c r="M4311" t="inlineStr"/>
      <c r="N4311" t="inlineStr">
        <is>
          <t>28C², 12C⁰, 14B¹, 4C⁰, 24D¹, 21A⁰, 2B⁰, 3A⁰, 1A⁰, 42C³, 84B⁶, 6D⁰, 7A⁰</t>
        </is>
      </c>
      <c r="O4311" t="inlineStr"/>
    </row>
    <row r="4312">
      <c r="A4312">
        <f>HYPERLINK("https://mathstats.uncg.edu/sites/pauli/congruence/csg15.html#group170A15", "170A¹⁵")</f>
        <v/>
      </c>
      <c r="B4312" t="n">
        <v>15</v>
      </c>
      <c r="C4312" t="inlineStr"/>
      <c r="D4312" t="inlineStr">
        <is>
          <t>180</t>
        </is>
      </c>
      <c r="E4312" t="inlineStr">
        <is>
          <t>1</t>
        </is>
      </c>
      <c r="F4312" t="inlineStr">
        <is>
          <t>90</t>
        </is>
      </c>
      <c r="G4312" t="inlineStr">
        <is>
          <t>0</t>
        </is>
      </c>
      <c r="H4312" t="inlineStr">
        <is>
          <t>0</t>
        </is>
      </c>
      <c r="I4312" t="inlineStr">
        <is>
          <t>10¹, 170¹</t>
        </is>
      </c>
      <c r="J4312" t="n">
        <v>2</v>
      </c>
      <c r="K4312" t="inlineStr">
        <is>
          <t>1², 4², 16¹, 64¹</t>
        </is>
      </c>
      <c r="L4312" t="inlineStr">
        <is>
          <t>34A³, 85A⁷</t>
        </is>
      </c>
      <c r="M4312" t="inlineStr"/>
      <c r="N4312" t="inlineStr">
        <is>
          <t>85A⁷, 17A¹, 5A⁰, 1A⁰, 34A³</t>
        </is>
      </c>
      <c r="O4312" t="inlineStr"/>
    </row>
    <row r="4313">
      <c r="A4313">
        <f>HYPERLINK("https://mathstats.uncg.edu/sites/pauli/congruence/csg15.html#group170B15", "170B¹⁵")</f>
        <v/>
      </c>
      <c r="B4313" t="n">
        <v>15</v>
      </c>
      <c r="C4313" t="inlineStr"/>
      <c r="D4313" t="inlineStr">
        <is>
          <t>180</t>
        </is>
      </c>
      <c r="E4313" t="inlineStr">
        <is>
          <t>1</t>
        </is>
      </c>
      <c r="F4313" t="inlineStr">
        <is>
          <t>90</t>
        </is>
      </c>
      <c r="G4313" t="inlineStr">
        <is>
          <t>0</t>
        </is>
      </c>
      <c r="H4313" t="inlineStr">
        <is>
          <t>0</t>
        </is>
      </c>
      <c r="I4313" t="inlineStr">
        <is>
          <t>10¹, 170¹</t>
        </is>
      </c>
      <c r="J4313" t="n">
        <v>2</v>
      </c>
      <c r="K4313" t="inlineStr">
        <is>
          <t>1², 4², 16¹, 64¹</t>
        </is>
      </c>
      <c r="L4313" t="inlineStr">
        <is>
          <t>10A⁰, 34B³, 85A⁷</t>
        </is>
      </c>
      <c r="M4313" t="inlineStr"/>
      <c r="N4313" t="inlineStr">
        <is>
          <t>2A⁰, 85A⁷, 5A⁰, 10A⁰, 17A¹, 34B³, 1A⁰</t>
        </is>
      </c>
      <c r="O4313" t="inlineStr"/>
    </row>
    <row r="4314">
      <c r="A4314">
        <f>HYPERLINK("https://mathstats.uncg.edu/sites/pauli/congruence/csg15.html#group170C15", "170C¹⁵")</f>
        <v/>
      </c>
      <c r="B4314" t="n">
        <v>15</v>
      </c>
      <c r="C4314" t="inlineStr"/>
      <c r="D4314" t="inlineStr">
        <is>
          <t>216</t>
        </is>
      </c>
      <c r="E4314" t="inlineStr">
        <is>
          <t>1</t>
        </is>
      </c>
      <c r="F4314" t="inlineStr">
        <is>
          <t>108</t>
        </is>
      </c>
      <c r="G4314" t="inlineStr">
        <is>
          <t>8</t>
        </is>
      </c>
      <c r="H4314" t="inlineStr">
        <is>
          <t>0</t>
        </is>
      </c>
      <c r="I4314" t="inlineStr">
        <is>
          <t>2¹, 10¹, 34¹, 170¹</t>
        </is>
      </c>
      <c r="J4314" t="n">
        <v>4</v>
      </c>
      <c r="K4314" t="inlineStr">
        <is>
          <t>1⁴, 4², 16², 64¹</t>
        </is>
      </c>
      <c r="L4314" t="inlineStr">
        <is>
          <t>85B⁷</t>
        </is>
      </c>
      <c r="M4314" t="inlineStr"/>
      <c r="N4314" t="inlineStr">
        <is>
          <t>85B⁷, 5B⁰, 1A⁰, 17A¹</t>
        </is>
      </c>
      <c r="O4314" t="inlineStr"/>
    </row>
    <row r="4315">
      <c r="A4315">
        <f>HYPERLINK("https://mathstats.uncg.edu/sites/pauli/congruence/csg15.html#group170D15", "170D¹⁵")</f>
        <v/>
      </c>
      <c r="B4315" t="n">
        <v>15</v>
      </c>
      <c r="C4315" t="inlineStr"/>
      <c r="D4315" t="inlineStr">
        <is>
          <t>216</t>
        </is>
      </c>
      <c r="E4315" t="inlineStr">
        <is>
          <t>1</t>
        </is>
      </c>
      <c r="F4315" t="inlineStr">
        <is>
          <t>108</t>
        </is>
      </c>
      <c r="G4315" t="inlineStr">
        <is>
          <t>8</t>
        </is>
      </c>
      <c r="H4315" t="inlineStr">
        <is>
          <t>0</t>
        </is>
      </c>
      <c r="I4315" t="inlineStr">
        <is>
          <t>2¹, 10¹, 34¹, 170¹</t>
        </is>
      </c>
      <c r="J4315" t="n">
        <v>4</v>
      </c>
      <c r="K4315" t="inlineStr">
        <is>
          <t>1⁴, 4², 16², 64¹</t>
        </is>
      </c>
      <c r="L4315" t="inlineStr">
        <is>
          <t>10B⁰, 85B⁷</t>
        </is>
      </c>
      <c r="M4315" t="inlineStr"/>
      <c r="N4315" t="inlineStr">
        <is>
          <t>5B⁰, 17A¹, 85B⁷, 1A⁰, 10B⁰</t>
        </is>
      </c>
      <c r="O4315" t="inlineStr"/>
    </row>
    <row r="4316">
      <c r="A4316">
        <f>HYPERLINK("https://mathstats.uncg.edu/sites/pauli/congruence/csg15.html#group171A15", "171A¹⁵")</f>
        <v/>
      </c>
      <c r="B4316" t="n">
        <v>15</v>
      </c>
      <c r="C4316" t="inlineStr"/>
      <c r="D4316" t="inlineStr">
        <is>
          <t>180</t>
        </is>
      </c>
      <c r="E4316" t="inlineStr">
        <is>
          <t>1</t>
        </is>
      </c>
      <c r="F4316" t="inlineStr">
        <is>
          <t>180</t>
        </is>
      </c>
      <c r="G4316" t="inlineStr">
        <is>
          <t>0</t>
        </is>
      </c>
      <c r="H4316" t="inlineStr">
        <is>
          <t>0</t>
        </is>
      </c>
      <c r="I4316" t="inlineStr">
        <is>
          <t>9¹, 171¹</t>
        </is>
      </c>
      <c r="J4316" t="n">
        <v>2</v>
      </c>
      <c r="K4316" t="inlineStr">
        <is>
          <t>1², 2², 6², 18¹, 36¹, 108¹</t>
        </is>
      </c>
      <c r="L4316" t="inlineStr">
        <is>
          <t>9A⁰, 57A⁵</t>
        </is>
      </c>
      <c r="M4316" t="inlineStr"/>
      <c r="N4316" t="inlineStr">
        <is>
          <t>19A¹, 57A⁵, 3A⁰, 1A⁰, 9A⁰</t>
        </is>
      </c>
      <c r="O4316" t="inlineStr"/>
    </row>
    <row r="4317">
      <c r="A4317">
        <f>HYPERLINK("https://mathstats.uncg.edu/sites/pauli/congruence/csg15.html#group174A15", "174A¹⁵")</f>
        <v/>
      </c>
      <c r="B4317" t="n">
        <v>15</v>
      </c>
      <c r="C4317" t="inlineStr"/>
      <c r="D4317" t="inlineStr">
        <is>
          <t>180</t>
        </is>
      </c>
      <c r="E4317" t="inlineStr">
        <is>
          <t>1</t>
        </is>
      </c>
      <c r="F4317" t="inlineStr">
        <is>
          <t>30</t>
        </is>
      </c>
      <c r="G4317" t="inlineStr">
        <is>
          <t>0</t>
        </is>
      </c>
      <c r="H4317" t="inlineStr">
        <is>
          <t>0</t>
        </is>
      </c>
      <c r="I4317" t="inlineStr">
        <is>
          <t>6¹, 174¹</t>
        </is>
      </c>
      <c r="J4317" t="n">
        <v>2</v>
      </c>
      <c r="K4317" t="inlineStr">
        <is>
          <t>1², 28¹</t>
        </is>
      </c>
      <c r="L4317" t="inlineStr">
        <is>
          <t>6A¹, 58A⁵, 87A⁶</t>
        </is>
      </c>
      <c r="M4317" t="inlineStr"/>
      <c r="N4317" t="inlineStr">
        <is>
          <t>2A⁰, 29A², 87A⁶, 6A¹, 58A⁵, 3A⁰, 1A⁰</t>
        </is>
      </c>
      <c r="O4317" t="inlineStr"/>
    </row>
    <row r="4318">
      <c r="A4318">
        <f>HYPERLINK("https://mathstats.uncg.edu/sites/pauli/congruence/csg15.html#group174B15", "174B¹⁵")</f>
        <v/>
      </c>
      <c r="B4318" t="n">
        <v>15</v>
      </c>
      <c r="C4318" t="inlineStr"/>
      <c r="D4318" t="inlineStr">
        <is>
          <t>180</t>
        </is>
      </c>
      <c r="E4318" t="inlineStr">
        <is>
          <t>1</t>
        </is>
      </c>
      <c r="F4318" t="inlineStr">
        <is>
          <t>60</t>
        </is>
      </c>
      <c r="G4318" t="inlineStr">
        <is>
          <t>0</t>
        </is>
      </c>
      <c r="H4318" t="inlineStr">
        <is>
          <t>0</t>
        </is>
      </c>
      <c r="I4318" t="inlineStr">
        <is>
          <t>6¹, 174¹</t>
        </is>
      </c>
      <c r="J4318" t="n">
        <v>2</v>
      </c>
      <c r="K4318" t="inlineStr">
        <is>
          <t>2², 56¹</t>
        </is>
      </c>
      <c r="L4318" t="inlineStr">
        <is>
          <t>6A⁰, 58A⁵</t>
        </is>
      </c>
      <c r="M4318" t="inlineStr"/>
      <c r="N4318" t="inlineStr">
        <is>
          <t>2A⁰, 58A⁵, 1A⁰, 29A², 6A⁰</t>
        </is>
      </c>
      <c r="O4318" t="inlineStr"/>
    </row>
    <row r="4319">
      <c r="A4319">
        <f>HYPERLINK("https://mathstats.uncg.edu/sites/pauli/congruence/csg15.html#group175A15", "175A¹⁵")</f>
        <v/>
      </c>
      <c r="B4319" t="n">
        <v>15</v>
      </c>
      <c r="C4319" t="inlineStr">
        <is>
          <t>Γ₀(175)</t>
        </is>
      </c>
      <c r="D4319" t="inlineStr">
        <is>
          <t>240</t>
        </is>
      </c>
      <c r="E4319" t="inlineStr">
        <is>
          <t>1</t>
        </is>
      </c>
      <c r="F4319" t="inlineStr">
        <is>
          <t>240</t>
        </is>
      </c>
      <c r="G4319" t="inlineStr">
        <is>
          <t>0</t>
        </is>
      </c>
      <c r="H4319" t="inlineStr">
        <is>
          <t>0</t>
        </is>
      </c>
      <c r="I4319" t="inlineStr">
        <is>
          <t>1⁵, 7⁵, 25¹, 175¹</t>
        </is>
      </c>
      <c r="J4319" t="n">
        <v>12</v>
      </c>
      <c r="K4319" t="inlineStr">
        <is>
          <t>1⁴, 4⁴, 6², 20², 24², 120¹</t>
        </is>
      </c>
      <c r="L4319" t="inlineStr">
        <is>
          <t>25A⁰, 35A³</t>
        </is>
      </c>
      <c r="M4319" t="inlineStr"/>
      <c r="N4319" t="inlineStr">
        <is>
          <t>25A⁰, 5B⁰, 7B⁰, 1A⁰, 35A³</t>
        </is>
      </c>
      <c r="O4319" t="inlineStr"/>
    </row>
    <row r="4320">
      <c r="A4320">
        <f>HYPERLINK("https://mathstats.uncg.edu/sites/pauli/congruence/csg15.html#group177A15", "177A¹⁵")</f>
        <v/>
      </c>
      <c r="B4320" t="n">
        <v>15</v>
      </c>
      <c r="C4320" t="inlineStr"/>
      <c r="D4320" t="inlineStr">
        <is>
          <t>180</t>
        </is>
      </c>
      <c r="E4320" t="inlineStr">
        <is>
          <t>1</t>
        </is>
      </c>
      <c r="F4320" t="inlineStr">
        <is>
          <t>60</t>
        </is>
      </c>
      <c r="G4320" t="inlineStr">
        <is>
          <t>0</t>
        </is>
      </c>
      <c r="H4320" t="inlineStr">
        <is>
          <t>0</t>
        </is>
      </c>
      <c r="I4320" t="inlineStr">
        <is>
          <t>3¹, 177¹</t>
        </is>
      </c>
      <c r="J4320" t="n">
        <v>2</v>
      </c>
      <c r="K4320" t="inlineStr">
        <is>
          <t>1², 58¹</t>
        </is>
      </c>
      <c r="L4320" t="inlineStr">
        <is>
          <t>3A⁰, 59A⁵</t>
        </is>
      </c>
      <c r="M4320" t="inlineStr"/>
      <c r="N4320" t="inlineStr">
        <is>
          <t>3A⁰, 1A⁰, 59A⁵</t>
        </is>
      </c>
      <c r="O4320" t="inlineStr"/>
    </row>
    <row r="4321">
      <c r="A4321">
        <f>HYPERLINK("https://mathstats.uncg.edu/sites/pauli/congruence/csg15.html#group178A15", "178A¹⁵")</f>
        <v/>
      </c>
      <c r="B4321" t="n">
        <v>15</v>
      </c>
      <c r="C4321" t="inlineStr"/>
      <c r="D4321" t="inlineStr">
        <is>
          <t>180</t>
        </is>
      </c>
      <c r="E4321" t="inlineStr">
        <is>
          <t>1</t>
        </is>
      </c>
      <c r="F4321" t="inlineStr">
        <is>
          <t>90</t>
        </is>
      </c>
      <c r="G4321" t="inlineStr">
        <is>
          <t>0</t>
        </is>
      </c>
      <c r="H4321" t="inlineStr">
        <is>
          <t>0</t>
        </is>
      </c>
      <c r="I4321" t="inlineStr">
        <is>
          <t>2¹, 178¹</t>
        </is>
      </c>
      <c r="J4321" t="n">
        <v>2</v>
      </c>
      <c r="K4321" t="inlineStr">
        <is>
          <t>1², 88¹</t>
        </is>
      </c>
      <c r="L4321" t="inlineStr">
        <is>
          <t>89A⁷</t>
        </is>
      </c>
      <c r="M4321" t="inlineStr"/>
      <c r="N4321" t="inlineStr">
        <is>
          <t>89A⁷, 1A⁰</t>
        </is>
      </c>
      <c r="O4321" t="inlineStr"/>
    </row>
    <row r="4322">
      <c r="A4322">
        <f>HYPERLINK("https://mathstats.uncg.edu/sites/pauli/congruence/csg15.html#group178B15", "178B¹⁵")</f>
        <v/>
      </c>
      <c r="B4322" t="n">
        <v>15</v>
      </c>
      <c r="C4322" t="inlineStr"/>
      <c r="D4322" t="inlineStr">
        <is>
          <t>180</t>
        </is>
      </c>
      <c r="E4322" t="inlineStr">
        <is>
          <t>1</t>
        </is>
      </c>
      <c r="F4322" t="inlineStr">
        <is>
          <t>90</t>
        </is>
      </c>
      <c r="G4322" t="inlineStr">
        <is>
          <t>0</t>
        </is>
      </c>
      <c r="H4322" t="inlineStr">
        <is>
          <t>0</t>
        </is>
      </c>
      <c r="I4322" t="inlineStr">
        <is>
          <t>2¹, 178¹</t>
        </is>
      </c>
      <c r="J4322" t="n">
        <v>2</v>
      </c>
      <c r="K4322" t="inlineStr">
        <is>
          <t>1², 88¹</t>
        </is>
      </c>
      <c r="L4322" t="inlineStr">
        <is>
          <t>2A⁰, 89A⁷</t>
        </is>
      </c>
      <c r="M4322" t="inlineStr"/>
      <c r="N4322" t="inlineStr">
        <is>
          <t>89A⁷, 2A⁰, 1A⁰</t>
        </is>
      </c>
      <c r="O4322" t="inlineStr"/>
    </row>
    <row r="4323">
      <c r="A4323">
        <f>HYPERLINK("https://mathstats.uncg.edu/sites/pauli/congruence/csg15.html#group179A15", "179A¹⁵")</f>
        <v/>
      </c>
      <c r="B4323" t="n">
        <v>15</v>
      </c>
      <c r="C4323" t="inlineStr">
        <is>
          <t>Γ₀(179)</t>
        </is>
      </c>
      <c r="D4323" t="inlineStr">
        <is>
          <t>180</t>
        </is>
      </c>
      <c r="E4323" t="inlineStr">
        <is>
          <t>1</t>
        </is>
      </c>
      <c r="F4323" t="inlineStr">
        <is>
          <t>180</t>
        </is>
      </c>
      <c r="G4323" t="inlineStr">
        <is>
          <t>0</t>
        </is>
      </c>
      <c r="H4323" t="inlineStr">
        <is>
          <t>0</t>
        </is>
      </c>
      <c r="I4323" t="inlineStr">
        <is>
          <t>1¹, 179¹</t>
        </is>
      </c>
      <c r="J4323" t="n">
        <v>2</v>
      </c>
      <c r="K4323" t="inlineStr">
        <is>
          <t>1², 178¹</t>
        </is>
      </c>
      <c r="L4323" t="inlineStr">
        <is>
          <t>1A⁰</t>
        </is>
      </c>
      <c r="M4323" t="inlineStr"/>
      <c r="N4323" t="inlineStr">
        <is>
          <t>1A⁰</t>
        </is>
      </c>
      <c r="O4323" t="inlineStr"/>
    </row>
    <row r="4324">
      <c r="A4324">
        <f>HYPERLINK("https://mathstats.uncg.edu/sites/pauli/congruence/csg15.html#group180A15", "180A¹⁵")</f>
        <v/>
      </c>
      <c r="B4324" t="n">
        <v>15</v>
      </c>
      <c r="C4324" t="inlineStr"/>
      <c r="D4324" t="inlineStr">
        <is>
          <t>240</t>
        </is>
      </c>
      <c r="E4324" t="inlineStr">
        <is>
          <t>1</t>
        </is>
      </c>
      <c r="F4324" t="inlineStr">
        <is>
          <t>40</t>
        </is>
      </c>
      <c r="G4324" t="inlineStr">
        <is>
          <t>0</t>
        </is>
      </c>
      <c r="H4324" t="inlineStr">
        <is>
          <t>12</t>
        </is>
      </c>
      <c r="I4324" t="inlineStr">
        <is>
          <t>20³, 180¹</t>
        </is>
      </c>
      <c r="J4324" t="n">
        <v>4</v>
      </c>
      <c r="K4324" t="inlineStr">
        <is>
          <t>2⁴, 8⁴</t>
        </is>
      </c>
      <c r="L4324" t="inlineStr">
        <is>
          <t>36B¹, 60B⁴, 90E⁷</t>
        </is>
      </c>
      <c r="M4324" t="inlineStr"/>
      <c r="N4324" t="inlineStr">
        <is>
          <t>18C⁰, 3B⁰, 90E⁷, 2A⁰, 5A⁰, 10A⁰, 6C⁰, 60B⁴, 36B¹, 30D², 15B¹, 1A⁰, 12B⁰</t>
        </is>
      </c>
      <c r="O4324" t="inlineStr"/>
    </row>
    <row r="4325">
      <c r="A4325">
        <f>HYPERLINK("https://mathstats.uncg.edu/sites/pauli/congruence/csg15.html#group180B15", "180B¹⁵")</f>
        <v/>
      </c>
      <c r="B4325" t="n">
        <v>15</v>
      </c>
      <c r="C4325" t="inlineStr"/>
      <c r="D4325" t="inlineStr">
        <is>
          <t>240</t>
        </is>
      </c>
      <c r="E4325" t="inlineStr">
        <is>
          <t>2</t>
        </is>
      </c>
      <c r="F4325" t="inlineStr">
        <is>
          <t>20</t>
        </is>
      </c>
      <c r="G4325" t="inlineStr">
        <is>
          <t>0</t>
        </is>
      </c>
      <c r="H4325" t="inlineStr">
        <is>
          <t>12</t>
        </is>
      </c>
      <c r="I4325" t="inlineStr">
        <is>
          <t>20³, 180¹</t>
        </is>
      </c>
      <c r="J4325" t="n">
        <v>4</v>
      </c>
      <c r="K4325" t="inlineStr">
        <is>
          <t>2², 4¹, 8⁴</t>
        </is>
      </c>
      <c r="L4325" t="inlineStr">
        <is>
          <t>60B⁴, 90F⁷</t>
        </is>
      </c>
      <c r="M4325" t="inlineStr"/>
      <c r="N4325" t="inlineStr">
        <is>
          <t>3B⁰, 2A⁰, 45C³, 5A⁰, 10A⁰, 30D², 60B⁴, 6C⁰, 15B¹, 1A⁰, 90F⁷, 12B⁰</t>
        </is>
      </c>
      <c r="O4325" t="inlineStr"/>
    </row>
    <row r="4326">
      <c r="A4326">
        <f>HYPERLINK("https://mathstats.uncg.edu/sites/pauli/congruence/csg15.html#group182A15", "182A¹⁵")</f>
        <v/>
      </c>
      <c r="B4326" t="n">
        <v>15</v>
      </c>
      <c r="C4326" t="inlineStr"/>
      <c r="D4326" t="inlineStr">
        <is>
          <t>196</t>
        </is>
      </c>
      <c r="E4326" t="inlineStr">
        <is>
          <t>2</t>
        </is>
      </c>
      <c r="F4326" t="inlineStr">
        <is>
          <t>98</t>
        </is>
      </c>
      <c r="G4326" t="inlineStr">
        <is>
          <t>0</t>
        </is>
      </c>
      <c r="H4326" t="inlineStr">
        <is>
          <t>4</t>
        </is>
      </c>
      <c r="I4326" t="inlineStr">
        <is>
          <t>14¹, 182¹</t>
        </is>
      </c>
      <c r="J4326" t="n">
        <v>2</v>
      </c>
      <c r="K4326" t="inlineStr">
        <is>
          <t>2², 6⁴, 24¹, 72²</t>
        </is>
      </c>
      <c r="L4326" t="inlineStr">
        <is>
          <t>14A¹, 26A¹, 91A⁶</t>
        </is>
      </c>
      <c r="M4326" t="inlineStr"/>
      <c r="N4326" t="inlineStr">
        <is>
          <t>2A⁰, 26A¹, 14A¹, 13A⁰, 91A⁶, 1A⁰, 7A⁰</t>
        </is>
      </c>
      <c r="O4326" t="inlineStr"/>
    </row>
    <row r="4327">
      <c r="A4327">
        <f>HYPERLINK("https://mathstats.uncg.edu/sites/pauli/congruence/csg15.html#group182B15", "182B¹⁵")</f>
        <v/>
      </c>
      <c r="B4327" t="n">
        <v>15</v>
      </c>
      <c r="C4327" t="inlineStr"/>
      <c r="D4327" t="inlineStr">
        <is>
          <t>224</t>
        </is>
      </c>
      <c r="E4327" t="inlineStr">
        <is>
          <t>1</t>
        </is>
      </c>
      <c r="F4327" t="inlineStr">
        <is>
          <t>112</t>
        </is>
      </c>
      <c r="G4327" t="inlineStr">
        <is>
          <t>0</t>
        </is>
      </c>
      <c r="H4327" t="inlineStr">
        <is>
          <t>8</t>
        </is>
      </c>
      <c r="I4327" t="inlineStr">
        <is>
          <t>2¹, 14¹, 26¹, 182¹</t>
        </is>
      </c>
      <c r="J4327" t="n">
        <v>4</v>
      </c>
      <c r="K4327" t="inlineStr">
        <is>
          <t>1⁴, 6², 12², 72¹</t>
        </is>
      </c>
      <c r="L4327" t="inlineStr">
        <is>
          <t>26A⁰, 91A⁷</t>
        </is>
      </c>
      <c r="M4327" t="inlineStr"/>
      <c r="N4327" t="inlineStr">
        <is>
          <t>13A⁰, 26A⁰, 91A⁷, 1A⁰, 7B⁰</t>
        </is>
      </c>
      <c r="O4327" t="inlineStr"/>
    </row>
    <row r="4328">
      <c r="A4328">
        <f>HYPERLINK("https://mathstats.uncg.edu/sites/pauli/congruence/csg15.html#group182C15", "182C¹⁵")</f>
        <v/>
      </c>
      <c r="B4328" t="n">
        <v>15</v>
      </c>
      <c r="C4328" t="inlineStr"/>
      <c r="D4328" t="inlineStr">
        <is>
          <t>224</t>
        </is>
      </c>
      <c r="E4328" t="inlineStr">
        <is>
          <t>1</t>
        </is>
      </c>
      <c r="F4328" t="inlineStr">
        <is>
          <t>112</t>
        </is>
      </c>
      <c r="G4328" t="inlineStr">
        <is>
          <t>0</t>
        </is>
      </c>
      <c r="H4328" t="inlineStr">
        <is>
          <t>8</t>
        </is>
      </c>
      <c r="I4328" t="inlineStr">
        <is>
          <t>2¹, 14¹, 26¹, 182¹</t>
        </is>
      </c>
      <c r="J4328" t="n">
        <v>4</v>
      </c>
      <c r="K4328" t="inlineStr">
        <is>
          <t>1⁴, 6², 12², 72¹</t>
        </is>
      </c>
      <c r="L4328" t="inlineStr">
        <is>
          <t>14B⁰, 26A¹, 91A⁷</t>
        </is>
      </c>
      <c r="M4328" t="inlineStr"/>
      <c r="N4328" t="inlineStr">
        <is>
          <t>2A⁰, 26A¹, 7B⁰, 14B⁰, 13A⁰, 91A⁷, 1A⁰</t>
        </is>
      </c>
      <c r="O4328" t="inlineStr"/>
    </row>
    <row r="4329">
      <c r="A4329">
        <f>HYPERLINK("https://mathstats.uncg.edu/sites/pauli/congruence/csg15.html#group186A15", "186A¹⁵")</f>
        <v/>
      </c>
      <c r="B4329" t="n">
        <v>15</v>
      </c>
      <c r="C4329" t="inlineStr"/>
      <c r="D4329" t="inlineStr">
        <is>
          <t>192</t>
        </is>
      </c>
      <c r="E4329" t="inlineStr">
        <is>
          <t>2</t>
        </is>
      </c>
      <c r="F4329" t="inlineStr">
        <is>
          <t>64</t>
        </is>
      </c>
      <c r="G4329" t="inlineStr">
        <is>
          <t>0</t>
        </is>
      </c>
      <c r="H4329" t="inlineStr">
        <is>
          <t>3</t>
        </is>
      </c>
      <c r="I4329" t="inlineStr">
        <is>
          <t>6¹, 186¹</t>
        </is>
      </c>
      <c r="J4329" t="n">
        <v>2</v>
      </c>
      <c r="K4329" t="inlineStr">
        <is>
          <t>2⁴, 60²</t>
        </is>
      </c>
      <c r="L4329" t="inlineStr">
        <is>
          <t>62A⁴</t>
        </is>
      </c>
      <c r="M4329" t="inlineStr"/>
      <c r="N4329" t="inlineStr">
        <is>
          <t>2A⁰, 31A², 1A⁰, 62A⁴</t>
        </is>
      </c>
      <c r="O4329" t="inlineStr"/>
    </row>
    <row r="4330">
      <c r="A4330">
        <f>HYPERLINK("https://mathstats.uncg.edu/sites/pauli/congruence/csg15.html#group187A15", "187A¹⁵")</f>
        <v/>
      </c>
      <c r="B4330" t="n">
        <v>15</v>
      </c>
      <c r="C4330" t="inlineStr"/>
      <c r="D4330" t="inlineStr">
        <is>
          <t>198</t>
        </is>
      </c>
      <c r="E4330" t="inlineStr">
        <is>
          <t>2</t>
        </is>
      </c>
      <c r="F4330" t="inlineStr">
        <is>
          <t>198</t>
        </is>
      </c>
      <c r="G4330" t="inlineStr">
        <is>
          <t>6</t>
        </is>
      </c>
      <c r="H4330" t="inlineStr">
        <is>
          <t>0</t>
        </is>
      </c>
      <c r="I4330" t="inlineStr">
        <is>
          <t>11¹, 187¹</t>
        </is>
      </c>
      <c r="J4330" t="n">
        <v>2</v>
      </c>
      <c r="K4330" t="inlineStr">
        <is>
          <t>2², 10⁴, 32¹, 160²</t>
        </is>
      </c>
      <c r="L4330" t="inlineStr">
        <is>
          <t>11A⁰, 17A¹</t>
        </is>
      </c>
      <c r="M4330" t="inlineStr"/>
      <c r="N4330" t="inlineStr">
        <is>
          <t>11A⁰, 1A⁰, 17A¹</t>
        </is>
      </c>
      <c r="O4330" t="inlineStr"/>
    </row>
    <row r="4331">
      <c r="A4331">
        <f>HYPERLINK("https://mathstats.uncg.edu/sites/pauli/congruence/csg15.html#group193A15", "193A¹⁵")</f>
        <v/>
      </c>
      <c r="B4331" t="n">
        <v>15</v>
      </c>
      <c r="C4331" t="inlineStr">
        <is>
          <t>Γ₀(193)</t>
        </is>
      </c>
      <c r="D4331" t="inlineStr">
        <is>
          <t>194</t>
        </is>
      </c>
      <c r="E4331" t="inlineStr">
        <is>
          <t>1</t>
        </is>
      </c>
      <c r="F4331" t="inlineStr">
        <is>
          <t>194</t>
        </is>
      </c>
      <c r="G4331" t="inlineStr">
        <is>
          <t>2</t>
        </is>
      </c>
      <c r="H4331" t="inlineStr">
        <is>
          <t>2</t>
        </is>
      </c>
      <c r="I4331" t="inlineStr">
        <is>
          <t>1¹, 193¹</t>
        </is>
      </c>
      <c r="J4331" t="n">
        <v>2</v>
      </c>
      <c r="K4331" t="inlineStr">
        <is>
          <t>1², 192¹</t>
        </is>
      </c>
      <c r="L4331" t="inlineStr">
        <is>
          <t>1A⁰</t>
        </is>
      </c>
      <c r="M4331" t="inlineStr"/>
      <c r="N4331" t="inlineStr">
        <is>
          <t>1A⁰</t>
        </is>
      </c>
      <c r="O4331" t="inlineStr"/>
    </row>
    <row r="4332">
      <c r="A4332">
        <f>HYPERLINK("https://mathstats.uncg.edu/sites/pauli/congruence/csg15.html#group194A15", "194A¹⁵")</f>
        <v/>
      </c>
      <c r="B4332" t="n">
        <v>15</v>
      </c>
      <c r="C4332" t="inlineStr"/>
      <c r="D4332" t="inlineStr">
        <is>
          <t>196</t>
        </is>
      </c>
      <c r="E4332" t="inlineStr">
        <is>
          <t>1</t>
        </is>
      </c>
      <c r="F4332" t="inlineStr">
        <is>
          <t>98</t>
        </is>
      </c>
      <c r="G4332" t="inlineStr">
        <is>
          <t>0</t>
        </is>
      </c>
      <c r="H4332" t="inlineStr">
        <is>
          <t>4</t>
        </is>
      </c>
      <c r="I4332" t="inlineStr">
        <is>
          <t>2¹, 194¹</t>
        </is>
      </c>
      <c r="J4332" t="n">
        <v>2</v>
      </c>
      <c r="K4332" t="inlineStr">
        <is>
          <t>1², 96¹</t>
        </is>
      </c>
      <c r="L4332" t="inlineStr">
        <is>
          <t>97A⁷</t>
        </is>
      </c>
      <c r="M4332" t="inlineStr"/>
      <c r="N4332" t="inlineStr">
        <is>
          <t>1A⁰, 97A⁷</t>
        </is>
      </c>
      <c r="O4332" t="inlineStr"/>
    </row>
    <row r="4333">
      <c r="A4333">
        <f>HYPERLINK("https://mathstats.uncg.edu/sites/pauli/congruence/csg15.html#group194B15", "194B¹⁵")</f>
        <v/>
      </c>
      <c r="B4333" t="n">
        <v>15</v>
      </c>
      <c r="C4333" t="inlineStr"/>
      <c r="D4333" t="inlineStr">
        <is>
          <t>196</t>
        </is>
      </c>
      <c r="E4333" t="inlineStr">
        <is>
          <t>1</t>
        </is>
      </c>
      <c r="F4333" t="inlineStr">
        <is>
          <t>98</t>
        </is>
      </c>
      <c r="G4333" t="inlineStr">
        <is>
          <t>0</t>
        </is>
      </c>
      <c r="H4333" t="inlineStr">
        <is>
          <t>4</t>
        </is>
      </c>
      <c r="I4333" t="inlineStr">
        <is>
          <t>2¹, 194¹</t>
        </is>
      </c>
      <c r="J4333" t="n">
        <v>2</v>
      </c>
      <c r="K4333" t="inlineStr">
        <is>
          <t>1², 96¹</t>
        </is>
      </c>
      <c r="L4333" t="inlineStr">
        <is>
          <t>2A⁰, 97A⁷</t>
        </is>
      </c>
      <c r="M4333" t="inlineStr"/>
      <c r="N4333" t="inlineStr">
        <is>
          <t>2A⁰, 1A⁰, 97A⁷</t>
        </is>
      </c>
      <c r="O4333" t="inlineStr"/>
    </row>
    <row r="4334">
      <c r="A4334">
        <f>HYPERLINK("https://mathstats.uncg.edu/sites/pauli/congruence/csg15.html#group195A15", "195A¹⁵")</f>
        <v/>
      </c>
      <c r="B4334" t="n">
        <v>15</v>
      </c>
      <c r="C4334" t="inlineStr"/>
      <c r="D4334" t="inlineStr">
        <is>
          <t>210</t>
        </is>
      </c>
      <c r="E4334" t="inlineStr">
        <is>
          <t>2</t>
        </is>
      </c>
      <c r="F4334" t="inlineStr">
        <is>
          <t>70</t>
        </is>
      </c>
      <c r="G4334" t="inlineStr">
        <is>
          <t>6</t>
        </is>
      </c>
      <c r="H4334" t="inlineStr">
        <is>
          <t>3</t>
        </is>
      </c>
      <c r="I4334" t="inlineStr">
        <is>
          <t>15¹, 195¹</t>
        </is>
      </c>
      <c r="J4334" t="n">
        <v>2</v>
      </c>
      <c r="K4334" t="inlineStr">
        <is>
          <t>4², 8⁴, 48¹, 96²</t>
        </is>
      </c>
      <c r="L4334" t="inlineStr">
        <is>
          <t>65A⁴</t>
        </is>
      </c>
      <c r="M4334" t="inlineStr"/>
      <c r="N4334" t="inlineStr">
        <is>
          <t>13A⁰, 1A⁰, 65A⁴, 5A⁰</t>
        </is>
      </c>
      <c r="O4334" t="inlineStr"/>
    </row>
    <row r="4335">
      <c r="A4335">
        <f>HYPERLINK("https://mathstats.uncg.edu/sites/pauli/congruence/csg15.html#group195B15", "195B¹⁵")</f>
        <v/>
      </c>
      <c r="B4335" t="n">
        <v>15</v>
      </c>
      <c r="C4335" t="inlineStr"/>
      <c r="D4335" t="inlineStr">
        <is>
          <t>210</t>
        </is>
      </c>
      <c r="E4335" t="inlineStr">
        <is>
          <t>2</t>
        </is>
      </c>
      <c r="F4335" t="inlineStr">
        <is>
          <t>70</t>
        </is>
      </c>
      <c r="G4335" t="inlineStr">
        <is>
          <t>6</t>
        </is>
      </c>
      <c r="H4335" t="inlineStr">
        <is>
          <t>3</t>
        </is>
      </c>
      <c r="I4335" t="inlineStr">
        <is>
          <t>15¹, 195¹</t>
        </is>
      </c>
      <c r="J4335" t="n">
        <v>2</v>
      </c>
      <c r="K4335" t="inlineStr">
        <is>
          <t>4², 8⁴, 48¹, 96²</t>
        </is>
      </c>
      <c r="L4335" t="inlineStr">
        <is>
          <t>65A⁴</t>
        </is>
      </c>
      <c r="M4335" t="inlineStr"/>
      <c r="N4335" t="inlineStr">
        <is>
          <t>13A⁰, 1A⁰, 65A⁴, 5A⁰</t>
        </is>
      </c>
      <c r="O4335" t="inlineStr"/>
    </row>
    <row r="4336">
      <c r="A4336">
        <f>HYPERLINK("https://mathstats.uncg.edu/sites/pauli/congruence/csg15.html#group196A15", "196A¹⁵")</f>
        <v/>
      </c>
      <c r="B4336" t="n">
        <v>15</v>
      </c>
      <c r="C4336" t="inlineStr"/>
      <c r="D4336" t="inlineStr">
        <is>
          <t>224</t>
        </is>
      </c>
      <c r="E4336" t="inlineStr">
        <is>
          <t>1</t>
        </is>
      </c>
      <c r="F4336" t="inlineStr">
        <is>
          <t>224</t>
        </is>
      </c>
      <c r="G4336" t="inlineStr">
        <is>
          <t>0</t>
        </is>
      </c>
      <c r="H4336" t="inlineStr">
        <is>
          <t>2</t>
        </is>
      </c>
      <c r="I4336" t="inlineStr">
        <is>
          <t>4⁷, 196¹</t>
        </is>
      </c>
      <c r="J4336" t="n">
        <v>8</v>
      </c>
      <c r="K4336" t="inlineStr">
        <is>
          <t>2⁴, 12⁴, 84²</t>
        </is>
      </c>
      <c r="L4336" t="inlineStr">
        <is>
          <t>49A¹, 28A²</t>
        </is>
      </c>
      <c r="M4336" t="inlineStr"/>
      <c r="N4336" t="inlineStr">
        <is>
          <t>49A¹, 4A⁰, 1A⁰, 7B⁰, 28A²</t>
        </is>
      </c>
      <c r="O4336" t="inlineStr"/>
    </row>
    <row r="4337">
      <c r="A4337">
        <f>HYPERLINK("https://mathstats.uncg.edu/sites/pauli/congruence/csg15.html#group200A15", "200A¹⁵")</f>
        <v/>
      </c>
      <c r="B4337" t="n">
        <v>15</v>
      </c>
      <c r="C4337" t="inlineStr"/>
      <c r="D4337" t="inlineStr">
        <is>
          <t>360</t>
        </is>
      </c>
      <c r="E4337" t="inlineStr">
        <is>
          <t>2</t>
        </is>
      </c>
      <c r="F4337" t="inlineStr">
        <is>
          <t>90</t>
        </is>
      </c>
      <c r="G4337" t="inlineStr">
        <is>
          <t>4</t>
        </is>
      </c>
      <c r="H4337" t="inlineStr">
        <is>
          <t>0</t>
        </is>
      </c>
      <c r="I4337" t="inlineStr">
        <is>
          <t>1²⁰, 8⁵, 25⁴, 200¹</t>
        </is>
      </c>
      <c r="J4337" t="n">
        <v>30</v>
      </c>
      <c r="K4337" t="inlineStr">
        <is>
          <t>2⁶, 8⁶, 40³</t>
        </is>
      </c>
      <c r="L4337" t="inlineStr">
        <is>
          <t>40A¹, 100A⁶</t>
        </is>
      </c>
      <c r="M4337" t="inlineStr"/>
      <c r="N4337" t="inlineStr">
        <is>
          <t>20A⁰, 100A⁶, 40A¹, 25A⁰, 10C⁰, 5B⁰, 2B⁰, 50B², 1A⁰</t>
        </is>
      </c>
      <c r="O4337" t="inlineStr"/>
    </row>
    <row r="4338">
      <c r="A4338">
        <f>HYPERLINK("https://mathstats.uncg.edu/sites/pauli/congruence/csg15.html#group204A15", "204A¹⁵")</f>
        <v/>
      </c>
      <c r="B4338" t="n">
        <v>15</v>
      </c>
      <c r="C4338" t="inlineStr"/>
      <c r="D4338" t="inlineStr">
        <is>
          <t>216</t>
        </is>
      </c>
      <c r="E4338" t="inlineStr">
        <is>
          <t>1</t>
        </is>
      </c>
      <c r="F4338" t="inlineStr">
        <is>
          <t>72</t>
        </is>
      </c>
      <c r="G4338" t="inlineStr">
        <is>
          <t>12</t>
        </is>
      </c>
      <c r="H4338" t="inlineStr">
        <is>
          <t>0</t>
        </is>
      </c>
      <c r="I4338" t="inlineStr">
        <is>
          <t>12¹, 204¹</t>
        </is>
      </c>
      <c r="J4338" t="n">
        <v>2</v>
      </c>
      <c r="K4338" t="inlineStr">
        <is>
          <t>2⁴, 32²</t>
        </is>
      </c>
      <c r="L4338" t="inlineStr">
        <is>
          <t>12A⁰, 51A³, 68A⁵</t>
        </is>
      </c>
      <c r="M4338" t="inlineStr"/>
      <c r="N4338" t="inlineStr">
        <is>
          <t>12A⁰, 51A³, 4A⁰, 68A⁵, 17A¹, 3A⁰, 1A⁰</t>
        </is>
      </c>
      <c r="O4338" t="inlineStr"/>
    </row>
    <row r="4339">
      <c r="A4339">
        <f>HYPERLINK("https://mathstats.uncg.edu/sites/pauli/congruence/csg15.html#group208A15", "208A¹⁵")</f>
        <v/>
      </c>
      <c r="B4339" t="n">
        <v>15</v>
      </c>
      <c r="C4339" t="inlineStr"/>
      <c r="D4339" t="inlineStr">
        <is>
          <t>224</t>
        </is>
      </c>
      <c r="E4339" t="inlineStr">
        <is>
          <t>2</t>
        </is>
      </c>
      <c r="F4339" t="inlineStr">
        <is>
          <t>112</t>
        </is>
      </c>
      <c r="G4339" t="inlineStr">
        <is>
          <t>4</t>
        </is>
      </c>
      <c r="H4339" t="inlineStr">
        <is>
          <t>8</t>
        </is>
      </c>
      <c r="I4339" t="inlineStr">
        <is>
          <t>16¹, 208¹</t>
        </is>
      </c>
      <c r="J4339" t="n">
        <v>2</v>
      </c>
      <c r="K4339" t="inlineStr">
        <is>
          <t>8⁴, 96²</t>
        </is>
      </c>
      <c r="L4339" t="inlineStr">
        <is>
          <t>104B⁷</t>
        </is>
      </c>
      <c r="M4339" t="inlineStr"/>
      <c r="N4339" t="inlineStr">
        <is>
          <t>8A⁰, 13A⁰, 52A³, 104B⁷, 1A⁰, 4A⁰</t>
        </is>
      </c>
      <c r="O4339" t="inlineStr"/>
    </row>
    <row r="4340">
      <c r="A4340">
        <f>HYPERLINK("https://mathstats.uncg.edu/sites/pauli/congruence/csg15.html#group208B15", "208B¹⁵")</f>
        <v/>
      </c>
      <c r="B4340" t="n">
        <v>15</v>
      </c>
      <c r="C4340" t="inlineStr"/>
      <c r="D4340" t="inlineStr">
        <is>
          <t>224</t>
        </is>
      </c>
      <c r="E4340" t="inlineStr">
        <is>
          <t>2</t>
        </is>
      </c>
      <c r="F4340" t="inlineStr">
        <is>
          <t>112</t>
        </is>
      </c>
      <c r="G4340" t="inlineStr">
        <is>
          <t>4</t>
        </is>
      </c>
      <c r="H4340" t="inlineStr">
        <is>
          <t>8</t>
        </is>
      </c>
      <c r="I4340" t="inlineStr">
        <is>
          <t>16¹, 208¹</t>
        </is>
      </c>
      <c r="J4340" t="n">
        <v>2</v>
      </c>
      <c r="K4340" t="inlineStr">
        <is>
          <t>8⁴, 96²</t>
        </is>
      </c>
      <c r="L4340" t="inlineStr">
        <is>
          <t>16A⁰, 104B⁷</t>
        </is>
      </c>
      <c r="M4340" t="inlineStr"/>
      <c r="N4340" t="inlineStr">
        <is>
          <t>8A⁰, 13A⁰, 16A⁰, 52A³, 104B⁷, 1A⁰, 4A⁰</t>
        </is>
      </c>
      <c r="O4340" t="inlineStr"/>
    </row>
    <row r="4341">
      <c r="A4341">
        <f>HYPERLINK("https://mathstats.uncg.edu/sites/pauli/congruence/csg15.html#group210A15", "210A¹⁵")</f>
        <v/>
      </c>
      <c r="B4341" t="n">
        <v>15</v>
      </c>
      <c r="C4341" t="inlineStr"/>
      <c r="D4341" t="inlineStr">
        <is>
          <t>210</t>
        </is>
      </c>
      <c r="E4341" t="inlineStr">
        <is>
          <t>2</t>
        </is>
      </c>
      <c r="F4341" t="inlineStr">
        <is>
          <t>35</t>
        </is>
      </c>
      <c r="G4341" t="inlineStr">
        <is>
          <t>12</t>
        </is>
      </c>
      <c r="H4341" t="inlineStr">
        <is>
          <t>0</t>
        </is>
      </c>
      <c r="I4341" t="inlineStr">
        <is>
          <t>210¹</t>
        </is>
      </c>
      <c r="J4341" t="n">
        <v>1</v>
      </c>
      <c r="K4341" t="inlineStr">
        <is>
          <t>2¹, 6², 8¹, 24²</t>
        </is>
      </c>
      <c r="L4341" t="inlineStr">
        <is>
          <t>42A¹, 70A⁴, 105A⁷</t>
        </is>
      </c>
      <c r="M4341" t="inlineStr"/>
      <c r="N4341" t="inlineStr">
        <is>
          <t>14A⁰, 5A⁰, 70A⁴, 42A¹, 21A⁰, 35A², 3A⁰, 1A⁰, 105A⁷, 15A¹, 7A⁰</t>
        </is>
      </c>
      <c r="O4341" t="inlineStr"/>
    </row>
    <row r="4342">
      <c r="A4342">
        <f>HYPERLINK("https://mathstats.uncg.edu/sites/pauli/congruence/csg15.html#group210B15", "210B¹⁵")</f>
        <v/>
      </c>
      <c r="B4342" t="n">
        <v>15</v>
      </c>
      <c r="C4342" t="inlineStr"/>
      <c r="D4342" t="inlineStr">
        <is>
          <t>210</t>
        </is>
      </c>
      <c r="E4342" t="inlineStr">
        <is>
          <t>2</t>
        </is>
      </c>
      <c r="F4342" t="inlineStr">
        <is>
          <t>105</t>
        </is>
      </c>
      <c r="G4342" t="inlineStr">
        <is>
          <t>12</t>
        </is>
      </c>
      <c r="H4342" t="inlineStr">
        <is>
          <t>0</t>
        </is>
      </c>
      <c r="I4342" t="inlineStr">
        <is>
          <t>210¹</t>
        </is>
      </c>
      <c r="J4342" t="n">
        <v>1</v>
      </c>
      <c r="K4342" t="inlineStr">
        <is>
          <t>2¹, 4¹, 6², 8¹, 12², 16¹, 24², 48²</t>
        </is>
      </c>
      <c r="L4342" t="inlineStr">
        <is>
          <t>42B¹, 30A², 105A⁷</t>
        </is>
      </c>
      <c r="M4342" t="inlineStr"/>
      <c r="N4342" t="inlineStr">
        <is>
          <t>5A⁰, 30A², 6B⁰, 21A⁰, 35A², 42B¹, 3A⁰, 1A⁰, 105A⁷, 15A¹, 7A⁰</t>
        </is>
      </c>
      <c r="O4342" t="inlineStr"/>
    </row>
    <row r="4343">
      <c r="A4343">
        <f>HYPERLINK("https://mathstats.uncg.edu/sites/pauli/congruence/csg15.html#group210C15", "210C¹⁵")</f>
        <v/>
      </c>
      <c r="B4343" t="n">
        <v>15</v>
      </c>
      <c r="C4343" t="inlineStr"/>
      <c r="D4343" t="inlineStr">
        <is>
          <t>252</t>
        </is>
      </c>
      <c r="E4343" t="inlineStr">
        <is>
          <t>2</t>
        </is>
      </c>
      <c r="F4343" t="inlineStr">
        <is>
          <t>42</t>
        </is>
      </c>
      <c r="G4343" t="inlineStr">
        <is>
          <t>24</t>
        </is>
      </c>
      <c r="H4343" t="inlineStr">
        <is>
          <t>0</t>
        </is>
      </c>
      <c r="I4343" t="inlineStr">
        <is>
          <t>42¹, 210¹</t>
        </is>
      </c>
      <c r="J4343" t="n">
        <v>2</v>
      </c>
      <c r="K4343" t="inlineStr">
        <is>
          <t>2², 6⁴, 8¹, 24²</t>
        </is>
      </c>
      <c r="L4343" t="inlineStr">
        <is>
          <t>42A¹, 70B⁵, 105C⁶</t>
        </is>
      </c>
      <c r="M4343" t="inlineStr"/>
      <c r="N4343" t="inlineStr">
        <is>
          <t>35C², 14A⁰, 15B⁰, 42A¹, 105C⁶, 5B⁰, 21A⁰, 70B⁵, 3A⁰, 1A⁰, 7A⁰</t>
        </is>
      </c>
      <c r="O4343" t="inlineStr"/>
    </row>
    <row r="4344">
      <c r="A4344">
        <f>HYPERLINK("https://mathstats.uncg.edu/sites/pauli/congruence/csg15.html#group210D15", "210D¹⁵")</f>
        <v/>
      </c>
      <c r="B4344" t="n">
        <v>15</v>
      </c>
      <c r="C4344" t="inlineStr"/>
      <c r="D4344" t="inlineStr">
        <is>
          <t>252</t>
        </is>
      </c>
      <c r="E4344" t="inlineStr">
        <is>
          <t>2</t>
        </is>
      </c>
      <c r="F4344" t="inlineStr">
        <is>
          <t>126</t>
        </is>
      </c>
      <c r="G4344" t="inlineStr">
        <is>
          <t>24</t>
        </is>
      </c>
      <c r="H4344" t="inlineStr">
        <is>
          <t>0</t>
        </is>
      </c>
      <c r="I4344" t="inlineStr">
        <is>
          <t>42¹, 210¹</t>
        </is>
      </c>
      <c r="J4344" t="n">
        <v>2</v>
      </c>
      <c r="K4344" t="inlineStr">
        <is>
          <t>2², 4², 6⁴, 8¹, 12⁴, 16¹, 24², 48²</t>
        </is>
      </c>
      <c r="L4344" t="inlineStr">
        <is>
          <t>30C¹, 42B¹, 105C⁶</t>
        </is>
      </c>
      <c r="M4344" t="inlineStr"/>
      <c r="N4344" t="inlineStr">
        <is>
          <t>35C², 15B⁰, 6B⁰, 105C⁶, 7A⁰, 5B⁰, 21A⁰, 42B¹, 3A⁰, 1A⁰, 30C¹</t>
        </is>
      </c>
      <c r="O4344" t="inlineStr"/>
    </row>
    <row r="4345">
      <c r="A4345">
        <f>HYPERLINK("https://mathstats.uncg.edu/sites/pauli/congruence/csg15.html#group240A15", "240A¹⁵")</f>
        <v/>
      </c>
      <c r="B4345" t="n">
        <v>15</v>
      </c>
      <c r="C4345" t="inlineStr"/>
      <c r="D4345" t="inlineStr">
        <is>
          <t>240</t>
        </is>
      </c>
      <c r="E4345" t="inlineStr">
        <is>
          <t>2</t>
        </is>
      </c>
      <c r="F4345" t="inlineStr">
        <is>
          <t>40</t>
        </is>
      </c>
      <c r="G4345" t="inlineStr">
        <is>
          <t>6</t>
        </is>
      </c>
      <c r="H4345" t="inlineStr">
        <is>
          <t>12</t>
        </is>
      </c>
      <c r="I4345" t="inlineStr">
        <is>
          <t>240¹</t>
        </is>
      </c>
      <c r="J4345" t="n">
        <v>1</v>
      </c>
      <c r="K4345" t="inlineStr">
        <is>
          <t>16², 64²</t>
        </is>
      </c>
      <c r="L4345" t="inlineStr">
        <is>
          <t>80A⁴, 120A⁷</t>
        </is>
      </c>
      <c r="M4345" t="inlineStr"/>
      <c r="N4345" t="inlineStr">
        <is>
          <t>120A⁷, 5A⁰, 60A³, 80A⁴, 16A⁰, 4A⁰, 8A⁰, 20A¹, 1A⁰, 40A², 15A⁰</t>
        </is>
      </c>
      <c r="O4345" t="inlineStr"/>
    </row>
    <row r="4346">
      <c r="A4346">
        <f>HYPERLINK("https://mathstats.uncg.edu/sites/pauli/congruence/csg15.html#group240B15", "240B¹⁵")</f>
        <v/>
      </c>
      <c r="B4346" t="n">
        <v>15</v>
      </c>
      <c r="C4346" t="inlineStr"/>
      <c r="D4346" t="inlineStr">
        <is>
          <t>240</t>
        </is>
      </c>
      <c r="E4346" t="inlineStr">
        <is>
          <t>2</t>
        </is>
      </c>
      <c r="F4346" t="inlineStr">
        <is>
          <t>40</t>
        </is>
      </c>
      <c r="G4346" t="inlineStr">
        <is>
          <t>6</t>
        </is>
      </c>
      <c r="H4346" t="inlineStr">
        <is>
          <t>12</t>
        </is>
      </c>
      <c r="I4346" t="inlineStr">
        <is>
          <t>240¹</t>
        </is>
      </c>
      <c r="J4346" t="n">
        <v>1</v>
      </c>
      <c r="K4346" t="inlineStr">
        <is>
          <t>16², 64²</t>
        </is>
      </c>
      <c r="L4346" t="inlineStr">
        <is>
          <t>80A⁴, 120B⁷</t>
        </is>
      </c>
      <c r="M4346" t="inlineStr"/>
      <c r="N4346" t="inlineStr">
        <is>
          <t>5A⁰, 60A³, 80A⁴, 16A⁰, 120B⁷, 4A⁰, 8A⁰, 20A¹, 1A⁰, 40A², 15A⁰</t>
        </is>
      </c>
      <c r="O4346" t="inlineStr"/>
    </row>
    <row r="4347">
      <c r="A4347">
        <f>HYPERLINK("https://mathstats.uncg.edu/sites/pauli/congruence/csg16.html#group13A16", "13A¹⁶")</f>
        <v/>
      </c>
      <c r="B4347" t="n">
        <v>16</v>
      </c>
      <c r="C4347" t="inlineStr"/>
      <c r="D4347" t="inlineStr">
        <is>
          <t>364</t>
        </is>
      </c>
      <c r="E4347" t="inlineStr">
        <is>
          <t>1</t>
        </is>
      </c>
      <c r="F4347" t="inlineStr">
        <is>
          <t>91</t>
        </is>
      </c>
      <c r="G4347" t="inlineStr">
        <is>
          <t>0</t>
        </is>
      </c>
      <c r="H4347" t="inlineStr">
        <is>
          <t>4</t>
        </is>
      </c>
      <c r="I4347" t="inlineStr">
        <is>
          <t>13²⁸</t>
        </is>
      </c>
      <c r="J4347" t="n">
        <v>28</v>
      </c>
      <c r="K4347" t="inlineStr">
        <is>
          <t>1¹, 6¹, 12⁷</t>
        </is>
      </c>
      <c r="L4347" t="inlineStr">
        <is>
          <t>13B⁰, 13B³, 13A⁷, 13B⁷, 13B⁸</t>
        </is>
      </c>
      <c r="M4347" t="inlineStr"/>
      <c r="N4347" t="inlineStr">
        <is>
          <t>13B⁷, 13B⁸, 13A⁷, 13B³, 13A⁰, 13C³, 13B⁰, 1A⁰</t>
        </is>
      </c>
      <c r="O4347" t="inlineStr"/>
    </row>
    <row r="4348">
      <c r="A4348">
        <f>HYPERLINK("https://mathstats.uncg.edu/sites/pauli/congruence/csg16.html#group15A16", "15A¹⁶")</f>
        <v/>
      </c>
      <c r="B4348" t="n">
        <v>16</v>
      </c>
      <c r="C4348" t="inlineStr"/>
      <c r="D4348" t="inlineStr">
        <is>
          <t>360</t>
        </is>
      </c>
      <c r="E4348" t="inlineStr">
        <is>
          <t>2</t>
        </is>
      </c>
      <c r="F4348" t="inlineStr">
        <is>
          <t>60</t>
        </is>
      </c>
      <c r="G4348" t="inlineStr">
        <is>
          <t>12</t>
        </is>
      </c>
      <c r="H4348" t="inlineStr">
        <is>
          <t>0</t>
        </is>
      </c>
      <c r="I4348" t="inlineStr">
        <is>
          <t>15²⁴</t>
        </is>
      </c>
      <c r="J4348" t="n">
        <v>24</v>
      </c>
      <c r="K4348" t="inlineStr">
        <is>
          <t>8¹⁵</t>
        </is>
      </c>
      <c r="L4348" t="inlineStr">
        <is>
          <t>15E⁴, 15C⁷</t>
        </is>
      </c>
      <c r="M4348" t="inlineStr"/>
      <c r="N4348" t="inlineStr">
        <is>
          <t>15C⁷, 15E², 5A⁰, 15E⁴, 15F¹, 5E⁰, 15H³, 3A⁰, 1A⁰, 15A¹, 15A⁰</t>
        </is>
      </c>
      <c r="O4348" t="inlineStr"/>
    </row>
    <row r="4349">
      <c r="A4349">
        <f>HYPERLINK("https://mathstats.uncg.edu/sites/pauli/congruence/csg16.html#group18A16", "18A¹⁶")</f>
        <v/>
      </c>
      <c r="B4349" t="n">
        <v>16</v>
      </c>
      <c r="C4349" t="inlineStr"/>
      <c r="D4349" t="inlineStr">
        <is>
          <t>324</t>
        </is>
      </c>
      <c r="E4349" t="inlineStr">
        <is>
          <t>1</t>
        </is>
      </c>
      <c r="F4349" t="inlineStr">
        <is>
          <t>9</t>
        </is>
      </c>
      <c r="G4349" t="inlineStr">
        <is>
          <t>0</t>
        </is>
      </c>
      <c r="H4349" t="inlineStr">
        <is>
          <t>0</t>
        </is>
      </c>
      <c r="I4349" t="inlineStr">
        <is>
          <t>9¹², 18¹²</t>
        </is>
      </c>
      <c r="J4349" t="n">
        <v>24</v>
      </c>
      <c r="K4349" t="inlineStr">
        <is>
          <t>1³, 2³</t>
        </is>
      </c>
      <c r="L4349" t="inlineStr">
        <is>
          <t>18P², 9A⁴, 18A⁶, 18M⁷, 18A⁸</t>
        </is>
      </c>
      <c r="M4349" t="inlineStr"/>
      <c r="N4349" t="inlineStr">
        <is>
          <t>3B⁰, 18I¹, 9G⁰, 18M⁷, 6G⁰, 2B⁰, 9B², 9E⁰, 1A⁰, 9B¹, 18E³, 18A⁸, 3D⁰, 9D⁰, 9A², 18A⁶, 18J³, 9A⁰, 18E¹, 18P², 3C⁰, 6K⁰, 9H⁰, 9A⁴, 3A⁰, 6F⁰, 18I², 6D⁰, 9F¹</t>
        </is>
      </c>
      <c r="O4349" t="inlineStr"/>
    </row>
    <row r="4350">
      <c r="A4350">
        <f>HYPERLINK("https://mathstats.uncg.edu/sites/pauli/congruence/csg16.html#group18B16", "18B¹⁶")</f>
        <v/>
      </c>
      <c r="B4350" t="n">
        <v>16</v>
      </c>
      <c r="C4350" t="inlineStr"/>
      <c r="D4350" t="inlineStr">
        <is>
          <t>324</t>
        </is>
      </c>
      <c r="E4350" t="inlineStr">
        <is>
          <t>1</t>
        </is>
      </c>
      <c r="F4350" t="inlineStr">
        <is>
          <t>18</t>
        </is>
      </c>
      <c r="G4350" t="inlineStr">
        <is>
          <t>0</t>
        </is>
      </c>
      <c r="H4350" t="inlineStr">
        <is>
          <t>0</t>
        </is>
      </c>
      <c r="I4350" t="inlineStr">
        <is>
          <t>9¹², 18¹²</t>
        </is>
      </c>
      <c r="J4350" t="n">
        <v>24</v>
      </c>
      <c r="K4350" t="inlineStr">
        <is>
          <t>1⁶, 2⁶</t>
        </is>
      </c>
      <c r="L4350" t="inlineStr">
        <is>
          <t>18P², 9B⁴, 18M⁴, 18A⁶, 18I⁷</t>
        </is>
      </c>
      <c r="M4350" t="inlineStr"/>
      <c r="N4350" t="inlineStr">
        <is>
          <t>18E², 6G⁰, 18D², 18I⁷, 2B⁰, 9C⁰, 9E⁰, 1A⁰, 9B¹, 9A², 3C⁰, 6K⁰, 18E¹, 3A⁰, 6F⁰, 3B⁰, 18I¹, 9B⁰, 9E¹, 18E³, 9D⁰, 18E⁰, 9B⁴, 18A⁶, 9A⁰, 9A¹, 18P², 9C¹, 9H⁰, 18M⁴, 3D⁰, 18I², 6D⁰</t>
        </is>
      </c>
      <c r="O4350" t="inlineStr"/>
    </row>
    <row r="4351">
      <c r="A4351">
        <f>HYPERLINK("https://mathstats.uncg.edu/sites/pauli/congruence/csg16.html#group18C16", "18C¹⁶")</f>
        <v/>
      </c>
      <c r="B4351" t="n">
        <v>16</v>
      </c>
      <c r="C4351" t="inlineStr"/>
      <c r="D4351" t="inlineStr">
        <is>
          <t>324</t>
        </is>
      </c>
      <c r="E4351" t="inlineStr">
        <is>
          <t>1</t>
        </is>
      </c>
      <c r="F4351" t="inlineStr">
        <is>
          <t>27</t>
        </is>
      </c>
      <c r="G4351" t="inlineStr">
        <is>
          <t>12</t>
        </is>
      </c>
      <c r="H4351" t="inlineStr">
        <is>
          <t>0</t>
        </is>
      </c>
      <c r="I4351" t="inlineStr">
        <is>
          <t>18¹⁸</t>
        </is>
      </c>
      <c r="J4351" t="n">
        <v>18</v>
      </c>
      <c r="K4351" t="inlineStr">
        <is>
          <t>3¹, 6⁴</t>
        </is>
      </c>
      <c r="L4351" t="inlineStr">
        <is>
          <t>9C⁴, 18O⁴, 18S⁴, 18B⁶, 18J⁷</t>
        </is>
      </c>
      <c r="M4351" t="inlineStr"/>
      <c r="N4351" t="inlineStr">
        <is>
          <t>18S⁴, 6B⁰, 3A⁰, 18H¹, 18B⁶, 9G⁰, 18K², 9F⁰, 9E¹, 9B², 9E⁰, 1A⁰, 18A⁰, 9B¹, 9D⁰, 9C⁴, 18D⁰, 6E⁰, 9A⁰, 3C⁰, 9G¹, 18F¹, 18G², 18O⁴, 18A¹, 18J⁷, 9F¹</t>
        </is>
      </c>
      <c r="O4351" t="inlineStr"/>
    </row>
    <row r="4352">
      <c r="A4352">
        <f>HYPERLINK("https://mathstats.uncg.edu/sites/pauli/congruence/csg16.html#group18D16", "18D¹⁶")</f>
        <v/>
      </c>
      <c r="B4352" t="n">
        <v>16</v>
      </c>
      <c r="C4352" t="inlineStr"/>
      <c r="D4352" t="inlineStr">
        <is>
          <t>324</t>
        </is>
      </c>
      <c r="E4352" t="inlineStr">
        <is>
          <t>1</t>
        </is>
      </c>
      <c r="F4352" t="inlineStr">
        <is>
          <t>54</t>
        </is>
      </c>
      <c r="G4352" t="inlineStr">
        <is>
          <t>12</t>
        </is>
      </c>
      <c r="H4352" t="inlineStr">
        <is>
          <t>0</t>
        </is>
      </c>
      <c r="I4352" t="inlineStr">
        <is>
          <t>18¹⁸</t>
        </is>
      </c>
      <c r="J4352" t="n">
        <v>18</v>
      </c>
      <c r="K4352" t="inlineStr">
        <is>
          <t>1³, 2³, 3³, 6⁶</t>
        </is>
      </c>
      <c r="L4352" t="inlineStr">
        <is>
          <t>18K³, 18L⁴, 18O⁴, 18R⁴, 18I⁷</t>
        </is>
      </c>
      <c r="M4352" t="inlineStr"/>
      <c r="N4352" t="inlineStr">
        <is>
          <t>6B⁰, 3A⁰, 18L⁴, 18I¹, 6H⁰, 6G⁰, 18R⁴, 18I⁷, 2B⁰, 9E¹, 9E⁰, 1A⁰, 18A⁰, 18L², 9D⁰, 18D⁰, 6E⁰, 6L⁰, 9A⁰, 3C⁰, 18K³, 18G¹, 18F¹, 18E¹, 18O⁴, 18I², 6D⁰</t>
        </is>
      </c>
      <c r="O4352" t="inlineStr"/>
    </row>
    <row r="4353">
      <c r="A4353">
        <f>HYPERLINK("https://mathstats.uncg.edu/sites/pauli/congruence/csg16.html#group18E16", "18E¹⁶")</f>
        <v/>
      </c>
      <c r="B4353" t="n">
        <v>16</v>
      </c>
      <c r="C4353" t="inlineStr"/>
      <c r="D4353" t="inlineStr">
        <is>
          <t>324</t>
        </is>
      </c>
      <c r="E4353" t="inlineStr">
        <is>
          <t>1</t>
        </is>
      </c>
      <c r="F4353" t="inlineStr">
        <is>
          <t>108</t>
        </is>
      </c>
      <c r="G4353" t="inlineStr">
        <is>
          <t>0</t>
        </is>
      </c>
      <c r="H4353" t="inlineStr">
        <is>
          <t>0</t>
        </is>
      </c>
      <c r="I4353" t="inlineStr">
        <is>
          <t>9¹², 18¹²</t>
        </is>
      </c>
      <c r="J4353" t="n">
        <v>24</v>
      </c>
      <c r="K4353" t="inlineStr">
        <is>
          <t>3⁶, 6¹⁵</t>
        </is>
      </c>
      <c r="L4353" t="inlineStr">
        <is>
          <t>9A³, 18K⁴, 18P⁴</t>
        </is>
      </c>
      <c r="M4353" t="inlineStr"/>
      <c r="N4353" t="inlineStr">
        <is>
          <t>3B⁰, 18P⁴, 9J⁰, 6F⁰, 9A³, 18D², 1A⁰, 2B⁰, 9C⁰, 9F⁰, 18K⁴</t>
        </is>
      </c>
      <c r="O4353" t="inlineStr"/>
    </row>
    <row r="4354">
      <c r="A4354">
        <f>HYPERLINK("https://mathstats.uncg.edu/sites/pauli/congruence/csg16.html#group18F16", "18F¹⁶")</f>
        <v/>
      </c>
      <c r="B4354" t="n">
        <v>16</v>
      </c>
      <c r="C4354" t="inlineStr"/>
      <c r="D4354" t="inlineStr">
        <is>
          <t>324</t>
        </is>
      </c>
      <c r="E4354" t="inlineStr">
        <is>
          <t>1</t>
        </is>
      </c>
      <c r="F4354" t="inlineStr">
        <is>
          <t>108</t>
        </is>
      </c>
      <c r="G4354" t="inlineStr">
        <is>
          <t>12</t>
        </is>
      </c>
      <c r="H4354" t="inlineStr">
        <is>
          <t>0</t>
        </is>
      </c>
      <c r="I4354" t="inlineStr">
        <is>
          <t>18¹⁸</t>
        </is>
      </c>
      <c r="J4354" t="n">
        <v>18</v>
      </c>
      <c r="K4354" t="inlineStr">
        <is>
          <t>3², 6¹⁷</t>
        </is>
      </c>
      <c r="L4354" t="inlineStr">
        <is>
          <t>18O⁴, 18R⁴, 18T⁴, 18C⁶</t>
        </is>
      </c>
      <c r="M4354" t="inlineStr"/>
      <c r="N4354" t="inlineStr">
        <is>
          <t>6B⁰, 3A⁰, 18B¹, 18R⁴, 9E¹, 9E⁰, 18M², 1A⁰, 18A⁰, 18C⁶, 9D⁰, 18D⁰, 18H², 6E⁰, 9A⁰, 3C⁰, 18T⁴, 18F¹, 18G¹, 18O⁴</t>
        </is>
      </c>
      <c r="O4354" t="inlineStr"/>
    </row>
    <row r="4355">
      <c r="A4355">
        <f>HYPERLINK("https://mathstats.uncg.edu/sites/pauli/congruence/csg16.html#group18G16", "18G¹⁶")</f>
        <v/>
      </c>
      <c r="B4355" t="n">
        <v>16</v>
      </c>
      <c r="C4355" t="inlineStr"/>
      <c r="D4355" t="inlineStr">
        <is>
          <t>324</t>
        </is>
      </c>
      <c r="E4355" t="inlineStr">
        <is>
          <t>2</t>
        </is>
      </c>
      <c r="F4355" t="inlineStr">
        <is>
          <t>27</t>
        </is>
      </c>
      <c r="G4355" t="inlineStr">
        <is>
          <t>12</t>
        </is>
      </c>
      <c r="H4355" t="inlineStr">
        <is>
          <t>0</t>
        </is>
      </c>
      <c r="I4355" t="inlineStr">
        <is>
          <t>18¹⁸</t>
        </is>
      </c>
      <c r="J4355" t="n">
        <v>18</v>
      </c>
      <c r="K4355" t="inlineStr">
        <is>
          <t>2⁹, 6⁶</t>
        </is>
      </c>
      <c r="L4355" t="inlineStr">
        <is>
          <t>18L⁴, 18S⁴, 18T⁴, 18D⁶, 18K⁷, 18M⁷, 18B⁸</t>
        </is>
      </c>
      <c r="M4355" t="inlineStr"/>
      <c r="N4355" t="inlineStr">
        <is>
          <t>18S⁴, 18K², 18B¹, 6G⁰, 2B⁰, 18I², 1A⁰, 9B¹, 18A⁰, 18L², 18D³, 3C⁰, 18T⁴, 18B⁸, 6H⁰, 18E¹, 3A⁰, 9F¹, 6B⁰, 18K⁷, 18L⁴, 18H¹, 9G⁰, 18M⁷, 18M², 18E³, 18D⁶, 9D⁰, 18D⁰, 18H², 6E⁰, 6L⁰, 18J³, 9A⁰, 18G², 18A¹, 6D⁰</t>
        </is>
      </c>
      <c r="O4355" t="inlineStr"/>
    </row>
    <row r="4356">
      <c r="A4356">
        <f>HYPERLINK("https://mathstats.uncg.edu/sites/pauli/congruence/csg16.html#group18H16", "18H¹⁶")</f>
        <v/>
      </c>
      <c r="B4356" t="n">
        <v>16</v>
      </c>
      <c r="C4356" t="inlineStr"/>
      <c r="D4356" t="inlineStr">
        <is>
          <t>324</t>
        </is>
      </c>
      <c r="E4356" t="inlineStr">
        <is>
          <t>2</t>
        </is>
      </c>
      <c r="F4356" t="inlineStr">
        <is>
          <t>54</t>
        </is>
      </c>
      <c r="G4356" t="inlineStr">
        <is>
          <t>12</t>
        </is>
      </c>
      <c r="H4356" t="inlineStr">
        <is>
          <t>0</t>
        </is>
      </c>
      <c r="I4356" t="inlineStr">
        <is>
          <t>18¹⁸</t>
        </is>
      </c>
      <c r="J4356" t="n">
        <v>18</v>
      </c>
      <c r="K4356" t="inlineStr">
        <is>
          <t>6¹⁸</t>
        </is>
      </c>
      <c r="L4356" t="inlineStr">
        <is>
          <t>18R⁴, 18S⁴, 18T⁴, 18E⁶, 18L⁷</t>
        </is>
      </c>
      <c r="M4356" t="inlineStr"/>
      <c r="N4356" t="inlineStr">
        <is>
          <t>18S⁴, 18E⁶, 6B⁰, 18H¹, 9G⁰, 18K², 18B¹, 18R⁴, 18M², 1A⁰, 18A⁰, 18L⁷, 9B¹, 9D⁰, 18D⁰, 18H², 6E⁰, 9A⁰, 3C⁰, 18T⁴, 18G¹, 18G², 3A⁰, 18A¹, 9F¹</t>
        </is>
      </c>
      <c r="O4356" t="inlineStr"/>
    </row>
    <row r="4357">
      <c r="A4357">
        <f>HYPERLINK("https://mathstats.uncg.edu/sites/pauli/congruence/csg16.html#group21A16", "21A¹⁶")</f>
        <v/>
      </c>
      <c r="B4357" t="n">
        <v>16</v>
      </c>
      <c r="C4357" t="inlineStr"/>
      <c r="D4357" t="inlineStr">
        <is>
          <t>252</t>
        </is>
      </c>
      <c r="E4357" t="inlineStr">
        <is>
          <t>1</t>
        </is>
      </c>
      <c r="F4357" t="inlineStr">
        <is>
          <t>21</t>
        </is>
      </c>
      <c r="G4357" t="inlineStr">
        <is>
          <t>0</t>
        </is>
      </c>
      <c r="H4357" t="inlineStr">
        <is>
          <t>0</t>
        </is>
      </c>
      <c r="I4357" t="inlineStr">
        <is>
          <t>21¹²</t>
        </is>
      </c>
      <c r="J4357" t="n">
        <v>12</v>
      </c>
      <c r="K4357" t="inlineStr">
        <is>
          <t>3¹, 6³</t>
        </is>
      </c>
      <c r="L4357" t="inlineStr">
        <is>
          <t>21A⁵, 21A⁶, 21C⁶</t>
        </is>
      </c>
      <c r="M4357" t="inlineStr"/>
      <c r="N4357" t="inlineStr">
        <is>
          <t>3B⁰, 21D², 21C⁶, 21B², 7D⁰, 3A⁰, 3D⁰, 21E¹, 21A⁰, 3C⁰, 1A⁰, 21A⁵, 21A⁶, 7A⁰</t>
        </is>
      </c>
      <c r="O4357" t="inlineStr"/>
    </row>
    <row r="4358">
      <c r="A4358">
        <f>HYPERLINK("https://mathstats.uncg.edu/sites/pauli/congruence/csg16.html#group22A16", "22A¹⁶")</f>
        <v/>
      </c>
      <c r="B4358" t="n">
        <v>16</v>
      </c>
      <c r="C4358" t="inlineStr"/>
      <c r="D4358" t="inlineStr">
        <is>
          <t>360</t>
        </is>
      </c>
      <c r="E4358" t="inlineStr">
        <is>
          <t>1</t>
        </is>
      </c>
      <c r="F4358" t="inlineStr">
        <is>
          <t>12</t>
        </is>
      </c>
      <c r="G4358" t="inlineStr">
        <is>
          <t>0</t>
        </is>
      </c>
      <c r="H4358" t="inlineStr">
        <is>
          <t>0</t>
        </is>
      </c>
      <c r="I4358" t="inlineStr">
        <is>
          <t>2¹⁵, 22¹⁵</t>
        </is>
      </c>
      <c r="J4358" t="n">
        <v>30</v>
      </c>
      <c r="K4358" t="inlineStr">
        <is>
          <t>1², 10¹</t>
        </is>
      </c>
      <c r="L4358" t="inlineStr">
        <is>
          <t>22A⁴, 22A⁶, 22C⁶</t>
        </is>
      </c>
      <c r="M4358" t="inlineStr"/>
      <c r="N4358" t="inlineStr">
        <is>
          <t>2A⁰, 11A¹, 2C⁰, 22A², 22C⁶, 22A⁶, 2B⁰, 22C², 1A⁰, 22A⁴, 11D¹</t>
        </is>
      </c>
      <c r="O4358" t="inlineStr"/>
    </row>
    <row r="4359">
      <c r="A4359">
        <f>HYPERLINK("https://mathstats.uncg.edu/sites/pauli/congruence/csg16.html#group24A16", "24A¹⁶")</f>
        <v/>
      </c>
      <c r="B4359" t="n">
        <v>16</v>
      </c>
      <c r="C4359" t="inlineStr"/>
      <c r="D4359" t="inlineStr">
        <is>
          <t>288</t>
        </is>
      </c>
      <c r="E4359" t="inlineStr">
        <is>
          <t>1</t>
        </is>
      </c>
      <c r="F4359" t="inlineStr">
        <is>
          <t>24</t>
        </is>
      </c>
      <c r="G4359" t="inlineStr">
        <is>
          <t>12</t>
        </is>
      </c>
      <c r="H4359" t="inlineStr">
        <is>
          <t>0</t>
        </is>
      </c>
      <c r="I4359" t="inlineStr">
        <is>
          <t>24¹²</t>
        </is>
      </c>
      <c r="J4359" t="n">
        <v>12</v>
      </c>
      <c r="K4359" t="inlineStr">
        <is>
          <t>2², 4⁵</t>
        </is>
      </c>
      <c r="L4359" t="inlineStr">
        <is>
          <t>8C², 24S⁴, 24D⁶, 24K⁷, 24L⁷</t>
        </is>
      </c>
      <c r="M4359" t="inlineStr"/>
      <c r="N4359" t="inlineStr">
        <is>
          <t>24D⁶, 12C⁰, 24S⁴, 4C⁰, 8C², 8A⁰, 8L⁰, 2B⁰, 8K⁰, 1A⁰, 8H¹, 24A¹, 24A⁰, 24L⁷, 3A⁰, 8P⁰, 8M⁰, 24K⁷, 8D⁰, 8B⁰, 24L², 8D¹, 24J³, 8H⁰, 24F¹, 24H⁴, 12A⁰, 8F⁰, 4A⁰, 8I¹, 24M², 24C¹, 12J¹, 4F⁰, 6D⁰</t>
        </is>
      </c>
      <c r="O4359" t="inlineStr"/>
    </row>
    <row r="4360">
      <c r="A4360">
        <f>HYPERLINK("https://mathstats.uncg.edu/sites/pauli/congruence/csg16.html#group24B16", "24B¹⁶")</f>
        <v/>
      </c>
      <c r="B4360" t="n">
        <v>16</v>
      </c>
      <c r="C4360" t="inlineStr"/>
      <c r="D4360" t="inlineStr">
        <is>
          <t>288</t>
        </is>
      </c>
      <c r="E4360" t="inlineStr">
        <is>
          <t>1</t>
        </is>
      </c>
      <c r="F4360" t="inlineStr">
        <is>
          <t>72</t>
        </is>
      </c>
      <c r="G4360" t="inlineStr">
        <is>
          <t>12</t>
        </is>
      </c>
      <c r="H4360" t="inlineStr">
        <is>
          <t>0</t>
        </is>
      </c>
      <c r="I4360" t="inlineStr">
        <is>
          <t>24¹²</t>
        </is>
      </c>
      <c r="J4360" t="n">
        <v>12</v>
      </c>
      <c r="K4360" t="inlineStr">
        <is>
          <t>2², 4⁷, 8⁵</t>
        </is>
      </c>
      <c r="L4360" t="inlineStr">
        <is>
          <t>24D⁶, 24AB⁷, 24AC⁷</t>
        </is>
      </c>
      <c r="M4360" t="inlineStr"/>
      <c r="N4360" t="inlineStr">
        <is>
          <t>24O⁴, 24D⁶, 12C⁰, 24AC⁷, 8D⁰, 4C⁰, 8B⁰, 8L⁰, 2B⁰, 24B¹, 24L², 1A⁰, 8H⁰, 12A⁰, 24A⁰, 4A⁰, 24M², 24C¹, 24AB⁷, 24R³, 12J¹, 4F⁰, 3A⁰, 8P⁰, 6D⁰</t>
        </is>
      </c>
      <c r="O4360" t="inlineStr"/>
    </row>
    <row r="4361">
      <c r="A4361">
        <f>HYPERLINK("https://mathstats.uncg.edu/sites/pauli/congruence/csg16.html#group24C16", "24C¹⁶")</f>
        <v/>
      </c>
      <c r="B4361" t="n">
        <v>16</v>
      </c>
      <c r="C4361" t="inlineStr"/>
      <c r="D4361" t="inlineStr">
        <is>
          <t>288</t>
        </is>
      </c>
      <c r="E4361" t="inlineStr">
        <is>
          <t>1</t>
        </is>
      </c>
      <c r="F4361" t="inlineStr">
        <is>
          <t>72</t>
        </is>
      </c>
      <c r="G4361" t="inlineStr">
        <is>
          <t>12</t>
        </is>
      </c>
      <c r="H4361" t="inlineStr">
        <is>
          <t>0</t>
        </is>
      </c>
      <c r="I4361" t="inlineStr">
        <is>
          <t>24¹²</t>
        </is>
      </c>
      <c r="J4361" t="n">
        <v>12</v>
      </c>
      <c r="K4361" t="inlineStr">
        <is>
          <t>2², 4⁷, 8⁵</t>
        </is>
      </c>
      <c r="L4361" t="inlineStr">
        <is>
          <t>24G⁶, 24K⁷, 24AC⁷</t>
        </is>
      </c>
      <c r="M4361" t="inlineStr"/>
      <c r="N4361" t="inlineStr">
        <is>
          <t>24K⁷, 12C⁰, 24AC⁷, 8D⁰, 4C⁰, 8B⁰, 8A⁰, 24Q², 2B⁰, 24L², 8K⁰, 1A⁰, 8D¹, 8H¹, 24J³, 8H⁰, 24G⁶, 24H⁴, 12A⁰, 24A¹, 24A⁰, 4A⁰, 24C¹, 12J¹, 4F⁰, 3A⁰, 6D⁰</t>
        </is>
      </c>
      <c r="O4361" t="inlineStr"/>
    </row>
    <row r="4362">
      <c r="A4362">
        <f>HYPERLINK("https://mathstats.uncg.edu/sites/pauli/congruence/csg16.html#group24D16", "24D¹⁶")</f>
        <v/>
      </c>
      <c r="B4362" t="n">
        <v>16</v>
      </c>
      <c r="C4362" t="inlineStr"/>
      <c r="D4362" t="inlineStr">
        <is>
          <t>288</t>
        </is>
      </c>
      <c r="E4362" t="inlineStr">
        <is>
          <t>1</t>
        </is>
      </c>
      <c r="F4362" t="inlineStr">
        <is>
          <t>72</t>
        </is>
      </c>
      <c r="G4362" t="inlineStr">
        <is>
          <t>12</t>
        </is>
      </c>
      <c r="H4362" t="inlineStr">
        <is>
          <t>0</t>
        </is>
      </c>
      <c r="I4362" t="inlineStr">
        <is>
          <t>24¹²</t>
        </is>
      </c>
      <c r="J4362" t="n">
        <v>12</v>
      </c>
      <c r="K4362" t="inlineStr">
        <is>
          <t>2², 4⁷, 8⁵</t>
        </is>
      </c>
      <c r="L4362" t="inlineStr">
        <is>
          <t>24T⁴, 24G⁶, 24L⁷, 24AB⁷</t>
        </is>
      </c>
      <c r="M4362" t="inlineStr"/>
      <c r="N4362" t="inlineStr">
        <is>
          <t>24O⁴, 12C⁰, 8D⁰, 4C⁰, 8B⁰, 24Q², 2B⁰, 24B¹, 24L², 1A⁰, 24F¹, 8H⁰, 24G⁶, 12A⁰, 8F⁰, 24A⁰, 4A⁰, 8I¹, 24C¹, 24L⁷, 24AB⁷, 12J¹, 4F⁰, 24R³, 3A⁰, 24T⁴, 6D⁰</t>
        </is>
      </c>
      <c r="O4362" t="inlineStr"/>
    </row>
    <row r="4363">
      <c r="A4363">
        <f>HYPERLINK("https://mathstats.uncg.edu/sites/pauli/congruence/csg16.html#group24E16", "24E¹⁶")</f>
        <v/>
      </c>
      <c r="B4363" t="n">
        <v>16</v>
      </c>
      <c r="C4363" t="inlineStr"/>
      <c r="D4363" t="inlineStr">
        <is>
          <t>288</t>
        </is>
      </c>
      <c r="E4363" t="inlineStr">
        <is>
          <t>2</t>
        </is>
      </c>
      <c r="F4363" t="inlineStr">
        <is>
          <t>72</t>
        </is>
      </c>
      <c r="G4363" t="inlineStr">
        <is>
          <t>12</t>
        </is>
      </c>
      <c r="H4363" t="inlineStr">
        <is>
          <t>0</t>
        </is>
      </c>
      <c r="I4363" t="inlineStr">
        <is>
          <t>24¹²</t>
        </is>
      </c>
      <c r="J4363" t="n">
        <v>12</v>
      </c>
      <c r="K4363" t="inlineStr">
        <is>
          <t>4⁶, 8¹⁵</t>
        </is>
      </c>
      <c r="L4363" t="inlineStr">
        <is>
          <t>24G⁶, 24AB⁷, 24AC⁷</t>
        </is>
      </c>
      <c r="M4363" t="inlineStr"/>
      <c r="N4363" t="inlineStr">
        <is>
          <t>24O⁴, 12C⁰, 24AC⁷, 8D⁰, 4C⁰, 8B⁰, 24Q², 2B⁰, 24B¹, 24L², 1A⁰, 8H⁰, 24G⁶, 12A⁰, 24A⁰, 4A⁰, 24C¹, 24AB⁷, 12J¹, 4F⁰, 24R³, 3A⁰, 6D⁰</t>
        </is>
      </c>
      <c r="O4363" t="inlineStr"/>
    </row>
    <row r="4364">
      <c r="A4364">
        <f>HYPERLINK("https://mathstats.uncg.edu/sites/pauli/congruence/csg16.html#group25A16", "25A¹⁶")</f>
        <v/>
      </c>
      <c r="B4364" t="n">
        <v>16</v>
      </c>
      <c r="C4364" t="inlineStr"/>
      <c r="D4364" t="inlineStr">
        <is>
          <t>300</t>
        </is>
      </c>
      <c r="E4364" t="inlineStr">
        <is>
          <t>1</t>
        </is>
      </c>
      <c r="F4364" t="inlineStr">
        <is>
          <t>6</t>
        </is>
      </c>
      <c r="G4364" t="inlineStr">
        <is>
          <t>0</t>
        </is>
      </c>
      <c r="H4364" t="inlineStr">
        <is>
          <t>0</t>
        </is>
      </c>
      <c r="I4364" t="inlineStr">
        <is>
          <t>5¹⁰, 25¹⁰</t>
        </is>
      </c>
      <c r="J4364" t="n">
        <v>20</v>
      </c>
      <c r="K4364" t="inlineStr">
        <is>
          <t>1², 4¹</t>
        </is>
      </c>
      <c r="L4364" t="inlineStr">
        <is>
          <t>5H⁰, 25B⁰, 25C⁴, 25B⁴, 25D⁴, 25A⁴, 25A⁸</t>
        </is>
      </c>
      <c r="M4364" t="inlineStr"/>
      <c r="N4364" t="inlineStr">
        <is>
          <t>5A⁰, 25B⁴, 5B⁰, 5D⁰, 5F⁰, 25D⁴, 1A⁰, 5H⁰, 25C², 25A⁴, 25D², 25B², 25A⁸, 25A², 25A⁰, 5E⁰, 5C⁰, 25B⁰, 5G⁰, 25C⁴</t>
        </is>
      </c>
      <c r="O4364" t="inlineStr"/>
    </row>
    <row r="4365">
      <c r="A4365">
        <f>HYPERLINK("https://mathstats.uncg.edu/sites/pauli/congruence/csg16.html#group25B16", "25B¹⁶")</f>
        <v/>
      </c>
      <c r="B4365" t="n">
        <v>16</v>
      </c>
      <c r="C4365" t="inlineStr"/>
      <c r="D4365" t="inlineStr">
        <is>
          <t>300</t>
        </is>
      </c>
      <c r="E4365" t="inlineStr">
        <is>
          <t>1</t>
        </is>
      </c>
      <c r="F4365" t="inlineStr">
        <is>
          <t>30</t>
        </is>
      </c>
      <c r="G4365" t="inlineStr">
        <is>
          <t>0</t>
        </is>
      </c>
      <c r="H4365" t="inlineStr">
        <is>
          <t>0</t>
        </is>
      </c>
      <c r="I4365" t="inlineStr">
        <is>
          <t>5¹⁰, 25¹⁰</t>
        </is>
      </c>
      <c r="J4365" t="n">
        <v>20</v>
      </c>
      <c r="K4365" t="inlineStr">
        <is>
          <t>2², 4⁴, 20²</t>
        </is>
      </c>
      <c r="L4365" t="inlineStr">
        <is>
          <t>25A⁴, 25A⁶</t>
        </is>
      </c>
      <c r="M4365" t="inlineStr"/>
      <c r="N4365" t="inlineStr">
        <is>
          <t>5B⁰, 5D⁰, 25A², 1A⁰, 25A⁴, 25A⁶</t>
        </is>
      </c>
      <c r="O4365" t="inlineStr"/>
    </row>
    <row r="4366">
      <c r="A4366">
        <f>HYPERLINK("https://mathstats.uncg.edu/sites/pauli/congruence/csg16.html#group25C16", "25C¹⁶")</f>
        <v/>
      </c>
      <c r="B4366" t="n">
        <v>16</v>
      </c>
      <c r="C4366" t="inlineStr"/>
      <c r="D4366" t="inlineStr">
        <is>
          <t>300</t>
        </is>
      </c>
      <c r="E4366" t="inlineStr">
        <is>
          <t>1</t>
        </is>
      </c>
      <c r="F4366" t="inlineStr">
        <is>
          <t>30</t>
        </is>
      </c>
      <c r="G4366" t="inlineStr">
        <is>
          <t>0</t>
        </is>
      </c>
      <c r="H4366" t="inlineStr">
        <is>
          <t>0</t>
        </is>
      </c>
      <c r="I4366" t="inlineStr">
        <is>
          <t>5¹⁰, 25¹⁰</t>
        </is>
      </c>
      <c r="J4366" t="n">
        <v>20</v>
      </c>
      <c r="K4366" t="inlineStr">
        <is>
          <t>2², 4⁴, 20²</t>
        </is>
      </c>
      <c r="L4366" t="inlineStr">
        <is>
          <t>25B⁴, 25B⁶</t>
        </is>
      </c>
      <c r="M4366" t="inlineStr"/>
      <c r="N4366" t="inlineStr">
        <is>
          <t>5B⁰, 5D⁰, 25B⁶, 25B⁴, 1A⁰, 25B²</t>
        </is>
      </c>
      <c r="O4366" t="inlineStr"/>
    </row>
    <row r="4367">
      <c r="A4367">
        <f>HYPERLINK("https://mathstats.uncg.edu/sites/pauli/congruence/csg16.html#group25D16", "25D¹⁶")</f>
        <v/>
      </c>
      <c r="B4367" t="n">
        <v>16</v>
      </c>
      <c r="C4367" t="inlineStr"/>
      <c r="D4367" t="inlineStr">
        <is>
          <t>300</t>
        </is>
      </c>
      <c r="E4367" t="inlineStr">
        <is>
          <t>1</t>
        </is>
      </c>
      <c r="F4367" t="inlineStr">
        <is>
          <t>30</t>
        </is>
      </c>
      <c r="G4367" t="inlineStr">
        <is>
          <t>0</t>
        </is>
      </c>
      <c r="H4367" t="inlineStr">
        <is>
          <t>0</t>
        </is>
      </c>
      <c r="I4367" t="inlineStr">
        <is>
          <t>5¹⁰, 25¹⁰</t>
        </is>
      </c>
      <c r="J4367" t="n">
        <v>20</v>
      </c>
      <c r="K4367" t="inlineStr">
        <is>
          <t>2², 4⁴, 20²</t>
        </is>
      </c>
      <c r="L4367" t="inlineStr">
        <is>
          <t>25C⁴, 25C⁶</t>
        </is>
      </c>
      <c r="M4367" t="inlineStr"/>
      <c r="N4367" t="inlineStr">
        <is>
          <t>5B⁰, 5D⁰, 25C⁶, 1A⁰, 25C², 25C⁴</t>
        </is>
      </c>
      <c r="O4367" t="inlineStr"/>
    </row>
    <row r="4368">
      <c r="A4368">
        <f>HYPERLINK("https://mathstats.uncg.edu/sites/pauli/congruence/csg16.html#group25E16", "25E¹⁶")</f>
        <v/>
      </c>
      <c r="B4368" t="n">
        <v>16</v>
      </c>
      <c r="C4368" t="inlineStr"/>
      <c r="D4368" t="inlineStr">
        <is>
          <t>300</t>
        </is>
      </c>
      <c r="E4368" t="inlineStr">
        <is>
          <t>1</t>
        </is>
      </c>
      <c r="F4368" t="inlineStr">
        <is>
          <t>30</t>
        </is>
      </c>
      <c r="G4368" t="inlineStr">
        <is>
          <t>0</t>
        </is>
      </c>
      <c r="H4368" t="inlineStr">
        <is>
          <t>0</t>
        </is>
      </c>
      <c r="I4368" t="inlineStr">
        <is>
          <t>5¹⁰, 25¹⁰</t>
        </is>
      </c>
      <c r="J4368" t="n">
        <v>20</v>
      </c>
      <c r="K4368" t="inlineStr">
        <is>
          <t>2², 4⁴, 20²</t>
        </is>
      </c>
      <c r="L4368" t="inlineStr">
        <is>
          <t>25D⁴, 25D⁶</t>
        </is>
      </c>
      <c r="M4368" t="inlineStr"/>
      <c r="N4368" t="inlineStr">
        <is>
          <t>5B⁰, 5D⁰, 25D², 25D⁴, 1A⁰, 25D⁶</t>
        </is>
      </c>
      <c r="O4368" t="inlineStr"/>
    </row>
    <row r="4369">
      <c r="A4369">
        <f>HYPERLINK("https://mathstats.uncg.edu/sites/pauli/congruence/csg16.html#group26A16", "26A¹⁶")</f>
        <v/>
      </c>
      <c r="B4369" t="n">
        <v>16</v>
      </c>
      <c r="C4369" t="inlineStr"/>
      <c r="D4369" t="inlineStr">
        <is>
          <t>273</t>
        </is>
      </c>
      <c r="E4369" t="inlineStr">
        <is>
          <t>1</t>
        </is>
      </c>
      <c r="F4369" t="inlineStr">
        <is>
          <t>273</t>
        </is>
      </c>
      <c r="G4369" t="inlineStr">
        <is>
          <t>3</t>
        </is>
      </c>
      <c r="H4369" t="inlineStr">
        <is>
          <t>0</t>
        </is>
      </c>
      <c r="I4369" t="inlineStr">
        <is>
          <t>13⁷, 26⁷</t>
        </is>
      </c>
      <c r="J4369" t="n">
        <v>14</v>
      </c>
      <c r="K4369" t="inlineStr">
        <is>
          <t>3³, 4³, 12²¹</t>
        </is>
      </c>
      <c r="L4369" t="inlineStr">
        <is>
          <t>2B⁰, 13B³</t>
        </is>
      </c>
      <c r="M4369" t="inlineStr"/>
      <c r="N4369" t="inlineStr">
        <is>
          <t>1A⁰, 2B⁰, 13B³</t>
        </is>
      </c>
      <c r="O4369" t="inlineStr"/>
    </row>
    <row r="4370">
      <c r="A4370">
        <f>HYPERLINK("https://mathstats.uncg.edu/sites/pauli/congruence/csg16.html#group27A16", "27A¹⁶")</f>
        <v/>
      </c>
      <c r="B4370" t="n">
        <v>16</v>
      </c>
      <c r="C4370" t="inlineStr"/>
      <c r="D4370" t="inlineStr">
        <is>
          <t>324</t>
        </is>
      </c>
      <c r="E4370" t="inlineStr">
        <is>
          <t>1</t>
        </is>
      </c>
      <c r="F4370" t="inlineStr">
        <is>
          <t>18</t>
        </is>
      </c>
      <c r="G4370" t="inlineStr">
        <is>
          <t>0</t>
        </is>
      </c>
      <c r="H4370" t="inlineStr">
        <is>
          <t>0</t>
        </is>
      </c>
      <c r="I4370" t="inlineStr">
        <is>
          <t>9¹⁸, 27⁶</t>
        </is>
      </c>
      <c r="J4370" t="n">
        <v>24</v>
      </c>
      <c r="K4370" t="inlineStr">
        <is>
          <t>1¹, 2¹, 3¹, 6²</t>
        </is>
      </c>
      <c r="L4370" t="inlineStr">
        <is>
          <t>9A⁴, 27A⁸</t>
        </is>
      </c>
      <c r="M4370" t="inlineStr"/>
      <c r="N4370" t="inlineStr">
        <is>
          <t>3B⁰, 9G⁰, 27A⁸, 9B², 9E⁰, 1A⁰, 9B¹, 9D⁰, 9A², 9A⁰, 3C⁰, 9H⁰, 9A⁴, 3A⁰, 3D⁰, 9F¹</t>
        </is>
      </c>
      <c r="O4370" t="inlineStr"/>
    </row>
    <row r="4371">
      <c r="A4371">
        <f>HYPERLINK("https://mathstats.uncg.edu/sites/pauli/congruence/csg16.html#group27B16", "27B¹⁶")</f>
        <v/>
      </c>
      <c r="B4371" t="n">
        <v>16</v>
      </c>
      <c r="C4371" t="inlineStr"/>
      <c r="D4371" t="inlineStr">
        <is>
          <t>324</t>
        </is>
      </c>
      <c r="E4371" t="inlineStr">
        <is>
          <t>1</t>
        </is>
      </c>
      <c r="F4371" t="inlineStr">
        <is>
          <t>18</t>
        </is>
      </c>
      <c r="G4371" t="inlineStr">
        <is>
          <t>0</t>
        </is>
      </c>
      <c r="H4371" t="inlineStr">
        <is>
          <t>0</t>
        </is>
      </c>
      <c r="I4371" t="inlineStr">
        <is>
          <t>9¹⁸, 27⁶</t>
        </is>
      </c>
      <c r="J4371" t="n">
        <v>24</v>
      </c>
      <c r="K4371" t="inlineStr">
        <is>
          <t>1², 2², 6²</t>
        </is>
      </c>
      <c r="L4371" t="inlineStr">
        <is>
          <t>9B⁴, 27G⁷</t>
        </is>
      </c>
      <c r="M4371" t="inlineStr"/>
      <c r="N4371" t="inlineStr">
        <is>
          <t>3B⁰, 27G⁷, 9B⁰, 9E¹, 9C⁰, 9E⁰, 1A⁰, 9B¹, 9D⁰, 9B⁴, 9A², 9A⁰, 9A¹, 3C⁰, 9C¹, 9H⁰, 3A⁰, 3D⁰</t>
        </is>
      </c>
      <c r="O4371" t="inlineStr"/>
    </row>
    <row r="4372">
      <c r="A4372">
        <f>HYPERLINK("https://mathstats.uncg.edu/sites/pauli/congruence/csg16.html#group27C16", "27C¹⁶")</f>
        <v/>
      </c>
      <c r="B4372" t="n">
        <v>16</v>
      </c>
      <c r="C4372" t="inlineStr"/>
      <c r="D4372" t="inlineStr">
        <is>
          <t>324</t>
        </is>
      </c>
      <c r="E4372" t="inlineStr">
        <is>
          <t>1</t>
        </is>
      </c>
      <c r="F4372" t="inlineStr">
        <is>
          <t>36</t>
        </is>
      </c>
      <c r="G4372" t="inlineStr">
        <is>
          <t>0</t>
        </is>
      </c>
      <c r="H4372" t="inlineStr">
        <is>
          <t>0</t>
        </is>
      </c>
      <c r="I4372" t="inlineStr">
        <is>
          <t>3⁹, 9⁶, 27⁹</t>
        </is>
      </c>
      <c r="J4372" t="n">
        <v>24</v>
      </c>
      <c r="K4372" t="inlineStr">
        <is>
          <t>1², 2², 6², 18¹</t>
        </is>
      </c>
      <c r="L4372" t="inlineStr">
        <is>
          <t>27A⁴</t>
        </is>
      </c>
      <c r="M4372" t="inlineStr"/>
      <c r="N4372" t="inlineStr">
        <is>
          <t>9I⁰, 27A⁰, 3B⁰, 9B⁰, 27A², 1A⁰, 27A⁴</t>
        </is>
      </c>
      <c r="O4372" t="inlineStr"/>
    </row>
    <row r="4373">
      <c r="A4373">
        <f>HYPERLINK("https://mathstats.uncg.edu/sites/pauli/congruence/csg16.html#group27D16", "27D¹⁶")</f>
        <v/>
      </c>
      <c r="B4373" t="n">
        <v>16</v>
      </c>
      <c r="C4373" t="inlineStr"/>
      <c r="D4373" t="inlineStr">
        <is>
          <t>324</t>
        </is>
      </c>
      <c r="E4373" t="inlineStr">
        <is>
          <t>1</t>
        </is>
      </c>
      <c r="F4373" t="inlineStr">
        <is>
          <t>36</t>
        </is>
      </c>
      <c r="G4373" t="inlineStr">
        <is>
          <t>0</t>
        </is>
      </c>
      <c r="H4373" t="inlineStr">
        <is>
          <t>0</t>
        </is>
      </c>
      <c r="I4373" t="inlineStr">
        <is>
          <t>3⁹, 9⁶, 27⁹</t>
        </is>
      </c>
      <c r="J4373" t="n">
        <v>24</v>
      </c>
      <c r="K4373" t="inlineStr">
        <is>
          <t>1², 2², 6², 18¹</t>
        </is>
      </c>
      <c r="L4373" t="inlineStr">
        <is>
          <t>27B⁴</t>
        </is>
      </c>
      <c r="M4373" t="inlineStr"/>
      <c r="N4373" t="inlineStr">
        <is>
          <t>27B⁴, 9I⁰, 3B⁰, 9B⁰, 27A¹, 27A², 1A⁰</t>
        </is>
      </c>
      <c r="O4373" t="inlineStr"/>
    </row>
    <row r="4374">
      <c r="A4374">
        <f>HYPERLINK("https://mathstats.uncg.edu/sites/pauli/congruence/csg16.html#group27E16", "27E¹⁶")</f>
        <v/>
      </c>
      <c r="B4374" t="n">
        <v>16</v>
      </c>
      <c r="C4374" t="inlineStr"/>
      <c r="D4374" t="inlineStr">
        <is>
          <t>324</t>
        </is>
      </c>
      <c r="E4374" t="inlineStr">
        <is>
          <t>1</t>
        </is>
      </c>
      <c r="F4374" t="inlineStr">
        <is>
          <t>36</t>
        </is>
      </c>
      <c r="G4374" t="inlineStr">
        <is>
          <t>0</t>
        </is>
      </c>
      <c r="H4374" t="inlineStr">
        <is>
          <t>9</t>
        </is>
      </c>
      <c r="I4374" t="inlineStr">
        <is>
          <t>9⁹, 27⁹</t>
        </is>
      </c>
      <c r="J4374" t="n">
        <v>18</v>
      </c>
      <c r="K4374" t="inlineStr">
        <is>
          <t>3², 6⁵</t>
        </is>
      </c>
      <c r="L4374" t="inlineStr">
        <is>
          <t>9A³, 27C³, 27D⁴, 27A⁶</t>
        </is>
      </c>
      <c r="M4374" t="inlineStr"/>
      <c r="N4374" t="inlineStr">
        <is>
          <t>3B⁰, 27C³, 9J⁰, 27D⁴, 27B², 27A⁶, 9A³, 27B¹, 9C⁰, 9F⁰, 1A⁰</t>
        </is>
      </c>
      <c r="O4374" t="inlineStr"/>
    </row>
    <row r="4375">
      <c r="A4375">
        <f>HYPERLINK("https://mathstats.uncg.edu/sites/pauli/congruence/csg16.html#group28A16", "28A¹⁶")</f>
        <v/>
      </c>
      <c r="B4375" t="n">
        <v>16</v>
      </c>
      <c r="C4375" t="inlineStr"/>
      <c r="D4375" t="inlineStr">
        <is>
          <t>252</t>
        </is>
      </c>
      <c r="E4375" t="inlineStr">
        <is>
          <t>1</t>
        </is>
      </c>
      <c r="F4375" t="inlineStr">
        <is>
          <t>63</t>
        </is>
      </c>
      <c r="G4375" t="inlineStr">
        <is>
          <t>0</t>
        </is>
      </c>
      <c r="H4375" t="inlineStr">
        <is>
          <t>0</t>
        </is>
      </c>
      <c r="I4375" t="inlineStr">
        <is>
          <t>14⁶, 28⁶</t>
        </is>
      </c>
      <c r="J4375" t="n">
        <v>12</v>
      </c>
      <c r="K4375" t="inlineStr">
        <is>
          <t>3³, 6⁹</t>
        </is>
      </c>
      <c r="L4375" t="inlineStr">
        <is>
          <t>14G⁵, 28B⁷, 28A⁸</t>
        </is>
      </c>
      <c r="M4375" t="inlineStr"/>
      <c r="N4375" t="inlineStr">
        <is>
          <t>14E¹, 14G⁵, 7D⁰, 14B¹, 28A⁸, 28B⁷, 14F², 28A³, 2B⁰, 4B⁰, 1A⁰, 7A⁰</t>
        </is>
      </c>
      <c r="O4375" t="inlineStr"/>
    </row>
    <row r="4376">
      <c r="A4376">
        <f>HYPERLINK("https://mathstats.uncg.edu/sites/pauli/congruence/csg16.html#group28B16", "28B¹⁶")</f>
        <v/>
      </c>
      <c r="B4376" t="n">
        <v>16</v>
      </c>
      <c r="C4376" t="inlineStr"/>
      <c r="D4376" t="inlineStr">
        <is>
          <t>252</t>
        </is>
      </c>
      <c r="E4376" t="inlineStr">
        <is>
          <t>1</t>
        </is>
      </c>
      <c r="F4376" t="inlineStr">
        <is>
          <t>63</t>
        </is>
      </c>
      <c r="G4376" t="inlineStr">
        <is>
          <t>0</t>
        </is>
      </c>
      <c r="H4376" t="inlineStr">
        <is>
          <t>0</t>
        </is>
      </c>
      <c r="I4376" t="inlineStr">
        <is>
          <t>14⁶, 28⁶</t>
        </is>
      </c>
      <c r="J4376" t="n">
        <v>12</v>
      </c>
      <c r="K4376" t="inlineStr">
        <is>
          <t>3³, 6⁹</t>
        </is>
      </c>
      <c r="L4376" t="inlineStr">
        <is>
          <t>28H⁵, 14A⁷, 28A⁸</t>
        </is>
      </c>
      <c r="M4376" t="inlineStr"/>
      <c r="N4376" t="inlineStr">
        <is>
          <t>2A⁰, 7D⁰, 14B¹, 14B³, 28A⁸, 14A¹, 2B⁰, 1A⁰, 14A⁷, 14A³, 28H⁵, 14F², 2C⁰, 7A⁰</t>
        </is>
      </c>
      <c r="O4376" t="inlineStr"/>
    </row>
    <row r="4377">
      <c r="A4377">
        <f>HYPERLINK("https://mathstats.uncg.edu/sites/pauli/congruence/csg16.html#group28C16", "28C¹⁶")</f>
        <v/>
      </c>
      <c r="B4377" t="n">
        <v>16</v>
      </c>
      <c r="C4377" t="inlineStr"/>
      <c r="D4377" t="inlineStr">
        <is>
          <t>252</t>
        </is>
      </c>
      <c r="E4377" t="inlineStr">
        <is>
          <t>1</t>
        </is>
      </c>
      <c r="F4377" t="inlineStr">
        <is>
          <t>63</t>
        </is>
      </c>
      <c r="G4377" t="inlineStr">
        <is>
          <t>0</t>
        </is>
      </c>
      <c r="H4377" t="inlineStr">
        <is>
          <t>0</t>
        </is>
      </c>
      <c r="I4377" t="inlineStr">
        <is>
          <t>14⁶, 28⁶</t>
        </is>
      </c>
      <c r="J4377" t="n">
        <v>12</v>
      </c>
      <c r="K4377" t="inlineStr">
        <is>
          <t>3³, 6⁹</t>
        </is>
      </c>
      <c r="L4377" t="inlineStr">
        <is>
          <t>28C⁶, 28I⁶, 14A⁷, 28B⁷</t>
        </is>
      </c>
      <c r="M4377" t="inlineStr"/>
      <c r="N4377" t="inlineStr">
        <is>
          <t>2A⁰, 7D⁰, 14B¹, 14B³, 4C⁰, 14A¹, 28A³, 2B⁰, 4E⁰, 4B⁰, 28I⁶, 1A⁰, 14A⁷, 28C², 14A³, 28B⁷, 14F², 28C⁶, 2C⁰, 7A⁰</t>
        </is>
      </c>
      <c r="O4377" t="inlineStr"/>
    </row>
    <row r="4378">
      <c r="A4378">
        <f>HYPERLINK("https://mathstats.uncg.edu/sites/pauli/congruence/csg16.html#group28D16", "28D¹⁶")</f>
        <v/>
      </c>
      <c r="B4378" t="n">
        <v>16</v>
      </c>
      <c r="C4378" t="inlineStr"/>
      <c r="D4378" t="inlineStr">
        <is>
          <t>252</t>
        </is>
      </c>
      <c r="E4378" t="inlineStr">
        <is>
          <t>2</t>
        </is>
      </c>
      <c r="F4378" t="inlineStr">
        <is>
          <t>63</t>
        </is>
      </c>
      <c r="G4378" t="inlineStr">
        <is>
          <t>0</t>
        </is>
      </c>
      <c r="H4378" t="inlineStr">
        <is>
          <t>0</t>
        </is>
      </c>
      <c r="I4378" t="inlineStr">
        <is>
          <t>14⁶, 28⁶</t>
        </is>
      </c>
      <c r="J4378" t="n">
        <v>12</v>
      </c>
      <c r="K4378" t="inlineStr">
        <is>
          <t>6²¹</t>
        </is>
      </c>
      <c r="L4378" t="inlineStr">
        <is>
          <t>14A⁶, 28J⁶, 28A⁸</t>
        </is>
      </c>
      <c r="M4378" t="inlineStr"/>
      <c r="N4378" t="inlineStr">
        <is>
          <t>28J⁶, 14A⁰, 14B², 14F¹, 7D⁰, 14B¹, 28A⁸, 14C², 14F², 2B⁰, 1A⁰, 14A⁶, 28B², 7A⁰</t>
        </is>
      </c>
      <c r="O4378" t="inlineStr"/>
    </row>
    <row r="4379">
      <c r="A4379">
        <f>HYPERLINK("https://mathstats.uncg.edu/sites/pauli/congruence/csg16.html#group28E16", "28E¹⁶")</f>
        <v/>
      </c>
      <c r="B4379" t="n">
        <v>16</v>
      </c>
      <c r="C4379" t="inlineStr"/>
      <c r="D4379" t="inlineStr">
        <is>
          <t>252</t>
        </is>
      </c>
      <c r="E4379" t="inlineStr">
        <is>
          <t>2</t>
        </is>
      </c>
      <c r="F4379" t="inlineStr">
        <is>
          <t>63</t>
        </is>
      </c>
      <c r="G4379" t="inlineStr">
        <is>
          <t>0</t>
        </is>
      </c>
      <c r="H4379" t="inlineStr">
        <is>
          <t>0</t>
        </is>
      </c>
      <c r="I4379" t="inlineStr">
        <is>
          <t>14⁶, 28⁶</t>
        </is>
      </c>
      <c r="J4379" t="n">
        <v>12</v>
      </c>
      <c r="K4379" t="inlineStr">
        <is>
          <t>6²¹</t>
        </is>
      </c>
      <c r="L4379" t="inlineStr">
        <is>
          <t>14A⁶, 28A⁶, 28B⁷, 28C⁷</t>
        </is>
      </c>
      <c r="M4379" t="inlineStr"/>
      <c r="N4379" t="inlineStr">
        <is>
          <t>14A⁰, 14B², 7D⁰, 14B¹, 28B³, 14C², 28A³, 2B⁰, 4B⁰, 1A⁰, 14A⁶, 14F¹, 28A⁶, 28B⁷, 14F², 28C⁷, 7A⁰</t>
        </is>
      </c>
      <c r="O4379" t="inlineStr"/>
    </row>
    <row r="4380">
      <c r="A4380">
        <f>HYPERLINK("https://mathstats.uncg.edu/sites/pauli/congruence/csg16.html#group28F16", "28F¹⁶")</f>
        <v/>
      </c>
      <c r="B4380" t="n">
        <v>16</v>
      </c>
      <c r="C4380" t="inlineStr"/>
      <c r="D4380" t="inlineStr">
        <is>
          <t>252</t>
        </is>
      </c>
      <c r="E4380" t="inlineStr">
        <is>
          <t>2</t>
        </is>
      </c>
      <c r="F4380" t="inlineStr">
        <is>
          <t>63</t>
        </is>
      </c>
      <c r="G4380" t="inlineStr">
        <is>
          <t>0</t>
        </is>
      </c>
      <c r="H4380" t="inlineStr">
        <is>
          <t>0</t>
        </is>
      </c>
      <c r="I4380" t="inlineStr">
        <is>
          <t>14⁶, 28⁶</t>
        </is>
      </c>
      <c r="J4380" t="n">
        <v>12</v>
      </c>
      <c r="K4380" t="inlineStr">
        <is>
          <t>6²¹</t>
        </is>
      </c>
      <c r="L4380" t="inlineStr">
        <is>
          <t>28B⁶, 28J⁶, 14A⁷, 28C⁷</t>
        </is>
      </c>
      <c r="M4380" t="inlineStr"/>
      <c r="N4380" t="inlineStr">
        <is>
          <t>2A⁰, 28B⁶, 7D⁰, 14B¹, 14B³, 14A¹, 2B⁰, 1A⁰, 14A⁷, 28J⁶, 28C⁷, 14A³, 14F², 28B³, 2C⁰, 28B², 7A⁰</t>
        </is>
      </c>
      <c r="O4380" t="inlineStr"/>
    </row>
    <row r="4381">
      <c r="A4381">
        <f>HYPERLINK("https://mathstats.uncg.edu/sites/pauli/congruence/csg16.html#group28G16", "28G¹⁶")</f>
        <v/>
      </c>
      <c r="B4381" t="n">
        <v>16</v>
      </c>
      <c r="C4381" t="inlineStr"/>
      <c r="D4381" t="inlineStr">
        <is>
          <t>288</t>
        </is>
      </c>
      <c r="E4381" t="inlineStr">
        <is>
          <t>1</t>
        </is>
      </c>
      <c r="F4381" t="inlineStr">
        <is>
          <t>8</t>
        </is>
      </c>
      <c r="G4381" t="inlineStr">
        <is>
          <t>0</t>
        </is>
      </c>
      <c r="H4381" t="inlineStr">
        <is>
          <t>0</t>
        </is>
      </c>
      <c r="I4381" t="inlineStr">
        <is>
          <t>4⁹, 28⁹</t>
        </is>
      </c>
      <c r="J4381" t="n">
        <v>18</v>
      </c>
      <c r="K4381" t="inlineStr">
        <is>
          <t>1², 6¹</t>
        </is>
      </c>
      <c r="L4381" t="inlineStr">
        <is>
          <t>28F², 14B⁴, 28E⁶, 28D⁶</t>
        </is>
      </c>
      <c r="M4381" t="inlineStr"/>
      <c r="N4381" t="inlineStr">
        <is>
          <t>2A⁰, 28A⁰, 28D⁶, 14D², 14B⁴, 2B⁰, 28E⁶, 7E⁰, 14E², 1A⁰, 7B⁰, 14H¹, 14B⁰, 14C¹, 14C⁰, 28F², 2C⁰</t>
        </is>
      </c>
      <c r="O4381" t="inlineStr"/>
    </row>
    <row r="4382">
      <c r="A4382">
        <f>HYPERLINK("https://mathstats.uncg.edu/sites/pauli/congruence/csg16.html#group28H16", "28H¹⁶")</f>
        <v/>
      </c>
      <c r="B4382" t="n">
        <v>16</v>
      </c>
      <c r="C4382" t="inlineStr"/>
      <c r="D4382" t="inlineStr">
        <is>
          <t>288</t>
        </is>
      </c>
      <c r="E4382" t="inlineStr">
        <is>
          <t>1</t>
        </is>
      </c>
      <c r="F4382" t="inlineStr">
        <is>
          <t>48</t>
        </is>
      </c>
      <c r="G4382" t="inlineStr">
        <is>
          <t>0</t>
        </is>
      </c>
      <c r="H4382" t="inlineStr">
        <is>
          <t>0</t>
        </is>
      </c>
      <c r="I4382" t="inlineStr">
        <is>
          <t>4⁹, 28⁹</t>
        </is>
      </c>
      <c r="J4382" t="n">
        <v>18</v>
      </c>
      <c r="K4382" t="inlineStr">
        <is>
          <t>1⁴, 2⁴, 6², 12²</t>
        </is>
      </c>
      <c r="L4382" t="inlineStr">
        <is>
          <t>28F⁶, 28G⁶, 28D⁷</t>
        </is>
      </c>
      <c r="M4382" t="inlineStr"/>
      <c r="N4382" t="inlineStr">
        <is>
          <t>28F⁶, 7B⁰, 4A⁰, 4C⁰, 14H¹, 14C¹, 2B⁰, 7E⁰, 4F⁰, 28G⁶, 28C³, 1A⁰, 28D⁷, 28A²</t>
        </is>
      </c>
      <c r="O4382" t="inlineStr"/>
    </row>
    <row r="4383">
      <c r="A4383">
        <f>HYPERLINK("https://mathstats.uncg.edu/sites/pauli/congruence/csg16.html#group30A16", "30A¹⁶")</f>
        <v/>
      </c>
      <c r="B4383" t="n">
        <v>16</v>
      </c>
      <c r="C4383" t="inlineStr"/>
      <c r="D4383" t="inlineStr">
        <is>
          <t>240</t>
        </is>
      </c>
      <c r="E4383" t="inlineStr">
        <is>
          <t>1</t>
        </is>
      </c>
      <c r="F4383" t="inlineStr">
        <is>
          <t>80</t>
        </is>
      </c>
      <c r="G4383" t="inlineStr">
        <is>
          <t>0</t>
        </is>
      </c>
      <c r="H4383" t="inlineStr">
        <is>
          <t>3</t>
        </is>
      </c>
      <c r="I4383" t="inlineStr">
        <is>
          <t>30⁸</t>
        </is>
      </c>
      <c r="J4383" t="n">
        <v>8</v>
      </c>
      <c r="K4383" t="inlineStr">
        <is>
          <t>4⁴, 8⁸</t>
        </is>
      </c>
      <c r="L4383" t="inlineStr">
        <is>
          <t>6J⁰, 30B⁴, 30J⁵</t>
        </is>
      </c>
      <c r="M4383" t="inlineStr"/>
      <c r="N4383" t="inlineStr">
        <is>
          <t>30J⁵, 3B⁰, 2A⁰, 30B⁴, 6A⁰, 6C⁰, 5C⁰, 6J⁰, 10C¹, 15C², 1A⁰</t>
        </is>
      </c>
      <c r="O4383" t="inlineStr"/>
    </row>
    <row r="4384">
      <c r="A4384">
        <f>HYPERLINK("https://mathstats.uncg.edu/sites/pauli/congruence/csg16.html#group30B16", "30B¹⁶")</f>
        <v/>
      </c>
      <c r="B4384" t="n">
        <v>16</v>
      </c>
      <c r="C4384" t="inlineStr"/>
      <c r="D4384" t="inlineStr">
        <is>
          <t>270</t>
        </is>
      </c>
      <c r="E4384" t="inlineStr">
        <is>
          <t>1</t>
        </is>
      </c>
      <c r="F4384" t="inlineStr">
        <is>
          <t>45</t>
        </is>
      </c>
      <c r="G4384" t="inlineStr">
        <is>
          <t>6</t>
        </is>
      </c>
      <c r="H4384" t="inlineStr">
        <is>
          <t>0</t>
        </is>
      </c>
      <c r="I4384" t="inlineStr">
        <is>
          <t>15⁶, 30⁶</t>
        </is>
      </c>
      <c r="J4384" t="n">
        <v>12</v>
      </c>
      <c r="K4384" t="inlineStr">
        <is>
          <t>1³, 2³, 4³, 8³</t>
        </is>
      </c>
      <c r="L4384" t="inlineStr">
        <is>
          <t>15C⁴, 30A⁶, 30P⁷</t>
        </is>
      </c>
      <c r="M4384" t="inlineStr"/>
      <c r="N4384" t="inlineStr">
        <is>
          <t>5A⁰, 10B¹, 15F¹, 6G⁰, 2B⁰, 1A⁰, 15C⁴, 30P⁷, 30D³, 10I¹, 15A², 30E³, 6D⁰, 5E⁰, 3C⁰, 30A⁶, 3A⁰, 15A¹, 15A⁰</t>
        </is>
      </c>
      <c r="O4384" t="inlineStr"/>
    </row>
    <row r="4385">
      <c r="A4385">
        <f>HYPERLINK("https://mathstats.uncg.edu/sites/pauli/congruence/csg16.html#group30C16", "30C¹⁶")</f>
        <v/>
      </c>
      <c r="B4385" t="n">
        <v>16</v>
      </c>
      <c r="C4385" t="inlineStr"/>
      <c r="D4385" t="inlineStr">
        <is>
          <t>270</t>
        </is>
      </c>
      <c r="E4385" t="inlineStr">
        <is>
          <t>1</t>
        </is>
      </c>
      <c r="F4385" t="inlineStr">
        <is>
          <t>45</t>
        </is>
      </c>
      <c r="G4385" t="inlineStr">
        <is>
          <t>6</t>
        </is>
      </c>
      <c r="H4385" t="inlineStr">
        <is>
          <t>0</t>
        </is>
      </c>
      <c r="I4385" t="inlineStr">
        <is>
          <t>15⁶, 30⁶</t>
        </is>
      </c>
      <c r="J4385" t="n">
        <v>12</v>
      </c>
      <c r="K4385" t="inlineStr">
        <is>
          <t>1³, 2³, 4⁹</t>
        </is>
      </c>
      <c r="L4385" t="inlineStr">
        <is>
          <t>10F², 30E², 15D⁴, 30K⁵, 30P⁷</t>
        </is>
      </c>
      <c r="M4385" t="inlineStr"/>
      <c r="N4385" t="inlineStr">
        <is>
          <t>5A⁰, 15D⁴, 15A¹, 10B¹, 15F¹, 5B⁰, 2B⁰, 1A⁰, 10F¹, 30K⁵, 30P⁷, 30D³, 15D¹, 15B⁰, 10I¹, 30E², 30E³, 10F², 5E⁰, 10C⁰, 3A⁰, 5C⁰, 5G⁰, 6D⁰, 15A⁰</t>
        </is>
      </c>
      <c r="O4385" t="inlineStr"/>
    </row>
    <row r="4386">
      <c r="A4386">
        <f>HYPERLINK("https://mathstats.uncg.edu/sites/pauli/congruence/csg16.html#group30D16", "30D¹⁶")</f>
        <v/>
      </c>
      <c r="B4386" t="n">
        <v>16</v>
      </c>
      <c r="C4386" t="inlineStr"/>
      <c r="D4386" t="inlineStr">
        <is>
          <t>270</t>
        </is>
      </c>
      <c r="E4386" t="inlineStr">
        <is>
          <t>1</t>
        </is>
      </c>
      <c r="F4386" t="inlineStr">
        <is>
          <t>45</t>
        </is>
      </c>
      <c r="G4386" t="inlineStr">
        <is>
          <t>12</t>
        </is>
      </c>
      <c r="H4386" t="inlineStr">
        <is>
          <t>0</t>
        </is>
      </c>
      <c r="I4386" t="inlineStr">
        <is>
          <t>30⁹</t>
        </is>
      </c>
      <c r="J4386" t="n">
        <v>9</v>
      </c>
      <c r="K4386" t="inlineStr">
        <is>
          <t>1³, 2³, 4³, 8³</t>
        </is>
      </c>
      <c r="L4386" t="inlineStr">
        <is>
          <t>30E⁴, 30B⁶, 30P⁷</t>
        </is>
      </c>
      <c r="M4386" t="inlineStr"/>
      <c r="N4386" t="inlineStr">
        <is>
          <t>5A⁰, 6B⁰, 15A¹, 10B¹, 15F¹, 2B⁰, 30B⁶, 1A⁰, 30P⁷, 30D³, 30A², 30E⁴, 10I¹, 30E³, 5E⁰, 6H⁰, 3A⁰, 6D⁰, 15A⁰</t>
        </is>
      </c>
      <c r="O4386" t="inlineStr"/>
    </row>
    <row r="4387">
      <c r="A4387">
        <f>HYPERLINK("https://mathstats.uncg.edu/sites/pauli/congruence/csg16.html#group30E16", "30E¹⁶")</f>
        <v/>
      </c>
      <c r="B4387" t="n">
        <v>16</v>
      </c>
      <c r="C4387" t="inlineStr"/>
      <c r="D4387" t="inlineStr">
        <is>
          <t>270</t>
        </is>
      </c>
      <c r="E4387" t="inlineStr">
        <is>
          <t>1</t>
        </is>
      </c>
      <c r="F4387" t="inlineStr">
        <is>
          <t>45</t>
        </is>
      </c>
      <c r="G4387" t="inlineStr">
        <is>
          <t>12</t>
        </is>
      </c>
      <c r="H4387" t="inlineStr">
        <is>
          <t>0</t>
        </is>
      </c>
      <c r="I4387" t="inlineStr">
        <is>
          <t>30⁹</t>
        </is>
      </c>
      <c r="J4387" t="n">
        <v>9</v>
      </c>
      <c r="K4387" t="inlineStr">
        <is>
          <t>1³, 2³, 4⁹</t>
        </is>
      </c>
      <c r="L4387" t="inlineStr">
        <is>
          <t>10C³, 30F⁴, 30P⁷</t>
        </is>
      </c>
      <c r="M4387" t="inlineStr"/>
      <c r="N4387" t="inlineStr">
        <is>
          <t>5A⁰, 15A¹, 10B¹, 15F¹, 2B⁰, 10E¹, 1A⁰, 30P⁷, 10C³, 30D³, 30F⁴, 10I¹, 30E³, 5E⁰, 3A⁰, 6D⁰, 15A⁰</t>
        </is>
      </c>
      <c r="O4387" t="inlineStr"/>
    </row>
    <row r="4388">
      <c r="A4388">
        <f>HYPERLINK("https://mathstats.uncg.edu/sites/pauli/congruence/csg16.html#group35A16", "35A¹⁶")</f>
        <v/>
      </c>
      <c r="B4388" t="n">
        <v>16</v>
      </c>
      <c r="C4388" t="inlineStr"/>
      <c r="D4388" t="inlineStr">
        <is>
          <t>252</t>
        </is>
      </c>
      <c r="E4388" t="inlineStr">
        <is>
          <t>1</t>
        </is>
      </c>
      <c r="F4388" t="inlineStr">
        <is>
          <t>126</t>
        </is>
      </c>
      <c r="G4388" t="inlineStr">
        <is>
          <t>0</t>
        </is>
      </c>
      <c r="H4388" t="inlineStr">
        <is>
          <t>0</t>
        </is>
      </c>
      <c r="I4388" t="inlineStr">
        <is>
          <t>7⁶, 35⁶</t>
        </is>
      </c>
      <c r="J4388" t="n">
        <v>12</v>
      </c>
      <c r="K4388" t="inlineStr">
        <is>
          <t>3², 6⁶, 12¹, 24³</t>
        </is>
      </c>
      <c r="L4388" t="inlineStr">
        <is>
          <t>35A⁶, 35E⁶</t>
        </is>
      </c>
      <c r="M4388" t="inlineStr"/>
      <c r="N4388" t="inlineStr">
        <is>
          <t>35C², 7D⁰, 35E⁶, 5B⁰, 5D⁰, 1A⁰, 35A⁶, 7A⁰</t>
        </is>
      </c>
      <c r="O4388" t="inlineStr"/>
    </row>
    <row r="4389">
      <c r="A4389">
        <f>HYPERLINK("https://mathstats.uncg.edu/sites/pauli/congruence/csg16.html#group36A16", "36A¹⁶")</f>
        <v/>
      </c>
      <c r="B4389" t="n">
        <v>16</v>
      </c>
      <c r="C4389" t="inlineStr"/>
      <c r="D4389" t="inlineStr">
        <is>
          <t>216</t>
        </is>
      </c>
      <c r="E4389" t="inlineStr">
        <is>
          <t>1</t>
        </is>
      </c>
      <c r="F4389" t="inlineStr">
        <is>
          <t>9</t>
        </is>
      </c>
      <c r="G4389" t="inlineStr">
        <is>
          <t>0</t>
        </is>
      </c>
      <c r="H4389" t="inlineStr">
        <is>
          <t>0</t>
        </is>
      </c>
      <c r="I4389" t="inlineStr">
        <is>
          <t>36⁶</t>
        </is>
      </c>
      <c r="J4389" t="n">
        <v>6</v>
      </c>
      <c r="K4389" t="inlineStr">
        <is>
          <t>1¹, 2¹, 6¹</t>
        </is>
      </c>
      <c r="L4389" t="inlineStr">
        <is>
          <t>12A⁴, 36A⁶, 36F⁶, 36B⁸</t>
        </is>
      </c>
      <c r="M4389" t="inlineStr"/>
      <c r="N4389" t="inlineStr">
        <is>
          <t>2A⁰, 12C⁰, 6C¹, 4C⁰, 12B², 36B², 4G⁰, 2B⁰, 4E⁰, 36A⁶, 4B⁰, 1A⁰, 12A⁴, 36F⁶, 4D⁰, 18A⁴, 12A², 6A¹, 12B¹, 18E¹, 3A⁰, 12E¹, 36B⁸, 18A², 36A¹, 12A⁰, 6A⁰, 4A⁰, 9A⁰, 36D⁴, 12J¹, 4F⁰, 2C⁰, 6D⁰</t>
        </is>
      </c>
      <c r="O4389" t="inlineStr"/>
    </row>
    <row r="4390">
      <c r="A4390">
        <f>HYPERLINK("https://mathstats.uncg.edu/sites/pauli/congruence/csg16.html#group36B16", "36B¹⁶")</f>
        <v/>
      </c>
      <c r="B4390" t="n">
        <v>16</v>
      </c>
      <c r="C4390" t="inlineStr"/>
      <c r="D4390" t="inlineStr">
        <is>
          <t>216</t>
        </is>
      </c>
      <c r="E4390" t="inlineStr">
        <is>
          <t>1</t>
        </is>
      </c>
      <c r="F4390" t="inlineStr">
        <is>
          <t>27</t>
        </is>
      </c>
      <c r="G4390" t="inlineStr">
        <is>
          <t>0</t>
        </is>
      </c>
      <c r="H4390" t="inlineStr">
        <is>
          <t>0</t>
        </is>
      </c>
      <c r="I4390" t="inlineStr">
        <is>
          <t>36⁶</t>
        </is>
      </c>
      <c r="J4390" t="n">
        <v>6</v>
      </c>
      <c r="K4390" t="inlineStr">
        <is>
          <t>1³, 2³, 6³</t>
        </is>
      </c>
      <c r="L4390" t="inlineStr">
        <is>
          <t>12C⁴, 36E⁶, 36B⁸, 36D⁸</t>
        </is>
      </c>
      <c r="M4390" t="inlineStr"/>
      <c r="N4390" t="inlineStr">
        <is>
          <t>2A⁰, 12C⁰, 36E⁶, 36E³, 36B², 6C¹, 12B², 4C⁰, 12E², 36B⁸, 2B⁰, 4E⁰, 18A², 4B⁰, 12M¹, 1A⁰, 36D⁸, 6A⁰, 12C¹, 18A⁴, 9A⁰, 36D³, 36D⁴, 18E¹, 12B¹, 6A¹, 12D⁰, 12C⁴, 3A⁰, 2C⁰, 6D⁰</t>
        </is>
      </c>
      <c r="O4390" t="inlineStr"/>
    </row>
    <row r="4391">
      <c r="A4391">
        <f>HYPERLINK("https://mathstats.uncg.edu/sites/pauli/congruence/csg16.html#group36C16", "36C¹⁶")</f>
        <v/>
      </c>
      <c r="B4391" t="n">
        <v>16</v>
      </c>
      <c r="C4391" t="inlineStr"/>
      <c r="D4391" t="inlineStr">
        <is>
          <t>216</t>
        </is>
      </c>
      <c r="E4391" t="inlineStr">
        <is>
          <t>1</t>
        </is>
      </c>
      <c r="F4391" t="inlineStr">
        <is>
          <t>54</t>
        </is>
      </c>
      <c r="G4391" t="inlineStr">
        <is>
          <t>0</t>
        </is>
      </c>
      <c r="H4391" t="inlineStr">
        <is>
          <t>0</t>
        </is>
      </c>
      <c r="I4391" t="inlineStr">
        <is>
          <t>36⁶</t>
        </is>
      </c>
      <c r="J4391" t="n">
        <v>6</v>
      </c>
      <c r="K4391" t="inlineStr">
        <is>
          <t>2⁹, 6⁶</t>
        </is>
      </c>
      <c r="L4391" t="inlineStr">
        <is>
          <t>12B⁴, 36D⁸, 36G⁸</t>
        </is>
      </c>
      <c r="M4391" t="inlineStr"/>
      <c r="N4391" t="inlineStr">
        <is>
          <t>2A⁰, 12H¹, 36E³, 6C¹, 12E², 36E⁴, 12B⁴, 2B⁰, 18A², 36G⁸, 1A⁰, 36D⁸, 12C¹, 6A⁰, 18A⁴, 9A⁰, 36D³, 6A¹, 12D⁰, 18E¹, 3A⁰, 2C⁰, 6D⁰, 36C²</t>
        </is>
      </c>
      <c r="O4391" t="inlineStr"/>
    </row>
    <row r="4392">
      <c r="A4392">
        <f>HYPERLINK("https://mathstats.uncg.edu/sites/pauli/congruence/csg16.html#group36D16", "36D¹⁶")</f>
        <v/>
      </c>
      <c r="B4392" t="n">
        <v>16</v>
      </c>
      <c r="C4392" t="inlineStr"/>
      <c r="D4392" t="inlineStr">
        <is>
          <t>216</t>
        </is>
      </c>
      <c r="E4392" t="inlineStr">
        <is>
          <t>1</t>
        </is>
      </c>
      <c r="F4392" t="inlineStr">
        <is>
          <t>108</t>
        </is>
      </c>
      <c r="G4392" t="inlineStr">
        <is>
          <t>0</t>
        </is>
      </c>
      <c r="H4392" t="inlineStr">
        <is>
          <t>0</t>
        </is>
      </c>
      <c r="I4392" t="inlineStr">
        <is>
          <t>36⁶</t>
        </is>
      </c>
      <c r="J4392" t="n">
        <v>6</v>
      </c>
      <c r="K4392" t="inlineStr">
        <is>
          <t>6², 12⁸</t>
        </is>
      </c>
      <c r="L4392" t="inlineStr">
        <is>
          <t>18B⁴, 36J⁵, 36A⁶</t>
        </is>
      </c>
      <c r="M4392" t="inlineStr"/>
      <c r="N4392" t="inlineStr">
        <is>
          <t>36A¹, 2A⁰, 36J⁵, 12A⁰, 18B⁴, 3A⁰, 4A⁰, 4D⁰, 9A⁰, 9G⁰, 12A², 6A¹, 18A², 36A⁶, 1A⁰</t>
        </is>
      </c>
      <c r="O4392" t="inlineStr"/>
    </row>
    <row r="4393">
      <c r="A4393">
        <f>HYPERLINK("https://mathstats.uncg.edu/sites/pauli/congruence/csg16.html#group36E16", "36E¹⁶")</f>
        <v/>
      </c>
      <c r="B4393" t="n">
        <v>16</v>
      </c>
      <c r="C4393" t="inlineStr"/>
      <c r="D4393" t="inlineStr">
        <is>
          <t>216</t>
        </is>
      </c>
      <c r="E4393" t="inlineStr">
        <is>
          <t>2</t>
        </is>
      </c>
      <c r="F4393" t="inlineStr">
        <is>
          <t>27</t>
        </is>
      </c>
      <c r="G4393" t="inlineStr">
        <is>
          <t>0</t>
        </is>
      </c>
      <c r="H4393" t="inlineStr">
        <is>
          <t>0</t>
        </is>
      </c>
      <c r="I4393" t="inlineStr">
        <is>
          <t>36⁶</t>
        </is>
      </c>
      <c r="J4393" t="n">
        <v>6</v>
      </c>
      <c r="K4393" t="inlineStr">
        <is>
          <t>2⁹, 6⁶</t>
        </is>
      </c>
      <c r="L4393" t="inlineStr">
        <is>
          <t>12C⁴, 36I⁶, 36B⁸, 36G⁸</t>
        </is>
      </c>
      <c r="M4393" t="inlineStr"/>
      <c r="N4393" t="inlineStr">
        <is>
          <t>2A⁰, 12C⁰, 6C¹, 36B², 12B², 12E², 36E⁴, 4C⁰, 36B⁸, 2B⁰, 18A², 4E⁰, 36G⁸, 4B⁰, 1A⁰, 12M¹, 36I⁶, 12C¹, 6A⁰, 18A⁴, 9A⁰, 36D⁴, 18E¹, 6A¹, 12D⁰, 12B¹, 12C⁴, 3A⁰, 2C⁰, 6D⁰, 36C²</t>
        </is>
      </c>
      <c r="O4393" t="inlineStr"/>
    </row>
    <row r="4394">
      <c r="A4394">
        <f>HYPERLINK("https://mathstats.uncg.edu/sites/pauli/congruence/csg16.html#group36F16", "36F¹⁶")</f>
        <v/>
      </c>
      <c r="B4394" t="n">
        <v>16</v>
      </c>
      <c r="C4394" t="inlineStr"/>
      <c r="D4394" t="inlineStr">
        <is>
          <t>288</t>
        </is>
      </c>
      <c r="E4394" t="inlineStr">
        <is>
          <t>1</t>
        </is>
      </c>
      <c r="F4394" t="inlineStr">
        <is>
          <t>32</t>
        </is>
      </c>
      <c r="G4394" t="inlineStr">
        <is>
          <t>0</t>
        </is>
      </c>
      <c r="H4394" t="inlineStr">
        <is>
          <t>9</t>
        </is>
      </c>
      <c r="I4394" t="inlineStr">
        <is>
          <t>12⁶, 36⁶</t>
        </is>
      </c>
      <c r="J4394" t="n">
        <v>12</v>
      </c>
      <c r="K4394" t="inlineStr">
        <is>
          <t>4⁸</t>
        </is>
      </c>
      <c r="L4394" t="inlineStr">
        <is>
          <t>18K¹, 12D⁴, 36O⁴, 36G⁵, 36B⁶</t>
        </is>
      </c>
      <c r="M4394" t="inlineStr"/>
      <c r="N4394" t="inlineStr">
        <is>
          <t>3B⁰, 2A⁰, 12I¹, 12H¹, 36B⁶, 18K¹, 18B⁰, 6C⁰, 12E¹, 9C⁰, 36O⁴, 1A⁰, 36G⁵, 36C³, 18C⁰, 12D⁴, 6A⁰, 4A⁰, 4D⁰, 12A¹, 6J⁰, 18D¹</t>
        </is>
      </c>
      <c r="O4394" t="inlineStr"/>
    </row>
    <row r="4395">
      <c r="A4395">
        <f>HYPERLINK("https://mathstats.uncg.edu/sites/pauli/congruence/csg16.html#group36G16", "36G¹⁶")</f>
        <v/>
      </c>
      <c r="B4395" t="n">
        <v>16</v>
      </c>
      <c r="C4395" t="inlineStr"/>
      <c r="D4395" t="inlineStr">
        <is>
          <t>324</t>
        </is>
      </c>
      <c r="E4395" t="inlineStr">
        <is>
          <t>1</t>
        </is>
      </c>
      <c r="F4395" t="inlineStr">
        <is>
          <t>54</t>
        </is>
      </c>
      <c r="G4395" t="inlineStr">
        <is>
          <t>12</t>
        </is>
      </c>
      <c r="H4395" t="inlineStr">
        <is>
          <t>0</t>
        </is>
      </c>
      <c r="I4395" t="inlineStr">
        <is>
          <t>9¹², 36⁶</t>
        </is>
      </c>
      <c r="J4395" t="n">
        <v>18</v>
      </c>
      <c r="K4395" t="inlineStr">
        <is>
          <t>1³, 2³, 3³, 6⁶</t>
        </is>
      </c>
      <c r="L4395" t="inlineStr">
        <is>
          <t>36I³, 36P⁴, 18I⁷</t>
        </is>
      </c>
      <c r="M4395" t="inlineStr"/>
      <c r="N4395" t="inlineStr">
        <is>
          <t>18I¹, 36P⁴, 6G⁰, 9E¹, 18I⁷, 2B⁰, 9E⁰, 1A⁰, 12G⁰, 9D⁰, 9A⁰, 3C⁰, 12D⁰, 36I³, 18E¹, 3A⁰, 18I², 6D⁰, 36C²</t>
        </is>
      </c>
      <c r="O4395" t="inlineStr"/>
    </row>
    <row r="4396">
      <c r="A4396">
        <f>HYPERLINK("https://mathstats.uncg.edu/sites/pauli/congruence/csg16.html#group36H16", "36H¹⁶")</f>
        <v/>
      </c>
      <c r="B4396" t="n">
        <v>16</v>
      </c>
      <c r="C4396" t="inlineStr"/>
      <c r="D4396" t="inlineStr">
        <is>
          <t>324</t>
        </is>
      </c>
      <c r="E4396" t="inlineStr">
        <is>
          <t>1</t>
        </is>
      </c>
      <c r="F4396" t="inlineStr">
        <is>
          <t>81</t>
        </is>
      </c>
      <c r="G4396" t="inlineStr">
        <is>
          <t>24</t>
        </is>
      </c>
      <c r="H4396" t="inlineStr">
        <is>
          <t>0</t>
        </is>
      </c>
      <c r="I4396" t="inlineStr">
        <is>
          <t>18⁶, 36⁶</t>
        </is>
      </c>
      <c r="J4396" t="n">
        <v>12</v>
      </c>
      <c r="K4396" t="inlineStr">
        <is>
          <t>3³, 6¹²</t>
        </is>
      </c>
      <c r="L4396" t="inlineStr">
        <is>
          <t>36R⁴, 18K⁷, 36L⁷, 36L⁸</t>
        </is>
      </c>
      <c r="M4396" t="inlineStr"/>
      <c r="N4396" t="inlineStr">
        <is>
          <t>6B⁰, 12C⁰, 18K⁷, 18H¹, 36L⁸, 9G⁰, 36B², 4C⁰, 36R⁴, 2B⁰, 12H⁰, 1A⁰, 18A⁰, 18L², 36L⁷, 18J³, 9A⁰, 18E¹, 12D⁰, 6H⁰, 3A⁰, 6D⁰, 36C²</t>
        </is>
      </c>
      <c r="O4396" t="inlineStr"/>
    </row>
    <row r="4397">
      <c r="A4397">
        <f>HYPERLINK("https://mathstats.uncg.edu/sites/pauli/congruence/csg16.html#group36I16", "36I¹⁶")</f>
        <v/>
      </c>
      <c r="B4397" t="n">
        <v>16</v>
      </c>
      <c r="C4397" t="inlineStr"/>
      <c r="D4397" t="inlineStr">
        <is>
          <t>324</t>
        </is>
      </c>
      <c r="E4397" t="inlineStr">
        <is>
          <t>2</t>
        </is>
      </c>
      <c r="F4397" t="inlineStr">
        <is>
          <t>27</t>
        </is>
      </c>
      <c r="G4397" t="inlineStr">
        <is>
          <t>12</t>
        </is>
      </c>
      <c r="H4397" t="inlineStr">
        <is>
          <t>0</t>
        </is>
      </c>
      <c r="I4397" t="inlineStr">
        <is>
          <t>9¹², 36⁶</t>
        </is>
      </c>
      <c r="J4397" t="n">
        <v>18</v>
      </c>
      <c r="K4397" t="inlineStr">
        <is>
          <t>2⁹, 6⁶</t>
        </is>
      </c>
      <c r="L4397" t="inlineStr">
        <is>
          <t>36P⁴, 36H⁶, 18M⁷, 36L⁷, 36M⁸</t>
        </is>
      </c>
      <c r="M4397" t="inlineStr"/>
      <c r="N4397" t="inlineStr">
        <is>
          <t>9G⁰, 36P⁴, 18M⁷, 6G⁰, 2B⁰, 1A⁰, 9B¹, 18E³, 36L⁷, 36M⁸, 36H⁶, 12G⁰, 9D⁰, 18J³, 9A⁰, 3C⁰, 12D⁰, 18E¹, 3A⁰, 36D³, 18I², 6D⁰, 36C², 9F¹</t>
        </is>
      </c>
      <c r="O4397" t="inlineStr"/>
    </row>
    <row r="4398">
      <c r="A4398">
        <f>HYPERLINK("https://mathstats.uncg.edu/sites/pauli/congruence/csg16.html#group37A16", "37A¹⁶")</f>
        <v/>
      </c>
      <c r="B4398" t="n">
        <v>16</v>
      </c>
      <c r="C4398" t="inlineStr"/>
      <c r="D4398" t="inlineStr">
        <is>
          <t>342</t>
        </is>
      </c>
      <c r="E4398" t="inlineStr">
        <is>
          <t>1</t>
        </is>
      </c>
      <c r="F4398" t="inlineStr">
        <is>
          <t>38</t>
        </is>
      </c>
      <c r="G4398" t="inlineStr">
        <is>
          <t>18</t>
        </is>
      </c>
      <c r="H4398" t="inlineStr">
        <is>
          <t>0</t>
        </is>
      </c>
      <c r="I4398" t="inlineStr">
        <is>
          <t>1⁹, 37⁹</t>
        </is>
      </c>
      <c r="J4398" t="n">
        <v>18</v>
      </c>
      <c r="K4398" t="inlineStr">
        <is>
          <t>1², 36¹</t>
        </is>
      </c>
      <c r="L4398" t="inlineStr">
        <is>
          <t>37B⁴</t>
        </is>
      </c>
      <c r="M4398" t="inlineStr"/>
      <c r="N4398" t="inlineStr">
        <is>
          <t>37A², 37B⁴, 1A⁰</t>
        </is>
      </c>
      <c r="O4398" t="inlineStr"/>
    </row>
    <row r="4399">
      <c r="A4399">
        <f>HYPERLINK("https://mathstats.uncg.edu/sites/pauli/congruence/csg16.html#group38A16", "38A¹⁶")</f>
        <v/>
      </c>
      <c r="B4399" t="n">
        <v>16</v>
      </c>
      <c r="C4399" t="inlineStr"/>
      <c r="D4399" t="inlineStr">
        <is>
          <t>360</t>
        </is>
      </c>
      <c r="E4399" t="inlineStr">
        <is>
          <t>1</t>
        </is>
      </c>
      <c r="F4399" t="inlineStr">
        <is>
          <t>40</t>
        </is>
      </c>
      <c r="G4399" t="inlineStr">
        <is>
          <t>0</t>
        </is>
      </c>
      <c r="H4399" t="inlineStr">
        <is>
          <t>18</t>
        </is>
      </c>
      <c r="I4399" t="inlineStr">
        <is>
          <t>2⁹, 38⁹</t>
        </is>
      </c>
      <c r="J4399" t="n">
        <v>18</v>
      </c>
      <c r="K4399" t="inlineStr">
        <is>
          <t>1⁴, 18²</t>
        </is>
      </c>
      <c r="L4399" t="inlineStr">
        <is>
          <t>38B⁴</t>
        </is>
      </c>
      <c r="M4399" t="inlineStr"/>
      <c r="N4399" t="inlineStr">
        <is>
          <t>19A¹, 38B⁴, 2A⁰, 19B¹, 38A², 1A⁰</t>
        </is>
      </c>
      <c r="O4399" t="inlineStr"/>
    </row>
    <row r="4400">
      <c r="A4400">
        <f>HYPERLINK("https://mathstats.uncg.edu/sites/pauli/congruence/csg16.html#group39A16", "39A¹⁶")</f>
        <v/>
      </c>
      <c r="B4400" t="n">
        <v>16</v>
      </c>
      <c r="C4400" t="inlineStr"/>
      <c r="D4400" t="inlineStr">
        <is>
          <t>252</t>
        </is>
      </c>
      <c r="E4400" t="inlineStr">
        <is>
          <t>1</t>
        </is>
      </c>
      <c r="F4400" t="inlineStr">
        <is>
          <t>14</t>
        </is>
      </c>
      <c r="G4400" t="inlineStr">
        <is>
          <t>0</t>
        </is>
      </c>
      <c r="H4400" t="inlineStr">
        <is>
          <t>0</t>
        </is>
      </c>
      <c r="I4400" t="inlineStr">
        <is>
          <t>3⁶, 39⁶</t>
        </is>
      </c>
      <c r="J4400" t="n">
        <v>12</v>
      </c>
      <c r="K4400" t="inlineStr">
        <is>
          <t>1², 12¹</t>
        </is>
      </c>
      <c r="L4400" t="inlineStr">
        <is>
          <t>13A², 39B⁴, 39C⁴, 39A⁶</t>
        </is>
      </c>
      <c r="M4400" t="inlineStr"/>
      <c r="N4400" t="inlineStr">
        <is>
          <t>39B⁴, 39A², 13A², 13A⁰, 39C⁴, 13C⁰, 13B⁰, 39A⁶, 39A¹, 3A⁰, 1A⁰</t>
        </is>
      </c>
      <c r="O4400" t="inlineStr"/>
    </row>
    <row r="4401">
      <c r="A4401">
        <f>HYPERLINK("https://mathstats.uncg.edu/sites/pauli/congruence/csg16.html#group39B16", "39B¹⁶")</f>
        <v/>
      </c>
      <c r="B4401" t="n">
        <v>16</v>
      </c>
      <c r="C4401" t="inlineStr"/>
      <c r="D4401" t="inlineStr">
        <is>
          <t>273</t>
        </is>
      </c>
      <c r="E4401" t="inlineStr">
        <is>
          <t>2</t>
        </is>
      </c>
      <c r="F4401" t="inlineStr">
        <is>
          <t>91</t>
        </is>
      </c>
      <c r="G4401" t="inlineStr">
        <is>
          <t>9</t>
        </is>
      </c>
      <c r="H4401" t="inlineStr">
        <is>
          <t>6</t>
        </is>
      </c>
      <c r="I4401" t="inlineStr">
        <is>
          <t>39⁷</t>
        </is>
      </c>
      <c r="J4401" t="n">
        <v>7</v>
      </c>
      <c r="K4401" t="inlineStr">
        <is>
          <t>6¹, 8¹, 24⁷</t>
        </is>
      </c>
      <c r="L4401" t="inlineStr">
        <is>
          <t>13B³</t>
        </is>
      </c>
      <c r="M4401" t="inlineStr"/>
      <c r="N4401" t="inlineStr">
        <is>
          <t>1A⁰, 13B³</t>
        </is>
      </c>
      <c r="O4401" t="inlineStr"/>
    </row>
    <row r="4402">
      <c r="A4402">
        <f>HYPERLINK("https://mathstats.uncg.edu/sites/pauli/congruence/csg16.html#group40A16", "40A¹⁶")</f>
        <v/>
      </c>
      <c r="B4402" t="n">
        <v>16</v>
      </c>
      <c r="C4402" t="inlineStr"/>
      <c r="D4402" t="inlineStr">
        <is>
          <t>240</t>
        </is>
      </c>
      <c r="E4402" t="inlineStr">
        <is>
          <t>1</t>
        </is>
      </c>
      <c r="F4402" t="inlineStr">
        <is>
          <t>15</t>
        </is>
      </c>
      <c r="G4402" t="inlineStr">
        <is>
          <t>0</t>
        </is>
      </c>
      <c r="H4402" t="inlineStr">
        <is>
          <t>0</t>
        </is>
      </c>
      <c r="I4402" t="inlineStr">
        <is>
          <t>20⁸, 40²</t>
        </is>
      </c>
      <c r="J4402" t="n">
        <v>10</v>
      </c>
      <c r="K4402" t="inlineStr">
        <is>
          <t>1³, 4³</t>
        </is>
      </c>
      <c r="L4402" t="inlineStr">
        <is>
          <t>8N⁰, 20A⁸, 40D⁸, 40E⁸</t>
        </is>
      </c>
      <c r="M4402" t="inlineStr"/>
      <c r="N4402" t="inlineStr">
        <is>
          <t>2A⁰, 5A⁰, 4C⁰, 20A¹, 2B⁰, 4G⁰, 4E⁰, 4B⁰, 8K⁰, 1A⁰, 40E⁸, 10A⁰, 20D², 4D⁰, 20A², 8N⁰, 10B¹, 20B², 40D⁸, 20C⁴, 10B², 4A⁰, 20A⁴, 20A⁸, 4F⁰, 8J⁰, 2C⁰</t>
        </is>
      </c>
      <c r="O4402" t="inlineStr"/>
    </row>
    <row r="4403">
      <c r="A4403">
        <f>HYPERLINK("https://mathstats.uncg.edu/sites/pauli/congruence/csg16.html#group40B16", "40B¹⁶")</f>
        <v/>
      </c>
      <c r="B4403" t="n">
        <v>16</v>
      </c>
      <c r="C4403" t="inlineStr"/>
      <c r="D4403" t="inlineStr">
        <is>
          <t>240</t>
        </is>
      </c>
      <c r="E4403" t="inlineStr">
        <is>
          <t>1</t>
        </is>
      </c>
      <c r="F4403" t="inlineStr">
        <is>
          <t>30</t>
        </is>
      </c>
      <c r="G4403" t="inlineStr">
        <is>
          <t>0</t>
        </is>
      </c>
      <c r="H4403" t="inlineStr">
        <is>
          <t>0</t>
        </is>
      </c>
      <c r="I4403" t="inlineStr">
        <is>
          <t>10⁴, 20², 40⁴</t>
        </is>
      </c>
      <c r="J4403" t="n">
        <v>10</v>
      </c>
      <c r="K4403" t="inlineStr">
        <is>
          <t>1⁴, 2¹, 4⁴, 8¹</t>
        </is>
      </c>
      <c r="L4403" t="inlineStr">
        <is>
          <t>8O⁰, 40A⁸, 40C⁸, 40D⁸</t>
        </is>
      </c>
      <c r="M4403" t="inlineStr"/>
      <c r="N4403" t="inlineStr">
        <is>
          <t>2A⁰, 5A⁰, 4C⁰, 40A⁸, 8C⁰, 2B⁰, 4E⁰, 4B⁰, 1A⁰, 40C⁴, 10A⁰, 8G⁰, 40C⁸, 20A², 8D⁰, 10B¹, 20B², 40D⁸, 8I⁰, 10B², 40B⁴, 20A⁴, 8J⁰, 2C⁰, 8O⁰</t>
        </is>
      </c>
      <c r="O4403" t="inlineStr"/>
    </row>
    <row r="4404">
      <c r="A4404">
        <f>HYPERLINK("https://mathstats.uncg.edu/sites/pauli/congruence/csg16.html#group40C16", "40C¹⁶")</f>
        <v/>
      </c>
      <c r="B4404" t="n">
        <v>16</v>
      </c>
      <c r="C4404" t="inlineStr"/>
      <c r="D4404" t="inlineStr">
        <is>
          <t>240</t>
        </is>
      </c>
      <c r="E4404" t="inlineStr">
        <is>
          <t>1</t>
        </is>
      </c>
      <c r="F4404" t="inlineStr">
        <is>
          <t>60</t>
        </is>
      </c>
      <c r="G4404" t="inlineStr">
        <is>
          <t>4</t>
        </is>
      </c>
      <c r="H4404" t="inlineStr">
        <is>
          <t>0</t>
        </is>
      </c>
      <c r="I4404" t="inlineStr">
        <is>
          <t>20⁴, 40⁴</t>
        </is>
      </c>
      <c r="J4404" t="n">
        <v>8</v>
      </c>
      <c r="K4404" t="inlineStr">
        <is>
          <t>2⁶, 8⁶</t>
        </is>
      </c>
      <c r="L4404" t="inlineStr">
        <is>
          <t>8P⁰, 40B⁸, 40F⁸</t>
        </is>
      </c>
      <c r="M4404" t="inlineStr"/>
      <c r="N4404" t="inlineStr">
        <is>
          <t>40B⁸, 5A⁰, 40A⁴, 8D⁰, 10B¹, 20B², 4C⁰, 8B⁰, 8L⁰, 2B⁰, 20A¹, 20C⁴, 1A⁰, 40F⁸, 8H⁰, 40C⁴, 4A⁰, 4F⁰, 8P⁰</t>
        </is>
      </c>
      <c r="O4404" t="inlineStr"/>
    </row>
    <row r="4405">
      <c r="A4405">
        <f>HYPERLINK("https://mathstats.uncg.edu/sites/pauli/congruence/csg16.html#group40D16", "40D¹⁶")</f>
        <v/>
      </c>
      <c r="B4405" t="n">
        <v>16</v>
      </c>
      <c r="C4405" t="inlineStr"/>
      <c r="D4405" t="inlineStr">
        <is>
          <t>240</t>
        </is>
      </c>
      <c r="E4405" t="inlineStr">
        <is>
          <t>2</t>
        </is>
      </c>
      <c r="F4405" t="inlineStr">
        <is>
          <t>60</t>
        </is>
      </c>
      <c r="G4405" t="inlineStr">
        <is>
          <t>8</t>
        </is>
      </c>
      <c r="H4405" t="inlineStr">
        <is>
          <t>0</t>
        </is>
      </c>
      <c r="I4405" t="inlineStr">
        <is>
          <t>40⁶</t>
        </is>
      </c>
      <c r="J4405" t="n">
        <v>6</v>
      </c>
      <c r="K4405" t="inlineStr">
        <is>
          <t>4², 8², 16⁶</t>
        </is>
      </c>
      <c r="L4405" t="inlineStr">
        <is>
          <t>20B⁶, 40H⁸</t>
        </is>
      </c>
      <c r="M4405" t="inlineStr"/>
      <c r="N4405" t="inlineStr">
        <is>
          <t>5A⁰, 20B⁶, 4A⁰, 40H⁸, 5E⁰, 20A¹, 10E¹, 1A⁰, 20D³</t>
        </is>
      </c>
      <c r="O4405" t="inlineStr"/>
    </row>
    <row r="4406">
      <c r="A4406">
        <f>HYPERLINK("https://mathstats.uncg.edu/sites/pauli/congruence/csg16.html#group40E16", "40E¹⁶")</f>
        <v/>
      </c>
      <c r="B4406" t="n">
        <v>16</v>
      </c>
      <c r="C4406" t="inlineStr"/>
      <c r="D4406" t="inlineStr">
        <is>
          <t>240</t>
        </is>
      </c>
      <c r="E4406" t="inlineStr">
        <is>
          <t>2</t>
        </is>
      </c>
      <c r="F4406" t="inlineStr">
        <is>
          <t>60</t>
        </is>
      </c>
      <c r="G4406" t="inlineStr">
        <is>
          <t>8</t>
        </is>
      </c>
      <c r="H4406" t="inlineStr">
        <is>
          <t>0</t>
        </is>
      </c>
      <c r="I4406" t="inlineStr">
        <is>
          <t>40⁶</t>
        </is>
      </c>
      <c r="J4406" t="n">
        <v>6</v>
      </c>
      <c r="K4406" t="inlineStr">
        <is>
          <t>4², 8², 16⁶</t>
        </is>
      </c>
      <c r="L4406" t="inlineStr">
        <is>
          <t>20B⁶, 40G⁸, 40H⁸</t>
        </is>
      </c>
      <c r="M4406" t="inlineStr"/>
      <c r="N4406" t="inlineStr">
        <is>
          <t>5A⁰, 40G⁸, 20B⁶, 4A⁰, 40H⁸, 8A⁰, 5E⁰, 20A¹, 10E¹, 1A⁰, 40A², 20D³</t>
        </is>
      </c>
      <c r="O4406" t="inlineStr"/>
    </row>
    <row r="4407">
      <c r="A4407">
        <f>HYPERLINK("https://mathstats.uncg.edu/sites/pauli/congruence/csg16.html#group42A16", "42A¹⁶")</f>
        <v/>
      </c>
      <c r="B4407" t="n">
        <v>16</v>
      </c>
      <c r="C4407" t="inlineStr"/>
      <c r="D4407" t="inlineStr">
        <is>
          <t>252</t>
        </is>
      </c>
      <c r="E4407" t="inlineStr">
        <is>
          <t>1</t>
        </is>
      </c>
      <c r="F4407" t="inlineStr">
        <is>
          <t>252</t>
        </is>
      </c>
      <c r="G4407" t="inlineStr">
        <is>
          <t>0</t>
        </is>
      </c>
      <c r="H4407" t="inlineStr">
        <is>
          <t>0</t>
        </is>
      </c>
      <c r="I4407" t="inlineStr">
        <is>
          <t>7³, 14³, 21³, 42³</t>
        </is>
      </c>
      <c r="J4407" t="n">
        <v>12</v>
      </c>
      <c r="K4407" t="inlineStr">
        <is>
          <t>3⁶, 6²¹, 12⁹</t>
        </is>
      </c>
      <c r="L4407" t="inlineStr">
        <is>
          <t>14F², 21A⁵, 42C⁶</t>
        </is>
      </c>
      <c r="M4407" t="inlineStr"/>
      <c r="N4407" t="inlineStr">
        <is>
          <t>3B⁰, 21B², 7D⁰, 14B¹, 42C⁶, 6F⁰, 14F², 2B⁰, 21A⁵, 1A⁰, 7A⁰</t>
        </is>
      </c>
      <c r="O4407" t="inlineStr"/>
    </row>
    <row r="4408">
      <c r="A4408">
        <f>HYPERLINK("https://mathstats.uncg.edu/sites/pauli/congruence/csg16.html#group42B16", "42B¹⁶")</f>
        <v/>
      </c>
      <c r="B4408" t="n">
        <v>16</v>
      </c>
      <c r="C4408" t="inlineStr"/>
      <c r="D4408" t="inlineStr">
        <is>
          <t>252</t>
        </is>
      </c>
      <c r="E4408" t="inlineStr">
        <is>
          <t>2</t>
        </is>
      </c>
      <c r="F4408" t="inlineStr">
        <is>
          <t>28</t>
        </is>
      </c>
      <c r="G4408" t="inlineStr">
        <is>
          <t>0</t>
        </is>
      </c>
      <c r="H4408" t="inlineStr">
        <is>
          <t>9</t>
        </is>
      </c>
      <c r="I4408" t="inlineStr">
        <is>
          <t>42⁶</t>
        </is>
      </c>
      <c r="J4408" t="n">
        <v>6</v>
      </c>
      <c r="K4408" t="inlineStr">
        <is>
          <t>4², 12⁴</t>
        </is>
      </c>
      <c r="L4408" t="inlineStr">
        <is>
          <t>14E³, 42C⁵, 42D⁵, 42B⁶</t>
        </is>
      </c>
      <c r="M4408" t="inlineStr"/>
      <c r="N4408" t="inlineStr">
        <is>
          <t>2A⁰, 14A⁰, 14D¹, 14F¹, 6A⁰, 14E³, 42A³, 7C⁰, 42B⁶, 14A¹, 21C¹, 42D⁵, 1A⁰, 42C⁵, 7A⁰</t>
        </is>
      </c>
      <c r="O4408" t="inlineStr"/>
    </row>
    <row r="4409">
      <c r="A4409">
        <f>HYPERLINK("https://mathstats.uncg.edu/sites/pauli/congruence/csg16.html#group42C16", "42C¹⁶")</f>
        <v/>
      </c>
      <c r="B4409" t="n">
        <v>16</v>
      </c>
      <c r="C4409" t="inlineStr"/>
      <c r="D4409" t="inlineStr">
        <is>
          <t>252</t>
        </is>
      </c>
      <c r="E4409" t="inlineStr">
        <is>
          <t>2</t>
        </is>
      </c>
      <c r="F4409" t="inlineStr">
        <is>
          <t>63</t>
        </is>
      </c>
      <c r="G4409" t="inlineStr">
        <is>
          <t>8</t>
        </is>
      </c>
      <c r="H4409" t="inlineStr">
        <is>
          <t>0</t>
        </is>
      </c>
      <c r="I4409" t="inlineStr">
        <is>
          <t>21⁴, 42⁴</t>
        </is>
      </c>
      <c r="J4409" t="n">
        <v>8</v>
      </c>
      <c r="K4409" t="inlineStr">
        <is>
          <t>2³, 4³, 6⁶, 12⁶</t>
        </is>
      </c>
      <c r="L4409" t="inlineStr">
        <is>
          <t>21B⁴, 42K⁷, 42C⁸</t>
        </is>
      </c>
      <c r="M4409" t="inlineStr"/>
      <c r="N4409" t="inlineStr">
        <is>
          <t>21D², 14B¹, 21D¹, 21A⁰, 42K⁷, 6G⁰, 2B⁰, 1A⁰, 3C⁰, 42C⁸, 21B⁴, 3A⁰, 42C³, 6D⁰, 7A⁰</t>
        </is>
      </c>
      <c r="O4409" t="inlineStr"/>
    </row>
    <row r="4410">
      <c r="A4410">
        <f>HYPERLINK("https://mathstats.uncg.edu/sites/pauli/congruence/csg16.html#group42D16", "42D¹⁶")</f>
        <v/>
      </c>
      <c r="B4410" t="n">
        <v>16</v>
      </c>
      <c r="C4410" t="inlineStr"/>
      <c r="D4410" t="inlineStr">
        <is>
          <t>252</t>
        </is>
      </c>
      <c r="E4410" t="inlineStr">
        <is>
          <t>2</t>
        </is>
      </c>
      <c r="F4410" t="inlineStr">
        <is>
          <t>63</t>
        </is>
      </c>
      <c r="G4410" t="inlineStr">
        <is>
          <t>12</t>
        </is>
      </c>
      <c r="H4410" t="inlineStr">
        <is>
          <t>0</t>
        </is>
      </c>
      <c r="I4410" t="inlineStr">
        <is>
          <t>42⁶</t>
        </is>
      </c>
      <c r="J4410" t="n">
        <v>6</v>
      </c>
      <c r="K4410" t="inlineStr">
        <is>
          <t>6⁷, 12⁷</t>
        </is>
      </c>
      <c r="L4410" t="inlineStr">
        <is>
          <t>21C⁶, 42A⁶, 42D⁶</t>
        </is>
      </c>
      <c r="M4410" t="inlineStr"/>
      <c r="N4410" t="inlineStr">
        <is>
          <t>21D², 21C⁶, 42A², 7D⁰, 42A⁶, 21E¹, 21A⁰, 42D⁶, 3C⁰, 3A⁰, 1A⁰, 7A⁰</t>
        </is>
      </c>
      <c r="O4410" t="inlineStr"/>
    </row>
    <row r="4411">
      <c r="A4411">
        <f>HYPERLINK("https://mathstats.uncg.edu/sites/pauli/congruence/csg16.html#group42E16", "42E¹⁶")</f>
        <v/>
      </c>
      <c r="B4411" t="n">
        <v>16</v>
      </c>
      <c r="C4411" t="inlineStr"/>
      <c r="D4411" t="inlineStr">
        <is>
          <t>252</t>
        </is>
      </c>
      <c r="E4411" t="inlineStr">
        <is>
          <t>2</t>
        </is>
      </c>
      <c r="F4411" t="inlineStr">
        <is>
          <t>63</t>
        </is>
      </c>
      <c r="G4411" t="inlineStr">
        <is>
          <t>12</t>
        </is>
      </c>
      <c r="H4411" t="inlineStr">
        <is>
          <t>0</t>
        </is>
      </c>
      <c r="I4411" t="inlineStr">
        <is>
          <t>42⁶</t>
        </is>
      </c>
      <c r="J4411" t="n">
        <v>6</v>
      </c>
      <c r="K4411" t="inlineStr">
        <is>
          <t>2³, 4³, 6⁶, 12⁶</t>
        </is>
      </c>
      <c r="L4411" t="inlineStr">
        <is>
          <t>6L⁰, 42F⁴, 42L⁷, 42C⁸</t>
        </is>
      </c>
      <c r="M4411" t="inlineStr"/>
      <c r="N4411" t="inlineStr">
        <is>
          <t>21D², 6B⁰, 42F⁴, 42B¹, 14B¹, 6G⁰, 21A⁰, 2B⁰, 1A⁰, 6E⁰, 6L⁰, 42L⁷, 3C⁰, 42C⁸, 6H⁰, 3A⁰, 42C³, 6D⁰, 7A⁰</t>
        </is>
      </c>
      <c r="O4411" t="inlineStr"/>
    </row>
    <row r="4412">
      <c r="A4412">
        <f>HYPERLINK("https://mathstats.uncg.edu/sites/pauli/congruence/csg16.html#group42F16", "42F¹⁶")</f>
        <v/>
      </c>
      <c r="B4412" t="n">
        <v>16</v>
      </c>
      <c r="C4412" t="inlineStr"/>
      <c r="D4412" t="inlineStr">
        <is>
          <t>252</t>
        </is>
      </c>
      <c r="E4412" t="inlineStr">
        <is>
          <t>2</t>
        </is>
      </c>
      <c r="F4412" t="inlineStr">
        <is>
          <t>63</t>
        </is>
      </c>
      <c r="G4412" t="inlineStr">
        <is>
          <t>12</t>
        </is>
      </c>
      <c r="H4412" t="inlineStr">
        <is>
          <t>0</t>
        </is>
      </c>
      <c r="I4412" t="inlineStr">
        <is>
          <t>42⁶</t>
        </is>
      </c>
      <c r="J4412" t="n">
        <v>6</v>
      </c>
      <c r="K4412" t="inlineStr">
        <is>
          <t>12²¹</t>
        </is>
      </c>
      <c r="L4412" t="inlineStr">
        <is>
          <t>21D⁵, 42D⁶, 42G⁷</t>
        </is>
      </c>
      <c r="M4412" t="inlineStr"/>
      <c r="N4412" t="inlineStr">
        <is>
          <t>21D⁵, 42A², 7D⁰, 21E¹, 21D¹, 42G⁷, 21A⁰, 42D⁶, 3A⁰, 1A⁰, 7A⁰</t>
        </is>
      </c>
      <c r="O4412" t="inlineStr"/>
    </row>
    <row r="4413">
      <c r="A4413">
        <f>HYPERLINK("https://mathstats.uncg.edu/sites/pauli/congruence/csg16.html#group42G16", "42G¹⁶")</f>
        <v/>
      </c>
      <c r="B4413" t="n">
        <v>16</v>
      </c>
      <c r="C4413" t="inlineStr"/>
      <c r="D4413" t="inlineStr">
        <is>
          <t>252</t>
        </is>
      </c>
      <c r="E4413" t="inlineStr">
        <is>
          <t>2</t>
        </is>
      </c>
      <c r="F4413" t="inlineStr">
        <is>
          <t>63</t>
        </is>
      </c>
      <c r="G4413" t="inlineStr">
        <is>
          <t>12</t>
        </is>
      </c>
      <c r="H4413" t="inlineStr">
        <is>
          <t>0</t>
        </is>
      </c>
      <c r="I4413" t="inlineStr">
        <is>
          <t>42⁶</t>
        </is>
      </c>
      <c r="J4413" t="n">
        <v>6</v>
      </c>
      <c r="K4413" t="inlineStr">
        <is>
          <t>12²¹</t>
        </is>
      </c>
      <c r="L4413" t="inlineStr">
        <is>
          <t>21D⁵, 42D⁶, 42G⁷</t>
        </is>
      </c>
      <c r="M4413" t="inlineStr"/>
      <c r="N4413" t="inlineStr">
        <is>
          <t>21D⁵, 42A², 7D⁰, 21E¹, 21D¹, 42G⁷, 21A⁰, 42D⁶, 3A⁰, 1A⁰, 7A⁰</t>
        </is>
      </c>
      <c r="O4413" t="inlineStr"/>
    </row>
    <row r="4414">
      <c r="A4414">
        <f>HYPERLINK("https://mathstats.uncg.edu/sites/pauli/congruence/csg16.html#group42H16", "42H¹⁶")</f>
        <v/>
      </c>
      <c r="B4414" t="n">
        <v>16</v>
      </c>
      <c r="C4414" t="inlineStr"/>
      <c r="D4414" t="inlineStr">
        <is>
          <t>252</t>
        </is>
      </c>
      <c r="E4414" t="inlineStr">
        <is>
          <t>2</t>
        </is>
      </c>
      <c r="F4414" t="inlineStr">
        <is>
          <t>63</t>
        </is>
      </c>
      <c r="G4414" t="inlineStr">
        <is>
          <t>12</t>
        </is>
      </c>
      <c r="H4414" t="inlineStr">
        <is>
          <t>0</t>
        </is>
      </c>
      <c r="I4414" t="inlineStr">
        <is>
          <t>42⁶</t>
        </is>
      </c>
      <c r="J4414" t="n">
        <v>6</v>
      </c>
      <c r="K4414" t="inlineStr">
        <is>
          <t>4⁹, 12¹⁸</t>
        </is>
      </c>
      <c r="L4414" t="inlineStr">
        <is>
          <t>42G⁴, 42K⁷, 42L⁷, 42D⁸</t>
        </is>
      </c>
      <c r="M4414" t="inlineStr"/>
      <c r="N4414" t="inlineStr">
        <is>
          <t>6B⁰, 42D⁸, 14B¹, 21D¹, 6H⁰, 21A⁰, 42K⁷, 2B⁰, 1A⁰, 42A², 42G⁴, 42L⁷, 42B¹, 3A⁰, 42C³, 6D⁰, 7A⁰</t>
        </is>
      </c>
      <c r="O4414" t="inlineStr"/>
    </row>
    <row r="4415">
      <c r="A4415">
        <f>HYPERLINK("https://mathstats.uncg.edu/sites/pauli/congruence/csg16.html#group42I16", "42I¹⁶")</f>
        <v/>
      </c>
      <c r="B4415" t="n">
        <v>16</v>
      </c>
      <c r="C4415" t="inlineStr"/>
      <c r="D4415" t="inlineStr">
        <is>
          <t>252</t>
        </is>
      </c>
      <c r="E4415" t="inlineStr">
        <is>
          <t>2</t>
        </is>
      </c>
      <c r="F4415" t="inlineStr">
        <is>
          <t>63</t>
        </is>
      </c>
      <c r="G4415" t="inlineStr">
        <is>
          <t>12</t>
        </is>
      </c>
      <c r="H4415" t="inlineStr">
        <is>
          <t>0</t>
        </is>
      </c>
      <c r="I4415" t="inlineStr">
        <is>
          <t>42⁶</t>
        </is>
      </c>
      <c r="J4415" t="n">
        <v>6</v>
      </c>
      <c r="K4415" t="inlineStr">
        <is>
          <t>4⁹, 12¹⁸</t>
        </is>
      </c>
      <c r="L4415" t="inlineStr">
        <is>
          <t>42H⁴, 42K⁷, 42L⁷, 42D⁸</t>
        </is>
      </c>
      <c r="M4415" t="inlineStr"/>
      <c r="N4415" t="inlineStr">
        <is>
          <t>6B⁰, 42D⁸, 42H⁴, 14B¹, 21D¹, 6H⁰, 21A⁰, 42K⁷, 2B⁰, 1A⁰, 42A², 42L⁷, 42B¹, 3A⁰, 42C³, 6D⁰, 7A⁰</t>
        </is>
      </c>
      <c r="O4415" t="inlineStr"/>
    </row>
    <row r="4416">
      <c r="A4416">
        <f>HYPERLINK("https://mathstats.uncg.edu/sites/pauli/congruence/csg16.html#group44A16", "44A¹⁶")</f>
        <v/>
      </c>
      <c r="B4416" t="n">
        <v>16</v>
      </c>
      <c r="C4416" t="inlineStr"/>
      <c r="D4416" t="inlineStr">
        <is>
          <t>240</t>
        </is>
      </c>
      <c r="E4416" t="inlineStr">
        <is>
          <t>1</t>
        </is>
      </c>
      <c r="F4416" t="inlineStr">
        <is>
          <t>12</t>
        </is>
      </c>
      <c r="G4416" t="inlineStr">
        <is>
          <t>0</t>
        </is>
      </c>
      <c r="H4416" t="inlineStr">
        <is>
          <t>0</t>
        </is>
      </c>
      <c r="I4416" t="inlineStr">
        <is>
          <t>4⁵, 44⁵</t>
        </is>
      </c>
      <c r="J4416" t="n">
        <v>10</v>
      </c>
      <c r="K4416" t="inlineStr">
        <is>
          <t>1², 10¹</t>
        </is>
      </c>
      <c r="L4416" t="inlineStr">
        <is>
          <t>44A⁴, 22A⁶</t>
        </is>
      </c>
      <c r="M4416" t="inlineStr"/>
      <c r="N4416" t="inlineStr">
        <is>
          <t>2A⁰, 44A⁴, 11A¹, 22A², 22A⁶, 1A⁰, 11D¹</t>
        </is>
      </c>
      <c r="O4416" t="inlineStr"/>
    </row>
    <row r="4417">
      <c r="A4417">
        <f>HYPERLINK("https://mathstats.uncg.edu/sites/pauli/congruence/csg16.html#group44B16", "44B¹⁶")</f>
        <v/>
      </c>
      <c r="B4417" t="n">
        <v>16</v>
      </c>
      <c r="C4417" t="inlineStr"/>
      <c r="D4417" t="inlineStr">
        <is>
          <t>240</t>
        </is>
      </c>
      <c r="E4417" t="inlineStr">
        <is>
          <t>1</t>
        </is>
      </c>
      <c r="F4417" t="inlineStr">
        <is>
          <t>48</t>
        </is>
      </c>
      <c r="G4417" t="inlineStr">
        <is>
          <t>0</t>
        </is>
      </c>
      <c r="H4417" t="inlineStr">
        <is>
          <t>0</t>
        </is>
      </c>
      <c r="I4417" t="inlineStr">
        <is>
          <t>4⁵, 44⁵</t>
        </is>
      </c>
      <c r="J4417" t="n">
        <v>10</v>
      </c>
      <c r="K4417" t="inlineStr">
        <is>
          <t>2⁴, 20²</t>
        </is>
      </c>
      <c r="L4417" t="inlineStr">
        <is>
          <t>11D¹, 44B⁴</t>
        </is>
      </c>
      <c r="M4417" t="inlineStr"/>
      <c r="N4417" t="inlineStr">
        <is>
          <t>4A⁰, 1A⁰, 11A¹, 11D¹, 44B⁴</t>
        </is>
      </c>
      <c r="O4417" t="inlineStr"/>
    </row>
    <row r="4418">
      <c r="A4418">
        <f>HYPERLINK("https://mathstats.uncg.edu/sites/pauli/congruence/csg16.html#group44C16", "44C¹⁶")</f>
        <v/>
      </c>
      <c r="B4418" t="n">
        <v>16</v>
      </c>
      <c r="C4418" t="inlineStr"/>
      <c r="D4418" t="inlineStr">
        <is>
          <t>360</t>
        </is>
      </c>
      <c r="E4418" t="inlineStr">
        <is>
          <t>1</t>
        </is>
      </c>
      <c r="F4418" t="inlineStr">
        <is>
          <t>36</t>
        </is>
      </c>
      <c r="G4418" t="inlineStr">
        <is>
          <t>0</t>
        </is>
      </c>
      <c r="H4418" t="inlineStr">
        <is>
          <t>0</t>
        </is>
      </c>
      <c r="I4418" t="inlineStr">
        <is>
          <t>1¹⁰, 4⁵, 11¹⁰, 44⁵</t>
        </is>
      </c>
      <c r="J4418" t="n">
        <v>30</v>
      </c>
      <c r="K4418" t="inlineStr">
        <is>
          <t>1⁶, 10³</t>
        </is>
      </c>
      <c r="L4418" t="inlineStr">
        <is>
          <t>44D⁴, 22C⁶</t>
        </is>
      </c>
      <c r="M4418" t="inlineStr"/>
      <c r="N4418" t="inlineStr">
        <is>
          <t>11A¹, 22C⁶, 2B⁰, 4B⁰, 22C², 1A⁰, 44D⁴, 11D¹</t>
        </is>
      </c>
      <c r="O4418" t="inlineStr"/>
    </row>
    <row r="4419">
      <c r="A4419">
        <f>HYPERLINK("https://mathstats.uncg.edu/sites/pauli/congruence/csg16.html#group45A16", "45A¹⁶")</f>
        <v/>
      </c>
      <c r="B4419" t="n">
        <v>16</v>
      </c>
      <c r="C4419" t="inlineStr"/>
      <c r="D4419" t="inlineStr">
        <is>
          <t>240</t>
        </is>
      </c>
      <c r="E4419" t="inlineStr">
        <is>
          <t>1</t>
        </is>
      </c>
      <c r="F4419" t="inlineStr">
        <is>
          <t>80</t>
        </is>
      </c>
      <c r="G4419" t="inlineStr">
        <is>
          <t>0</t>
        </is>
      </c>
      <c r="H4419" t="inlineStr">
        <is>
          <t>3</t>
        </is>
      </c>
      <c r="I4419" t="inlineStr">
        <is>
          <t>15⁴, 45⁴</t>
        </is>
      </c>
      <c r="J4419" t="n">
        <v>8</v>
      </c>
      <c r="K4419" t="inlineStr">
        <is>
          <t>4², 8⁹</t>
        </is>
      </c>
      <c r="L4419" t="inlineStr">
        <is>
          <t>15G³, 45B⁴</t>
        </is>
      </c>
      <c r="M4419" t="inlineStr"/>
      <c r="N4419" t="inlineStr">
        <is>
          <t>3B⁰, 5A⁰, 45B⁴, 15G³, 5C⁰, 15B¹, 5F⁰, 15C², 1A⁰</t>
        </is>
      </c>
      <c r="O4419" t="inlineStr"/>
    </row>
    <row r="4420">
      <c r="A4420">
        <f>HYPERLINK("https://mathstats.uncg.edu/sites/pauli/congruence/csg16.html#group45B16", "45B¹⁶")</f>
        <v/>
      </c>
      <c r="B4420" t="n">
        <v>16</v>
      </c>
      <c r="C4420" t="inlineStr"/>
      <c r="D4420" t="inlineStr">
        <is>
          <t>270</t>
        </is>
      </c>
      <c r="E4420" t="inlineStr">
        <is>
          <t>1</t>
        </is>
      </c>
      <c r="F4420" t="inlineStr">
        <is>
          <t>15</t>
        </is>
      </c>
      <c r="G4420" t="inlineStr">
        <is>
          <t>18</t>
        </is>
      </c>
      <c r="H4420" t="inlineStr">
        <is>
          <t>0</t>
        </is>
      </c>
      <c r="I4420" t="inlineStr">
        <is>
          <t>45⁶</t>
        </is>
      </c>
      <c r="J4420" t="n">
        <v>6</v>
      </c>
      <c r="K4420" t="inlineStr">
        <is>
          <t>1¹, 2¹, 4¹, 8¹</t>
        </is>
      </c>
      <c r="L4420" t="inlineStr">
        <is>
          <t>15C⁴, 45A⁶, 45B⁶, 45D⁷</t>
        </is>
      </c>
      <c r="M4420" t="inlineStr"/>
      <c r="N4420" t="inlineStr">
        <is>
          <t>5A⁰, 45A⁶, 15F¹, 1A⁰, 45D⁷, 15C⁴, 45B⁶, 9D⁰, 15A², 9A⁰, 5E⁰, 3C⁰, 45A³, 3A⁰, 15A¹, 15A⁰</t>
        </is>
      </c>
      <c r="O4420" t="inlineStr"/>
    </row>
    <row r="4421">
      <c r="A4421">
        <f>HYPERLINK("https://mathstats.uncg.edu/sites/pauli/congruence/csg16.html#group45C16", "45C¹⁶")</f>
        <v/>
      </c>
      <c r="B4421" t="n">
        <v>16</v>
      </c>
      <c r="C4421" t="inlineStr"/>
      <c r="D4421" t="inlineStr">
        <is>
          <t>270</t>
        </is>
      </c>
      <c r="E4421" t="inlineStr">
        <is>
          <t>1</t>
        </is>
      </c>
      <c r="F4421" t="inlineStr">
        <is>
          <t>90</t>
        </is>
      </c>
      <c r="G4421" t="inlineStr">
        <is>
          <t>6</t>
        </is>
      </c>
      <c r="H4421" t="inlineStr">
        <is>
          <t>0</t>
        </is>
      </c>
      <c r="I4421" t="inlineStr">
        <is>
          <t>15⁹, 45³</t>
        </is>
      </c>
      <c r="J4421" t="n">
        <v>12</v>
      </c>
      <c r="K4421" t="inlineStr">
        <is>
          <t>1¹, 2¹, 3¹, 4¹, 6², 8¹, 12¹, 24²</t>
        </is>
      </c>
      <c r="L4421" t="inlineStr">
        <is>
          <t>15C⁴, 45C⁶</t>
        </is>
      </c>
      <c r="M4421" t="inlineStr"/>
      <c r="N4421" t="inlineStr">
        <is>
          <t>15C⁴, 45C⁶, 5A⁰, 15A², 15F¹, 5E⁰, 3C⁰, 9E⁰, 3A⁰, 1A⁰, 15A¹, 15A⁰</t>
        </is>
      </c>
      <c r="O4421" t="inlineStr"/>
    </row>
    <row r="4422">
      <c r="A4422">
        <f>HYPERLINK("https://mathstats.uncg.edu/sites/pauli/congruence/csg16.html#group45D16", "45D¹⁶")</f>
        <v/>
      </c>
      <c r="B4422" t="n">
        <v>16</v>
      </c>
      <c r="C4422" t="inlineStr"/>
      <c r="D4422" t="inlineStr">
        <is>
          <t>270</t>
        </is>
      </c>
      <c r="E4422" t="inlineStr">
        <is>
          <t>2</t>
        </is>
      </c>
      <c r="F4422" t="inlineStr">
        <is>
          <t>135</t>
        </is>
      </c>
      <c r="G4422" t="inlineStr">
        <is>
          <t>18</t>
        </is>
      </c>
      <c r="H4422" t="inlineStr">
        <is>
          <t>0</t>
        </is>
      </c>
      <c r="I4422" t="inlineStr">
        <is>
          <t>45⁶</t>
        </is>
      </c>
      <c r="J4422" t="n">
        <v>6</v>
      </c>
      <c r="K4422" t="inlineStr">
        <is>
          <t>2³, 4³, 6², 8⁹, 12², 24⁶</t>
        </is>
      </c>
      <c r="L4422" t="inlineStr">
        <is>
          <t>15H³, 45D⁷</t>
        </is>
      </c>
      <c r="M4422" t="inlineStr"/>
      <c r="N4422" t="inlineStr">
        <is>
          <t>5A⁰, 15A¹, 9A⁰, 15F¹, 5E⁰, 45A³, 45D⁷, 3A⁰, 1A⁰, 15H³, 15A⁰</t>
        </is>
      </c>
      <c r="O4422" t="inlineStr"/>
    </row>
    <row r="4423">
      <c r="A4423">
        <f>HYPERLINK("https://mathstats.uncg.edu/sites/pauli/congruence/csg16.html#group45E16", "45E¹⁶")</f>
        <v/>
      </c>
      <c r="B4423" t="n">
        <v>16</v>
      </c>
      <c r="C4423" t="inlineStr"/>
      <c r="D4423" t="inlineStr">
        <is>
          <t>324</t>
        </is>
      </c>
      <c r="E4423" t="inlineStr">
        <is>
          <t>1</t>
        </is>
      </c>
      <c r="F4423" t="inlineStr">
        <is>
          <t>162</t>
        </is>
      </c>
      <c r="G4423" t="inlineStr">
        <is>
          <t>24</t>
        </is>
      </c>
      <c r="H4423" t="inlineStr">
        <is>
          <t>0</t>
        </is>
      </c>
      <c r="I4423" t="inlineStr">
        <is>
          <t>9⁶, 45⁶</t>
        </is>
      </c>
      <c r="J4423" t="n">
        <v>12</v>
      </c>
      <c r="K4423" t="inlineStr">
        <is>
          <t>3², 6⁸, 12¹, 24⁴</t>
        </is>
      </c>
      <c r="L4423" t="inlineStr">
        <is>
          <t>45C⁴, 45D⁸</t>
        </is>
      </c>
      <c r="M4423" t="inlineStr"/>
      <c r="N4423" t="inlineStr">
        <is>
          <t>45A², 15B⁰, 45D⁸, 9A⁰, 9G⁰, 45C⁴, 5B⁰, 3A⁰, 1A⁰, 15C⁰</t>
        </is>
      </c>
      <c r="O4423" t="inlineStr"/>
    </row>
    <row r="4424">
      <c r="A4424">
        <f>HYPERLINK("https://mathstats.uncg.edu/sites/pauli/congruence/csg16.html#group48A16", "48A¹⁶")</f>
        <v/>
      </c>
      <c r="B4424" t="n">
        <v>16</v>
      </c>
      <c r="C4424" t="inlineStr"/>
      <c r="D4424" t="inlineStr">
        <is>
          <t>288</t>
        </is>
      </c>
      <c r="E4424" t="inlineStr">
        <is>
          <t>1</t>
        </is>
      </c>
      <c r="F4424" t="inlineStr">
        <is>
          <t>24</t>
        </is>
      </c>
      <c r="G4424" t="inlineStr">
        <is>
          <t>12</t>
        </is>
      </c>
      <c r="H4424" t="inlineStr">
        <is>
          <t>0</t>
        </is>
      </c>
      <c r="I4424" t="inlineStr">
        <is>
          <t>12⁸, 48⁴</t>
        </is>
      </c>
      <c r="J4424" t="n">
        <v>12</v>
      </c>
      <c r="K4424" t="inlineStr">
        <is>
          <t>2², 4⁵</t>
        </is>
      </c>
      <c r="L4424" t="inlineStr">
        <is>
          <t>16L², 24D⁶, 48O⁷, 48P⁷</t>
        </is>
      </c>
      <c r="M4424" t="inlineStr"/>
      <c r="N4424" t="inlineStr">
        <is>
          <t>24D⁶, 12C⁰, 3A⁰, 16I¹, 8D⁰, 4C⁰, 48P⁷, 8B⁰, 8L⁰, 2B⁰, 24L², 16L², 1A⁰, 8H⁰, 16E⁰, 12A⁰, 48E⁴, 24A⁰, 4A⁰, 16C¹, 24M², 24C¹, 12J¹, 4F⁰, 48D³, 8P⁰, 48O⁷, 16H¹, 6D⁰</t>
        </is>
      </c>
      <c r="O4424" t="inlineStr"/>
    </row>
    <row r="4425">
      <c r="A4425">
        <f>HYPERLINK("https://mathstats.uncg.edu/sites/pauli/congruence/csg16.html#group48B16", "48B¹⁶")</f>
        <v/>
      </c>
      <c r="B4425" t="n">
        <v>16</v>
      </c>
      <c r="C4425" t="inlineStr"/>
      <c r="D4425" t="inlineStr">
        <is>
          <t>288</t>
        </is>
      </c>
      <c r="E4425" t="inlineStr">
        <is>
          <t>1</t>
        </is>
      </c>
      <c r="F4425" t="inlineStr">
        <is>
          <t>72</t>
        </is>
      </c>
      <c r="G4425" t="inlineStr">
        <is>
          <t>8</t>
        </is>
      </c>
      <c r="H4425" t="inlineStr">
        <is>
          <t>0</t>
        </is>
      </c>
      <c r="I4425" t="inlineStr">
        <is>
          <t>12⁸, 24⁴, 48²</t>
        </is>
      </c>
      <c r="J4425" t="n">
        <v>14</v>
      </c>
      <c r="K4425" t="inlineStr">
        <is>
          <t>4⁴, 8⁸, 16⁴</t>
        </is>
      </c>
      <c r="L4425" t="inlineStr">
        <is>
          <t>24F⁶, 48U⁸</t>
        </is>
      </c>
      <c r="M4425" t="inlineStr"/>
      <c r="N4425" t="inlineStr">
        <is>
          <t>12I², 6B⁰, 12C⁰, 4C⁰, 12F⁰, 24F⁶, 48U⁸, 12M¹, 2B⁰, 12H⁰, 1A⁰, 8K⁰, 24J³, 12A⁰, 4A⁰, 24R³, 12J¹, 12D⁰, 6H⁰, 3A⁰, 4F⁰, 6D⁰</t>
        </is>
      </c>
      <c r="O4425" t="inlineStr"/>
    </row>
    <row r="4426">
      <c r="A4426">
        <f>HYPERLINK("https://mathstats.uncg.edu/sites/pauli/congruence/csg16.html#group48C16", "48C¹⁶")</f>
        <v/>
      </c>
      <c r="B4426" t="n">
        <v>16</v>
      </c>
      <c r="C4426" t="inlineStr"/>
      <c r="D4426" t="inlineStr">
        <is>
          <t>288</t>
        </is>
      </c>
      <c r="E4426" t="inlineStr">
        <is>
          <t>1</t>
        </is>
      </c>
      <c r="F4426" t="inlineStr">
        <is>
          <t>72</t>
        </is>
      </c>
      <c r="G4426" t="inlineStr">
        <is>
          <t>8</t>
        </is>
      </c>
      <c r="H4426" t="inlineStr">
        <is>
          <t>0</t>
        </is>
      </c>
      <c r="I4426" t="inlineStr">
        <is>
          <t>12⁸, 24⁴, 48²</t>
        </is>
      </c>
      <c r="J4426" t="n">
        <v>14</v>
      </c>
      <c r="K4426" t="inlineStr">
        <is>
          <t>4⁴, 8⁸, 16⁴</t>
        </is>
      </c>
      <c r="L4426" t="inlineStr">
        <is>
          <t>24F⁶, 48V⁸</t>
        </is>
      </c>
      <c r="M4426" t="inlineStr"/>
      <c r="N4426" t="inlineStr">
        <is>
          <t>12I², 6B⁰, 12C⁰, 4C⁰, 12F⁰, 24F⁶, 2B⁰, 12M¹, 12H⁰, 48V⁸, 1A⁰, 8K⁰, 24J³, 12A⁰, 4A⁰, 12J¹, 24R³, 4F⁰, 6H⁰, 3A⁰, 12D⁰, 6D⁰</t>
        </is>
      </c>
      <c r="O4426" t="inlineStr"/>
    </row>
    <row r="4427">
      <c r="A4427">
        <f>HYPERLINK("https://mathstats.uncg.edu/sites/pauli/congruence/csg16.html#group48D16", "48D¹⁶")</f>
        <v/>
      </c>
      <c r="B4427" t="n">
        <v>16</v>
      </c>
      <c r="C4427" t="inlineStr"/>
      <c r="D4427" t="inlineStr">
        <is>
          <t>288</t>
        </is>
      </c>
      <c r="E4427" t="inlineStr">
        <is>
          <t>1</t>
        </is>
      </c>
      <c r="F4427" t="inlineStr">
        <is>
          <t>72</t>
        </is>
      </c>
      <c r="G4427" t="inlineStr">
        <is>
          <t>8</t>
        </is>
      </c>
      <c r="H4427" t="inlineStr">
        <is>
          <t>0</t>
        </is>
      </c>
      <c r="I4427" t="inlineStr">
        <is>
          <t>12⁸, 24⁴, 48²</t>
        </is>
      </c>
      <c r="J4427" t="n">
        <v>14</v>
      </c>
      <c r="K4427" t="inlineStr">
        <is>
          <t>4⁴, 8⁸, 16⁴</t>
        </is>
      </c>
      <c r="L4427" t="inlineStr">
        <is>
          <t>24F⁶, 48G⁸, 48U⁸</t>
        </is>
      </c>
      <c r="M4427" t="inlineStr"/>
      <c r="N4427" t="inlineStr">
        <is>
          <t>12I², 6B⁰, 12C⁰, 4C⁰, 12F⁰, 24F⁶, 48U⁸, 12M¹, 2B⁰, 12H⁰, 1A⁰, 8K⁰, 24J³, 12A⁰, 4A⁰, 48G⁸, 24R³, 12J¹, 6H⁰, 3A⁰, 12D⁰, 4F⁰, 16K¹, 6D⁰</t>
        </is>
      </c>
      <c r="O4427" t="inlineStr"/>
    </row>
    <row r="4428">
      <c r="A4428">
        <f>HYPERLINK("https://mathstats.uncg.edu/sites/pauli/congruence/csg16.html#group48E16", "48E¹⁶")</f>
        <v/>
      </c>
      <c r="B4428" t="n">
        <v>16</v>
      </c>
      <c r="C4428" t="inlineStr"/>
      <c r="D4428" t="inlineStr">
        <is>
          <t>288</t>
        </is>
      </c>
      <c r="E4428" t="inlineStr">
        <is>
          <t>1</t>
        </is>
      </c>
      <c r="F4428" t="inlineStr">
        <is>
          <t>72</t>
        </is>
      </c>
      <c r="G4428" t="inlineStr">
        <is>
          <t>8</t>
        </is>
      </c>
      <c r="H4428" t="inlineStr">
        <is>
          <t>0</t>
        </is>
      </c>
      <c r="I4428" t="inlineStr">
        <is>
          <t>12⁸, 24⁴, 48²</t>
        </is>
      </c>
      <c r="J4428" t="n">
        <v>14</v>
      </c>
      <c r="K4428" t="inlineStr">
        <is>
          <t>4⁴, 8⁸, 16⁴</t>
        </is>
      </c>
      <c r="L4428" t="inlineStr">
        <is>
          <t>24F⁶, 48H⁸, 48V⁸</t>
        </is>
      </c>
      <c r="M4428" t="inlineStr"/>
      <c r="N4428" t="inlineStr">
        <is>
          <t>12I², 6B⁰, 12C⁰, 4C⁰, 12F⁰, 24F⁶, 2B⁰, 48H⁸, 12M¹, 12H⁰, 48V⁸, 1A⁰, 8K⁰, 24J³, 16L¹, 12A⁰, 4A⁰, 12J¹, 24R³, 4F⁰, 6H⁰, 3A⁰, 12D⁰, 6D⁰</t>
        </is>
      </c>
      <c r="O4428" t="inlineStr"/>
    </row>
    <row r="4429">
      <c r="A4429">
        <f>HYPERLINK("https://mathstats.uncg.edu/sites/pauli/congruence/csg16.html#group48F16", "48F¹⁶")</f>
        <v/>
      </c>
      <c r="B4429" t="n">
        <v>16</v>
      </c>
      <c r="C4429" t="inlineStr"/>
      <c r="D4429" t="inlineStr">
        <is>
          <t>288</t>
        </is>
      </c>
      <c r="E4429" t="inlineStr">
        <is>
          <t>1</t>
        </is>
      </c>
      <c r="F4429" t="inlineStr">
        <is>
          <t>72</t>
        </is>
      </c>
      <c r="G4429" t="inlineStr">
        <is>
          <t>12</t>
        </is>
      </c>
      <c r="H4429" t="inlineStr">
        <is>
          <t>0</t>
        </is>
      </c>
      <c r="I4429" t="inlineStr">
        <is>
          <t>12⁸, 48⁴</t>
        </is>
      </c>
      <c r="J4429" t="n">
        <v>12</v>
      </c>
      <c r="K4429" t="inlineStr">
        <is>
          <t>2², 4⁷, 8⁵</t>
        </is>
      </c>
      <c r="L4429" t="inlineStr">
        <is>
          <t>24D⁶, 48AB⁷, 48AC⁷</t>
        </is>
      </c>
      <c r="M4429" t="inlineStr"/>
      <c r="N4429" t="inlineStr">
        <is>
          <t>24D⁶, 12C⁰, 48G³, 48AC⁷, 48H⁴, 8D⁰, 4C⁰, 8B⁰, 8L⁰, 2B⁰, 24L², 1A⁰, 8H⁰, 48AB⁷, 12A⁰, 24A⁰, 4A⁰, 24M², 24C¹, 12J¹, 4F⁰, 3A⁰, 8P⁰, 6D⁰</t>
        </is>
      </c>
      <c r="O4429" t="inlineStr"/>
    </row>
    <row r="4430">
      <c r="A4430">
        <f>HYPERLINK("https://mathstats.uncg.edu/sites/pauli/congruence/csg16.html#group48G16", "48G¹⁶")</f>
        <v/>
      </c>
      <c r="B4430" t="n">
        <v>16</v>
      </c>
      <c r="C4430" t="inlineStr"/>
      <c r="D4430" t="inlineStr">
        <is>
          <t>288</t>
        </is>
      </c>
      <c r="E4430" t="inlineStr">
        <is>
          <t>1</t>
        </is>
      </c>
      <c r="F4430" t="inlineStr">
        <is>
          <t>72</t>
        </is>
      </c>
      <c r="G4430" t="inlineStr">
        <is>
          <t>12</t>
        </is>
      </c>
      <c r="H4430" t="inlineStr">
        <is>
          <t>0</t>
        </is>
      </c>
      <c r="I4430" t="inlineStr">
        <is>
          <t>12⁸, 48⁴</t>
        </is>
      </c>
      <c r="J4430" t="n">
        <v>12</v>
      </c>
      <c r="K4430" t="inlineStr">
        <is>
          <t>2², 4⁷, 8⁵</t>
        </is>
      </c>
      <c r="L4430" t="inlineStr">
        <is>
          <t>24G⁶, 48O⁷, 48AC⁷</t>
        </is>
      </c>
      <c r="M4430" t="inlineStr"/>
      <c r="N4430" t="inlineStr">
        <is>
          <t>12C⁰, 48G³, 48AC⁷, 8D⁰, 48H⁴, 4C⁰, 8B⁰, 24Q², 2B⁰, 24L², 1A⁰, 8H⁰, 24G⁶, 12A⁰, 24A⁰, 4A⁰, 24C¹, 12J¹, 4F⁰, 3A⁰, 48O⁷, 16H¹, 6D⁰</t>
        </is>
      </c>
      <c r="O4430" t="inlineStr"/>
    </row>
    <row r="4431">
      <c r="A4431">
        <f>HYPERLINK("https://mathstats.uncg.edu/sites/pauli/congruence/csg16.html#group48H16", "48H¹⁶")</f>
        <v/>
      </c>
      <c r="B4431" t="n">
        <v>16</v>
      </c>
      <c r="C4431" t="inlineStr"/>
      <c r="D4431" t="inlineStr">
        <is>
          <t>288</t>
        </is>
      </c>
      <c r="E4431" t="inlineStr">
        <is>
          <t>1</t>
        </is>
      </c>
      <c r="F4431" t="inlineStr">
        <is>
          <t>72</t>
        </is>
      </c>
      <c r="G4431" t="inlineStr">
        <is>
          <t>12</t>
        </is>
      </c>
      <c r="H4431" t="inlineStr">
        <is>
          <t>0</t>
        </is>
      </c>
      <c r="I4431" t="inlineStr">
        <is>
          <t>12⁸, 48⁴</t>
        </is>
      </c>
      <c r="J4431" t="n">
        <v>12</v>
      </c>
      <c r="K4431" t="inlineStr">
        <is>
          <t>2², 4⁷, 8⁵</t>
        </is>
      </c>
      <c r="L4431" t="inlineStr">
        <is>
          <t>24G⁶, 48P⁷, 48AB⁷</t>
        </is>
      </c>
      <c r="M4431" t="inlineStr"/>
      <c r="N4431" t="inlineStr">
        <is>
          <t>12C⁰, 16I¹, 8D⁰, 4C⁰, 48P⁷, 8B⁰, 24Q², 2B⁰, 24L², 1A⁰, 8H⁰, 24G⁶, 48AB⁷, 16E⁰, 12A⁰, 48E⁴, 24A⁰, 4A⁰, 16C¹, 24C¹, 12J¹, 4F⁰, 48D³, 3A⁰, 6D⁰</t>
        </is>
      </c>
      <c r="O4431" t="inlineStr"/>
    </row>
    <row r="4432">
      <c r="A4432">
        <f>HYPERLINK("https://mathstats.uncg.edu/sites/pauli/congruence/csg16.html#group48I16", "48I¹⁶")</f>
        <v/>
      </c>
      <c r="B4432" t="n">
        <v>16</v>
      </c>
      <c r="C4432" t="inlineStr"/>
      <c r="D4432" t="inlineStr">
        <is>
          <t>288</t>
        </is>
      </c>
      <c r="E4432" t="inlineStr">
        <is>
          <t>2</t>
        </is>
      </c>
      <c r="F4432" t="inlineStr">
        <is>
          <t>72</t>
        </is>
      </c>
      <c r="G4432" t="inlineStr">
        <is>
          <t>12</t>
        </is>
      </c>
      <c r="H4432" t="inlineStr">
        <is>
          <t>0</t>
        </is>
      </c>
      <c r="I4432" t="inlineStr">
        <is>
          <t>12⁸, 48⁴</t>
        </is>
      </c>
      <c r="J4432" t="n">
        <v>12</v>
      </c>
      <c r="K4432" t="inlineStr">
        <is>
          <t>4⁶, 8¹⁵</t>
        </is>
      </c>
      <c r="L4432" t="inlineStr">
        <is>
          <t>24G⁶, 48AB⁷, 48AC⁷</t>
        </is>
      </c>
      <c r="M4432" t="inlineStr"/>
      <c r="N4432" t="inlineStr">
        <is>
          <t>12C⁰, 48G³, 48AC⁷, 8D⁰, 48H⁴, 4C⁰, 8B⁰, 24Q², 2B⁰, 24L², 1A⁰, 8H⁰, 24G⁶, 48AB⁷, 12A⁰, 24A⁰, 4A⁰, 24C¹, 12J¹, 4F⁰, 3A⁰, 6D⁰</t>
        </is>
      </c>
      <c r="O4432" t="inlineStr"/>
    </row>
    <row r="4433">
      <c r="A4433">
        <f>HYPERLINK("https://mathstats.uncg.edu/sites/pauli/congruence/csg16.html#group48J16", "48J¹⁶")</f>
        <v/>
      </c>
      <c r="B4433" t="n">
        <v>16</v>
      </c>
      <c r="C4433" t="inlineStr"/>
      <c r="D4433" t="inlineStr">
        <is>
          <t>288</t>
        </is>
      </c>
      <c r="E4433" t="inlineStr">
        <is>
          <t>2</t>
        </is>
      </c>
      <c r="F4433" t="inlineStr">
        <is>
          <t>144</t>
        </is>
      </c>
      <c r="G4433" t="inlineStr">
        <is>
          <t>8</t>
        </is>
      </c>
      <c r="H4433" t="inlineStr">
        <is>
          <t>0</t>
        </is>
      </c>
      <c r="I4433" t="inlineStr">
        <is>
          <t>12⁸, 24⁴, 48²</t>
        </is>
      </c>
      <c r="J4433" t="n">
        <v>14</v>
      </c>
      <c r="K4433" t="inlineStr">
        <is>
          <t>8¹², 16¹²</t>
        </is>
      </c>
      <c r="L4433" t="inlineStr">
        <is>
          <t>24E⁶</t>
        </is>
      </c>
      <c r="M4433" t="inlineStr"/>
      <c r="N4433" t="inlineStr">
        <is>
          <t>12I², 6B⁰, 12C⁰, 24E⁶, 4C⁰, 12F⁰, 12M¹, 2B⁰, 12H⁰, 1A⁰, 12A⁰, 4A⁰, 24R³, 12J¹, 12D⁰, 6H⁰, 3A⁰, 4F⁰, 6D⁰</t>
        </is>
      </c>
      <c r="O4433" t="inlineStr"/>
    </row>
    <row r="4434">
      <c r="A4434">
        <f>HYPERLINK("https://mathstats.uncg.edu/sites/pauli/congruence/csg16.html#group50A16", "50A¹⁶")</f>
        <v/>
      </c>
      <c r="B4434" t="n">
        <v>16</v>
      </c>
      <c r="C4434" t="inlineStr"/>
      <c r="D4434" t="inlineStr">
        <is>
          <t>300</t>
        </is>
      </c>
      <c r="E4434" t="inlineStr">
        <is>
          <t>1</t>
        </is>
      </c>
      <c r="F4434" t="inlineStr">
        <is>
          <t>30</t>
        </is>
      </c>
      <c r="G4434" t="inlineStr">
        <is>
          <t>20</t>
        </is>
      </c>
      <c r="H4434" t="inlineStr">
        <is>
          <t>0</t>
        </is>
      </c>
      <c r="I4434" t="inlineStr">
        <is>
          <t>10⁵, 50⁵</t>
        </is>
      </c>
      <c r="J4434" t="n">
        <v>10</v>
      </c>
      <c r="K4434" t="inlineStr">
        <is>
          <t>2², 4⁴, 20²</t>
        </is>
      </c>
      <c r="L4434" t="inlineStr">
        <is>
          <t>50A⁴, 25A⁶</t>
        </is>
      </c>
      <c r="M4434" t="inlineStr"/>
      <c r="N4434" t="inlineStr">
        <is>
          <t>5B⁰, 25A², 10B⁰, 1A⁰, 50A⁴, 25A⁶</t>
        </is>
      </c>
      <c r="O4434" t="inlineStr"/>
    </row>
    <row r="4435">
      <c r="A4435">
        <f>HYPERLINK("https://mathstats.uncg.edu/sites/pauli/congruence/csg16.html#group50B16", "50B¹⁶")</f>
        <v/>
      </c>
      <c r="B4435" t="n">
        <v>16</v>
      </c>
      <c r="C4435" t="inlineStr"/>
      <c r="D4435" t="inlineStr">
        <is>
          <t>300</t>
        </is>
      </c>
      <c r="E4435" t="inlineStr">
        <is>
          <t>1</t>
        </is>
      </c>
      <c r="F4435" t="inlineStr">
        <is>
          <t>30</t>
        </is>
      </c>
      <c r="G4435" t="inlineStr">
        <is>
          <t>20</t>
        </is>
      </c>
      <c r="H4435" t="inlineStr">
        <is>
          <t>0</t>
        </is>
      </c>
      <c r="I4435" t="inlineStr">
        <is>
          <t>10⁵, 50⁵</t>
        </is>
      </c>
      <c r="J4435" t="n">
        <v>10</v>
      </c>
      <c r="K4435" t="inlineStr">
        <is>
          <t>2², 4⁴, 20²</t>
        </is>
      </c>
      <c r="L4435" t="inlineStr">
        <is>
          <t>50B⁴, 25B⁶</t>
        </is>
      </c>
      <c r="M4435" t="inlineStr"/>
      <c r="N4435" t="inlineStr">
        <is>
          <t>5B⁰, 50B⁴, 25B⁶, 1A⁰, 25B², 10B⁰</t>
        </is>
      </c>
      <c r="O4435" t="inlineStr"/>
    </row>
    <row r="4436">
      <c r="A4436">
        <f>HYPERLINK("https://mathstats.uncg.edu/sites/pauli/congruence/csg16.html#group50C16", "50C¹⁶")</f>
        <v/>
      </c>
      <c r="B4436" t="n">
        <v>16</v>
      </c>
      <c r="C4436" t="inlineStr"/>
      <c r="D4436" t="inlineStr">
        <is>
          <t>300</t>
        </is>
      </c>
      <c r="E4436" t="inlineStr">
        <is>
          <t>1</t>
        </is>
      </c>
      <c r="F4436" t="inlineStr">
        <is>
          <t>30</t>
        </is>
      </c>
      <c r="G4436" t="inlineStr">
        <is>
          <t>20</t>
        </is>
      </c>
      <c r="H4436" t="inlineStr">
        <is>
          <t>0</t>
        </is>
      </c>
      <c r="I4436" t="inlineStr">
        <is>
          <t>10⁵, 50⁵</t>
        </is>
      </c>
      <c r="J4436" t="n">
        <v>10</v>
      </c>
      <c r="K4436" t="inlineStr">
        <is>
          <t>2², 4⁴, 20²</t>
        </is>
      </c>
      <c r="L4436" t="inlineStr">
        <is>
          <t>50C⁴, 25C⁶</t>
        </is>
      </c>
      <c r="M4436" t="inlineStr"/>
      <c r="N4436" t="inlineStr">
        <is>
          <t>5B⁰, 25C⁶, 50C⁴, 1A⁰, 25C², 10B⁰</t>
        </is>
      </c>
      <c r="O4436" t="inlineStr"/>
    </row>
    <row r="4437">
      <c r="A4437">
        <f>HYPERLINK("https://mathstats.uncg.edu/sites/pauli/congruence/csg16.html#group50D16", "50D¹⁶")</f>
        <v/>
      </c>
      <c r="B4437" t="n">
        <v>16</v>
      </c>
      <c r="C4437" t="inlineStr"/>
      <c r="D4437" t="inlineStr">
        <is>
          <t>300</t>
        </is>
      </c>
      <c r="E4437" t="inlineStr">
        <is>
          <t>1</t>
        </is>
      </c>
      <c r="F4437" t="inlineStr">
        <is>
          <t>30</t>
        </is>
      </c>
      <c r="G4437" t="inlineStr">
        <is>
          <t>20</t>
        </is>
      </c>
      <c r="H4437" t="inlineStr">
        <is>
          <t>0</t>
        </is>
      </c>
      <c r="I4437" t="inlineStr">
        <is>
          <t>10⁵, 50⁵</t>
        </is>
      </c>
      <c r="J4437" t="n">
        <v>10</v>
      </c>
      <c r="K4437" t="inlineStr">
        <is>
          <t>2², 4⁴, 20²</t>
        </is>
      </c>
      <c r="L4437" t="inlineStr">
        <is>
          <t>50D⁴, 25D⁶</t>
        </is>
      </c>
      <c r="M4437" t="inlineStr"/>
      <c r="N4437" t="inlineStr">
        <is>
          <t>5B⁰, 50D⁴, 25D², 1A⁰, 25D⁶, 10B⁰</t>
        </is>
      </c>
      <c r="O4437" t="inlineStr"/>
    </row>
    <row r="4438">
      <c r="A4438">
        <f>HYPERLINK("https://mathstats.uncg.edu/sites/pauli/congruence/csg16.html#group52A16", "52A¹⁶")</f>
        <v/>
      </c>
      <c r="B4438" t="n">
        <v>16</v>
      </c>
      <c r="C4438" t="inlineStr"/>
      <c r="D4438" t="inlineStr">
        <is>
          <t>252</t>
        </is>
      </c>
      <c r="E4438" t="inlineStr">
        <is>
          <t>1</t>
        </is>
      </c>
      <c r="F4438" t="inlineStr">
        <is>
          <t>42</t>
        </is>
      </c>
      <c r="G4438" t="inlineStr">
        <is>
          <t>0</t>
        </is>
      </c>
      <c r="H4438" t="inlineStr">
        <is>
          <t>0</t>
        </is>
      </c>
      <c r="I4438" t="inlineStr">
        <is>
          <t>2³, 4³, 26³, 52³</t>
        </is>
      </c>
      <c r="J4438" t="n">
        <v>12</v>
      </c>
      <c r="K4438" t="inlineStr">
        <is>
          <t>1⁶, 12³</t>
        </is>
      </c>
      <c r="L4438" t="inlineStr">
        <is>
          <t>26C⁴, 52A⁶</t>
        </is>
      </c>
      <c r="M4438" t="inlineStr"/>
      <c r="N4438" t="inlineStr">
        <is>
          <t>13A⁰, 26C⁴, 13C⁰, 2B⁰, 52A⁶, 1A⁰, 26A²</t>
        </is>
      </c>
      <c r="O4438" t="inlineStr"/>
    </row>
    <row r="4439">
      <c r="A4439">
        <f>HYPERLINK("https://mathstats.uncg.edu/sites/pauli/congruence/csg16.html#group54A16", "54A¹⁶")</f>
        <v/>
      </c>
      <c r="B4439" t="n">
        <v>16</v>
      </c>
      <c r="C4439" t="inlineStr"/>
      <c r="D4439" t="inlineStr">
        <is>
          <t>216</t>
        </is>
      </c>
      <c r="E4439" t="inlineStr">
        <is>
          <t>1</t>
        </is>
      </c>
      <c r="F4439" t="inlineStr">
        <is>
          <t>12</t>
        </is>
      </c>
      <c r="G4439" t="inlineStr">
        <is>
          <t>0</t>
        </is>
      </c>
      <c r="H4439" t="inlineStr">
        <is>
          <t>0</t>
        </is>
      </c>
      <c r="I4439" t="inlineStr">
        <is>
          <t>18³, 54³</t>
        </is>
      </c>
      <c r="J4439" t="n">
        <v>6</v>
      </c>
      <c r="K4439" t="inlineStr">
        <is>
          <t>1², 2², 6¹</t>
        </is>
      </c>
      <c r="L4439" t="inlineStr">
        <is>
          <t>18E⁴, 27A⁷</t>
        </is>
      </c>
      <c r="M4439" t="inlineStr"/>
      <c r="N4439" t="inlineStr">
        <is>
          <t>27A⁷, 3B⁰, 2A⁰, 6B⁰, 18B⁰, 6C⁰, 9B⁰, 9C⁰, 1A⁰, 18B², 6D¹, 6E⁰, 6B¹, 18C¹, 9A¹, 3C⁰, 9C¹, 6A¹, 18E⁴, 3A⁰, 3D⁰</t>
        </is>
      </c>
      <c r="O4439" t="inlineStr"/>
    </row>
    <row r="4440">
      <c r="A4440">
        <f>HYPERLINK("https://mathstats.uncg.edu/sites/pauli/congruence/csg16.html#group54B16", "54B¹⁶")</f>
        <v/>
      </c>
      <c r="B4440" t="n">
        <v>16</v>
      </c>
      <c r="C4440" t="inlineStr"/>
      <c r="D4440" t="inlineStr">
        <is>
          <t>216</t>
        </is>
      </c>
      <c r="E4440" t="inlineStr">
        <is>
          <t>1</t>
        </is>
      </c>
      <c r="F4440" t="inlineStr">
        <is>
          <t>12</t>
        </is>
      </c>
      <c r="G4440" t="inlineStr">
        <is>
          <t>0</t>
        </is>
      </c>
      <c r="H4440" t="inlineStr">
        <is>
          <t>0</t>
        </is>
      </c>
      <c r="I4440" t="inlineStr">
        <is>
          <t>18³, 54³</t>
        </is>
      </c>
      <c r="J4440" t="n">
        <v>6</v>
      </c>
      <c r="K4440" t="inlineStr">
        <is>
          <t>1², 2², 6¹</t>
        </is>
      </c>
      <c r="L4440" t="inlineStr">
        <is>
          <t>18N², 54A², 54A⁶, 27B⁷</t>
        </is>
      </c>
      <c r="M4440" t="inlineStr"/>
      <c r="N4440" t="inlineStr">
        <is>
          <t>3B⁰, 2A⁰, 27B⁷, 9J⁰, 18B⁰, 54A⁶, 18N², 6C⁰, 27B¹, 54A², 9C⁰, 1A⁰, 27A³</t>
        </is>
      </c>
      <c r="O4440" t="inlineStr"/>
    </row>
    <row r="4441">
      <c r="A4441">
        <f>HYPERLINK("https://mathstats.uncg.edu/sites/pauli/congruence/csg16.html#group54C16", "54C¹⁶")</f>
        <v/>
      </c>
      <c r="B4441" t="n">
        <v>16</v>
      </c>
      <c r="C4441" t="inlineStr"/>
      <c r="D4441" t="inlineStr">
        <is>
          <t>216</t>
        </is>
      </c>
      <c r="E4441" t="inlineStr">
        <is>
          <t>1</t>
        </is>
      </c>
      <c r="F4441" t="inlineStr">
        <is>
          <t>12</t>
        </is>
      </c>
      <c r="G4441" t="inlineStr">
        <is>
          <t>0</t>
        </is>
      </c>
      <c r="H4441" t="inlineStr">
        <is>
          <t>0</t>
        </is>
      </c>
      <c r="I4441" t="inlineStr">
        <is>
          <t>18³, 54³</t>
        </is>
      </c>
      <c r="J4441" t="n">
        <v>6</v>
      </c>
      <c r="K4441" t="inlineStr">
        <is>
          <t>1², 2², 6¹</t>
        </is>
      </c>
      <c r="L4441" t="inlineStr">
        <is>
          <t>18N², 54B⁴, 54A⁶, 27C⁷</t>
        </is>
      </c>
      <c r="M4441" t="inlineStr"/>
      <c r="N4441" t="inlineStr">
        <is>
          <t>3B⁰, 2A⁰, 9J⁰, 27B², 18B⁰, 54A⁶, 18N², 54B⁴, 6C⁰, 27C⁷, 9C⁰, 1A⁰, 27A³</t>
        </is>
      </c>
      <c r="O4441" t="inlineStr"/>
    </row>
    <row r="4442">
      <c r="A4442">
        <f>HYPERLINK("https://mathstats.uncg.edu/sites/pauli/congruence/csg16.html#group54D16", "54D¹⁶")</f>
        <v/>
      </c>
      <c r="B4442" t="n">
        <v>16</v>
      </c>
      <c r="C4442" t="inlineStr"/>
      <c r="D4442" t="inlineStr">
        <is>
          <t>216</t>
        </is>
      </c>
      <c r="E4442" t="inlineStr">
        <is>
          <t>1</t>
        </is>
      </c>
      <c r="F4442" t="inlineStr">
        <is>
          <t>12</t>
        </is>
      </c>
      <c r="G4442" t="inlineStr">
        <is>
          <t>0</t>
        </is>
      </c>
      <c r="H4442" t="inlineStr">
        <is>
          <t>0</t>
        </is>
      </c>
      <c r="I4442" t="inlineStr">
        <is>
          <t>18³, 54³</t>
        </is>
      </c>
      <c r="J4442" t="n">
        <v>6</v>
      </c>
      <c r="K4442" t="inlineStr">
        <is>
          <t>1², 2², 6¹</t>
        </is>
      </c>
      <c r="L4442" t="inlineStr">
        <is>
          <t>54A², 18C⁴, 54C⁵, 54A⁸</t>
        </is>
      </c>
      <c r="M4442" t="inlineStr"/>
      <c r="N4442" t="inlineStr">
        <is>
          <t>3B⁰, 2A⁰, 18B⁰, 6I⁰, 6C⁰, 18D², 27B¹, 2B⁰, 54A², 9C⁰, 1A⁰, 18C², 54C⁵, 6F⁰, 2C⁰, 54A⁸, 18C⁴</t>
        </is>
      </c>
      <c r="O4442" t="inlineStr"/>
    </row>
    <row r="4443">
      <c r="A4443">
        <f>HYPERLINK("https://mathstats.uncg.edu/sites/pauli/congruence/csg16.html#group54E16", "54E¹⁶")</f>
        <v/>
      </c>
      <c r="B4443" t="n">
        <v>16</v>
      </c>
      <c r="C4443" t="inlineStr"/>
      <c r="D4443" t="inlineStr">
        <is>
          <t>216</t>
        </is>
      </c>
      <c r="E4443" t="inlineStr">
        <is>
          <t>1</t>
        </is>
      </c>
      <c r="F4443" t="inlineStr">
        <is>
          <t>12</t>
        </is>
      </c>
      <c r="G4443" t="inlineStr">
        <is>
          <t>0</t>
        </is>
      </c>
      <c r="H4443" t="inlineStr">
        <is>
          <t>0</t>
        </is>
      </c>
      <c r="I4443" t="inlineStr">
        <is>
          <t>18³, 54³</t>
        </is>
      </c>
      <c r="J4443" t="n">
        <v>6</v>
      </c>
      <c r="K4443" t="inlineStr">
        <is>
          <t>1², 2², 6¹</t>
        </is>
      </c>
      <c r="L4443" t="inlineStr">
        <is>
          <t>54C³, 18C⁴, 54A⁶, 54C⁸</t>
        </is>
      </c>
      <c r="M4443" t="inlineStr"/>
      <c r="N4443" t="inlineStr">
        <is>
          <t>3B⁰, 2A⁰, 18B⁰, 54A⁶, 6I⁰, 6C⁰, 18D², 2B⁰, 9C⁰, 1A⁰, 54C³, 18C², 54C⁸, 6F⁰, 2C⁰, 27A³, 18C⁴</t>
        </is>
      </c>
      <c r="O4443" t="inlineStr"/>
    </row>
    <row r="4444">
      <c r="A4444">
        <f>HYPERLINK("https://mathstats.uncg.edu/sites/pauli/congruence/csg16.html#group54F16", "54F¹⁶")</f>
        <v/>
      </c>
      <c r="B4444" t="n">
        <v>16</v>
      </c>
      <c r="C4444" t="inlineStr"/>
      <c r="D4444" t="inlineStr">
        <is>
          <t>216</t>
        </is>
      </c>
      <c r="E4444" t="inlineStr">
        <is>
          <t>1</t>
        </is>
      </c>
      <c r="F4444" t="inlineStr">
        <is>
          <t>12</t>
        </is>
      </c>
      <c r="G4444" t="inlineStr">
        <is>
          <t>0</t>
        </is>
      </c>
      <c r="H4444" t="inlineStr">
        <is>
          <t>0</t>
        </is>
      </c>
      <c r="I4444" t="inlineStr">
        <is>
          <t>18³, 54³</t>
        </is>
      </c>
      <c r="J4444" t="n">
        <v>6</v>
      </c>
      <c r="K4444" t="inlineStr">
        <is>
          <t>1², 2², 6¹</t>
        </is>
      </c>
      <c r="L4444" t="inlineStr">
        <is>
          <t>18C⁴, 54B⁴, 54D⁴, 54B⁸</t>
        </is>
      </c>
      <c r="M4444" t="inlineStr"/>
      <c r="N4444" t="inlineStr">
        <is>
          <t>3B⁰, 2A⁰, 18B⁰, 6I⁰, 6C⁰, 54B⁴, 54D⁴, 18D², 2B⁰, 9C⁰, 1A⁰, 27B², 18C², 54B⁸, 6F⁰, 2C⁰, 18C⁴</t>
        </is>
      </c>
      <c r="O4444" t="inlineStr"/>
    </row>
    <row r="4445">
      <c r="A4445">
        <f>HYPERLINK("https://mathstats.uncg.edu/sites/pauli/congruence/csg16.html#group54G16", "54G¹⁶")</f>
        <v/>
      </c>
      <c r="B4445" t="n">
        <v>16</v>
      </c>
      <c r="C4445" t="inlineStr"/>
      <c r="D4445" t="inlineStr">
        <is>
          <t>216</t>
        </is>
      </c>
      <c r="E4445" t="inlineStr">
        <is>
          <t>1</t>
        </is>
      </c>
      <c r="F4445" t="inlineStr">
        <is>
          <t>12</t>
        </is>
      </c>
      <c r="G4445" t="inlineStr">
        <is>
          <t>0</t>
        </is>
      </c>
      <c r="H4445" t="inlineStr">
        <is>
          <t>0</t>
        </is>
      </c>
      <c r="I4445" t="inlineStr">
        <is>
          <t>18³, 54³</t>
        </is>
      </c>
      <c r="J4445" t="n">
        <v>6</v>
      </c>
      <c r="K4445" t="inlineStr">
        <is>
          <t>1², 2², 6¹</t>
        </is>
      </c>
      <c r="L4445" t="inlineStr">
        <is>
          <t>54A², 18E⁴, 54B⁴, 54A⁶, 27D⁷</t>
        </is>
      </c>
      <c r="M4445" t="inlineStr"/>
      <c r="N4445" t="inlineStr">
        <is>
          <t>3B⁰, 2A⁰, 6B⁰, 18B⁰, 54A⁶, 6C⁰, 54B⁴, 9B⁰, 27B¹, 54A², 9C⁰, 1A⁰, 18B², 6D¹, 27B², 6E⁰, 6B¹, 18C¹, 9A¹, 27D⁷, 3C⁰, 9C¹, 6A¹, 18E⁴, 3A⁰, 3D⁰, 27A³</t>
        </is>
      </c>
      <c r="O4445" t="inlineStr"/>
    </row>
    <row r="4446">
      <c r="A4446">
        <f>HYPERLINK("https://mathstats.uncg.edu/sites/pauli/congruence/csg16.html#group54H16", "54H¹⁶")</f>
        <v/>
      </c>
      <c r="B4446" t="n">
        <v>16</v>
      </c>
      <c r="C4446" t="inlineStr"/>
      <c r="D4446" t="inlineStr">
        <is>
          <t>216</t>
        </is>
      </c>
      <c r="E4446" t="inlineStr">
        <is>
          <t>1</t>
        </is>
      </c>
      <c r="F4446" t="inlineStr">
        <is>
          <t>24</t>
        </is>
      </c>
      <c r="G4446" t="inlineStr">
        <is>
          <t>0</t>
        </is>
      </c>
      <c r="H4446" t="inlineStr">
        <is>
          <t>0</t>
        </is>
      </c>
      <c r="I4446" t="inlineStr">
        <is>
          <t>18³, 54³</t>
        </is>
      </c>
      <c r="J4446" t="n">
        <v>6</v>
      </c>
      <c r="K4446" t="inlineStr">
        <is>
          <t>2⁶, 6²</t>
        </is>
      </c>
      <c r="L4446" t="inlineStr">
        <is>
          <t>18E⁴</t>
        </is>
      </c>
      <c r="M4446" t="inlineStr"/>
      <c r="N4446" t="inlineStr">
        <is>
          <t>3B⁰, 2A⁰, 6B⁰, 18B⁰, 6C⁰, 9B⁰, 9C⁰, 1A⁰, 18B², 6D¹, 6E⁰, 6B¹, 18C¹, 9A¹, 3C⁰, 9C¹, 6A¹, 18E⁴, 3A⁰, 3D⁰</t>
        </is>
      </c>
      <c r="O4446" t="inlineStr"/>
    </row>
    <row r="4447">
      <c r="A4447">
        <f>HYPERLINK("https://mathstats.uncg.edu/sites/pauli/congruence/csg16.html#group54I16", "54I¹⁶")</f>
        <v/>
      </c>
      <c r="B4447" t="n">
        <v>16</v>
      </c>
      <c r="C4447" t="inlineStr"/>
      <c r="D4447" t="inlineStr">
        <is>
          <t>216</t>
        </is>
      </c>
      <c r="E4447" t="inlineStr">
        <is>
          <t>1</t>
        </is>
      </c>
      <c r="F4447" t="inlineStr">
        <is>
          <t>24</t>
        </is>
      </c>
      <c r="G4447" t="inlineStr">
        <is>
          <t>0</t>
        </is>
      </c>
      <c r="H4447" t="inlineStr">
        <is>
          <t>0</t>
        </is>
      </c>
      <c r="I4447" t="inlineStr">
        <is>
          <t>18³, 54³</t>
        </is>
      </c>
      <c r="J4447" t="n">
        <v>6</v>
      </c>
      <c r="K4447" t="inlineStr">
        <is>
          <t>2⁶, 6²</t>
        </is>
      </c>
      <c r="L4447" t="inlineStr">
        <is>
          <t>18N², 54D⁴, 54C⁵</t>
        </is>
      </c>
      <c r="M4447" t="inlineStr"/>
      <c r="N4447" t="inlineStr">
        <is>
          <t>3B⁰, 2A⁰, 9J⁰, 18B⁰, 18N², 6C⁰, 54D⁴, 54C⁵, 9C⁰, 1A⁰</t>
        </is>
      </c>
      <c r="O4447" t="inlineStr"/>
    </row>
    <row r="4448">
      <c r="A4448">
        <f>HYPERLINK("https://mathstats.uncg.edu/sites/pauli/congruence/csg16.html#group54J16", "54J¹⁶")</f>
        <v/>
      </c>
      <c r="B4448" t="n">
        <v>16</v>
      </c>
      <c r="C4448" t="inlineStr"/>
      <c r="D4448" t="inlineStr">
        <is>
          <t>216</t>
        </is>
      </c>
      <c r="E4448" t="inlineStr">
        <is>
          <t>1</t>
        </is>
      </c>
      <c r="F4448" t="inlineStr">
        <is>
          <t>24</t>
        </is>
      </c>
      <c r="G4448" t="inlineStr">
        <is>
          <t>0</t>
        </is>
      </c>
      <c r="H4448" t="inlineStr">
        <is>
          <t>0</t>
        </is>
      </c>
      <c r="I4448" t="inlineStr">
        <is>
          <t>18³, 54³</t>
        </is>
      </c>
      <c r="J4448" t="n">
        <v>6</v>
      </c>
      <c r="K4448" t="inlineStr">
        <is>
          <t>2⁶, 6²</t>
        </is>
      </c>
      <c r="L4448" t="inlineStr">
        <is>
          <t>18K¹, 54D⁴, 54C⁵, 54A⁶</t>
        </is>
      </c>
      <c r="M4448" t="inlineStr"/>
      <c r="N4448" t="inlineStr">
        <is>
          <t>3B⁰, 2A⁰, 18C⁰, 6A⁰, 18K¹, 54A⁶, 18B⁰, 6C⁰, 6J⁰, 54D⁴, 54C⁵, 9C⁰, 1A⁰, 27A³, 18D¹</t>
        </is>
      </c>
      <c r="O4448" t="inlineStr"/>
    </row>
    <row r="4449">
      <c r="A4449">
        <f>HYPERLINK("https://mathstats.uncg.edu/sites/pauli/congruence/csg16.html#group54K16", "54K¹⁶")</f>
        <v/>
      </c>
      <c r="B4449" t="n">
        <v>16</v>
      </c>
      <c r="C4449" t="inlineStr"/>
      <c r="D4449" t="inlineStr">
        <is>
          <t>216</t>
        </is>
      </c>
      <c r="E4449" t="inlineStr">
        <is>
          <t>1</t>
        </is>
      </c>
      <c r="F4449" t="inlineStr">
        <is>
          <t>24</t>
        </is>
      </c>
      <c r="G4449" t="inlineStr">
        <is>
          <t>0</t>
        </is>
      </c>
      <c r="H4449" t="inlineStr">
        <is>
          <t>0</t>
        </is>
      </c>
      <c r="I4449" t="inlineStr">
        <is>
          <t>18³, 54³</t>
        </is>
      </c>
      <c r="J4449" t="n">
        <v>6</v>
      </c>
      <c r="K4449" t="inlineStr">
        <is>
          <t>2⁶, 6²</t>
        </is>
      </c>
      <c r="L4449" t="inlineStr">
        <is>
          <t>54C³, 18E⁴, 54D⁴, 54C⁵</t>
        </is>
      </c>
      <c r="M4449" t="inlineStr"/>
      <c r="N4449" t="inlineStr">
        <is>
          <t>3B⁰, 2A⁰, 6B⁰, 18B⁰, 6C⁰, 54D⁴, 9B⁰, 9C⁰, 1A⁰, 54C³, 18B², 6D¹, 6E⁰, 6B¹, 18C¹, 9A¹, 3C⁰, 9C¹, 6A¹, 54C⁵, 18E⁴, 3A⁰, 3D⁰</t>
        </is>
      </c>
      <c r="O4449" t="inlineStr"/>
    </row>
    <row r="4450">
      <c r="A4450">
        <f>HYPERLINK("https://mathstats.uncg.edu/sites/pauli/congruence/csg16.html#group54L16", "54L¹⁶")</f>
        <v/>
      </c>
      <c r="B4450" t="n">
        <v>16</v>
      </c>
      <c r="C4450" t="inlineStr"/>
      <c r="D4450" t="inlineStr">
        <is>
          <t>216</t>
        </is>
      </c>
      <c r="E4450" t="inlineStr">
        <is>
          <t>1</t>
        </is>
      </c>
      <c r="F4450" t="inlineStr">
        <is>
          <t>24</t>
        </is>
      </c>
      <c r="G4450" t="inlineStr">
        <is>
          <t>0</t>
        </is>
      </c>
      <c r="H4450" t="inlineStr">
        <is>
          <t>0</t>
        </is>
      </c>
      <c r="I4450" t="inlineStr">
        <is>
          <t>18³, 54³</t>
        </is>
      </c>
      <c r="J4450" t="n">
        <v>6</v>
      </c>
      <c r="K4450" t="inlineStr">
        <is>
          <t>1⁴, 2⁴, 6²</t>
        </is>
      </c>
      <c r="L4450" t="inlineStr">
        <is>
          <t>18O², 54B⁴, 54C⁵</t>
        </is>
      </c>
      <c r="M4450" t="inlineStr"/>
      <c r="N4450" t="inlineStr">
        <is>
          <t>3B⁰, 2A⁰, 27B², 18B⁰, 6C⁰, 54B⁴, 9C⁰, 54C⁵, 18O², 1A⁰</t>
        </is>
      </c>
      <c r="O4450" t="inlineStr"/>
    </row>
    <row r="4451">
      <c r="A4451">
        <f>HYPERLINK("https://mathstats.uncg.edu/sites/pauli/congruence/csg16.html#group54M16", "54M¹⁶")</f>
        <v/>
      </c>
      <c r="B4451" t="n">
        <v>16</v>
      </c>
      <c r="C4451" t="inlineStr"/>
      <c r="D4451" t="inlineStr">
        <is>
          <t>216</t>
        </is>
      </c>
      <c r="E4451" t="inlineStr">
        <is>
          <t>1</t>
        </is>
      </c>
      <c r="F4451" t="inlineStr">
        <is>
          <t>24</t>
        </is>
      </c>
      <c r="G4451" t="inlineStr">
        <is>
          <t>0</t>
        </is>
      </c>
      <c r="H4451" t="inlineStr">
        <is>
          <t>0</t>
        </is>
      </c>
      <c r="I4451" t="inlineStr">
        <is>
          <t>18³, 54³</t>
        </is>
      </c>
      <c r="J4451" t="n">
        <v>6</v>
      </c>
      <c r="K4451" t="inlineStr">
        <is>
          <t>1⁴, 2⁴, 6²</t>
        </is>
      </c>
      <c r="L4451" t="inlineStr">
        <is>
          <t>18O², 54D⁴, 54A⁶</t>
        </is>
      </c>
      <c r="M4451" t="inlineStr"/>
      <c r="N4451" t="inlineStr">
        <is>
          <t>3B⁰, 2A⁰, 18B⁰, 54A⁶, 6C⁰, 9C⁰, 54D⁴, 18O², 1A⁰, 27A³</t>
        </is>
      </c>
      <c r="O4451" t="inlineStr"/>
    </row>
    <row r="4452">
      <c r="A4452">
        <f>HYPERLINK("https://mathstats.uncg.edu/sites/pauli/congruence/csg16.html#group54N16", "54N¹⁶")</f>
        <v/>
      </c>
      <c r="B4452" t="n">
        <v>16</v>
      </c>
      <c r="C4452" t="inlineStr"/>
      <c r="D4452" t="inlineStr">
        <is>
          <t>216</t>
        </is>
      </c>
      <c r="E4452" t="inlineStr">
        <is>
          <t>1</t>
        </is>
      </c>
      <c r="F4452" t="inlineStr">
        <is>
          <t>36</t>
        </is>
      </c>
      <c r="G4452" t="inlineStr">
        <is>
          <t>0</t>
        </is>
      </c>
      <c r="H4452" t="inlineStr">
        <is>
          <t>0</t>
        </is>
      </c>
      <c r="I4452" t="inlineStr">
        <is>
          <t>18³, 54³</t>
        </is>
      </c>
      <c r="J4452" t="n">
        <v>6</v>
      </c>
      <c r="K4452" t="inlineStr">
        <is>
          <t>3², 6⁵</t>
        </is>
      </c>
      <c r="L4452" t="inlineStr">
        <is>
          <t>18I⁴, 27E⁷</t>
        </is>
      </c>
      <c r="M4452" t="inlineStr"/>
      <c r="N4452" t="inlineStr">
        <is>
          <t>3B⁰, 2A⁰, 18B², 27E⁷, 9A¹, 6C⁰, 18I⁴, 9D¹, 1A⁰</t>
        </is>
      </c>
      <c r="O4452" t="inlineStr"/>
    </row>
    <row r="4453">
      <c r="A4453">
        <f>HYPERLINK("https://mathstats.uncg.edu/sites/pauli/congruence/csg16.html#group54O16", "54O¹⁶")</f>
        <v/>
      </c>
      <c r="B4453" t="n">
        <v>16</v>
      </c>
      <c r="C4453" t="inlineStr"/>
      <c r="D4453" t="inlineStr">
        <is>
          <t>216</t>
        </is>
      </c>
      <c r="E4453" t="inlineStr">
        <is>
          <t>1</t>
        </is>
      </c>
      <c r="F4453" t="inlineStr">
        <is>
          <t>72</t>
        </is>
      </c>
      <c r="G4453" t="inlineStr">
        <is>
          <t>0</t>
        </is>
      </c>
      <c r="H4453" t="inlineStr">
        <is>
          <t>0</t>
        </is>
      </c>
      <c r="I4453" t="inlineStr">
        <is>
          <t>18³, 54³</t>
        </is>
      </c>
      <c r="J4453" t="n">
        <v>6</v>
      </c>
      <c r="K4453" t="inlineStr">
        <is>
          <t>6¹²</t>
        </is>
      </c>
      <c r="L4453" t="inlineStr">
        <is>
          <t>18I⁴</t>
        </is>
      </c>
      <c r="M4453" t="inlineStr"/>
      <c r="N4453" t="inlineStr">
        <is>
          <t>3B⁰, 2A⁰, 18B², 9A¹, 6C⁰, 18I⁴, 9D¹, 1A⁰</t>
        </is>
      </c>
      <c r="O4453" t="inlineStr"/>
    </row>
    <row r="4454">
      <c r="A4454">
        <f>HYPERLINK("https://mathstats.uncg.edu/sites/pauli/congruence/csg16.html#group54P16", "54P¹⁶")</f>
        <v/>
      </c>
      <c r="B4454" t="n">
        <v>16</v>
      </c>
      <c r="C4454" t="inlineStr"/>
      <c r="D4454" t="inlineStr">
        <is>
          <t>216</t>
        </is>
      </c>
      <c r="E4454" t="inlineStr">
        <is>
          <t>2</t>
        </is>
      </c>
      <c r="F4454" t="inlineStr">
        <is>
          <t>24</t>
        </is>
      </c>
      <c r="G4454" t="inlineStr">
        <is>
          <t>0</t>
        </is>
      </c>
      <c r="H4454" t="inlineStr">
        <is>
          <t>0</t>
        </is>
      </c>
      <c r="I4454" t="inlineStr">
        <is>
          <t>18³, 54³</t>
        </is>
      </c>
      <c r="J4454" t="n">
        <v>6</v>
      </c>
      <c r="K4454" t="inlineStr">
        <is>
          <t>2¹², 6⁴</t>
        </is>
      </c>
      <c r="L4454" t="inlineStr">
        <is>
          <t>18O², 54C³, 54C⁵, 54A⁶</t>
        </is>
      </c>
      <c r="M4454" t="inlineStr"/>
      <c r="N4454" t="inlineStr">
        <is>
          <t>3B⁰, 2A⁰, 18B⁰, 54A⁶, 6C⁰, 9C⁰, 54C⁵, 18O², 1A⁰, 54C³, 27A³</t>
        </is>
      </c>
      <c r="O4454" t="inlineStr"/>
    </row>
    <row r="4455">
      <c r="A4455">
        <f>HYPERLINK("https://mathstats.uncg.edu/sites/pauli/congruence/csg16.html#group54Q16", "54Q¹⁶")</f>
        <v/>
      </c>
      <c r="B4455" t="n">
        <v>16</v>
      </c>
      <c r="C4455" t="inlineStr"/>
      <c r="D4455" t="inlineStr">
        <is>
          <t>324</t>
        </is>
      </c>
      <c r="E4455" t="inlineStr">
        <is>
          <t>1</t>
        </is>
      </c>
      <c r="F4455" t="inlineStr">
        <is>
          <t>18</t>
        </is>
      </c>
      <c r="G4455" t="inlineStr">
        <is>
          <t>36</t>
        </is>
      </c>
      <c r="H4455" t="inlineStr">
        <is>
          <t>0</t>
        </is>
      </c>
      <c r="I4455" t="inlineStr">
        <is>
          <t>54⁶</t>
        </is>
      </c>
      <c r="J4455" t="n">
        <v>6</v>
      </c>
      <c r="K4455" t="inlineStr">
        <is>
          <t>1¹, 2¹, 3¹, 6²</t>
        </is>
      </c>
      <c r="L4455" t="inlineStr">
        <is>
          <t>18O⁴, 27F⁷</t>
        </is>
      </c>
      <c r="M4455" t="inlineStr"/>
      <c r="N4455" t="inlineStr">
        <is>
          <t>6B⁰, 9D⁰, 18D⁰, 3A⁰, 6E⁰, 27F⁷, 9A⁰, 3C⁰, 9E¹, 18F¹, 9E⁰, 18O⁴, 1A⁰, 18A⁰</t>
        </is>
      </c>
      <c r="O4455" t="inlineStr"/>
    </row>
    <row r="4456">
      <c r="A4456">
        <f>HYPERLINK("https://mathstats.uncg.edu/sites/pauli/congruence/csg16.html#group54R16", "54R¹⁶")</f>
        <v/>
      </c>
      <c r="B4456" t="n">
        <v>16</v>
      </c>
      <c r="C4456" t="inlineStr"/>
      <c r="D4456" t="inlineStr">
        <is>
          <t>324</t>
        </is>
      </c>
      <c r="E4456" t="inlineStr">
        <is>
          <t>1</t>
        </is>
      </c>
      <c r="F4456" t="inlineStr">
        <is>
          <t>36</t>
        </is>
      </c>
      <c r="G4456" t="inlineStr">
        <is>
          <t>0</t>
        </is>
      </c>
      <c r="H4456" t="inlineStr">
        <is>
          <t>0</t>
        </is>
      </c>
      <c r="I4456" t="inlineStr">
        <is>
          <t>3⁹, 6⁹, 27³, 54³</t>
        </is>
      </c>
      <c r="J4456" t="n">
        <v>24</v>
      </c>
      <c r="K4456" t="inlineStr">
        <is>
          <t>1⁶, 2⁶, 6³</t>
        </is>
      </c>
      <c r="L4456" t="inlineStr">
        <is>
          <t>18Q², 54B², 27A⁴, 54B⁶</t>
        </is>
      </c>
      <c r="M4456" t="inlineStr"/>
      <c r="N4456" t="inlineStr">
        <is>
          <t>3B⁰, 54B², 18Q², 18E⁰, 54B⁶, 27A², 9B⁰, 9I⁰, 1A⁰, 2B⁰, 27A⁰, 6F⁰, 27A⁴</t>
        </is>
      </c>
      <c r="O4456" t="inlineStr"/>
    </row>
    <row r="4457">
      <c r="A4457">
        <f>HYPERLINK("https://mathstats.uncg.edu/sites/pauli/congruence/csg16.html#group54S16", "54S¹⁶")</f>
        <v/>
      </c>
      <c r="B4457" t="n">
        <v>16</v>
      </c>
      <c r="C4457" t="inlineStr"/>
      <c r="D4457" t="inlineStr">
        <is>
          <t>324</t>
        </is>
      </c>
      <c r="E4457" t="inlineStr">
        <is>
          <t>1</t>
        </is>
      </c>
      <c r="F4457" t="inlineStr">
        <is>
          <t>36</t>
        </is>
      </c>
      <c r="G4457" t="inlineStr">
        <is>
          <t>0</t>
        </is>
      </c>
      <c r="H4457" t="inlineStr">
        <is>
          <t>0</t>
        </is>
      </c>
      <c r="I4457" t="inlineStr">
        <is>
          <t>3⁹, 6⁹, 27³, 54³</t>
        </is>
      </c>
      <c r="J4457" t="n">
        <v>24</v>
      </c>
      <c r="K4457" t="inlineStr">
        <is>
          <t>1⁶, 2⁶, 6³</t>
        </is>
      </c>
      <c r="L4457" t="inlineStr">
        <is>
          <t>18Q², 27B⁴, 54E⁴, 54B⁶</t>
        </is>
      </c>
      <c r="M4457" t="inlineStr"/>
      <c r="N4457" t="inlineStr">
        <is>
          <t>27B⁴, 3B⁰, 27A¹, 18Q², 27A², 54B⁶, 18E⁰, 6F⁰, 9I⁰, 9B⁰, 2B⁰, 1A⁰, 54E⁴</t>
        </is>
      </c>
      <c r="O4457" t="inlineStr"/>
    </row>
    <row r="4458">
      <c r="A4458">
        <f>HYPERLINK("https://mathstats.uncg.edu/sites/pauli/congruence/csg16.html#group54T16", "54T¹⁶")</f>
        <v/>
      </c>
      <c r="B4458" t="n">
        <v>16</v>
      </c>
      <c r="C4458" t="inlineStr"/>
      <c r="D4458" t="inlineStr">
        <is>
          <t>324</t>
        </is>
      </c>
      <c r="E4458" t="inlineStr">
        <is>
          <t>1</t>
        </is>
      </c>
      <c r="F4458" t="inlineStr">
        <is>
          <t>36</t>
        </is>
      </c>
      <c r="G4458" t="inlineStr">
        <is>
          <t>0</t>
        </is>
      </c>
      <c r="H4458" t="inlineStr">
        <is>
          <t>0</t>
        </is>
      </c>
      <c r="I4458" t="inlineStr">
        <is>
          <t>3⁹, 6⁹, 27³, 54³</t>
        </is>
      </c>
      <c r="J4458" t="n">
        <v>24</v>
      </c>
      <c r="K4458" t="inlineStr">
        <is>
          <t>1⁶, 2⁶, 6³</t>
        </is>
      </c>
      <c r="L4458" t="inlineStr">
        <is>
          <t>54B², 18M⁴, 27C⁴, 54E⁴, 54B⁶</t>
        </is>
      </c>
      <c r="M4458" t="inlineStr"/>
      <c r="N4458" t="inlineStr">
        <is>
          <t>3B⁰, 54B², 27C⁴, 27A², 54B⁶, 18E², 9B⁰, 6G⁰, 18D², 2B⁰, 9C⁰, 1A⁰, 3D⁰, 18E⁰, 27A¹, 9A¹, 27A⁰, 3C⁰, 9C¹, 6K⁰, 18M⁴, 3A⁰, 6F⁰, 6D⁰, 54E⁴</t>
        </is>
      </c>
      <c r="O4458" t="inlineStr"/>
    </row>
    <row r="4459">
      <c r="A4459">
        <f>HYPERLINK("https://mathstats.uncg.edu/sites/pauli/congruence/csg16.html#group54U16", "54U¹⁶")</f>
        <v/>
      </c>
      <c r="B4459" t="n">
        <v>16</v>
      </c>
      <c r="C4459" t="inlineStr"/>
      <c r="D4459" t="inlineStr">
        <is>
          <t>324</t>
        </is>
      </c>
      <c r="E4459" t="inlineStr">
        <is>
          <t>1</t>
        </is>
      </c>
      <c r="F4459" t="inlineStr">
        <is>
          <t>108</t>
        </is>
      </c>
      <c r="G4459" t="inlineStr">
        <is>
          <t>0</t>
        </is>
      </c>
      <c r="H4459" t="inlineStr">
        <is>
          <t>0</t>
        </is>
      </c>
      <c r="I4459" t="inlineStr">
        <is>
          <t>3⁹, 6⁹, 27³, 54³</t>
        </is>
      </c>
      <c r="J4459" t="n">
        <v>24</v>
      </c>
      <c r="K4459" t="inlineStr">
        <is>
          <t>3⁶, 6¹⁵</t>
        </is>
      </c>
      <c r="L4459" t="inlineStr">
        <is>
          <t>27C³, 18P⁴</t>
        </is>
      </c>
      <c r="M4459" t="inlineStr"/>
      <c r="N4459" t="inlineStr">
        <is>
          <t>3B⁰, 18P⁴, 27C³, 9J⁰, 18D², 1A⁰, 2B⁰, 9C⁰, 6F⁰</t>
        </is>
      </c>
      <c r="O4459" t="inlineStr"/>
    </row>
    <row r="4460">
      <c r="A4460">
        <f>HYPERLINK("https://mathstats.uncg.edu/sites/pauli/congruence/csg16.html#group54V16", "54V¹⁶")</f>
        <v/>
      </c>
      <c r="B4460" t="n">
        <v>16</v>
      </c>
      <c r="C4460" t="inlineStr"/>
      <c r="D4460" t="inlineStr">
        <is>
          <t>324</t>
        </is>
      </c>
      <c r="E4460" t="inlineStr">
        <is>
          <t>2</t>
        </is>
      </c>
      <c r="F4460" t="inlineStr">
        <is>
          <t>9</t>
        </is>
      </c>
      <c r="G4460" t="inlineStr">
        <is>
          <t>36</t>
        </is>
      </c>
      <c r="H4460" t="inlineStr">
        <is>
          <t>0</t>
        </is>
      </c>
      <c r="I4460" t="inlineStr">
        <is>
          <t>54⁶</t>
        </is>
      </c>
      <c r="J4460" t="n">
        <v>6</v>
      </c>
      <c r="K4460" t="inlineStr">
        <is>
          <t>2³, 6²</t>
        </is>
      </c>
      <c r="L4460" t="inlineStr">
        <is>
          <t>18S⁴, 27H⁷, 54A⁷, 54D⁸</t>
        </is>
      </c>
      <c r="M4460" t="inlineStr"/>
      <c r="N4460" t="inlineStr">
        <is>
          <t>18S⁴, 6B⁰, 18H¹, 9G⁰, 18K², 54D⁸, 27B³, 54A⁷, 1A⁰, 18A⁰, 9B¹, 9D⁰, 18D⁰, 6E⁰, 9A⁰, 3C⁰, 18G², 3A⁰, 27H⁷, 18A¹, 9F¹</t>
        </is>
      </c>
      <c r="O4460" t="inlineStr"/>
    </row>
    <row r="4461">
      <c r="A4461">
        <f>HYPERLINK("https://mathstats.uncg.edu/sites/pauli/congruence/csg16.html#group55A16", "55A¹⁶")</f>
        <v/>
      </c>
      <c r="B4461" t="n">
        <v>16</v>
      </c>
      <c r="C4461" t="inlineStr"/>
      <c r="D4461" t="inlineStr">
        <is>
          <t>220</t>
        </is>
      </c>
      <c r="E4461" t="inlineStr">
        <is>
          <t>2</t>
        </is>
      </c>
      <c r="F4461" t="inlineStr">
        <is>
          <t>110</t>
        </is>
      </c>
      <c r="G4461" t="inlineStr">
        <is>
          <t>0</t>
        </is>
      </c>
      <c r="H4461" t="inlineStr">
        <is>
          <t>4</t>
        </is>
      </c>
      <c r="I4461" t="inlineStr">
        <is>
          <t>55⁴</t>
        </is>
      </c>
      <c r="J4461" t="n">
        <v>4</v>
      </c>
      <c r="K4461" t="inlineStr">
        <is>
          <t>4¹, 8², 20², 40⁴</t>
        </is>
      </c>
      <c r="L4461" t="inlineStr">
        <is>
          <t>5F⁰, 55A³, 55A⁷</t>
        </is>
      </c>
      <c r="M4461" t="inlineStr"/>
      <c r="N4461" t="inlineStr">
        <is>
          <t>11A⁰, 55A⁷, 55A³, 5A⁰, 5C⁰, 5F⁰, 1A⁰</t>
        </is>
      </c>
      <c r="O4461" t="inlineStr"/>
    </row>
    <row r="4462">
      <c r="A4462">
        <f>HYPERLINK("https://mathstats.uncg.edu/sites/pauli/congruence/csg16.html#group56A16", "56A¹⁶")</f>
        <v/>
      </c>
      <c r="B4462" t="n">
        <v>16</v>
      </c>
      <c r="C4462" t="inlineStr"/>
      <c r="D4462" t="inlineStr">
        <is>
          <t>252</t>
        </is>
      </c>
      <c r="E4462" t="inlineStr">
        <is>
          <t>1</t>
        </is>
      </c>
      <c r="F4462" t="inlineStr">
        <is>
          <t>126</t>
        </is>
      </c>
      <c r="G4462" t="inlineStr">
        <is>
          <t>0</t>
        </is>
      </c>
      <c r="H4462" t="inlineStr">
        <is>
          <t>0</t>
        </is>
      </c>
      <c r="I4462" t="inlineStr">
        <is>
          <t>7⁶, 14³, 56³</t>
        </is>
      </c>
      <c r="J4462" t="n">
        <v>12</v>
      </c>
      <c r="K4462" t="inlineStr">
        <is>
          <t>3⁴, 6¹³, 12³</t>
        </is>
      </c>
      <c r="L4462" t="inlineStr">
        <is>
          <t>28B⁷</t>
        </is>
      </c>
      <c r="M4462" t="inlineStr"/>
      <c r="N4462" t="inlineStr">
        <is>
          <t>7D⁰, 14B¹, 28B⁷, 14F², 28A³, 2B⁰, 4B⁰, 1A⁰, 7A⁰</t>
        </is>
      </c>
      <c r="O4462" t="inlineStr"/>
    </row>
    <row r="4463">
      <c r="A4463">
        <f>HYPERLINK("https://mathstats.uncg.edu/sites/pauli/congruence/csg16.html#group56B16", "56B¹⁶")</f>
        <v/>
      </c>
      <c r="B4463" t="n">
        <v>16</v>
      </c>
      <c r="C4463" t="inlineStr"/>
      <c r="D4463" t="inlineStr">
        <is>
          <t>252</t>
        </is>
      </c>
      <c r="E4463" t="inlineStr">
        <is>
          <t>1</t>
        </is>
      </c>
      <c r="F4463" t="inlineStr">
        <is>
          <t>126</t>
        </is>
      </c>
      <c r="G4463" t="inlineStr">
        <is>
          <t>0</t>
        </is>
      </c>
      <c r="H4463" t="inlineStr">
        <is>
          <t>0</t>
        </is>
      </c>
      <c r="I4463" t="inlineStr">
        <is>
          <t>7⁶, 14³, 56³</t>
        </is>
      </c>
      <c r="J4463" t="n">
        <v>12</v>
      </c>
      <c r="K4463" t="inlineStr">
        <is>
          <t>3⁴, 6¹³, 12³</t>
        </is>
      </c>
      <c r="L4463" t="inlineStr">
        <is>
          <t>56C⁶, 28B⁷</t>
        </is>
      </c>
      <c r="M4463" t="inlineStr"/>
      <c r="N4463" t="inlineStr">
        <is>
          <t>56C⁶, 7D⁰, 14B¹, 28B⁷, 14F², 28A³, 2B⁰, 8C⁰, 4B⁰, 1A⁰, 7A⁰</t>
        </is>
      </c>
      <c r="O4463" t="inlineStr"/>
    </row>
    <row r="4464">
      <c r="A4464">
        <f>HYPERLINK("https://mathstats.uncg.edu/sites/pauli/congruence/csg16.html#group56C16", "56C¹⁶")</f>
        <v/>
      </c>
      <c r="B4464" t="n">
        <v>16</v>
      </c>
      <c r="C4464" t="inlineStr"/>
      <c r="D4464" t="inlineStr">
        <is>
          <t>252</t>
        </is>
      </c>
      <c r="E4464" t="inlineStr">
        <is>
          <t>2</t>
        </is>
      </c>
      <c r="F4464" t="inlineStr">
        <is>
          <t>63</t>
        </is>
      </c>
      <c r="G4464" t="inlineStr">
        <is>
          <t>12</t>
        </is>
      </c>
      <c r="H4464" t="inlineStr">
        <is>
          <t>0</t>
        </is>
      </c>
      <c r="I4464" t="inlineStr">
        <is>
          <t>28³, 56³</t>
        </is>
      </c>
      <c r="J4464" t="n">
        <v>6</v>
      </c>
      <c r="K4464" t="inlineStr">
        <is>
          <t>6²¹</t>
        </is>
      </c>
      <c r="L4464" t="inlineStr">
        <is>
          <t>28I⁶, 56A⁶</t>
        </is>
      </c>
      <c r="M4464" t="inlineStr"/>
      <c r="N4464" t="inlineStr">
        <is>
          <t>28C², 7D⁰, 14B¹, 4C⁰, 14F², 2B⁰, 28I⁶, 1A⁰, 56A⁶, 7A⁰</t>
        </is>
      </c>
      <c r="O4464" t="inlineStr"/>
    </row>
    <row r="4465">
      <c r="A4465">
        <f>HYPERLINK("https://mathstats.uncg.edu/sites/pauli/congruence/csg16.html#group56D16", "56D¹⁶")</f>
        <v/>
      </c>
      <c r="B4465" t="n">
        <v>16</v>
      </c>
      <c r="C4465" t="inlineStr"/>
      <c r="D4465" t="inlineStr">
        <is>
          <t>252</t>
        </is>
      </c>
      <c r="E4465" t="inlineStr">
        <is>
          <t>2</t>
        </is>
      </c>
      <c r="F4465" t="inlineStr">
        <is>
          <t>126</t>
        </is>
      </c>
      <c r="G4465" t="inlineStr">
        <is>
          <t>0</t>
        </is>
      </c>
      <c r="H4465" t="inlineStr">
        <is>
          <t>0</t>
        </is>
      </c>
      <c r="I4465" t="inlineStr">
        <is>
          <t>7⁶, 14³, 56³</t>
        </is>
      </c>
      <c r="J4465" t="n">
        <v>12</v>
      </c>
      <c r="K4465" t="inlineStr">
        <is>
          <t>6²⁸, 12⁷</t>
        </is>
      </c>
      <c r="L4465" t="inlineStr">
        <is>
          <t>56B⁶, 28B⁷</t>
        </is>
      </c>
      <c r="M4465" t="inlineStr"/>
      <c r="N4465" t="inlineStr">
        <is>
          <t>7D⁰, 14B¹, 56B⁶, 28B⁷, 14F², 28A³, 2B⁰, 4B⁰, 1A⁰, 7A⁰</t>
        </is>
      </c>
      <c r="O4465" t="inlineStr"/>
    </row>
    <row r="4466">
      <c r="A4466">
        <f>HYPERLINK("https://mathstats.uncg.edu/sites/pauli/congruence/csg16.html#group56E16", "56E¹⁶")</f>
        <v/>
      </c>
      <c r="B4466" t="n">
        <v>16</v>
      </c>
      <c r="C4466" t="inlineStr"/>
      <c r="D4466" t="inlineStr">
        <is>
          <t>288</t>
        </is>
      </c>
      <c r="E4466" t="inlineStr">
        <is>
          <t>1</t>
        </is>
      </c>
      <c r="F4466" t="inlineStr">
        <is>
          <t>24</t>
        </is>
      </c>
      <c r="G4466" t="inlineStr">
        <is>
          <t>0</t>
        </is>
      </c>
      <c r="H4466" t="inlineStr">
        <is>
          <t>0</t>
        </is>
      </c>
      <c r="I4466" t="inlineStr">
        <is>
          <t>2⁶, 8³, 14⁶, 56³</t>
        </is>
      </c>
      <c r="J4466" t="n">
        <v>18</v>
      </c>
      <c r="K4466" t="inlineStr">
        <is>
          <t>1⁶, 6³</t>
        </is>
      </c>
      <c r="L4466" t="inlineStr">
        <is>
          <t>28F⁴, 56D⁶</t>
        </is>
      </c>
      <c r="M4466" t="inlineStr"/>
      <c r="N4466" t="inlineStr">
        <is>
          <t>56D⁶, 28F⁴, 7B⁰, 28D², 14C¹, 14H¹, 2B⁰, 7E⁰, 4B⁰, 1A⁰</t>
        </is>
      </c>
      <c r="O4466" t="inlineStr"/>
    </row>
    <row r="4467">
      <c r="A4467">
        <f>HYPERLINK("https://mathstats.uncg.edu/sites/pauli/congruence/csg16.html#group56F16", "56F¹⁶")</f>
        <v/>
      </c>
      <c r="B4467" t="n">
        <v>16</v>
      </c>
      <c r="C4467" t="inlineStr"/>
      <c r="D4467" t="inlineStr">
        <is>
          <t>288</t>
        </is>
      </c>
      <c r="E4467" t="inlineStr">
        <is>
          <t>1</t>
        </is>
      </c>
      <c r="F4467" t="inlineStr">
        <is>
          <t>48</t>
        </is>
      </c>
      <c r="G4467" t="inlineStr">
        <is>
          <t>0</t>
        </is>
      </c>
      <c r="H4467" t="inlineStr">
        <is>
          <t>0</t>
        </is>
      </c>
      <c r="I4467" t="inlineStr">
        <is>
          <t>2⁶, 8³, 14⁶, 56³</t>
        </is>
      </c>
      <c r="J4467" t="n">
        <v>18</v>
      </c>
      <c r="K4467" t="inlineStr">
        <is>
          <t>1⁴, 2⁴, 6², 12²</t>
        </is>
      </c>
      <c r="L4467" t="inlineStr">
        <is>
          <t>56E⁶, 28D⁷</t>
        </is>
      </c>
      <c r="M4467" t="inlineStr"/>
      <c r="N4467" t="inlineStr">
        <is>
          <t>8D⁰, 7B⁰, 4C⁰, 14C¹, 14H¹, 1A⁰, 2B⁰, 7E⁰, 28C³, 56E⁶, 28D⁷</t>
        </is>
      </c>
      <c r="O4467" t="inlineStr"/>
    </row>
    <row r="4468">
      <c r="A4468">
        <f>HYPERLINK("https://mathstats.uncg.edu/sites/pauli/congruence/csg16.html#group57A16", "57A¹⁶")</f>
        <v/>
      </c>
      <c r="B4468" t="n">
        <v>16</v>
      </c>
      <c r="C4468" t="inlineStr"/>
      <c r="D4468" t="inlineStr">
        <is>
          <t>228</t>
        </is>
      </c>
      <c r="E4468" t="inlineStr">
        <is>
          <t>2</t>
        </is>
      </c>
      <c r="F4468" t="inlineStr">
        <is>
          <t>228</t>
        </is>
      </c>
      <c r="G4468" t="inlineStr">
        <is>
          <t>0</t>
        </is>
      </c>
      <c r="H4468" t="inlineStr">
        <is>
          <t>3</t>
        </is>
      </c>
      <c r="I4468" t="inlineStr">
        <is>
          <t>19³, 57³</t>
        </is>
      </c>
      <c r="J4468" t="n">
        <v>6</v>
      </c>
      <c r="K4468" t="inlineStr">
        <is>
          <t>6², 12¹, 18¹², 36⁶</t>
        </is>
      </c>
      <c r="L4468" t="inlineStr">
        <is>
          <t>3B⁰, 19A²</t>
        </is>
      </c>
      <c r="M4468" t="inlineStr"/>
      <c r="N4468" t="inlineStr">
        <is>
          <t>19A², 3B⁰, 1A⁰</t>
        </is>
      </c>
      <c r="O4468" t="inlineStr"/>
    </row>
    <row r="4469">
      <c r="A4469">
        <f>HYPERLINK("https://mathstats.uncg.edu/sites/pauli/congruence/csg16.html#group60A16", "60A¹⁶")</f>
        <v/>
      </c>
      <c r="B4469" t="n">
        <v>16</v>
      </c>
      <c r="C4469" t="inlineStr"/>
      <c r="D4469" t="inlineStr">
        <is>
          <t>240</t>
        </is>
      </c>
      <c r="E4469" t="inlineStr">
        <is>
          <t>1</t>
        </is>
      </c>
      <c r="F4469" t="inlineStr">
        <is>
          <t>60</t>
        </is>
      </c>
      <c r="G4469" t="inlineStr">
        <is>
          <t>0</t>
        </is>
      </c>
      <c r="H4469" t="inlineStr">
        <is>
          <t>0</t>
        </is>
      </c>
      <c r="I4469" t="inlineStr">
        <is>
          <t>10⁴, 20¹, 30⁴, 60¹</t>
        </is>
      </c>
      <c r="J4469" t="n">
        <v>10</v>
      </c>
      <c r="K4469" t="inlineStr">
        <is>
          <t>1⁶, 2³, 4⁶, 8³</t>
        </is>
      </c>
      <c r="L4469" t="inlineStr">
        <is>
          <t>12I⁰, 30B⁸</t>
        </is>
      </c>
      <c r="M4469" t="inlineStr"/>
      <c r="N4469" t="inlineStr">
        <is>
          <t>3B⁰, 2A⁰, 5A⁰, 6I⁰, 10B¹, 30D², 12I⁰, 6C⁰, 2B⁰, 10B², 1A⁰, 10A⁰, 30B⁸, 30D⁴, 15B¹, 6F⁰, 2C⁰</t>
        </is>
      </c>
      <c r="O4469" t="inlineStr"/>
    </row>
    <row r="4470">
      <c r="A4470">
        <f>HYPERLINK("https://mathstats.uncg.edu/sites/pauli/congruence/csg16.html#group60B16", "60B¹⁶")</f>
        <v/>
      </c>
      <c r="B4470" t="n">
        <v>16</v>
      </c>
      <c r="C4470" t="inlineStr"/>
      <c r="D4470" t="inlineStr">
        <is>
          <t>240</t>
        </is>
      </c>
      <c r="E4470" t="inlineStr">
        <is>
          <t>1</t>
        </is>
      </c>
      <c r="F4470" t="inlineStr">
        <is>
          <t>120</t>
        </is>
      </c>
      <c r="G4470" t="inlineStr">
        <is>
          <t>0</t>
        </is>
      </c>
      <c r="H4470" t="inlineStr">
        <is>
          <t>0</t>
        </is>
      </c>
      <c r="I4470" t="inlineStr">
        <is>
          <t>5², 10¹, 15², 20², 30¹, 60²</t>
        </is>
      </c>
      <c r="J4470" t="n">
        <v>10</v>
      </c>
      <c r="K4470" t="inlineStr">
        <is>
          <t>1⁸, 2⁶, 4⁹, 8⁶, 16¹</t>
        </is>
      </c>
      <c r="L4470" t="inlineStr">
        <is>
          <t>12J⁰, 60C⁸</t>
        </is>
      </c>
      <c r="M4470" t="inlineStr"/>
      <c r="N4470" t="inlineStr">
        <is>
          <t>20A², 3B⁰, 5A⁰, 10B¹, 12J⁰, 2B⁰, 4B⁰, 1A⁰, 30D⁴, 60C⁸, 15B¹, 6F⁰, 12E⁰</t>
        </is>
      </c>
      <c r="O4470" t="inlineStr"/>
    </row>
    <row r="4471">
      <c r="A4471">
        <f>HYPERLINK("https://mathstats.uncg.edu/sites/pauli/congruence/csg16.html#group60C16", "60C¹⁶")</f>
        <v/>
      </c>
      <c r="B4471" t="n">
        <v>16</v>
      </c>
      <c r="C4471" t="inlineStr"/>
      <c r="D4471" t="inlineStr">
        <is>
          <t>240</t>
        </is>
      </c>
      <c r="E4471" t="inlineStr">
        <is>
          <t>2</t>
        </is>
      </c>
      <c r="F4471" t="inlineStr">
        <is>
          <t>240</t>
        </is>
      </c>
      <c r="G4471" t="inlineStr">
        <is>
          <t>8</t>
        </is>
      </c>
      <c r="H4471" t="inlineStr">
        <is>
          <t>3</t>
        </is>
      </c>
      <c r="I4471" t="inlineStr">
        <is>
          <t>60⁴</t>
        </is>
      </c>
      <c r="J4471" t="n">
        <v>4</v>
      </c>
      <c r="K4471" t="inlineStr">
        <is>
          <t>16³⁰</t>
        </is>
      </c>
      <c r="L4471" t="inlineStr">
        <is>
          <t>15E², 60A³</t>
        </is>
      </c>
      <c r="M4471" t="inlineStr"/>
      <c r="N4471" t="inlineStr">
        <is>
          <t>15E², 5A⁰, 60A³, 4A⁰, 20A¹, 1A⁰, 15A⁰</t>
        </is>
      </c>
      <c r="O4471" t="inlineStr"/>
    </row>
    <row r="4472">
      <c r="A4472">
        <f>HYPERLINK("https://mathstats.uncg.edu/sites/pauli/congruence/csg16.html#group60D16", "60D¹⁶")</f>
        <v/>
      </c>
      <c r="B4472" t="n">
        <v>16</v>
      </c>
      <c r="C4472" t="inlineStr"/>
      <c r="D4472" t="inlineStr">
        <is>
          <t>270</t>
        </is>
      </c>
      <c r="E4472" t="inlineStr">
        <is>
          <t>1</t>
        </is>
      </c>
      <c r="F4472" t="inlineStr">
        <is>
          <t>15</t>
        </is>
      </c>
      <c r="G4472" t="inlineStr">
        <is>
          <t>18</t>
        </is>
      </c>
      <c r="H4472" t="inlineStr">
        <is>
          <t>0</t>
        </is>
      </c>
      <c r="I4472" t="inlineStr">
        <is>
          <t>30³, 60³</t>
        </is>
      </c>
      <c r="J4472" t="n">
        <v>6</v>
      </c>
      <c r="K4472" t="inlineStr">
        <is>
          <t>1³, 4³</t>
        </is>
      </c>
      <c r="L4472" t="inlineStr">
        <is>
          <t>20E⁴, 60B⁶, 60D⁶, 30P⁷</t>
        </is>
      </c>
      <c r="M4472" t="inlineStr"/>
      <c r="N4472" t="inlineStr">
        <is>
          <t>5A⁰, 60D⁶, 12C⁰, 20E⁴, 10B¹, 20B², 4C⁰, 60B⁶, 15F¹, 2B⁰, 1A⁰, 30P⁷, 30D³, 10I¹, 30E³, 6D⁰, 5E⁰, 3A⁰, 15A¹, 15A⁰</t>
        </is>
      </c>
      <c r="O4472" t="inlineStr"/>
    </row>
    <row r="4473">
      <c r="A4473">
        <f>HYPERLINK("https://mathstats.uncg.edu/sites/pauli/congruence/csg16.html#group60E16", "60E¹⁶")</f>
        <v/>
      </c>
      <c r="B4473" t="n">
        <v>16</v>
      </c>
      <c r="C4473" t="inlineStr"/>
      <c r="D4473" t="inlineStr">
        <is>
          <t>270</t>
        </is>
      </c>
      <c r="E4473" t="inlineStr">
        <is>
          <t>1</t>
        </is>
      </c>
      <c r="F4473" t="inlineStr">
        <is>
          <t>45</t>
        </is>
      </c>
      <c r="G4473" t="inlineStr">
        <is>
          <t>12</t>
        </is>
      </c>
      <c r="H4473" t="inlineStr">
        <is>
          <t>0</t>
        </is>
      </c>
      <c r="I4473" t="inlineStr">
        <is>
          <t>15⁶, 60³</t>
        </is>
      </c>
      <c r="J4473" t="n">
        <v>9</v>
      </c>
      <c r="K4473" t="inlineStr">
        <is>
          <t>1³, 2³, 4³, 8³</t>
        </is>
      </c>
      <c r="L4473" t="inlineStr">
        <is>
          <t>60C⁶, 30P⁷</t>
        </is>
      </c>
      <c r="M4473" t="inlineStr"/>
      <c r="N4473" t="inlineStr">
        <is>
          <t>30P⁷, 30D³, 5A⁰, 10I¹, 60C⁶, 30E³, 15A¹, 10B¹, 15F¹, 5E⁰, 2B⁰, 12D⁰, 3A⁰, 1A⁰, 6D⁰, 15A⁰</t>
        </is>
      </c>
      <c r="O4473" t="inlineStr"/>
    </row>
    <row r="4474">
      <c r="A4474">
        <f>HYPERLINK("https://mathstats.uncg.edu/sites/pauli/congruence/csg16.html#group60F16", "60F¹⁶")</f>
        <v/>
      </c>
      <c r="B4474" t="n">
        <v>16</v>
      </c>
      <c r="C4474" t="inlineStr"/>
      <c r="D4474" t="inlineStr">
        <is>
          <t>270</t>
        </is>
      </c>
      <c r="E4474" t="inlineStr">
        <is>
          <t>1</t>
        </is>
      </c>
      <c r="F4474" t="inlineStr">
        <is>
          <t>45</t>
        </is>
      </c>
      <c r="G4474" t="inlineStr">
        <is>
          <t>12</t>
        </is>
      </c>
      <c r="H4474" t="inlineStr">
        <is>
          <t>0</t>
        </is>
      </c>
      <c r="I4474" t="inlineStr">
        <is>
          <t>15⁶, 60³</t>
        </is>
      </c>
      <c r="J4474" t="n">
        <v>9</v>
      </c>
      <c r="K4474" t="inlineStr">
        <is>
          <t>1³, 2³, 4⁹</t>
        </is>
      </c>
      <c r="L4474" t="inlineStr">
        <is>
          <t>20P³, 30P⁷</t>
        </is>
      </c>
      <c r="M4474" t="inlineStr"/>
      <c r="N4474" t="inlineStr">
        <is>
          <t>30P⁷, 30D³, 5A⁰, 10I¹, 30E³, 15A¹, 10B¹, 15F¹, 5E⁰, 20P³, 2B⁰, 3A⁰, 1A⁰, 6D⁰, 15A⁰</t>
        </is>
      </c>
      <c r="O4474" t="inlineStr"/>
    </row>
    <row r="4475">
      <c r="A4475">
        <f>HYPERLINK("https://mathstats.uncg.edu/sites/pauli/congruence/csg16.html#group61A16", "61A¹⁶")</f>
        <v/>
      </c>
      <c r="B4475" t="n">
        <v>16</v>
      </c>
      <c r="C4475" t="inlineStr"/>
      <c r="D4475" t="inlineStr">
        <is>
          <t>310</t>
        </is>
      </c>
      <c r="E4475" t="inlineStr">
        <is>
          <t>1</t>
        </is>
      </c>
      <c r="F4475" t="inlineStr">
        <is>
          <t>62</t>
        </is>
      </c>
      <c r="G4475" t="inlineStr">
        <is>
          <t>10</t>
        </is>
      </c>
      <c r="H4475" t="inlineStr">
        <is>
          <t>10</t>
        </is>
      </c>
      <c r="I4475" t="inlineStr">
        <is>
          <t>1⁵, 61⁵</t>
        </is>
      </c>
      <c r="J4475" t="n">
        <v>10</v>
      </c>
      <c r="K4475" t="inlineStr">
        <is>
          <t>1², 60¹</t>
        </is>
      </c>
      <c r="L4475" t="inlineStr">
        <is>
          <t>61A⁴</t>
        </is>
      </c>
      <c r="M4475" t="inlineStr"/>
      <c r="N4475" t="inlineStr">
        <is>
          <t>1A⁰, 61A⁴</t>
        </is>
      </c>
      <c r="O4475" t="inlineStr"/>
    </row>
    <row r="4476">
      <c r="A4476">
        <f>HYPERLINK("https://mathstats.uncg.edu/sites/pauli/congruence/csg16.html#group62A16", "62A¹⁶")</f>
        <v/>
      </c>
      <c r="B4476" t="n">
        <v>16</v>
      </c>
      <c r="C4476" t="inlineStr"/>
      <c r="D4476" t="inlineStr">
        <is>
          <t>320</t>
        </is>
      </c>
      <c r="E4476" t="inlineStr">
        <is>
          <t>1</t>
        </is>
      </c>
      <c r="F4476" t="inlineStr">
        <is>
          <t>32</t>
        </is>
      </c>
      <c r="G4476" t="inlineStr">
        <is>
          <t>0</t>
        </is>
      </c>
      <c r="H4476" t="inlineStr">
        <is>
          <t>20</t>
        </is>
      </c>
      <c r="I4476" t="inlineStr">
        <is>
          <t>2⁵, 62⁵</t>
        </is>
      </c>
      <c r="J4476" t="n">
        <v>10</v>
      </c>
      <c r="K4476" t="inlineStr">
        <is>
          <t>1², 30¹</t>
        </is>
      </c>
      <c r="L4476" t="inlineStr">
        <is>
          <t>62A⁴, 31B⁶</t>
        </is>
      </c>
      <c r="M4476" t="inlineStr"/>
      <c r="N4476" t="inlineStr">
        <is>
          <t>2A⁰, 31A², 1A⁰, 31B⁶, 62A⁴</t>
        </is>
      </c>
      <c r="O4476" t="inlineStr"/>
    </row>
    <row r="4477">
      <c r="A4477">
        <f>HYPERLINK("https://mathstats.uncg.edu/sites/pauli/congruence/csg16.html#group63A16", "63A¹⁶")</f>
        <v/>
      </c>
      <c r="B4477" t="n">
        <v>16</v>
      </c>
      <c r="C4477" t="inlineStr"/>
      <c r="D4477" t="inlineStr">
        <is>
          <t>216</t>
        </is>
      </c>
      <c r="E4477" t="inlineStr">
        <is>
          <t>1</t>
        </is>
      </c>
      <c r="F4477" t="inlineStr">
        <is>
          <t>72</t>
        </is>
      </c>
      <c r="G4477" t="inlineStr">
        <is>
          <t>0</t>
        </is>
      </c>
      <c r="H4477" t="inlineStr">
        <is>
          <t>0</t>
        </is>
      </c>
      <c r="I4477" t="inlineStr">
        <is>
          <t>9³, 63³</t>
        </is>
      </c>
      <c r="J4477" t="n">
        <v>6</v>
      </c>
      <c r="K4477" t="inlineStr">
        <is>
          <t>1², 2², 6³, 12¹, 36¹</t>
        </is>
      </c>
      <c r="L4477" t="inlineStr">
        <is>
          <t>21A⁴, 63A⁶</t>
        </is>
      </c>
      <c r="M4477" t="inlineStr"/>
      <c r="N4477" t="inlineStr">
        <is>
          <t>63A⁶, 21A², 7B⁰, 9A⁰, 21A⁴, 7E⁰, 3A⁰, 1A⁰, 21A¹</t>
        </is>
      </c>
      <c r="O4477" t="inlineStr"/>
    </row>
    <row r="4478">
      <c r="A4478">
        <f>HYPERLINK("https://mathstats.uncg.edu/sites/pauli/congruence/csg16.html#group63B16", "63B¹⁶")</f>
        <v/>
      </c>
      <c r="B4478" t="n">
        <v>16</v>
      </c>
      <c r="C4478" t="inlineStr"/>
      <c r="D4478" t="inlineStr">
        <is>
          <t>216</t>
        </is>
      </c>
      <c r="E4478" t="inlineStr">
        <is>
          <t>1</t>
        </is>
      </c>
      <c r="F4478" t="inlineStr">
        <is>
          <t>216</t>
        </is>
      </c>
      <c r="G4478" t="inlineStr">
        <is>
          <t>0</t>
        </is>
      </c>
      <c r="H4478" t="inlineStr">
        <is>
          <t>0</t>
        </is>
      </c>
      <c r="I4478" t="inlineStr">
        <is>
          <t>9³, 63³</t>
        </is>
      </c>
      <c r="J4478" t="n">
        <v>6</v>
      </c>
      <c r="K4478" t="inlineStr">
        <is>
          <t>3², 6⁸, 18¹, 36⁴</t>
        </is>
      </c>
      <c r="L4478" t="inlineStr">
        <is>
          <t>9G⁰, 63A⁶</t>
        </is>
      </c>
      <c r="M4478" t="inlineStr"/>
      <c r="N4478" t="inlineStr">
        <is>
          <t>63A⁶, 21A², 7B⁰, 9A⁰, 9G⁰, 3A⁰, 1A⁰</t>
        </is>
      </c>
      <c r="O4478" t="inlineStr"/>
    </row>
    <row r="4479">
      <c r="A4479">
        <f>HYPERLINK("https://mathstats.uncg.edu/sites/pauli/congruence/csg16.html#group63C16", "63C¹⁶")</f>
        <v/>
      </c>
      <c r="B4479" t="n">
        <v>16</v>
      </c>
      <c r="C4479" t="inlineStr"/>
      <c r="D4479" t="inlineStr">
        <is>
          <t>252</t>
        </is>
      </c>
      <c r="E4479" t="inlineStr">
        <is>
          <t>1</t>
        </is>
      </c>
      <c r="F4479" t="inlineStr">
        <is>
          <t>84</t>
        </is>
      </c>
      <c r="G4479" t="inlineStr">
        <is>
          <t>0</t>
        </is>
      </c>
      <c r="H4479" t="inlineStr">
        <is>
          <t>0</t>
        </is>
      </c>
      <c r="I4479" t="inlineStr">
        <is>
          <t>7⁹, 63³</t>
        </is>
      </c>
      <c r="J4479" t="n">
        <v>12</v>
      </c>
      <c r="K4479" t="inlineStr">
        <is>
          <t>3², 6⁷, 12³</t>
        </is>
      </c>
      <c r="L4479" t="inlineStr">
        <is>
          <t>21A⁵, 63B⁶</t>
        </is>
      </c>
      <c r="M4479" t="inlineStr"/>
      <c r="N4479" t="inlineStr">
        <is>
          <t>3B⁰, 21B², 7D⁰, 63B⁶, 9B⁰, 21A⁵, 1A⁰, 7A⁰</t>
        </is>
      </c>
      <c r="O4479" t="inlineStr"/>
    </row>
    <row r="4480">
      <c r="A4480">
        <f>HYPERLINK("https://mathstats.uncg.edu/sites/pauli/congruence/csg16.html#group63D16", "63D¹⁶")</f>
        <v/>
      </c>
      <c r="B4480" t="n">
        <v>16</v>
      </c>
      <c r="C4480" t="inlineStr"/>
      <c r="D4480" t="inlineStr">
        <is>
          <t>252</t>
        </is>
      </c>
      <c r="E4480" t="inlineStr">
        <is>
          <t>2</t>
        </is>
      </c>
      <c r="F4480" t="inlineStr">
        <is>
          <t>126</t>
        </is>
      </c>
      <c r="G4480" t="inlineStr">
        <is>
          <t>8</t>
        </is>
      </c>
      <c r="H4480" t="inlineStr">
        <is>
          <t>0</t>
        </is>
      </c>
      <c r="I4480" t="inlineStr">
        <is>
          <t>21⁶, 63²</t>
        </is>
      </c>
      <c r="J4480" t="n">
        <v>8</v>
      </c>
      <c r="K4480" t="inlineStr">
        <is>
          <t>2¹, 4¹, 6³, 12⁴, 18², 36⁴</t>
        </is>
      </c>
      <c r="L4480" t="inlineStr">
        <is>
          <t>21B⁴, 63B⁸</t>
        </is>
      </c>
      <c r="M4480" t="inlineStr"/>
      <c r="N4480" t="inlineStr">
        <is>
          <t>21D², 9E⁰, 21D¹, 21A⁰, 3C⁰, 7A⁰, 3A⁰, 1A⁰, 21B⁴, 63B⁸</t>
        </is>
      </c>
      <c r="O4480" t="inlineStr"/>
    </row>
    <row r="4481">
      <c r="A4481">
        <f>HYPERLINK("https://mathstats.uncg.edu/sites/pauli/congruence/csg16.html#group63E16", "63E¹⁶")</f>
        <v/>
      </c>
      <c r="B4481" t="n">
        <v>16</v>
      </c>
      <c r="C4481" t="inlineStr"/>
      <c r="D4481" t="inlineStr">
        <is>
          <t>252</t>
        </is>
      </c>
      <c r="E4481" t="inlineStr">
        <is>
          <t>2</t>
        </is>
      </c>
      <c r="F4481" t="inlineStr">
        <is>
          <t>252</t>
        </is>
      </c>
      <c r="G4481" t="inlineStr">
        <is>
          <t>8</t>
        </is>
      </c>
      <c r="H4481" t="inlineStr">
        <is>
          <t>0</t>
        </is>
      </c>
      <c r="I4481" t="inlineStr">
        <is>
          <t>21⁶, 63²</t>
        </is>
      </c>
      <c r="J4481" t="n">
        <v>8</v>
      </c>
      <c r="K4481" t="inlineStr">
        <is>
          <t>6², 12¹¹, 18⁴, 36⁸</t>
        </is>
      </c>
      <c r="L4481" t="inlineStr">
        <is>
          <t>21B⁴</t>
        </is>
      </c>
      <c r="M4481" t="inlineStr"/>
      <c r="N4481" t="inlineStr">
        <is>
          <t>21D², 21D¹, 21A⁰, 3C⁰, 7A⁰, 3A⁰, 1A⁰, 21B⁴</t>
        </is>
      </c>
      <c r="O4481" t="inlineStr"/>
    </row>
    <row r="4482">
      <c r="A4482">
        <f>HYPERLINK("https://mathstats.uncg.edu/sites/pauli/congruence/csg16.html#group63F16", "63F¹⁶")</f>
        <v/>
      </c>
      <c r="B4482" t="n">
        <v>16</v>
      </c>
      <c r="C4482" t="inlineStr"/>
      <c r="D4482" t="inlineStr">
        <is>
          <t>288</t>
        </is>
      </c>
      <c r="E4482" t="inlineStr">
        <is>
          <t>2</t>
        </is>
      </c>
      <c r="F4482" t="inlineStr">
        <is>
          <t>32</t>
        </is>
      </c>
      <c r="G4482" t="inlineStr">
        <is>
          <t>0</t>
        </is>
      </c>
      <c r="H4482" t="inlineStr">
        <is>
          <t>9</t>
        </is>
      </c>
      <c r="I4482" t="inlineStr">
        <is>
          <t>3³, 9³, 21³, 63³</t>
        </is>
      </c>
      <c r="J4482" t="n">
        <v>12</v>
      </c>
      <c r="K4482" t="inlineStr">
        <is>
          <t>2⁸, 12⁴</t>
        </is>
      </c>
      <c r="L4482" t="inlineStr">
        <is>
          <t>21C⁴, 63A⁴, 63B⁵, 63D⁶</t>
        </is>
      </c>
      <c r="M4482" t="inlineStr"/>
      <c r="N4482" t="inlineStr">
        <is>
          <t>3B⁰, 21B¹, 7B⁰, 21A¹, 63B⁵, 9C⁰, 1A⁰, 63A⁴, 63D⁶, 21C⁴</t>
        </is>
      </c>
      <c r="O4482" t="inlineStr"/>
    </row>
    <row r="4483">
      <c r="A4483">
        <f>HYPERLINK("https://mathstats.uncg.edu/sites/pauli/congruence/csg16.html#group66A16", "66A¹⁶")</f>
        <v/>
      </c>
      <c r="B4483" t="n">
        <v>16</v>
      </c>
      <c r="C4483" t="inlineStr"/>
      <c r="D4483" t="inlineStr">
        <is>
          <t>198</t>
        </is>
      </c>
      <c r="E4483" t="inlineStr">
        <is>
          <t>2</t>
        </is>
      </c>
      <c r="F4483" t="inlineStr">
        <is>
          <t>11</t>
        </is>
      </c>
      <c r="G4483" t="inlineStr">
        <is>
          <t>0</t>
        </is>
      </c>
      <c r="H4483" t="inlineStr">
        <is>
          <t>0</t>
        </is>
      </c>
      <c r="I4483" t="inlineStr">
        <is>
          <t>66³</t>
        </is>
      </c>
      <c r="J4483" t="n">
        <v>3</v>
      </c>
      <c r="K4483" t="inlineStr">
        <is>
          <t>2¹, 10²</t>
        </is>
      </c>
      <c r="L4483" t="inlineStr">
        <is>
          <t>6C¹, 66A⁴, 22A⁵, 66A⁶, 66F⁶</t>
        </is>
      </c>
      <c r="M4483" t="inlineStr"/>
      <c r="N4483" t="inlineStr">
        <is>
          <t>2A⁰, 22A¹, 33A¹, 6C¹, 2B⁰, 22B², 1A⁰, 66A⁴, 11A⁰, 6A⁰, 22A⁵, 6A¹, 66F⁶, 3A⁰, 2C⁰, 6D⁰, 66A⁶</t>
        </is>
      </c>
      <c r="O4483" t="inlineStr"/>
    </row>
    <row r="4484">
      <c r="A4484">
        <f>HYPERLINK("https://mathstats.uncg.edu/sites/pauli/congruence/csg16.html#group66B16", "66B¹⁶")</f>
        <v/>
      </c>
      <c r="B4484" t="n">
        <v>16</v>
      </c>
      <c r="C4484" t="inlineStr"/>
      <c r="D4484" t="inlineStr">
        <is>
          <t>216</t>
        </is>
      </c>
      <c r="E4484" t="inlineStr">
        <is>
          <t>1</t>
        </is>
      </c>
      <c r="F4484" t="inlineStr">
        <is>
          <t>12</t>
        </is>
      </c>
      <c r="G4484" t="inlineStr">
        <is>
          <t>0</t>
        </is>
      </c>
      <c r="H4484" t="inlineStr">
        <is>
          <t>0</t>
        </is>
      </c>
      <c r="I4484" t="inlineStr">
        <is>
          <t>6³, 66³</t>
        </is>
      </c>
      <c r="J4484" t="n">
        <v>6</v>
      </c>
      <c r="K4484" t="inlineStr">
        <is>
          <t>1², 10¹</t>
        </is>
      </c>
      <c r="L4484" t="inlineStr">
        <is>
          <t>6C¹, 22A⁴, 66B⁶, 66C⁶, 66A⁸</t>
        </is>
      </c>
      <c r="M4484" t="inlineStr"/>
      <c r="N4484" t="inlineStr">
        <is>
          <t>66A⁸, 2A⁰, 6C¹, 2B⁰, 22C², 33A³, 1A⁰, 22A⁴, 6A⁰, 11A¹, 22A², 66B⁶, 66C⁶, 6A¹, 3A⁰, 2C⁰, 6D⁰</t>
        </is>
      </c>
      <c r="O4484" t="inlineStr"/>
    </row>
    <row r="4485">
      <c r="A4485">
        <f>HYPERLINK("https://mathstats.uncg.edu/sites/pauli/congruence/csg16.html#group66C16", "66C¹⁶")</f>
        <v/>
      </c>
      <c r="B4485" t="n">
        <v>16</v>
      </c>
      <c r="C4485" t="inlineStr"/>
      <c r="D4485" t="inlineStr">
        <is>
          <t>216</t>
        </is>
      </c>
      <c r="E4485" t="inlineStr">
        <is>
          <t>1</t>
        </is>
      </c>
      <c r="F4485" t="inlineStr">
        <is>
          <t>108</t>
        </is>
      </c>
      <c r="G4485" t="inlineStr">
        <is>
          <t>0</t>
        </is>
      </c>
      <c r="H4485" t="inlineStr">
        <is>
          <t>0</t>
        </is>
      </c>
      <c r="I4485" t="inlineStr">
        <is>
          <t>6³, 66³</t>
        </is>
      </c>
      <c r="J4485" t="n">
        <v>6</v>
      </c>
      <c r="K4485" t="inlineStr">
        <is>
          <t>1⁶, 2⁶, 10³, 20³</t>
        </is>
      </c>
      <c r="L4485" t="inlineStr">
        <is>
          <t>6H⁰, 66D⁶, 66A⁸</t>
        </is>
      </c>
      <c r="M4485" t="inlineStr"/>
      <c r="N4485" t="inlineStr">
        <is>
          <t>22C², 66A⁸, 6B⁰, 66D⁶, 11A¹, 2B⁰, 6H⁰, 3A⁰, 33A³, 1A⁰, 6D⁰</t>
        </is>
      </c>
      <c r="O4485" t="inlineStr"/>
    </row>
    <row r="4486">
      <c r="A4486">
        <f>HYPERLINK("https://mathstats.uncg.edu/sites/pauli/congruence/csg16.html#group70A16", "70A¹⁶")</f>
        <v/>
      </c>
      <c r="B4486" t="n">
        <v>16</v>
      </c>
      <c r="C4486" t="inlineStr"/>
      <c r="D4486" t="inlineStr">
        <is>
          <t>210</t>
        </is>
      </c>
      <c r="E4486" t="inlineStr">
        <is>
          <t>2</t>
        </is>
      </c>
      <c r="F4486" t="inlineStr">
        <is>
          <t>105</t>
        </is>
      </c>
      <c r="G4486" t="inlineStr">
        <is>
          <t>2</t>
        </is>
      </c>
      <c r="H4486" t="inlineStr">
        <is>
          <t>0</t>
        </is>
      </c>
      <c r="I4486" t="inlineStr">
        <is>
          <t>35², 70²</t>
        </is>
      </c>
      <c r="J4486" t="n">
        <v>4</v>
      </c>
      <c r="K4486" t="inlineStr">
        <is>
          <t>2³, 6⁶, 8³, 24⁶</t>
        </is>
      </c>
      <c r="L4486" t="inlineStr">
        <is>
          <t>14A², 35A⁴, 70A⁸</t>
        </is>
      </c>
      <c r="M4486" t="inlineStr"/>
      <c r="N4486" t="inlineStr">
        <is>
          <t>5A⁰, 14A², 14B¹, 10B¹, 35A⁴, 7C⁰, 70A⁸, 2B⁰, 1A⁰, 35A², 7A⁰</t>
        </is>
      </c>
      <c r="O4486" t="inlineStr"/>
    </row>
    <row r="4487">
      <c r="A4487">
        <f>HYPERLINK("https://mathstats.uncg.edu/sites/pauli/congruence/csg16.html#group70B16", "70B¹⁶")</f>
        <v/>
      </c>
      <c r="B4487" t="n">
        <v>16</v>
      </c>
      <c r="C4487" t="inlineStr"/>
      <c r="D4487" t="inlineStr">
        <is>
          <t>210</t>
        </is>
      </c>
      <c r="E4487" t="inlineStr">
        <is>
          <t>2</t>
        </is>
      </c>
      <c r="F4487" t="inlineStr">
        <is>
          <t>105</t>
        </is>
      </c>
      <c r="G4487" t="inlineStr">
        <is>
          <t>4</t>
        </is>
      </c>
      <c r="H4487" t="inlineStr">
        <is>
          <t>0</t>
        </is>
      </c>
      <c r="I4487" t="inlineStr">
        <is>
          <t>70³</t>
        </is>
      </c>
      <c r="J4487" t="n">
        <v>3</v>
      </c>
      <c r="K4487" t="inlineStr">
        <is>
          <t>6⁷, 24⁷</t>
        </is>
      </c>
      <c r="L4487" t="inlineStr">
        <is>
          <t>14B², 70A⁴, 35A⁷</t>
        </is>
      </c>
      <c r="M4487" t="inlineStr"/>
      <c r="N4487" t="inlineStr">
        <is>
          <t>14A⁰, 5A⁰, 14B², 70A⁴, 7D⁰, 35A⁷, 1A⁰, 35A², 7A⁰</t>
        </is>
      </c>
      <c r="O4487" t="inlineStr"/>
    </row>
    <row r="4488">
      <c r="A4488">
        <f>HYPERLINK("https://mathstats.uncg.edu/sites/pauli/congruence/csg16.html#group70C16", "70C¹⁶")</f>
        <v/>
      </c>
      <c r="B4488" t="n">
        <v>16</v>
      </c>
      <c r="C4488" t="inlineStr"/>
      <c r="D4488" t="inlineStr">
        <is>
          <t>210</t>
        </is>
      </c>
      <c r="E4488" t="inlineStr">
        <is>
          <t>2</t>
        </is>
      </c>
      <c r="F4488" t="inlineStr">
        <is>
          <t>105</t>
        </is>
      </c>
      <c r="G4488" t="inlineStr">
        <is>
          <t>4</t>
        </is>
      </c>
      <c r="H4488" t="inlineStr">
        <is>
          <t>0</t>
        </is>
      </c>
      <c r="I4488" t="inlineStr">
        <is>
          <t>70³</t>
        </is>
      </c>
      <c r="J4488" t="n">
        <v>3</v>
      </c>
      <c r="K4488" t="inlineStr">
        <is>
          <t>2³, 6⁶, 8³, 24⁶</t>
        </is>
      </c>
      <c r="L4488" t="inlineStr">
        <is>
          <t>14C², 70A⁴, 70A⁸</t>
        </is>
      </c>
      <c r="M4488" t="inlineStr"/>
      <c r="N4488" t="inlineStr">
        <is>
          <t>14A⁰, 5A⁰, 70A⁴, 14B¹, 10B¹, 14C², 70A⁸, 2B⁰, 1A⁰, 35A², 7A⁰</t>
        </is>
      </c>
      <c r="O4488" t="inlineStr"/>
    </row>
    <row r="4489">
      <c r="A4489">
        <f>HYPERLINK("https://mathstats.uncg.edu/sites/pauli/congruence/csg16.html#group70D16", "70D¹⁶")</f>
        <v/>
      </c>
      <c r="B4489" t="n">
        <v>16</v>
      </c>
      <c r="C4489" t="inlineStr"/>
      <c r="D4489" t="inlineStr">
        <is>
          <t>240</t>
        </is>
      </c>
      <c r="E4489" t="inlineStr">
        <is>
          <t>1</t>
        </is>
      </c>
      <c r="F4489" t="inlineStr">
        <is>
          <t>80</t>
        </is>
      </c>
      <c r="G4489" t="inlineStr">
        <is>
          <t>0</t>
        </is>
      </c>
      <c r="H4489" t="inlineStr">
        <is>
          <t>6</t>
        </is>
      </c>
      <c r="I4489" t="inlineStr">
        <is>
          <t>10³, 70³</t>
        </is>
      </c>
      <c r="J4489" t="n">
        <v>6</v>
      </c>
      <c r="K4489" t="inlineStr">
        <is>
          <t>2⁴, 4⁸, 12², 24⁴</t>
        </is>
      </c>
      <c r="L4489" t="inlineStr">
        <is>
          <t>70B⁴</t>
        </is>
      </c>
      <c r="M4489" t="inlineStr"/>
      <c r="N4489" t="inlineStr">
        <is>
          <t>2A⁰, 5A⁰, 10A⁰, 70B⁴, 7B⁰, 14B⁰, 35B², 1A⁰</t>
        </is>
      </c>
      <c r="O4489" t="inlineStr"/>
    </row>
    <row r="4490">
      <c r="A4490">
        <f>HYPERLINK("https://mathstats.uncg.edu/sites/pauli/congruence/csg16.html#group70E16", "70E¹⁶")</f>
        <v/>
      </c>
      <c r="B4490" t="n">
        <v>16</v>
      </c>
      <c r="C4490" t="inlineStr"/>
      <c r="D4490" t="inlineStr">
        <is>
          <t>240</t>
        </is>
      </c>
      <c r="E4490" t="inlineStr">
        <is>
          <t>1</t>
        </is>
      </c>
      <c r="F4490" t="inlineStr">
        <is>
          <t>80</t>
        </is>
      </c>
      <c r="G4490" t="inlineStr">
        <is>
          <t>0</t>
        </is>
      </c>
      <c r="H4490" t="inlineStr">
        <is>
          <t>6</t>
        </is>
      </c>
      <c r="I4490" t="inlineStr">
        <is>
          <t>10³, 70³</t>
        </is>
      </c>
      <c r="J4490" t="n">
        <v>6</v>
      </c>
      <c r="K4490" t="inlineStr">
        <is>
          <t>2⁴, 4⁸, 12², 24⁴</t>
        </is>
      </c>
      <c r="L4490" t="inlineStr">
        <is>
          <t>70B⁴</t>
        </is>
      </c>
      <c r="M4490" t="inlineStr"/>
      <c r="N4490" t="inlineStr">
        <is>
          <t>2A⁰, 5A⁰, 10A⁰, 70B⁴, 7B⁰, 14B⁰, 35B², 1A⁰</t>
        </is>
      </c>
      <c r="O4490" t="inlineStr"/>
    </row>
    <row r="4491">
      <c r="A4491">
        <f>HYPERLINK("https://mathstats.uncg.edu/sites/pauli/congruence/csg16.html#group70F16", "70F¹⁶")</f>
        <v/>
      </c>
      <c r="B4491" t="n">
        <v>16</v>
      </c>
      <c r="C4491" t="inlineStr"/>
      <c r="D4491" t="inlineStr">
        <is>
          <t>252</t>
        </is>
      </c>
      <c r="E4491" t="inlineStr">
        <is>
          <t>2</t>
        </is>
      </c>
      <c r="F4491" t="inlineStr">
        <is>
          <t>126</t>
        </is>
      </c>
      <c r="G4491" t="inlineStr">
        <is>
          <t>8</t>
        </is>
      </c>
      <c r="H4491" t="inlineStr">
        <is>
          <t>0</t>
        </is>
      </c>
      <c r="I4491" t="inlineStr">
        <is>
          <t>7², 14², 35², 70²</t>
        </is>
      </c>
      <c r="J4491" t="n">
        <v>8</v>
      </c>
      <c r="K4491" t="inlineStr">
        <is>
          <t>2⁶, 6¹², 8³, 24⁶</t>
        </is>
      </c>
      <c r="L4491" t="inlineStr">
        <is>
          <t>35C⁴, 70B⁸</t>
        </is>
      </c>
      <c r="M4491" t="inlineStr"/>
      <c r="N4491" t="inlineStr">
        <is>
          <t>35C², 35C⁴, 14B¹, 5B⁰, 70B⁸, 10C⁰, 2B⁰, 1A⁰, 7A⁰</t>
        </is>
      </c>
      <c r="O4491" t="inlineStr"/>
    </row>
    <row r="4492">
      <c r="A4492">
        <f>HYPERLINK("https://mathstats.uncg.edu/sites/pauli/congruence/csg16.html#group70G16", "70G¹⁶")</f>
        <v/>
      </c>
      <c r="B4492" t="n">
        <v>16</v>
      </c>
      <c r="C4492" t="inlineStr"/>
      <c r="D4492" t="inlineStr">
        <is>
          <t>252</t>
        </is>
      </c>
      <c r="E4492" t="inlineStr">
        <is>
          <t>2</t>
        </is>
      </c>
      <c r="F4492" t="inlineStr">
        <is>
          <t>126</t>
        </is>
      </c>
      <c r="G4492" t="inlineStr">
        <is>
          <t>12</t>
        </is>
      </c>
      <c r="H4492" t="inlineStr">
        <is>
          <t>0</t>
        </is>
      </c>
      <c r="I4492" t="inlineStr">
        <is>
          <t>14³, 70³</t>
        </is>
      </c>
      <c r="J4492" t="n">
        <v>6</v>
      </c>
      <c r="K4492" t="inlineStr">
        <is>
          <t>6¹⁴, 24⁷</t>
        </is>
      </c>
      <c r="L4492" t="inlineStr">
        <is>
          <t>35E⁶, 70A⁶</t>
        </is>
      </c>
      <c r="M4492" t="inlineStr"/>
      <c r="N4492" t="inlineStr">
        <is>
          <t>35C², 7D⁰, 35E⁶, 5B⁰, 1A⁰, 70A⁶, 7A⁰</t>
        </is>
      </c>
      <c r="O4492" t="inlineStr"/>
    </row>
    <row r="4493">
      <c r="A4493">
        <f>HYPERLINK("https://mathstats.uncg.edu/sites/pauli/congruence/csg16.html#group70H16", "70H¹⁶")</f>
        <v/>
      </c>
      <c r="B4493" t="n">
        <v>16</v>
      </c>
      <c r="C4493" t="inlineStr"/>
      <c r="D4493" t="inlineStr">
        <is>
          <t>252</t>
        </is>
      </c>
      <c r="E4493" t="inlineStr">
        <is>
          <t>2</t>
        </is>
      </c>
      <c r="F4493" t="inlineStr">
        <is>
          <t>126</t>
        </is>
      </c>
      <c r="G4493" t="inlineStr">
        <is>
          <t>12</t>
        </is>
      </c>
      <c r="H4493" t="inlineStr">
        <is>
          <t>0</t>
        </is>
      </c>
      <c r="I4493" t="inlineStr">
        <is>
          <t>14³, 70³</t>
        </is>
      </c>
      <c r="J4493" t="n">
        <v>6</v>
      </c>
      <c r="K4493" t="inlineStr">
        <is>
          <t>2⁶, 6¹², 8³, 24⁶</t>
        </is>
      </c>
      <c r="L4493" t="inlineStr">
        <is>
          <t>10G⁰, 70C⁴, 70B⁸</t>
        </is>
      </c>
      <c r="M4493" t="inlineStr"/>
      <c r="N4493" t="inlineStr">
        <is>
          <t>35C², 10G⁰, 70C⁴, 14B¹, 5B⁰, 70B⁸, 10C⁰, 2B⁰, 1A⁰, 7A⁰, 10B⁰</t>
        </is>
      </c>
      <c r="O4493" t="inlineStr"/>
    </row>
    <row r="4494">
      <c r="A4494">
        <f>HYPERLINK("https://mathstats.uncg.edu/sites/pauli/congruence/csg16.html#group72A16", "72A¹⁶")</f>
        <v/>
      </c>
      <c r="B4494" t="n">
        <v>16</v>
      </c>
      <c r="C4494" t="inlineStr"/>
      <c r="D4494" t="inlineStr">
        <is>
          <t>216</t>
        </is>
      </c>
      <c r="E4494" t="inlineStr">
        <is>
          <t>1</t>
        </is>
      </c>
      <c r="F4494" t="inlineStr">
        <is>
          <t>27</t>
        </is>
      </c>
      <c r="G4494" t="inlineStr">
        <is>
          <t>0</t>
        </is>
      </c>
      <c r="H4494" t="inlineStr">
        <is>
          <t>0</t>
        </is>
      </c>
      <c r="I4494" t="inlineStr">
        <is>
          <t>18⁴, 72²</t>
        </is>
      </c>
      <c r="J4494" t="n">
        <v>6</v>
      </c>
      <c r="K4494" t="inlineStr">
        <is>
          <t>1³, 2³, 6³</t>
        </is>
      </c>
      <c r="L4494" t="inlineStr">
        <is>
          <t>24D⁴, 72C⁶, 36B⁸, 72B⁸</t>
        </is>
      </c>
      <c r="M4494" t="inlineStr"/>
      <c r="N4494" t="inlineStr">
        <is>
          <t>2A⁰, 12C⁰, 72B⁸, 36B², 4C⁰, 6C¹, 12B², 2B⁰, 4E⁰, 8C⁰, 4B⁰, 1A⁰, 24B², 8G⁰, 18A⁴, 12B¹, 6A¹, 18E¹, 3A⁰, 8D⁰, 36B⁸, 18A², 24D⁴, 72C⁶, 6A⁰, 9A⁰, 36D⁴, 24C¹, 2C⁰, 6D⁰</t>
        </is>
      </c>
      <c r="O4494" t="inlineStr"/>
    </row>
    <row r="4495">
      <c r="A4495">
        <f>HYPERLINK("https://mathstats.uncg.edu/sites/pauli/congruence/csg16.html#group72B16", "72B¹⁶")</f>
        <v/>
      </c>
      <c r="B4495" t="n">
        <v>16</v>
      </c>
      <c r="C4495" t="inlineStr"/>
      <c r="D4495" t="inlineStr">
        <is>
          <t>216</t>
        </is>
      </c>
      <c r="E4495" t="inlineStr">
        <is>
          <t>1</t>
        </is>
      </c>
      <c r="F4495" t="inlineStr">
        <is>
          <t>27</t>
        </is>
      </c>
      <c r="G4495" t="inlineStr">
        <is>
          <t>0</t>
        </is>
      </c>
      <c r="H4495" t="inlineStr">
        <is>
          <t>0</t>
        </is>
      </c>
      <c r="I4495" t="inlineStr">
        <is>
          <t>18⁴, 72²</t>
        </is>
      </c>
      <c r="J4495" t="n">
        <v>6</v>
      </c>
      <c r="K4495" t="inlineStr">
        <is>
          <t>1³, 2³, 6³</t>
        </is>
      </c>
      <c r="L4495" t="inlineStr">
        <is>
          <t>24E⁴, 72D⁶, 36B⁸, 72C⁸</t>
        </is>
      </c>
      <c r="M4495" t="inlineStr"/>
      <c r="N4495" t="inlineStr">
        <is>
          <t>2A⁰, 24E¹, 12C⁰, 6C¹, 4C⁰, 12B², 36B², 36B⁸, 2B⁰, 4E⁰, 18A², 4B⁰, 1A⁰, 6A⁰, 72D⁶, 72C⁸, 18A⁴, 9A⁰, 24D², 36D⁴, 24E⁴, 12B¹, 6A¹, 18E¹, 3A⁰, 2C⁰, 6D⁰</t>
        </is>
      </c>
      <c r="O4495" t="inlineStr"/>
    </row>
    <row r="4496">
      <c r="A4496">
        <f>HYPERLINK("https://mathstats.uncg.edu/sites/pauli/congruence/csg16.html#group72C16", "72C¹⁶")</f>
        <v/>
      </c>
      <c r="B4496" t="n">
        <v>16</v>
      </c>
      <c r="C4496" t="inlineStr"/>
      <c r="D4496" t="inlineStr">
        <is>
          <t>216</t>
        </is>
      </c>
      <c r="E4496" t="inlineStr">
        <is>
          <t>1</t>
        </is>
      </c>
      <c r="F4496" t="inlineStr">
        <is>
          <t>54</t>
        </is>
      </c>
      <c r="G4496" t="inlineStr">
        <is>
          <t>0</t>
        </is>
      </c>
      <c r="H4496" t="inlineStr">
        <is>
          <t>0</t>
        </is>
      </c>
      <c r="I4496" t="inlineStr">
        <is>
          <t>18⁴, 72²</t>
        </is>
      </c>
      <c r="J4496" t="n">
        <v>6</v>
      </c>
      <c r="K4496" t="inlineStr">
        <is>
          <t>2⁷, 4¹, 6⁴, 12¹</t>
        </is>
      </c>
      <c r="L4496" t="inlineStr">
        <is>
          <t>24I⁴, 36C⁸, 72E⁸</t>
        </is>
      </c>
      <c r="M4496" t="inlineStr"/>
      <c r="N4496" t="inlineStr">
        <is>
          <t>24I⁴, 72E⁸, 6B⁰, 36C⁸, 36E³, 12D², 18B¹, 2B⁰, 4B⁰, 1A⁰, 18D³, 12C¹, 9A⁰, 24D², 36D⁴, 18E¹, 12B¹, 6H⁰, 3A⁰, 18A¹, 6D⁰</t>
        </is>
      </c>
      <c r="O4496" t="inlineStr"/>
    </row>
    <row r="4497">
      <c r="A4497">
        <f>HYPERLINK("https://mathstats.uncg.edu/sites/pauli/congruence/csg16.html#group72D16", "72D¹⁶")</f>
        <v/>
      </c>
      <c r="B4497" t="n">
        <v>16</v>
      </c>
      <c r="C4497" t="inlineStr"/>
      <c r="D4497" t="inlineStr">
        <is>
          <t>216</t>
        </is>
      </c>
      <c r="E4497" t="inlineStr">
        <is>
          <t>1</t>
        </is>
      </c>
      <c r="F4497" t="inlineStr">
        <is>
          <t>54</t>
        </is>
      </c>
      <c r="G4497" t="inlineStr">
        <is>
          <t>0</t>
        </is>
      </c>
      <c r="H4497" t="inlineStr">
        <is>
          <t>0</t>
        </is>
      </c>
      <c r="I4497" t="inlineStr">
        <is>
          <t>18⁴, 72²</t>
        </is>
      </c>
      <c r="J4497" t="n">
        <v>6</v>
      </c>
      <c r="K4497" t="inlineStr">
        <is>
          <t>1⁴, 2⁵, 4¹, 6⁴, 12¹</t>
        </is>
      </c>
      <c r="L4497" t="inlineStr">
        <is>
          <t>24J⁴, 36C⁸, 72B⁸, 72C⁸</t>
        </is>
      </c>
      <c r="M4497" t="inlineStr"/>
      <c r="N4497" t="inlineStr">
        <is>
          <t>6B⁰, 36C⁸, 36E³, 12D², 6H⁰, 72B⁸, 24J⁴, 18B¹, 2B⁰, 8C⁰, 4B⁰, 1A⁰, 24B², 18D³, 12C¹, 72C⁸, 9A⁰, 24D², 36D⁴, 12B¹, 18E¹, 3A⁰, 18A¹, 6D⁰</t>
        </is>
      </c>
      <c r="O4497" t="inlineStr"/>
    </row>
    <row r="4498">
      <c r="A4498">
        <f>HYPERLINK("https://mathstats.uncg.edu/sites/pauli/congruence/csg16.html#group72E16", "72E¹⁶")</f>
        <v/>
      </c>
      <c r="B4498" t="n">
        <v>16</v>
      </c>
      <c r="C4498" t="inlineStr"/>
      <c r="D4498" t="inlineStr">
        <is>
          <t>216</t>
        </is>
      </c>
      <c r="E4498" t="inlineStr">
        <is>
          <t>1</t>
        </is>
      </c>
      <c r="F4498" t="inlineStr">
        <is>
          <t>108</t>
        </is>
      </c>
      <c r="G4498" t="inlineStr">
        <is>
          <t>0</t>
        </is>
      </c>
      <c r="H4498" t="inlineStr">
        <is>
          <t>0</t>
        </is>
      </c>
      <c r="I4498" t="inlineStr">
        <is>
          <t>9², 18¹, 36¹, 72²</t>
        </is>
      </c>
      <c r="J4498" t="n">
        <v>6</v>
      </c>
      <c r="K4498" t="inlineStr">
        <is>
          <t>1⁴, 2⁶, 4³, 6⁴, 8¹, 12², 24¹</t>
        </is>
      </c>
      <c r="L4498" t="inlineStr">
        <is>
          <t>24F⁴, 72B⁸</t>
        </is>
      </c>
      <c r="M4498" t="inlineStr"/>
      <c r="N4498" t="inlineStr">
        <is>
          <t>24B², 24F⁴, 3A⁰, 9A⁰, 72B⁸, 36D⁴, 18E¹, 8C⁰, 12B¹, 8I⁰, 2B⁰, 4B⁰, 1A⁰, 6D⁰</t>
        </is>
      </c>
      <c r="O4498" t="inlineStr"/>
    </row>
    <row r="4499">
      <c r="A4499">
        <f>HYPERLINK("https://mathstats.uncg.edu/sites/pauli/congruence/csg16.html#group72F16", "72F¹⁶")</f>
        <v/>
      </c>
      <c r="B4499" t="n">
        <v>16</v>
      </c>
      <c r="C4499" t="inlineStr"/>
      <c r="D4499" t="inlineStr">
        <is>
          <t>216</t>
        </is>
      </c>
      <c r="E4499" t="inlineStr">
        <is>
          <t>1</t>
        </is>
      </c>
      <c r="F4499" t="inlineStr">
        <is>
          <t>108</t>
        </is>
      </c>
      <c r="G4499" t="inlineStr">
        <is>
          <t>0</t>
        </is>
      </c>
      <c r="H4499" t="inlineStr">
        <is>
          <t>0</t>
        </is>
      </c>
      <c r="I4499" t="inlineStr">
        <is>
          <t>9², 18¹, 36¹, 72²</t>
        </is>
      </c>
      <c r="J4499" t="n">
        <v>6</v>
      </c>
      <c r="K4499" t="inlineStr">
        <is>
          <t>1⁴, 2⁶, 4³, 6⁴, 8¹, 12², 24¹</t>
        </is>
      </c>
      <c r="L4499" t="inlineStr">
        <is>
          <t>24M⁴, 72B⁸</t>
        </is>
      </c>
      <c r="M4499" t="inlineStr"/>
      <c r="N4499" t="inlineStr">
        <is>
          <t>24B², 4B⁰, 9A⁰, 72B⁸, 24M⁴, 36D⁴, 12B¹, 2B⁰, 8C⁰, 18E¹, 3A⁰, 1A⁰, 6D⁰</t>
        </is>
      </c>
      <c r="O4499" t="inlineStr"/>
    </row>
    <row r="4500">
      <c r="A4500">
        <f>HYPERLINK("https://mathstats.uncg.edu/sites/pauli/congruence/csg16.html#group72G16", "72G¹⁶")</f>
        <v/>
      </c>
      <c r="B4500" t="n">
        <v>16</v>
      </c>
      <c r="C4500" t="inlineStr"/>
      <c r="D4500" t="inlineStr">
        <is>
          <t>216</t>
        </is>
      </c>
      <c r="E4500" t="inlineStr">
        <is>
          <t>1</t>
        </is>
      </c>
      <c r="F4500" t="inlineStr">
        <is>
          <t>108</t>
        </is>
      </c>
      <c r="G4500" t="inlineStr">
        <is>
          <t>0</t>
        </is>
      </c>
      <c r="H4500" t="inlineStr">
        <is>
          <t>0</t>
        </is>
      </c>
      <c r="I4500" t="inlineStr">
        <is>
          <t>18², 36³, 72¹</t>
        </is>
      </c>
      <c r="J4500" t="n">
        <v>6</v>
      </c>
      <c r="K4500" t="inlineStr">
        <is>
          <t>1⁸, 2¹⁰, 4², 6⁸, 12²</t>
        </is>
      </c>
      <c r="L4500" t="inlineStr">
        <is>
          <t>24G⁴, 36B⁸</t>
        </is>
      </c>
      <c r="M4500" t="inlineStr"/>
      <c r="N4500" t="inlineStr">
        <is>
          <t>2A⁰, 12C⁰, 36B², 6C¹, 12B², 4C⁰, 36B⁸, 2B⁰, 4E⁰, 18A², 4B⁰, 1A⁰, 6A⁰, 18A⁴, 9A⁰, 36D⁴, 12B¹, 6A¹, 18E¹, 3A⁰, 8J⁰, 2C⁰, 6D⁰, 24G⁴</t>
        </is>
      </c>
      <c r="O4500" t="inlineStr"/>
    </row>
    <row r="4501">
      <c r="A4501">
        <f>HYPERLINK("https://mathstats.uncg.edu/sites/pauli/congruence/csg16.html#group72H16", "72H¹⁶")</f>
        <v/>
      </c>
      <c r="B4501" t="n">
        <v>16</v>
      </c>
      <c r="C4501" t="inlineStr"/>
      <c r="D4501" t="inlineStr">
        <is>
          <t>216</t>
        </is>
      </c>
      <c r="E4501" t="inlineStr">
        <is>
          <t>1</t>
        </is>
      </c>
      <c r="F4501" t="inlineStr">
        <is>
          <t>108</t>
        </is>
      </c>
      <c r="G4501" t="inlineStr">
        <is>
          <t>0</t>
        </is>
      </c>
      <c r="H4501" t="inlineStr">
        <is>
          <t>0</t>
        </is>
      </c>
      <c r="I4501" t="inlineStr">
        <is>
          <t>18², 36³, 72¹</t>
        </is>
      </c>
      <c r="J4501" t="n">
        <v>6</v>
      </c>
      <c r="K4501" t="inlineStr">
        <is>
          <t>1⁸, 2¹⁰, 4², 6⁸, 12²</t>
        </is>
      </c>
      <c r="L4501" t="inlineStr">
        <is>
          <t>24N⁴, 36B⁸</t>
        </is>
      </c>
      <c r="M4501" t="inlineStr"/>
      <c r="N4501" t="inlineStr">
        <is>
          <t>2A⁰, 12C⁰, 6C¹, 4C⁰, 12B², 36B², 36B⁸, 4E⁰, 2B⁰, 18A², 4B⁰, 1A⁰, 6A⁰, 24N⁴, 18A⁴, 9A⁰, 36D⁴, 12B¹, 6A¹, 18E¹, 3A⁰, 2C⁰, 6D⁰</t>
        </is>
      </c>
      <c r="O4501" t="inlineStr"/>
    </row>
    <row r="4502">
      <c r="A4502">
        <f>HYPERLINK("https://mathstats.uncg.edu/sites/pauli/congruence/csg16.html#group72I16", "72I¹⁶")</f>
        <v/>
      </c>
      <c r="B4502" t="n">
        <v>16</v>
      </c>
      <c r="C4502" t="inlineStr"/>
      <c r="D4502" t="inlineStr">
        <is>
          <t>216</t>
        </is>
      </c>
      <c r="E4502" t="inlineStr">
        <is>
          <t>2</t>
        </is>
      </c>
      <c r="F4502" t="inlineStr">
        <is>
          <t>27</t>
        </is>
      </c>
      <c r="G4502" t="inlineStr">
        <is>
          <t>0</t>
        </is>
      </c>
      <c r="H4502" t="inlineStr">
        <is>
          <t>0</t>
        </is>
      </c>
      <c r="I4502" t="inlineStr">
        <is>
          <t>18⁴, 72²</t>
        </is>
      </c>
      <c r="J4502" t="n">
        <v>6</v>
      </c>
      <c r="K4502" t="inlineStr">
        <is>
          <t>2⁹, 6⁶</t>
        </is>
      </c>
      <c r="L4502" t="inlineStr">
        <is>
          <t>24E⁴, 72E⁶, 36B⁸, 72E⁸</t>
        </is>
      </c>
      <c r="M4502" t="inlineStr"/>
      <c r="N4502" t="inlineStr">
        <is>
          <t>2A⁰, 24E¹, 72E⁸, 12C⁰, 6C¹, 4C⁰, 12B², 36B², 36B⁸, 2B⁰, 4E⁰, 18A², 4B⁰, 1A⁰, 72E⁶, 6A⁰, 18A⁴, 9A⁰, 24D², 36D⁴, 24E⁴, 12B¹, 6A¹, 18E¹, 3A⁰, 2C⁰, 6D⁰</t>
        </is>
      </c>
      <c r="O4502" t="inlineStr"/>
    </row>
    <row r="4503">
      <c r="A4503">
        <f>HYPERLINK("https://mathstats.uncg.edu/sites/pauli/congruence/csg16.html#group72J16", "72J¹⁶")</f>
        <v/>
      </c>
      <c r="B4503" t="n">
        <v>16</v>
      </c>
      <c r="C4503" t="inlineStr"/>
      <c r="D4503" t="inlineStr">
        <is>
          <t>216</t>
        </is>
      </c>
      <c r="E4503" t="inlineStr">
        <is>
          <t>2</t>
        </is>
      </c>
      <c r="F4503" t="inlineStr">
        <is>
          <t>54</t>
        </is>
      </c>
      <c r="G4503" t="inlineStr">
        <is>
          <t>0</t>
        </is>
      </c>
      <c r="H4503" t="inlineStr">
        <is>
          <t>0</t>
        </is>
      </c>
      <c r="I4503" t="inlineStr">
        <is>
          <t>18⁴, 72²</t>
        </is>
      </c>
      <c r="J4503" t="n">
        <v>6</v>
      </c>
      <c r="K4503" t="inlineStr">
        <is>
          <t>2¹², 4³, 6⁸, 12²</t>
        </is>
      </c>
      <c r="L4503" t="inlineStr">
        <is>
          <t>24I⁴, 36F⁸, 72C⁸, 72E⁸</t>
        </is>
      </c>
      <c r="M4503" t="inlineStr"/>
      <c r="N4503" t="inlineStr">
        <is>
          <t>24I⁴, 72E⁸, 6B⁰, 12D², 36E⁴, 2B⁰, 4B⁰, 1A⁰, 18A⁰, 18L², 12C¹, 72C⁸, 9A⁰, 24D², 36D⁴, 18E¹, 36F⁸, 12B¹, 6H⁰, 3A⁰, 6D⁰</t>
        </is>
      </c>
      <c r="O4503" t="inlineStr"/>
    </row>
    <row r="4504">
      <c r="A4504">
        <f>HYPERLINK("https://mathstats.uncg.edu/sites/pauli/congruence/csg16.html#group72K16", "72K¹⁶")</f>
        <v/>
      </c>
      <c r="B4504" t="n">
        <v>16</v>
      </c>
      <c r="C4504" t="inlineStr"/>
      <c r="D4504" t="inlineStr">
        <is>
          <t>216</t>
        </is>
      </c>
      <c r="E4504" t="inlineStr">
        <is>
          <t>2</t>
        </is>
      </c>
      <c r="F4504" t="inlineStr">
        <is>
          <t>54</t>
        </is>
      </c>
      <c r="G4504" t="inlineStr">
        <is>
          <t>0</t>
        </is>
      </c>
      <c r="H4504" t="inlineStr">
        <is>
          <t>0</t>
        </is>
      </c>
      <c r="I4504" t="inlineStr">
        <is>
          <t>18⁴, 72²</t>
        </is>
      </c>
      <c r="J4504" t="n">
        <v>6</v>
      </c>
      <c r="K4504" t="inlineStr">
        <is>
          <t>2¹², 4³, 6⁸, 12²</t>
        </is>
      </c>
      <c r="L4504" t="inlineStr">
        <is>
          <t>24J⁴, 36F⁸, 72B⁸, 72E⁸</t>
        </is>
      </c>
      <c r="M4504" t="inlineStr"/>
      <c r="N4504" t="inlineStr">
        <is>
          <t>72E⁸, 6B⁰, 12D², 6H⁰, 72B⁸, 24J⁴, 36E⁴, 2B⁰, 8C⁰, 4B⁰, 1A⁰, 18A⁰, 18L², 24B², 12C¹, 9A⁰, 24D², 36D⁴, 36F⁸, 12B¹, 18E¹, 3A⁰, 6D⁰</t>
        </is>
      </c>
      <c r="O4504" t="inlineStr"/>
    </row>
    <row r="4505">
      <c r="A4505">
        <f>HYPERLINK("https://mathstats.uncg.edu/sites/pauli/congruence/csg16.html#group72L16", "72L¹⁶")</f>
        <v/>
      </c>
      <c r="B4505" t="n">
        <v>16</v>
      </c>
      <c r="C4505" t="inlineStr"/>
      <c r="D4505" t="inlineStr">
        <is>
          <t>216</t>
        </is>
      </c>
      <c r="E4505" t="inlineStr">
        <is>
          <t>2</t>
        </is>
      </c>
      <c r="F4505" t="inlineStr">
        <is>
          <t>54</t>
        </is>
      </c>
      <c r="G4505" t="inlineStr">
        <is>
          <t>4</t>
        </is>
      </c>
      <c r="H4505" t="inlineStr">
        <is>
          <t>0</t>
        </is>
      </c>
      <c r="I4505" t="inlineStr">
        <is>
          <t>36², 72²</t>
        </is>
      </c>
      <c r="J4505" t="n">
        <v>4</v>
      </c>
      <c r="K4505" t="inlineStr">
        <is>
          <t>2⁶, 4⁶, 6⁴, 12⁴</t>
        </is>
      </c>
      <c r="L4505" t="inlineStr">
        <is>
          <t>24K⁴, 36F⁶, 72E⁶, 72D⁸</t>
        </is>
      </c>
      <c r="M4505" t="inlineStr"/>
      <c r="N4505" t="inlineStr">
        <is>
          <t>24E¹, 12C⁰, 4C⁰, 36B², 2B⁰, 24C², 1A⁰, 36A¹, 36F⁶, 12A⁰, 72E⁶, 4A⁰, 9A⁰, 24K⁴, 72D⁸, 12J¹, 4F⁰, 18E¹, 3A⁰, 6D⁰</t>
        </is>
      </c>
      <c r="O4505" t="inlineStr"/>
    </row>
    <row r="4506">
      <c r="A4506">
        <f>HYPERLINK("https://mathstats.uncg.edu/sites/pauli/congruence/csg16.html#group72M16", "72M¹⁶")</f>
        <v/>
      </c>
      <c r="B4506" t="n">
        <v>16</v>
      </c>
      <c r="C4506" t="inlineStr"/>
      <c r="D4506" t="inlineStr">
        <is>
          <t>216</t>
        </is>
      </c>
      <c r="E4506" t="inlineStr">
        <is>
          <t>2</t>
        </is>
      </c>
      <c r="F4506" t="inlineStr">
        <is>
          <t>54</t>
        </is>
      </c>
      <c r="G4506" t="inlineStr">
        <is>
          <t>4</t>
        </is>
      </c>
      <c r="H4506" t="inlineStr">
        <is>
          <t>0</t>
        </is>
      </c>
      <c r="I4506" t="inlineStr">
        <is>
          <t>36², 72²</t>
        </is>
      </c>
      <c r="J4506" t="n">
        <v>4</v>
      </c>
      <c r="K4506" t="inlineStr">
        <is>
          <t>2⁶, 4⁶, 6⁴, 12⁴</t>
        </is>
      </c>
      <c r="L4506" t="inlineStr">
        <is>
          <t>24L⁴, 36I⁶, 72C⁶, 72D⁸</t>
        </is>
      </c>
      <c r="M4506" t="inlineStr"/>
      <c r="N4506" t="inlineStr">
        <is>
          <t>12C⁰, 8D⁰, 36B², 4C⁰, 2B⁰, 12M¹, 24C², 1A⁰, 72C⁶, 36I⁶, 9A⁰, 24C¹, 72D⁸, 18E¹, 3A⁰, 24L⁴, 6D⁰</t>
        </is>
      </c>
      <c r="O4506" t="inlineStr"/>
    </row>
    <row r="4507">
      <c r="A4507">
        <f>HYPERLINK("https://mathstats.uncg.edu/sites/pauli/congruence/csg16.html#group72N16", "72N¹⁶")</f>
        <v/>
      </c>
      <c r="B4507" t="n">
        <v>16</v>
      </c>
      <c r="C4507" t="inlineStr"/>
      <c r="D4507" t="inlineStr">
        <is>
          <t>216</t>
        </is>
      </c>
      <c r="E4507" t="inlineStr">
        <is>
          <t>2</t>
        </is>
      </c>
      <c r="F4507" t="inlineStr">
        <is>
          <t>54</t>
        </is>
      </c>
      <c r="G4507" t="inlineStr">
        <is>
          <t>4</t>
        </is>
      </c>
      <c r="H4507" t="inlineStr">
        <is>
          <t>0</t>
        </is>
      </c>
      <c r="I4507" t="inlineStr">
        <is>
          <t>36², 72²</t>
        </is>
      </c>
      <c r="J4507" t="n">
        <v>4</v>
      </c>
      <c r="K4507" t="inlineStr">
        <is>
          <t>2⁶, 4⁶, 6⁴, 12⁴</t>
        </is>
      </c>
      <c r="L4507" t="inlineStr">
        <is>
          <t>24P⁴, 36E⁶, 72E⁶, 72D⁸</t>
        </is>
      </c>
      <c r="M4507" t="inlineStr"/>
      <c r="N4507" t="inlineStr">
        <is>
          <t>24E¹, 12C⁰, 36E⁶, 24P⁴, 4C⁰, 36B², 12M¹, 2B⁰, 24C², 1A⁰, 72E⁶, 9A⁰, 72D⁸, 18E¹, 3A⁰, 6D⁰</t>
        </is>
      </c>
      <c r="O4507" t="inlineStr"/>
    </row>
    <row r="4508">
      <c r="A4508">
        <f>HYPERLINK("https://mathstats.uncg.edu/sites/pauli/congruence/csg16.html#group72O16", "72O¹⁶")</f>
        <v/>
      </c>
      <c r="B4508" t="n">
        <v>16</v>
      </c>
      <c r="C4508" t="inlineStr"/>
      <c r="D4508" t="inlineStr">
        <is>
          <t>216</t>
        </is>
      </c>
      <c r="E4508" t="inlineStr">
        <is>
          <t>2</t>
        </is>
      </c>
      <c r="F4508" t="inlineStr">
        <is>
          <t>54</t>
        </is>
      </c>
      <c r="G4508" t="inlineStr">
        <is>
          <t>4</t>
        </is>
      </c>
      <c r="H4508" t="inlineStr">
        <is>
          <t>0</t>
        </is>
      </c>
      <c r="I4508" t="inlineStr">
        <is>
          <t>36², 72²</t>
        </is>
      </c>
      <c r="J4508" t="n">
        <v>4</v>
      </c>
      <c r="K4508" t="inlineStr">
        <is>
          <t>2⁶, 4⁶, 6⁴, 12⁴</t>
        </is>
      </c>
      <c r="L4508" t="inlineStr">
        <is>
          <t>24P⁴, 36I⁶, 72D⁶, 72D⁸</t>
        </is>
      </c>
      <c r="M4508" t="inlineStr"/>
      <c r="N4508" t="inlineStr">
        <is>
          <t>24E¹, 12C⁰, 24P⁴, 4C⁰, 36B², 12M¹, 2B⁰, 24C², 1A⁰, 36I⁶, 72D⁶, 9A⁰, 72D⁸, 18E¹, 3A⁰, 6D⁰</t>
        </is>
      </c>
      <c r="O4508" t="inlineStr"/>
    </row>
    <row r="4509">
      <c r="A4509">
        <f>HYPERLINK("https://mathstats.uncg.edu/sites/pauli/congruence/csg16.html#group72P16", "72P¹⁶")</f>
        <v/>
      </c>
      <c r="B4509" t="n">
        <v>16</v>
      </c>
      <c r="C4509" t="inlineStr"/>
      <c r="D4509" t="inlineStr">
        <is>
          <t>216</t>
        </is>
      </c>
      <c r="E4509" t="inlineStr">
        <is>
          <t>2</t>
        </is>
      </c>
      <c r="F4509" t="inlineStr">
        <is>
          <t>108</t>
        </is>
      </c>
      <c r="G4509" t="inlineStr">
        <is>
          <t>0</t>
        </is>
      </c>
      <c r="H4509" t="inlineStr">
        <is>
          <t>0</t>
        </is>
      </c>
      <c r="I4509" t="inlineStr">
        <is>
          <t>9², 18¹, 36¹, 72²</t>
        </is>
      </c>
      <c r="J4509" t="n">
        <v>6</v>
      </c>
      <c r="K4509" t="inlineStr">
        <is>
          <t>2¹², 4⁶, 6⁸, 8³, 12⁴, 24²</t>
        </is>
      </c>
      <c r="L4509" t="inlineStr">
        <is>
          <t>24M⁴, 72B⁸</t>
        </is>
      </c>
      <c r="M4509" t="inlineStr"/>
      <c r="N4509" t="inlineStr">
        <is>
          <t>24B², 4B⁰, 9A⁰, 72B⁸, 24M⁴, 36D⁴, 12B¹, 2B⁰, 8C⁰, 18E¹, 3A⁰, 1A⁰, 6D⁰</t>
        </is>
      </c>
      <c r="O4509" t="inlineStr"/>
    </row>
    <row r="4510">
      <c r="A4510">
        <f>HYPERLINK("https://mathstats.uncg.edu/sites/pauli/congruence/csg16.html#group72Q16", "72Q¹⁶")</f>
        <v/>
      </c>
      <c r="B4510" t="n">
        <v>16</v>
      </c>
      <c r="C4510" t="inlineStr"/>
      <c r="D4510" t="inlineStr">
        <is>
          <t>216</t>
        </is>
      </c>
      <c r="E4510" t="inlineStr">
        <is>
          <t>2</t>
        </is>
      </c>
      <c r="F4510" t="inlineStr">
        <is>
          <t>108</t>
        </is>
      </c>
      <c r="G4510" t="inlineStr">
        <is>
          <t>0</t>
        </is>
      </c>
      <c r="H4510" t="inlineStr">
        <is>
          <t>0</t>
        </is>
      </c>
      <c r="I4510" t="inlineStr">
        <is>
          <t>18², 36³, 72¹</t>
        </is>
      </c>
      <c r="J4510" t="n">
        <v>6</v>
      </c>
      <c r="K4510" t="inlineStr">
        <is>
          <t>2²⁴, 4⁶, 6¹⁶, 12⁴</t>
        </is>
      </c>
      <c r="L4510" t="inlineStr">
        <is>
          <t>24N⁴, 36B⁸</t>
        </is>
      </c>
      <c r="M4510" t="inlineStr"/>
      <c r="N4510" t="inlineStr">
        <is>
          <t>2A⁰, 12C⁰, 6C¹, 4C⁰, 12B², 36B², 36B⁸, 4E⁰, 2B⁰, 18A², 4B⁰, 1A⁰, 6A⁰, 24N⁴, 18A⁴, 9A⁰, 36D⁴, 12B¹, 6A¹, 18E¹, 3A⁰, 2C⁰, 6D⁰</t>
        </is>
      </c>
      <c r="O4510" t="inlineStr"/>
    </row>
    <row r="4511">
      <c r="A4511">
        <f>HYPERLINK("https://mathstats.uncg.edu/sites/pauli/congruence/csg16.html#group72R16", "72R¹⁶")</f>
        <v/>
      </c>
      <c r="B4511" t="n">
        <v>16</v>
      </c>
      <c r="C4511" t="inlineStr"/>
      <c r="D4511" t="inlineStr">
        <is>
          <t>216</t>
        </is>
      </c>
      <c r="E4511" t="inlineStr">
        <is>
          <t>2</t>
        </is>
      </c>
      <c r="F4511" t="inlineStr">
        <is>
          <t>108</t>
        </is>
      </c>
      <c r="G4511" t="inlineStr">
        <is>
          <t>4</t>
        </is>
      </c>
      <c r="H4511" t="inlineStr">
        <is>
          <t>0</t>
        </is>
      </c>
      <c r="I4511" t="inlineStr">
        <is>
          <t>36², 72²</t>
        </is>
      </c>
      <c r="J4511" t="n">
        <v>4</v>
      </c>
      <c r="K4511" t="inlineStr">
        <is>
          <t>4¹⁸, 12¹²</t>
        </is>
      </c>
      <c r="L4511" t="inlineStr">
        <is>
          <t>24Q⁴, 36F⁷</t>
        </is>
      </c>
      <c r="M4511" t="inlineStr"/>
      <c r="N4511" t="inlineStr">
        <is>
          <t>24Q⁴, 6B⁰, 36E⁴, 2B⁰, 12N¹, 1A⁰, 36F⁷, 18A⁰, 18L², 12C¹, 9A⁰, 18E¹, 12D⁰, 6H⁰, 3A⁰, 36D³, 6D⁰</t>
        </is>
      </c>
      <c r="O4511" t="inlineStr"/>
    </row>
    <row r="4512">
      <c r="A4512">
        <f>HYPERLINK("https://mathstats.uncg.edu/sites/pauli/congruence/csg16.html#group72S16", "72S¹⁶")</f>
        <v/>
      </c>
      <c r="B4512" t="n">
        <v>16</v>
      </c>
      <c r="C4512" t="inlineStr"/>
      <c r="D4512" t="inlineStr">
        <is>
          <t>216</t>
        </is>
      </c>
      <c r="E4512" t="inlineStr">
        <is>
          <t>2</t>
        </is>
      </c>
      <c r="F4512" t="inlineStr">
        <is>
          <t>108</t>
        </is>
      </c>
      <c r="G4512" t="inlineStr">
        <is>
          <t>4</t>
        </is>
      </c>
      <c r="H4512" t="inlineStr">
        <is>
          <t>0</t>
        </is>
      </c>
      <c r="I4512" t="inlineStr">
        <is>
          <t>36², 72²</t>
        </is>
      </c>
      <c r="J4512" t="n">
        <v>4</v>
      </c>
      <c r="K4512" t="inlineStr">
        <is>
          <t>4¹⁸, 12¹²</t>
        </is>
      </c>
      <c r="L4512" t="inlineStr">
        <is>
          <t>24Q⁴, 36G⁷</t>
        </is>
      </c>
      <c r="M4512" t="inlineStr"/>
      <c r="N4512" t="inlineStr">
        <is>
          <t>24Q⁴, 6B⁰, 18B¹, 36E⁴, 2B⁰, 12N¹, 1A⁰, 18D³, 12C¹, 9A⁰, 18E¹, 12D⁰, 6H⁰, 3A⁰, 36G⁷, 18A¹, 6D⁰, 36C²</t>
        </is>
      </c>
      <c r="O4512" t="inlineStr"/>
    </row>
    <row r="4513">
      <c r="A4513">
        <f>HYPERLINK("https://mathstats.uncg.edu/sites/pauli/congruence/csg16.html#group74A16", "74A¹⁶")</f>
        <v/>
      </c>
      <c r="B4513" t="n">
        <v>16</v>
      </c>
      <c r="C4513" t="inlineStr"/>
      <c r="D4513" t="inlineStr">
        <is>
          <t>228</t>
        </is>
      </c>
      <c r="E4513" t="inlineStr">
        <is>
          <t>1</t>
        </is>
      </c>
      <c r="F4513" t="inlineStr">
        <is>
          <t>114</t>
        </is>
      </c>
      <c r="G4513" t="inlineStr">
        <is>
          <t>0</t>
        </is>
      </c>
      <c r="H4513" t="inlineStr">
        <is>
          <t>0</t>
        </is>
      </c>
      <c r="I4513" t="inlineStr">
        <is>
          <t>1², 2², 37², 74²</t>
        </is>
      </c>
      <c r="J4513" t="n">
        <v>8</v>
      </c>
      <c r="K4513" t="inlineStr">
        <is>
          <t>1⁶, 36³</t>
        </is>
      </c>
      <c r="L4513" t="inlineStr">
        <is>
          <t>37A⁴, 74A⁸</t>
        </is>
      </c>
      <c r="M4513" t="inlineStr"/>
      <c r="N4513" t="inlineStr">
        <is>
          <t>37A², 2B⁰, 74A⁸, 37A⁴, 1A⁰</t>
        </is>
      </c>
      <c r="O4513" t="inlineStr"/>
    </row>
    <row r="4514">
      <c r="A4514">
        <f>HYPERLINK("https://mathstats.uncg.edu/sites/pauli/congruence/csg16.html#group74B16", "74B¹⁶")</f>
        <v/>
      </c>
      <c r="B4514" t="n">
        <v>16</v>
      </c>
      <c r="C4514" t="inlineStr"/>
      <c r="D4514" t="inlineStr">
        <is>
          <t>228</t>
        </is>
      </c>
      <c r="E4514" t="inlineStr">
        <is>
          <t>1</t>
        </is>
      </c>
      <c r="F4514" t="inlineStr">
        <is>
          <t>114</t>
        </is>
      </c>
      <c r="G4514" t="inlineStr">
        <is>
          <t>4</t>
        </is>
      </c>
      <c r="H4514" t="inlineStr">
        <is>
          <t>0</t>
        </is>
      </c>
      <c r="I4514" t="inlineStr">
        <is>
          <t>2³, 74³</t>
        </is>
      </c>
      <c r="J4514" t="n">
        <v>6</v>
      </c>
      <c r="K4514" t="inlineStr">
        <is>
          <t>1⁶, 36³</t>
        </is>
      </c>
      <c r="L4514" t="inlineStr">
        <is>
          <t>74A⁴, 74A⁸</t>
        </is>
      </c>
      <c r="M4514" t="inlineStr"/>
      <c r="N4514" t="inlineStr">
        <is>
          <t>37A², 2B⁰, 74A⁸, 1A⁰, 74A⁴</t>
        </is>
      </c>
      <c r="O4514" t="inlineStr"/>
    </row>
    <row r="4515">
      <c r="A4515">
        <f>HYPERLINK("https://mathstats.uncg.edu/sites/pauli/congruence/csg16.html#group76A16", "76A¹⁶")</f>
        <v/>
      </c>
      <c r="B4515" t="n">
        <v>16</v>
      </c>
      <c r="C4515" t="inlineStr"/>
      <c r="D4515" t="inlineStr">
        <is>
          <t>240</t>
        </is>
      </c>
      <c r="E4515" t="inlineStr">
        <is>
          <t>1</t>
        </is>
      </c>
      <c r="F4515" t="inlineStr">
        <is>
          <t>60</t>
        </is>
      </c>
      <c r="G4515" t="inlineStr">
        <is>
          <t>0</t>
        </is>
      </c>
      <c r="H4515" t="inlineStr">
        <is>
          <t>0</t>
        </is>
      </c>
      <c r="I4515" t="inlineStr">
        <is>
          <t>2⁴, 4¹, 38⁴, 76¹</t>
        </is>
      </c>
      <c r="J4515" t="n">
        <v>10</v>
      </c>
      <c r="K4515" t="inlineStr">
        <is>
          <t>1⁶, 18³</t>
        </is>
      </c>
      <c r="L4515" t="inlineStr">
        <is>
          <t>38A⁸</t>
        </is>
      </c>
      <c r="M4515" t="inlineStr"/>
      <c r="N4515" t="inlineStr">
        <is>
          <t>2A⁰, 19A¹, 38A⁸, 38A², 38A⁴, 2B⁰, 1A⁰, 2C⁰</t>
        </is>
      </c>
      <c r="O4515" t="inlineStr"/>
    </row>
    <row r="4516">
      <c r="A4516">
        <f>HYPERLINK("https://mathstats.uncg.edu/sites/pauli/congruence/csg16.html#group76B16", "76B¹⁶")</f>
        <v/>
      </c>
      <c r="B4516" t="n">
        <v>16</v>
      </c>
      <c r="C4516" t="inlineStr"/>
      <c r="D4516" t="inlineStr">
        <is>
          <t>240</t>
        </is>
      </c>
      <c r="E4516" t="inlineStr">
        <is>
          <t>1</t>
        </is>
      </c>
      <c r="F4516" t="inlineStr">
        <is>
          <t>80</t>
        </is>
      </c>
      <c r="G4516" t="inlineStr">
        <is>
          <t>0</t>
        </is>
      </c>
      <c r="H4516" t="inlineStr">
        <is>
          <t>6</t>
        </is>
      </c>
      <c r="I4516" t="inlineStr">
        <is>
          <t>4³, 76³</t>
        </is>
      </c>
      <c r="J4516" t="n">
        <v>6</v>
      </c>
      <c r="K4516" t="inlineStr">
        <is>
          <t>2⁴, 36²</t>
        </is>
      </c>
      <c r="L4516" t="inlineStr">
        <is>
          <t>19B¹, 76A⁶</t>
        </is>
      </c>
      <c r="M4516" t="inlineStr"/>
      <c r="N4516" t="inlineStr">
        <is>
          <t>19A¹, 76A⁶, 19B¹, 1A⁰, 4A⁰</t>
        </is>
      </c>
      <c r="O4516" t="inlineStr"/>
    </row>
    <row r="4517">
      <c r="A4517">
        <f>HYPERLINK("https://mathstats.uncg.edu/sites/pauli/congruence/csg16.html#group76C16", "76C¹⁶")</f>
        <v/>
      </c>
      <c r="B4517" t="n">
        <v>16</v>
      </c>
      <c r="C4517" t="inlineStr"/>
      <c r="D4517" t="inlineStr">
        <is>
          <t>240</t>
        </is>
      </c>
      <c r="E4517" t="inlineStr">
        <is>
          <t>1</t>
        </is>
      </c>
      <c r="F4517" t="inlineStr">
        <is>
          <t>120</t>
        </is>
      </c>
      <c r="G4517" t="inlineStr">
        <is>
          <t>0</t>
        </is>
      </c>
      <c r="H4517" t="inlineStr">
        <is>
          <t>0</t>
        </is>
      </c>
      <c r="I4517" t="inlineStr">
        <is>
          <t>1², 2¹, 4², 19², 38¹, 76²</t>
        </is>
      </c>
      <c r="J4517" t="n">
        <v>10</v>
      </c>
      <c r="K4517" t="inlineStr">
        <is>
          <t>1⁸, 2², 18⁴, 36¹</t>
        </is>
      </c>
      <c r="L4517" t="inlineStr">
        <is>
          <t>76A⁸</t>
        </is>
      </c>
      <c r="M4517" t="inlineStr"/>
      <c r="N4517" t="inlineStr">
        <is>
          <t>76A⁸, 19A¹, 2B⁰, 4B⁰, 1A⁰, 38A⁴</t>
        </is>
      </c>
      <c r="O4517" t="inlineStr"/>
    </row>
    <row r="4518">
      <c r="A4518">
        <f>HYPERLINK("https://mathstats.uncg.edu/sites/pauli/congruence/csg16.html#group78A16", "78A¹⁶")</f>
        <v/>
      </c>
      <c r="B4518" t="n">
        <v>16</v>
      </c>
      <c r="C4518" t="inlineStr"/>
      <c r="D4518" t="inlineStr">
        <is>
          <t>252</t>
        </is>
      </c>
      <c r="E4518" t="inlineStr">
        <is>
          <t>1</t>
        </is>
      </c>
      <c r="F4518" t="inlineStr">
        <is>
          <t>42</t>
        </is>
      </c>
      <c r="G4518" t="inlineStr">
        <is>
          <t>12</t>
        </is>
      </c>
      <c r="H4518" t="inlineStr">
        <is>
          <t>0</t>
        </is>
      </c>
      <c r="I4518" t="inlineStr">
        <is>
          <t>6³, 78³</t>
        </is>
      </c>
      <c r="J4518" t="n">
        <v>6</v>
      </c>
      <c r="K4518" t="inlineStr">
        <is>
          <t>1², 2², 12¹, 24¹</t>
        </is>
      </c>
      <c r="L4518" t="inlineStr">
        <is>
          <t>39C⁴, 78A⁶</t>
        </is>
      </c>
      <c r="M4518" t="inlineStr"/>
      <c r="N4518" t="inlineStr">
        <is>
          <t>39A², 39A¹, 13A⁰, 39C⁴, 13C⁰, 78A⁶, 3A⁰, 1A⁰</t>
        </is>
      </c>
      <c r="O4518" t="inlineStr"/>
    </row>
    <row r="4519">
      <c r="A4519">
        <f>HYPERLINK("https://mathstats.uncg.edu/sites/pauli/congruence/csg16.html#group78B16", "78B¹⁶")</f>
        <v/>
      </c>
      <c r="B4519" t="n">
        <v>16</v>
      </c>
      <c r="C4519" t="inlineStr"/>
      <c r="D4519" t="inlineStr">
        <is>
          <t>252</t>
        </is>
      </c>
      <c r="E4519" t="inlineStr">
        <is>
          <t>1</t>
        </is>
      </c>
      <c r="F4519" t="inlineStr">
        <is>
          <t>42</t>
        </is>
      </c>
      <c r="G4519" t="inlineStr">
        <is>
          <t>12</t>
        </is>
      </c>
      <c r="H4519" t="inlineStr">
        <is>
          <t>0</t>
        </is>
      </c>
      <c r="I4519" t="inlineStr">
        <is>
          <t>6³, 78³</t>
        </is>
      </c>
      <c r="J4519" t="n">
        <v>6</v>
      </c>
      <c r="K4519" t="inlineStr">
        <is>
          <t>1⁶, 12³</t>
        </is>
      </c>
      <c r="L4519" t="inlineStr">
        <is>
          <t>26B⁴, 78A⁴, 78A⁸</t>
        </is>
      </c>
      <c r="M4519" t="inlineStr"/>
      <c r="N4519" t="inlineStr">
        <is>
          <t>78A⁸, 39A², 78A⁴, 13A⁰, 26B⁴, 2B⁰, 26A⁰, 3A⁰, 1A⁰, 26A², 6D⁰</t>
        </is>
      </c>
      <c r="O4519" t="inlineStr"/>
    </row>
    <row r="4520">
      <c r="A4520">
        <f>HYPERLINK("https://mathstats.uncg.edu/sites/pauli/congruence/csg16.html#group78C16", "78C¹⁶")</f>
        <v/>
      </c>
      <c r="B4520" t="n">
        <v>16</v>
      </c>
      <c r="C4520" t="inlineStr"/>
      <c r="D4520" t="inlineStr">
        <is>
          <t>252</t>
        </is>
      </c>
      <c r="E4520" t="inlineStr">
        <is>
          <t>1</t>
        </is>
      </c>
      <c r="F4520" t="inlineStr">
        <is>
          <t>126</t>
        </is>
      </c>
      <c r="G4520" t="inlineStr">
        <is>
          <t>8</t>
        </is>
      </c>
      <c r="H4520" t="inlineStr">
        <is>
          <t>0</t>
        </is>
      </c>
      <c r="I4520" t="inlineStr">
        <is>
          <t>3², 6², 39², 78²</t>
        </is>
      </c>
      <c r="J4520" t="n">
        <v>8</v>
      </c>
      <c r="K4520" t="inlineStr">
        <is>
          <t>1⁶, 2⁶, 12³, 24³</t>
        </is>
      </c>
      <c r="L4520" t="inlineStr">
        <is>
          <t>39A⁴, 78A⁸</t>
        </is>
      </c>
      <c r="M4520" t="inlineStr"/>
      <c r="N4520" t="inlineStr">
        <is>
          <t>78A⁸, 39A², 13A⁰, 2B⁰, 39A⁴, 3A⁰, 1A⁰, 26A², 6D⁰</t>
        </is>
      </c>
      <c r="O4520" t="inlineStr"/>
    </row>
    <row r="4521">
      <c r="A4521">
        <f>HYPERLINK("https://mathstats.uncg.edu/sites/pauli/congruence/csg16.html#group78D16", "78D¹⁶")</f>
        <v/>
      </c>
      <c r="B4521" t="n">
        <v>16</v>
      </c>
      <c r="C4521" t="inlineStr"/>
      <c r="D4521" t="inlineStr">
        <is>
          <t>252</t>
        </is>
      </c>
      <c r="E4521" t="inlineStr">
        <is>
          <t>2</t>
        </is>
      </c>
      <c r="F4521" t="inlineStr">
        <is>
          <t>28</t>
        </is>
      </c>
      <c r="G4521" t="inlineStr">
        <is>
          <t>0</t>
        </is>
      </c>
      <c r="H4521" t="inlineStr">
        <is>
          <t>9</t>
        </is>
      </c>
      <c r="I4521" t="inlineStr">
        <is>
          <t>6³, 78³</t>
        </is>
      </c>
      <c r="J4521" t="n">
        <v>6</v>
      </c>
      <c r="K4521" t="inlineStr">
        <is>
          <t>2⁴, 24²</t>
        </is>
      </c>
      <c r="L4521" t="inlineStr">
        <is>
          <t>26A³, 78A⁵, 78C⁵, 78B⁶</t>
        </is>
      </c>
      <c r="M4521" t="inlineStr"/>
      <c r="N4521" t="inlineStr">
        <is>
          <t>2A⁰, 26A¹, 39A¹, 6A⁰, 13A⁰, 26A³, 78B⁶, 78A⁵, 1A⁰, 78C⁵</t>
        </is>
      </c>
      <c r="O4521" t="inlineStr"/>
    </row>
    <row r="4522">
      <c r="A4522">
        <f>HYPERLINK("https://mathstats.uncg.edu/sites/pauli/congruence/csg16.html#group78E16", "78E¹⁶")</f>
        <v/>
      </c>
      <c r="B4522" t="n">
        <v>16</v>
      </c>
      <c r="C4522" t="inlineStr"/>
      <c r="D4522" t="inlineStr">
        <is>
          <t>252</t>
        </is>
      </c>
      <c r="E4522" t="inlineStr">
        <is>
          <t>2</t>
        </is>
      </c>
      <c r="F4522" t="inlineStr">
        <is>
          <t>42</t>
        </is>
      </c>
      <c r="G4522" t="inlineStr">
        <is>
          <t>12</t>
        </is>
      </c>
      <c r="H4522" t="inlineStr">
        <is>
          <t>0</t>
        </is>
      </c>
      <c r="I4522" t="inlineStr">
        <is>
          <t>6³, 78³</t>
        </is>
      </c>
      <c r="J4522" t="n">
        <v>6</v>
      </c>
      <c r="K4522" t="inlineStr">
        <is>
          <t>2⁶, 24³</t>
        </is>
      </c>
      <c r="L4522" t="inlineStr">
        <is>
          <t>78A², 26B⁴, 78B⁸</t>
        </is>
      </c>
      <c r="M4522" t="inlineStr"/>
      <c r="N4522" t="inlineStr">
        <is>
          <t>26A², 78A², 13A⁰, 26B⁴, 2B⁰, 26A⁰, 39A¹, 1A⁰, 78B⁸</t>
        </is>
      </c>
      <c r="O4522" t="inlineStr"/>
    </row>
    <row r="4523">
      <c r="A4523">
        <f>HYPERLINK("https://mathstats.uncg.edu/sites/pauli/congruence/csg16.html#group80A16", "80A¹⁶")</f>
        <v/>
      </c>
      <c r="B4523" t="n">
        <v>16</v>
      </c>
      <c r="C4523" t="inlineStr"/>
      <c r="D4523" t="inlineStr">
        <is>
          <t>240</t>
        </is>
      </c>
      <c r="E4523" t="inlineStr">
        <is>
          <t>1</t>
        </is>
      </c>
      <c r="F4523" t="inlineStr">
        <is>
          <t>15</t>
        </is>
      </c>
      <c r="G4523" t="inlineStr">
        <is>
          <t>0</t>
        </is>
      </c>
      <c r="H4523" t="inlineStr">
        <is>
          <t>0</t>
        </is>
      </c>
      <c r="I4523" t="inlineStr">
        <is>
          <t>10⁸, 80²</t>
        </is>
      </c>
      <c r="J4523" t="n">
        <v>10</v>
      </c>
      <c r="K4523" t="inlineStr">
        <is>
          <t>1³, 4³</t>
        </is>
      </c>
      <c r="L4523" t="inlineStr">
        <is>
          <t>16G⁰, 40A⁸, 80C⁸, 80D⁸</t>
        </is>
      </c>
      <c r="M4523" t="inlineStr"/>
      <c r="N4523" t="inlineStr">
        <is>
          <t>80C⁸, 16G⁰, 20A², 5A⁰, 2A⁰, 8D⁰, 10B¹, 20B², 4C⁰, 40A⁸, 8C⁰, 2B⁰, 4E⁰, 10B², 4B⁰, 40B⁴, 1A⁰, 16E⁰, 40C⁴, 10A⁰, 8G⁰, 16D⁰, 20A⁴, 80D⁸, 2C⁰</t>
        </is>
      </c>
      <c r="O4523" t="inlineStr"/>
    </row>
    <row r="4524">
      <c r="A4524">
        <f>HYPERLINK("https://mathstats.uncg.edu/sites/pauli/congruence/csg16.html#group80B16", "80B¹⁶")</f>
        <v/>
      </c>
      <c r="B4524" t="n">
        <v>16</v>
      </c>
      <c r="C4524" t="inlineStr"/>
      <c r="D4524" t="inlineStr">
        <is>
          <t>240</t>
        </is>
      </c>
      <c r="E4524" t="inlineStr">
        <is>
          <t>1</t>
        </is>
      </c>
      <c r="F4524" t="inlineStr">
        <is>
          <t>60</t>
        </is>
      </c>
      <c r="G4524" t="inlineStr">
        <is>
          <t>0</t>
        </is>
      </c>
      <c r="H4524" t="inlineStr">
        <is>
          <t>0</t>
        </is>
      </c>
      <c r="I4524" t="inlineStr">
        <is>
          <t>5⁴, 10², 20², 80²</t>
        </is>
      </c>
      <c r="J4524" t="n">
        <v>10</v>
      </c>
      <c r="K4524" t="inlineStr">
        <is>
          <t>1⁴, 2², 4⁵, 8², 16¹</t>
        </is>
      </c>
      <c r="L4524" t="inlineStr">
        <is>
          <t>16H⁰, 40C⁸, 80B⁸, 80C⁸</t>
        </is>
      </c>
      <c r="M4524" t="inlineStr"/>
      <c r="N4524" t="inlineStr">
        <is>
          <t>80C⁸, 20A², 5A⁰, 80B⁸, 16C⁰, 10B¹, 16D⁰, 8C⁰, 2B⁰, 8I⁰, 4B⁰, 40B⁴, 1A⁰, 40C⁸, 16H⁰</t>
        </is>
      </c>
      <c r="O4524" t="inlineStr"/>
    </row>
    <row r="4525">
      <c r="A4525">
        <f>HYPERLINK("https://mathstats.uncg.edu/sites/pauli/congruence/csg16.html#group81A16", "81A¹⁶")</f>
        <v/>
      </c>
      <c r="B4525" t="n">
        <v>16</v>
      </c>
      <c r="C4525" t="inlineStr"/>
      <c r="D4525" t="inlineStr">
        <is>
          <t>324</t>
        </is>
      </c>
      <c r="E4525" t="inlineStr">
        <is>
          <t>1</t>
        </is>
      </c>
      <c r="F4525" t="inlineStr">
        <is>
          <t>36</t>
        </is>
      </c>
      <c r="G4525" t="inlineStr">
        <is>
          <t>0</t>
        </is>
      </c>
      <c r="H4525" t="inlineStr">
        <is>
          <t>0</t>
        </is>
      </c>
      <c r="I4525" t="inlineStr">
        <is>
          <t>3¹⁸, 9³, 81³</t>
        </is>
      </c>
      <c r="J4525" t="n">
        <v>24</v>
      </c>
      <c r="K4525" t="inlineStr">
        <is>
          <t>1², 2², 6², 18¹</t>
        </is>
      </c>
      <c r="L4525" t="inlineStr">
        <is>
          <t>27C⁴</t>
        </is>
      </c>
      <c r="M4525" t="inlineStr"/>
      <c r="N4525" t="inlineStr">
        <is>
          <t>3B⁰, 27A¹, 27C⁴, 27A², 9A¹, 27A⁰, 9B⁰, 9C¹, 3C⁰, 9C⁰, 3A⁰, 1A⁰, 3D⁰</t>
        </is>
      </c>
      <c r="O4525" t="inlineStr"/>
    </row>
    <row r="4526">
      <c r="A4526">
        <f>HYPERLINK("https://mathstats.uncg.edu/sites/pauli/congruence/csg16.html#group81B16", "81B¹⁶")</f>
        <v/>
      </c>
      <c r="B4526" t="n">
        <v>16</v>
      </c>
      <c r="C4526" t="inlineStr"/>
      <c r="D4526" t="inlineStr">
        <is>
          <t>324</t>
        </is>
      </c>
      <c r="E4526" t="inlineStr">
        <is>
          <t>1</t>
        </is>
      </c>
      <c r="F4526" t="inlineStr">
        <is>
          <t>36</t>
        </is>
      </c>
      <c r="G4526" t="inlineStr">
        <is>
          <t>0</t>
        </is>
      </c>
      <c r="H4526" t="inlineStr">
        <is>
          <t>0</t>
        </is>
      </c>
      <c r="I4526" t="inlineStr">
        <is>
          <t>3¹⁸, 9³, 81³</t>
        </is>
      </c>
      <c r="J4526" t="n">
        <v>24</v>
      </c>
      <c r="K4526" t="inlineStr">
        <is>
          <t>3², 6⁵</t>
        </is>
      </c>
      <c r="L4526" t="inlineStr">
        <is>
          <t>27A⁴</t>
        </is>
      </c>
      <c r="M4526" t="inlineStr"/>
      <c r="N4526" t="inlineStr">
        <is>
          <t>9I⁰, 27A⁰, 3B⁰, 9B⁰, 27A², 1A⁰, 27A⁴</t>
        </is>
      </c>
      <c r="O4526" t="inlineStr"/>
    </row>
    <row r="4527">
      <c r="A4527">
        <f>HYPERLINK("https://mathstats.uncg.edu/sites/pauli/congruence/csg16.html#group84A16", "84A¹⁶")</f>
        <v/>
      </c>
      <c r="B4527" t="n">
        <v>16</v>
      </c>
      <c r="C4527" t="inlineStr"/>
      <c r="D4527" t="inlineStr">
        <is>
          <t>252</t>
        </is>
      </c>
      <c r="E4527" t="inlineStr">
        <is>
          <t>2</t>
        </is>
      </c>
      <c r="F4527" t="inlineStr">
        <is>
          <t>42</t>
        </is>
      </c>
      <c r="G4527" t="inlineStr">
        <is>
          <t>18</t>
        </is>
      </c>
      <c r="H4527" t="inlineStr">
        <is>
          <t>0</t>
        </is>
      </c>
      <c r="I4527" t="inlineStr">
        <is>
          <t>84³</t>
        </is>
      </c>
      <c r="J4527" t="n">
        <v>3</v>
      </c>
      <c r="K4527" t="inlineStr">
        <is>
          <t>2², 4², 6⁴, 12⁴</t>
        </is>
      </c>
      <c r="L4527" t="inlineStr">
        <is>
          <t>28C⁵, 84B⁶</t>
        </is>
      </c>
      <c r="M4527" t="inlineStr"/>
      <c r="N4527" t="inlineStr">
        <is>
          <t>12C⁰, 14B¹, 4C⁰, 21A⁰, 28C⁵, 2B⁰, 1A⁰, 28C², 3A⁰, 42C³, 84B⁶, 6D⁰, 7A⁰</t>
        </is>
      </c>
      <c r="O4527" t="inlineStr"/>
    </row>
    <row r="4528">
      <c r="A4528">
        <f>HYPERLINK("https://mathstats.uncg.edu/sites/pauli/congruence/csg16.html#group84B16", "84B¹⁶")</f>
        <v/>
      </c>
      <c r="B4528" t="n">
        <v>16</v>
      </c>
      <c r="C4528" t="inlineStr"/>
      <c r="D4528" t="inlineStr">
        <is>
          <t>252</t>
        </is>
      </c>
      <c r="E4528" t="inlineStr">
        <is>
          <t>2</t>
        </is>
      </c>
      <c r="F4528" t="inlineStr">
        <is>
          <t>42</t>
        </is>
      </c>
      <c r="G4528" t="inlineStr">
        <is>
          <t>18</t>
        </is>
      </c>
      <c r="H4528" t="inlineStr">
        <is>
          <t>0</t>
        </is>
      </c>
      <c r="I4528" t="inlineStr">
        <is>
          <t>84³</t>
        </is>
      </c>
      <c r="J4528" t="n">
        <v>3</v>
      </c>
      <c r="K4528" t="inlineStr">
        <is>
          <t>2², 4², 6⁴, 12⁴</t>
        </is>
      </c>
      <c r="L4528" t="inlineStr">
        <is>
          <t>12J¹, 84A³, 28D⁵, 84B⁶</t>
        </is>
      </c>
      <c r="M4528" t="inlineStr"/>
      <c r="N4528" t="inlineStr">
        <is>
          <t>12C⁰, 14B¹, 4C⁰, 21A⁰, 2B⁰, 1A⁰, 28C², 84A³, 12A⁰, 4A⁰, 28D⁵, 12J¹, 4F⁰, 3A⁰, 28A¹, 42C³, 84B⁶, 6D⁰, 7A⁰</t>
        </is>
      </c>
      <c r="O4528" t="inlineStr"/>
    </row>
    <row r="4529">
      <c r="A4529">
        <f>HYPERLINK("https://mathstats.uncg.edu/sites/pauli/congruence/csg16.html#group84C16", "84C¹⁶")</f>
        <v/>
      </c>
      <c r="B4529" t="n">
        <v>16</v>
      </c>
      <c r="C4529" t="inlineStr"/>
      <c r="D4529" t="inlineStr">
        <is>
          <t>252</t>
        </is>
      </c>
      <c r="E4529" t="inlineStr">
        <is>
          <t>2</t>
        </is>
      </c>
      <c r="F4529" t="inlineStr">
        <is>
          <t>63</t>
        </is>
      </c>
      <c r="G4529" t="inlineStr">
        <is>
          <t>12</t>
        </is>
      </c>
      <c r="H4529" t="inlineStr">
        <is>
          <t>0</t>
        </is>
      </c>
      <c r="I4529" t="inlineStr">
        <is>
          <t>21⁴, 84²</t>
        </is>
      </c>
      <c r="J4529" t="n">
        <v>6</v>
      </c>
      <c r="K4529" t="inlineStr">
        <is>
          <t>2³, 4³, 6⁶, 12⁶</t>
        </is>
      </c>
      <c r="L4529" t="inlineStr">
        <is>
          <t>12G⁰, 84C⁷, 42C⁸</t>
        </is>
      </c>
      <c r="M4529" t="inlineStr"/>
      <c r="N4529" t="inlineStr">
        <is>
          <t>21D², 14B¹, 21A⁰, 6G⁰, 2B⁰, 1A⁰, 12G⁰, 84C⁷, 3C⁰, 42C⁸, 12D⁰, 3A⁰, 42C³, 6D⁰, 7A⁰</t>
        </is>
      </c>
      <c r="O4529" t="inlineStr"/>
    </row>
    <row r="4530">
      <c r="A4530">
        <f>HYPERLINK("https://mathstats.uncg.edu/sites/pauli/congruence/csg16.html#group84D16", "84D¹⁶")</f>
        <v/>
      </c>
      <c r="B4530" t="n">
        <v>16</v>
      </c>
      <c r="C4530" t="inlineStr"/>
      <c r="D4530" t="inlineStr">
        <is>
          <t>252</t>
        </is>
      </c>
      <c r="E4530" t="inlineStr">
        <is>
          <t>2</t>
        </is>
      </c>
      <c r="F4530" t="inlineStr">
        <is>
          <t>63</t>
        </is>
      </c>
      <c r="G4530" t="inlineStr">
        <is>
          <t>12</t>
        </is>
      </c>
      <c r="H4530" t="inlineStr">
        <is>
          <t>0</t>
        </is>
      </c>
      <c r="I4530" t="inlineStr">
        <is>
          <t>21⁴, 84²</t>
        </is>
      </c>
      <c r="J4530" t="n">
        <v>6</v>
      </c>
      <c r="K4530" t="inlineStr">
        <is>
          <t>4⁹, 12¹⁸</t>
        </is>
      </c>
      <c r="L4530" t="inlineStr">
        <is>
          <t>42K⁷, 84C⁷, 84F⁸</t>
        </is>
      </c>
      <c r="M4530" t="inlineStr"/>
      <c r="N4530" t="inlineStr">
        <is>
          <t>14B¹, 84C⁷, 21D¹, 21A⁰, 42K⁷, 2B⁰, 12D⁰, 84F⁸, 3A⁰, 1A⁰, 42C³, 6D⁰, 7A⁰</t>
        </is>
      </c>
      <c r="O4530" t="inlineStr"/>
    </row>
    <row r="4531">
      <c r="A4531">
        <f>HYPERLINK("https://mathstats.uncg.edu/sites/pauli/congruence/csg16.html#group84E16", "84E¹⁶")</f>
        <v/>
      </c>
      <c r="B4531" t="n">
        <v>16</v>
      </c>
      <c r="C4531" t="inlineStr"/>
      <c r="D4531" t="inlineStr">
        <is>
          <t>252</t>
        </is>
      </c>
      <c r="E4531" t="inlineStr">
        <is>
          <t>2</t>
        </is>
      </c>
      <c r="F4531" t="inlineStr">
        <is>
          <t>63</t>
        </is>
      </c>
      <c r="G4531" t="inlineStr">
        <is>
          <t>12</t>
        </is>
      </c>
      <c r="H4531" t="inlineStr">
        <is>
          <t>0</t>
        </is>
      </c>
      <c r="I4531" t="inlineStr">
        <is>
          <t>21⁴, 84²</t>
        </is>
      </c>
      <c r="J4531" t="n">
        <v>6</v>
      </c>
      <c r="K4531" t="inlineStr">
        <is>
          <t>4⁹, 12¹⁸</t>
        </is>
      </c>
      <c r="L4531" t="inlineStr">
        <is>
          <t>42K⁷, 84C⁷, 84F⁸</t>
        </is>
      </c>
      <c r="M4531" t="inlineStr"/>
      <c r="N4531" t="inlineStr">
        <is>
          <t>14B¹, 84C⁷, 21D¹, 21A⁰, 42K⁷, 2B⁰, 12D⁰, 84F⁸, 3A⁰, 1A⁰, 42C³, 6D⁰, 7A⁰</t>
        </is>
      </c>
      <c r="O4531" t="inlineStr"/>
    </row>
    <row r="4532">
      <c r="A4532">
        <f>HYPERLINK("https://mathstats.uncg.edu/sites/pauli/congruence/csg16.html#group84F16", "84F¹⁶")</f>
        <v/>
      </c>
      <c r="B4532" t="n">
        <v>16</v>
      </c>
      <c r="C4532" t="inlineStr"/>
      <c r="D4532" t="inlineStr">
        <is>
          <t>252</t>
        </is>
      </c>
      <c r="E4532" t="inlineStr">
        <is>
          <t>2</t>
        </is>
      </c>
      <c r="F4532" t="inlineStr">
        <is>
          <t>63</t>
        </is>
      </c>
      <c r="G4532" t="inlineStr">
        <is>
          <t>16</t>
        </is>
      </c>
      <c r="H4532" t="inlineStr">
        <is>
          <t>0</t>
        </is>
      </c>
      <c r="I4532" t="inlineStr">
        <is>
          <t>42², 84²</t>
        </is>
      </c>
      <c r="J4532" t="n">
        <v>4</v>
      </c>
      <c r="K4532" t="inlineStr">
        <is>
          <t>2³, 4³, 6⁶, 12⁶</t>
        </is>
      </c>
      <c r="L4532" t="inlineStr">
        <is>
          <t>84B⁶, 42D⁸, 84F⁸</t>
        </is>
      </c>
      <c r="M4532" t="inlineStr"/>
      <c r="N4532" t="inlineStr">
        <is>
          <t>12C⁰, 42D⁸, 14B¹, 4C⁰, 21A⁰, 2B⁰, 84F⁸, 1A⁰, 28C², 42A², 3A⁰, 42C³, 84B⁶, 6D⁰, 7A⁰</t>
        </is>
      </c>
      <c r="O4532" t="inlineStr"/>
    </row>
    <row r="4533">
      <c r="A4533">
        <f>HYPERLINK("https://mathstats.uncg.edu/sites/pauli/congruence/csg16.html#group84G16", "84G¹⁶")</f>
        <v/>
      </c>
      <c r="B4533" t="n">
        <v>16</v>
      </c>
      <c r="C4533" t="inlineStr"/>
      <c r="D4533" t="inlineStr">
        <is>
          <t>252</t>
        </is>
      </c>
      <c r="E4533" t="inlineStr">
        <is>
          <t>2</t>
        </is>
      </c>
      <c r="F4533" t="inlineStr">
        <is>
          <t>63</t>
        </is>
      </c>
      <c r="G4533" t="inlineStr">
        <is>
          <t>16</t>
        </is>
      </c>
      <c r="H4533" t="inlineStr">
        <is>
          <t>0</t>
        </is>
      </c>
      <c r="I4533" t="inlineStr">
        <is>
          <t>42², 84²</t>
        </is>
      </c>
      <c r="J4533" t="n">
        <v>4</v>
      </c>
      <c r="K4533" t="inlineStr">
        <is>
          <t>2³, 4³, 6⁶, 12⁶</t>
        </is>
      </c>
      <c r="L4533" t="inlineStr">
        <is>
          <t>42I⁷, 84C⁷, 84G⁸</t>
        </is>
      </c>
      <c r="M4533" t="inlineStr"/>
      <c r="N4533" t="inlineStr">
        <is>
          <t>14A⁰, 42A¹, 14B¹, 84G⁸, 14C², 21A⁰, 2B⁰, 1A⁰, 42I⁷, 84C⁷, 12D⁰, 3A⁰, 42C³, 6D⁰, 7A⁰</t>
        </is>
      </c>
      <c r="O4533" t="inlineStr"/>
    </row>
    <row r="4534">
      <c r="A4534">
        <f>HYPERLINK("https://mathstats.uncg.edu/sites/pauli/congruence/csg16.html#group84H16", "84H¹⁶")</f>
        <v/>
      </c>
      <c r="B4534" t="n">
        <v>16</v>
      </c>
      <c r="C4534" t="inlineStr"/>
      <c r="D4534" t="inlineStr">
        <is>
          <t>252</t>
        </is>
      </c>
      <c r="E4534" t="inlineStr">
        <is>
          <t>2</t>
        </is>
      </c>
      <c r="F4534" t="inlineStr">
        <is>
          <t>63</t>
        </is>
      </c>
      <c r="G4534" t="inlineStr">
        <is>
          <t>16</t>
        </is>
      </c>
      <c r="H4534" t="inlineStr">
        <is>
          <t>0</t>
        </is>
      </c>
      <c r="I4534" t="inlineStr">
        <is>
          <t>42², 84²</t>
        </is>
      </c>
      <c r="J4534" t="n">
        <v>4</v>
      </c>
      <c r="K4534" t="inlineStr">
        <is>
          <t>2³, 4³, 6⁶, 12⁶</t>
        </is>
      </c>
      <c r="L4534" t="inlineStr">
        <is>
          <t>42L⁷, 84B⁷, 84G⁸</t>
        </is>
      </c>
      <c r="M4534" t="inlineStr"/>
      <c r="N4534" t="inlineStr">
        <is>
          <t>6B⁰, 14B¹, 6H⁰, 84G⁸, 21A⁰, 2B⁰, 1A⁰, 84B⁷, 6D⁰, 42L⁷, 42B¹, 3A⁰, 42C³, 28B², 7A⁰</t>
        </is>
      </c>
      <c r="O4534" t="inlineStr"/>
    </row>
    <row r="4535">
      <c r="A4535">
        <f>HYPERLINK("https://mathstats.uncg.edu/sites/pauli/congruence/csg16.html#group84I16", "84I¹⁶")</f>
        <v/>
      </c>
      <c r="B4535" t="n">
        <v>16</v>
      </c>
      <c r="C4535" t="inlineStr"/>
      <c r="D4535" t="inlineStr">
        <is>
          <t>252</t>
        </is>
      </c>
      <c r="E4535" t="inlineStr">
        <is>
          <t>2</t>
        </is>
      </c>
      <c r="F4535" t="inlineStr">
        <is>
          <t>126</t>
        </is>
      </c>
      <c r="G4535" t="inlineStr">
        <is>
          <t>18</t>
        </is>
      </c>
      <c r="H4535" t="inlineStr">
        <is>
          <t>0</t>
        </is>
      </c>
      <c r="I4535" t="inlineStr">
        <is>
          <t>84³</t>
        </is>
      </c>
      <c r="J4535" t="n">
        <v>3</v>
      </c>
      <c r="K4535" t="inlineStr">
        <is>
          <t>2², 4⁴, 6⁴, 8², 12⁸, 24⁴</t>
        </is>
      </c>
      <c r="L4535" t="inlineStr">
        <is>
          <t>84B⁶</t>
        </is>
      </c>
      <c r="M4535" t="inlineStr"/>
      <c r="N4535" t="inlineStr">
        <is>
          <t>28C², 12C⁰, 14B¹, 4C⁰, 21A⁰, 2B⁰, 3A⁰, 1A⁰, 42C³, 84B⁶, 6D⁰, 7A⁰</t>
        </is>
      </c>
      <c r="O4535" t="inlineStr"/>
    </row>
    <row r="4536">
      <c r="A4536">
        <f>HYPERLINK("https://mathstats.uncg.edu/sites/pauli/congruence/csg16.html#group84J16", "84J¹⁶")</f>
        <v/>
      </c>
      <c r="B4536" t="n">
        <v>16</v>
      </c>
      <c r="C4536" t="inlineStr"/>
      <c r="D4536" t="inlineStr">
        <is>
          <t>252</t>
        </is>
      </c>
      <c r="E4536" t="inlineStr">
        <is>
          <t>2</t>
        </is>
      </c>
      <c r="F4536" t="inlineStr">
        <is>
          <t>126</t>
        </is>
      </c>
      <c r="G4536" t="inlineStr">
        <is>
          <t>18</t>
        </is>
      </c>
      <c r="H4536" t="inlineStr">
        <is>
          <t>0</t>
        </is>
      </c>
      <c r="I4536" t="inlineStr">
        <is>
          <t>84³</t>
        </is>
      </c>
      <c r="J4536" t="n">
        <v>3</v>
      </c>
      <c r="K4536" t="inlineStr">
        <is>
          <t>2², 4⁴, 6⁴, 8², 12⁸, 24⁴</t>
        </is>
      </c>
      <c r="L4536" t="inlineStr">
        <is>
          <t>12M¹, 84B⁶</t>
        </is>
      </c>
      <c r="M4536" t="inlineStr"/>
      <c r="N4536" t="inlineStr">
        <is>
          <t>28C², 12C⁰, 14B¹, 4C⁰, 21A⁰, 12M¹, 2B⁰, 3A⁰, 1A⁰, 42C³, 84B⁶, 6D⁰, 7A⁰</t>
        </is>
      </c>
      <c r="O4536" t="inlineStr"/>
    </row>
    <row r="4537">
      <c r="A4537">
        <f>HYPERLINK("https://mathstats.uncg.edu/sites/pauli/congruence/csg16.html#group84K16", "84K¹⁶")</f>
        <v/>
      </c>
      <c r="B4537" t="n">
        <v>16</v>
      </c>
      <c r="C4537" t="inlineStr"/>
      <c r="D4537" t="inlineStr">
        <is>
          <t>288</t>
        </is>
      </c>
      <c r="E4537" t="inlineStr">
        <is>
          <t>2</t>
        </is>
      </c>
      <c r="F4537" t="inlineStr">
        <is>
          <t>16</t>
        </is>
      </c>
      <c r="G4537" t="inlineStr">
        <is>
          <t>0</t>
        </is>
      </c>
      <c r="H4537" t="inlineStr">
        <is>
          <t>18</t>
        </is>
      </c>
      <c r="I4537" t="inlineStr">
        <is>
          <t>12³, 84³</t>
        </is>
      </c>
      <c r="J4537" t="n">
        <v>6</v>
      </c>
      <c r="K4537" t="inlineStr">
        <is>
          <t>2⁴, 12²</t>
        </is>
      </c>
      <c r="L4537" t="inlineStr">
        <is>
          <t>28F², 84A⁴, 84B⁴, 84A⁶, 42M⁷</t>
        </is>
      </c>
      <c r="M4537" t="inlineStr"/>
      <c r="N4537" t="inlineStr">
        <is>
          <t>42B², 2A⁰, 6A⁰, 28A⁰, 7B⁰, 42M⁷, 14B⁰, 42C², 1A⁰, 84A⁴, 84A⁶, 14C⁰, 28F², 84B⁴, 42B³, 21A¹</t>
        </is>
      </c>
      <c r="O4537" t="inlineStr"/>
    </row>
    <row r="4538">
      <c r="A4538">
        <f>HYPERLINK("https://mathstats.uncg.edu/sites/pauli/congruence/csg16.html#group90A16", "90A¹⁶")</f>
        <v/>
      </c>
      <c r="B4538" t="n">
        <v>16</v>
      </c>
      <c r="C4538" t="inlineStr"/>
      <c r="D4538" t="inlineStr">
        <is>
          <t>240</t>
        </is>
      </c>
      <c r="E4538" t="inlineStr">
        <is>
          <t>1</t>
        </is>
      </c>
      <c r="F4538" t="inlineStr">
        <is>
          <t>80</t>
        </is>
      </c>
      <c r="G4538" t="inlineStr">
        <is>
          <t>0</t>
        </is>
      </c>
      <c r="H4538" t="inlineStr">
        <is>
          <t>3</t>
        </is>
      </c>
      <c r="I4538" t="inlineStr">
        <is>
          <t>10⁶, 90²</t>
        </is>
      </c>
      <c r="J4538" t="n">
        <v>8</v>
      </c>
      <c r="K4538" t="inlineStr">
        <is>
          <t>4⁴, 8⁸</t>
        </is>
      </c>
      <c r="L4538" t="inlineStr">
        <is>
          <t>18C⁰, 30J⁵</t>
        </is>
      </c>
      <c r="M4538" t="inlineStr"/>
      <c r="N4538" t="inlineStr">
        <is>
          <t>30J⁵, 18C⁰, 2A⁰, 3B⁰, 6C⁰, 10C¹, 1A⁰, 15C², 5C⁰</t>
        </is>
      </c>
      <c r="O4538" t="inlineStr"/>
    </row>
    <row r="4539">
      <c r="A4539">
        <f>HYPERLINK("https://mathstats.uncg.edu/sites/pauli/congruence/csg16.html#group90B16", "90B¹⁶")</f>
        <v/>
      </c>
      <c r="B4539" t="n">
        <v>16</v>
      </c>
      <c r="C4539" t="inlineStr"/>
      <c r="D4539" t="inlineStr">
        <is>
          <t>270</t>
        </is>
      </c>
      <c r="E4539" t="inlineStr">
        <is>
          <t>2</t>
        </is>
      </c>
      <c r="F4539" t="inlineStr">
        <is>
          <t>45</t>
        </is>
      </c>
      <c r="G4539" t="inlineStr">
        <is>
          <t>24</t>
        </is>
      </c>
      <c r="H4539" t="inlineStr">
        <is>
          <t>0</t>
        </is>
      </c>
      <c r="I4539" t="inlineStr">
        <is>
          <t>90³</t>
        </is>
      </c>
      <c r="J4539" t="n">
        <v>3</v>
      </c>
      <c r="K4539" t="inlineStr">
        <is>
          <t>2³, 6², 8³, 24²</t>
        </is>
      </c>
      <c r="L4539" t="inlineStr">
        <is>
          <t>30E⁴, 90A⁶, 45D⁷</t>
        </is>
      </c>
      <c r="M4539" t="inlineStr"/>
      <c r="N4539" t="inlineStr">
        <is>
          <t>5A⁰, 90A⁶, 30A², 30E⁴, 6B⁰, 15A¹, 9A⁰, 15F¹, 5E⁰, 15A⁰, 3A⁰, 1A⁰, 18A⁰, 45D⁷, 45A³</t>
        </is>
      </c>
      <c r="O4539" t="inlineStr"/>
    </row>
    <row r="4540">
      <c r="A4540">
        <f>HYPERLINK("https://mathstats.uncg.edu/sites/pauli/congruence/csg16.html#group96A16", "96A¹⁶")</f>
        <v/>
      </c>
      <c r="B4540" t="n">
        <v>16</v>
      </c>
      <c r="C4540" t="inlineStr"/>
      <c r="D4540" t="inlineStr">
        <is>
          <t>288</t>
        </is>
      </c>
      <c r="E4540" t="inlineStr">
        <is>
          <t>1</t>
        </is>
      </c>
      <c r="F4540" t="inlineStr">
        <is>
          <t>72</t>
        </is>
      </c>
      <c r="G4540" t="inlineStr">
        <is>
          <t>8</t>
        </is>
      </c>
      <c r="H4540" t="inlineStr">
        <is>
          <t>0</t>
        </is>
      </c>
      <c r="I4540" t="inlineStr">
        <is>
          <t>6⁸, 12⁴, 96²</t>
        </is>
      </c>
      <c r="J4540" t="n">
        <v>14</v>
      </c>
      <c r="K4540" t="inlineStr">
        <is>
          <t>4⁴, 8⁸, 16⁴</t>
        </is>
      </c>
      <c r="L4540" t="inlineStr">
        <is>
          <t>48J⁶, 96E⁸</t>
        </is>
      </c>
      <c r="M4540" t="inlineStr"/>
      <c r="N4540" t="inlineStr">
        <is>
          <t>24O², 24E¹, 6B⁰, 12C⁰, 48G³, 8D⁰, 4C⁰, 2B⁰, 96E⁸, 12H⁰, 1A⁰, 16E⁰, 48J⁶, 24C¹, 12D⁰, 48D³, 6H⁰, 3A⁰, 6D⁰</t>
        </is>
      </c>
      <c r="O4540" t="inlineStr"/>
    </row>
    <row r="4541">
      <c r="A4541">
        <f>HYPERLINK("https://mathstats.uncg.edu/sites/pauli/congruence/csg16.html#group96B16", "96B¹⁶")</f>
        <v/>
      </c>
      <c r="B4541" t="n">
        <v>16</v>
      </c>
      <c r="C4541" t="inlineStr"/>
      <c r="D4541" t="inlineStr">
        <is>
          <t>288</t>
        </is>
      </c>
      <c r="E4541" t="inlineStr">
        <is>
          <t>1</t>
        </is>
      </c>
      <c r="F4541" t="inlineStr">
        <is>
          <t>72</t>
        </is>
      </c>
      <c r="G4541" t="inlineStr">
        <is>
          <t>8</t>
        </is>
      </c>
      <c r="H4541" t="inlineStr">
        <is>
          <t>0</t>
        </is>
      </c>
      <c r="I4541" t="inlineStr">
        <is>
          <t>6⁸, 12⁴, 96²</t>
        </is>
      </c>
      <c r="J4541" t="n">
        <v>14</v>
      </c>
      <c r="K4541" t="inlineStr">
        <is>
          <t>4⁴, 8⁸, 16⁴</t>
        </is>
      </c>
      <c r="L4541" t="inlineStr">
        <is>
          <t>48J⁶, 96F⁸</t>
        </is>
      </c>
      <c r="M4541" t="inlineStr"/>
      <c r="N4541" t="inlineStr">
        <is>
          <t>24O², 24E¹, 6B⁰, 12C⁰, 48G³, 3A⁰, 8D⁰, 4C⁰, 2B⁰, 1A⁰, 16E⁰, 96F⁸, 48J⁶, 24C¹, 12D⁰, 48D³, 6H⁰, 12H⁰, 6D⁰</t>
        </is>
      </c>
      <c r="O4541" t="inlineStr"/>
    </row>
    <row r="4542">
      <c r="A4542">
        <f>HYPERLINK("https://mathstats.uncg.edu/sites/pauli/congruence/csg16.html#group96C16", "96C¹⁶")</f>
        <v/>
      </c>
      <c r="B4542" t="n">
        <v>16</v>
      </c>
      <c r="C4542" t="inlineStr"/>
      <c r="D4542" t="inlineStr">
        <is>
          <t>288</t>
        </is>
      </c>
      <c r="E4542" t="inlineStr">
        <is>
          <t>1</t>
        </is>
      </c>
      <c r="F4542" t="inlineStr">
        <is>
          <t>72</t>
        </is>
      </c>
      <c r="G4542" t="inlineStr">
        <is>
          <t>8</t>
        </is>
      </c>
      <c r="H4542" t="inlineStr">
        <is>
          <t>0</t>
        </is>
      </c>
      <c r="I4542" t="inlineStr">
        <is>
          <t>6⁸, 12⁴, 96²</t>
        </is>
      </c>
      <c r="J4542" t="n">
        <v>14</v>
      </c>
      <c r="K4542" t="inlineStr">
        <is>
          <t>2², 4⁵, 8⁷, 16⁴</t>
        </is>
      </c>
      <c r="L4542" t="inlineStr">
        <is>
          <t>48J⁶, 96C⁸, 96E⁸</t>
        </is>
      </c>
      <c r="M4542" t="inlineStr"/>
      <c r="N4542" t="inlineStr">
        <is>
          <t>24O², 24E¹, 6B⁰, 12C⁰, 48G³, 8D⁰, 4C⁰, 2B⁰, 96E⁸, 12H⁰, 1A⁰, 16E⁰, 32C¹, 48J⁶, 96C⁸, 24C¹, 12D⁰, 48D³, 6H⁰, 3A⁰, 6D⁰</t>
        </is>
      </c>
      <c r="O4542" t="inlineStr"/>
    </row>
    <row r="4543">
      <c r="A4543">
        <f>HYPERLINK("https://mathstats.uncg.edu/sites/pauli/congruence/csg16.html#group96D16", "96D¹⁶")</f>
        <v/>
      </c>
      <c r="B4543" t="n">
        <v>16</v>
      </c>
      <c r="C4543" t="inlineStr"/>
      <c r="D4543" t="inlineStr">
        <is>
          <t>288</t>
        </is>
      </c>
      <c r="E4543" t="inlineStr">
        <is>
          <t>1</t>
        </is>
      </c>
      <c r="F4543" t="inlineStr">
        <is>
          <t>72</t>
        </is>
      </c>
      <c r="G4543" t="inlineStr">
        <is>
          <t>8</t>
        </is>
      </c>
      <c r="H4543" t="inlineStr">
        <is>
          <t>0</t>
        </is>
      </c>
      <c r="I4543" t="inlineStr">
        <is>
          <t>6⁸, 12⁴, 96²</t>
        </is>
      </c>
      <c r="J4543" t="n">
        <v>14</v>
      </c>
      <c r="K4543" t="inlineStr">
        <is>
          <t>2², 4⁵, 8⁷, 16⁴</t>
        </is>
      </c>
      <c r="L4543" t="inlineStr">
        <is>
          <t>48J⁶, 96D⁸, 96F⁸</t>
        </is>
      </c>
      <c r="M4543" t="inlineStr"/>
      <c r="N4543" t="inlineStr">
        <is>
          <t>24O², 24E¹, 6B⁰, 12C⁰, 48G³, 8D⁰, 4C⁰, 96D⁸, 32D¹, 2B⁰, 12H⁰, 1A⁰, 16E⁰, 96F⁸, 48J⁶, 24C¹, 12D⁰, 48D³, 6H⁰, 3A⁰, 6D⁰</t>
        </is>
      </c>
      <c r="O4543" t="inlineStr"/>
    </row>
    <row r="4544">
      <c r="A4544">
        <f>HYPERLINK("https://mathstats.uncg.edu/sites/pauli/congruence/csg16.html#group96E16", "96E¹⁶")</f>
        <v/>
      </c>
      <c r="B4544" t="n">
        <v>16</v>
      </c>
      <c r="C4544" t="inlineStr"/>
      <c r="D4544" t="inlineStr">
        <is>
          <t>288</t>
        </is>
      </c>
      <c r="E4544" t="inlineStr">
        <is>
          <t>2</t>
        </is>
      </c>
      <c r="F4544" t="inlineStr">
        <is>
          <t>144</t>
        </is>
      </c>
      <c r="G4544" t="inlineStr">
        <is>
          <t>8</t>
        </is>
      </c>
      <c r="H4544" t="inlineStr">
        <is>
          <t>0</t>
        </is>
      </c>
      <c r="I4544" t="inlineStr">
        <is>
          <t>6⁸, 12⁴, 96²</t>
        </is>
      </c>
      <c r="J4544" t="n">
        <v>14</v>
      </c>
      <c r="K4544" t="inlineStr">
        <is>
          <t>4², 8¹¹, 16¹²</t>
        </is>
      </c>
      <c r="L4544" t="inlineStr">
        <is>
          <t>48I⁶</t>
        </is>
      </c>
      <c r="M4544" t="inlineStr"/>
      <c r="N4544" t="inlineStr">
        <is>
          <t>24O², 24E¹, 6B⁰, 12C⁰, 48G³, 3A⁰, 48I⁶, 8D⁰, 4C⁰, 2B⁰, 1A⁰, 24C¹, 12D⁰, 6H⁰, 12H⁰, 6D⁰</t>
        </is>
      </c>
      <c r="O4544" t="inlineStr"/>
    </row>
    <row r="4545">
      <c r="A4545">
        <f>HYPERLINK("https://mathstats.uncg.edu/sites/pauli/congruence/csg16.html#group101A16", "101A¹⁶")</f>
        <v/>
      </c>
      <c r="B4545" t="n">
        <v>16</v>
      </c>
      <c r="C4545" t="inlineStr"/>
      <c r="D4545" t="inlineStr">
        <is>
          <t>204</t>
        </is>
      </c>
      <c r="E4545" t="inlineStr">
        <is>
          <t>1</t>
        </is>
      </c>
      <c r="F4545" t="inlineStr">
        <is>
          <t>102</t>
        </is>
      </c>
      <c r="G4545" t="inlineStr">
        <is>
          <t>0</t>
        </is>
      </c>
      <c r="H4545" t="inlineStr">
        <is>
          <t>0</t>
        </is>
      </c>
      <c r="I4545" t="inlineStr">
        <is>
          <t>1², 101²</t>
        </is>
      </c>
      <c r="J4545" t="n">
        <v>4</v>
      </c>
      <c r="K4545" t="inlineStr">
        <is>
          <t>1², 100¹</t>
        </is>
      </c>
      <c r="L4545" t="inlineStr">
        <is>
          <t>101A⁸</t>
        </is>
      </c>
      <c r="M4545" t="inlineStr"/>
      <c r="N4545" t="inlineStr">
        <is>
          <t>101A⁸, 1A⁰</t>
        </is>
      </c>
      <c r="O4545" t="inlineStr"/>
    </row>
    <row r="4546">
      <c r="A4546">
        <f>HYPERLINK("https://mathstats.uncg.edu/sites/pauli/congruence/csg16.html#group105A16", "105A¹⁶")</f>
        <v/>
      </c>
      <c r="B4546" t="n">
        <v>16</v>
      </c>
      <c r="C4546" t="inlineStr"/>
      <c r="D4546" t="inlineStr">
        <is>
          <t>210</t>
        </is>
      </c>
      <c r="E4546" t="inlineStr">
        <is>
          <t>2</t>
        </is>
      </c>
      <c r="F4546" t="inlineStr">
        <is>
          <t>35</t>
        </is>
      </c>
      <c r="G4546" t="inlineStr">
        <is>
          <t>6</t>
        </is>
      </c>
      <c r="H4546" t="inlineStr">
        <is>
          <t>0</t>
        </is>
      </c>
      <c r="I4546" t="inlineStr">
        <is>
          <t>105²</t>
        </is>
      </c>
      <c r="J4546" t="n">
        <v>2</v>
      </c>
      <c r="K4546" t="inlineStr">
        <is>
          <t>2¹, 6², 8¹, 24²</t>
        </is>
      </c>
      <c r="L4546" t="inlineStr">
        <is>
          <t>21C², 35A⁴, 105A⁷</t>
        </is>
      </c>
      <c r="M4546" t="inlineStr"/>
      <c r="N4546" t="inlineStr">
        <is>
          <t>5A⁰, 35A⁴, 7C⁰, 21C², 21A⁰, 35A², 3A⁰, 1A⁰, 105A⁷, 15A¹, 7A⁰</t>
        </is>
      </c>
      <c r="O4546" t="inlineStr"/>
    </row>
    <row r="4547">
      <c r="A4547">
        <f>HYPERLINK("https://mathstats.uncg.edu/sites/pauli/congruence/csg16.html#group105B16", "105B¹⁶")</f>
        <v/>
      </c>
      <c r="B4547" t="n">
        <v>16</v>
      </c>
      <c r="C4547" t="inlineStr"/>
      <c r="D4547" t="inlineStr">
        <is>
          <t>210</t>
        </is>
      </c>
      <c r="E4547" t="inlineStr">
        <is>
          <t>2</t>
        </is>
      </c>
      <c r="F4547" t="inlineStr">
        <is>
          <t>105</t>
        </is>
      </c>
      <c r="G4547" t="inlineStr">
        <is>
          <t>6</t>
        </is>
      </c>
      <c r="H4547" t="inlineStr">
        <is>
          <t>0</t>
        </is>
      </c>
      <c r="I4547" t="inlineStr">
        <is>
          <t>105²</t>
        </is>
      </c>
      <c r="J4547" t="n">
        <v>2</v>
      </c>
      <c r="K4547" t="inlineStr">
        <is>
          <t>2¹, 4¹, 6², 8¹, 12², 16¹, 24², 48²</t>
        </is>
      </c>
      <c r="L4547" t="inlineStr">
        <is>
          <t>15A², 21D², 105A⁷</t>
        </is>
      </c>
      <c r="M4547" t="inlineStr"/>
      <c r="N4547" t="inlineStr">
        <is>
          <t>21D², 5A⁰, 15A², 21A⁰, 3C⁰, 35A², 3A⁰, 1A⁰, 105A⁷, 15A¹, 7A⁰</t>
        </is>
      </c>
      <c r="O4547" t="inlineStr"/>
    </row>
    <row r="4548">
      <c r="A4548">
        <f>HYPERLINK("https://mathstats.uncg.edu/sites/pauli/congruence/csg16.html#group105C16", "105C¹⁶")</f>
        <v/>
      </c>
      <c r="B4548" t="n">
        <v>16</v>
      </c>
      <c r="C4548" t="inlineStr"/>
      <c r="D4548" t="inlineStr">
        <is>
          <t>252</t>
        </is>
      </c>
      <c r="E4548" t="inlineStr">
        <is>
          <t>2</t>
        </is>
      </c>
      <c r="F4548" t="inlineStr">
        <is>
          <t>126</t>
        </is>
      </c>
      <c r="G4548" t="inlineStr">
        <is>
          <t>16</t>
        </is>
      </c>
      <c r="H4548" t="inlineStr">
        <is>
          <t>0</t>
        </is>
      </c>
      <c r="I4548" t="inlineStr">
        <is>
          <t>21², 105²</t>
        </is>
      </c>
      <c r="J4548" t="n">
        <v>4</v>
      </c>
      <c r="K4548" t="inlineStr">
        <is>
          <t>2², 4², 6⁴, 8¹, 12⁴, 16¹, 24², 48²</t>
        </is>
      </c>
      <c r="L4548" t="inlineStr">
        <is>
          <t>105C⁶</t>
        </is>
      </c>
      <c r="M4548" t="inlineStr"/>
      <c r="N4548" t="inlineStr">
        <is>
          <t>35C², 15B⁰, 105C⁶, 5B⁰, 21A⁰, 3A⁰, 1A⁰, 7A⁰</t>
        </is>
      </c>
      <c r="O4548" t="inlineStr"/>
    </row>
    <row r="4549">
      <c r="A4549">
        <f>HYPERLINK("https://mathstats.uncg.edu/sites/pauli/congruence/csg16.html#group108A16", "108A¹⁶")</f>
        <v/>
      </c>
      <c r="B4549" t="n">
        <v>16</v>
      </c>
      <c r="C4549" t="inlineStr"/>
      <c r="D4549" t="inlineStr">
        <is>
          <t>216</t>
        </is>
      </c>
      <c r="E4549" t="inlineStr">
        <is>
          <t>1</t>
        </is>
      </c>
      <c r="F4549" t="inlineStr">
        <is>
          <t>36</t>
        </is>
      </c>
      <c r="G4549" t="inlineStr">
        <is>
          <t>0</t>
        </is>
      </c>
      <c r="H4549" t="inlineStr">
        <is>
          <t>0</t>
        </is>
      </c>
      <c r="I4549" t="inlineStr">
        <is>
          <t>9², 27², 36¹, 108¹</t>
        </is>
      </c>
      <c r="J4549" t="n">
        <v>6</v>
      </c>
      <c r="K4549" t="inlineStr">
        <is>
          <t>1⁶, 2⁶, 6³</t>
        </is>
      </c>
      <c r="L4549" t="inlineStr">
        <is>
          <t>36F⁴, 54A⁸</t>
        </is>
      </c>
      <c r="M4549" t="inlineStr"/>
      <c r="N4549" t="inlineStr">
        <is>
          <t>3B⁰, 6F⁰, 12E⁰, 18D², 36F⁴, 2B⁰, 27B¹, 9C⁰, 4B⁰, 1A⁰, 54A⁸</t>
        </is>
      </c>
      <c r="O4549" t="inlineStr"/>
    </row>
    <row r="4550">
      <c r="A4550">
        <f>HYPERLINK("https://mathstats.uncg.edu/sites/pauli/congruence/csg16.html#group108B16", "108B¹⁶")</f>
        <v/>
      </c>
      <c r="B4550" t="n">
        <v>16</v>
      </c>
      <c r="C4550" t="inlineStr"/>
      <c r="D4550" t="inlineStr">
        <is>
          <t>216</t>
        </is>
      </c>
      <c r="E4550" t="inlineStr">
        <is>
          <t>1</t>
        </is>
      </c>
      <c r="F4550" t="inlineStr">
        <is>
          <t>36</t>
        </is>
      </c>
      <c r="G4550" t="inlineStr">
        <is>
          <t>0</t>
        </is>
      </c>
      <c r="H4550" t="inlineStr">
        <is>
          <t>0</t>
        </is>
      </c>
      <c r="I4550" t="inlineStr">
        <is>
          <t>9², 27², 36¹, 108¹</t>
        </is>
      </c>
      <c r="J4550" t="n">
        <v>6</v>
      </c>
      <c r="K4550" t="inlineStr">
        <is>
          <t>1⁶, 2⁶, 6³</t>
        </is>
      </c>
      <c r="L4550" t="inlineStr">
        <is>
          <t>36F⁴, 54B⁸</t>
        </is>
      </c>
      <c r="M4550" t="inlineStr"/>
      <c r="N4550" t="inlineStr">
        <is>
          <t>3B⁰, 27B², 54B⁸, 36F⁴, 18D², 2B⁰, 1A⁰, 9C⁰, 4B⁰, 6F⁰, 12E⁰</t>
        </is>
      </c>
      <c r="O4550" t="inlineStr"/>
    </row>
    <row r="4551">
      <c r="A4551">
        <f>HYPERLINK("https://mathstats.uncg.edu/sites/pauli/congruence/csg16.html#group108C16", "108C¹⁶")</f>
        <v/>
      </c>
      <c r="B4551" t="n">
        <v>16</v>
      </c>
      <c r="C4551" t="inlineStr"/>
      <c r="D4551" t="inlineStr">
        <is>
          <t>216</t>
        </is>
      </c>
      <c r="E4551" t="inlineStr">
        <is>
          <t>1</t>
        </is>
      </c>
      <c r="F4551" t="inlineStr">
        <is>
          <t>36</t>
        </is>
      </c>
      <c r="G4551" t="inlineStr">
        <is>
          <t>0</t>
        </is>
      </c>
      <c r="H4551" t="inlineStr">
        <is>
          <t>0</t>
        </is>
      </c>
      <c r="I4551" t="inlineStr">
        <is>
          <t>9², 27², 36¹, 108¹</t>
        </is>
      </c>
      <c r="J4551" t="n">
        <v>6</v>
      </c>
      <c r="K4551" t="inlineStr">
        <is>
          <t>1⁶, 2⁶, 6³</t>
        </is>
      </c>
      <c r="L4551" t="inlineStr">
        <is>
          <t>36F⁴, 54C⁸</t>
        </is>
      </c>
      <c r="M4551" t="inlineStr"/>
      <c r="N4551" t="inlineStr">
        <is>
          <t>3B⁰, 54C⁸, 18D², 36F⁴, 2B⁰, 1A⁰, 12E⁰, 9C⁰, 4B⁰, 6F⁰, 27A³</t>
        </is>
      </c>
      <c r="O4551" t="inlineStr"/>
    </row>
    <row r="4552">
      <c r="A4552">
        <f>HYPERLINK("https://mathstats.uncg.edu/sites/pauli/congruence/csg16.html#group109A16", "109A¹⁶")</f>
        <v/>
      </c>
      <c r="B4552" t="n">
        <v>16</v>
      </c>
      <c r="C4552" t="inlineStr"/>
      <c r="D4552" t="inlineStr">
        <is>
          <t>220</t>
        </is>
      </c>
      <c r="E4552" t="inlineStr">
        <is>
          <t>1</t>
        </is>
      </c>
      <c r="F4552" t="inlineStr">
        <is>
          <t>110</t>
        </is>
      </c>
      <c r="G4552" t="inlineStr">
        <is>
          <t>0</t>
        </is>
      </c>
      <c r="H4552" t="inlineStr">
        <is>
          <t>4</t>
        </is>
      </c>
      <c r="I4552" t="inlineStr">
        <is>
          <t>1², 109²</t>
        </is>
      </c>
      <c r="J4552" t="n">
        <v>4</v>
      </c>
      <c r="K4552" t="inlineStr">
        <is>
          <t>1², 108¹</t>
        </is>
      </c>
      <c r="L4552" t="inlineStr">
        <is>
          <t>109A⁸</t>
        </is>
      </c>
      <c r="M4552" t="inlineStr"/>
      <c r="N4552" t="inlineStr">
        <is>
          <t>1A⁰, 109A⁸</t>
        </is>
      </c>
      <c r="O4552" t="inlineStr"/>
    </row>
    <row r="4553">
      <c r="A4553">
        <f>HYPERLINK("https://mathstats.uncg.edu/sites/pauli/congruence/csg16.html#group111A16", "111A¹⁶")</f>
        <v/>
      </c>
      <c r="B4553" t="n">
        <v>16</v>
      </c>
      <c r="C4553" t="inlineStr"/>
      <c r="D4553" t="inlineStr">
        <is>
          <t>228</t>
        </is>
      </c>
      <c r="E4553" t="inlineStr">
        <is>
          <t>1</t>
        </is>
      </c>
      <c r="F4553" t="inlineStr">
        <is>
          <t>114</t>
        </is>
      </c>
      <c r="G4553" t="inlineStr">
        <is>
          <t>8</t>
        </is>
      </c>
      <c r="H4553" t="inlineStr">
        <is>
          <t>0</t>
        </is>
      </c>
      <c r="I4553" t="inlineStr">
        <is>
          <t>3², 111²</t>
        </is>
      </c>
      <c r="J4553" t="n">
        <v>4</v>
      </c>
      <c r="K4553" t="inlineStr">
        <is>
          <t>1², 2², 36¹, 72¹</t>
        </is>
      </c>
      <c r="L4553" t="inlineStr">
        <is>
          <t>111A⁸</t>
        </is>
      </c>
      <c r="M4553" t="inlineStr"/>
      <c r="N4553" t="inlineStr">
        <is>
          <t>3A⁰, 1A⁰, 111A⁸, 37A²</t>
        </is>
      </c>
      <c r="O4553" t="inlineStr"/>
    </row>
    <row r="4554">
      <c r="A4554">
        <f>HYPERLINK("https://mathstats.uncg.edu/sites/pauli/congruence/csg16.html#group112A16", "112A¹⁶")</f>
        <v/>
      </c>
      <c r="B4554" t="n">
        <v>16</v>
      </c>
      <c r="C4554" t="inlineStr"/>
      <c r="D4554" t="inlineStr">
        <is>
          <t>224</t>
        </is>
      </c>
      <c r="E4554" t="inlineStr">
        <is>
          <t>2</t>
        </is>
      </c>
      <c r="F4554" t="inlineStr">
        <is>
          <t>28</t>
        </is>
      </c>
      <c r="G4554" t="inlineStr">
        <is>
          <t>0</t>
        </is>
      </c>
      <c r="H4554" t="inlineStr">
        <is>
          <t>8</t>
        </is>
      </c>
      <c r="I4554" t="inlineStr">
        <is>
          <t>112²</t>
        </is>
      </c>
      <c r="J4554" t="n">
        <v>2</v>
      </c>
      <c r="K4554" t="inlineStr">
        <is>
          <t>4², 12⁴</t>
        </is>
      </c>
      <c r="L4554" t="inlineStr">
        <is>
          <t>112A⁷, 112B⁷, 56B⁸</t>
        </is>
      </c>
      <c r="M4554" t="inlineStr"/>
      <c r="N4554" t="inlineStr">
        <is>
          <t>2A⁰, 56D³, 112A⁷, 14A¹, 8A⁰, 8E⁰, 1A⁰, 112B⁷, 4A⁰, 28A⁴, 4D⁰, 56B⁸, 56C³, 28A¹, 7A⁰</t>
        </is>
      </c>
      <c r="O4554" t="inlineStr"/>
    </row>
    <row r="4555">
      <c r="A4555">
        <f>HYPERLINK("https://mathstats.uncg.edu/sites/pauli/congruence/csg16.html#group112B16", "112B¹⁶")</f>
        <v/>
      </c>
      <c r="B4555" t="n">
        <v>16</v>
      </c>
      <c r="C4555" t="inlineStr"/>
      <c r="D4555" t="inlineStr">
        <is>
          <t>224</t>
        </is>
      </c>
      <c r="E4555" t="inlineStr">
        <is>
          <t>2</t>
        </is>
      </c>
      <c r="F4555" t="inlineStr">
        <is>
          <t>28</t>
        </is>
      </c>
      <c r="G4555" t="inlineStr">
        <is>
          <t>0</t>
        </is>
      </c>
      <c r="H4555" t="inlineStr">
        <is>
          <t>8</t>
        </is>
      </c>
      <c r="I4555" t="inlineStr">
        <is>
          <t>112²</t>
        </is>
      </c>
      <c r="J4555" t="n">
        <v>2</v>
      </c>
      <c r="K4555" t="inlineStr">
        <is>
          <t>4², 12⁴</t>
        </is>
      </c>
      <c r="L4555" t="inlineStr">
        <is>
          <t>16F⁰, 112C⁷, 112D⁷, 56B⁸</t>
        </is>
      </c>
      <c r="M4555" t="inlineStr"/>
      <c r="N4555" t="inlineStr">
        <is>
          <t>2A⁰, 112C⁷, 56D³, 16A⁰, 14A¹, 8A⁰, 8E⁰, 1A⁰, 4A⁰, 4D⁰, 16F⁰, 28A⁴, 56B⁸, 112D⁷, 56C³, 28A¹, 7A⁰</t>
        </is>
      </c>
      <c r="O4555" t="inlineStr"/>
    </row>
    <row r="4556">
      <c r="A4556">
        <f>HYPERLINK("https://mathstats.uncg.edu/sites/pauli/congruence/csg16.html#group117A16", "117A¹⁶")</f>
        <v/>
      </c>
      <c r="B4556" t="n">
        <v>16</v>
      </c>
      <c r="C4556" t="inlineStr"/>
      <c r="D4556" t="inlineStr">
        <is>
          <t>252</t>
        </is>
      </c>
      <c r="E4556" t="inlineStr">
        <is>
          <t>2</t>
        </is>
      </c>
      <c r="F4556" t="inlineStr">
        <is>
          <t>126</t>
        </is>
      </c>
      <c r="G4556" t="inlineStr">
        <is>
          <t>16</t>
        </is>
      </c>
      <c r="H4556" t="inlineStr">
        <is>
          <t>0</t>
        </is>
      </c>
      <c r="I4556" t="inlineStr">
        <is>
          <t>9², 117²</t>
        </is>
      </c>
      <c r="J4556" t="n">
        <v>4</v>
      </c>
      <c r="K4556" t="inlineStr">
        <is>
          <t>2⁶, 6⁴, 24³, 72²</t>
        </is>
      </c>
      <c r="L4556" t="inlineStr">
        <is>
          <t>39A⁴, 117A⁸</t>
        </is>
      </c>
      <c r="M4556" t="inlineStr"/>
      <c r="N4556" t="inlineStr">
        <is>
          <t>117A⁸, 13A⁰, 39A², 39A⁴, 3A⁰, 1A⁰, 9A⁰</t>
        </is>
      </c>
      <c r="O4556" t="inlineStr"/>
    </row>
    <row r="4557">
      <c r="A4557">
        <f>HYPERLINK("https://mathstats.uncg.edu/sites/pauli/congruence/csg16.html#group120A16", "120A¹⁶")</f>
        <v/>
      </c>
      <c r="B4557" t="n">
        <v>16</v>
      </c>
      <c r="C4557" t="inlineStr"/>
      <c r="D4557" t="inlineStr">
        <is>
          <t>240</t>
        </is>
      </c>
      <c r="E4557" t="inlineStr">
        <is>
          <t>1</t>
        </is>
      </c>
      <c r="F4557" t="inlineStr">
        <is>
          <t>40</t>
        </is>
      </c>
      <c r="G4557" t="inlineStr">
        <is>
          <t>0</t>
        </is>
      </c>
      <c r="H4557" t="inlineStr">
        <is>
          <t>12</t>
        </is>
      </c>
      <c r="I4557" t="inlineStr">
        <is>
          <t>120²</t>
        </is>
      </c>
      <c r="J4557" t="n">
        <v>2</v>
      </c>
      <c r="K4557" t="inlineStr">
        <is>
          <t>4², 16²</t>
        </is>
      </c>
      <c r="L4557" t="inlineStr">
        <is>
          <t>24E², 40D⁴, 60B⁸</t>
        </is>
      </c>
      <c r="M4557" t="inlineStr"/>
      <c r="N4557" t="inlineStr">
        <is>
          <t>2A⁰, 40D⁴, 5A⁰, 24E², 12E¹, 8A⁰, 8E⁰, 20A¹, 60B⁸, 1A⁰, 30A¹, 10A⁰, 20D², 6A⁰, 4A⁰, 4D⁰, 40A²</t>
        </is>
      </c>
      <c r="O4557" t="inlineStr"/>
    </row>
    <row r="4558">
      <c r="A4558">
        <f>HYPERLINK("https://mathstats.uncg.edu/sites/pauli/congruence/csg16.html#group120B16", "120B¹⁶")</f>
        <v/>
      </c>
      <c r="B4558" t="n">
        <v>16</v>
      </c>
      <c r="C4558" t="inlineStr"/>
      <c r="D4558" t="inlineStr">
        <is>
          <t>240</t>
        </is>
      </c>
      <c r="E4558" t="inlineStr">
        <is>
          <t>1</t>
        </is>
      </c>
      <c r="F4558" t="inlineStr">
        <is>
          <t>60</t>
        </is>
      </c>
      <c r="G4558" t="inlineStr">
        <is>
          <t>0</t>
        </is>
      </c>
      <c r="H4558" t="inlineStr">
        <is>
          <t>0</t>
        </is>
      </c>
      <c r="I4558" t="inlineStr">
        <is>
          <t>5⁴, 15⁴, 40¹, 120¹</t>
        </is>
      </c>
      <c r="J4558" t="n">
        <v>10</v>
      </c>
      <c r="K4558" t="inlineStr">
        <is>
          <t>1⁶, 2³, 4⁶, 8³</t>
        </is>
      </c>
      <c r="L4558" t="inlineStr">
        <is>
          <t>24B⁰, 60C⁸</t>
        </is>
      </c>
      <c r="M4558" t="inlineStr"/>
      <c r="N4558" t="inlineStr">
        <is>
          <t>20A², 3B⁰, 5A⁰, 10B¹, 2B⁰, 4B⁰, 1A⁰, 24B⁰, 30D⁴, 60C⁸, 15B¹, 6F⁰, 12E⁰</t>
        </is>
      </c>
      <c r="O4558" t="inlineStr"/>
    </row>
    <row r="4559">
      <c r="A4559">
        <f>HYPERLINK("https://mathstats.uncg.edu/sites/pauli/congruence/csg16.html#group120C16", "120C¹⁶")</f>
        <v/>
      </c>
      <c r="B4559" t="n">
        <v>16</v>
      </c>
      <c r="C4559" t="inlineStr"/>
      <c r="D4559" t="inlineStr">
        <is>
          <t>240</t>
        </is>
      </c>
      <c r="E4559" t="inlineStr">
        <is>
          <t>1</t>
        </is>
      </c>
      <c r="F4559" t="inlineStr">
        <is>
          <t>120</t>
        </is>
      </c>
      <c r="G4559" t="inlineStr">
        <is>
          <t>0</t>
        </is>
      </c>
      <c r="H4559" t="inlineStr">
        <is>
          <t>12</t>
        </is>
      </c>
      <c r="I4559" t="inlineStr">
        <is>
          <t>120²</t>
        </is>
      </c>
      <c r="J4559" t="n">
        <v>2</v>
      </c>
      <c r="K4559" t="inlineStr">
        <is>
          <t>4⁶, 16⁶</t>
        </is>
      </c>
      <c r="L4559" t="inlineStr">
        <is>
          <t>24J², 60E⁸</t>
        </is>
      </c>
      <c r="M4559" t="inlineStr"/>
      <c r="N4559" t="inlineStr">
        <is>
          <t>60E⁸, 2A⁰, 30A¹, 5A⁰, 10A⁰, 12H¹, 6A⁰, 1A⁰, 24J²</t>
        </is>
      </c>
      <c r="O4559" t="inlineStr"/>
    </row>
    <row r="4560">
      <c r="A4560">
        <f>HYPERLINK("https://mathstats.uncg.edu/sites/pauli/congruence/csg16.html#group120D16", "120D¹⁶")</f>
        <v/>
      </c>
      <c r="B4560" t="n">
        <v>16</v>
      </c>
      <c r="C4560" t="inlineStr"/>
      <c r="D4560" t="inlineStr">
        <is>
          <t>240</t>
        </is>
      </c>
      <c r="E4560" t="inlineStr">
        <is>
          <t>2</t>
        </is>
      </c>
      <c r="F4560" t="inlineStr">
        <is>
          <t>20</t>
        </is>
      </c>
      <c r="G4560" t="inlineStr">
        <is>
          <t>0</t>
        </is>
      </c>
      <c r="H4560" t="inlineStr">
        <is>
          <t>12</t>
        </is>
      </c>
      <c r="I4560" t="inlineStr">
        <is>
          <t>120²</t>
        </is>
      </c>
      <c r="J4560" t="n">
        <v>2</v>
      </c>
      <c r="K4560" t="inlineStr">
        <is>
          <t>4², 16²</t>
        </is>
      </c>
      <c r="L4560" t="inlineStr">
        <is>
          <t>40D⁴, 120A⁷, 120B⁷, 60F⁸</t>
        </is>
      </c>
      <c r="M4560" t="inlineStr"/>
      <c r="N4560" t="inlineStr">
        <is>
          <t>2A⁰, 120A⁷, 40D⁴, 5A⁰, 8A⁰, 8E⁰, 20A¹, 1A⁰, 60A³, 10A⁰, 20D², 60F⁸, 30B¹, 120B⁷, 4A⁰, 4D⁰, 40A², 15A⁰</t>
        </is>
      </c>
      <c r="O4560" t="inlineStr"/>
    </row>
    <row r="4561">
      <c r="A4561">
        <f>HYPERLINK("https://mathstats.uncg.edu/sites/pauli/congruence/csg16.html#group120E16", "120E¹⁶")</f>
        <v/>
      </c>
      <c r="B4561" t="n">
        <v>16</v>
      </c>
      <c r="C4561" t="inlineStr"/>
      <c r="D4561" t="inlineStr">
        <is>
          <t>240</t>
        </is>
      </c>
      <c r="E4561" t="inlineStr">
        <is>
          <t>2</t>
        </is>
      </c>
      <c r="F4561" t="inlineStr">
        <is>
          <t>80</t>
        </is>
      </c>
      <c r="G4561" t="inlineStr">
        <is>
          <t>12</t>
        </is>
      </c>
      <c r="H4561" t="inlineStr">
        <is>
          <t>3</t>
        </is>
      </c>
      <c r="I4561" t="inlineStr">
        <is>
          <t>120²</t>
        </is>
      </c>
      <c r="J4561" t="n">
        <v>2</v>
      </c>
      <c r="K4561" t="inlineStr">
        <is>
          <t>8⁴, 32⁴</t>
        </is>
      </c>
      <c r="L4561" t="inlineStr">
        <is>
          <t>60A³, 40D⁵</t>
        </is>
      </c>
      <c r="M4561" t="inlineStr"/>
      <c r="N4561" t="inlineStr">
        <is>
          <t>5A⁰, 8F⁰, 4A⁰, 20A¹, 15A⁰, 1A⁰, 40D⁵, 60A³</t>
        </is>
      </c>
      <c r="O4561" t="inlineStr"/>
    </row>
    <row r="4562">
      <c r="A4562">
        <f>HYPERLINK("https://mathstats.uncg.edu/sites/pauli/congruence/csg16.html#group125A16", "125A¹⁶")</f>
        <v/>
      </c>
      <c r="B4562" t="n">
        <v>16</v>
      </c>
      <c r="C4562" t="inlineStr"/>
      <c r="D4562" t="inlineStr">
        <is>
          <t>300</t>
        </is>
      </c>
      <c r="E4562" t="inlineStr">
        <is>
          <t>1</t>
        </is>
      </c>
      <c r="F4562" t="inlineStr">
        <is>
          <t>30</t>
        </is>
      </c>
      <c r="G4562" t="inlineStr">
        <is>
          <t>0</t>
        </is>
      </c>
      <c r="H4562" t="inlineStr">
        <is>
          <t>0</t>
        </is>
      </c>
      <c r="I4562" t="inlineStr">
        <is>
          <t>1¹⁰, 5⁸, 125²</t>
        </is>
      </c>
      <c r="J4562" t="n">
        <v>20</v>
      </c>
      <c r="K4562" t="inlineStr">
        <is>
          <t>1², 4², 20¹</t>
        </is>
      </c>
      <c r="L4562" t="inlineStr">
        <is>
          <t>25B⁰, 125A⁸</t>
        </is>
      </c>
      <c r="M4562" t="inlineStr"/>
      <c r="N4562" t="inlineStr">
        <is>
          <t>25A⁰, 5B⁰, 5D⁰, 1A⁰, 25B⁰, 125A⁸</t>
        </is>
      </c>
      <c r="O4562" t="inlineStr"/>
    </row>
    <row r="4563">
      <c r="A4563">
        <f>HYPERLINK("https://mathstats.uncg.edu/sites/pauli/congruence/csg16.html#group126A16", "126A¹⁶")</f>
        <v/>
      </c>
      <c r="B4563" t="n">
        <v>16</v>
      </c>
      <c r="C4563" t="inlineStr"/>
      <c r="D4563" t="inlineStr">
        <is>
          <t>252</t>
        </is>
      </c>
      <c r="E4563" t="inlineStr">
        <is>
          <t>2</t>
        </is>
      </c>
      <c r="F4563" t="inlineStr">
        <is>
          <t>63</t>
        </is>
      </c>
      <c r="G4563" t="inlineStr">
        <is>
          <t>20</t>
        </is>
      </c>
      <c r="H4563" t="inlineStr">
        <is>
          <t>0</t>
        </is>
      </c>
      <c r="I4563" t="inlineStr">
        <is>
          <t>126²</t>
        </is>
      </c>
      <c r="J4563" t="n">
        <v>2</v>
      </c>
      <c r="K4563" t="inlineStr">
        <is>
          <t>4³, 12⁸, 36⁴</t>
        </is>
      </c>
      <c r="L4563" t="inlineStr">
        <is>
          <t>42G⁴, 126A⁵, 63D⁷, 126B⁸</t>
        </is>
      </c>
      <c r="M4563" t="inlineStr"/>
      <c r="N4563" t="inlineStr">
        <is>
          <t>6B⁰, 3A⁰, 42A², 42G⁴, 21D¹, 9A⁰, 63A², 21A⁰, 1A⁰, 42B¹, 126A⁵, 126B⁸, 18A⁰, 63D⁷, 7A⁰</t>
        </is>
      </c>
      <c r="O4563" t="inlineStr"/>
    </row>
    <row r="4564">
      <c r="A4564">
        <f>HYPERLINK("https://mathstats.uncg.edu/sites/pauli/congruence/csg16.html#group126B16", "126B¹⁶")</f>
        <v/>
      </c>
      <c r="B4564" t="n">
        <v>16</v>
      </c>
      <c r="C4564" t="inlineStr"/>
      <c r="D4564" t="inlineStr">
        <is>
          <t>252</t>
        </is>
      </c>
      <c r="E4564" t="inlineStr">
        <is>
          <t>2</t>
        </is>
      </c>
      <c r="F4564" t="inlineStr">
        <is>
          <t>63</t>
        </is>
      </c>
      <c r="G4564" t="inlineStr">
        <is>
          <t>20</t>
        </is>
      </c>
      <c r="H4564" t="inlineStr">
        <is>
          <t>0</t>
        </is>
      </c>
      <c r="I4564" t="inlineStr">
        <is>
          <t>126²</t>
        </is>
      </c>
      <c r="J4564" t="n">
        <v>2</v>
      </c>
      <c r="K4564" t="inlineStr">
        <is>
          <t>4³, 12⁸, 36⁴</t>
        </is>
      </c>
      <c r="L4564" t="inlineStr">
        <is>
          <t>42H⁴, 126B⁵, 63D⁷, 126C⁸</t>
        </is>
      </c>
      <c r="M4564" t="inlineStr"/>
      <c r="N4564" t="inlineStr">
        <is>
          <t>126C⁸, 6B⁰, 42A², 42H⁴, 21D¹, 9A⁰, 63A², 126B⁵, 21A⁰, 42B¹, 3A⁰, 1A⁰, 18A⁰, 63D⁷, 7A⁰</t>
        </is>
      </c>
      <c r="O4564" t="inlineStr"/>
    </row>
    <row r="4565">
      <c r="A4565">
        <f>HYPERLINK("https://mathstats.uncg.edu/sites/pauli/congruence/csg16.html#group126C16", "126C¹⁶")</f>
        <v/>
      </c>
      <c r="B4565" t="n">
        <v>16</v>
      </c>
      <c r="C4565" t="inlineStr"/>
      <c r="D4565" t="inlineStr">
        <is>
          <t>252</t>
        </is>
      </c>
      <c r="E4565" t="inlineStr">
        <is>
          <t>2</t>
        </is>
      </c>
      <c r="F4565" t="inlineStr">
        <is>
          <t>126</t>
        </is>
      </c>
      <c r="G4565" t="inlineStr">
        <is>
          <t>20</t>
        </is>
      </c>
      <c r="H4565" t="inlineStr">
        <is>
          <t>0</t>
        </is>
      </c>
      <c r="I4565" t="inlineStr">
        <is>
          <t>126²</t>
        </is>
      </c>
      <c r="J4565" t="n">
        <v>2</v>
      </c>
      <c r="K4565" t="inlineStr">
        <is>
          <t>12¹⁸, 36⁸</t>
        </is>
      </c>
      <c r="L4565" t="inlineStr">
        <is>
          <t>42G⁴, 63E⁷</t>
        </is>
      </c>
      <c r="M4565" t="inlineStr"/>
      <c r="N4565" t="inlineStr">
        <is>
          <t>6B⁰, 42A², 42G⁴, 21D¹, 7A⁰, 21A⁰, 42B¹, 3A⁰, 1A⁰, 63E⁷</t>
        </is>
      </c>
      <c r="O4565" t="inlineStr"/>
    </row>
    <row r="4566">
      <c r="A4566">
        <f>HYPERLINK("https://mathstats.uncg.edu/sites/pauli/congruence/csg16.html#group126D16", "126D¹⁶")</f>
        <v/>
      </c>
      <c r="B4566" t="n">
        <v>16</v>
      </c>
      <c r="C4566" t="inlineStr"/>
      <c r="D4566" t="inlineStr">
        <is>
          <t>252</t>
        </is>
      </c>
      <c r="E4566" t="inlineStr">
        <is>
          <t>2</t>
        </is>
      </c>
      <c r="F4566" t="inlineStr">
        <is>
          <t>126</t>
        </is>
      </c>
      <c r="G4566" t="inlineStr">
        <is>
          <t>20</t>
        </is>
      </c>
      <c r="H4566" t="inlineStr">
        <is>
          <t>0</t>
        </is>
      </c>
      <c r="I4566" t="inlineStr">
        <is>
          <t>126²</t>
        </is>
      </c>
      <c r="J4566" t="n">
        <v>2</v>
      </c>
      <c r="K4566" t="inlineStr">
        <is>
          <t>12¹⁸, 36⁸</t>
        </is>
      </c>
      <c r="L4566" t="inlineStr">
        <is>
          <t>42H⁴, 63E⁷</t>
        </is>
      </c>
      <c r="M4566" t="inlineStr"/>
      <c r="N4566" t="inlineStr">
        <is>
          <t>6B⁰, 42A², 42H⁴, 7A⁰, 21D¹, 21A⁰, 42B¹, 3A⁰, 1A⁰, 63E⁷</t>
        </is>
      </c>
      <c r="O4566" t="inlineStr"/>
    </row>
    <row r="4567">
      <c r="A4567">
        <f>HYPERLINK("https://mathstats.uncg.edu/sites/pauli/congruence/csg16.html#group130A16", "130A¹⁶")</f>
        <v/>
      </c>
      <c r="B4567" t="n">
        <v>16</v>
      </c>
      <c r="C4567" t="inlineStr"/>
      <c r="D4567" t="inlineStr">
        <is>
          <t>210</t>
        </is>
      </c>
      <c r="E4567" t="inlineStr">
        <is>
          <t>1</t>
        </is>
      </c>
      <c r="F4567" t="inlineStr">
        <is>
          <t>210</t>
        </is>
      </c>
      <c r="G4567" t="inlineStr">
        <is>
          <t>2</t>
        </is>
      </c>
      <c r="H4567" t="inlineStr">
        <is>
          <t>0</t>
        </is>
      </c>
      <c r="I4567" t="inlineStr">
        <is>
          <t>5¹, 10¹, 65¹, 130¹</t>
        </is>
      </c>
      <c r="J4567" t="n">
        <v>4</v>
      </c>
      <c r="K4567" t="inlineStr">
        <is>
          <t>1⁶, 4⁶, 12³, 48³</t>
        </is>
      </c>
      <c r="L4567" t="inlineStr">
        <is>
          <t>10B¹, 26A², 65A⁴</t>
        </is>
      </c>
      <c r="M4567" t="inlineStr"/>
      <c r="N4567" t="inlineStr">
        <is>
          <t>5A⁰, 10B¹, 13A⁰, 2B⁰, 1A⁰, 65A⁴, 26A²</t>
        </is>
      </c>
      <c r="O4567" t="inlineStr"/>
    </row>
    <row r="4568">
      <c r="A4568">
        <f>HYPERLINK("https://mathstats.uncg.edu/sites/pauli/congruence/csg16.html#group132A16", "132A¹⁶")</f>
        <v/>
      </c>
      <c r="B4568" t="n">
        <v>16</v>
      </c>
      <c r="C4568" t="inlineStr"/>
      <c r="D4568" t="inlineStr">
        <is>
          <t>198</t>
        </is>
      </c>
      <c r="E4568" t="inlineStr">
        <is>
          <t>2</t>
        </is>
      </c>
      <c r="F4568" t="inlineStr">
        <is>
          <t>33</t>
        </is>
      </c>
      <c r="G4568" t="inlineStr">
        <is>
          <t>0</t>
        </is>
      </c>
      <c r="H4568" t="inlineStr">
        <is>
          <t>0</t>
        </is>
      </c>
      <c r="I4568" t="inlineStr">
        <is>
          <t>33², 132¹</t>
        </is>
      </c>
      <c r="J4568" t="n">
        <v>3</v>
      </c>
      <c r="K4568" t="inlineStr">
        <is>
          <t>2³, 10⁶</t>
        </is>
      </c>
      <c r="L4568" t="inlineStr">
        <is>
          <t>12B¹, 44A⁵, 66F⁶</t>
        </is>
      </c>
      <c r="M4568" t="inlineStr"/>
      <c r="N4568" t="inlineStr">
        <is>
          <t>11A⁰, 3A⁰, 4B⁰, 33A¹, 12B¹, 2B⁰, 66F⁶, 22B², 44A⁵, 1A⁰, 6D⁰</t>
        </is>
      </c>
      <c r="O4568" t="inlineStr"/>
    </row>
    <row r="4569">
      <c r="A4569">
        <f>HYPERLINK("https://mathstats.uncg.edu/sites/pauli/congruence/csg16.html#group132B16", "132B¹⁶")</f>
        <v/>
      </c>
      <c r="B4569" t="n">
        <v>16</v>
      </c>
      <c r="C4569" t="inlineStr"/>
      <c r="D4569" t="inlineStr">
        <is>
          <t>216</t>
        </is>
      </c>
      <c r="E4569" t="inlineStr">
        <is>
          <t>1</t>
        </is>
      </c>
      <c r="F4569" t="inlineStr">
        <is>
          <t>36</t>
        </is>
      </c>
      <c r="G4569" t="inlineStr">
        <is>
          <t>0</t>
        </is>
      </c>
      <c r="H4569" t="inlineStr">
        <is>
          <t>0</t>
        </is>
      </c>
      <c r="I4569" t="inlineStr">
        <is>
          <t>3², 12¹, 33², 132¹</t>
        </is>
      </c>
      <c r="J4569" t="n">
        <v>6</v>
      </c>
      <c r="K4569" t="inlineStr">
        <is>
          <t>1⁶, 10³</t>
        </is>
      </c>
      <c r="L4569" t="inlineStr">
        <is>
          <t>12B¹, 44D⁴, 66A⁸</t>
        </is>
      </c>
      <c r="M4569" t="inlineStr"/>
      <c r="N4569" t="inlineStr">
        <is>
          <t>22C², 66A⁸, 4B⁰, 11A¹, 12B¹, 2B⁰, 3A⁰, 33A³, 1A⁰, 44D⁴, 6D⁰</t>
        </is>
      </c>
      <c r="O4569" t="inlineStr"/>
    </row>
    <row r="4570">
      <c r="A4570">
        <f>HYPERLINK("https://mathstats.uncg.edu/sites/pauli/congruence/csg16.html#group132C16", "132C¹⁶")</f>
        <v/>
      </c>
      <c r="B4570" t="n">
        <v>16</v>
      </c>
      <c r="C4570" t="inlineStr"/>
      <c r="D4570" t="inlineStr">
        <is>
          <t>216</t>
        </is>
      </c>
      <c r="E4570" t="inlineStr">
        <is>
          <t>1</t>
        </is>
      </c>
      <c r="F4570" t="inlineStr">
        <is>
          <t>108</t>
        </is>
      </c>
      <c r="G4570" t="inlineStr">
        <is>
          <t>0</t>
        </is>
      </c>
      <c r="H4570" t="inlineStr">
        <is>
          <t>0</t>
        </is>
      </c>
      <c r="I4570" t="inlineStr">
        <is>
          <t>3², 12¹, 33², 132¹</t>
        </is>
      </c>
      <c r="J4570" t="n">
        <v>6</v>
      </c>
      <c r="K4570" t="inlineStr">
        <is>
          <t>1⁶, 2⁶, 10³, 20³</t>
        </is>
      </c>
      <c r="L4570" t="inlineStr">
        <is>
          <t>12D⁰, 66A⁸</t>
        </is>
      </c>
      <c r="M4570" t="inlineStr"/>
      <c r="N4570" t="inlineStr">
        <is>
          <t>22C², 66A⁸, 11A¹, 2B⁰, 12D⁰, 3A⁰, 33A³, 1A⁰, 6D⁰</t>
        </is>
      </c>
      <c r="O4570" t="inlineStr"/>
    </row>
    <row r="4571">
      <c r="A4571">
        <f>HYPERLINK("https://mathstats.uncg.edu/sites/pauli/congruence/csg16.html#group132D16", "132D¹⁶")</f>
        <v/>
      </c>
      <c r="B4571" t="n">
        <v>16</v>
      </c>
      <c r="C4571" t="inlineStr"/>
      <c r="D4571" t="inlineStr">
        <is>
          <t>264</t>
        </is>
      </c>
      <c r="E4571" t="inlineStr">
        <is>
          <t>2</t>
        </is>
      </c>
      <c r="F4571" t="inlineStr">
        <is>
          <t>132</t>
        </is>
      </c>
      <c r="G4571" t="inlineStr">
        <is>
          <t>24</t>
        </is>
      </c>
      <c r="H4571" t="inlineStr">
        <is>
          <t>0</t>
        </is>
      </c>
      <c r="I4571" t="inlineStr">
        <is>
          <t>132²</t>
        </is>
      </c>
      <c r="J4571" t="n">
        <v>2</v>
      </c>
      <c r="K4571" t="inlineStr">
        <is>
          <t>4², 8², 20⁴, 40⁴</t>
        </is>
      </c>
      <c r="L4571" t="inlineStr">
        <is>
          <t>12F⁰, 66A³, 132A⁷</t>
        </is>
      </c>
      <c r="M4571" t="inlineStr"/>
      <c r="N4571" t="inlineStr">
        <is>
          <t>11A⁰, 132A⁷, 12A⁰, 6B⁰, 44A², 66A³, 4A⁰, 33A¹, 12F⁰, 3A⁰, 1A⁰</t>
        </is>
      </c>
      <c r="O4571" t="inlineStr"/>
    </row>
    <row r="4572">
      <c r="A4572">
        <f>HYPERLINK("https://mathstats.uncg.edu/sites/pauli/congruence/csg16.html#group134A16", "134A¹⁶")</f>
        <v/>
      </c>
      <c r="B4572" t="n">
        <v>16</v>
      </c>
      <c r="C4572" t="inlineStr">
        <is>
          <t>Γ₀(134)</t>
        </is>
      </c>
      <c r="D4572" t="inlineStr">
        <is>
          <t>204</t>
        </is>
      </c>
      <c r="E4572" t="inlineStr">
        <is>
          <t>1</t>
        </is>
      </c>
      <c r="F4572" t="inlineStr">
        <is>
          <t>204</t>
        </is>
      </c>
      <c r="G4572" t="inlineStr">
        <is>
          <t>0</t>
        </is>
      </c>
      <c r="H4572" t="inlineStr">
        <is>
          <t>0</t>
        </is>
      </c>
      <c r="I4572" t="inlineStr">
        <is>
          <t>1¹, 2¹, 67¹, 134¹</t>
        </is>
      </c>
      <c r="J4572" t="n">
        <v>4</v>
      </c>
      <c r="K4572" t="inlineStr">
        <is>
          <t>1⁶, 66³</t>
        </is>
      </c>
      <c r="L4572" t="inlineStr">
        <is>
          <t>2B⁰, 67A⁵</t>
        </is>
      </c>
      <c r="M4572" t="inlineStr"/>
      <c r="N4572" t="inlineStr">
        <is>
          <t>1A⁰, 2B⁰, 67A⁵</t>
        </is>
      </c>
      <c r="O4572" t="inlineStr"/>
    </row>
    <row r="4573">
      <c r="A4573">
        <f>HYPERLINK("https://mathstats.uncg.edu/sites/pauli/congruence/csg16.html#group140A16", "140A¹⁶")</f>
        <v/>
      </c>
      <c r="B4573" t="n">
        <v>16</v>
      </c>
      <c r="C4573" t="inlineStr"/>
      <c r="D4573" t="inlineStr">
        <is>
          <t>210</t>
        </is>
      </c>
      <c r="E4573" t="inlineStr">
        <is>
          <t>2</t>
        </is>
      </c>
      <c r="F4573" t="inlineStr">
        <is>
          <t>105</t>
        </is>
      </c>
      <c r="G4573" t="inlineStr">
        <is>
          <t>4</t>
        </is>
      </c>
      <c r="H4573" t="inlineStr">
        <is>
          <t>0</t>
        </is>
      </c>
      <c r="I4573" t="inlineStr">
        <is>
          <t>35², 140¹</t>
        </is>
      </c>
      <c r="J4573" t="n">
        <v>3</v>
      </c>
      <c r="K4573" t="inlineStr">
        <is>
          <t>2³, 6⁶, 8³, 24⁶</t>
        </is>
      </c>
      <c r="L4573" t="inlineStr">
        <is>
          <t>28B², 70A⁸</t>
        </is>
      </c>
      <c r="M4573" t="inlineStr"/>
      <c r="N4573" t="inlineStr">
        <is>
          <t>5A⁰, 14B¹, 10B¹, 70A⁸, 2B⁰, 1A⁰, 35A², 28B², 7A⁰</t>
        </is>
      </c>
      <c r="O4573" t="inlineStr"/>
    </row>
    <row r="4574">
      <c r="A4574">
        <f>HYPERLINK("https://mathstats.uncg.edu/sites/pauli/congruence/csg16.html#group140B16", "140B¹⁶")</f>
        <v/>
      </c>
      <c r="B4574" t="n">
        <v>16</v>
      </c>
      <c r="C4574" t="inlineStr"/>
      <c r="D4574" t="inlineStr">
        <is>
          <t>210</t>
        </is>
      </c>
      <c r="E4574" t="inlineStr">
        <is>
          <t>2</t>
        </is>
      </c>
      <c r="F4574" t="inlineStr">
        <is>
          <t>105</t>
        </is>
      </c>
      <c r="G4574" t="inlineStr">
        <is>
          <t>6</t>
        </is>
      </c>
      <c r="H4574" t="inlineStr">
        <is>
          <t>0</t>
        </is>
      </c>
      <c r="I4574" t="inlineStr">
        <is>
          <t>70¹, 140¹</t>
        </is>
      </c>
      <c r="J4574" t="n">
        <v>2</v>
      </c>
      <c r="K4574" t="inlineStr">
        <is>
          <t>2³, 6⁶, 8³, 24⁶</t>
        </is>
      </c>
      <c r="L4574" t="inlineStr">
        <is>
          <t>20B², 28C², 70A⁸</t>
        </is>
      </c>
      <c r="M4574" t="inlineStr"/>
      <c r="N4574" t="inlineStr">
        <is>
          <t>28C², 5A⁰, 14B¹, 10B¹, 20B², 4C⁰, 70A⁸, 2B⁰, 1A⁰, 35A², 7A⁰</t>
        </is>
      </c>
      <c r="O4574" t="inlineStr"/>
    </row>
    <row r="4575">
      <c r="A4575">
        <f>HYPERLINK("https://mathstats.uncg.edu/sites/pauli/congruence/csg16.html#group140C16", "140C¹⁶")</f>
        <v/>
      </c>
      <c r="B4575" t="n">
        <v>16</v>
      </c>
      <c r="C4575" t="inlineStr"/>
      <c r="D4575" t="inlineStr">
        <is>
          <t>252</t>
        </is>
      </c>
      <c r="E4575" t="inlineStr">
        <is>
          <t>2</t>
        </is>
      </c>
      <c r="F4575" t="inlineStr">
        <is>
          <t>126</t>
        </is>
      </c>
      <c r="G4575" t="inlineStr">
        <is>
          <t>12</t>
        </is>
      </c>
      <c r="H4575" t="inlineStr">
        <is>
          <t>0</t>
        </is>
      </c>
      <c r="I4575" t="inlineStr">
        <is>
          <t>7², 28¹, 35², 140¹</t>
        </is>
      </c>
      <c r="J4575" t="n">
        <v>6</v>
      </c>
      <c r="K4575" t="inlineStr">
        <is>
          <t>2⁶, 6¹², 8³, 24⁶</t>
        </is>
      </c>
      <c r="L4575" t="inlineStr">
        <is>
          <t>20A⁰, 70B⁸</t>
        </is>
      </c>
      <c r="M4575" t="inlineStr"/>
      <c r="N4575" t="inlineStr">
        <is>
          <t>35C², 20A⁰, 14B¹, 5B⁰, 70B⁸, 10C⁰, 2B⁰, 1A⁰, 7A⁰</t>
        </is>
      </c>
      <c r="O4575" t="inlineStr"/>
    </row>
    <row r="4576">
      <c r="A4576">
        <f>HYPERLINK("https://mathstats.uncg.edu/sites/pauli/congruence/csg16.html#group144A16", "144A¹⁶")</f>
        <v/>
      </c>
      <c r="B4576" t="n">
        <v>16</v>
      </c>
      <c r="C4576" t="inlineStr"/>
      <c r="D4576" t="inlineStr">
        <is>
          <t>192</t>
        </is>
      </c>
      <c r="E4576" t="inlineStr">
        <is>
          <t>2</t>
        </is>
      </c>
      <c r="F4576" t="inlineStr">
        <is>
          <t>32</t>
        </is>
      </c>
      <c r="G4576" t="inlineStr">
        <is>
          <t>0</t>
        </is>
      </c>
      <c r="H4576" t="inlineStr">
        <is>
          <t>0</t>
        </is>
      </c>
      <c r="I4576" t="inlineStr">
        <is>
          <t>48¹, 144¹</t>
        </is>
      </c>
      <c r="J4576" t="n">
        <v>2</v>
      </c>
      <c r="K4576" t="inlineStr">
        <is>
          <t>8⁴, 16²</t>
        </is>
      </c>
      <c r="L4576" t="inlineStr">
        <is>
          <t>48A⁴, 72A⁸</t>
        </is>
      </c>
      <c r="M4576" t="inlineStr"/>
      <c r="N4576" t="inlineStr">
        <is>
          <t>3B⁰, 16A⁰, 24A², 4A⁰, 12A¹, 9A¹, 8A⁰, 72A⁸, 36C⁴, 48A⁴, 1A⁰</t>
        </is>
      </c>
      <c r="O4576" t="inlineStr"/>
    </row>
    <row r="4577">
      <c r="A4577">
        <f>HYPERLINK("https://mathstats.uncg.edu/sites/pauli/congruence/csg16.html#group144B16", "144B¹⁶")</f>
        <v/>
      </c>
      <c r="B4577" t="n">
        <v>16</v>
      </c>
      <c r="C4577" t="inlineStr"/>
      <c r="D4577" t="inlineStr">
        <is>
          <t>216</t>
        </is>
      </c>
      <c r="E4577" t="inlineStr">
        <is>
          <t>1</t>
        </is>
      </c>
      <c r="F4577" t="inlineStr">
        <is>
          <t>54</t>
        </is>
      </c>
      <c r="G4577" t="inlineStr">
        <is>
          <t>0</t>
        </is>
      </c>
      <c r="H4577" t="inlineStr">
        <is>
          <t>0</t>
        </is>
      </c>
      <c r="I4577" t="inlineStr">
        <is>
          <t>9⁴, 36¹, 144¹</t>
        </is>
      </c>
      <c r="J4577" t="n">
        <v>6</v>
      </c>
      <c r="K4577" t="inlineStr">
        <is>
          <t>1⁴, 2⁵, 4¹, 6⁴, 12¹</t>
        </is>
      </c>
      <c r="L4577" t="inlineStr">
        <is>
          <t>48B⁴, 72B⁸</t>
        </is>
      </c>
      <c r="M4577" t="inlineStr"/>
      <c r="N4577" t="inlineStr">
        <is>
          <t>24B², 4B⁰, 16C⁰, 9A⁰, 72B⁸, 36D⁴, 12B¹, 2B⁰, 8C⁰, 18E¹, 3A⁰, 1A⁰, 6D⁰, 48B⁴</t>
        </is>
      </c>
      <c r="O4577" t="inlineStr"/>
    </row>
    <row r="4578">
      <c r="A4578">
        <f>HYPERLINK("https://mathstats.uncg.edu/sites/pauli/congruence/csg16.html#group144C16", "144C¹⁶")</f>
        <v/>
      </c>
      <c r="B4578" t="n">
        <v>16</v>
      </c>
      <c r="C4578" t="inlineStr"/>
      <c r="D4578" t="inlineStr">
        <is>
          <t>216</t>
        </is>
      </c>
      <c r="E4578" t="inlineStr">
        <is>
          <t>1</t>
        </is>
      </c>
      <c r="F4578" t="inlineStr">
        <is>
          <t>54</t>
        </is>
      </c>
      <c r="G4578" t="inlineStr">
        <is>
          <t>0</t>
        </is>
      </c>
      <c r="H4578" t="inlineStr">
        <is>
          <t>0</t>
        </is>
      </c>
      <c r="I4578" t="inlineStr">
        <is>
          <t>9⁴, 36¹, 144¹</t>
        </is>
      </c>
      <c r="J4578" t="n">
        <v>6</v>
      </c>
      <c r="K4578" t="inlineStr">
        <is>
          <t>1⁴, 2⁵, 4¹, 6⁴, 12¹</t>
        </is>
      </c>
      <c r="L4578" t="inlineStr">
        <is>
          <t>48F⁴, 72B⁸</t>
        </is>
      </c>
      <c r="M4578" t="inlineStr"/>
      <c r="N4578" t="inlineStr">
        <is>
          <t>24B², 3A⁰, 9A⁰, 72B⁸, 48F⁴, 36D⁴, 8C⁰, 12B¹, 2B⁰, 18E¹, 4B⁰, 1A⁰, 6D⁰</t>
        </is>
      </c>
      <c r="O4578" t="inlineStr"/>
    </row>
    <row r="4579">
      <c r="A4579">
        <f>HYPERLINK("https://mathstats.uncg.edu/sites/pauli/congruence/csg16.html#group144D16", "144D¹⁶")</f>
        <v/>
      </c>
      <c r="B4579" t="n">
        <v>16</v>
      </c>
      <c r="C4579" t="inlineStr"/>
      <c r="D4579" t="inlineStr">
        <is>
          <t>216</t>
        </is>
      </c>
      <c r="E4579" t="inlineStr">
        <is>
          <t>1</t>
        </is>
      </c>
      <c r="F4579" t="inlineStr">
        <is>
          <t>108</t>
        </is>
      </c>
      <c r="G4579" t="inlineStr">
        <is>
          <t>0</t>
        </is>
      </c>
      <c r="H4579" t="inlineStr">
        <is>
          <t>0</t>
        </is>
      </c>
      <c r="I4579" t="inlineStr">
        <is>
          <t>9², 18³, 144¹</t>
        </is>
      </c>
      <c r="J4579" t="n">
        <v>6</v>
      </c>
      <c r="K4579" t="inlineStr">
        <is>
          <t>1⁴, 2⁶, 4³, 6⁴, 8¹, 12², 24¹</t>
        </is>
      </c>
      <c r="L4579" t="inlineStr">
        <is>
          <t>48D⁴, 72B⁸</t>
        </is>
      </c>
      <c r="M4579" t="inlineStr"/>
      <c r="N4579" t="inlineStr">
        <is>
          <t>24B², 4B⁰, 9A⁰, 72B⁸, 16D⁰, 36D⁴, 12B¹, 2B⁰, 8C⁰, 18E¹, 3A⁰, 1A⁰, 6D⁰, 48D⁴</t>
        </is>
      </c>
      <c r="O4579" t="inlineStr"/>
    </row>
    <row r="4580">
      <c r="A4580">
        <f>HYPERLINK("https://mathstats.uncg.edu/sites/pauli/congruence/csg16.html#group144E16", "144E¹⁶")</f>
        <v/>
      </c>
      <c r="B4580" t="n">
        <v>16</v>
      </c>
      <c r="C4580" t="inlineStr"/>
      <c r="D4580" t="inlineStr">
        <is>
          <t>216</t>
        </is>
      </c>
      <c r="E4580" t="inlineStr">
        <is>
          <t>1</t>
        </is>
      </c>
      <c r="F4580" t="inlineStr">
        <is>
          <t>108</t>
        </is>
      </c>
      <c r="G4580" t="inlineStr">
        <is>
          <t>0</t>
        </is>
      </c>
      <c r="H4580" t="inlineStr">
        <is>
          <t>0</t>
        </is>
      </c>
      <c r="I4580" t="inlineStr">
        <is>
          <t>9², 18³, 144¹</t>
        </is>
      </c>
      <c r="J4580" t="n">
        <v>6</v>
      </c>
      <c r="K4580" t="inlineStr">
        <is>
          <t>1⁴, 2⁶, 4³, 6⁴, 8¹, 12², 24¹</t>
        </is>
      </c>
      <c r="L4580" t="inlineStr">
        <is>
          <t>48G⁴, 72B⁸</t>
        </is>
      </c>
      <c r="M4580" t="inlineStr"/>
      <c r="N4580" t="inlineStr">
        <is>
          <t>24B², 3A⁰, 9A⁰, 72B⁸, 36D⁴, 8C⁰, 12B¹, 2B⁰, 18E¹, 4B⁰, 1A⁰, 48G⁴, 6D⁰</t>
        </is>
      </c>
      <c r="O4580" t="inlineStr"/>
    </row>
    <row r="4581">
      <c r="A4581">
        <f>HYPERLINK("https://mathstats.uncg.edu/sites/pauli/congruence/csg16.html#group144F16", "144F¹⁶")</f>
        <v/>
      </c>
      <c r="B4581" t="n">
        <v>16</v>
      </c>
      <c r="C4581" t="inlineStr"/>
      <c r="D4581" t="inlineStr">
        <is>
          <t>216</t>
        </is>
      </c>
      <c r="E4581" t="inlineStr">
        <is>
          <t>2</t>
        </is>
      </c>
      <c r="F4581" t="inlineStr">
        <is>
          <t>27</t>
        </is>
      </c>
      <c r="G4581" t="inlineStr">
        <is>
          <t>8</t>
        </is>
      </c>
      <c r="H4581" t="inlineStr">
        <is>
          <t>0</t>
        </is>
      </c>
      <c r="I4581" t="inlineStr">
        <is>
          <t>72¹, 144¹</t>
        </is>
      </c>
      <c r="J4581" t="n">
        <v>2</v>
      </c>
      <c r="K4581" t="inlineStr">
        <is>
          <t>2⁹, 6⁶</t>
        </is>
      </c>
      <c r="L4581" t="inlineStr">
        <is>
          <t>48C⁴, 72E⁴</t>
        </is>
      </c>
      <c r="M4581" t="inlineStr"/>
      <c r="N4581" t="inlineStr">
        <is>
          <t>12C⁰, 24A⁰, 72E⁴, 9A⁰, 36B², 4C⁰, 8B⁰, 2B⁰, 18E¹, 3A⁰, 1A⁰, 6D⁰, 48C⁴</t>
        </is>
      </c>
      <c r="O4581" t="inlineStr"/>
    </row>
    <row r="4582">
      <c r="A4582">
        <f>HYPERLINK("https://mathstats.uncg.edu/sites/pauli/congruence/csg16.html#group144G16", "144G¹⁶")</f>
        <v/>
      </c>
      <c r="B4582" t="n">
        <v>16</v>
      </c>
      <c r="C4582" t="inlineStr"/>
      <c r="D4582" t="inlineStr">
        <is>
          <t>216</t>
        </is>
      </c>
      <c r="E4582" t="inlineStr">
        <is>
          <t>2</t>
        </is>
      </c>
      <c r="F4582" t="inlineStr">
        <is>
          <t>54</t>
        </is>
      </c>
      <c r="G4582" t="inlineStr">
        <is>
          <t>0</t>
        </is>
      </c>
      <c r="H4582" t="inlineStr">
        <is>
          <t>0</t>
        </is>
      </c>
      <c r="I4582" t="inlineStr">
        <is>
          <t>9⁴, 36¹, 144¹</t>
        </is>
      </c>
      <c r="J4582" t="n">
        <v>6</v>
      </c>
      <c r="K4582" t="inlineStr">
        <is>
          <t>2¹², 4³, 6⁸, 12²</t>
        </is>
      </c>
      <c r="L4582" t="inlineStr">
        <is>
          <t>48F⁴, 72B⁸</t>
        </is>
      </c>
      <c r="M4582" t="inlineStr"/>
      <c r="N4582" t="inlineStr">
        <is>
          <t>24B², 3A⁰, 9A⁰, 72B⁸, 48F⁴, 36D⁴, 8C⁰, 12B¹, 2B⁰, 18E¹, 4B⁰, 1A⁰, 6D⁰</t>
        </is>
      </c>
      <c r="O4582" t="inlineStr"/>
    </row>
    <row r="4583">
      <c r="A4583">
        <f>HYPERLINK("https://mathstats.uncg.edu/sites/pauli/congruence/csg16.html#group144H16", "144H¹⁶")</f>
        <v/>
      </c>
      <c r="B4583" t="n">
        <v>16</v>
      </c>
      <c r="C4583" t="inlineStr"/>
      <c r="D4583" t="inlineStr">
        <is>
          <t>216</t>
        </is>
      </c>
      <c r="E4583" t="inlineStr">
        <is>
          <t>2</t>
        </is>
      </c>
      <c r="F4583" t="inlineStr">
        <is>
          <t>108</t>
        </is>
      </c>
      <c r="G4583" t="inlineStr">
        <is>
          <t>0</t>
        </is>
      </c>
      <c r="H4583" t="inlineStr">
        <is>
          <t>0</t>
        </is>
      </c>
      <c r="I4583" t="inlineStr">
        <is>
          <t>9², 18³, 144¹</t>
        </is>
      </c>
      <c r="J4583" t="n">
        <v>6</v>
      </c>
      <c r="K4583" t="inlineStr">
        <is>
          <t>2¹², 4⁶, 6⁸, 8³, 12⁴, 24²</t>
        </is>
      </c>
      <c r="L4583" t="inlineStr">
        <is>
          <t>48G⁴, 72B⁸</t>
        </is>
      </c>
      <c r="M4583" t="inlineStr"/>
      <c r="N4583" t="inlineStr">
        <is>
          <t>24B², 3A⁰, 9A⁰, 72B⁸, 36D⁴, 8C⁰, 12B¹, 2B⁰, 18E¹, 4B⁰, 1A⁰, 48G⁴, 6D⁰</t>
        </is>
      </c>
      <c r="O4583" t="inlineStr"/>
    </row>
    <row r="4584">
      <c r="A4584">
        <f>HYPERLINK("https://mathstats.uncg.edu/sites/pauli/congruence/csg16.html#group148A16", "148A¹⁶")</f>
        <v/>
      </c>
      <c r="B4584" t="n">
        <v>16</v>
      </c>
      <c r="C4584" t="inlineStr"/>
      <c r="D4584" t="inlineStr">
        <is>
          <t>228</t>
        </is>
      </c>
      <c r="E4584" t="inlineStr">
        <is>
          <t>1</t>
        </is>
      </c>
      <c r="F4584" t="inlineStr">
        <is>
          <t>114</t>
        </is>
      </c>
      <c r="G4584" t="inlineStr">
        <is>
          <t>4</t>
        </is>
      </c>
      <c r="H4584" t="inlineStr">
        <is>
          <t>0</t>
        </is>
      </c>
      <c r="I4584" t="inlineStr">
        <is>
          <t>1², 4¹, 37², 148¹</t>
        </is>
      </c>
      <c r="J4584" t="n">
        <v>6</v>
      </c>
      <c r="K4584" t="inlineStr">
        <is>
          <t>1⁶, 36³</t>
        </is>
      </c>
      <c r="L4584" t="inlineStr">
        <is>
          <t>74A⁸</t>
        </is>
      </c>
      <c r="M4584" t="inlineStr"/>
      <c r="N4584" t="inlineStr">
        <is>
          <t>37A², 1A⁰, 2B⁰, 74A⁸</t>
        </is>
      </c>
      <c r="O4584" t="inlineStr"/>
    </row>
    <row r="4585">
      <c r="A4585">
        <f>HYPERLINK("https://mathstats.uncg.edu/sites/pauli/congruence/csg16.html#group150A16", "150A¹⁶")</f>
        <v/>
      </c>
      <c r="B4585" t="n">
        <v>16</v>
      </c>
      <c r="C4585" t="inlineStr"/>
      <c r="D4585" t="inlineStr">
        <is>
          <t>270</t>
        </is>
      </c>
      <c r="E4585" t="inlineStr">
        <is>
          <t>1</t>
        </is>
      </c>
      <c r="F4585" t="inlineStr">
        <is>
          <t>90</t>
        </is>
      </c>
      <c r="G4585" t="inlineStr">
        <is>
          <t>6</t>
        </is>
      </c>
      <c r="H4585" t="inlineStr">
        <is>
          <t>0</t>
        </is>
      </c>
      <c r="I4585" t="inlineStr">
        <is>
          <t>3⁵, 6⁵, 75¹, 150¹</t>
        </is>
      </c>
      <c r="J4585" t="n">
        <v>12</v>
      </c>
      <c r="K4585" t="inlineStr">
        <is>
          <t>1⁶, 4⁶, 20³</t>
        </is>
      </c>
      <c r="L4585" t="inlineStr">
        <is>
          <t>30E², 50B², 75A⁴</t>
        </is>
      </c>
      <c r="M4585" t="inlineStr"/>
      <c r="N4585" t="inlineStr">
        <is>
          <t>15B⁰, 30E², 25A⁰, 10C⁰, 5B⁰, 2B⁰, 75A⁴, 3A⁰, 50B², 1A⁰, 6D⁰</t>
        </is>
      </c>
      <c r="O4585" t="inlineStr"/>
    </row>
    <row r="4586">
      <c r="A4586">
        <f>HYPERLINK("https://mathstats.uncg.edu/sites/pauli/congruence/csg16.html#group152A16", "152A¹⁶")</f>
        <v/>
      </c>
      <c r="B4586" t="n">
        <v>16</v>
      </c>
      <c r="C4586" t="inlineStr"/>
      <c r="D4586" t="inlineStr">
        <is>
          <t>240</t>
        </is>
      </c>
      <c r="E4586" t="inlineStr">
        <is>
          <t>1</t>
        </is>
      </c>
      <c r="F4586" t="inlineStr">
        <is>
          <t>60</t>
        </is>
      </c>
      <c r="G4586" t="inlineStr">
        <is>
          <t>0</t>
        </is>
      </c>
      <c r="H4586" t="inlineStr">
        <is>
          <t>0</t>
        </is>
      </c>
      <c r="I4586" t="inlineStr">
        <is>
          <t>1⁴, 8¹, 19⁴, 152¹</t>
        </is>
      </c>
      <c r="J4586" t="n">
        <v>10</v>
      </c>
      <c r="K4586" t="inlineStr">
        <is>
          <t>1⁶, 18³</t>
        </is>
      </c>
      <c r="L4586" t="inlineStr">
        <is>
          <t>76A⁸</t>
        </is>
      </c>
      <c r="M4586" t="inlineStr"/>
      <c r="N4586" t="inlineStr">
        <is>
          <t>76A⁸, 19A¹, 2B⁰, 4B⁰, 1A⁰, 38A⁴</t>
        </is>
      </c>
      <c r="O4586" t="inlineStr"/>
    </row>
    <row r="4587">
      <c r="A4587">
        <f>HYPERLINK("https://mathstats.uncg.edu/sites/pauli/congruence/csg16.html#group156A16", "156A¹⁶")</f>
        <v/>
      </c>
      <c r="B4587" t="n">
        <v>16</v>
      </c>
      <c r="C4587" t="inlineStr"/>
      <c r="D4587" t="inlineStr">
        <is>
          <t>252</t>
        </is>
      </c>
      <c r="E4587" t="inlineStr">
        <is>
          <t>1</t>
        </is>
      </c>
      <c r="F4587" t="inlineStr">
        <is>
          <t>42</t>
        </is>
      </c>
      <c r="G4587" t="inlineStr">
        <is>
          <t>12</t>
        </is>
      </c>
      <c r="H4587" t="inlineStr">
        <is>
          <t>0</t>
        </is>
      </c>
      <c r="I4587" t="inlineStr">
        <is>
          <t>3², 12¹, 39², 156¹</t>
        </is>
      </c>
      <c r="J4587" t="n">
        <v>6</v>
      </c>
      <c r="K4587" t="inlineStr">
        <is>
          <t>1⁶, 12³</t>
        </is>
      </c>
      <c r="L4587" t="inlineStr">
        <is>
          <t>52A⁴, 78A⁸</t>
        </is>
      </c>
      <c r="M4587" t="inlineStr"/>
      <c r="N4587" t="inlineStr">
        <is>
          <t>78A⁸, 39A², 13A⁰, 2B⁰, 52A⁴, 3A⁰, 1A⁰, 26A², 6D⁰</t>
        </is>
      </c>
      <c r="O4587" t="inlineStr"/>
    </row>
    <row r="4588">
      <c r="A4588">
        <f>HYPERLINK("https://mathstats.uncg.edu/sites/pauli/congruence/csg16.html#group156B16", "156B¹⁶")</f>
        <v/>
      </c>
      <c r="B4588" t="n">
        <v>16</v>
      </c>
      <c r="C4588" t="inlineStr"/>
      <c r="D4588" t="inlineStr">
        <is>
          <t>252</t>
        </is>
      </c>
      <c r="E4588" t="inlineStr">
        <is>
          <t>2</t>
        </is>
      </c>
      <c r="F4588" t="inlineStr">
        <is>
          <t>42</t>
        </is>
      </c>
      <c r="G4588" t="inlineStr">
        <is>
          <t>12</t>
        </is>
      </c>
      <c r="H4588" t="inlineStr">
        <is>
          <t>0</t>
        </is>
      </c>
      <c r="I4588" t="inlineStr">
        <is>
          <t>3², 12¹, 39², 156¹</t>
        </is>
      </c>
      <c r="J4588" t="n">
        <v>6</v>
      </c>
      <c r="K4588" t="inlineStr">
        <is>
          <t>2⁶, 24³</t>
        </is>
      </c>
      <c r="L4588" t="inlineStr">
        <is>
          <t>52A⁴, 78B⁸</t>
        </is>
      </c>
      <c r="M4588" t="inlineStr"/>
      <c r="N4588" t="inlineStr">
        <is>
          <t>13A⁰, 26A², 39A¹, 2B⁰, 52A⁴, 1A⁰, 78B⁸</t>
        </is>
      </c>
      <c r="O4588" t="inlineStr"/>
    </row>
    <row r="4589">
      <c r="A4589">
        <f>HYPERLINK("https://mathstats.uncg.edu/sites/pauli/congruence/csg16.html#group160A16", "160A¹⁶")</f>
        <v/>
      </c>
      <c r="B4589" t="n">
        <v>16</v>
      </c>
      <c r="C4589" t="inlineStr"/>
      <c r="D4589" t="inlineStr">
        <is>
          <t>240</t>
        </is>
      </c>
      <c r="E4589" t="inlineStr">
        <is>
          <t>1</t>
        </is>
      </c>
      <c r="F4589" t="inlineStr">
        <is>
          <t>30</t>
        </is>
      </c>
      <c r="G4589" t="inlineStr">
        <is>
          <t>0</t>
        </is>
      </c>
      <c r="H4589" t="inlineStr">
        <is>
          <t>0</t>
        </is>
      </c>
      <c r="I4589" t="inlineStr">
        <is>
          <t>5⁸, 40¹, 160¹</t>
        </is>
      </c>
      <c r="J4589" t="n">
        <v>10</v>
      </c>
      <c r="K4589" t="inlineStr">
        <is>
          <t>1⁴, 2¹, 4⁴, 8¹</t>
        </is>
      </c>
      <c r="L4589" t="inlineStr">
        <is>
          <t>32A⁰, 80B⁸</t>
        </is>
      </c>
      <c r="M4589" t="inlineStr"/>
      <c r="N4589" t="inlineStr">
        <is>
          <t>20A², 5A⁰, 80B⁸, 16C⁰, 10B¹, 32A⁰, 8C⁰, 2B⁰, 4B⁰, 40B⁴, 1A⁰</t>
        </is>
      </c>
      <c r="O4589" t="inlineStr"/>
    </row>
    <row r="4590">
      <c r="A4590">
        <f>HYPERLINK("https://mathstats.uncg.edu/sites/pauli/congruence/csg16.html#group162A16", "162A¹⁶")</f>
        <v/>
      </c>
      <c r="B4590" t="n">
        <v>16</v>
      </c>
      <c r="C4590" t="inlineStr"/>
      <c r="D4590" t="inlineStr">
        <is>
          <t>216</t>
        </is>
      </c>
      <c r="E4590" t="inlineStr">
        <is>
          <t>1</t>
        </is>
      </c>
      <c r="F4590" t="inlineStr">
        <is>
          <t>36</t>
        </is>
      </c>
      <c r="G4590" t="inlineStr">
        <is>
          <t>0</t>
        </is>
      </c>
      <c r="H4590" t="inlineStr">
        <is>
          <t>0</t>
        </is>
      </c>
      <c r="I4590" t="inlineStr">
        <is>
          <t>6³, 18², 162¹</t>
        </is>
      </c>
      <c r="J4590" t="n">
        <v>6</v>
      </c>
      <c r="K4590" t="inlineStr">
        <is>
          <t>1², 2², 6², 18¹</t>
        </is>
      </c>
      <c r="L4590" t="inlineStr">
        <is>
          <t>54A⁴, 81A⁷</t>
        </is>
      </c>
      <c r="M4590" t="inlineStr"/>
      <c r="N4590" t="inlineStr">
        <is>
          <t>3B⁰, 2A⁰, 27A¹, 18C¹, 6C⁰, 9B⁰, 81A⁷, 54A⁴, 1A⁰</t>
        </is>
      </c>
      <c r="O4590" t="inlineStr"/>
    </row>
    <row r="4591">
      <c r="A4591">
        <f>HYPERLINK("https://mathstats.uncg.edu/sites/pauli/congruence/csg16.html#group162B16", "162B¹⁶")</f>
        <v/>
      </c>
      <c r="B4591" t="n">
        <v>16</v>
      </c>
      <c r="C4591" t="inlineStr"/>
      <c r="D4591" t="inlineStr">
        <is>
          <t>216</t>
        </is>
      </c>
      <c r="E4591" t="inlineStr">
        <is>
          <t>1</t>
        </is>
      </c>
      <c r="F4591" t="inlineStr">
        <is>
          <t>36</t>
        </is>
      </c>
      <c r="G4591" t="inlineStr">
        <is>
          <t>0</t>
        </is>
      </c>
      <c r="H4591" t="inlineStr">
        <is>
          <t>0</t>
        </is>
      </c>
      <c r="I4591" t="inlineStr">
        <is>
          <t>6³, 18², 162¹</t>
        </is>
      </c>
      <c r="J4591" t="n">
        <v>6</v>
      </c>
      <c r="K4591" t="inlineStr">
        <is>
          <t>1², 2², 6², 18¹</t>
        </is>
      </c>
      <c r="L4591" t="inlineStr">
        <is>
          <t>54A⁴, 81B⁷</t>
        </is>
      </c>
      <c r="M4591" t="inlineStr"/>
      <c r="N4591" t="inlineStr">
        <is>
          <t>3B⁰, 2A⁰, 27A¹, 18C¹, 6C⁰, 81B⁷, 9B⁰, 54A⁴, 1A⁰</t>
        </is>
      </c>
      <c r="O4591" t="inlineStr"/>
    </row>
    <row r="4592">
      <c r="A4592">
        <f>HYPERLINK("https://mathstats.uncg.edu/sites/pauli/congruence/csg16.html#group162C16", "162C¹⁶")</f>
        <v/>
      </c>
      <c r="B4592" t="n">
        <v>16</v>
      </c>
      <c r="C4592" t="inlineStr"/>
      <c r="D4592" t="inlineStr">
        <is>
          <t>216</t>
        </is>
      </c>
      <c r="E4592" t="inlineStr">
        <is>
          <t>1</t>
        </is>
      </c>
      <c r="F4592" t="inlineStr">
        <is>
          <t>72</t>
        </is>
      </c>
      <c r="G4592" t="inlineStr">
        <is>
          <t>0</t>
        </is>
      </c>
      <c r="H4592" t="inlineStr">
        <is>
          <t>0</t>
        </is>
      </c>
      <c r="I4592" t="inlineStr">
        <is>
          <t>6³, 18², 162¹</t>
        </is>
      </c>
      <c r="J4592" t="n">
        <v>6</v>
      </c>
      <c r="K4592" t="inlineStr">
        <is>
          <t>2⁶, 6⁴, 18²</t>
        </is>
      </c>
      <c r="L4592" t="inlineStr">
        <is>
          <t>54A⁴</t>
        </is>
      </c>
      <c r="M4592" t="inlineStr"/>
      <c r="N4592" t="inlineStr">
        <is>
          <t>3B⁰, 2A⁰, 27A¹, 18C¹, 6C⁰, 9B⁰, 54A⁴, 1A⁰</t>
        </is>
      </c>
      <c r="O4592" t="inlineStr"/>
    </row>
    <row r="4593">
      <c r="A4593">
        <f>HYPERLINK("https://mathstats.uncg.edu/sites/pauli/congruence/csg16.html#group162D16", "162D¹⁶")</f>
        <v/>
      </c>
      <c r="B4593" t="n">
        <v>16</v>
      </c>
      <c r="C4593" t="inlineStr"/>
      <c r="D4593" t="inlineStr">
        <is>
          <t>216</t>
        </is>
      </c>
      <c r="E4593" t="inlineStr">
        <is>
          <t>1</t>
        </is>
      </c>
      <c r="F4593" t="inlineStr">
        <is>
          <t>72</t>
        </is>
      </c>
      <c r="G4593" t="inlineStr">
        <is>
          <t>0</t>
        </is>
      </c>
      <c r="H4593" t="inlineStr">
        <is>
          <t>0</t>
        </is>
      </c>
      <c r="I4593" t="inlineStr">
        <is>
          <t>6³, 18², 162¹</t>
        </is>
      </c>
      <c r="J4593" t="n">
        <v>6</v>
      </c>
      <c r="K4593" t="inlineStr">
        <is>
          <t>2⁶, 6⁴, 18²</t>
        </is>
      </c>
      <c r="L4593" t="inlineStr">
        <is>
          <t>54A⁴</t>
        </is>
      </c>
      <c r="M4593" t="inlineStr"/>
      <c r="N4593" t="inlineStr">
        <is>
          <t>3B⁰, 2A⁰, 27A¹, 18C¹, 6C⁰, 9B⁰, 54A⁴, 1A⁰</t>
        </is>
      </c>
      <c r="O4593" t="inlineStr"/>
    </row>
    <row r="4594">
      <c r="A4594">
        <f>HYPERLINK("https://mathstats.uncg.edu/sites/pauli/congruence/csg16.html#group162E16", "162E¹⁶")</f>
        <v/>
      </c>
      <c r="B4594" t="n">
        <v>16</v>
      </c>
      <c r="C4594" t="inlineStr">
        <is>
          <t>Γ₀(162)</t>
        </is>
      </c>
      <c r="D4594" t="inlineStr">
        <is>
          <t>324</t>
        </is>
      </c>
      <c r="E4594" t="inlineStr">
        <is>
          <t>1</t>
        </is>
      </c>
      <c r="F4594" t="inlineStr">
        <is>
          <t>108</t>
        </is>
      </c>
      <c r="G4594" t="inlineStr">
        <is>
          <t>0</t>
        </is>
      </c>
      <c r="H4594" t="inlineStr">
        <is>
          <t>0</t>
        </is>
      </c>
      <c r="I4594" t="inlineStr">
        <is>
          <t>1⁹, 2⁹, 9², 18², 81¹, 162¹</t>
        </is>
      </c>
      <c r="J4594" t="n">
        <v>24</v>
      </c>
      <c r="K4594" t="inlineStr">
        <is>
          <t>1⁶, 2⁶, 6⁶, 18³</t>
        </is>
      </c>
      <c r="L4594" t="inlineStr">
        <is>
          <t>54E⁴, 81A⁴</t>
        </is>
      </c>
      <c r="M4594" t="inlineStr"/>
      <c r="N4594" t="inlineStr">
        <is>
          <t>3B⁰, 27A¹, 18E⁰, 6F⁰, 9B⁰, 81A⁴, 2B⁰, 1A⁰, 54E⁴</t>
        </is>
      </c>
      <c r="O4594" t="inlineStr"/>
    </row>
    <row r="4595">
      <c r="A4595">
        <f>HYPERLINK("https://mathstats.uncg.edu/sites/pauli/congruence/csg16.html#group168A16", "168A¹⁶")</f>
        <v/>
      </c>
      <c r="B4595" t="n">
        <v>16</v>
      </c>
      <c r="C4595" t="inlineStr"/>
      <c r="D4595" t="inlineStr">
        <is>
          <t>192</t>
        </is>
      </c>
      <c r="E4595" t="inlineStr">
        <is>
          <t>2</t>
        </is>
      </c>
      <c r="F4595" t="inlineStr">
        <is>
          <t>32</t>
        </is>
      </c>
      <c r="G4595" t="inlineStr">
        <is>
          <t>0</t>
        </is>
      </c>
      <c r="H4595" t="inlineStr">
        <is>
          <t>0</t>
        </is>
      </c>
      <c r="I4595" t="inlineStr">
        <is>
          <t>24¹, 168¹</t>
        </is>
      </c>
      <c r="J4595" t="n">
        <v>2</v>
      </c>
      <c r="K4595" t="inlineStr">
        <is>
          <t>4⁴, 24²</t>
        </is>
      </c>
      <c r="L4595" t="inlineStr">
        <is>
          <t>24A¹, 56A⁴, 84C⁸</t>
        </is>
      </c>
      <c r="M4595" t="inlineStr"/>
      <c r="N4595" t="inlineStr">
        <is>
          <t>56A⁴, 12A⁰, 24A¹, 21A², 84C⁸, 7B⁰, 4A⁰, 8A⁰, 3A⁰, 1A⁰, 28A²</t>
        </is>
      </c>
      <c r="O4595" t="inlineStr"/>
    </row>
    <row r="4596">
      <c r="A4596">
        <f>HYPERLINK("https://mathstats.uncg.edu/sites/pauli/congruence/csg16.html#group168B16", "168B¹⁶")</f>
        <v/>
      </c>
      <c r="B4596" t="n">
        <v>16</v>
      </c>
      <c r="C4596" t="inlineStr"/>
      <c r="D4596" t="inlineStr">
        <is>
          <t>192</t>
        </is>
      </c>
      <c r="E4596" t="inlineStr">
        <is>
          <t>2</t>
        </is>
      </c>
      <c r="F4596" t="inlineStr">
        <is>
          <t>96</t>
        </is>
      </c>
      <c r="G4596" t="inlineStr">
        <is>
          <t>0</t>
        </is>
      </c>
      <c r="H4596" t="inlineStr">
        <is>
          <t>0</t>
        </is>
      </c>
      <c r="I4596" t="inlineStr">
        <is>
          <t>24¹, 168¹</t>
        </is>
      </c>
      <c r="J4596" t="n">
        <v>2</v>
      </c>
      <c r="K4596" t="inlineStr">
        <is>
          <t>4⁴, 8⁴, 24², 48²</t>
        </is>
      </c>
      <c r="L4596" t="inlineStr">
        <is>
          <t>24B¹, 84C⁸</t>
        </is>
      </c>
      <c r="M4596" t="inlineStr"/>
      <c r="N4596" t="inlineStr">
        <is>
          <t>12A⁰, 21A², 84C⁸, 4A⁰, 7B⁰, 24B¹, 3A⁰, 1A⁰, 28A²</t>
        </is>
      </c>
      <c r="O4596" t="inlineStr"/>
    </row>
    <row r="4597">
      <c r="A4597">
        <f>HYPERLINK("https://mathstats.uncg.edu/sites/pauli/congruence/csg16.html#group168C16", "168C¹⁶")</f>
        <v/>
      </c>
      <c r="B4597" t="n">
        <v>16</v>
      </c>
      <c r="C4597" t="inlineStr"/>
      <c r="D4597" t="inlineStr">
        <is>
          <t>252</t>
        </is>
      </c>
      <c r="E4597" t="inlineStr">
        <is>
          <t>2</t>
        </is>
      </c>
      <c r="F4597" t="inlineStr">
        <is>
          <t>42</t>
        </is>
      </c>
      <c r="G4597" t="inlineStr">
        <is>
          <t>18</t>
        </is>
      </c>
      <c r="H4597" t="inlineStr">
        <is>
          <t>0</t>
        </is>
      </c>
      <c r="I4597" t="inlineStr">
        <is>
          <t>42², 168¹</t>
        </is>
      </c>
      <c r="J4597" t="n">
        <v>3</v>
      </c>
      <c r="K4597" t="inlineStr">
        <is>
          <t>2², 4², 6⁴, 12⁴</t>
        </is>
      </c>
      <c r="L4597" t="inlineStr">
        <is>
          <t>56B⁵, 84B⁶</t>
        </is>
      </c>
      <c r="M4597" t="inlineStr"/>
      <c r="N4597" t="inlineStr">
        <is>
          <t>56B⁵, 12C⁰, 14B¹, 4C⁰, 21A⁰, 2B⁰, 1A⁰, 28C², 3A⁰, 42C³, 84B⁶, 6D⁰, 7A⁰</t>
        </is>
      </c>
      <c r="O4597" t="inlineStr"/>
    </row>
    <row r="4598">
      <c r="A4598">
        <f>HYPERLINK("https://mathstats.uncg.edu/sites/pauli/congruence/csg16.html#group168D16", "168D¹⁶")</f>
        <v/>
      </c>
      <c r="B4598" t="n">
        <v>16</v>
      </c>
      <c r="C4598" t="inlineStr"/>
      <c r="D4598" t="inlineStr">
        <is>
          <t>252</t>
        </is>
      </c>
      <c r="E4598" t="inlineStr">
        <is>
          <t>2</t>
        </is>
      </c>
      <c r="F4598" t="inlineStr">
        <is>
          <t>42</t>
        </is>
      </c>
      <c r="G4598" t="inlineStr">
        <is>
          <t>18</t>
        </is>
      </c>
      <c r="H4598" t="inlineStr">
        <is>
          <t>0</t>
        </is>
      </c>
      <c r="I4598" t="inlineStr">
        <is>
          <t>42², 168¹</t>
        </is>
      </c>
      <c r="J4598" t="n">
        <v>3</v>
      </c>
      <c r="K4598" t="inlineStr">
        <is>
          <t>2², 4², 6⁴, 12⁴</t>
        </is>
      </c>
      <c r="L4598" t="inlineStr">
        <is>
          <t>24C¹, 56C⁵, 84B⁶</t>
        </is>
      </c>
      <c r="M4598" t="inlineStr"/>
      <c r="N4598" t="inlineStr">
        <is>
          <t>56C⁵, 12C⁰, 14B¹, 8D⁰, 4C⁰, 21A⁰, 2B⁰, 1A⁰, 28C², 24C¹, 3A⁰, 42C³, 84B⁶, 6D⁰, 7A⁰</t>
        </is>
      </c>
      <c r="O4598" t="inlineStr"/>
    </row>
    <row r="4599">
      <c r="A4599">
        <f>HYPERLINK("https://mathstats.uncg.edu/sites/pauli/congruence/csg16.html#group168E16", "168E¹⁶")</f>
        <v/>
      </c>
      <c r="B4599" t="n">
        <v>16</v>
      </c>
      <c r="C4599" t="inlineStr"/>
      <c r="D4599" t="inlineStr">
        <is>
          <t>252</t>
        </is>
      </c>
      <c r="E4599" t="inlineStr">
        <is>
          <t>2</t>
        </is>
      </c>
      <c r="F4599" t="inlineStr">
        <is>
          <t>63</t>
        </is>
      </c>
      <c r="G4599" t="inlineStr">
        <is>
          <t>20</t>
        </is>
      </c>
      <c r="H4599" t="inlineStr">
        <is>
          <t>0</t>
        </is>
      </c>
      <c r="I4599" t="inlineStr">
        <is>
          <t>84¹, 168¹</t>
        </is>
      </c>
      <c r="J4599" t="n">
        <v>2</v>
      </c>
      <c r="K4599" t="inlineStr">
        <is>
          <t>2³, 4³, 6⁶, 12⁶</t>
        </is>
      </c>
      <c r="L4599" t="inlineStr">
        <is>
          <t>84B⁶</t>
        </is>
      </c>
      <c r="M4599" t="inlineStr"/>
      <c r="N4599" t="inlineStr">
        <is>
          <t>28C², 12C⁰, 14B¹, 4C⁰, 21A⁰, 2B⁰, 3A⁰, 1A⁰, 42C³, 84B⁶, 6D⁰, 7A⁰</t>
        </is>
      </c>
      <c r="O4599" t="inlineStr"/>
    </row>
    <row r="4600">
      <c r="A4600">
        <f>HYPERLINK("https://mathstats.uncg.edu/sites/pauli/congruence/csg16.html#group168F16", "168F¹⁶")</f>
        <v/>
      </c>
      <c r="B4600" t="n">
        <v>16</v>
      </c>
      <c r="C4600" t="inlineStr"/>
      <c r="D4600" t="inlineStr">
        <is>
          <t>252</t>
        </is>
      </c>
      <c r="E4600" t="inlineStr">
        <is>
          <t>2</t>
        </is>
      </c>
      <c r="F4600" t="inlineStr">
        <is>
          <t>126</t>
        </is>
      </c>
      <c r="G4600" t="inlineStr">
        <is>
          <t>18</t>
        </is>
      </c>
      <c r="H4600" t="inlineStr">
        <is>
          <t>0</t>
        </is>
      </c>
      <c r="I4600" t="inlineStr">
        <is>
          <t>42², 168¹</t>
        </is>
      </c>
      <c r="J4600" t="n">
        <v>3</v>
      </c>
      <c r="K4600" t="inlineStr">
        <is>
          <t>2², 4⁴, 6⁴, 8², 12⁸, 24⁴</t>
        </is>
      </c>
      <c r="L4600" t="inlineStr">
        <is>
          <t>84B⁶</t>
        </is>
      </c>
      <c r="M4600" t="inlineStr"/>
      <c r="N4600" t="inlineStr">
        <is>
          <t>28C², 12C⁰, 14B¹, 4C⁰, 21A⁰, 2B⁰, 3A⁰, 1A⁰, 42C³, 84B⁶, 6D⁰, 7A⁰</t>
        </is>
      </c>
      <c r="O4600" t="inlineStr"/>
    </row>
    <row r="4601">
      <c r="A4601">
        <f>HYPERLINK("https://mathstats.uncg.edu/sites/pauli/congruence/csg16.html#group168G16", "168G¹⁶")</f>
        <v/>
      </c>
      <c r="B4601" t="n">
        <v>16</v>
      </c>
      <c r="C4601" t="inlineStr"/>
      <c r="D4601" t="inlineStr">
        <is>
          <t>252</t>
        </is>
      </c>
      <c r="E4601" t="inlineStr">
        <is>
          <t>2</t>
        </is>
      </c>
      <c r="F4601" t="inlineStr">
        <is>
          <t>126</t>
        </is>
      </c>
      <c r="G4601" t="inlineStr">
        <is>
          <t>18</t>
        </is>
      </c>
      <c r="H4601" t="inlineStr">
        <is>
          <t>0</t>
        </is>
      </c>
      <c r="I4601" t="inlineStr">
        <is>
          <t>42², 168¹</t>
        </is>
      </c>
      <c r="J4601" t="n">
        <v>3</v>
      </c>
      <c r="K4601" t="inlineStr">
        <is>
          <t>2², 4⁴, 6⁴, 8², 12⁸, 24⁴</t>
        </is>
      </c>
      <c r="L4601" t="inlineStr">
        <is>
          <t>24E¹, 84B⁶</t>
        </is>
      </c>
      <c r="M4601" t="inlineStr"/>
      <c r="N4601" t="inlineStr">
        <is>
          <t>24E¹, 12C⁰, 14B¹, 4C⁰, 21A⁰, 2B⁰, 1A⁰, 28C², 3A⁰, 42C³, 84B⁶, 6D⁰, 7A⁰</t>
        </is>
      </c>
      <c r="O4601" t="inlineStr"/>
    </row>
    <row r="4602">
      <c r="A4602">
        <f>HYPERLINK("https://mathstats.uncg.edu/sites/pauli/congruence/csg16.html#group169A16", "169A¹⁶")</f>
        <v/>
      </c>
      <c r="B4602" t="n">
        <v>16</v>
      </c>
      <c r="C4602" t="inlineStr"/>
      <c r="D4602" t="inlineStr">
        <is>
          <t>364</t>
        </is>
      </c>
      <c r="E4602" t="inlineStr">
        <is>
          <t>1</t>
        </is>
      </c>
      <c r="F4602" t="inlineStr">
        <is>
          <t>182</t>
        </is>
      </c>
      <c r="G4602" t="inlineStr">
        <is>
          <t>0</t>
        </is>
      </c>
      <c r="H4602" t="inlineStr">
        <is>
          <t>4</t>
        </is>
      </c>
      <c r="I4602" t="inlineStr">
        <is>
          <t>1²⁶, 169²</t>
        </is>
      </c>
      <c r="J4602" t="n">
        <v>28</v>
      </c>
      <c r="K4602" t="inlineStr">
        <is>
          <t>1², 12², 156¹</t>
        </is>
      </c>
      <c r="L4602" t="inlineStr">
        <is>
          <t>13B⁰, 169A⁸</t>
        </is>
      </c>
      <c r="M4602" t="inlineStr"/>
      <c r="N4602" t="inlineStr">
        <is>
          <t>13A⁰, 13B⁰, 1A⁰, 169A⁸</t>
        </is>
      </c>
      <c r="O4602" t="inlineStr"/>
    </row>
    <row r="4603">
      <c r="A4603">
        <f>HYPERLINK("https://mathstats.uncg.edu/sites/pauli/congruence/csg16.html#group175A16", "175A¹⁶")</f>
        <v/>
      </c>
      <c r="B4603" t="n">
        <v>16</v>
      </c>
      <c r="C4603" t="inlineStr"/>
      <c r="D4603" t="inlineStr">
        <is>
          <t>210</t>
        </is>
      </c>
      <c r="E4603" t="inlineStr">
        <is>
          <t>2</t>
        </is>
      </c>
      <c r="F4603" t="inlineStr">
        <is>
          <t>210</t>
        </is>
      </c>
      <c r="G4603" t="inlineStr">
        <is>
          <t>6</t>
        </is>
      </c>
      <c r="H4603" t="inlineStr">
        <is>
          <t>0</t>
        </is>
      </c>
      <c r="I4603" t="inlineStr">
        <is>
          <t>35¹, 175¹</t>
        </is>
      </c>
      <c r="J4603" t="n">
        <v>2</v>
      </c>
      <c r="K4603" t="inlineStr">
        <is>
          <t>4², 8⁴, 12⁴, 24⁸, 40², 120⁴</t>
        </is>
      </c>
      <c r="L4603" t="inlineStr">
        <is>
          <t>25A², 35C²</t>
        </is>
      </c>
      <c r="M4603" t="inlineStr"/>
      <c r="N4603" t="inlineStr">
        <is>
          <t>35C², 5B⁰, 25A², 1A⁰, 7A⁰</t>
        </is>
      </c>
      <c r="O4603" t="inlineStr"/>
    </row>
    <row r="4604">
      <c r="A4604">
        <f>HYPERLINK("https://mathstats.uncg.edu/sites/pauli/congruence/csg16.html#group175B16", "175B¹⁶")</f>
        <v/>
      </c>
      <c r="B4604" t="n">
        <v>16</v>
      </c>
      <c r="C4604" t="inlineStr"/>
      <c r="D4604" t="inlineStr">
        <is>
          <t>210</t>
        </is>
      </c>
      <c r="E4604" t="inlineStr">
        <is>
          <t>2</t>
        </is>
      </c>
      <c r="F4604" t="inlineStr">
        <is>
          <t>210</t>
        </is>
      </c>
      <c r="G4604" t="inlineStr">
        <is>
          <t>6</t>
        </is>
      </c>
      <c r="H4604" t="inlineStr">
        <is>
          <t>0</t>
        </is>
      </c>
      <c r="I4604" t="inlineStr">
        <is>
          <t>35¹, 175¹</t>
        </is>
      </c>
      <c r="J4604" t="n">
        <v>2</v>
      </c>
      <c r="K4604" t="inlineStr">
        <is>
          <t>4², 8⁴, 12⁴, 24⁸, 40², 120⁴</t>
        </is>
      </c>
      <c r="L4604" t="inlineStr">
        <is>
          <t>25B², 35C²</t>
        </is>
      </c>
      <c r="M4604" t="inlineStr"/>
      <c r="N4604" t="inlineStr">
        <is>
          <t>35C², 5B⁰, 7A⁰, 1A⁰, 25B²</t>
        </is>
      </c>
      <c r="O4604" t="inlineStr"/>
    </row>
    <row r="4605">
      <c r="A4605">
        <f>HYPERLINK("https://mathstats.uncg.edu/sites/pauli/congruence/csg16.html#group175C16", "175C¹⁶")</f>
        <v/>
      </c>
      <c r="B4605" t="n">
        <v>16</v>
      </c>
      <c r="C4605" t="inlineStr"/>
      <c r="D4605" t="inlineStr">
        <is>
          <t>210</t>
        </is>
      </c>
      <c r="E4605" t="inlineStr">
        <is>
          <t>2</t>
        </is>
      </c>
      <c r="F4605" t="inlineStr">
        <is>
          <t>210</t>
        </is>
      </c>
      <c r="G4605" t="inlineStr">
        <is>
          <t>6</t>
        </is>
      </c>
      <c r="H4605" t="inlineStr">
        <is>
          <t>0</t>
        </is>
      </c>
      <c r="I4605" t="inlineStr">
        <is>
          <t>35¹, 175¹</t>
        </is>
      </c>
      <c r="J4605" t="n">
        <v>2</v>
      </c>
      <c r="K4605" t="inlineStr">
        <is>
          <t>4², 8⁴, 12⁴, 24⁸, 40², 120⁴</t>
        </is>
      </c>
      <c r="L4605" t="inlineStr">
        <is>
          <t>25C², 35C²</t>
        </is>
      </c>
      <c r="M4605" t="inlineStr"/>
      <c r="N4605" t="inlineStr">
        <is>
          <t>35C², 5B⁰, 1A⁰, 25C², 7A⁰</t>
        </is>
      </c>
      <c r="O4605" t="inlineStr"/>
    </row>
    <row r="4606">
      <c r="A4606">
        <f>HYPERLINK("https://mathstats.uncg.edu/sites/pauli/congruence/csg16.html#group175D16", "175D¹⁶")</f>
        <v/>
      </c>
      <c r="B4606" t="n">
        <v>16</v>
      </c>
      <c r="C4606" t="inlineStr"/>
      <c r="D4606" t="inlineStr">
        <is>
          <t>210</t>
        </is>
      </c>
      <c r="E4606" t="inlineStr">
        <is>
          <t>2</t>
        </is>
      </c>
      <c r="F4606" t="inlineStr">
        <is>
          <t>210</t>
        </is>
      </c>
      <c r="G4606" t="inlineStr">
        <is>
          <t>6</t>
        </is>
      </c>
      <c r="H4606" t="inlineStr">
        <is>
          <t>0</t>
        </is>
      </c>
      <c r="I4606" t="inlineStr">
        <is>
          <t>35¹, 175¹</t>
        </is>
      </c>
      <c r="J4606" t="n">
        <v>2</v>
      </c>
      <c r="K4606" t="inlineStr">
        <is>
          <t>4², 8⁴, 12⁴, 24⁸, 40², 120⁴</t>
        </is>
      </c>
      <c r="L4606" t="inlineStr">
        <is>
          <t>25D², 35C²</t>
        </is>
      </c>
      <c r="M4606" t="inlineStr"/>
      <c r="N4606" t="inlineStr">
        <is>
          <t>35C², 5B⁰, 7A⁰, 1A⁰, 25D²</t>
        </is>
      </c>
      <c r="O4606" t="inlineStr"/>
    </row>
    <row r="4607">
      <c r="A4607">
        <f>HYPERLINK("https://mathstats.uncg.edu/sites/pauli/congruence/csg16.html#group176A16", "176A¹⁶")</f>
        <v/>
      </c>
      <c r="B4607" t="n">
        <v>16</v>
      </c>
      <c r="C4607" t="inlineStr"/>
      <c r="D4607" t="inlineStr">
        <is>
          <t>192</t>
        </is>
      </c>
      <c r="E4607" t="inlineStr">
        <is>
          <t>2</t>
        </is>
      </c>
      <c r="F4607" t="inlineStr">
        <is>
          <t>96</t>
        </is>
      </c>
      <c r="G4607" t="inlineStr">
        <is>
          <t>0</t>
        </is>
      </c>
      <c r="H4607" t="inlineStr">
        <is>
          <t>0</t>
        </is>
      </c>
      <c r="I4607" t="inlineStr">
        <is>
          <t>16¹, 176¹</t>
        </is>
      </c>
      <c r="J4607" t="n">
        <v>2</v>
      </c>
      <c r="K4607" t="inlineStr">
        <is>
          <t>8⁴, 80²</t>
        </is>
      </c>
      <c r="L4607" t="inlineStr">
        <is>
          <t>16A⁰, 88A⁸</t>
        </is>
      </c>
      <c r="M4607" t="inlineStr"/>
      <c r="N4607" t="inlineStr">
        <is>
          <t>16A⁰, 4A⁰, 11A¹, 44B⁴, 8A⁰, 88A⁸, 1A⁰</t>
        </is>
      </c>
      <c r="O4607" t="inlineStr"/>
    </row>
    <row r="4608">
      <c r="A4608">
        <f>HYPERLINK("https://mathstats.uncg.edu/sites/pauli/congruence/csg16.html#group176B16", "176B¹⁶")</f>
        <v/>
      </c>
      <c r="B4608" t="n">
        <v>16</v>
      </c>
      <c r="C4608" t="inlineStr"/>
      <c r="D4608" t="inlineStr">
        <is>
          <t>264</t>
        </is>
      </c>
      <c r="E4608" t="inlineStr">
        <is>
          <t>2</t>
        </is>
      </c>
      <c r="F4608" t="inlineStr">
        <is>
          <t>33</t>
        </is>
      </c>
      <c r="G4608" t="inlineStr">
        <is>
          <t>24</t>
        </is>
      </c>
      <c r="H4608" t="inlineStr">
        <is>
          <t>0</t>
        </is>
      </c>
      <c r="I4608" t="inlineStr">
        <is>
          <t>88¹, 176¹</t>
        </is>
      </c>
      <c r="J4608" t="n">
        <v>2</v>
      </c>
      <c r="K4608" t="inlineStr">
        <is>
          <t>2³, 10⁶</t>
        </is>
      </c>
      <c r="L4608" t="inlineStr">
        <is>
          <t>16B⁰, 88B⁸</t>
        </is>
      </c>
      <c r="M4608" t="inlineStr"/>
      <c r="N4608" t="inlineStr">
        <is>
          <t>16B⁰, 11A⁰, 44C⁴, 4C⁰, 8B⁰, 2B⁰, 22B², 1A⁰, 88B⁸</t>
        </is>
      </c>
      <c r="O4608" t="inlineStr"/>
    </row>
    <row r="4609">
      <c r="A4609">
        <f>HYPERLINK("https://mathstats.uncg.edu/sites/pauli/congruence/csg16.html#group180A16", "180A¹⁶")</f>
        <v/>
      </c>
      <c r="B4609" t="n">
        <v>16</v>
      </c>
      <c r="C4609" t="inlineStr"/>
      <c r="D4609" t="inlineStr">
        <is>
          <t>240</t>
        </is>
      </c>
      <c r="E4609" t="inlineStr">
        <is>
          <t>1</t>
        </is>
      </c>
      <c r="F4609" t="inlineStr">
        <is>
          <t>40</t>
        </is>
      </c>
      <c r="G4609" t="inlineStr">
        <is>
          <t>0</t>
        </is>
      </c>
      <c r="H4609" t="inlineStr">
        <is>
          <t>12</t>
        </is>
      </c>
      <c r="I4609" t="inlineStr">
        <is>
          <t>60¹, 180¹</t>
        </is>
      </c>
      <c r="J4609" t="n">
        <v>2</v>
      </c>
      <c r="K4609" t="inlineStr">
        <is>
          <t>2⁴, 8⁴</t>
        </is>
      </c>
      <c r="L4609" t="inlineStr">
        <is>
          <t>36A², 60B⁴, 90C⁸</t>
        </is>
      </c>
      <c r="M4609" t="inlineStr"/>
      <c r="N4609" t="inlineStr">
        <is>
          <t>3B⁰, 2A⁰, 5A⁰, 10A⁰, 30D², 60B⁴, 6C⁰, 15B¹, 36A², 90C⁸, 1A⁰, 12B⁰, 18D¹</t>
        </is>
      </c>
      <c r="O4609" t="inlineStr"/>
    </row>
    <row r="4610">
      <c r="A4610">
        <f>HYPERLINK("https://mathstats.uncg.edu/sites/pauli/congruence/csg16.html#group180B16", "180B¹⁶")</f>
        <v/>
      </c>
      <c r="B4610" t="n">
        <v>16</v>
      </c>
      <c r="C4610" t="inlineStr"/>
      <c r="D4610" t="inlineStr">
        <is>
          <t>240</t>
        </is>
      </c>
      <c r="E4610" t="inlineStr">
        <is>
          <t>2</t>
        </is>
      </c>
      <c r="F4610" t="inlineStr">
        <is>
          <t>20</t>
        </is>
      </c>
      <c r="G4610" t="inlineStr">
        <is>
          <t>0</t>
        </is>
      </c>
      <c r="H4610" t="inlineStr">
        <is>
          <t>12</t>
        </is>
      </c>
      <c r="I4610" t="inlineStr">
        <is>
          <t>60¹, 180¹</t>
        </is>
      </c>
      <c r="J4610" t="n">
        <v>2</v>
      </c>
      <c r="K4610" t="inlineStr">
        <is>
          <t>2², 4¹, 8⁴</t>
        </is>
      </c>
      <c r="L4610" t="inlineStr">
        <is>
          <t>60B⁴, 90D⁸</t>
        </is>
      </c>
      <c r="M4610" t="inlineStr"/>
      <c r="N4610" t="inlineStr">
        <is>
          <t>3B⁰, 2A⁰, 5A⁰, 10A⁰, 30D², 60B⁴, 45B⁴, 6C⁰, 15B¹, 90D⁸, 1A⁰, 12B⁰</t>
        </is>
      </c>
      <c r="O4610" t="inlineStr"/>
    </row>
    <row r="4611">
      <c r="A4611">
        <f>HYPERLINK("https://mathstats.uncg.edu/sites/pauli/congruence/csg16.html#group180C16", "180C¹⁶")</f>
        <v/>
      </c>
      <c r="B4611" t="n">
        <v>16</v>
      </c>
      <c r="C4611" t="inlineStr"/>
      <c r="D4611" t="inlineStr">
        <is>
          <t>240</t>
        </is>
      </c>
      <c r="E4611" t="inlineStr">
        <is>
          <t>2</t>
        </is>
      </c>
      <c r="F4611" t="inlineStr">
        <is>
          <t>40</t>
        </is>
      </c>
      <c r="G4611" t="inlineStr">
        <is>
          <t>0</t>
        </is>
      </c>
      <c r="H4611" t="inlineStr">
        <is>
          <t>12</t>
        </is>
      </c>
      <c r="I4611" t="inlineStr">
        <is>
          <t>60¹, 180¹</t>
        </is>
      </c>
      <c r="J4611" t="n">
        <v>2</v>
      </c>
      <c r="K4611" t="inlineStr">
        <is>
          <t>4⁴, 8⁸</t>
        </is>
      </c>
      <c r="L4611" t="inlineStr">
        <is>
          <t>60B⁴, 90F⁸</t>
        </is>
      </c>
      <c r="M4611" t="inlineStr"/>
      <c r="N4611" t="inlineStr">
        <is>
          <t>90F⁸, 3B⁰, 2A⁰, 5A⁰, 10A⁰, 30D², 60B⁴, 6C⁰, 15B¹, 1A⁰, 12B⁰</t>
        </is>
      </c>
      <c r="O4611" t="inlineStr"/>
    </row>
    <row r="4612">
      <c r="A4612">
        <f>HYPERLINK("https://mathstats.uncg.edu/sites/pauli/congruence/csg16.html#group184A16", "184A¹⁶")</f>
        <v/>
      </c>
      <c r="B4612" t="n">
        <v>16</v>
      </c>
      <c r="C4612" t="inlineStr"/>
      <c r="D4612" t="inlineStr">
        <is>
          <t>192</t>
        </is>
      </c>
      <c r="E4612" t="inlineStr">
        <is>
          <t>2</t>
        </is>
      </c>
      <c r="F4612" t="inlineStr">
        <is>
          <t>96</t>
        </is>
      </c>
      <c r="G4612" t="inlineStr">
        <is>
          <t>0</t>
        </is>
      </c>
      <c r="H4612" t="inlineStr">
        <is>
          <t>0</t>
        </is>
      </c>
      <c r="I4612" t="inlineStr">
        <is>
          <t>8¹, 184¹</t>
        </is>
      </c>
      <c r="J4612" t="n">
        <v>2</v>
      </c>
      <c r="K4612" t="inlineStr">
        <is>
          <t>4⁴, 88²</t>
        </is>
      </c>
      <c r="L4612" t="inlineStr">
        <is>
          <t>8A⁰, 92B⁸</t>
        </is>
      </c>
      <c r="M4612" t="inlineStr"/>
      <c r="N4612" t="inlineStr">
        <is>
          <t>8A⁰, 92B⁸, 23A², 1A⁰, 4A⁰</t>
        </is>
      </c>
      <c r="O4612" t="inlineStr"/>
    </row>
    <row r="4613">
      <c r="A4613">
        <f>HYPERLINK("https://mathstats.uncg.edu/sites/pauli/congruence/csg16.html#group186A16", "186A¹⁶")</f>
        <v/>
      </c>
      <c r="B4613" t="n">
        <v>16</v>
      </c>
      <c r="C4613" t="inlineStr"/>
      <c r="D4613" t="inlineStr">
        <is>
          <t>192</t>
        </is>
      </c>
      <c r="E4613" t="inlineStr">
        <is>
          <t>1</t>
        </is>
      </c>
      <c r="F4613" t="inlineStr">
        <is>
          <t>32</t>
        </is>
      </c>
      <c r="G4613" t="inlineStr">
        <is>
          <t>0</t>
        </is>
      </c>
      <c r="H4613" t="inlineStr">
        <is>
          <t>0</t>
        </is>
      </c>
      <c r="I4613" t="inlineStr">
        <is>
          <t>6¹, 186¹</t>
        </is>
      </c>
      <c r="J4613" t="n">
        <v>2</v>
      </c>
      <c r="K4613" t="inlineStr">
        <is>
          <t>1², 30¹</t>
        </is>
      </c>
      <c r="L4613" t="inlineStr">
        <is>
          <t>6A¹, 62A⁴, 93A⁸</t>
        </is>
      </c>
      <c r="M4613" t="inlineStr"/>
      <c r="N4613" t="inlineStr">
        <is>
          <t>2A⁰, 31A², 6A¹, 93A⁸, 3A⁰, 1A⁰, 62A⁴</t>
        </is>
      </c>
      <c r="O4613" t="inlineStr"/>
    </row>
    <row r="4614">
      <c r="A4614">
        <f>HYPERLINK("https://mathstats.uncg.edu/sites/pauli/congruence/csg16.html#group186B16", "186B¹⁶")</f>
        <v/>
      </c>
      <c r="B4614" t="n">
        <v>16</v>
      </c>
      <c r="C4614" t="inlineStr"/>
      <c r="D4614" t="inlineStr">
        <is>
          <t>192</t>
        </is>
      </c>
      <c r="E4614" t="inlineStr">
        <is>
          <t>1</t>
        </is>
      </c>
      <c r="F4614" t="inlineStr">
        <is>
          <t>96</t>
        </is>
      </c>
      <c r="G4614" t="inlineStr">
        <is>
          <t>0</t>
        </is>
      </c>
      <c r="H4614" t="inlineStr">
        <is>
          <t>0</t>
        </is>
      </c>
      <c r="I4614" t="inlineStr">
        <is>
          <t>6¹, 186¹</t>
        </is>
      </c>
      <c r="J4614" t="n">
        <v>2</v>
      </c>
      <c r="K4614" t="inlineStr">
        <is>
          <t>1², 2², 30¹, 60¹</t>
        </is>
      </c>
      <c r="L4614" t="inlineStr">
        <is>
          <t>6B⁰, 93A⁸</t>
        </is>
      </c>
      <c r="M4614" t="inlineStr"/>
      <c r="N4614" t="inlineStr">
        <is>
          <t>31A², 6B⁰, 93A⁸, 3A⁰, 1A⁰</t>
        </is>
      </c>
      <c r="O4614" t="inlineStr"/>
    </row>
    <row r="4615">
      <c r="A4615">
        <f>HYPERLINK("https://mathstats.uncg.edu/sites/pauli/congruence/csg16.html#group188A16", "188A¹⁶")</f>
        <v/>
      </c>
      <c r="B4615" t="n">
        <v>16</v>
      </c>
      <c r="C4615" t="inlineStr"/>
      <c r="D4615" t="inlineStr">
        <is>
          <t>192</t>
        </is>
      </c>
      <c r="E4615" t="inlineStr">
        <is>
          <t>1</t>
        </is>
      </c>
      <c r="F4615" t="inlineStr">
        <is>
          <t>48</t>
        </is>
      </c>
      <c r="G4615" t="inlineStr">
        <is>
          <t>0</t>
        </is>
      </c>
      <c r="H4615" t="inlineStr">
        <is>
          <t>0</t>
        </is>
      </c>
      <c r="I4615" t="inlineStr">
        <is>
          <t>4¹, 188¹</t>
        </is>
      </c>
      <c r="J4615" t="n">
        <v>2</v>
      </c>
      <c r="K4615" t="inlineStr">
        <is>
          <t>1², 46¹</t>
        </is>
      </c>
      <c r="L4615" t="inlineStr">
        <is>
          <t>94A⁸</t>
        </is>
      </c>
      <c r="M4615" t="inlineStr"/>
      <c r="N4615" t="inlineStr">
        <is>
          <t>47A⁴, 2A⁰, 1A⁰, 94A⁸</t>
        </is>
      </c>
      <c r="O4615" t="inlineStr"/>
    </row>
    <row r="4616">
      <c r="A4616">
        <f>HYPERLINK("https://mathstats.uncg.edu/sites/pauli/congruence/csg16.html#group188B16", "188B¹⁶")</f>
        <v/>
      </c>
      <c r="B4616" t="n">
        <v>16</v>
      </c>
      <c r="C4616" t="inlineStr"/>
      <c r="D4616" t="inlineStr">
        <is>
          <t>192</t>
        </is>
      </c>
      <c r="E4616" t="inlineStr">
        <is>
          <t>1</t>
        </is>
      </c>
      <c r="F4616" t="inlineStr">
        <is>
          <t>192</t>
        </is>
      </c>
      <c r="G4616" t="inlineStr">
        <is>
          <t>0</t>
        </is>
      </c>
      <c r="H4616" t="inlineStr">
        <is>
          <t>0</t>
        </is>
      </c>
      <c r="I4616" t="inlineStr">
        <is>
          <t>4¹, 188¹</t>
        </is>
      </c>
      <c r="J4616" t="n">
        <v>2</v>
      </c>
      <c r="K4616" t="inlineStr">
        <is>
          <t>2⁴, 92²</t>
        </is>
      </c>
      <c r="L4616" t="inlineStr">
        <is>
          <t>4A⁰, 47A⁴</t>
        </is>
      </c>
      <c r="M4616" t="inlineStr"/>
      <c r="N4616" t="inlineStr">
        <is>
          <t>47A⁴, 1A⁰, 4A⁰</t>
        </is>
      </c>
      <c r="O4616" t="inlineStr"/>
    </row>
    <row r="4617">
      <c r="A4617">
        <f>HYPERLINK("https://mathstats.uncg.edu/sites/pauli/congruence/csg16.html#group191A16", "191A¹⁶")</f>
        <v/>
      </c>
      <c r="B4617" t="n">
        <v>16</v>
      </c>
      <c r="C4617" t="inlineStr">
        <is>
          <t>Γ₀(191)</t>
        </is>
      </c>
      <c r="D4617" t="inlineStr">
        <is>
          <t>192</t>
        </is>
      </c>
      <c r="E4617" t="inlineStr">
        <is>
          <t>1</t>
        </is>
      </c>
      <c r="F4617" t="inlineStr">
        <is>
          <t>192</t>
        </is>
      </c>
      <c r="G4617" t="inlineStr">
        <is>
          <t>0</t>
        </is>
      </c>
      <c r="H4617" t="inlineStr">
        <is>
          <t>0</t>
        </is>
      </c>
      <c r="I4617" t="inlineStr">
        <is>
          <t>1¹, 191¹</t>
        </is>
      </c>
      <c r="J4617" t="n">
        <v>2</v>
      </c>
      <c r="K4617" t="inlineStr">
        <is>
          <t>1², 190¹</t>
        </is>
      </c>
      <c r="L4617" t="inlineStr">
        <is>
          <t>1A⁰</t>
        </is>
      </c>
      <c r="M4617" t="inlineStr"/>
      <c r="N4617" t="inlineStr">
        <is>
          <t>1A⁰</t>
        </is>
      </c>
      <c r="O4617" t="inlineStr"/>
    </row>
    <row r="4618">
      <c r="A4618">
        <f>HYPERLINK("https://mathstats.uncg.edu/sites/pauli/congruence/csg16.html#group195A16", "195A¹⁶")</f>
        <v/>
      </c>
      <c r="B4618" t="n">
        <v>16</v>
      </c>
      <c r="C4618" t="inlineStr"/>
      <c r="D4618" t="inlineStr">
        <is>
          <t>210</t>
        </is>
      </c>
      <c r="E4618" t="inlineStr">
        <is>
          <t>1</t>
        </is>
      </c>
      <c r="F4618" t="inlineStr">
        <is>
          <t>70</t>
        </is>
      </c>
      <c r="G4618" t="inlineStr">
        <is>
          <t>6</t>
        </is>
      </c>
      <c r="H4618" t="inlineStr">
        <is>
          <t>0</t>
        </is>
      </c>
      <c r="I4618" t="inlineStr">
        <is>
          <t>15¹, 195¹</t>
        </is>
      </c>
      <c r="J4618" t="n">
        <v>2</v>
      </c>
      <c r="K4618" t="inlineStr">
        <is>
          <t>1², 4², 12¹, 48¹</t>
        </is>
      </c>
      <c r="L4618" t="inlineStr">
        <is>
          <t>15A¹, 39A², 65A⁴</t>
        </is>
      </c>
      <c r="M4618" t="inlineStr"/>
      <c r="N4618" t="inlineStr">
        <is>
          <t>39A², 5A⁰, 13A⁰, 3A⁰, 1A⁰, 65A⁴, 15A¹</t>
        </is>
      </c>
      <c r="O4618" t="inlineStr"/>
    </row>
    <row r="4619">
      <c r="A4619">
        <f>HYPERLINK("https://mathstats.uncg.edu/sites/pauli/congruence/csg16.html#group197A16", "197A¹⁶")</f>
        <v/>
      </c>
      <c r="B4619" t="n">
        <v>16</v>
      </c>
      <c r="C4619" t="inlineStr">
        <is>
          <t>Γ₀(197)</t>
        </is>
      </c>
      <c r="D4619" t="inlineStr">
        <is>
          <t>198</t>
        </is>
      </c>
      <c r="E4619" t="inlineStr">
        <is>
          <t>1</t>
        </is>
      </c>
      <c r="F4619" t="inlineStr">
        <is>
          <t>198</t>
        </is>
      </c>
      <c r="G4619" t="inlineStr">
        <is>
          <t>2</t>
        </is>
      </c>
      <c r="H4619" t="inlineStr">
        <is>
          <t>0</t>
        </is>
      </c>
      <c r="I4619" t="inlineStr">
        <is>
          <t>1¹, 197¹</t>
        </is>
      </c>
      <c r="J4619" t="n">
        <v>2</v>
      </c>
      <c r="K4619" t="inlineStr">
        <is>
          <t>1², 196¹</t>
        </is>
      </c>
      <c r="L4619" t="inlineStr">
        <is>
          <t>1A⁰</t>
        </is>
      </c>
      <c r="M4619" t="inlineStr"/>
      <c r="N4619" t="inlineStr">
        <is>
          <t>1A⁰</t>
        </is>
      </c>
      <c r="O4619" t="inlineStr"/>
    </row>
    <row r="4620">
      <c r="A4620">
        <f>HYPERLINK("https://mathstats.uncg.edu/sites/pauli/congruence/csg16.html#group199A16", "199A¹⁶")</f>
        <v/>
      </c>
      <c r="B4620" t="n">
        <v>16</v>
      </c>
      <c r="C4620" t="inlineStr">
        <is>
          <t>Γ₀(199)</t>
        </is>
      </c>
      <c r="D4620" t="inlineStr">
        <is>
          <t>200</t>
        </is>
      </c>
      <c r="E4620" t="inlineStr">
        <is>
          <t>1</t>
        </is>
      </c>
      <c r="F4620" t="inlineStr">
        <is>
          <t>200</t>
        </is>
      </c>
      <c r="G4620" t="inlineStr">
        <is>
          <t>0</t>
        </is>
      </c>
      <c r="H4620" t="inlineStr">
        <is>
          <t>2</t>
        </is>
      </c>
      <c r="I4620" t="inlineStr">
        <is>
          <t>1¹, 199¹</t>
        </is>
      </c>
      <c r="J4620" t="n">
        <v>2</v>
      </c>
      <c r="K4620" t="inlineStr">
        <is>
          <t>1², 198¹</t>
        </is>
      </c>
      <c r="L4620" t="inlineStr">
        <is>
          <t>1A⁰</t>
        </is>
      </c>
      <c r="M4620" t="inlineStr"/>
      <c r="N4620" t="inlineStr">
        <is>
          <t>1A⁰</t>
        </is>
      </c>
      <c r="O4620" t="inlineStr"/>
    </row>
    <row r="4621">
      <c r="A4621">
        <f>HYPERLINK("https://mathstats.uncg.edu/sites/pauli/congruence/csg16.html#group201A16", "201A¹⁶")</f>
        <v/>
      </c>
      <c r="B4621" t="n">
        <v>16</v>
      </c>
      <c r="C4621" t="inlineStr"/>
      <c r="D4621" t="inlineStr">
        <is>
          <t>204</t>
        </is>
      </c>
      <c r="E4621" t="inlineStr">
        <is>
          <t>2</t>
        </is>
      </c>
      <c r="F4621" t="inlineStr">
        <is>
          <t>68</t>
        </is>
      </c>
      <c r="G4621" t="inlineStr">
        <is>
          <t>0</t>
        </is>
      </c>
      <c r="H4621" t="inlineStr">
        <is>
          <t>3</t>
        </is>
      </c>
      <c r="I4621" t="inlineStr">
        <is>
          <t>3¹, 201¹</t>
        </is>
      </c>
      <c r="J4621" t="n">
        <v>2</v>
      </c>
      <c r="K4621" t="inlineStr">
        <is>
          <t>2², 132¹</t>
        </is>
      </c>
      <c r="L4621" t="inlineStr">
        <is>
          <t>67A⁵</t>
        </is>
      </c>
      <c r="M4621" t="inlineStr"/>
      <c r="N4621" t="inlineStr">
        <is>
          <t>1A⁰, 67A⁵</t>
        </is>
      </c>
      <c r="O4621" t="inlineStr"/>
    </row>
    <row r="4622">
      <c r="A4622">
        <f>HYPERLINK("https://mathstats.uncg.edu/sites/pauli/congruence/csg16.html#group202A16", "202A¹⁶")</f>
        <v/>
      </c>
      <c r="B4622" t="n">
        <v>16</v>
      </c>
      <c r="C4622" t="inlineStr"/>
      <c r="D4622" t="inlineStr">
        <is>
          <t>204</t>
        </is>
      </c>
      <c r="E4622" t="inlineStr">
        <is>
          <t>1</t>
        </is>
      </c>
      <c r="F4622" t="inlineStr">
        <is>
          <t>102</t>
        </is>
      </c>
      <c r="G4622" t="inlineStr">
        <is>
          <t>4</t>
        </is>
      </c>
      <c r="H4622" t="inlineStr">
        <is>
          <t>0</t>
        </is>
      </c>
      <c r="I4622" t="inlineStr">
        <is>
          <t>2¹, 202¹</t>
        </is>
      </c>
      <c r="J4622" t="n">
        <v>2</v>
      </c>
      <c r="K4622" t="inlineStr">
        <is>
          <t>1², 100¹</t>
        </is>
      </c>
      <c r="L4622" t="inlineStr">
        <is>
          <t>101A⁸</t>
        </is>
      </c>
      <c r="M4622" t="inlineStr"/>
      <c r="N4622" t="inlineStr">
        <is>
          <t>101A⁸, 1A⁰</t>
        </is>
      </c>
      <c r="O4622" t="inlineStr"/>
    </row>
    <row r="4623">
      <c r="A4623">
        <f>HYPERLINK("https://mathstats.uncg.edu/sites/pauli/congruence/csg16.html#group203A16", "203A¹⁶")</f>
        <v/>
      </c>
      <c r="B4623" t="n">
        <v>16</v>
      </c>
      <c r="C4623" t="inlineStr"/>
      <c r="D4623" t="inlineStr">
        <is>
          <t>210</t>
        </is>
      </c>
      <c r="E4623" t="inlineStr">
        <is>
          <t>2</t>
        </is>
      </c>
      <c r="F4623" t="inlineStr">
        <is>
          <t>210</t>
        </is>
      </c>
      <c r="G4623" t="inlineStr">
        <is>
          <t>6</t>
        </is>
      </c>
      <c r="H4623" t="inlineStr">
        <is>
          <t>0</t>
        </is>
      </c>
      <c r="I4623" t="inlineStr">
        <is>
          <t>7¹, 203¹</t>
        </is>
      </c>
      <c r="J4623" t="n">
        <v>2</v>
      </c>
      <c r="K4623" t="inlineStr">
        <is>
          <t>2², 6⁴, 56¹, 168²</t>
        </is>
      </c>
      <c r="L4623" t="inlineStr">
        <is>
          <t>7A⁰, 29A²</t>
        </is>
      </c>
      <c r="M4623" t="inlineStr"/>
      <c r="N4623" t="inlineStr">
        <is>
          <t>1A⁰, 29A², 7A⁰</t>
        </is>
      </c>
      <c r="O4623" t="inlineStr"/>
    </row>
    <row r="4624">
      <c r="A4624">
        <f>HYPERLINK("https://mathstats.uncg.edu/sites/pauli/congruence/csg16.html#group206A16", "206A¹⁶")</f>
        <v/>
      </c>
      <c r="B4624" t="n">
        <v>16</v>
      </c>
      <c r="C4624" t="inlineStr"/>
      <c r="D4624" t="inlineStr">
        <is>
          <t>208</t>
        </is>
      </c>
      <c r="E4624" t="inlineStr">
        <is>
          <t>1</t>
        </is>
      </c>
      <c r="F4624" t="inlineStr">
        <is>
          <t>104</t>
        </is>
      </c>
      <c r="G4624" t="inlineStr">
        <is>
          <t>0</t>
        </is>
      </c>
      <c r="H4624" t="inlineStr">
        <is>
          <t>4</t>
        </is>
      </c>
      <c r="I4624" t="inlineStr">
        <is>
          <t>2¹, 206¹</t>
        </is>
      </c>
      <c r="J4624" t="n">
        <v>2</v>
      </c>
      <c r="K4624" t="inlineStr">
        <is>
          <t>1², 102¹</t>
        </is>
      </c>
      <c r="L4624" t="inlineStr">
        <is>
          <t>2A⁰, 103A⁸</t>
        </is>
      </c>
      <c r="M4624" t="inlineStr"/>
      <c r="N4624" t="inlineStr">
        <is>
          <t>2A⁰, 1A⁰, 103A⁸</t>
        </is>
      </c>
      <c r="O4624" t="inlineStr"/>
    </row>
    <row r="4625">
      <c r="A4625">
        <f>HYPERLINK("https://mathstats.uncg.edu/sites/pauli/congruence/csg16.html#group210A16", "210A¹⁶")</f>
        <v/>
      </c>
      <c r="B4625" t="n">
        <v>16</v>
      </c>
      <c r="C4625" t="inlineStr"/>
      <c r="D4625" t="inlineStr">
        <is>
          <t>210</t>
        </is>
      </c>
      <c r="E4625" t="inlineStr">
        <is>
          <t>2</t>
        </is>
      </c>
      <c r="F4625" t="inlineStr">
        <is>
          <t>35</t>
        </is>
      </c>
      <c r="G4625" t="inlineStr">
        <is>
          <t>0</t>
        </is>
      </c>
      <c r="H4625" t="inlineStr">
        <is>
          <t>6</t>
        </is>
      </c>
      <c r="I4625" t="inlineStr">
        <is>
          <t>210¹</t>
        </is>
      </c>
      <c r="J4625" t="n">
        <v>1</v>
      </c>
      <c r="K4625" t="inlineStr">
        <is>
          <t>4¹, 12², 16¹, 48²</t>
        </is>
      </c>
      <c r="L4625" t="inlineStr">
        <is>
          <t>30B¹, 70A⁵, 105A⁶</t>
        </is>
      </c>
      <c r="M4625" t="inlineStr"/>
      <c r="N4625" t="inlineStr">
        <is>
          <t>2A⁰, 105A⁶, 5A⁰, 10A⁰, 30B¹, 14A¹, 70A⁵, 1A⁰, 35A², 7A⁰, 15A⁰</t>
        </is>
      </c>
      <c r="O4625" t="inlineStr"/>
    </row>
    <row r="4626">
      <c r="A4626">
        <f>HYPERLINK("https://mathstats.uncg.edu/sites/pauli/congruence/csg16.html#group210B16", "210B¹⁶")</f>
        <v/>
      </c>
      <c r="B4626" t="n">
        <v>16</v>
      </c>
      <c r="C4626" t="inlineStr"/>
      <c r="D4626" t="inlineStr">
        <is>
          <t>210</t>
        </is>
      </c>
      <c r="E4626" t="inlineStr">
        <is>
          <t>2</t>
        </is>
      </c>
      <c r="F4626" t="inlineStr">
        <is>
          <t>35</t>
        </is>
      </c>
      <c r="G4626" t="inlineStr">
        <is>
          <t>0</t>
        </is>
      </c>
      <c r="H4626" t="inlineStr">
        <is>
          <t>6</t>
        </is>
      </c>
      <c r="I4626" t="inlineStr">
        <is>
          <t>210¹</t>
        </is>
      </c>
      <c r="J4626" t="n">
        <v>1</v>
      </c>
      <c r="K4626" t="inlineStr">
        <is>
          <t>4¹, 12², 16¹, 48²</t>
        </is>
      </c>
      <c r="L4626" t="inlineStr">
        <is>
          <t>30B¹, 70A⁵, 105B⁶</t>
        </is>
      </c>
      <c r="M4626" t="inlineStr"/>
      <c r="N4626" t="inlineStr">
        <is>
          <t>2A⁰, 5A⁰, 105B⁶, 10A⁰, 30B¹, 14A¹, 70A⁵, 1A⁰, 35A², 7A⁰, 15A⁰</t>
        </is>
      </c>
      <c r="O4626" t="inlineStr"/>
    </row>
    <row r="4627">
      <c r="A4627">
        <f>HYPERLINK("https://mathstats.uncg.edu/sites/pauli/congruence/csg16.html#group210C16", "210C¹⁶")</f>
        <v/>
      </c>
      <c r="B4627" t="n">
        <v>16</v>
      </c>
      <c r="C4627" t="inlineStr"/>
      <c r="D4627" t="inlineStr">
        <is>
          <t>210</t>
        </is>
      </c>
      <c r="E4627" t="inlineStr">
        <is>
          <t>2</t>
        </is>
      </c>
      <c r="F4627" t="inlineStr">
        <is>
          <t>70</t>
        </is>
      </c>
      <c r="G4627" t="inlineStr">
        <is>
          <t>0</t>
        </is>
      </c>
      <c r="H4627" t="inlineStr">
        <is>
          <t>6</t>
        </is>
      </c>
      <c r="I4627" t="inlineStr">
        <is>
          <t>210¹</t>
        </is>
      </c>
      <c r="J4627" t="n">
        <v>1</v>
      </c>
      <c r="K4627" t="inlineStr">
        <is>
          <t>4¹, 12², 16¹, 48²</t>
        </is>
      </c>
      <c r="L4627" t="inlineStr">
        <is>
          <t>30A¹, 42A³, 70A⁵</t>
        </is>
      </c>
      <c r="M4627" t="inlineStr"/>
      <c r="N4627" t="inlineStr">
        <is>
          <t>2A⁰, 30A¹, 5A⁰, 10A⁰, 6A⁰, 42A³, 14A¹, 70A⁵, 1A⁰, 35A², 7A⁰</t>
        </is>
      </c>
      <c r="O4627" t="inlineStr"/>
    </row>
    <row r="4628">
      <c r="A4628">
        <f>HYPERLINK("https://mathstats.uncg.edu/sites/pauli/congruence/csg16.html#group210D16", "210D¹⁶")</f>
        <v/>
      </c>
      <c r="B4628" t="n">
        <v>16</v>
      </c>
      <c r="C4628" t="inlineStr"/>
      <c r="D4628" t="inlineStr">
        <is>
          <t>210</t>
        </is>
      </c>
      <c r="E4628" t="inlineStr">
        <is>
          <t>2</t>
        </is>
      </c>
      <c r="F4628" t="inlineStr">
        <is>
          <t>105</t>
        </is>
      </c>
      <c r="G4628" t="inlineStr">
        <is>
          <t>8</t>
        </is>
      </c>
      <c r="H4628" t="inlineStr">
        <is>
          <t>0</t>
        </is>
      </c>
      <c r="I4628" t="inlineStr">
        <is>
          <t>210¹</t>
        </is>
      </c>
      <c r="J4628" t="n">
        <v>1</v>
      </c>
      <c r="K4628" t="inlineStr">
        <is>
          <t>2¹, 4¹, 6², 8¹, 12², 16¹, 24², 48²</t>
        </is>
      </c>
      <c r="L4628" t="inlineStr">
        <is>
          <t>42A², 105A⁷</t>
        </is>
      </c>
      <c r="M4628" t="inlineStr"/>
      <c r="N4628" t="inlineStr">
        <is>
          <t>5A⁰, 42A², 21A⁰, 35A², 3A⁰, 1A⁰, 105A⁷, 15A¹, 7A⁰</t>
        </is>
      </c>
      <c r="O4628" t="inlineStr"/>
    </row>
    <row r="4629">
      <c r="A4629">
        <f>HYPERLINK("https://mathstats.uncg.edu/sites/pauli/congruence/csg16.html#group210E16", "210E¹⁶")</f>
        <v/>
      </c>
      <c r="B4629" t="n">
        <v>16</v>
      </c>
      <c r="C4629" t="inlineStr"/>
      <c r="D4629" t="inlineStr">
        <is>
          <t>240</t>
        </is>
      </c>
      <c r="E4629" t="inlineStr">
        <is>
          <t>1</t>
        </is>
      </c>
      <c r="F4629" t="inlineStr">
        <is>
          <t>80</t>
        </is>
      </c>
      <c r="G4629" t="inlineStr">
        <is>
          <t>0</t>
        </is>
      </c>
      <c r="H4629" t="inlineStr">
        <is>
          <t>12</t>
        </is>
      </c>
      <c r="I4629" t="inlineStr">
        <is>
          <t>30¹, 210¹</t>
        </is>
      </c>
      <c r="J4629" t="n">
        <v>2</v>
      </c>
      <c r="K4629" t="inlineStr">
        <is>
          <t>2², 8², 12¹, 48¹</t>
        </is>
      </c>
      <c r="L4629" t="inlineStr">
        <is>
          <t>30A¹, 42B², 70B⁴</t>
        </is>
      </c>
      <c r="M4629" t="inlineStr"/>
      <c r="N4629" t="inlineStr">
        <is>
          <t>42B², 2A⁰, 30A¹, 5A⁰, 10A⁰, 6A⁰, 70B⁴, 7B⁰, 14B⁰, 35B², 1A⁰</t>
        </is>
      </c>
      <c r="O4629" t="inlineStr"/>
    </row>
    <row r="4630">
      <c r="A4630">
        <f>HYPERLINK("https://mathstats.uncg.edu/sites/pauli/congruence/csg16.html#group210F16", "210F¹⁶")</f>
        <v/>
      </c>
      <c r="B4630" t="n">
        <v>16</v>
      </c>
      <c r="C4630" t="inlineStr"/>
      <c r="D4630" t="inlineStr">
        <is>
          <t>240</t>
        </is>
      </c>
      <c r="E4630" t="inlineStr">
        <is>
          <t>2</t>
        </is>
      </c>
      <c r="F4630" t="inlineStr">
        <is>
          <t>40</t>
        </is>
      </c>
      <c r="G4630" t="inlineStr">
        <is>
          <t>0</t>
        </is>
      </c>
      <c r="H4630" t="inlineStr">
        <is>
          <t>12</t>
        </is>
      </c>
      <c r="I4630" t="inlineStr">
        <is>
          <t>30¹, 210¹</t>
        </is>
      </c>
      <c r="J4630" t="n">
        <v>2</v>
      </c>
      <c r="K4630" t="inlineStr">
        <is>
          <t>2², 8², 12¹, 48¹</t>
        </is>
      </c>
      <c r="L4630" t="inlineStr">
        <is>
          <t>30B¹, 70B⁴, 105A⁸</t>
        </is>
      </c>
      <c r="M4630" t="inlineStr"/>
      <c r="N4630" t="inlineStr">
        <is>
          <t>2A⁰, 5A⁰, 10A⁰, 70B⁴, 30B¹, 7B⁰, 105A⁸, 14B⁰, 35B², 1A⁰, 15A⁰</t>
        </is>
      </c>
      <c r="O4630" t="inlineStr"/>
    </row>
    <row r="4631">
      <c r="A4631">
        <f>HYPERLINK("https://mathstats.uncg.edu/sites/pauli/congruence/csg16.html#group210G16", "210G¹⁶")</f>
        <v/>
      </c>
      <c r="B4631" t="n">
        <v>16</v>
      </c>
      <c r="C4631" t="inlineStr"/>
      <c r="D4631" t="inlineStr">
        <is>
          <t>240</t>
        </is>
      </c>
      <c r="E4631" t="inlineStr">
        <is>
          <t>2</t>
        </is>
      </c>
      <c r="F4631" t="inlineStr">
        <is>
          <t>40</t>
        </is>
      </c>
      <c r="G4631" t="inlineStr">
        <is>
          <t>0</t>
        </is>
      </c>
      <c r="H4631" t="inlineStr">
        <is>
          <t>12</t>
        </is>
      </c>
      <c r="I4631" t="inlineStr">
        <is>
          <t>30¹, 210¹</t>
        </is>
      </c>
      <c r="J4631" t="n">
        <v>2</v>
      </c>
      <c r="K4631" t="inlineStr">
        <is>
          <t>2², 8², 12¹, 48¹</t>
        </is>
      </c>
      <c r="L4631" t="inlineStr">
        <is>
          <t>42C², 70B⁴, 105B⁸</t>
        </is>
      </c>
      <c r="M4631" t="inlineStr"/>
      <c r="N4631" t="inlineStr">
        <is>
          <t>2A⁰, 5A⁰, 10A⁰, 70B⁴, 7B⁰, 14B⁰, 42C², 35B², 105B⁸, 1A⁰, 21A¹</t>
        </is>
      </c>
      <c r="O4631" t="inlineStr"/>
    </row>
    <row r="4632">
      <c r="A4632">
        <f>HYPERLINK("https://mathstats.uncg.edu/sites/pauli/congruence/csg16.html#group210H16", "210H¹⁶")</f>
        <v/>
      </c>
      <c r="B4632" t="n">
        <v>16</v>
      </c>
      <c r="C4632" t="inlineStr"/>
      <c r="D4632" t="inlineStr">
        <is>
          <t>252</t>
        </is>
      </c>
      <c r="E4632" t="inlineStr">
        <is>
          <t>2</t>
        </is>
      </c>
      <c r="F4632" t="inlineStr">
        <is>
          <t>126</t>
        </is>
      </c>
      <c r="G4632" t="inlineStr">
        <is>
          <t>20</t>
        </is>
      </c>
      <c r="H4632" t="inlineStr">
        <is>
          <t>0</t>
        </is>
      </c>
      <c r="I4632" t="inlineStr">
        <is>
          <t>42¹, 210¹</t>
        </is>
      </c>
      <c r="J4632" t="n">
        <v>2</v>
      </c>
      <c r="K4632" t="inlineStr">
        <is>
          <t>2², 4², 6⁴, 8¹, 12⁴, 16¹, 24², 48²</t>
        </is>
      </c>
      <c r="L4632" t="inlineStr">
        <is>
          <t>105C⁶</t>
        </is>
      </c>
      <c r="M4632" t="inlineStr"/>
      <c r="N4632" t="inlineStr">
        <is>
          <t>35C², 15B⁰, 105C⁶, 5B⁰, 21A⁰, 3A⁰, 1A⁰, 7A⁰</t>
        </is>
      </c>
      <c r="O4632" t="inlineStr"/>
    </row>
    <row r="4633">
      <c r="A4633">
        <f>HYPERLINK("https://mathstats.uncg.edu/sites/pauli/congruence/csg16.html#group218A16", "218A¹⁶")</f>
        <v/>
      </c>
      <c r="B4633" t="n">
        <v>16</v>
      </c>
      <c r="C4633" t="inlineStr"/>
      <c r="D4633" t="inlineStr">
        <is>
          <t>220</t>
        </is>
      </c>
      <c r="E4633" t="inlineStr">
        <is>
          <t>1</t>
        </is>
      </c>
      <c r="F4633" t="inlineStr">
        <is>
          <t>110</t>
        </is>
      </c>
      <c r="G4633" t="inlineStr">
        <is>
          <t>4</t>
        </is>
      </c>
      <c r="H4633" t="inlineStr">
        <is>
          <t>4</t>
        </is>
      </c>
      <c r="I4633" t="inlineStr">
        <is>
          <t>2¹, 218¹</t>
        </is>
      </c>
      <c r="J4633" t="n">
        <v>2</v>
      </c>
      <c r="K4633" t="inlineStr">
        <is>
          <t>1², 108¹</t>
        </is>
      </c>
      <c r="L4633" t="inlineStr">
        <is>
          <t>109A⁸</t>
        </is>
      </c>
      <c r="M4633" t="inlineStr"/>
      <c r="N4633" t="inlineStr">
        <is>
          <t>1A⁰, 109A⁸</t>
        </is>
      </c>
      <c r="O4633" t="inlineStr"/>
    </row>
    <row r="4634">
      <c r="A4634">
        <f>HYPERLINK("https://mathstats.uncg.edu/sites/pauli/congruence/csg16.html#group220A16", "220A¹⁶")</f>
        <v/>
      </c>
      <c r="B4634" t="n">
        <v>16</v>
      </c>
      <c r="C4634" t="inlineStr"/>
      <c r="D4634" t="inlineStr">
        <is>
          <t>220</t>
        </is>
      </c>
      <c r="E4634" t="inlineStr">
        <is>
          <t>2</t>
        </is>
      </c>
      <c r="F4634" t="inlineStr">
        <is>
          <t>220</t>
        </is>
      </c>
      <c r="G4634" t="inlineStr">
        <is>
          <t>6</t>
        </is>
      </c>
      <c r="H4634" t="inlineStr">
        <is>
          <t>4</t>
        </is>
      </c>
      <c r="I4634" t="inlineStr">
        <is>
          <t>220¹</t>
        </is>
      </c>
      <c r="J4634" t="n">
        <v>1</v>
      </c>
      <c r="K4634" t="inlineStr">
        <is>
          <t>4², 16², 20⁴, 80⁴</t>
        </is>
      </c>
      <c r="L4634" t="inlineStr">
        <is>
          <t>20A¹, 44A², 55A³</t>
        </is>
      </c>
      <c r="M4634" t="inlineStr"/>
      <c r="N4634" t="inlineStr">
        <is>
          <t>11A⁰, 55A³, 5A⁰, 44A², 4A⁰, 20A¹, 1A⁰</t>
        </is>
      </c>
      <c r="O4634" t="inlineStr"/>
    </row>
    <row r="4635">
      <c r="A4635">
        <f>HYPERLINK("https://mathstats.uncg.edu/sites/pauli/congruence/csg16.html#group222A16", "222A¹⁶")</f>
        <v/>
      </c>
      <c r="B4635" t="n">
        <v>16</v>
      </c>
      <c r="C4635" t="inlineStr"/>
      <c r="D4635" t="inlineStr">
        <is>
          <t>228</t>
        </is>
      </c>
      <c r="E4635" t="inlineStr">
        <is>
          <t>1</t>
        </is>
      </c>
      <c r="F4635" t="inlineStr">
        <is>
          <t>38</t>
        </is>
      </c>
      <c r="G4635" t="inlineStr">
        <is>
          <t>12</t>
        </is>
      </c>
      <c r="H4635" t="inlineStr">
        <is>
          <t>0</t>
        </is>
      </c>
      <c r="I4635" t="inlineStr">
        <is>
          <t>6¹, 222¹</t>
        </is>
      </c>
      <c r="J4635" t="n">
        <v>2</v>
      </c>
      <c r="K4635" t="inlineStr">
        <is>
          <t>1², 36¹</t>
        </is>
      </c>
      <c r="L4635" t="inlineStr">
        <is>
          <t>74A⁴, 111A⁸</t>
        </is>
      </c>
      <c r="M4635" t="inlineStr"/>
      <c r="N4635" t="inlineStr">
        <is>
          <t>37A², 111A⁸, 3A⁰, 1A⁰, 74A⁴</t>
        </is>
      </c>
      <c r="O4635" t="inlineStr"/>
    </row>
    <row r="4636">
      <c r="A4636">
        <f>HYPERLINK("https://mathstats.uncg.edu/sites/pauli/congruence/csg16.html#group222B16", "222B¹⁶")</f>
        <v/>
      </c>
      <c r="B4636" t="n">
        <v>16</v>
      </c>
      <c r="C4636" t="inlineStr"/>
      <c r="D4636" t="inlineStr">
        <is>
          <t>228</t>
        </is>
      </c>
      <c r="E4636" t="inlineStr">
        <is>
          <t>2</t>
        </is>
      </c>
      <c r="F4636" t="inlineStr">
        <is>
          <t>38</t>
        </is>
      </c>
      <c r="G4636" t="inlineStr">
        <is>
          <t>12</t>
        </is>
      </c>
      <c r="H4636" t="inlineStr">
        <is>
          <t>0</t>
        </is>
      </c>
      <c r="I4636" t="inlineStr">
        <is>
          <t>6¹, 222¹</t>
        </is>
      </c>
      <c r="J4636" t="n">
        <v>2</v>
      </c>
      <c r="K4636" t="inlineStr">
        <is>
          <t>2², 72¹</t>
        </is>
      </c>
      <c r="L4636" t="inlineStr">
        <is>
          <t>74A⁴, 111B⁸</t>
        </is>
      </c>
      <c r="M4636" t="inlineStr"/>
      <c r="N4636" t="inlineStr">
        <is>
          <t>37A², 111B⁸, 1A⁰, 74A⁴</t>
        </is>
      </c>
      <c r="O4636" t="inlineStr"/>
    </row>
    <row r="4637">
      <c r="A4637">
        <f>HYPERLINK("https://mathstats.uncg.edu/sites/pauli/congruence/csg16.html#group228A16", "228A¹⁶")</f>
        <v/>
      </c>
      <c r="B4637" t="n">
        <v>16</v>
      </c>
      <c r="C4637" t="inlineStr"/>
      <c r="D4637" t="inlineStr">
        <is>
          <t>240</t>
        </is>
      </c>
      <c r="E4637" t="inlineStr">
        <is>
          <t>1</t>
        </is>
      </c>
      <c r="F4637" t="inlineStr">
        <is>
          <t>40</t>
        </is>
      </c>
      <c r="G4637" t="inlineStr">
        <is>
          <t>0</t>
        </is>
      </c>
      <c r="H4637" t="inlineStr">
        <is>
          <t>12</t>
        </is>
      </c>
      <c r="I4637" t="inlineStr">
        <is>
          <t>12¹, 228¹</t>
        </is>
      </c>
      <c r="J4637" t="n">
        <v>2</v>
      </c>
      <c r="K4637" t="inlineStr">
        <is>
          <t>2², 36¹</t>
        </is>
      </c>
      <c r="L4637" t="inlineStr">
        <is>
          <t>76A⁴, 114A⁸</t>
        </is>
      </c>
      <c r="M4637" t="inlineStr"/>
      <c r="N4637" t="inlineStr">
        <is>
          <t>114A⁸, 2A⁰, 19A¹, 76A⁴, 38A², 6A⁰, 1A⁰</t>
        </is>
      </c>
      <c r="O4637" t="inlineStr"/>
    </row>
    <row r="4638">
      <c r="A4638">
        <f>HYPERLINK("https://mathstats.uncg.edu/sites/pauli/congruence/csg16.html#group228B16", "228B¹⁶")</f>
        <v/>
      </c>
      <c r="B4638" t="n">
        <v>16</v>
      </c>
      <c r="C4638" t="inlineStr"/>
      <c r="D4638" t="inlineStr">
        <is>
          <t>240</t>
        </is>
      </c>
      <c r="E4638" t="inlineStr">
        <is>
          <t>2</t>
        </is>
      </c>
      <c r="F4638" t="inlineStr">
        <is>
          <t>40</t>
        </is>
      </c>
      <c r="G4638" t="inlineStr">
        <is>
          <t>0</t>
        </is>
      </c>
      <c r="H4638" t="inlineStr">
        <is>
          <t>12</t>
        </is>
      </c>
      <c r="I4638" t="inlineStr">
        <is>
          <t>12¹, 228¹</t>
        </is>
      </c>
      <c r="J4638" t="n">
        <v>2</v>
      </c>
      <c r="K4638" t="inlineStr">
        <is>
          <t>2⁴, 36²</t>
        </is>
      </c>
      <c r="L4638" t="inlineStr">
        <is>
          <t>76A⁴, 114B⁸</t>
        </is>
      </c>
      <c r="M4638" t="inlineStr"/>
      <c r="N4638" t="inlineStr">
        <is>
          <t>2A⁰, 19A¹, 76A⁴, 38A², 114B⁸, 1A⁰</t>
        </is>
      </c>
      <c r="O4638" t="inlineStr"/>
    </row>
    <row r="4639">
      <c r="A4639">
        <f>HYPERLINK("https://mathstats.uncg.edu/sites/pauli/congruence/csg16.html#group234A16", "234A¹⁶")</f>
        <v/>
      </c>
      <c r="B4639" t="n">
        <v>16</v>
      </c>
      <c r="C4639" t="inlineStr"/>
      <c r="D4639" t="inlineStr">
        <is>
          <t>252</t>
        </is>
      </c>
      <c r="E4639" t="inlineStr">
        <is>
          <t>1</t>
        </is>
      </c>
      <c r="F4639" t="inlineStr">
        <is>
          <t>126</t>
        </is>
      </c>
      <c r="G4639" t="inlineStr">
        <is>
          <t>20</t>
        </is>
      </c>
      <c r="H4639" t="inlineStr">
        <is>
          <t>0</t>
        </is>
      </c>
      <c r="I4639" t="inlineStr">
        <is>
          <t>18¹, 234¹</t>
        </is>
      </c>
      <c r="J4639" t="n">
        <v>2</v>
      </c>
      <c r="K4639" t="inlineStr">
        <is>
          <t>1², 2², 6², 12¹, 24¹, 72¹</t>
        </is>
      </c>
      <c r="L4639" t="inlineStr">
        <is>
          <t>78A⁴, 117A⁸</t>
        </is>
      </c>
      <c r="M4639" t="inlineStr"/>
      <c r="N4639" t="inlineStr">
        <is>
          <t>117A⁸, 39A², 78A⁴, 9A⁰, 13A⁰, 26A⁰, 3A⁰, 1A⁰</t>
        </is>
      </c>
      <c r="O4639" t="inlineStr"/>
    </row>
    <row r="4640">
      <c r="A4640">
        <f>HYPERLINK("https://mathstats.uncg.edu/sites/pauli/congruence/csg16.html#group243A16", "243A¹⁶")</f>
        <v/>
      </c>
      <c r="B4640" t="n">
        <v>16</v>
      </c>
      <c r="C4640" t="inlineStr"/>
      <c r="D4640" t="inlineStr">
        <is>
          <t>324</t>
        </is>
      </c>
      <c r="E4640" t="inlineStr">
        <is>
          <t>1</t>
        </is>
      </c>
      <c r="F4640" t="inlineStr">
        <is>
          <t>108</t>
        </is>
      </c>
      <c r="G4640" t="inlineStr">
        <is>
          <t>0</t>
        </is>
      </c>
      <c r="H4640" t="inlineStr">
        <is>
          <t>0</t>
        </is>
      </c>
      <c r="I4640" t="inlineStr">
        <is>
          <t>1¹⁸, 3³, 27², 243¹</t>
        </is>
      </c>
      <c r="J4640" t="n">
        <v>24</v>
      </c>
      <c r="K4640" t="inlineStr">
        <is>
          <t>1², 2², 6², 18², 54¹</t>
        </is>
      </c>
      <c r="L4640" t="inlineStr">
        <is>
          <t>81A⁴</t>
        </is>
      </c>
      <c r="M4640" t="inlineStr"/>
      <c r="N4640" t="inlineStr">
        <is>
          <t>3B⁰, 81A⁴, 9B⁰, 27A¹, 1A⁰</t>
        </is>
      </c>
      <c r="O4640" t="inlineStr"/>
    </row>
    <row r="4641">
      <c r="A4641">
        <f>HYPERLINK("https://mathstats.uncg.edu/sites/pauli/congruence/csg17.html#group14A17", "14A¹⁷")</f>
        <v/>
      </c>
      <c r="B4641" t="n">
        <v>17</v>
      </c>
      <c r="C4641" t="inlineStr"/>
      <c r="D4641" t="inlineStr">
        <is>
          <t>336</t>
        </is>
      </c>
      <c r="E4641" t="inlineStr">
        <is>
          <t>1</t>
        </is>
      </c>
      <c r="F4641" t="inlineStr">
        <is>
          <t>1</t>
        </is>
      </c>
      <c r="G4641" t="inlineStr">
        <is>
          <t>0</t>
        </is>
      </c>
      <c r="H4641" t="inlineStr">
        <is>
          <t>0</t>
        </is>
      </c>
      <c r="I4641" t="inlineStr">
        <is>
          <t>14²⁴</t>
        </is>
      </c>
      <c r="J4641" t="n">
        <v>24</v>
      </c>
      <c r="K4641" t="inlineStr">
        <is>
          <t>1¹</t>
        </is>
      </c>
      <c r="L4641" t="inlineStr">
        <is>
          <t>14D², 7A³, 14E⁵, 14B⁷, 14A⁹</t>
        </is>
      </c>
      <c r="M4641" t="inlineStr"/>
      <c r="N4641" t="inlineStr">
        <is>
          <t>2A⁰, 14A⁰, 7D⁰, 14A¹, 14D², 14C⁵, 14B⁵, 14A⁹, 7G⁰, 1A⁰, 14D¹, 7B⁰, 7C⁰, 14C³, 7A¹, 7F⁰, 14F³, 7A⁰, 14B², 14B⁷, 7E⁰, 14G¹, 7C¹, 7A³, 14E⁵, 14A⁵, 14A³, 14B⁰, 14E¹, 7B¹</t>
        </is>
      </c>
      <c r="O4641" t="inlineStr"/>
    </row>
    <row r="4642">
      <c r="A4642">
        <f>HYPERLINK("https://mathstats.uncg.edu/sites/pauli/congruence/csg17.html#group14B17", "14B¹⁷")</f>
        <v/>
      </c>
      <c r="B4642" t="n">
        <v>17</v>
      </c>
      <c r="C4642" t="inlineStr"/>
      <c r="D4642" t="inlineStr">
        <is>
          <t>336</t>
        </is>
      </c>
      <c r="E4642" t="inlineStr">
        <is>
          <t>1</t>
        </is>
      </c>
      <c r="F4642" t="inlineStr">
        <is>
          <t>28</t>
        </is>
      </c>
      <c r="G4642" t="inlineStr">
        <is>
          <t>0</t>
        </is>
      </c>
      <c r="H4642" t="inlineStr">
        <is>
          <t>0</t>
        </is>
      </c>
      <c r="I4642" t="inlineStr">
        <is>
          <t>14²⁴</t>
        </is>
      </c>
      <c r="J4642" t="n">
        <v>24</v>
      </c>
      <c r="K4642" t="inlineStr">
        <is>
          <t>1¹, 3¹, 6⁴</t>
        </is>
      </c>
      <c r="L4642" t="inlineStr">
        <is>
          <t>14E², 14D⁵, 14E⁵, 14C⁷, 14D⁷, 14B⁹</t>
        </is>
      </c>
      <c r="M4642" t="inlineStr"/>
      <c r="N4642" t="inlineStr">
        <is>
          <t>2A⁰, 14A⁰, 14B³, 14B¹, 14D⁵, 14C⁷, 14A¹, 14C², 14D⁷, 2B⁰, 14E², 14G¹, 1A⁰, 14D¹, 14D³, 14E⁵, 14A², 7B⁰, 7C⁰, 14C³, 14B⁹, 14B⁰, 7F⁰, 14C¹, 2C⁰, 7B¹, 7A⁰</t>
        </is>
      </c>
      <c r="O4642" t="inlineStr"/>
    </row>
    <row r="4643">
      <c r="A4643">
        <f>HYPERLINK("https://mathstats.uncg.edu/sites/pauli/congruence/csg17.html#group15A17", "15A¹⁷")</f>
        <v/>
      </c>
      <c r="B4643" t="n">
        <v>17</v>
      </c>
      <c r="C4643" t="inlineStr"/>
      <c r="D4643" t="inlineStr">
        <is>
          <t>360</t>
        </is>
      </c>
      <c r="E4643" t="inlineStr">
        <is>
          <t>1</t>
        </is>
      </c>
      <c r="F4643" t="inlineStr">
        <is>
          <t>45</t>
        </is>
      </c>
      <c r="G4643" t="inlineStr">
        <is>
          <t>8</t>
        </is>
      </c>
      <c r="H4643" t="inlineStr">
        <is>
          <t>0</t>
        </is>
      </c>
      <c r="I4643" t="inlineStr">
        <is>
          <t>15²⁴</t>
        </is>
      </c>
      <c r="J4643" t="n">
        <v>24</v>
      </c>
      <c r="K4643" t="inlineStr">
        <is>
          <t>1¹, 2², 4⁴, 8³</t>
        </is>
      </c>
      <c r="L4643" t="inlineStr">
        <is>
          <t>15H¹, 15A⁵, 15C⁷, 15A⁸, 15B⁸, 15A⁹</t>
        </is>
      </c>
      <c r="M4643" t="inlineStr"/>
      <c r="N4643" t="inlineStr">
        <is>
          <t>15C⁷, 15A⁸, 15E², 5A⁰, 15B⁸, 15D⁴, 15A¹, 15F¹, 15D², 15A⁵, 5B⁰, 15C³, 15H¹, 1A⁰, 15A⁹, 15C⁴, 15D¹, 15B⁰, 15A², 15E¹, 5E⁰, 3C⁰, 3A⁰, 5C⁰, 5G⁰, 15H³, 15C⁰, 15A⁰</t>
        </is>
      </c>
      <c r="O4643" t="inlineStr"/>
    </row>
    <row r="4644">
      <c r="A4644">
        <f>HYPERLINK("https://mathstats.uncg.edu/sites/pauli/congruence/csg17.html#group15B17", "15B¹⁷")</f>
        <v/>
      </c>
      <c r="B4644" t="n">
        <v>17</v>
      </c>
      <c r="C4644" t="inlineStr"/>
      <c r="D4644" t="inlineStr">
        <is>
          <t>480</t>
        </is>
      </c>
      <c r="E4644" t="inlineStr">
        <is>
          <t>1</t>
        </is>
      </c>
      <c r="F4644" t="inlineStr">
        <is>
          <t>4</t>
        </is>
      </c>
      <c r="G4644" t="inlineStr">
        <is>
          <t>0</t>
        </is>
      </c>
      <c r="H4644" t="inlineStr">
        <is>
          <t>0</t>
        </is>
      </c>
      <c r="I4644" t="inlineStr">
        <is>
          <t>5²⁴, 15²⁴</t>
        </is>
      </c>
      <c r="J4644" t="n">
        <v>48</v>
      </c>
      <c r="K4644" t="inlineStr">
        <is>
          <t>1², 2¹</t>
        </is>
      </c>
      <c r="L4644" t="inlineStr">
        <is>
          <t>15I¹, 15D⁵, 15B⁹</t>
        </is>
      </c>
      <c r="M4644" t="inlineStr"/>
      <c r="N4644" t="inlineStr">
        <is>
          <t>3B⁰, 5A⁰, 15I¹, 5B⁰, 15G¹, 5D⁰, 5F⁰, 15B⁹, 1A⁰, 5H⁰, 15C¹, 15A³, 15D⁵, 15G³, 5E⁰, 15B¹, 15C², 5C⁰, 15B⁵, 5G⁰</t>
        </is>
      </c>
      <c r="O4644" t="inlineStr"/>
    </row>
    <row r="4645">
      <c r="A4645">
        <f>HYPERLINK("https://mathstats.uncg.edu/sites/pauli/congruence/csg17.html#group16A17", "16A¹⁷")</f>
        <v/>
      </c>
      <c r="B4645" t="n">
        <v>17</v>
      </c>
      <c r="C4645" t="inlineStr"/>
      <c r="D4645" t="inlineStr">
        <is>
          <t>384</t>
        </is>
      </c>
      <c r="E4645" t="inlineStr">
        <is>
          <t>1</t>
        </is>
      </c>
      <c r="F4645" t="inlineStr">
        <is>
          <t>3</t>
        </is>
      </c>
      <c r="G4645" t="inlineStr">
        <is>
          <t>0</t>
        </is>
      </c>
      <c r="H4645" t="inlineStr">
        <is>
          <t>0</t>
        </is>
      </c>
      <c r="I4645" t="inlineStr">
        <is>
          <t>8¹⁶, 16¹⁶</t>
        </is>
      </c>
      <c r="J4645" t="n">
        <v>32</v>
      </c>
      <c r="K4645" t="inlineStr">
        <is>
          <t>1³</t>
        </is>
      </c>
      <c r="L4645" t="inlineStr">
        <is>
          <t>8A⁵, 16M⁵, 16D⁷, 16A⁹, 16B⁹, 16D⁹, 16C⁹, 16E⁹, 16H⁹</t>
        </is>
      </c>
      <c r="M4645" t="inlineStr"/>
      <c r="N4645" t="inlineStr">
        <is>
          <t>16G⁰, 16F⁵, 16D⁵, 16M⁵, 8A⁰, 2B⁰, 8E¹, 4B⁰, 8J¹, 1A⁰, 8K⁰, 8H¹, 16E², 16A², 16B⁰, 16E⁰, 16B⁴, 16B², 4D⁰, 16C⁰, 8P⁰, 8M⁰, 16C⁹, 8N⁰, 8A¹, 16H⁵, 8D⁰, 16E¹, 8B², 8B⁰, 16B³, 8E⁰, 16B¹, 8I⁰, 16L², 8A⁵, 16I³, 8D¹, 16K³, 8C¹, 16A⁹, 16F², 8I¹, 16C¹, 16D⁰, 16F³, 16H⁹, 16C⁴, 4F⁰, 8J⁰, 2C⁰, 16E⁹, 8O⁰, 16D⁹, 2A⁰, 8B³, 16I¹, 16C⁵, 4C⁰, 8C², 16A³, 4G⁰, 8C⁰, 4E⁰, 16A¹, 8L⁰, 16J³, 8F¹, 16H⁰, 16D¹, 8G⁰, 8G¹, 16D⁷, 16M¹, 16F¹, 16H¹, 16E³, 16D², 16D³, 16C², 16C³, 8A³, 8K¹, 16M³, 16G⁵, 8B¹, 16J¹, 16H³, 8H⁰, 8A², 16B⁵, 8F⁰, 16L³, 16B⁹, 16G¹, 4A⁰, 16A⁵, 16E⁵</t>
        </is>
      </c>
      <c r="O4645" t="inlineStr"/>
    </row>
    <row r="4646">
      <c r="A4646">
        <f>HYPERLINK("https://mathstats.uncg.edu/sites/pauli/congruence/csg17.html#group16B17", "16B¹⁷")</f>
        <v/>
      </c>
      <c r="B4646" t="n">
        <v>17</v>
      </c>
      <c r="C4646" t="inlineStr"/>
      <c r="D4646" t="inlineStr">
        <is>
          <t>384</t>
        </is>
      </c>
      <c r="E4646" t="inlineStr">
        <is>
          <t>1</t>
        </is>
      </c>
      <c r="F4646" t="inlineStr">
        <is>
          <t>6</t>
        </is>
      </c>
      <c r="G4646" t="inlineStr">
        <is>
          <t>0</t>
        </is>
      </c>
      <c r="H4646" t="inlineStr">
        <is>
          <t>0</t>
        </is>
      </c>
      <c r="I4646" t="inlineStr">
        <is>
          <t>8¹⁶, 16¹⁶</t>
        </is>
      </c>
      <c r="J4646" t="n">
        <v>32</v>
      </c>
      <c r="K4646" t="inlineStr">
        <is>
          <t>1⁴, 2¹</t>
        </is>
      </c>
      <c r="L4646" t="inlineStr">
        <is>
          <t>16O⁵, 16E⁷, 16E⁹, 16F⁹, 16G⁹</t>
        </is>
      </c>
      <c r="M4646" t="inlineStr"/>
      <c r="N4646" t="inlineStr">
        <is>
          <t>16D⁵, 2B⁰, 4B⁰, 1A⁰, 8K⁰, 16E², 16A², 16B⁰, 16F⁹, 16B², 4D⁰, 16O⁵, 16R³, 8P⁰, 8N⁰, 8A¹, 8D⁰, 16O³, 8B⁰, 16B³, 16B¹, 8I⁰, 16G⁹, 8C¹, 16F², 16F³, 4F⁰, 8J⁰, 2C⁰, 16E⁹, 8O⁰, 2A⁰, 16C⁵, 4C⁰, 16A³, 16S³, 8L⁰, 4G⁰, 4E⁰, 16E⁷, 8C⁰, 8F¹, 16D¹, 8G⁰, 8G¹, 16F¹, 16K¹, 16E³, 16D³, 16C³, 8K¹, 16I², 16M³, 16G⁵, 8B¹, 16J¹, 16K², 8H⁰, 16L¹, 16B⁵, 4A⁰, 16A⁵</t>
        </is>
      </c>
      <c r="O4646" t="inlineStr"/>
    </row>
    <row r="4647">
      <c r="A4647">
        <f>HYPERLINK("https://mathstats.uncg.edu/sites/pauli/congruence/csg17.html#group17A17", "17A¹⁷")</f>
        <v/>
      </c>
      <c r="B4647" t="n">
        <v>17</v>
      </c>
      <c r="C4647" t="inlineStr"/>
      <c r="D4647" t="inlineStr">
        <is>
          <t>306</t>
        </is>
      </c>
      <c r="E4647" t="inlineStr">
        <is>
          <t>1</t>
        </is>
      </c>
      <c r="F4647" t="inlineStr">
        <is>
          <t>153</t>
        </is>
      </c>
      <c r="G4647" t="inlineStr">
        <is>
          <t>2</t>
        </is>
      </c>
      <c r="H4647" t="inlineStr">
        <is>
          <t>0</t>
        </is>
      </c>
      <c r="I4647" t="inlineStr">
        <is>
          <t>17¹⁸</t>
        </is>
      </c>
      <c r="J4647" t="n">
        <v>18</v>
      </c>
      <c r="K4647" t="inlineStr">
        <is>
          <t>1¹, 8¹, 16⁹</t>
        </is>
      </c>
      <c r="L4647" t="inlineStr">
        <is>
          <t>17A¹, 17A⁷</t>
        </is>
      </c>
      <c r="M4647" t="inlineStr"/>
      <c r="N4647" t="inlineStr">
        <is>
          <t>1A⁰, 17A¹, 17A⁷</t>
        </is>
      </c>
      <c r="O4647" t="inlineStr"/>
    </row>
    <row r="4648">
      <c r="A4648">
        <f>HYPERLINK("https://mathstats.uncg.edu/sites/pauli/congruence/csg17.html#group20A17", "20A¹⁷")</f>
        <v/>
      </c>
      <c r="B4648" t="n">
        <v>17</v>
      </c>
      <c r="C4648" t="inlineStr"/>
      <c r="D4648" t="inlineStr">
        <is>
          <t>320</t>
        </is>
      </c>
      <c r="E4648" t="inlineStr">
        <is>
          <t>1</t>
        </is>
      </c>
      <c r="F4648" t="inlineStr">
        <is>
          <t>40</t>
        </is>
      </c>
      <c r="G4648" t="inlineStr">
        <is>
          <t>0</t>
        </is>
      </c>
      <c r="H4648" t="inlineStr">
        <is>
          <t>8</t>
        </is>
      </c>
      <c r="I4648" t="inlineStr">
        <is>
          <t>20¹⁶</t>
        </is>
      </c>
      <c r="J4648" t="n">
        <v>16</v>
      </c>
      <c r="K4648" t="inlineStr">
        <is>
          <t>4², 8⁴</t>
        </is>
      </c>
      <c r="L4648" t="inlineStr">
        <is>
          <t>20N³, 20O⁷, 20A⁹</t>
        </is>
      </c>
      <c r="M4648" t="inlineStr"/>
      <c r="N4648" t="inlineStr">
        <is>
          <t>10H¹, 2A⁰, 5A⁰, 20O³, 10D⁰, 5F⁰, 20N³, 20B⁵, 20A¹, 20A⁵, 1A⁰, 20F¹, 10A⁰, 20D², 20A⁹, 4A⁰, 4D⁰, 10C¹, 20O⁷, 5C⁰, 20E²</t>
        </is>
      </c>
      <c r="O4648" t="inlineStr"/>
    </row>
    <row r="4649">
      <c r="A4649">
        <f>HYPERLINK("https://mathstats.uncg.edu/sites/pauli/congruence/csg17.html#group20B17", "20B¹⁷")</f>
        <v/>
      </c>
      <c r="B4649" t="n">
        <v>17</v>
      </c>
      <c r="C4649" t="inlineStr"/>
      <c r="D4649" t="inlineStr">
        <is>
          <t>360</t>
        </is>
      </c>
      <c r="E4649" t="inlineStr">
        <is>
          <t>1</t>
        </is>
      </c>
      <c r="F4649" t="inlineStr">
        <is>
          <t>45</t>
        </is>
      </c>
      <c r="G4649" t="inlineStr">
        <is>
          <t>8</t>
        </is>
      </c>
      <c r="H4649" t="inlineStr">
        <is>
          <t>0</t>
        </is>
      </c>
      <c r="I4649" t="inlineStr">
        <is>
          <t>10¹², 20¹²</t>
        </is>
      </c>
      <c r="J4649" t="n">
        <v>24</v>
      </c>
      <c r="K4649" t="inlineStr">
        <is>
          <t>1³, 2³, 4⁹</t>
        </is>
      </c>
      <c r="L4649" t="inlineStr">
        <is>
          <t>20I¹, 20F⁵, 10A⁶, 20D⁶, 20C⁸, 20B⁹, 20C⁹, 20D⁹</t>
        </is>
      </c>
      <c r="M4649" t="inlineStr"/>
      <c r="N4649" t="inlineStr">
        <is>
          <t>20E¹, 5A⁰, 10G⁰, 20E⁴, 10D⁰, 4C⁰, 5B⁰, 2B⁰, 1A⁰, 20D⁶, 10J¹, 10I¹, 10F², 20F⁵, 20C⁵, 10C², 10C⁰, 20P³, 5G⁰, 10A⁶, 20D⁹, 10B¹, 20B², 20B⁹, 20F², 10E¹, 20F³, 20C⁸, 20C⁹, 10F¹, 10B⁰, 10C³, 20A⁰, 10E², 20I¹, 5E⁰, 5C⁰</t>
        </is>
      </c>
      <c r="O4649" t="inlineStr"/>
    </row>
    <row r="4650">
      <c r="A4650">
        <f>HYPERLINK("https://mathstats.uncg.edu/sites/pauli/congruence/csg17.html#group21A17", "21A¹⁷")</f>
        <v/>
      </c>
      <c r="B4650" t="n">
        <v>17</v>
      </c>
      <c r="C4650" t="inlineStr"/>
      <c r="D4650" t="inlineStr">
        <is>
          <t>336</t>
        </is>
      </c>
      <c r="E4650" t="inlineStr">
        <is>
          <t>1</t>
        </is>
      </c>
      <c r="F4650" t="inlineStr">
        <is>
          <t>84</t>
        </is>
      </c>
      <c r="G4650" t="inlineStr">
        <is>
          <t>0</t>
        </is>
      </c>
      <c r="H4650" t="inlineStr">
        <is>
          <t>0</t>
        </is>
      </c>
      <c r="I4650" t="inlineStr">
        <is>
          <t>7¹², 21¹²</t>
        </is>
      </c>
      <c r="J4650" t="n">
        <v>24</v>
      </c>
      <c r="K4650" t="inlineStr">
        <is>
          <t>3², 6⁷, 12³</t>
        </is>
      </c>
      <c r="L4650" t="inlineStr">
        <is>
          <t>7C¹, 21B⁶, 21A⁹, 21C⁹</t>
        </is>
      </c>
      <c r="M4650" t="inlineStr"/>
      <c r="N4650" t="inlineStr">
        <is>
          <t>21B³, 3B⁰, 7D⁰, 21A⁹, 7G⁰, 7C¹, 21A⁵, 1A⁰, 21B⁶, 21B², 7C⁰, 7A¹, 7F⁰, 21C⁹, 7A⁰</t>
        </is>
      </c>
      <c r="O4650" t="inlineStr"/>
    </row>
    <row r="4651">
      <c r="A4651">
        <f>HYPERLINK("https://mathstats.uncg.edu/sites/pauli/congruence/csg17.html#group21B17", "21B¹⁷")</f>
        <v/>
      </c>
      <c r="B4651" t="n">
        <v>17</v>
      </c>
      <c r="C4651" t="inlineStr"/>
      <c r="D4651" t="inlineStr">
        <is>
          <t>336</t>
        </is>
      </c>
      <c r="E4651" t="inlineStr">
        <is>
          <t>1</t>
        </is>
      </c>
      <c r="F4651" t="inlineStr">
        <is>
          <t>84</t>
        </is>
      </c>
      <c r="G4651" t="inlineStr">
        <is>
          <t>16</t>
        </is>
      </c>
      <c r="H4651" t="inlineStr">
        <is>
          <t>0</t>
        </is>
      </c>
      <c r="I4651" t="inlineStr">
        <is>
          <t>21¹⁶</t>
        </is>
      </c>
      <c r="J4651" t="n">
        <v>16</v>
      </c>
      <c r="K4651" t="inlineStr">
        <is>
          <t>1¹, 2¹, 3¹, 6⁵, 12⁴</t>
        </is>
      </c>
      <c r="L4651" t="inlineStr">
        <is>
          <t>21B⁴, 21C⁷, 21B⁹</t>
        </is>
      </c>
      <c r="M4651" t="inlineStr"/>
      <c r="N4651" t="inlineStr">
        <is>
          <t>21D², 7A⁰, 21D¹, 7F⁰, 21A⁰, 3C⁰, 21B⁹, 21C⁷, 3A⁰, 1A⁰, 21C³, 21B⁴</t>
        </is>
      </c>
      <c r="O4651" t="inlineStr"/>
    </row>
    <row r="4652">
      <c r="A4652">
        <f>HYPERLINK("https://mathstats.uncg.edu/sites/pauli/congruence/csg17.html#group21C17", "21C¹⁷")</f>
        <v/>
      </c>
      <c r="B4652" t="n">
        <v>17</v>
      </c>
      <c r="C4652" t="inlineStr"/>
      <c r="D4652" t="inlineStr">
        <is>
          <t>336</t>
        </is>
      </c>
      <c r="E4652" t="inlineStr">
        <is>
          <t>2</t>
        </is>
      </c>
      <c r="F4652" t="inlineStr">
        <is>
          <t>168</t>
        </is>
      </c>
      <c r="G4652" t="inlineStr">
        <is>
          <t>8</t>
        </is>
      </c>
      <c r="H4652" t="inlineStr">
        <is>
          <t>6</t>
        </is>
      </c>
      <c r="I4652" t="inlineStr">
        <is>
          <t>21¹⁶</t>
        </is>
      </c>
      <c r="J4652" t="n">
        <v>16</v>
      </c>
      <c r="K4652" t="inlineStr">
        <is>
          <t>12²⁸</t>
        </is>
      </c>
      <c r="L4652" t="inlineStr">
        <is>
          <t>21A⁸</t>
        </is>
      </c>
      <c r="M4652" t="inlineStr"/>
      <c r="N4652" t="inlineStr">
        <is>
          <t>21A⁸, 1A⁰, 7C⁰, 7A⁰, 21C¹</t>
        </is>
      </c>
      <c r="O4652" t="inlineStr"/>
    </row>
    <row r="4653">
      <c r="A4653">
        <f>HYPERLINK("https://mathstats.uncg.edu/sites/pauli/congruence/csg17.html#group22A17", "22A¹⁷")</f>
        <v/>
      </c>
      <c r="B4653" t="n">
        <v>17</v>
      </c>
      <c r="C4653" t="inlineStr"/>
      <c r="D4653" t="inlineStr">
        <is>
          <t>264</t>
        </is>
      </c>
      <c r="E4653" t="inlineStr">
        <is>
          <t>1</t>
        </is>
      </c>
      <c r="F4653" t="inlineStr">
        <is>
          <t>66</t>
        </is>
      </c>
      <c r="G4653" t="inlineStr">
        <is>
          <t>0</t>
        </is>
      </c>
      <c r="H4653" t="inlineStr">
        <is>
          <t>0</t>
        </is>
      </c>
      <c r="I4653" t="inlineStr">
        <is>
          <t>22¹²</t>
        </is>
      </c>
      <c r="J4653" t="n">
        <v>12</v>
      </c>
      <c r="K4653" t="inlineStr">
        <is>
          <t>1¹, 5¹, 10⁶</t>
        </is>
      </c>
      <c r="L4653" t="inlineStr">
        <is>
          <t>22A², 11A⁶, 22B⁶, 22A⁹</t>
        </is>
      </c>
      <c r="M4653" t="inlineStr"/>
      <c r="N4653" t="inlineStr">
        <is>
          <t>11A⁰, 2A⁰, 11A⁶, 22A¹, 22A⁹, 11A¹, 22A², 22B⁶, 1A⁰, 11A²</t>
        </is>
      </c>
      <c r="O4653" t="inlineStr"/>
    </row>
    <row r="4654">
      <c r="A4654">
        <f>HYPERLINK("https://mathstats.uncg.edu/sites/pauli/congruence/csg17.html#group22B17", "22B¹⁷")</f>
        <v/>
      </c>
      <c r="B4654" t="n">
        <v>17</v>
      </c>
      <c r="C4654" t="inlineStr"/>
      <c r="D4654" t="inlineStr">
        <is>
          <t>330</t>
        </is>
      </c>
      <c r="E4654" t="inlineStr">
        <is>
          <t>1</t>
        </is>
      </c>
      <c r="F4654" t="inlineStr">
        <is>
          <t>110</t>
        </is>
      </c>
      <c r="G4654" t="inlineStr">
        <is>
          <t>0</t>
        </is>
      </c>
      <c r="H4654" t="inlineStr">
        <is>
          <t>12</t>
        </is>
      </c>
      <c r="I4654" t="inlineStr">
        <is>
          <t>22¹⁵</t>
        </is>
      </c>
      <c r="J4654" t="n">
        <v>15</v>
      </c>
      <c r="K4654" t="inlineStr">
        <is>
          <t>10¹¹</t>
        </is>
      </c>
      <c r="L4654" t="inlineStr">
        <is>
          <t>22B⁵</t>
        </is>
      </c>
      <c r="M4654" t="inlineStr"/>
      <c r="N4654" t="inlineStr">
        <is>
          <t>11A⁰, 2A⁰, 1A⁰, 22A¹, 11B¹, 22B⁵</t>
        </is>
      </c>
      <c r="O4654" t="inlineStr"/>
    </row>
    <row r="4655">
      <c r="A4655">
        <f>HYPERLINK("https://mathstats.uncg.edu/sites/pauli/congruence/csg17.html#group22C17", "22C¹⁷")</f>
        <v/>
      </c>
      <c r="B4655" t="n">
        <v>17</v>
      </c>
      <c r="C4655" t="inlineStr"/>
      <c r="D4655" t="inlineStr">
        <is>
          <t>330</t>
        </is>
      </c>
      <c r="E4655" t="inlineStr">
        <is>
          <t>1</t>
        </is>
      </c>
      <c r="F4655" t="inlineStr">
        <is>
          <t>330</t>
        </is>
      </c>
      <c r="G4655" t="inlineStr">
        <is>
          <t>12</t>
        </is>
      </c>
      <c r="H4655" t="inlineStr">
        <is>
          <t>3</t>
        </is>
      </c>
      <c r="I4655" t="inlineStr">
        <is>
          <t>22¹⁵</t>
        </is>
      </c>
      <c r="J4655" t="n">
        <v>15</v>
      </c>
      <c r="K4655" t="inlineStr">
        <is>
          <t>10³³</t>
        </is>
      </c>
      <c r="L4655" t="inlineStr">
        <is>
          <t>22B⁴</t>
        </is>
      </c>
      <c r="M4655" t="inlineStr"/>
      <c r="N4655" t="inlineStr">
        <is>
          <t>11C¹, 1A⁰, 22B⁴</t>
        </is>
      </c>
      <c r="O4655" t="inlineStr"/>
    </row>
    <row r="4656">
      <c r="A4656">
        <f>HYPERLINK("https://mathstats.uncg.edu/sites/pauli/congruence/csg17.html#group22D17", "22D¹⁷")</f>
        <v/>
      </c>
      <c r="B4656" t="n">
        <v>17</v>
      </c>
      <c r="C4656" t="inlineStr"/>
      <c r="D4656" t="inlineStr">
        <is>
          <t>330</t>
        </is>
      </c>
      <c r="E4656" t="inlineStr">
        <is>
          <t>2</t>
        </is>
      </c>
      <c r="F4656" t="inlineStr">
        <is>
          <t>165</t>
        </is>
      </c>
      <c r="G4656" t="inlineStr">
        <is>
          <t>6</t>
        </is>
      </c>
      <c r="H4656" t="inlineStr">
        <is>
          <t>0</t>
        </is>
      </c>
      <c r="I4656" t="inlineStr">
        <is>
          <t>11¹⁰, 22¹⁰</t>
        </is>
      </c>
      <c r="J4656" t="n">
        <v>20</v>
      </c>
      <c r="K4656" t="inlineStr">
        <is>
          <t>10³³</t>
        </is>
      </c>
      <c r="L4656" t="inlineStr">
        <is>
          <t>22B², 11A³, 22A⁸</t>
        </is>
      </c>
      <c r="M4656" t="inlineStr"/>
      <c r="N4656" t="inlineStr">
        <is>
          <t>11A⁰, 11C¹, 11A³, 2B⁰, 22B², 1A⁰, 22A⁸</t>
        </is>
      </c>
      <c r="O4656" t="inlineStr"/>
    </row>
    <row r="4657">
      <c r="A4657">
        <f>HYPERLINK("https://mathstats.uncg.edu/sites/pauli/congruence/csg17.html#group24A17", "24A¹⁷")</f>
        <v/>
      </c>
      <c r="B4657" t="n">
        <v>17</v>
      </c>
      <c r="C4657" t="inlineStr"/>
      <c r="D4657" t="inlineStr">
        <is>
          <t>288</t>
        </is>
      </c>
      <c r="E4657" t="inlineStr">
        <is>
          <t>1</t>
        </is>
      </c>
      <c r="F4657" t="inlineStr">
        <is>
          <t>3</t>
        </is>
      </c>
      <c r="G4657" t="inlineStr">
        <is>
          <t>0</t>
        </is>
      </c>
      <c r="H4657" t="inlineStr">
        <is>
          <t>0</t>
        </is>
      </c>
      <c r="I4657" t="inlineStr">
        <is>
          <t>12⁸, 24⁸</t>
        </is>
      </c>
      <c r="J4657" t="n">
        <v>16</v>
      </c>
      <c r="K4657" t="inlineStr">
        <is>
          <t>1³</t>
        </is>
      </c>
      <c r="L4657" t="inlineStr">
        <is>
          <t>12B⁵, 24H⁵, 24S⁷, 24K⁹, 24L⁹</t>
        </is>
      </c>
      <c r="M4657" t="inlineStr"/>
      <c r="N4657" t="inlineStr">
        <is>
          <t>12T¹, 2A⁰, 24Q⁴, 12C⁰, 12K¹, 12B⁵, 12D², 12F³, 4C⁰, 6C¹, 6G⁰, 12E², 12S¹, 2B⁰, 4E⁰, 12B², 12N¹, 4B⁰, 12G³, 1A⁰, 6B¹, 6D⁰, 24H⁵, 3C⁰, 6K⁰, 24L⁹, 6A¹, 12B¹, 6H⁰, 3A⁰, 6F⁰, 24S⁷, 6E¹, 3B⁰, 6B⁰, 12F¹, 6I⁰, 6F¹, 6C⁰, 12P¹, 12L¹, 12G⁰, 12D³, 12C¹, 6E⁰, 6L⁰, 6D¹, 6A⁰, 6J⁰, 24K⁹, 12E³, 12D⁰, 12H⁰, 12C², 3D⁰, 2C⁰, 12E⁰</t>
        </is>
      </c>
      <c r="O4657" t="inlineStr"/>
    </row>
    <row r="4658">
      <c r="A4658">
        <f>HYPERLINK("https://mathstats.uncg.edu/sites/pauli/congruence/csg17.html#group24B17", "24B¹⁷")</f>
        <v/>
      </c>
      <c r="B4658" t="n">
        <v>17</v>
      </c>
      <c r="C4658" t="inlineStr"/>
      <c r="D4658" t="inlineStr">
        <is>
          <t>288</t>
        </is>
      </c>
      <c r="E4658" t="inlineStr">
        <is>
          <t>1</t>
        </is>
      </c>
      <c r="F4658" t="inlineStr">
        <is>
          <t>3</t>
        </is>
      </c>
      <c r="G4658" t="inlineStr">
        <is>
          <t>0</t>
        </is>
      </c>
      <c r="H4658" t="inlineStr">
        <is>
          <t>0</t>
        </is>
      </c>
      <c r="I4658" t="inlineStr">
        <is>
          <t>12⁸, 24⁸</t>
        </is>
      </c>
      <c r="J4658" t="n">
        <v>16</v>
      </c>
      <c r="K4658" t="inlineStr">
        <is>
          <t>1³</t>
        </is>
      </c>
      <c r="L4658" t="inlineStr">
        <is>
          <t>8K¹, 24D⁶, 24A⁸, 24B⁸, 24C⁹, 24D⁹</t>
        </is>
      </c>
      <c r="M4658" t="inlineStr"/>
      <c r="N4658" t="inlineStr">
        <is>
          <t>2A⁰, 24A³, 24D⁶, 12C⁰, 4C⁰, 24A⁵, 6C¹, 12B², 8L⁰, 2B⁰, 4E⁰, 4G⁰, 8C⁰, 4B⁰, 8F¹, 1A⁰, 8K⁰, 12A⁴, 24B², 24A⁰, 8G⁰, 8G¹, 4D⁰, 24B⁵, 12A², 12B¹, 6A¹, 3A⁰, 8P⁰, 24F⁴, 8N⁰, 8A¹, 24A⁸, 8K¹, 8D⁰, 24B⁸, 12E¹, 8B⁰, 8B¹, 8I⁰, 24L², 24D⁴, 24J³, 8H⁰, 24D⁹, 12A⁰, 8C¹, 6A⁰, 4A⁰, 24M², 24C¹, 12J¹, 4F⁰, 24C⁹, 8J⁰, 2C⁰, 6D⁰, 24G⁴, 8O⁰</t>
        </is>
      </c>
      <c r="O4658" t="inlineStr"/>
    </row>
    <row r="4659">
      <c r="A4659">
        <f>HYPERLINK("https://mathstats.uncg.edu/sites/pauli/congruence/csg17.html#group24C17", "24C¹⁷")</f>
        <v/>
      </c>
      <c r="B4659" t="n">
        <v>17</v>
      </c>
      <c r="C4659" t="inlineStr"/>
      <c r="D4659" t="inlineStr">
        <is>
          <t>288</t>
        </is>
      </c>
      <c r="E4659" t="inlineStr">
        <is>
          <t>1</t>
        </is>
      </c>
      <c r="F4659" t="inlineStr">
        <is>
          <t>3</t>
        </is>
      </c>
      <c r="G4659" t="inlineStr">
        <is>
          <t>0</t>
        </is>
      </c>
      <c r="H4659" t="inlineStr">
        <is>
          <t>0</t>
        </is>
      </c>
      <c r="I4659" t="inlineStr">
        <is>
          <t>12⁸, 24⁸</t>
        </is>
      </c>
      <c r="J4659" t="n">
        <v>16</v>
      </c>
      <c r="K4659" t="inlineStr">
        <is>
          <t>1³</t>
        </is>
      </c>
      <c r="L4659" t="inlineStr">
        <is>
          <t>12B⁵, 24I⁵, 24S⁵, 24A⁹, 24B⁹, 24E⁹, 24G⁹, 24J⁹</t>
        </is>
      </c>
      <c r="M4659" t="inlineStr"/>
      <c r="N4659" t="inlineStr">
        <is>
          <t>12T¹, 12C⁰, 12F³, 6C¹, 12B², 12E², 24A⁵, 2B⁰, 4B⁰, 12G³, 1A⁰, 24F⁵, 24A⁹, 24S³, 3C⁰, 12B¹, 6H⁰, 24H¹, 6E¹, 3B⁰, 8A¹, 24B³, 8B⁰, 24B⁹, 12P¹, 12L¹, 12G⁰, 12D³, 12C¹, 6A⁰, 24C⁵, 12E³, 3D⁰, 2C⁰, 6D⁰, 24E⁹, 2A⁰, 24A³, 12K¹, 12B⁵, 12D², 4C⁰, 24I³, 6G⁰, 12S¹, 24G⁹, 4E⁰, 24C², 12N¹, 24E⁵, 24H³, 24A⁰, 6B¹, 24S⁵, 6K⁰, 24J⁹, 6A¹, 3A⁰, 6F⁰, 6B⁰, 12F¹, 6I⁰, 6F¹, 6C⁰, 24D¹, 8B¹, 24C³, 24I⁵, 24D⁵, 6D¹, 6E⁰, 6L⁰, 6J⁰, 12D⁰, 12H⁰, 12C², 12E⁰</t>
        </is>
      </c>
      <c r="O4659" t="inlineStr"/>
    </row>
    <row r="4660">
      <c r="A4660">
        <f>HYPERLINK("https://mathstats.uncg.edu/sites/pauli/congruence/csg17.html#group24D17", "24D¹⁷")</f>
        <v/>
      </c>
      <c r="B4660" t="n">
        <v>17</v>
      </c>
      <c r="C4660" t="inlineStr"/>
      <c r="D4660" t="inlineStr">
        <is>
          <t>288</t>
        </is>
      </c>
      <c r="E4660" t="inlineStr">
        <is>
          <t>1</t>
        </is>
      </c>
      <c r="F4660" t="inlineStr">
        <is>
          <t>6</t>
        </is>
      </c>
      <c r="G4660" t="inlineStr">
        <is>
          <t>0</t>
        </is>
      </c>
      <c r="H4660" t="inlineStr">
        <is>
          <t>0</t>
        </is>
      </c>
      <c r="I4660" t="inlineStr">
        <is>
          <t>12⁸, 24⁸</t>
        </is>
      </c>
      <c r="J4660" t="n">
        <v>16</v>
      </c>
      <c r="K4660" t="inlineStr">
        <is>
          <t>1², 2²</t>
        </is>
      </c>
      <c r="L4660" t="inlineStr">
        <is>
          <t>24J⁵, 12C⁷, 24H⁷, 24O⁷, 24R⁷, 24A⁹, 24P⁹, 24O⁹</t>
        </is>
      </c>
      <c r="M4660" t="inlineStr"/>
      <c r="N4660" t="inlineStr">
        <is>
          <t>24E¹, 12C⁰, 24P⁴, 4C⁰, 24I³, 6G⁰, 24P², 12M¹, 2B⁰, 24C², 1A⁰, 24O³, 24O⁹, 24R⁷, 24A⁹, 24A⁰, 24N³, 12A¹, 3C⁰, 6K⁰, 3A⁰, 6F⁰, 24P⁹, 12G¹, 3B⁰, 24O⁷, 8D⁰, 24B³, 12F¹, 12B³, 8B⁰, 24L², 12L¹, 12J³, 3D⁰, 8H⁰, 12A⁰, 12C¹, 12D³, 12I³, 24I², 4A⁰, 24C⁵, 24K⁴, 24C¹, 12C⁷, 12J¹, 24J⁵, 4F⁰, 12G², 24H⁷, 12C², 24L⁴, 6D⁰</t>
        </is>
      </c>
      <c r="O4660" t="inlineStr"/>
    </row>
    <row r="4661">
      <c r="A4661">
        <f>HYPERLINK("https://mathstats.uncg.edu/sites/pauli/congruence/csg17.html#group24E17", "24E¹⁷")</f>
        <v/>
      </c>
      <c r="B4661" t="n">
        <v>17</v>
      </c>
      <c r="C4661" t="inlineStr"/>
      <c r="D4661" t="inlineStr">
        <is>
          <t>288</t>
        </is>
      </c>
      <c r="E4661" t="inlineStr">
        <is>
          <t>1</t>
        </is>
      </c>
      <c r="F4661" t="inlineStr">
        <is>
          <t>6</t>
        </is>
      </c>
      <c r="G4661" t="inlineStr">
        <is>
          <t>0</t>
        </is>
      </c>
      <c r="H4661" t="inlineStr">
        <is>
          <t>0</t>
        </is>
      </c>
      <c r="I4661" t="inlineStr">
        <is>
          <t>12⁸, 24⁸</t>
        </is>
      </c>
      <c r="J4661" t="n">
        <v>16</v>
      </c>
      <c r="K4661" t="inlineStr">
        <is>
          <t>1², 2²</t>
        </is>
      </c>
      <c r="L4661" t="inlineStr">
        <is>
          <t>24K⁵, 12C⁷, 24H⁷, 24Q⁷, 24P⁷, 24B⁹, 24N⁹, 24R⁹</t>
        </is>
      </c>
      <c r="M4661" t="inlineStr"/>
      <c r="N4661" t="inlineStr">
        <is>
          <t>24Q³, 24E¹, 24A³, 12C⁰, 4C⁰, 12C², 6G⁰, 12M¹, 2B⁰, 24P³, 24E⁵, 1A⁰, 24O³, 24H³, 24N³, 12A¹, 24T³, 3C⁰, 6K⁰, 3A⁰, 6F⁰, 12G¹, 3B⁰, 24G⁵, 24P⁷, 24K⁵, 8A¹, 12B³, 8D⁰, 12F¹, 24D¹, 24B⁹, 12L¹, 12J³, 24R⁹, 3D⁰, 24C³, 12A⁰, 8C¹, 12C¹, 24I², 12I³, 12D³, 4A⁰, 24C¹, 12C⁷, 12G², 4F⁰, 12J¹, 24H⁷, 24N⁹, 24Q⁷, 6D⁰, 24B⁵</t>
        </is>
      </c>
      <c r="O4661" t="inlineStr"/>
    </row>
    <row r="4662">
      <c r="A4662">
        <f>HYPERLINK("https://mathstats.uncg.edu/sites/pauli/congruence/csg17.html#group24F17", "24F¹⁷")</f>
        <v/>
      </c>
      <c r="B4662" t="n">
        <v>17</v>
      </c>
      <c r="C4662" t="inlineStr"/>
      <c r="D4662" t="inlineStr">
        <is>
          <t>288</t>
        </is>
      </c>
      <c r="E4662" t="inlineStr">
        <is>
          <t>1</t>
        </is>
      </c>
      <c r="F4662" t="inlineStr">
        <is>
          <t>9</t>
        </is>
      </c>
      <c r="G4662" t="inlineStr">
        <is>
          <t>0</t>
        </is>
      </c>
      <c r="H4662" t="inlineStr">
        <is>
          <t>0</t>
        </is>
      </c>
      <c r="I4662" t="inlineStr">
        <is>
          <t>12⁸, 24⁸</t>
        </is>
      </c>
      <c r="J4662" t="n">
        <v>16</v>
      </c>
      <c r="K4662" t="inlineStr">
        <is>
          <t>1³, 2³</t>
        </is>
      </c>
      <c r="L4662" t="inlineStr">
        <is>
          <t>24G⁶, 24C⁸, 24D⁸, 24C⁹, 24S⁹</t>
        </is>
      </c>
      <c r="M4662" t="inlineStr"/>
      <c r="N4662" t="inlineStr">
        <is>
          <t>2A⁰, 24A³, 12C⁰, 4C⁰, 6C¹, 12B², 24A⁵, 24Q², 4G⁰, 2B⁰, 4E⁰, 8C⁰, 4B⁰, 8F¹, 1A⁰, 12A⁴, 24B², 24A⁰, 8G⁰, 24N⁴, 4D⁰, 24M⁴, 12A², 12B¹, 6A¹, 24R³, 3A⁰, 8A¹, 24D⁸, 8D⁰, 24S⁹, 8B⁰, 12E¹, 8B¹, 24L², 24D⁴, 8H⁰, 24G⁶, 12A⁰, 8C¹, 6A⁰, 24C⁸, 4A⁰, 24C¹, 12J¹, 4F⁰, 24C⁹, 2C⁰, 6D⁰, 24B⁵</t>
        </is>
      </c>
      <c r="O4662" t="inlineStr"/>
    </row>
    <row r="4663">
      <c r="A4663">
        <f>HYPERLINK("https://mathstats.uncg.edu/sites/pauli/congruence/csg17.html#group24G17", "24G¹⁷")</f>
        <v/>
      </c>
      <c r="B4663" t="n">
        <v>17</v>
      </c>
      <c r="C4663" t="inlineStr"/>
      <c r="D4663" t="inlineStr">
        <is>
          <t>288</t>
        </is>
      </c>
      <c r="E4663" t="inlineStr">
        <is>
          <t>1</t>
        </is>
      </c>
      <c r="F4663" t="inlineStr">
        <is>
          <t>9</t>
        </is>
      </c>
      <c r="G4663" t="inlineStr">
        <is>
          <t>0</t>
        </is>
      </c>
      <c r="H4663" t="inlineStr">
        <is>
          <t>0</t>
        </is>
      </c>
      <c r="I4663" t="inlineStr">
        <is>
          <t>12⁸, 24⁸</t>
        </is>
      </c>
      <c r="J4663" t="n">
        <v>16</v>
      </c>
      <c r="K4663" t="inlineStr">
        <is>
          <t>1³, 2³</t>
        </is>
      </c>
      <c r="L4663" t="inlineStr">
        <is>
          <t>12B⁷, 24I⁷, 24Q⁷, 24AE⁷, 24G⁹, 24H⁹, 24P⁹, 24Z⁹</t>
        </is>
      </c>
      <c r="M4663" t="inlineStr"/>
      <c r="N4663" t="inlineStr">
        <is>
          <t>24E¹, 12C⁰, 24P⁴, 6C¹, 12B², 12E², 2B⁰, 12M¹, 4B⁰, 12G³, 1A⁰, 24F⁵, 12A⁴, 24AE⁷, 24S³, 4D⁰, 3C⁰, 12B¹, 24K³, 6H⁰, 24P⁹, 12G¹, 6E¹, 12F⁰, 12C³, 12L¹, 12J³, 6A⁰, 12C¹, 24C⁵, 24Z⁹, 24K⁴, 12J¹, 4F⁰, 2C⁰, 6D⁰, 24I⁴, 2A⁰, 12I², 12K¹, 12D², 4C⁰, 6G⁰, 4G⁰, 24G⁹, 24P³, 4E⁰, 24C², 24H³, 6B¹, 24N³, 12B⁷, 24I⁷, 12A², 24D², 6A¹, 24T³, 3A⁰, 24H⁹, 6B⁰, 24N², 12E¹, 24D¹, 12A⁰, 4A⁰, 24E⁴, 12D⁰, 12C⁴, 12H⁰, 24Q⁷</t>
        </is>
      </c>
      <c r="O4663" t="inlineStr"/>
    </row>
    <row r="4664">
      <c r="A4664">
        <f>HYPERLINK("https://mathstats.uncg.edu/sites/pauli/congruence/csg17.html#group24H17", "24H¹⁷")</f>
        <v/>
      </c>
      <c r="B4664" t="n">
        <v>17</v>
      </c>
      <c r="C4664" t="inlineStr"/>
      <c r="D4664" t="inlineStr">
        <is>
          <t>288</t>
        </is>
      </c>
      <c r="E4664" t="inlineStr">
        <is>
          <t>1</t>
        </is>
      </c>
      <c r="F4664" t="inlineStr">
        <is>
          <t>9</t>
        </is>
      </c>
      <c r="G4664" t="inlineStr">
        <is>
          <t>0</t>
        </is>
      </c>
      <c r="H4664" t="inlineStr">
        <is>
          <t>0</t>
        </is>
      </c>
      <c r="I4664" t="inlineStr">
        <is>
          <t>12⁸, 24⁸</t>
        </is>
      </c>
      <c r="J4664" t="n">
        <v>16</v>
      </c>
      <c r="K4664" t="inlineStr">
        <is>
          <t>1³, 2³</t>
        </is>
      </c>
      <c r="L4664" t="inlineStr">
        <is>
          <t>12D⁷, 24J⁷, 24P⁷, 24AD⁷, 24G⁹, 24I⁹, 24O⁹, 24Z⁹</t>
        </is>
      </c>
      <c r="M4664" t="inlineStr"/>
      <c r="N4664" t="inlineStr">
        <is>
          <t>24O², 24E¹, 12C⁰, 24P⁴, 12F³, 6C¹, 12B², 12E², 24J⁷, 2B⁰, 12M¹, 4B⁰, 12G³, 1A⁰, 24O³, 24O⁹, 24F⁵, 24B², 24S³, 3C⁰, 12B¹, 6H⁰, 24AD⁷, 6E¹, 12H¹, 8D⁰, 24J⁴, 12L¹, 24D⁴, 12G⁰, 12C¹, 6A⁰, 12I³, 24C⁵, 24I⁹, 24Z⁹, 24C¹, 24L³, 2C⁰, 6D⁰, 24Q³, 2A⁰, 12K¹, 12D², 4C⁰, 6G⁰, 12B⁴, 8C⁰, 24G⁹, 24C², 12N¹, 4E⁰, 12H², 24H³, 6B¹, 8G⁰, 24D², 24T³, 6A¹, 3A⁰, 24P⁷, 6B⁰, 24D¹, 12D⁷, 24E⁴, 12D⁰, 12C⁴, 12H⁰, 12C², 24L⁴</t>
        </is>
      </c>
      <c r="O4664" t="inlineStr"/>
    </row>
    <row r="4665">
      <c r="A4665">
        <f>HYPERLINK("https://mathstats.uncg.edu/sites/pauli/congruence/csg17.html#group24I17", "24I¹⁷")</f>
        <v/>
      </c>
      <c r="B4665" t="n">
        <v>17</v>
      </c>
      <c r="C4665" t="inlineStr"/>
      <c r="D4665" t="inlineStr">
        <is>
          <t>288</t>
        </is>
      </c>
      <c r="E4665" t="inlineStr">
        <is>
          <t>1</t>
        </is>
      </c>
      <c r="F4665" t="inlineStr">
        <is>
          <t>9</t>
        </is>
      </c>
      <c r="G4665" t="inlineStr">
        <is>
          <t>0</t>
        </is>
      </c>
      <c r="H4665" t="inlineStr">
        <is>
          <t>0</t>
        </is>
      </c>
      <c r="I4665" t="inlineStr">
        <is>
          <t>12⁸, 24⁸</t>
        </is>
      </c>
      <c r="J4665" t="n">
        <v>16</v>
      </c>
      <c r="K4665" t="inlineStr">
        <is>
          <t>1³, 2³</t>
        </is>
      </c>
      <c r="L4665" t="inlineStr">
        <is>
          <t>24V⁵, 12D⁷, 24I⁷, 24O⁷, 24F⁹, 24J⁹, 24M⁹, 24N⁹, 24Z⁹</t>
        </is>
      </c>
      <c r="M4665" t="inlineStr"/>
      <c r="N4665" t="inlineStr">
        <is>
          <t>24F⁹, 24E¹, 12C⁰, 24P⁴, 6C¹, 24A⁵, 12B², 12E², 24P², 12F³, 12M¹, 2B⁰, 4B⁰, 12G³, 1A⁰, 24F⁵, 3C⁰, 12B¹, 24K³, 6H⁰, 24H¹, 6E¹, 8A¹, 12H¹, 8B⁰, 12L¹, 12G⁰, 6A⁰, 12C¹, 12I³, 24Z⁹, 12C², 2C⁰, 6D⁰, 24I⁴, 2A⁰, 24A³, 12K¹, 12D², 4C⁰, 24I³, 6G⁰, 12B⁴, 24M⁹, 4E⁰, 12N¹, 24C², 24E⁵, 12H², 24V⁵, 24A⁰, 6B¹, 24N³, 24D², 24I⁷, 24T³, 24J⁹, 6A¹, 3A⁰, 24G⁵, 6B⁰, 24O⁷, 24N², 24D¹, 8B¹, 24D⁵, 12D⁷, 24E⁴, 12D⁰, 12C⁴, 12H⁰, 24N⁹</t>
        </is>
      </c>
      <c r="O4665" t="inlineStr"/>
    </row>
    <row r="4666">
      <c r="A4666">
        <f>HYPERLINK("https://mathstats.uncg.edu/sites/pauli/congruence/csg17.html#group24J17", "24J¹⁷")</f>
        <v/>
      </c>
      <c r="B4666" t="n">
        <v>17</v>
      </c>
      <c r="C4666" t="inlineStr"/>
      <c r="D4666" t="inlineStr">
        <is>
          <t>288</t>
        </is>
      </c>
      <c r="E4666" t="inlineStr">
        <is>
          <t>1</t>
        </is>
      </c>
      <c r="F4666" t="inlineStr">
        <is>
          <t>9</t>
        </is>
      </c>
      <c r="G4666" t="inlineStr">
        <is>
          <t>0</t>
        </is>
      </c>
      <c r="H4666" t="inlineStr">
        <is>
          <t>0</t>
        </is>
      </c>
      <c r="I4666" t="inlineStr">
        <is>
          <t>12⁸, 24⁸</t>
        </is>
      </c>
      <c r="J4666" t="n">
        <v>16</v>
      </c>
      <c r="K4666" t="inlineStr">
        <is>
          <t>1³, 2³</t>
        </is>
      </c>
      <c r="L4666" t="inlineStr">
        <is>
          <t>24W⁵, 12B⁷, 24J⁷, 24R⁷, 24C⁹, 24F⁹, 24H⁹, 24I⁹, 24J⁹, 24Q⁹, 24R⁹</t>
        </is>
      </c>
      <c r="M4666" t="inlineStr"/>
      <c r="N4666" t="inlineStr">
        <is>
          <t>24F⁹, 24O², 24E¹, 12C⁰, 6C¹, 24A⁵, 12B², 12E², 24P², 24J⁷, 12M¹, 2B⁰, 4B⁰, 12G³, 1A⁰, 24W⁵, 24O³, 24F⁵, 12A⁴, 24B², 24R⁷, 4D⁰, 3C⁰, 12B¹, 6H⁰, 24H¹, 12G¹, 6E¹, 8A¹, 8D⁰, 24J⁴, 8B⁰, 12F⁰, 12C³, 12L¹, 12J³, 24R⁹, 24D⁴, 8C¹, 6A⁰, 12C¹, 24I⁹, 24K⁴, 24C¹, 12J¹, 4F⁰, 24C⁹, 24L³, 2C⁰, 6D⁰, 2A⁰, 24A³, 12I², 24Q³, 12K¹, 12D², 4C⁰, 24I³, 6G⁰, 4G⁰, 8C⁰, 4E⁰, 24C², 24P³, 24E⁵, 8F¹, 24Q⁹, 24A⁰, 8G⁰, 6B¹, 12B⁷, 24D², 12A², 24J⁹, 6A¹, 3A⁰, 24G⁵, 24H⁹, 6B⁰, 12E¹, 24D¹, 8B¹, 24L², 8H⁰, 24D⁵, 12A⁰, 4A⁰, 24E⁴, 12D⁰, 12C⁴, 12H⁰, 24L⁴, 24B⁵</t>
        </is>
      </c>
      <c r="O4666" t="inlineStr"/>
    </row>
    <row r="4667">
      <c r="A4667">
        <f>HYPERLINK("https://mathstats.uncg.edu/sites/pauli/congruence/csg17.html#group24K17", "24K¹⁷")</f>
        <v/>
      </c>
      <c r="B4667" t="n">
        <v>17</v>
      </c>
      <c r="C4667" t="inlineStr"/>
      <c r="D4667" t="inlineStr">
        <is>
          <t>288</t>
        </is>
      </c>
      <c r="E4667" t="inlineStr">
        <is>
          <t>1</t>
        </is>
      </c>
      <c r="F4667" t="inlineStr">
        <is>
          <t>12</t>
        </is>
      </c>
      <c r="G4667" t="inlineStr">
        <is>
          <t>0</t>
        </is>
      </c>
      <c r="H4667" t="inlineStr">
        <is>
          <t>0</t>
        </is>
      </c>
      <c r="I4667" t="inlineStr">
        <is>
          <t>12⁸, 24⁸</t>
        </is>
      </c>
      <c r="J4667" t="n">
        <v>16</v>
      </c>
      <c r="K4667" t="inlineStr">
        <is>
          <t>1⁴, 2², 4¹</t>
        </is>
      </c>
      <c r="L4667" t="inlineStr">
        <is>
          <t>24M⁵, 24B⁹</t>
        </is>
      </c>
      <c r="M4667" t="inlineStr"/>
      <c r="N4667" t="inlineStr">
        <is>
          <t>24A³, 12C⁰, 4C⁰, 12C², 6G⁰, 2B⁰, 24E⁵, 1A⁰, 24H³, 3C⁰, 6K⁰, 3A⁰, 6F⁰, 3B⁰, 8A¹, 12F¹, 24D¹, 24B⁹, 12L¹, 24C³, 12D³, 24M⁵, 12C¹, 3D⁰, 6D⁰</t>
        </is>
      </c>
      <c r="O4667" t="inlineStr"/>
    </row>
    <row r="4668">
      <c r="A4668">
        <f>HYPERLINK("https://mathstats.uncg.edu/sites/pauli/congruence/csg17.html#group24L17", "24L¹⁷")</f>
        <v/>
      </c>
      <c r="B4668" t="n">
        <v>17</v>
      </c>
      <c r="C4668" t="inlineStr"/>
      <c r="D4668" t="inlineStr">
        <is>
          <t>288</t>
        </is>
      </c>
      <c r="E4668" t="inlineStr">
        <is>
          <t>1</t>
        </is>
      </c>
      <c r="F4668" t="inlineStr">
        <is>
          <t>12</t>
        </is>
      </c>
      <c r="G4668" t="inlineStr">
        <is>
          <t>0</t>
        </is>
      </c>
      <c r="H4668" t="inlineStr">
        <is>
          <t>0</t>
        </is>
      </c>
      <c r="I4668" t="inlineStr">
        <is>
          <t>12⁸, 24⁸</t>
        </is>
      </c>
      <c r="J4668" t="n">
        <v>16</v>
      </c>
      <c r="K4668" t="inlineStr">
        <is>
          <t>1⁴, 2², 4¹</t>
        </is>
      </c>
      <c r="L4668" t="inlineStr">
        <is>
          <t>24N⁵, 24Z⁷, 24AA⁷, 24A⁹</t>
        </is>
      </c>
      <c r="M4668" t="inlineStr"/>
      <c r="N4668" t="inlineStr">
        <is>
          <t>12C⁰, 24AA⁷, 24N⁵, 4C⁰, 12C², 24I³, 6G⁰, 24Q², 8L⁰, 2B⁰, 24C², 1A⁰, 24A⁹, 24A⁰, 3C⁰, 6K⁰, 3A⁰, 6F⁰, 3B⁰, 24B³, 12F¹, 24Z⁷, 8B⁰, 12L¹, 12D³, 12C¹, 24C⁵, 24M², 3D⁰, 6D⁰</t>
        </is>
      </c>
      <c r="O4668" t="inlineStr"/>
    </row>
    <row r="4669">
      <c r="A4669">
        <f>HYPERLINK("https://mathstats.uncg.edu/sites/pauli/congruence/csg17.html#group24M17", "24M¹⁷")</f>
        <v/>
      </c>
      <c r="B4669" t="n">
        <v>17</v>
      </c>
      <c r="C4669" t="inlineStr"/>
      <c r="D4669" t="inlineStr">
        <is>
          <t>288</t>
        </is>
      </c>
      <c r="E4669" t="inlineStr">
        <is>
          <t>1</t>
        </is>
      </c>
      <c r="F4669" t="inlineStr">
        <is>
          <t>18</t>
        </is>
      </c>
      <c r="G4669" t="inlineStr">
        <is>
          <t>0</t>
        </is>
      </c>
      <c r="H4669" t="inlineStr">
        <is>
          <t>0</t>
        </is>
      </c>
      <c r="I4669" t="inlineStr">
        <is>
          <t>12⁸, 24⁸</t>
        </is>
      </c>
      <c r="J4669" t="n">
        <v>16</v>
      </c>
      <c r="K4669" t="inlineStr">
        <is>
          <t>2³, 4³</t>
        </is>
      </c>
      <c r="L4669" t="inlineStr">
        <is>
          <t>12C⁵, 24T⁵, 24E⁹</t>
        </is>
      </c>
      <c r="M4669" t="inlineStr"/>
      <c r="N4669" t="inlineStr">
        <is>
          <t>12T¹, 24A³, 12D¹, 12C⁰, 4C⁰, 6G⁰, 24M³, 2B⁰, 24C², 12N¹, 24E⁵, 1A⁰, 12C⁵, 24S³, 3C⁰, 24E⁹, 6H⁰, 3A⁰, 12H³, 12U¹, 6B⁰, 24I¹, 8A¹, 24D¹, 12L¹, 24D⁵, 12G⁰, 12C¹, 6E⁰, 6L⁰, 24T⁵, 24C⁵, 12D⁰, 12H⁰, 6D⁰</t>
        </is>
      </c>
      <c r="O4669" t="inlineStr"/>
    </row>
    <row r="4670">
      <c r="A4670">
        <f>HYPERLINK("https://mathstats.uncg.edu/sites/pauli/congruence/csg17.html#group24N17", "24N¹⁷")</f>
        <v/>
      </c>
      <c r="B4670" t="n">
        <v>17</v>
      </c>
      <c r="C4670" t="inlineStr"/>
      <c r="D4670" t="inlineStr">
        <is>
          <t>288</t>
        </is>
      </c>
      <c r="E4670" t="inlineStr">
        <is>
          <t>1</t>
        </is>
      </c>
      <c r="F4670" t="inlineStr">
        <is>
          <t>18</t>
        </is>
      </c>
      <c r="G4670" t="inlineStr">
        <is>
          <t>0</t>
        </is>
      </c>
      <c r="H4670" t="inlineStr">
        <is>
          <t>0</t>
        </is>
      </c>
      <c r="I4670" t="inlineStr">
        <is>
          <t>12⁸, 24⁸</t>
        </is>
      </c>
      <c r="J4670" t="n">
        <v>16</v>
      </c>
      <c r="K4670" t="inlineStr">
        <is>
          <t>1², 2⁴, 4²</t>
        </is>
      </c>
      <c r="L4670" t="inlineStr">
        <is>
          <t>12D⁵, 24U⁵, 24AE⁷, 24AD⁷, 24E⁹, 24M⁹, 24P⁹, 24O⁹, 24N⁹, 24Q⁹, 24R⁹</t>
        </is>
      </c>
      <c r="M4670" t="inlineStr"/>
      <c r="N4670" t="inlineStr">
        <is>
          <t>12T¹, 24O², 24Q³, 24E¹, 12I², 24A³, 12C⁰, 24P⁴, 4C⁰, 6G⁰, 2B⁰, 24M⁹, 12M¹, 24C², 24P³, 12N¹, 1A⁰, 24O³, 24E⁵, 24O⁹, 24Q⁹, 12H², 24AE⁷, 24S³, 24N³, 6D⁰, 24U⁵, 24T³, 3C⁰, 12Q¹, 6H⁰, 3A⁰, 24P⁹, 24AD⁷, 24G⁵, 12G¹, 6B⁰, 8A¹, 24N², 8D⁰, 24D¹, 12F⁰, 12D⁵, 12L¹, 12J³, 24R⁹, 24D⁵, 12G⁰, 12A⁰, 8C¹, 12C¹, 6E⁰, 6L⁰, 4A⁰, 12I³, 24C⁵, 24K⁴, 24C¹, 12J¹, 12D⁰, 4F⁰, 12H⁰, 24N⁹, 24L⁴, 24E⁹, 24B⁵</t>
        </is>
      </c>
      <c r="O4670" t="inlineStr"/>
    </row>
    <row r="4671">
      <c r="A4671">
        <f>HYPERLINK("https://mathstats.uncg.edu/sites/pauli/congruence/csg17.html#group24O17", "24O¹⁷")</f>
        <v/>
      </c>
      <c r="B4671" t="n">
        <v>17</v>
      </c>
      <c r="C4671" t="inlineStr"/>
      <c r="D4671" t="inlineStr">
        <is>
          <t>288</t>
        </is>
      </c>
      <c r="E4671" t="inlineStr">
        <is>
          <t>1</t>
        </is>
      </c>
      <c r="F4671" t="inlineStr">
        <is>
          <t>18</t>
        </is>
      </c>
      <c r="G4671" t="inlineStr">
        <is>
          <t>0</t>
        </is>
      </c>
      <c r="H4671" t="inlineStr">
        <is>
          <t>0</t>
        </is>
      </c>
      <c r="I4671" t="inlineStr">
        <is>
          <t>12⁸, 24⁸</t>
        </is>
      </c>
      <c r="J4671" t="n">
        <v>16</v>
      </c>
      <c r="K4671" t="inlineStr">
        <is>
          <t>2⁷, 4¹</t>
        </is>
      </c>
      <c r="L4671" t="inlineStr">
        <is>
          <t>12P³, 24S⁷, 24E⁹</t>
        </is>
      </c>
      <c r="M4671" t="inlineStr"/>
      <c r="N4671" t="inlineStr">
        <is>
          <t>12T¹, 24Q⁴, 24A³, 6B⁰, 12C⁰, 8A¹, 4C⁰, 24D¹, 6G⁰, 2B⁰, 24C², 12N¹, 12H⁰, 24E⁵, 1A⁰, 12L¹, 24D⁵, 12G⁰, 12C¹, 6E⁰, 6L⁰, 24C⁵, 12P³, 6D⁰, 24S³, 3C⁰, 12D⁰, 6H⁰, 3A⁰, 24E⁹, 24S⁷</t>
        </is>
      </c>
      <c r="O4671" t="inlineStr"/>
    </row>
    <row r="4672">
      <c r="A4672">
        <f>HYPERLINK("https://mathstats.uncg.edu/sites/pauli/congruence/csg17.html#group24P17", "24P¹⁷")</f>
        <v/>
      </c>
      <c r="B4672" t="n">
        <v>17</v>
      </c>
      <c r="C4672" t="inlineStr"/>
      <c r="D4672" t="inlineStr">
        <is>
          <t>288</t>
        </is>
      </c>
      <c r="E4672" t="inlineStr">
        <is>
          <t>1</t>
        </is>
      </c>
      <c r="F4672" t="inlineStr">
        <is>
          <t>18</t>
        </is>
      </c>
      <c r="G4672" t="inlineStr">
        <is>
          <t>0</t>
        </is>
      </c>
      <c r="H4672" t="inlineStr">
        <is>
          <t>0</t>
        </is>
      </c>
      <c r="I4672" t="inlineStr">
        <is>
          <t>12⁸, 24⁸</t>
        </is>
      </c>
      <c r="J4672" t="n">
        <v>16</v>
      </c>
      <c r="K4672" t="inlineStr">
        <is>
          <t>2⁷, 4¹</t>
        </is>
      </c>
      <c r="L4672" t="inlineStr">
        <is>
          <t>24D⁸, 24I⁸, 24I⁹, 24T⁹</t>
        </is>
      </c>
      <c r="M4672" t="inlineStr"/>
      <c r="N4672" t="inlineStr">
        <is>
          <t>2A⁰, 24Q³, 12C⁰, 6C¹, 4C⁰, 12B², 12E², 24L⁴, 2B⁰, 4E⁰, 24C², 12M¹, 4B⁰, 8C⁰, 1A⁰, 24I⁸, 24F⁵, 24B², 8G⁰, 24N⁴, 24M⁴, 12B¹, 6A¹, 3A⁰, 24D⁸, 8D⁰, 24D¹, 24D⁴, 6A⁰, 12C¹, 24I⁹, 24T⁹, 24C¹, 12D⁰, 12C⁴, 2C⁰, 6D⁰</t>
        </is>
      </c>
      <c r="O4672" t="inlineStr"/>
    </row>
    <row r="4673">
      <c r="A4673">
        <f>HYPERLINK("https://mathstats.uncg.edu/sites/pauli/congruence/csg17.html#group24Q17", "24Q¹⁷")</f>
        <v/>
      </c>
      <c r="B4673" t="n">
        <v>17</v>
      </c>
      <c r="C4673" t="inlineStr"/>
      <c r="D4673" t="inlineStr">
        <is>
          <t>288</t>
        </is>
      </c>
      <c r="E4673" t="inlineStr">
        <is>
          <t>1</t>
        </is>
      </c>
      <c r="F4673" t="inlineStr">
        <is>
          <t>18</t>
        </is>
      </c>
      <c r="G4673" t="inlineStr">
        <is>
          <t>0</t>
        </is>
      </c>
      <c r="H4673" t="inlineStr">
        <is>
          <t>0</t>
        </is>
      </c>
      <c r="I4673" t="inlineStr">
        <is>
          <t>12⁸, 24⁸</t>
        </is>
      </c>
      <c r="J4673" t="n">
        <v>16</v>
      </c>
      <c r="K4673" t="inlineStr">
        <is>
          <t>2⁷, 4¹</t>
        </is>
      </c>
      <c r="L4673" t="inlineStr">
        <is>
          <t>24H⁶, 24I⁶, 24G⁸, 24I⁸, 24F⁹, 24S⁹</t>
        </is>
      </c>
      <c r="M4673" t="inlineStr"/>
      <c r="N4673" t="inlineStr">
        <is>
          <t>24F⁹, 2A⁰, 24E¹, 24A³, 12C⁰, 4C⁰, 24A⁵, 6C¹, 12B², 24P², 12E², 12M¹, 2B⁰, 4E⁰, 24Q², 4B⁰, 1A⁰, 24I⁸, 24A⁰, 24N⁴, 24H⁶, 24D², 12B¹, 6A¹, 3A⁰, 24G⁵, 24I⁶, 8A¹, 24S⁹, 8B⁰, 8B¹, 24G⁸, 6A⁰, 12C¹, 24E⁴, 12D⁰, 12C⁴, 2C⁰, 6D⁰</t>
        </is>
      </c>
      <c r="O4673" t="inlineStr"/>
    </row>
    <row r="4674">
      <c r="A4674">
        <f>HYPERLINK("https://mathstats.uncg.edu/sites/pauli/congruence/csg17.html#group24R17", "24R¹⁷")</f>
        <v/>
      </c>
      <c r="B4674" t="n">
        <v>17</v>
      </c>
      <c r="C4674" t="inlineStr"/>
      <c r="D4674" t="inlineStr">
        <is>
          <t>288</t>
        </is>
      </c>
      <c r="E4674" t="inlineStr">
        <is>
          <t>1</t>
        </is>
      </c>
      <c r="F4674" t="inlineStr">
        <is>
          <t>18</t>
        </is>
      </c>
      <c r="G4674" t="inlineStr">
        <is>
          <t>0</t>
        </is>
      </c>
      <c r="H4674" t="inlineStr">
        <is>
          <t>0</t>
        </is>
      </c>
      <c r="I4674" t="inlineStr">
        <is>
          <t>12⁸, 24⁸</t>
        </is>
      </c>
      <c r="J4674" t="n">
        <v>16</v>
      </c>
      <c r="K4674" t="inlineStr">
        <is>
          <t>2⁹</t>
        </is>
      </c>
      <c r="L4674" t="inlineStr">
        <is>
          <t>24C⁸, 24G⁸, 24H⁹, 24T⁹</t>
        </is>
      </c>
      <c r="M4674" t="inlineStr"/>
      <c r="N4674" t="inlineStr">
        <is>
          <t>2A⁰, 24E¹, 12C⁰, 6C¹, 4C⁰, 12B², 4G⁰, 2B⁰, 4E⁰, 24P³, 24C², 4B⁰, 1A⁰, 24F⁵, 12A⁴, 24N⁴, 4D⁰, 12A², 24D², 24R³, 6A¹, 12B¹, 3A⁰, 24H⁹, 12E¹, 24D¹, 24G⁸, 12A⁰, 6A⁰, 24C⁸, 4A⁰, 24T⁹, 24K⁴, 24E⁴, 12J¹, 4F⁰, 2C⁰, 6D⁰</t>
        </is>
      </c>
      <c r="O4674" t="inlineStr"/>
    </row>
    <row r="4675">
      <c r="A4675">
        <f>HYPERLINK("https://mathstats.uncg.edu/sites/pauli/congruence/csg17.html#group24S17", "24S¹⁷")</f>
        <v/>
      </c>
      <c r="B4675" t="n">
        <v>17</v>
      </c>
      <c r="C4675" t="inlineStr"/>
      <c r="D4675" t="inlineStr">
        <is>
          <t>288</t>
        </is>
      </c>
      <c r="E4675" t="inlineStr">
        <is>
          <t>1</t>
        </is>
      </c>
      <c r="F4675" t="inlineStr">
        <is>
          <t>18</t>
        </is>
      </c>
      <c r="G4675" t="inlineStr">
        <is>
          <t>0</t>
        </is>
      </c>
      <c r="H4675" t="inlineStr">
        <is>
          <t>0</t>
        </is>
      </c>
      <c r="I4675" t="inlineStr">
        <is>
          <t>12⁸, 24⁸</t>
        </is>
      </c>
      <c r="J4675" t="n">
        <v>16</v>
      </c>
      <c r="K4675" t="inlineStr">
        <is>
          <t>1⁴, 2⁵, 4¹</t>
        </is>
      </c>
      <c r="L4675" t="inlineStr">
        <is>
          <t>24B⁸, 24D⁸, 24J⁸, 24I⁹, 24U⁹</t>
        </is>
      </c>
      <c r="M4675" t="inlineStr"/>
      <c r="N4675" t="inlineStr">
        <is>
          <t>2A⁰, 24Q³, 12C⁰, 6C¹, 4C⁰, 12B², 12E², 24L⁴, 2B⁰, 4E⁰, 8C⁰, 24C², 4B⁰, 12M¹, 1A⁰, 24F⁵, 24B², 8G⁰, 24N⁴, 24M⁴, 24J⁸, 12B¹, 6A¹, 3A⁰, 24F⁴, 24D⁸, 8D⁰, 24B⁸, 24D¹, 8I⁰, 24D⁴, 6A⁰, 24U⁹, 12C¹, 24I⁹, 24C¹, 12D⁰, 12C⁴, 8J⁰, 2C⁰, 6D⁰, 24G⁴, 8O⁰</t>
        </is>
      </c>
      <c r="O4675" t="inlineStr"/>
    </row>
    <row r="4676">
      <c r="A4676">
        <f>HYPERLINK("https://mathstats.uncg.edu/sites/pauli/congruence/csg17.html#group24T17", "24T¹⁷")</f>
        <v/>
      </c>
      <c r="B4676" t="n">
        <v>17</v>
      </c>
      <c r="C4676" t="inlineStr"/>
      <c r="D4676" t="inlineStr">
        <is>
          <t>288</t>
        </is>
      </c>
      <c r="E4676" t="inlineStr">
        <is>
          <t>1</t>
        </is>
      </c>
      <c r="F4676" t="inlineStr">
        <is>
          <t>18</t>
        </is>
      </c>
      <c r="G4676" t="inlineStr">
        <is>
          <t>0</t>
        </is>
      </c>
      <c r="H4676" t="inlineStr">
        <is>
          <t>0</t>
        </is>
      </c>
      <c r="I4676" t="inlineStr">
        <is>
          <t>12⁸, 24⁸</t>
        </is>
      </c>
      <c r="J4676" t="n">
        <v>16</v>
      </c>
      <c r="K4676" t="inlineStr">
        <is>
          <t>1⁴, 2⁵, 4¹</t>
        </is>
      </c>
      <c r="L4676" t="inlineStr">
        <is>
          <t>24X⁵, 24V⁷, 24Z⁷, 24J⁹, 24S⁹, 24T⁹</t>
        </is>
      </c>
      <c r="M4676" t="inlineStr"/>
      <c r="N4676" t="inlineStr">
        <is>
          <t>24X⁵, 2A⁰, 24A³, 12C⁰, 12K¹, 12D², 4C⁰, 6C¹, 12B², 12E², 24Q², 6G⁰, 2B⁰, 4E⁰, 24I³, 24C², 4B⁰, 12G³, 1A⁰, 24E⁵, 24F⁵, 24A⁰, 6B¹, 24N⁴, 3C⁰, 24J⁹, 6A¹, 12B¹, 6H⁰, 3A⁰, 24H¹, 6E¹, 6B⁰, 8A¹, 24V⁷, 24Z⁷, 24S⁹, 24D¹, 8B⁰, 8B¹, 12L¹, 24D⁵, 6A⁰, 12C¹, 24T⁹, 12D⁰, 12H⁰, 2C⁰, 24A⁵, 6D⁰</t>
        </is>
      </c>
      <c r="O4676" t="inlineStr"/>
    </row>
    <row r="4677">
      <c r="A4677">
        <f>HYPERLINK("https://mathstats.uncg.edu/sites/pauli/congruence/csg17.html#group24U17", "24U¹⁷")</f>
        <v/>
      </c>
      <c r="B4677" t="n">
        <v>17</v>
      </c>
      <c r="C4677" t="inlineStr"/>
      <c r="D4677" t="inlineStr">
        <is>
          <t>288</t>
        </is>
      </c>
      <c r="E4677" t="inlineStr">
        <is>
          <t>1</t>
        </is>
      </c>
      <c r="F4677" t="inlineStr">
        <is>
          <t>18</t>
        </is>
      </c>
      <c r="G4677" t="inlineStr">
        <is>
          <t>0</t>
        </is>
      </c>
      <c r="H4677" t="inlineStr">
        <is>
          <t>0</t>
        </is>
      </c>
      <c r="I4677" t="inlineStr">
        <is>
          <t>12⁸, 24⁸</t>
        </is>
      </c>
      <c r="J4677" t="n">
        <v>16</v>
      </c>
      <c r="K4677" t="inlineStr">
        <is>
          <t>1⁴, 2⁵, 4¹</t>
        </is>
      </c>
      <c r="L4677" t="inlineStr">
        <is>
          <t>24K⁶, 24H⁸, 24J⁸, 24D⁹, 24F⁹, 24S⁹</t>
        </is>
      </c>
      <c r="M4677" t="inlineStr"/>
      <c r="N4677" t="inlineStr">
        <is>
          <t>24F⁹, 2A⁰, 24E¹, 24A³, 12C⁰, 4C⁰, 24A⁵, 6C¹, 12B², 24P², 12E², 12M¹, 2B⁰, 4E⁰, 8L⁰, 4B⁰, 24Q², 1A⁰, 24A⁰, 24N⁴, 24H⁸, 8G¹, 24J⁸, 24D², 24K⁶, 12B¹, 6A¹, 3A⁰, 24G⁵, 8A¹, 24S⁹, 8B⁰, 8B¹, 24D⁹, 6A⁰, 12C¹, 24M², 24E⁴, 12D⁰, 12C⁴, 8J⁰, 2C⁰, 6D⁰, 24G⁴</t>
        </is>
      </c>
      <c r="O4677" t="inlineStr"/>
    </row>
    <row r="4678">
      <c r="A4678">
        <f>HYPERLINK("https://mathstats.uncg.edu/sites/pauli/congruence/csg17.html#group24V17", "24V¹⁷")</f>
        <v/>
      </c>
      <c r="B4678" t="n">
        <v>17</v>
      </c>
      <c r="C4678" t="inlineStr"/>
      <c r="D4678" t="inlineStr">
        <is>
          <t>288</t>
        </is>
      </c>
      <c r="E4678" t="inlineStr">
        <is>
          <t>1</t>
        </is>
      </c>
      <c r="F4678" t="inlineStr">
        <is>
          <t>18</t>
        </is>
      </c>
      <c r="G4678" t="inlineStr">
        <is>
          <t>0</t>
        </is>
      </c>
      <c r="H4678" t="inlineStr">
        <is>
          <t>0</t>
        </is>
      </c>
      <c r="I4678" t="inlineStr">
        <is>
          <t>12⁸, 24⁸</t>
        </is>
      </c>
      <c r="J4678" t="n">
        <v>16</v>
      </c>
      <c r="K4678" t="inlineStr">
        <is>
          <t>1⁴, 2⁵, 4¹</t>
        </is>
      </c>
      <c r="L4678" t="inlineStr">
        <is>
          <t>24Y⁵, 24W⁷, 24AA⁷, 24D⁹, 24J⁹, 24S⁹, 24U⁹</t>
        </is>
      </c>
      <c r="M4678" t="inlineStr"/>
      <c r="N4678" t="inlineStr">
        <is>
          <t>2A⁰, 24A³, 12C⁰, 24AA⁷, 12K¹, 12E², 12D², 4C⁰, 24A⁵, 6C¹, 12B², 24I³, 8L⁰, 2B⁰, 4E⁰, 6G⁰, 24Q², 4B⁰, 24C², 1A⁰, 24E⁵, 12G³, 24F⁵, 24A⁰, 6B¹, 24N⁴, 8G¹, 3C⁰, 24J⁹, 12B¹, 6A¹, 6H⁰, 3A⁰, 24H¹, 6E¹, 6B⁰, 8A¹, 24S⁹, 8B⁰, 24D¹, 24Y⁵, 8B¹, 24W⁷, 12L¹, 24D⁹, 24D⁵, 6A⁰, 24U⁹, 12C¹, 24M², 12D⁰, 12H⁰, 8J⁰, 2C⁰, 6D⁰, 24G⁴</t>
        </is>
      </c>
      <c r="O4678" t="inlineStr"/>
    </row>
    <row r="4679">
      <c r="A4679">
        <f>HYPERLINK("https://mathstats.uncg.edu/sites/pauli/congruence/csg17.html#group24W17", "24W¹⁷")</f>
        <v/>
      </c>
      <c r="B4679" t="n">
        <v>17</v>
      </c>
      <c r="C4679" t="inlineStr"/>
      <c r="D4679" t="inlineStr">
        <is>
          <t>288</t>
        </is>
      </c>
      <c r="E4679" t="inlineStr">
        <is>
          <t>1</t>
        </is>
      </c>
      <c r="F4679" t="inlineStr">
        <is>
          <t>18</t>
        </is>
      </c>
      <c r="G4679" t="inlineStr">
        <is>
          <t>0</t>
        </is>
      </c>
      <c r="H4679" t="inlineStr">
        <is>
          <t>0</t>
        </is>
      </c>
      <c r="I4679" t="inlineStr">
        <is>
          <t>12⁸, 24⁸</t>
        </is>
      </c>
      <c r="J4679" t="n">
        <v>16</v>
      </c>
      <c r="K4679" t="inlineStr">
        <is>
          <t>1⁶, 2⁶</t>
        </is>
      </c>
      <c r="L4679" t="inlineStr">
        <is>
          <t>24A⁸, 24C⁸, 24H⁸, 24H⁹, 24U⁹</t>
        </is>
      </c>
      <c r="M4679" t="inlineStr"/>
      <c r="N4679" t="inlineStr">
        <is>
          <t>2A⁰, 24E¹, 12C⁰, 6C¹, 4C⁰, 12B², 4G⁰, 2B⁰, 24P³, 4E⁰, 24C², 4B⁰, 1A⁰, 8K⁰, 24F⁵, 12A⁴, 24N⁴, 24H⁸, 4D⁰, 12A², 24D², 6A¹, 12B¹, 24R³, 3A⁰, 24H⁹, 8N⁰, 24A⁸, 12E¹, 24D¹, 24J³, 12A⁰, 6A⁰, 24U⁹, 24C⁸, 4A⁰, 24K⁴, 24E⁴, 12J¹, 4F⁰, 8J⁰, 2C⁰, 6D⁰, 24G⁴</t>
        </is>
      </c>
      <c r="O4679" t="inlineStr"/>
    </row>
    <row r="4680">
      <c r="A4680">
        <f>HYPERLINK("https://mathstats.uncg.edu/sites/pauli/congruence/csg17.html#group24X17", "24X¹⁷")</f>
        <v/>
      </c>
      <c r="B4680" t="n">
        <v>17</v>
      </c>
      <c r="C4680" t="inlineStr"/>
      <c r="D4680" t="inlineStr">
        <is>
          <t>288</t>
        </is>
      </c>
      <c r="E4680" t="inlineStr">
        <is>
          <t>1</t>
        </is>
      </c>
      <c r="F4680" t="inlineStr">
        <is>
          <t>36</t>
        </is>
      </c>
      <c r="G4680" t="inlineStr">
        <is>
          <t>0</t>
        </is>
      </c>
      <c r="H4680" t="inlineStr">
        <is>
          <t>0</t>
        </is>
      </c>
      <c r="I4680" t="inlineStr">
        <is>
          <t>12⁸, 24⁸</t>
        </is>
      </c>
      <c r="J4680" t="n">
        <v>16</v>
      </c>
      <c r="K4680" t="inlineStr">
        <is>
          <t>2⁴, 4⁷</t>
        </is>
      </c>
      <c r="L4680" t="inlineStr">
        <is>
          <t>12E⁷, 24N⁷, 24L⁹</t>
        </is>
      </c>
      <c r="M4680" t="inlineStr"/>
      <c r="N4680" t="inlineStr">
        <is>
          <t>24Q⁴, 24I⁴, 12D¹, 12K¹, 12D², 12E⁷, 6G⁰, 2B⁰, 8C⁰, 12N¹, 4B⁰, 1A⁰, 24B², 24D², 3C⁰, 24L⁹, 12B¹, 24K³, 6H⁰, 3A⁰, 12H³, 12U¹, 6B⁰, 24N⁷, 24J⁴, 12C¹, 6E⁰, 6L⁰, 12E³, 12D⁰, 24L³, 12C², 6D⁰</t>
        </is>
      </c>
      <c r="O4680" t="inlineStr"/>
    </row>
    <row r="4681">
      <c r="A4681">
        <f>HYPERLINK("https://mathstats.uncg.edu/sites/pauli/congruence/csg17.html#group24Y17", "24Y¹⁷")</f>
        <v/>
      </c>
      <c r="B4681" t="n">
        <v>17</v>
      </c>
      <c r="C4681" t="inlineStr"/>
      <c r="D4681" t="inlineStr">
        <is>
          <t>288</t>
        </is>
      </c>
      <c r="E4681" t="inlineStr">
        <is>
          <t>1</t>
        </is>
      </c>
      <c r="F4681" t="inlineStr">
        <is>
          <t>36</t>
        </is>
      </c>
      <c r="G4681" t="inlineStr">
        <is>
          <t>0</t>
        </is>
      </c>
      <c r="H4681" t="inlineStr">
        <is>
          <t>0</t>
        </is>
      </c>
      <c r="I4681" t="inlineStr">
        <is>
          <t>12⁸, 24⁸</t>
        </is>
      </c>
      <c r="J4681" t="n">
        <v>16</v>
      </c>
      <c r="K4681" t="inlineStr">
        <is>
          <t>2⁶, 4⁶</t>
        </is>
      </c>
      <c r="L4681" t="inlineStr">
        <is>
          <t>12D⁷, 24M⁷, 24K⁹</t>
        </is>
      </c>
      <c r="M4681" t="inlineStr"/>
      <c r="N4681" t="inlineStr">
        <is>
          <t>24Q⁴, 2A⁰, 24M⁷, 12C⁰, 12K¹, 12D², 12F³, 6C¹, 4C⁰, 12E², 6G⁰, 24M³, 2B⁰, 12B⁴, 12M¹, 12N¹, 12B², 4E⁰, 1A⁰, 4B⁰, 12G³, 12H², 6B¹, 3C⁰, 6A¹, 12B¹, 6H⁰, 3A⁰, 6E¹, 6B⁰, 24I¹, 12H¹, 12L¹, 12G⁰, 12D⁷, 12C¹, 6A⁰, 12I³, 24K⁹, 12D⁰, 12C⁴, 12H⁰, 12C², 2C⁰, 6D⁰</t>
        </is>
      </c>
      <c r="O4681" t="inlineStr"/>
    </row>
    <row r="4682">
      <c r="A4682">
        <f>HYPERLINK("https://mathstats.uncg.edu/sites/pauli/congruence/csg17.html#group24Z17", "24Z¹⁷")</f>
        <v/>
      </c>
      <c r="B4682" t="n">
        <v>17</v>
      </c>
      <c r="C4682" t="inlineStr"/>
      <c r="D4682" t="inlineStr">
        <is>
          <t>288</t>
        </is>
      </c>
      <c r="E4682" t="inlineStr">
        <is>
          <t>1</t>
        </is>
      </c>
      <c r="F4682" t="inlineStr">
        <is>
          <t>36</t>
        </is>
      </c>
      <c r="G4682" t="inlineStr">
        <is>
          <t>0</t>
        </is>
      </c>
      <c r="H4682" t="inlineStr">
        <is>
          <t>0</t>
        </is>
      </c>
      <c r="I4682" t="inlineStr">
        <is>
          <t>12⁸, 24⁸</t>
        </is>
      </c>
      <c r="J4682" t="n">
        <v>16</v>
      </c>
      <c r="K4682" t="inlineStr">
        <is>
          <t>1⁸, 2¹⁰, 4²</t>
        </is>
      </c>
      <c r="L4682" t="inlineStr">
        <is>
          <t>24V⁷, 24W⁷, 24G⁹, 24T⁹, 24U⁹</t>
        </is>
      </c>
      <c r="M4682" t="inlineStr"/>
      <c r="N4682" t="inlineStr">
        <is>
          <t>2A⁰, 12C⁰, 12K¹, 12D², 6C¹, 4C⁰, 12B², 12E², 6G⁰, 2B⁰, 24G⁹, 4E⁰, 24C², 4B⁰, 12G³, 1A⁰, 24F⁵, 24H³, 6B¹, 24N⁴, 24S³, 3C⁰, 12B¹, 6A¹, 6H⁰, 3A⁰, 6E¹, 6B⁰, 24V⁷, 24D¹, 24W⁷, 12L¹, 6A⁰, 24U⁹, 12C¹, 24C⁵, 24T⁹, 12D⁰, 12H⁰, 8J⁰, 2C⁰, 6D⁰, 24G⁴</t>
        </is>
      </c>
      <c r="O4682" t="inlineStr"/>
    </row>
    <row r="4683">
      <c r="A4683">
        <f>HYPERLINK("https://mathstats.uncg.edu/sites/pauli/congruence/csg17.html#group24AA17", "24AA¹⁷")</f>
        <v/>
      </c>
      <c r="B4683" t="n">
        <v>17</v>
      </c>
      <c r="C4683" t="inlineStr"/>
      <c r="D4683" t="inlineStr">
        <is>
          <t>288</t>
        </is>
      </c>
      <c r="E4683" t="inlineStr">
        <is>
          <t>1</t>
        </is>
      </c>
      <c r="F4683" t="inlineStr">
        <is>
          <t>36</t>
        </is>
      </c>
      <c r="G4683" t="inlineStr">
        <is>
          <t>8</t>
        </is>
      </c>
      <c r="H4683" t="inlineStr">
        <is>
          <t>0</t>
        </is>
      </c>
      <c r="I4683" t="inlineStr">
        <is>
          <t>24¹²</t>
        </is>
      </c>
      <c r="J4683" t="n">
        <v>12</v>
      </c>
      <c r="K4683" t="inlineStr">
        <is>
          <t>2², 4⁴, 8²</t>
        </is>
      </c>
      <c r="L4683" t="inlineStr">
        <is>
          <t>12D⁵, 24L⁵, 24O⁸</t>
        </is>
      </c>
      <c r="M4683" t="inlineStr"/>
      <c r="N4683" t="inlineStr">
        <is>
          <t>12T¹, 12I², 12C⁰, 4C⁰, 6G⁰, 2B⁰, 12M¹, 12N¹, 1A⁰, 12H², 12Q¹, 3C⁰, 6H⁰, 3A⁰, 24L⁵, 12G¹, 6B⁰, 12F⁰, 12D⁵, 12L¹, 12J³, 12G⁰, 12A⁰, 12C¹, 12I³, 6E⁰, 6L⁰, 4A⁰, 24O⁸, 12J¹, 12D⁰, 4F⁰, 12H⁰, 6D⁰</t>
        </is>
      </c>
      <c r="O4683" t="inlineStr"/>
    </row>
    <row r="4684">
      <c r="A4684">
        <f>HYPERLINK("https://mathstats.uncg.edu/sites/pauli/congruence/csg17.html#group24AB17", "24AB¹⁷")</f>
        <v/>
      </c>
      <c r="B4684" t="n">
        <v>17</v>
      </c>
      <c r="C4684" t="inlineStr"/>
      <c r="D4684" t="inlineStr">
        <is>
          <t>288</t>
        </is>
      </c>
      <c r="E4684" t="inlineStr">
        <is>
          <t>1</t>
        </is>
      </c>
      <c r="F4684" t="inlineStr">
        <is>
          <t>36</t>
        </is>
      </c>
      <c r="G4684" t="inlineStr">
        <is>
          <t>8</t>
        </is>
      </c>
      <c r="H4684" t="inlineStr">
        <is>
          <t>0</t>
        </is>
      </c>
      <c r="I4684" t="inlineStr">
        <is>
          <t>24¹²</t>
        </is>
      </c>
      <c r="J4684" t="n">
        <v>12</v>
      </c>
      <c r="K4684" t="inlineStr">
        <is>
          <t>2², 4⁴, 8²</t>
        </is>
      </c>
      <c r="L4684" t="inlineStr">
        <is>
          <t>24Q⁷, 24X⁷, 24L⁸, 24P⁸, 24Y⁹</t>
        </is>
      </c>
      <c r="M4684" t="inlineStr"/>
      <c r="N4684" t="inlineStr">
        <is>
          <t>24O⁴, 24E¹, 12C⁰, 4C⁰, 24X⁷, 8A⁰, 6G⁰, 2B⁰, 24P³, 12M¹, 1A⁰, 24A¹, 24H³, 24N³, 24Y⁹, 24T³, 3C⁰, 24R³, 3A⁰, 12G¹, 24D¹, 24B¹, 24P⁸, 12L¹, 8D¹, 12J³, 24E³, 24H⁴, 12A⁰, 12C¹, 4A⁰, 24L⁸, 12J¹, 4F⁰, 24Q⁷, 6D⁰</t>
        </is>
      </c>
      <c r="O4684" t="inlineStr"/>
    </row>
    <row r="4685">
      <c r="A4685">
        <f>HYPERLINK("https://mathstats.uncg.edu/sites/pauli/congruence/csg17.html#group24AC17", "24AC¹⁷")</f>
        <v/>
      </c>
      <c r="B4685" t="n">
        <v>17</v>
      </c>
      <c r="C4685" t="inlineStr"/>
      <c r="D4685" t="inlineStr">
        <is>
          <t>288</t>
        </is>
      </c>
      <c r="E4685" t="inlineStr">
        <is>
          <t>1</t>
        </is>
      </c>
      <c r="F4685" t="inlineStr">
        <is>
          <t>36</t>
        </is>
      </c>
      <c r="G4685" t="inlineStr">
        <is>
          <t>8</t>
        </is>
      </c>
      <c r="H4685" t="inlineStr">
        <is>
          <t>0</t>
        </is>
      </c>
      <c r="I4685" t="inlineStr">
        <is>
          <t>24¹²</t>
        </is>
      </c>
      <c r="J4685" t="n">
        <v>12</v>
      </c>
      <c r="K4685" t="inlineStr">
        <is>
          <t>2², 4⁴, 8²</t>
        </is>
      </c>
      <c r="L4685" t="inlineStr">
        <is>
          <t>24Q⁷, 24Y⁷, 24K⁸, 24P⁸, 24V⁹</t>
        </is>
      </c>
      <c r="M4685" t="inlineStr"/>
      <c r="N4685" t="inlineStr">
        <is>
          <t>24O⁴, 24E¹, 12C⁰, 4C⁰, 6G⁰, 2B⁰, 24P³, 12M¹, 1A⁰, 8K⁰, 24H³, 24N³, 24T³, 3C⁰, 24R³, 3A⁰, 12G¹, 24D³, 24D¹, 24B¹, 24P⁸, 24Q⁷, 12L¹, 12J³, 24J³, 12A⁰, 12C¹, 4A⁰, 24K⁸, 24V⁹, 12J¹, 4F⁰, 24Y⁷, 6D⁰</t>
        </is>
      </c>
      <c r="O4685" t="inlineStr"/>
    </row>
    <row r="4686">
      <c r="A4686">
        <f>HYPERLINK("https://mathstats.uncg.edu/sites/pauli/congruence/csg17.html#group24AD17", "24AD¹⁷")</f>
        <v/>
      </c>
      <c r="B4686" t="n">
        <v>17</v>
      </c>
      <c r="C4686" t="inlineStr"/>
      <c r="D4686" t="inlineStr">
        <is>
          <t>288</t>
        </is>
      </c>
      <c r="E4686" t="inlineStr">
        <is>
          <t>1</t>
        </is>
      </c>
      <c r="F4686" t="inlineStr">
        <is>
          <t>36</t>
        </is>
      </c>
      <c r="G4686" t="inlineStr">
        <is>
          <t>8</t>
        </is>
      </c>
      <c r="H4686" t="inlineStr">
        <is>
          <t>0</t>
        </is>
      </c>
      <c r="I4686" t="inlineStr">
        <is>
          <t>24¹²</t>
        </is>
      </c>
      <c r="J4686" t="n">
        <v>12</v>
      </c>
      <c r="K4686" t="inlineStr">
        <is>
          <t>2², 4⁴, 8²</t>
        </is>
      </c>
      <c r="L4686" t="inlineStr">
        <is>
          <t>24R⁷, 24X⁷, 24AB⁷, 24V⁹, 24AA⁹</t>
        </is>
      </c>
      <c r="M4686" t="inlineStr"/>
      <c r="N4686" t="inlineStr">
        <is>
          <t>24O⁴, 24E¹, 12C⁰, 4C⁰, 24X⁷, 24I³, 24P², 6G⁰, 12M¹, 2B⁰, 24C², 1A⁰, 24O³, 24R⁷, 24A⁰, 3C⁰, 24AA⁹, 24AB⁷, 24R³, 3A⁰, 12G¹, 24D³, 8D⁰, 8B⁰, 24B¹, 24L², 12L¹, 12J³, 8H⁰, 12A⁰, 12C¹, 4A⁰, 24V⁹, 24K⁴, 24C¹, 12J¹, 4F⁰, 24L⁴, 6D⁰</t>
        </is>
      </c>
      <c r="O4686" t="inlineStr"/>
    </row>
    <row r="4687">
      <c r="A4687">
        <f>HYPERLINK("https://mathstats.uncg.edu/sites/pauli/congruence/csg17.html#group24AE17", "24AE¹⁷")</f>
        <v/>
      </c>
      <c r="B4687" t="n">
        <v>17</v>
      </c>
      <c r="C4687" t="inlineStr"/>
      <c r="D4687" t="inlineStr">
        <is>
          <t>288</t>
        </is>
      </c>
      <c r="E4687" t="inlineStr">
        <is>
          <t>1</t>
        </is>
      </c>
      <c r="F4687" t="inlineStr">
        <is>
          <t>36</t>
        </is>
      </c>
      <c r="G4687" t="inlineStr">
        <is>
          <t>8</t>
        </is>
      </c>
      <c r="H4687" t="inlineStr">
        <is>
          <t>0</t>
        </is>
      </c>
      <c r="I4687" t="inlineStr">
        <is>
          <t>24¹²</t>
        </is>
      </c>
      <c r="J4687" t="n">
        <v>12</v>
      </c>
      <c r="K4687" t="inlineStr">
        <is>
          <t>2², 4⁴, 8²</t>
        </is>
      </c>
      <c r="L4687" t="inlineStr">
        <is>
          <t>12D⁵, 24P⁵, 24M⁸, 24N⁸, 24V⁹, 24Y⁹</t>
        </is>
      </c>
      <c r="M4687" t="inlineStr"/>
      <c r="N4687" t="inlineStr">
        <is>
          <t>24O⁴, 12I², 12T¹, 12C⁰, 4C⁰, 8A⁰, 6G⁰, 2B⁰, 12M¹, 12N¹, 24M⁸, 1A⁰, 12H², 24A¹, 24N⁸, 24Y⁹, 3C⁰, 12Q¹, 6H⁰, 3A⁰, 24G², 24P⁵, 24H², 12G¹, 6B⁰, 24D³, 12F⁰, 12D⁵, 24B¹, 12L¹, 8D¹, 12J³, 24E³, 12G⁰, 12A⁰, 24H⁴, 12C¹, 24K², 12I³, 6E⁰, 4A⁰, 6L⁰, 24V⁹, 12J¹, 12D⁰, 4F⁰, 12H⁰, 6D⁰</t>
        </is>
      </c>
      <c r="O4687" t="inlineStr"/>
    </row>
    <row r="4688">
      <c r="A4688">
        <f>HYPERLINK("https://mathstats.uncg.edu/sites/pauli/congruence/csg17.html#group24AF17", "24AF¹⁷")</f>
        <v/>
      </c>
      <c r="B4688" t="n">
        <v>17</v>
      </c>
      <c r="C4688" t="inlineStr"/>
      <c r="D4688" t="inlineStr">
        <is>
          <t>288</t>
        </is>
      </c>
      <c r="E4688" t="inlineStr">
        <is>
          <t>1</t>
        </is>
      </c>
      <c r="F4688" t="inlineStr">
        <is>
          <t>36</t>
        </is>
      </c>
      <c r="G4688" t="inlineStr">
        <is>
          <t>8</t>
        </is>
      </c>
      <c r="H4688" t="inlineStr">
        <is>
          <t>0</t>
        </is>
      </c>
      <c r="I4688" t="inlineStr">
        <is>
          <t>24¹²</t>
        </is>
      </c>
      <c r="J4688" t="n">
        <v>12</v>
      </c>
      <c r="K4688" t="inlineStr">
        <is>
          <t>2², 4⁴, 8²</t>
        </is>
      </c>
      <c r="L4688" t="inlineStr">
        <is>
          <t>24K⁷, 24R⁷, 24Y⁷, 24AB⁷, 24W⁹, 24X⁹, 24Y⁹</t>
        </is>
      </c>
      <c r="M4688" t="inlineStr"/>
      <c r="N4688" t="inlineStr">
        <is>
          <t>24O⁴, 24E¹, 12C⁰, 4C⁰, 24L⁴, 8A⁰, 24I³, 6G⁰, 24P², 2B⁰, 12M¹, 24C², 8K⁰, 1A⁰, 8H¹, 24O³, 24R⁷, 24A¹, 24A⁰, 24Y⁹, 3C⁰, 24AB⁷, 24R³, 3A⁰, 24K⁷, 12G¹, 8D⁰, 8B⁰, 24W⁹, 24B¹, 24L², 12L¹, 8D¹, 12J³, 24J³, 8H⁰, 24E³, 24H⁴, 12A⁰, 12C¹, 4A⁰, 24X⁹, 24C¹, 24K⁴, 12J¹, 4F⁰, 24Y⁷, 6D⁰</t>
        </is>
      </c>
      <c r="O4688" t="inlineStr"/>
    </row>
    <row r="4689">
      <c r="A4689">
        <f>HYPERLINK("https://mathstats.uncg.edu/sites/pauli/congruence/csg17.html#group24AG17", "24AG¹⁷")</f>
        <v/>
      </c>
      <c r="B4689" t="n">
        <v>17</v>
      </c>
      <c r="C4689" t="inlineStr"/>
      <c r="D4689" t="inlineStr">
        <is>
          <t>288</t>
        </is>
      </c>
      <c r="E4689" t="inlineStr">
        <is>
          <t>1</t>
        </is>
      </c>
      <c r="F4689" t="inlineStr">
        <is>
          <t>36</t>
        </is>
      </c>
      <c r="G4689" t="inlineStr">
        <is>
          <t>8</t>
        </is>
      </c>
      <c r="H4689" t="inlineStr">
        <is>
          <t>0</t>
        </is>
      </c>
      <c r="I4689" t="inlineStr">
        <is>
          <t>24¹²</t>
        </is>
      </c>
      <c r="J4689" t="n">
        <v>12</v>
      </c>
      <c r="K4689" t="inlineStr">
        <is>
          <t>1², 2³, 4³, 8²</t>
        </is>
      </c>
      <c r="L4689" t="inlineStr">
        <is>
          <t>24R⁷, 24AC⁷</t>
        </is>
      </c>
      <c r="M4689" t="inlineStr"/>
      <c r="N4689" t="inlineStr">
        <is>
          <t>24E¹, 12C⁰, 24AC⁷, 4C⁰, 24I³, 6G⁰, 24P², 12M¹, 2B⁰, 24C², 1A⁰, 24O³, 24R⁷, 24A⁰, 3C⁰, 3A⁰, 12G¹, 8D⁰, 8B⁰, 24L², 12L¹, 12J³, 8H⁰, 12A⁰, 12C¹, 4A⁰, 24K⁴, 24C¹, 12J¹, 4F⁰, 24L⁴, 6D⁰</t>
        </is>
      </c>
      <c r="O4689" t="inlineStr"/>
    </row>
    <row r="4690">
      <c r="A4690">
        <f>HYPERLINK("https://mathstats.uncg.edu/sites/pauli/congruence/csg17.html#group24AH17", "24AH¹⁷")</f>
        <v/>
      </c>
      <c r="B4690" t="n">
        <v>17</v>
      </c>
      <c r="C4690" t="inlineStr"/>
      <c r="D4690" t="inlineStr">
        <is>
          <t>288</t>
        </is>
      </c>
      <c r="E4690" t="inlineStr">
        <is>
          <t>1</t>
        </is>
      </c>
      <c r="F4690" t="inlineStr">
        <is>
          <t>36</t>
        </is>
      </c>
      <c r="G4690" t="inlineStr">
        <is>
          <t>8</t>
        </is>
      </c>
      <c r="H4690" t="inlineStr">
        <is>
          <t>0</t>
        </is>
      </c>
      <c r="I4690" t="inlineStr">
        <is>
          <t>24¹²</t>
        </is>
      </c>
      <c r="J4690" t="n">
        <v>12</v>
      </c>
      <c r="K4690" t="inlineStr">
        <is>
          <t>1², 2³, 4³, 8²</t>
        </is>
      </c>
      <c r="L4690" t="inlineStr">
        <is>
          <t>24O⁵, 24L⁷, 24R⁷, 24AC⁷</t>
        </is>
      </c>
      <c r="M4690" t="inlineStr"/>
      <c r="N4690" t="inlineStr">
        <is>
          <t>24E¹, 12C⁰, 24AC⁷, 4C⁰, 24I³, 6G⁰, 24P², 12M¹, 2B⁰, 24C², 1A⁰, 24O³, 24R⁷, 24A⁰, 3C⁰, 24L⁷, 3A⁰, 12G¹, 8D⁰, 24O⁵, 8B⁰, 24L², 12L¹, 12J³, 8H⁰, 24F¹, 12A⁰, 8F⁰, 12C¹, 4A⁰, 8I¹, 24K⁴, 24C¹, 12J¹, 4F⁰, 24L⁴, 6D⁰</t>
        </is>
      </c>
      <c r="O4690" t="inlineStr"/>
    </row>
    <row r="4691">
      <c r="A4691">
        <f>HYPERLINK("https://mathstats.uncg.edu/sites/pauli/congruence/csg17.html#group24AI17", "24AI¹⁷")</f>
        <v/>
      </c>
      <c r="B4691" t="n">
        <v>17</v>
      </c>
      <c r="C4691" t="inlineStr"/>
      <c r="D4691" t="inlineStr">
        <is>
          <t>288</t>
        </is>
      </c>
      <c r="E4691" t="inlineStr">
        <is>
          <t>1</t>
        </is>
      </c>
      <c r="F4691" t="inlineStr">
        <is>
          <t>72</t>
        </is>
      </c>
      <c r="G4691" t="inlineStr">
        <is>
          <t>8</t>
        </is>
      </c>
      <c r="H4691" t="inlineStr">
        <is>
          <t>0</t>
        </is>
      </c>
      <c r="I4691" t="inlineStr">
        <is>
          <t>24¹²</t>
        </is>
      </c>
      <c r="J4691" t="n">
        <v>12</v>
      </c>
      <c r="K4691" t="inlineStr">
        <is>
          <t>2², 4⁵, 8⁶</t>
        </is>
      </c>
      <c r="L4691" t="inlineStr">
        <is>
          <t>24P⁷</t>
        </is>
      </c>
      <c r="M4691" t="inlineStr"/>
      <c r="N4691" t="inlineStr">
        <is>
          <t>24Q³, 24E¹, 24P⁷, 12C⁰, 8D⁰, 4C⁰, 24D¹, 6G⁰, 12M¹, 2B⁰, 1A⁰, 24O³, 12L¹, 12C¹, 24H³, 12I³, 24T³, 24C¹, 3C⁰, 3A⁰, 6D⁰</t>
        </is>
      </c>
      <c r="O4691" t="inlineStr"/>
    </row>
    <row r="4692">
      <c r="A4692">
        <f>HYPERLINK("https://mathstats.uncg.edu/sites/pauli/congruence/csg17.html#group24AJ17", "24AJ¹⁷")</f>
        <v/>
      </c>
      <c r="B4692" t="n">
        <v>17</v>
      </c>
      <c r="C4692" t="inlineStr"/>
      <c r="D4692" t="inlineStr">
        <is>
          <t>288</t>
        </is>
      </c>
      <c r="E4692" t="inlineStr">
        <is>
          <t>2</t>
        </is>
      </c>
      <c r="F4692" t="inlineStr">
        <is>
          <t>36</t>
        </is>
      </c>
      <c r="G4692" t="inlineStr">
        <is>
          <t>0</t>
        </is>
      </c>
      <c r="H4692" t="inlineStr">
        <is>
          <t>0</t>
        </is>
      </c>
      <c r="I4692" t="inlineStr">
        <is>
          <t>12⁸, 24⁸</t>
        </is>
      </c>
      <c r="J4692" t="n">
        <v>16</v>
      </c>
      <c r="K4692" t="inlineStr">
        <is>
          <t>2²⁴, 4⁶</t>
        </is>
      </c>
      <c r="L4692" t="inlineStr">
        <is>
          <t>24G⁸, 24H⁸, 24I⁸, 24J⁸, 24T⁹, 24U⁹, 24Z⁹</t>
        </is>
      </c>
      <c r="M4692" t="inlineStr"/>
      <c r="N4692" t="inlineStr">
        <is>
          <t>2A⁰, 24E¹, 12C⁰, 24P⁴, 6C¹, 4C⁰, 12B², 12E², 2B⁰, 4E⁰, 24C², 12M¹, 4B⁰, 1A⁰, 24I⁸, 24F⁵, 24N⁴, 24H⁸, 24J⁸, 24D², 24T³, 12B¹, 6A¹, 3A⁰, 24D¹, 24G⁸, 6A⁰, 24U⁹, 12C¹, 24T⁹, 24Z⁹, 24E⁴, 12D⁰, 12C⁴, 8J⁰, 2C⁰, 6D⁰, 24G⁴</t>
        </is>
      </c>
      <c r="O4692" t="inlineStr"/>
    </row>
    <row r="4693">
      <c r="A4693">
        <f>HYPERLINK("https://mathstats.uncg.edu/sites/pauli/congruence/csg17.html#group24AK17", "24AK¹⁷")</f>
        <v/>
      </c>
      <c r="B4693" t="n">
        <v>17</v>
      </c>
      <c r="C4693" t="inlineStr"/>
      <c r="D4693" t="inlineStr">
        <is>
          <t>288</t>
        </is>
      </c>
      <c r="E4693" t="inlineStr">
        <is>
          <t>2</t>
        </is>
      </c>
      <c r="F4693" t="inlineStr">
        <is>
          <t>36</t>
        </is>
      </c>
      <c r="G4693" t="inlineStr">
        <is>
          <t>8</t>
        </is>
      </c>
      <c r="H4693" t="inlineStr">
        <is>
          <t>0</t>
        </is>
      </c>
      <c r="I4693" t="inlineStr">
        <is>
          <t>24¹²</t>
        </is>
      </c>
      <c r="J4693" t="n">
        <v>12</v>
      </c>
      <c r="K4693" t="inlineStr">
        <is>
          <t>4⁶, 8⁶</t>
        </is>
      </c>
      <c r="L4693" t="inlineStr">
        <is>
          <t>24E⁶, 24AE⁷, 24L⁸, 24N⁸, 24P⁸, 24X⁹, 24AA⁹</t>
        </is>
      </c>
      <c r="M4693" t="inlineStr"/>
      <c r="N4693" t="inlineStr">
        <is>
          <t>24O⁴, 12I², 24E¹, 12C⁰, 24P⁴, 4C⁰, 8A⁰, 12M¹, 2B⁰, 24P³, 24C², 1A⁰, 24A¹, 24AE⁷, 24S³, 24N⁸, 24T³, 24AA⁹, 24R³, 6H⁰, 3A⁰, 6B⁰, 24E⁶, 24N², 24D¹, 12F⁰, 24B¹, 24P⁸, 8D¹, 12A⁰, 24H⁴, 24K², 4A⁰, 24L⁸, 24X⁹, 24K⁴, 12J¹, 12D⁰, 4F⁰, 12H⁰, 6D⁰</t>
        </is>
      </c>
      <c r="O4693" t="inlineStr"/>
    </row>
    <row r="4694">
      <c r="A4694">
        <f>HYPERLINK("https://mathstats.uncg.edu/sites/pauli/congruence/csg17.html#group24AL17", "24AL¹⁷")</f>
        <v/>
      </c>
      <c r="B4694" t="n">
        <v>17</v>
      </c>
      <c r="C4694" t="inlineStr"/>
      <c r="D4694" t="inlineStr">
        <is>
          <t>288</t>
        </is>
      </c>
      <c r="E4694" t="inlineStr">
        <is>
          <t>2</t>
        </is>
      </c>
      <c r="F4694" t="inlineStr">
        <is>
          <t>36</t>
        </is>
      </c>
      <c r="G4694" t="inlineStr">
        <is>
          <t>8</t>
        </is>
      </c>
      <c r="H4694" t="inlineStr">
        <is>
          <t>0</t>
        </is>
      </c>
      <c r="I4694" t="inlineStr">
        <is>
          <t>24¹²</t>
        </is>
      </c>
      <c r="J4694" t="n">
        <v>12</v>
      </c>
      <c r="K4694" t="inlineStr">
        <is>
          <t>4⁶, 8⁶</t>
        </is>
      </c>
      <c r="L4694" t="inlineStr">
        <is>
          <t>24F⁶, 24AE⁷, 24K⁸, 24M⁸, 24P⁸, 24W⁹, 24AA⁹</t>
        </is>
      </c>
      <c r="M4694" t="inlineStr"/>
      <c r="N4694" t="inlineStr">
        <is>
          <t>24O⁴, 12I², 24E¹, 12C⁰, 24P⁴, 4C⁰, 24F⁶, 12M¹, 24P³, 2B⁰, 24C², 24M⁸, 1A⁰, 8K⁰, 24AE⁷, 24S³, 24T³, 24AA⁹, 24R³, 6H⁰, 3A⁰, 24G², 24H², 6B⁰, 24N², 24D¹, 12F⁰, 24W⁹, 24B¹, 24P⁸, 24J³, 12A⁰, 4A⁰, 24K⁸, 24K⁴, 12J¹, 12D⁰, 4F⁰, 12H⁰, 6D⁰</t>
        </is>
      </c>
      <c r="O4694" t="inlineStr"/>
    </row>
    <row r="4695">
      <c r="A4695">
        <f>HYPERLINK("https://mathstats.uncg.edu/sites/pauli/congruence/csg17.html#group24AM17", "24AM¹⁷")</f>
        <v/>
      </c>
      <c r="B4695" t="n">
        <v>17</v>
      </c>
      <c r="C4695" t="inlineStr"/>
      <c r="D4695" t="inlineStr">
        <is>
          <t>288</t>
        </is>
      </c>
      <c r="E4695" t="inlineStr">
        <is>
          <t>2</t>
        </is>
      </c>
      <c r="F4695" t="inlineStr">
        <is>
          <t>72</t>
        </is>
      </c>
      <c r="G4695" t="inlineStr">
        <is>
          <t>8</t>
        </is>
      </c>
      <c r="H4695" t="inlineStr">
        <is>
          <t>0</t>
        </is>
      </c>
      <c r="I4695" t="inlineStr">
        <is>
          <t>24¹²</t>
        </is>
      </c>
      <c r="J4695" t="n">
        <v>12</v>
      </c>
      <c r="K4695" t="inlineStr">
        <is>
          <t>4¹², 8¹²</t>
        </is>
      </c>
      <c r="L4695" t="inlineStr">
        <is>
          <t>24J⁶, 24AD⁷, 24O⁸</t>
        </is>
      </c>
      <c r="M4695" t="inlineStr"/>
      <c r="N4695" t="inlineStr">
        <is>
          <t>24AD⁷, 24O², 24Q³, 24E¹, 6B⁰, 12C⁰, 3A⁰, 24P⁴, 8D⁰, 4C⁰, 24D¹, 2B⁰, 12M¹, 24J⁶, 24C², 1A⁰, 12H², 24S³, 24O⁸, 24T³, 24C¹, 12D⁰, 6H⁰, 12H⁰, 24L⁴, 6D⁰</t>
        </is>
      </c>
      <c r="O4695" t="inlineStr"/>
    </row>
    <row r="4696">
      <c r="A4696">
        <f>HYPERLINK("https://mathstats.uncg.edu/sites/pauli/congruence/csg17.html#group24AN17", "24AN¹⁷")</f>
        <v/>
      </c>
      <c r="B4696" t="n">
        <v>17</v>
      </c>
      <c r="C4696" t="inlineStr"/>
      <c r="D4696" t="inlineStr">
        <is>
          <t>384</t>
        </is>
      </c>
      <c r="E4696" t="inlineStr">
        <is>
          <t>1</t>
        </is>
      </c>
      <c r="F4696" t="inlineStr">
        <is>
          <t>12</t>
        </is>
      </c>
      <c r="G4696" t="inlineStr">
        <is>
          <t>0</t>
        </is>
      </c>
      <c r="H4696" t="inlineStr">
        <is>
          <t>0</t>
        </is>
      </c>
      <c r="I4696" t="inlineStr">
        <is>
          <t>4⁸, 8⁸, 12⁸, 24⁸</t>
        </is>
      </c>
      <c r="J4696" t="n">
        <v>32</v>
      </c>
      <c r="K4696" t="inlineStr">
        <is>
          <t>1⁶, 2³</t>
        </is>
      </c>
      <c r="L4696" t="inlineStr">
        <is>
          <t>24AF⁷, 24AH⁷, 24AF⁹, 24AG⁹, 24AI⁹</t>
        </is>
      </c>
      <c r="M4696" t="inlineStr"/>
      <c r="N4696" t="inlineStr">
        <is>
          <t>2A⁰, 24V³, 24AG⁹, 24G¹, 4C⁰, 24AH⁷, 4G⁰, 2B⁰, 4E⁰, 8C⁰, 4B⁰, 8F¹, 1A⁰, 8G⁰, 4D⁰, 12A¹, 6F⁰, 3B⁰, 24AF⁷, 12I¹, 24Z³, 8A¹, 24B³, 24K⁵, 12F¹, 6I⁰, 8D⁰, 6C⁰, 8B⁰, 8B¹, 12P¹, 24C³, 8H⁰, 24I⁵, 24X³, 8C¹, 24I², 24M⁵, 4A⁰, 24AI⁹, 12G², 12K³, 4F⁰, 24J⁵, 2C⁰, 12E⁰, 24AF⁹</t>
        </is>
      </c>
      <c r="O4696" t="inlineStr"/>
    </row>
    <row r="4697">
      <c r="A4697">
        <f>HYPERLINK("https://mathstats.uncg.edu/sites/pauli/congruence/csg17.html#group24AO17", "24AO¹⁷")</f>
        <v/>
      </c>
      <c r="B4697" t="n">
        <v>17</v>
      </c>
      <c r="C4697" t="inlineStr"/>
      <c r="D4697" t="inlineStr">
        <is>
          <t>384</t>
        </is>
      </c>
      <c r="E4697" t="inlineStr">
        <is>
          <t>1</t>
        </is>
      </c>
      <c r="F4697" t="inlineStr">
        <is>
          <t>12</t>
        </is>
      </c>
      <c r="G4697" t="inlineStr">
        <is>
          <t>0</t>
        </is>
      </c>
      <c r="H4697" t="inlineStr">
        <is>
          <t>0</t>
        </is>
      </c>
      <c r="I4697" t="inlineStr">
        <is>
          <t>4⁸, 8⁸, 12⁸, 24⁸</t>
        </is>
      </c>
      <c r="J4697" t="n">
        <v>32</v>
      </c>
      <c r="K4697" t="inlineStr">
        <is>
          <t>1⁶, 2³</t>
        </is>
      </c>
      <c r="L4697" t="inlineStr">
        <is>
          <t>8K¹, 24AG⁷, 24AI⁷, 24AF⁹, 24AH⁹, 24AJ⁹</t>
        </is>
      </c>
      <c r="M4697" t="inlineStr"/>
      <c r="N4697" t="inlineStr">
        <is>
          <t>2A⁰, 24V³, 24N⁵, 24AA³, 24G¹, 4C⁰, 24AH⁹, 8L⁰, 2B⁰, 4G⁰, 4E⁰, 8C⁰, 4B⁰, 8F¹, 1A⁰, 8K⁰, 24AJ⁹, 8G⁰, 8G¹, 12A¹, 4D⁰, 12E⁰, 8P⁰, 6F⁰, 3B⁰, 8N⁰, 24K⁵, 8A¹, 12I¹, 24B³, 8K¹, 8D⁰, 12F¹, 6I⁰, 6C⁰, 8B⁰, 24AG⁷, 8B¹, 8I⁰, 12P¹, 8H⁰, 24C³, 24I⁵, 8C¹, 24I², 4A⁰, 24R⁴, 12G², 12K³, 24J⁵, 4F⁰, 24Y³, 8J⁰, 2C⁰, 24AI⁷, 24AF⁹, 8O⁰</t>
        </is>
      </c>
      <c r="O4697" t="inlineStr"/>
    </row>
    <row r="4698">
      <c r="A4698">
        <f>HYPERLINK("https://mathstats.uncg.edu/sites/pauli/congruence/csg17.html#group24AP17", "24AP¹⁷")</f>
        <v/>
      </c>
      <c r="B4698" t="n">
        <v>17</v>
      </c>
      <c r="C4698" t="inlineStr"/>
      <c r="D4698" t="inlineStr">
        <is>
          <t>384</t>
        </is>
      </c>
      <c r="E4698" t="inlineStr">
        <is>
          <t>1</t>
        </is>
      </c>
      <c r="F4698" t="inlineStr">
        <is>
          <t>12</t>
        </is>
      </c>
      <c r="G4698" t="inlineStr">
        <is>
          <t>0</t>
        </is>
      </c>
      <c r="H4698" t="inlineStr">
        <is>
          <t>0</t>
        </is>
      </c>
      <c r="I4698" t="inlineStr">
        <is>
          <t>4⁸, 8⁸, 12⁸, 24⁸</t>
        </is>
      </c>
      <c r="J4698" t="n">
        <v>32</v>
      </c>
      <c r="K4698" t="inlineStr">
        <is>
          <t>1⁶, 2³</t>
        </is>
      </c>
      <c r="L4698" t="inlineStr">
        <is>
          <t>12E⁵, 24Z⁵, 24AB⁹, 24AC⁹, 24AE⁹, 24AD⁹, 24AF⁹</t>
        </is>
      </c>
      <c r="M4698" t="inlineStr"/>
      <c r="N4698" t="inlineStr">
        <is>
          <t>24AE⁹, 2A⁰, 24V³, 24G¹, 4C⁰, 12I⁰, 12J⁰, 4G⁰, 2B⁰, 8C⁰, 24AD⁹, 4E⁰, 4B⁰, 8F¹, 1A⁰, 12E⁵, 24Z⁵, 24J¹, 12F², 24U³, 8G⁰, 4D⁰, 12L³, 12A¹, 24H⁵, 12R¹, 6F⁰, 24AC⁹, 24AB⁹, 3B⁰, 24K⁵, 12I¹, 8A¹, 12V¹, 24B³, 8D⁰, 6I⁰, 12F¹, 6C⁰, 8B⁰, 8B¹, 12P¹, 24C³, 8H⁰, 24I⁵, 8C¹, 24I², 24B⁰, 4A⁰, 24W³, 12G², 12K³, 4F⁰, 24J⁵, 24F², 2C⁰, 12E⁰, 24AF⁹, 12B⁰</t>
        </is>
      </c>
      <c r="O4698" t="inlineStr"/>
    </row>
    <row r="4699">
      <c r="A4699">
        <f>HYPERLINK("https://mathstats.uncg.edu/sites/pauli/congruence/csg17.html#group24AQ17", "24AQ¹⁷")</f>
        <v/>
      </c>
      <c r="B4699" t="n">
        <v>17</v>
      </c>
      <c r="C4699" t="inlineStr"/>
      <c r="D4699" t="inlineStr">
        <is>
          <t>384</t>
        </is>
      </c>
      <c r="E4699" t="inlineStr">
        <is>
          <t>1</t>
        </is>
      </c>
      <c r="F4699" t="inlineStr">
        <is>
          <t>24</t>
        </is>
      </c>
      <c r="G4699" t="inlineStr">
        <is>
          <t>0</t>
        </is>
      </c>
      <c r="H4699" t="inlineStr">
        <is>
          <t>0</t>
        </is>
      </c>
      <c r="I4699" t="inlineStr">
        <is>
          <t>4⁸, 8⁸, 12⁸, 24⁸</t>
        </is>
      </c>
      <c r="J4699" t="n">
        <v>32</v>
      </c>
      <c r="K4699" t="inlineStr">
        <is>
          <t>1⁸, 2⁶, 4¹</t>
        </is>
      </c>
      <c r="L4699" t="inlineStr">
        <is>
          <t>24AB⁵, 24AB⁹, 24AG⁹, 24AH⁹, 24AK⁹</t>
        </is>
      </c>
      <c r="M4699" t="inlineStr"/>
      <c r="N4699" t="inlineStr">
        <is>
          <t>2A⁰, 24N⁵, 24AA³, 24AG⁹, 4C⁰, 12I⁰, 24AH⁹, 12J⁰, 8L⁰, 2B⁰, 4E⁰, 4B⁰, 1A⁰, 8G¹, 24H⁵, 6F⁰, 24AB⁹, 3B⁰, 8A¹, 24Z³, 12V¹, 24B³, 12F¹, 6I⁰, 6C⁰, 8B⁰, 24AB⁵, 8B¹, 12P¹, 24C³, 24I⁵, 24M⁵, 8J⁰, 2C⁰, 24AK⁹, 12E⁰</t>
        </is>
      </c>
      <c r="O4699" t="inlineStr"/>
    </row>
    <row r="4700">
      <c r="A4700">
        <f>HYPERLINK("https://mathstats.uncg.edu/sites/pauli/congruence/csg17.html#group24AR17", "24AR¹⁷")</f>
        <v/>
      </c>
      <c r="B4700" t="n">
        <v>17</v>
      </c>
      <c r="C4700" t="inlineStr"/>
      <c r="D4700" t="inlineStr">
        <is>
          <t>384</t>
        </is>
      </c>
      <c r="E4700" t="inlineStr">
        <is>
          <t>1</t>
        </is>
      </c>
      <c r="F4700" t="inlineStr">
        <is>
          <t>24</t>
        </is>
      </c>
      <c r="G4700" t="inlineStr">
        <is>
          <t>0</t>
        </is>
      </c>
      <c r="H4700" t="inlineStr">
        <is>
          <t>0</t>
        </is>
      </c>
      <c r="I4700" t="inlineStr">
        <is>
          <t>4⁸, 8⁸, 12⁸, 24⁸</t>
        </is>
      </c>
      <c r="J4700" t="n">
        <v>32</v>
      </c>
      <c r="K4700" t="inlineStr">
        <is>
          <t>1⁸, 2⁶, 4¹</t>
        </is>
      </c>
      <c r="L4700" t="inlineStr">
        <is>
          <t>24AH⁷, 24AI⁷, 24AL⁷, 24AE⁹, 24AK⁹</t>
        </is>
      </c>
      <c r="M4700" t="inlineStr"/>
      <c r="N4700" t="inlineStr">
        <is>
          <t>24AE⁹, 2A⁰, 24V³, 24AA³, 24AI⁷, 24G¹, 4C⁰, 12I⁰, 24AH⁷, 2B⁰, 4E⁰, 8C⁰, 4B⁰, 1A⁰, 12F², 8O⁰, 8G⁰, 12L³, 24H⁵, 6F⁰, 3B⁰, 24Z³, 8D⁰, 6I⁰, 12F¹, 6C⁰, 8I⁰, 12P¹, 24X³, 24AL⁷, 24I², 24Y³, 8J⁰, 2C⁰, 24AK⁹, 12E⁰, 12B⁰</t>
        </is>
      </c>
      <c r="O4700" t="inlineStr"/>
    </row>
    <row r="4701">
      <c r="A4701">
        <f>HYPERLINK("https://mathstats.uncg.edu/sites/pauli/congruence/csg17.html#group24AS17", "24AS¹⁷")</f>
        <v/>
      </c>
      <c r="B4701" t="n">
        <v>17</v>
      </c>
      <c r="C4701" t="inlineStr"/>
      <c r="D4701" t="inlineStr">
        <is>
          <t>384</t>
        </is>
      </c>
      <c r="E4701" t="inlineStr">
        <is>
          <t>1</t>
        </is>
      </c>
      <c r="F4701" t="inlineStr">
        <is>
          <t>24</t>
        </is>
      </c>
      <c r="G4701" t="inlineStr">
        <is>
          <t>0</t>
        </is>
      </c>
      <c r="H4701" t="inlineStr">
        <is>
          <t>0</t>
        </is>
      </c>
      <c r="I4701" t="inlineStr">
        <is>
          <t>4⁸, 8⁸, 12⁸, 24⁸</t>
        </is>
      </c>
      <c r="J4701" t="n">
        <v>32</v>
      </c>
      <c r="K4701" t="inlineStr">
        <is>
          <t>1⁸, 2⁶, 4¹</t>
        </is>
      </c>
      <c r="L4701" t="inlineStr">
        <is>
          <t>24AK⁷, 24AL⁷, 24AD⁹, 24AG⁹, 24AH⁹</t>
        </is>
      </c>
      <c r="M4701" t="inlineStr"/>
      <c r="N4701" t="inlineStr">
        <is>
          <t>2A⁰, 24AK⁷, 24N⁵, 24AA³, 24AG⁹, 4C⁰, 12I⁰, 24AH⁹, 8L⁰, 2B⁰, 4E⁰, 24AD⁹, 4B⁰, 1A⁰, 12F², 24U³, 8G¹, 12L³, 6F⁰, 3B⁰, 8A¹, 24Z³, 24B³, 6I⁰, 12F¹, 6C⁰, 8B⁰, 8B¹, 12P¹, 24C³, 24I⁵, 24AL⁷, 24B⁰, 24M⁵, 24F², 8J⁰, 2C⁰, 12E⁰, 12B⁰</t>
        </is>
      </c>
      <c r="O4701" t="inlineStr"/>
    </row>
    <row r="4702">
      <c r="A4702">
        <f>HYPERLINK("https://mathstats.uncg.edu/sites/pauli/congruence/csg17.html#group24AT17", "24AT¹⁷")</f>
        <v/>
      </c>
      <c r="B4702" t="n">
        <v>17</v>
      </c>
      <c r="C4702" t="inlineStr"/>
      <c r="D4702" t="inlineStr">
        <is>
          <t>384</t>
        </is>
      </c>
      <c r="E4702" t="inlineStr">
        <is>
          <t>1</t>
        </is>
      </c>
      <c r="F4702" t="inlineStr">
        <is>
          <t>24</t>
        </is>
      </c>
      <c r="G4702" t="inlineStr">
        <is>
          <t>0</t>
        </is>
      </c>
      <c r="H4702" t="inlineStr">
        <is>
          <t>0</t>
        </is>
      </c>
      <c r="I4702" t="inlineStr">
        <is>
          <t>4⁸, 8⁸, 12⁸, 24⁸</t>
        </is>
      </c>
      <c r="J4702" t="n">
        <v>32</v>
      </c>
      <c r="K4702" t="inlineStr">
        <is>
          <t>1¹², 2⁶</t>
        </is>
      </c>
      <c r="L4702" t="inlineStr">
        <is>
          <t>24AF⁷, 24AG⁷, 24AK⁷, 24AC⁹, 24AK⁹</t>
        </is>
      </c>
      <c r="M4702" t="inlineStr"/>
      <c r="N4702" t="inlineStr">
        <is>
          <t>2A⁰, 24AK⁷, 24AA³, 4C⁰, 4G⁰, 2B⁰, 4E⁰, 4B⁰, 1A⁰, 8K⁰, 24U³, 4D⁰, 12A¹, 24H⁵, 6F⁰, 24AC⁹, 3B⁰, 8N⁰, 24AF⁷, 12I¹, 24Z³, 6I⁰, 12F¹, 6C⁰, 24AG⁷, 12P¹, 24B⁰, 4A⁰, 24R⁴, 12G², 12K³, 4F⁰, 24F², 8J⁰, 2C⁰, 24AK⁹, 12E⁰</t>
        </is>
      </c>
      <c r="O4702" t="inlineStr"/>
    </row>
    <row r="4703">
      <c r="A4703">
        <f>HYPERLINK("https://mathstats.uncg.edu/sites/pauli/congruence/csg17.html#group28A17", "28A¹⁷")</f>
        <v/>
      </c>
      <c r="B4703" t="n">
        <v>17</v>
      </c>
      <c r="C4703" t="inlineStr"/>
      <c r="D4703" t="inlineStr">
        <is>
          <t>336</t>
        </is>
      </c>
      <c r="E4703" t="inlineStr">
        <is>
          <t>1</t>
        </is>
      </c>
      <c r="F4703" t="inlineStr">
        <is>
          <t>84</t>
        </is>
      </c>
      <c r="G4703" t="inlineStr">
        <is>
          <t>0</t>
        </is>
      </c>
      <c r="H4703" t="inlineStr">
        <is>
          <t>0</t>
        </is>
      </c>
      <c r="I4703" t="inlineStr">
        <is>
          <t>7¹⁶, 28⁸</t>
        </is>
      </c>
      <c r="J4703" t="n">
        <v>24</v>
      </c>
      <c r="K4703" t="inlineStr">
        <is>
          <t>1³, 3³, 6¹²</t>
        </is>
      </c>
      <c r="L4703" t="inlineStr">
        <is>
          <t>28D², 28A⁵, 14C⁷, 28E⁷, 28A⁹</t>
        </is>
      </c>
      <c r="M4703" t="inlineStr"/>
      <c r="N4703" t="inlineStr">
        <is>
          <t>28E⁷, 14B¹, 14C⁷, 28D², 28A⁹, 28A³, 2B⁰, 28A⁵, 4B⁰, 1A⁰, 14D³, 14A², 7B⁰, 7C⁰, 14C¹, 7F⁰, 7B¹, 28B², 7A⁰</t>
        </is>
      </c>
      <c r="O4703" t="inlineStr"/>
    </row>
    <row r="4704">
      <c r="A4704">
        <f>HYPERLINK("https://mathstats.uncg.edu/sites/pauli/congruence/csg17.html#group28B17", "28B¹⁷")</f>
        <v/>
      </c>
      <c r="B4704" t="n">
        <v>17</v>
      </c>
      <c r="C4704" t="inlineStr"/>
      <c r="D4704" t="inlineStr">
        <is>
          <t>336</t>
        </is>
      </c>
      <c r="E4704" t="inlineStr">
        <is>
          <t>1</t>
        </is>
      </c>
      <c r="F4704" t="inlineStr">
        <is>
          <t>84</t>
        </is>
      </c>
      <c r="G4704" t="inlineStr">
        <is>
          <t>8</t>
        </is>
      </c>
      <c r="H4704" t="inlineStr">
        <is>
          <t>0</t>
        </is>
      </c>
      <c r="I4704" t="inlineStr">
        <is>
          <t>14¹⁶, 28⁴</t>
        </is>
      </c>
      <c r="J4704" t="n">
        <v>20</v>
      </c>
      <c r="K4704" t="inlineStr">
        <is>
          <t>2³, 6³, 12¹²</t>
        </is>
      </c>
      <c r="L4704" t="inlineStr">
        <is>
          <t>14D⁷</t>
        </is>
      </c>
      <c r="M4704" t="inlineStr"/>
      <c r="N4704" t="inlineStr">
        <is>
          <t>14A⁰, 14B¹, 14C², 7F⁰, 14D⁷, 2B⁰, 14G¹, 1A⁰, 7A⁰, 14D³</t>
        </is>
      </c>
      <c r="O4704" t="inlineStr"/>
    </row>
    <row r="4705">
      <c r="A4705">
        <f>HYPERLINK("https://mathstats.uncg.edu/sites/pauli/congruence/csg17.html#group28C17", "28C¹⁷")</f>
        <v/>
      </c>
      <c r="B4705" t="n">
        <v>17</v>
      </c>
      <c r="C4705" t="inlineStr"/>
      <c r="D4705" t="inlineStr">
        <is>
          <t>336</t>
        </is>
      </c>
      <c r="E4705" t="inlineStr">
        <is>
          <t>1</t>
        </is>
      </c>
      <c r="F4705" t="inlineStr">
        <is>
          <t>84</t>
        </is>
      </c>
      <c r="G4705" t="inlineStr">
        <is>
          <t>8</t>
        </is>
      </c>
      <c r="H4705" t="inlineStr">
        <is>
          <t>0</t>
        </is>
      </c>
      <c r="I4705" t="inlineStr">
        <is>
          <t>14¹⁶, 28⁴</t>
        </is>
      </c>
      <c r="J4705" t="n">
        <v>20</v>
      </c>
      <c r="K4705" t="inlineStr">
        <is>
          <t>2³, 6³, 12¹²</t>
        </is>
      </c>
      <c r="L4705" t="inlineStr">
        <is>
          <t>14D⁷</t>
        </is>
      </c>
      <c r="M4705" t="inlineStr"/>
      <c r="N4705" t="inlineStr">
        <is>
          <t>14A⁰, 14B¹, 14C², 7F⁰, 14D⁷, 2B⁰, 14G¹, 1A⁰, 7A⁰, 14D³</t>
        </is>
      </c>
      <c r="O4705" t="inlineStr"/>
    </row>
    <row r="4706">
      <c r="A4706">
        <f>HYPERLINK("https://mathstats.uncg.edu/sites/pauli/congruence/csg17.html#group28D17", "28D¹⁷")</f>
        <v/>
      </c>
      <c r="B4706" t="n">
        <v>17</v>
      </c>
      <c r="C4706" t="inlineStr"/>
      <c r="D4706" t="inlineStr">
        <is>
          <t>336</t>
        </is>
      </c>
      <c r="E4706" t="inlineStr">
        <is>
          <t>1</t>
        </is>
      </c>
      <c r="F4706" t="inlineStr">
        <is>
          <t>84</t>
        </is>
      </c>
      <c r="G4706" t="inlineStr">
        <is>
          <t>16</t>
        </is>
      </c>
      <c r="H4706" t="inlineStr">
        <is>
          <t>0</t>
        </is>
      </c>
      <c r="I4706" t="inlineStr">
        <is>
          <t>14⁸, 28⁸</t>
        </is>
      </c>
      <c r="J4706" t="n">
        <v>16</v>
      </c>
      <c r="K4706" t="inlineStr">
        <is>
          <t>1³, 3³, 6¹²</t>
        </is>
      </c>
      <c r="L4706" t="inlineStr">
        <is>
          <t>28C⁴, 14D⁷, 28E⁷, 28B⁹</t>
        </is>
      </c>
      <c r="M4706" t="inlineStr"/>
      <c r="N4706" t="inlineStr">
        <is>
          <t>14A⁰, 28E⁷, 28C⁴, 14B¹, 28B⁹, 14C², 4C⁰, 14D⁷, 2B⁰, 14G¹, 1A⁰, 14D³, 28C², 7F⁰, 28B², 7A⁰</t>
        </is>
      </c>
      <c r="O4706" t="inlineStr"/>
    </row>
    <row r="4707">
      <c r="A4707">
        <f>HYPERLINK("https://mathstats.uncg.edu/sites/pauli/congruence/csg17.html#group28E17", "28E¹⁷")</f>
        <v/>
      </c>
      <c r="B4707" t="n">
        <v>17</v>
      </c>
      <c r="C4707" t="inlineStr"/>
      <c r="D4707" t="inlineStr">
        <is>
          <t>384</t>
        </is>
      </c>
      <c r="E4707" t="inlineStr">
        <is>
          <t>1</t>
        </is>
      </c>
      <c r="F4707" t="inlineStr">
        <is>
          <t>64</t>
        </is>
      </c>
      <c r="G4707" t="inlineStr">
        <is>
          <t>0</t>
        </is>
      </c>
      <c r="H4707" t="inlineStr">
        <is>
          <t>12</t>
        </is>
      </c>
      <c r="I4707" t="inlineStr">
        <is>
          <t>4¹², 28¹²</t>
        </is>
      </c>
      <c r="J4707" t="n">
        <v>24</v>
      </c>
      <c r="K4707" t="inlineStr">
        <is>
          <t>2⁸, 12⁴</t>
        </is>
      </c>
      <c r="L4707" t="inlineStr">
        <is>
          <t>28F², 28I⁵, 28G⁹</t>
        </is>
      </c>
      <c r="M4707" t="inlineStr"/>
      <c r="N4707" t="inlineStr">
        <is>
          <t>28G⁹, 2A⁰, 28A⁰, 7B⁰, 4A⁰, 4D⁰, 14B⁰, 1A⁰, 28I⁵, 28E³, 14C⁰, 28F², 28A²</t>
        </is>
      </c>
      <c r="O4707" t="inlineStr"/>
    </row>
    <row r="4708">
      <c r="A4708">
        <f>HYPERLINK("https://mathstats.uncg.edu/sites/pauli/congruence/csg17.html#group30A17", "30A¹⁷")</f>
        <v/>
      </c>
      <c r="B4708" t="n">
        <v>17</v>
      </c>
      <c r="C4708" t="inlineStr"/>
      <c r="D4708" t="inlineStr">
        <is>
          <t>240</t>
        </is>
      </c>
      <c r="E4708" t="inlineStr">
        <is>
          <t>1</t>
        </is>
      </c>
      <c r="F4708" t="inlineStr">
        <is>
          <t>10</t>
        </is>
      </c>
      <c r="G4708" t="inlineStr">
        <is>
          <t>0</t>
        </is>
      </c>
      <c r="H4708" t="inlineStr">
        <is>
          <t>0</t>
        </is>
      </c>
      <c r="I4708" t="inlineStr">
        <is>
          <t>30⁸</t>
        </is>
      </c>
      <c r="J4708" t="n">
        <v>8</v>
      </c>
      <c r="K4708" t="inlineStr">
        <is>
          <t>2¹, 4²</t>
        </is>
      </c>
      <c r="L4708" t="inlineStr">
        <is>
          <t>30I⁵, 15A⁷, 30J⁷, 30C⁹</t>
        </is>
      </c>
      <c r="M4708" t="inlineStr"/>
      <c r="N4708" t="inlineStr">
        <is>
          <t>3B⁰, 10D⁰, 15A⁷, 15C³, 30F², 1A⁰, 30I⁵, 30J⁷, 3D⁰, 30C⁴, 15D¹, 30C⁹, 3C⁰, 15C², 3A⁰, 5C⁰</t>
        </is>
      </c>
      <c r="O4708" t="inlineStr"/>
    </row>
    <row r="4709">
      <c r="A4709">
        <f>HYPERLINK("https://mathstats.uncg.edu/sites/pauli/congruence/csg17.html#group30B17", "30B¹⁷")</f>
        <v/>
      </c>
      <c r="B4709" t="n">
        <v>17</v>
      </c>
      <c r="C4709" t="inlineStr"/>
      <c r="D4709" t="inlineStr">
        <is>
          <t>240</t>
        </is>
      </c>
      <c r="E4709" t="inlineStr">
        <is>
          <t>1</t>
        </is>
      </c>
      <c r="F4709" t="inlineStr">
        <is>
          <t>10</t>
        </is>
      </c>
      <c r="G4709" t="inlineStr">
        <is>
          <t>0</t>
        </is>
      </c>
      <c r="H4709" t="inlineStr">
        <is>
          <t>0</t>
        </is>
      </c>
      <c r="I4709" t="inlineStr">
        <is>
          <t>30⁸</t>
        </is>
      </c>
      <c r="J4709" t="n">
        <v>8</v>
      </c>
      <c r="K4709" t="inlineStr">
        <is>
          <t>2¹, 4²</t>
        </is>
      </c>
      <c r="L4709" t="inlineStr">
        <is>
          <t>6D¹, 30J⁵, 15A⁷, 30I⁷, 30E⁹</t>
        </is>
      </c>
      <c r="M4709" t="inlineStr"/>
      <c r="N4709" t="inlineStr">
        <is>
          <t>30J⁵, 30E⁹, 2A⁰, 3B⁰, 6B⁰, 30I⁷, 6C⁰, 15A⁷, 30A⁵, 15C³, 30H³, 1A⁰, 3D⁰, 15D¹, 6D¹, 6B¹, 6E⁰, 3C⁰, 10C¹, 6A¹, 15C², 3A⁰, 5C⁰</t>
        </is>
      </c>
      <c r="O4709" t="inlineStr"/>
    </row>
    <row r="4710">
      <c r="A4710">
        <f>HYPERLINK("https://mathstats.uncg.edu/sites/pauli/congruence/csg17.html#group30C17", "30C¹⁷")</f>
        <v/>
      </c>
      <c r="B4710" t="n">
        <v>17</v>
      </c>
      <c r="C4710" t="inlineStr"/>
      <c r="D4710" t="inlineStr">
        <is>
          <t>240</t>
        </is>
      </c>
      <c r="E4710" t="inlineStr">
        <is>
          <t>1</t>
        </is>
      </c>
      <c r="F4710" t="inlineStr">
        <is>
          <t>30</t>
        </is>
      </c>
      <c r="G4710" t="inlineStr">
        <is>
          <t>0</t>
        </is>
      </c>
      <c r="H4710" t="inlineStr">
        <is>
          <t>0</t>
        </is>
      </c>
      <c r="I4710" t="inlineStr">
        <is>
          <t>30⁸</t>
        </is>
      </c>
      <c r="J4710" t="n">
        <v>8</v>
      </c>
      <c r="K4710" t="inlineStr">
        <is>
          <t>2¹, 4³, 8²</t>
        </is>
      </c>
      <c r="L4710" t="inlineStr">
        <is>
          <t>15A⁵, 30N⁷, 30C⁹, 30D⁹, 30E⁹</t>
        </is>
      </c>
      <c r="M4710" t="inlineStr"/>
      <c r="N4710" t="inlineStr">
        <is>
          <t>30E⁹, 2A⁰, 6B⁰, 15D², 15A⁵, 30A⁵, 15C³, 30H³, 1A⁰, 15D¹, 30C⁴, 6B¹, 30N⁷, 30C⁹, 3C⁰, 10C¹, 30D⁹, 6A¹, 3A⁰, 5C⁰</t>
        </is>
      </c>
      <c r="O4710" t="inlineStr"/>
    </row>
    <row r="4711">
      <c r="A4711">
        <f>HYPERLINK("https://mathstats.uncg.edu/sites/pauli/congruence/csg17.html#group30D17", "30D¹⁷")</f>
        <v/>
      </c>
      <c r="B4711" t="n">
        <v>17</v>
      </c>
      <c r="C4711" t="inlineStr"/>
      <c r="D4711" t="inlineStr">
        <is>
          <t>240</t>
        </is>
      </c>
      <c r="E4711" t="inlineStr">
        <is>
          <t>1</t>
        </is>
      </c>
      <c r="F4711" t="inlineStr">
        <is>
          <t>30</t>
        </is>
      </c>
      <c r="G4711" t="inlineStr">
        <is>
          <t>0</t>
        </is>
      </c>
      <c r="H4711" t="inlineStr">
        <is>
          <t>0</t>
        </is>
      </c>
      <c r="I4711" t="inlineStr">
        <is>
          <t>30⁸</t>
        </is>
      </c>
      <c r="J4711" t="n">
        <v>8</v>
      </c>
      <c r="K4711" t="inlineStr">
        <is>
          <t>2¹, 4³, 8²</t>
        </is>
      </c>
      <c r="L4711" t="inlineStr">
        <is>
          <t>30A⁴, 15B⁷, 30I⁷, 30N⁷, 30C⁹, 30F⁹</t>
        </is>
      </c>
      <c r="M4711" t="inlineStr"/>
      <c r="N4711" t="inlineStr">
        <is>
          <t>5A⁰, 6B⁰, 15B⁷, 30I⁷, 15B⁴, 5C⁰, 15D², 5F⁰, 30A⁴, 15C³, 30H³, 1A⁰, 15D¹, 30C⁴, 30A², 15A², 6E⁰, 30N⁷, 30C⁹, 3C⁰, 3A⁰, 30F⁹, 15A¹</t>
        </is>
      </c>
      <c r="O4711" t="inlineStr"/>
    </row>
    <row r="4712">
      <c r="A4712">
        <f>HYPERLINK("https://mathstats.uncg.edu/sites/pauli/congruence/csg17.html#group30E17", "30E¹⁷")</f>
        <v/>
      </c>
      <c r="B4712" t="n">
        <v>17</v>
      </c>
      <c r="C4712" t="inlineStr"/>
      <c r="D4712" t="inlineStr">
        <is>
          <t>240</t>
        </is>
      </c>
      <c r="E4712" t="inlineStr">
        <is>
          <t>1</t>
        </is>
      </c>
      <c r="F4712" t="inlineStr">
        <is>
          <t>30</t>
        </is>
      </c>
      <c r="G4712" t="inlineStr">
        <is>
          <t>0</t>
        </is>
      </c>
      <c r="H4712" t="inlineStr">
        <is>
          <t>0</t>
        </is>
      </c>
      <c r="I4712" t="inlineStr">
        <is>
          <t>30⁸</t>
        </is>
      </c>
      <c r="J4712" t="n">
        <v>8</v>
      </c>
      <c r="K4712" t="inlineStr">
        <is>
          <t>2¹, 4³, 8²</t>
        </is>
      </c>
      <c r="L4712" t="inlineStr">
        <is>
          <t>30B⁵, 30Q⁵, 15B⁷, 30J⁷, 30B⁹, 30D⁹, 30E⁹, 30F⁹</t>
        </is>
      </c>
      <c r="M4712" t="inlineStr"/>
      <c r="N4712" t="inlineStr">
        <is>
          <t>2A⁰, 10H¹, 5A⁰, 30A³, 15B⁷, 10D⁰, 15B⁴, 15D², 5F⁰, 30A⁵, 15C³, 30H³, 1A⁰, 30J⁷, 30B⁵, 30C⁴, 10A⁰, 6B¹, 3C⁰, 6A¹, 3A⁰, 15A¹, 30E⁹, 6B⁰, 30B⁹, 30F², 30Q⁵, 15D¹, 30A², 15A², 10C¹, 30D⁹, 5C⁰, 30F⁹</t>
        </is>
      </c>
      <c r="O4712" t="inlineStr"/>
    </row>
    <row r="4713">
      <c r="A4713">
        <f>HYPERLINK("https://mathstats.uncg.edu/sites/pauli/congruence/csg17.html#group30F17", "30F¹⁷")</f>
        <v/>
      </c>
      <c r="B4713" t="n">
        <v>17</v>
      </c>
      <c r="C4713" t="inlineStr"/>
      <c r="D4713" t="inlineStr">
        <is>
          <t>270</t>
        </is>
      </c>
      <c r="E4713" t="inlineStr">
        <is>
          <t>1</t>
        </is>
      </c>
      <c r="F4713" t="inlineStr">
        <is>
          <t>135</t>
        </is>
      </c>
      <c r="G4713" t="inlineStr">
        <is>
          <t>8</t>
        </is>
      </c>
      <c r="H4713" t="inlineStr">
        <is>
          <t>0</t>
        </is>
      </c>
      <c r="I4713" t="inlineStr">
        <is>
          <t>30⁹</t>
        </is>
      </c>
      <c r="J4713" t="n">
        <v>9</v>
      </c>
      <c r="K4713" t="inlineStr">
        <is>
          <t>1³, 2⁶, 4¹², 8⁹</t>
        </is>
      </c>
      <c r="L4713" t="inlineStr">
        <is>
          <t>30L⁵, 30P⁷</t>
        </is>
      </c>
      <c r="M4713" t="inlineStr"/>
      <c r="N4713" t="inlineStr">
        <is>
          <t>30P⁷, 30D³, 5A⁰, 30L⁵, 10I¹, 30E³, 15A¹, 10B¹, 15F¹, 5E⁰, 2B⁰, 3A⁰, 1A⁰, 6D⁰, 15A⁰</t>
        </is>
      </c>
      <c r="O4713" t="inlineStr"/>
    </row>
    <row r="4714">
      <c r="A4714">
        <f>HYPERLINK("https://mathstats.uncg.edu/sites/pauli/congruence/csg17.html#group30G17", "30G¹⁷")</f>
        <v/>
      </c>
      <c r="B4714" t="n">
        <v>17</v>
      </c>
      <c r="C4714" t="inlineStr"/>
      <c r="D4714" t="inlineStr">
        <is>
          <t>288</t>
        </is>
      </c>
      <c r="E4714" t="inlineStr">
        <is>
          <t>1</t>
        </is>
      </c>
      <c r="F4714" t="inlineStr">
        <is>
          <t>6</t>
        </is>
      </c>
      <c r="G4714" t="inlineStr">
        <is>
          <t>0</t>
        </is>
      </c>
      <c r="H4714" t="inlineStr">
        <is>
          <t>0</t>
        </is>
      </c>
      <c r="I4714" t="inlineStr">
        <is>
          <t>6⁸, 30⁸</t>
        </is>
      </c>
      <c r="J4714" t="n">
        <v>16</v>
      </c>
      <c r="K4714" t="inlineStr">
        <is>
          <t>1², 4¹</t>
        </is>
      </c>
      <c r="L4714" t="inlineStr">
        <is>
          <t>15C⁵, 30M⁵, 30R⁷</t>
        </is>
      </c>
      <c r="M4714" t="inlineStr"/>
      <c r="N4714" t="inlineStr">
        <is>
          <t>3B⁰, 30M⁵, 5B⁰, 15G¹, 5D⁰, 15F³, 15H¹, 1A⁰, 30R⁷, 15C¹, 15B⁰, 15C⁵, 15E³, 15E¹, 15B², 3C⁰, 3A⁰, 3D⁰, 15C⁰</t>
        </is>
      </c>
      <c r="O4714" t="inlineStr"/>
    </row>
    <row r="4715">
      <c r="A4715">
        <f>HYPERLINK("https://mathstats.uncg.edu/sites/pauli/congruence/csg17.html#group30H17", "30H¹⁷")</f>
        <v/>
      </c>
      <c r="B4715" t="n">
        <v>17</v>
      </c>
      <c r="C4715" t="inlineStr"/>
      <c r="D4715" t="inlineStr">
        <is>
          <t>288</t>
        </is>
      </c>
      <c r="E4715" t="inlineStr">
        <is>
          <t>1</t>
        </is>
      </c>
      <c r="F4715" t="inlineStr">
        <is>
          <t>6</t>
        </is>
      </c>
      <c r="G4715" t="inlineStr">
        <is>
          <t>0</t>
        </is>
      </c>
      <c r="H4715" t="inlineStr">
        <is>
          <t>0</t>
        </is>
      </c>
      <c r="I4715" t="inlineStr">
        <is>
          <t>6⁸, 30⁸</t>
        </is>
      </c>
      <c r="J4715" t="n">
        <v>16</v>
      </c>
      <c r="K4715" t="inlineStr">
        <is>
          <t>1², 4¹</t>
        </is>
      </c>
      <c r="L4715" t="inlineStr">
        <is>
          <t>15C⁵, 30N⁵, 30R⁵, 30G⁹, 30H⁹, 30I⁹, 30J⁹, 30K⁹</t>
        </is>
      </c>
      <c r="M4715" t="inlineStr"/>
      <c r="N4715" t="inlineStr">
        <is>
          <t>30A⁰, 2A⁰, 30C⁵, 30J³, 5B⁰, 5D⁰, 30G⁵, 10A¹, 30G³, 15H¹, 1A⁰, 10D¹, 30F⁵, 30B³, 30D¹, 6B¹, 30J⁹, 30K⁹, 15B², 30I⁹, 3C⁰, 6A¹, 30H⁹, 3A⁰, 15C⁰, 3B⁰, 30L³, 6B⁰, 30I³, 6C⁰, 30N⁵, 15G¹, 15F³, 30G⁹, 10B⁰, 30H⁵, 15C¹, 15B⁰, 30R⁵, 30F³, 15C⁵, 6D¹, 6E⁰, 15E¹, 15E³, 30E⁵, 3D⁰, 30C¹, 30C²</t>
        </is>
      </c>
      <c r="O4715" t="inlineStr"/>
    </row>
    <row r="4716">
      <c r="A4716">
        <f>HYPERLINK("https://mathstats.uncg.edu/sites/pauli/congruence/csg17.html#group30I17", "30I¹⁷")</f>
        <v/>
      </c>
      <c r="B4716" t="n">
        <v>17</v>
      </c>
      <c r="C4716" t="inlineStr"/>
      <c r="D4716" t="inlineStr">
        <is>
          <t>288</t>
        </is>
      </c>
      <c r="E4716" t="inlineStr">
        <is>
          <t>1</t>
        </is>
      </c>
      <c r="F4716" t="inlineStr">
        <is>
          <t>36</t>
        </is>
      </c>
      <c r="G4716" t="inlineStr">
        <is>
          <t>0</t>
        </is>
      </c>
      <c r="H4716" t="inlineStr">
        <is>
          <t>0</t>
        </is>
      </c>
      <c r="I4716" t="inlineStr">
        <is>
          <t>6⁸, 30⁸</t>
        </is>
      </c>
      <c r="J4716" t="n">
        <v>16</v>
      </c>
      <c r="K4716" t="inlineStr">
        <is>
          <t>2⁶, 8³</t>
        </is>
      </c>
      <c r="L4716" t="inlineStr">
        <is>
          <t>15I³, 30R⁷, 30I⁹</t>
        </is>
      </c>
      <c r="M4716" t="inlineStr"/>
      <c r="N4716" t="inlineStr">
        <is>
          <t>2A⁰, 30L³, 6B⁰, 30C¹, 5B⁰, 10A¹, 15H¹, 1A⁰, 30R⁷, 15I³, 30F⁵, 30B³, 30H⁵, 15B⁰, 6B¹, 30E⁵, 30I⁹, 3C⁰, 15C⁰, 6A¹, 3A⁰, 15E¹, 30C²</t>
        </is>
      </c>
      <c r="O4716" t="inlineStr"/>
    </row>
    <row r="4717">
      <c r="A4717">
        <f>HYPERLINK("https://mathstats.uncg.edu/sites/pauli/congruence/csg17.html#group30J17", "30J¹⁷")</f>
        <v/>
      </c>
      <c r="B4717" t="n">
        <v>17</v>
      </c>
      <c r="C4717" t="inlineStr"/>
      <c r="D4717" t="inlineStr">
        <is>
          <t>288</t>
        </is>
      </c>
      <c r="E4717" t="inlineStr">
        <is>
          <t>1</t>
        </is>
      </c>
      <c r="F4717" t="inlineStr">
        <is>
          <t>48</t>
        </is>
      </c>
      <c r="G4717" t="inlineStr">
        <is>
          <t>0</t>
        </is>
      </c>
      <c r="H4717" t="inlineStr">
        <is>
          <t>0</t>
        </is>
      </c>
      <c r="I4717" t="inlineStr">
        <is>
          <t>6⁸, 30⁸</t>
        </is>
      </c>
      <c r="J4717" t="n">
        <v>16</v>
      </c>
      <c r="K4717" t="inlineStr">
        <is>
          <t>2⁸, 8⁴</t>
        </is>
      </c>
      <c r="L4717" t="inlineStr">
        <is>
          <t>30D⁵, 30N⁵, 30L⁹</t>
        </is>
      </c>
      <c r="M4717" t="inlineStr"/>
      <c r="N4717" t="inlineStr">
        <is>
          <t>3B⁰, 2A⁰, 30C³, 6C⁰, 30N⁵, 5B⁰, 10A¹, 5D⁰, 15G¹, 30G³, 10D¹, 1A⁰, 10B⁰, 15C¹, 30F³, 6A⁰, 30L⁹, 6J⁰, 30D⁵</t>
        </is>
      </c>
      <c r="O4717" t="inlineStr"/>
    </row>
    <row r="4718">
      <c r="A4718">
        <f>HYPERLINK("https://mathstats.uncg.edu/sites/pauli/congruence/csg17.html#group30K17", "30K¹⁷")</f>
        <v/>
      </c>
      <c r="B4718" t="n">
        <v>17</v>
      </c>
      <c r="C4718" t="inlineStr"/>
      <c r="D4718" t="inlineStr">
        <is>
          <t>320</t>
        </is>
      </c>
      <c r="E4718" t="inlineStr">
        <is>
          <t>1</t>
        </is>
      </c>
      <c r="F4718" t="inlineStr">
        <is>
          <t>40</t>
        </is>
      </c>
      <c r="G4718" t="inlineStr">
        <is>
          <t>0</t>
        </is>
      </c>
      <c r="H4718" t="inlineStr">
        <is>
          <t>8</t>
        </is>
      </c>
      <c r="I4718" t="inlineStr">
        <is>
          <t>10⁸, 30⁸</t>
        </is>
      </c>
      <c r="J4718" t="n">
        <v>16</v>
      </c>
      <c r="K4718" t="inlineStr">
        <is>
          <t>2², 4⁵, 8²</t>
        </is>
      </c>
      <c r="L4718" t="inlineStr">
        <is>
          <t>15D⁵, 30M⁹, 30N⁹</t>
        </is>
      </c>
      <c r="M4718" t="inlineStr"/>
      <c r="N4718" t="inlineStr">
        <is>
          <t>30J⁵, 3B⁰, 10H¹, 5A⁰, 2A⁰, 30M⁹, 10D⁰, 30D², 6C⁰, 5F⁰, 1A⁰, 30I⁵, 10A⁰, 15D⁵, 15G³, 15B¹, 10C¹, 15C², 5C⁰, 30N⁹</t>
        </is>
      </c>
      <c r="O4718" t="inlineStr"/>
    </row>
    <row r="4719">
      <c r="A4719">
        <f>HYPERLINK("https://mathstats.uncg.edu/sites/pauli/congruence/csg17.html#group32A17", "32A¹⁷")</f>
        <v/>
      </c>
      <c r="B4719" t="n">
        <v>17</v>
      </c>
      <c r="C4719" t="inlineStr"/>
      <c r="D4719" t="inlineStr">
        <is>
          <t>384</t>
        </is>
      </c>
      <c r="E4719" t="inlineStr">
        <is>
          <t>1</t>
        </is>
      </c>
      <c r="F4719" t="inlineStr">
        <is>
          <t>6</t>
        </is>
      </c>
      <c r="G4719" t="inlineStr">
        <is>
          <t>0</t>
        </is>
      </c>
      <c r="H4719" t="inlineStr">
        <is>
          <t>0</t>
        </is>
      </c>
      <c r="I4719" t="inlineStr">
        <is>
          <t>4¹⁶, 8⁸, 32⁸</t>
        </is>
      </c>
      <c r="J4719" t="n">
        <v>32</v>
      </c>
      <c r="K4719" t="inlineStr">
        <is>
          <t>1⁴, 2¹</t>
        </is>
      </c>
      <c r="L4719" t="inlineStr">
        <is>
          <t>16M⁵, 32M⁵, 32B⁹, 32A⁹, 32D⁹, 32C⁹, 32E⁹</t>
        </is>
      </c>
      <c r="M4719" t="inlineStr"/>
      <c r="N4719" t="inlineStr">
        <is>
          <t>16G⁰, 32C⁹, 16M⁵, 2B⁰, 4B⁰, 1A⁰, 8K⁰, 32M⁵, 32C³, 16E⁰, 16C⁰, 4D⁰, 32D⁵, 8P⁰, 32E⁹, 32B³, 8N⁰, 8A¹, 8D⁰, 16E¹, 32A⁹, 32A³, 8B⁰, 8I⁰, 16L², 16I³, 32J³, 8C¹, 16C¹, 16D⁰, 32B⁹, 32A², 4F⁰, 8J⁰, 2C⁰, 8O⁰, 2A⁰, 16I¹, 4C⁰, 32M³, 32D⁹, 16A¹, 8C⁰, 4E⁰, 4G⁰, 8L⁰, 16J³, 8F¹, 16H⁰, 32A¹, 32B⁵, 8G⁰, 8G¹, 32A⁰, 32A⁵, 16M¹, 16H¹, 32E¹, 16D², 16C², 8K¹, 8B¹, 32K³, 16H³, 8H⁰, 32C⁵, 16G¹, 4A⁰</t>
        </is>
      </c>
      <c r="O4719" t="inlineStr"/>
    </row>
    <row r="4720">
      <c r="A4720">
        <f>HYPERLINK("https://mathstats.uncg.edu/sites/pauli/congruence/csg17.html#group32B17", "32B¹⁷")</f>
        <v/>
      </c>
      <c r="B4720" t="n">
        <v>17</v>
      </c>
      <c r="C4720" t="inlineStr"/>
      <c r="D4720" t="inlineStr">
        <is>
          <t>384</t>
        </is>
      </c>
      <c r="E4720" t="inlineStr">
        <is>
          <t>1</t>
        </is>
      </c>
      <c r="F4720" t="inlineStr">
        <is>
          <t>12</t>
        </is>
      </c>
      <c r="G4720" t="inlineStr">
        <is>
          <t>0</t>
        </is>
      </c>
      <c r="H4720" t="inlineStr">
        <is>
          <t>0</t>
        </is>
      </c>
      <c r="I4720" t="inlineStr">
        <is>
          <t>4¹⁶, 8⁸, 32⁸</t>
        </is>
      </c>
      <c r="J4720" t="n">
        <v>32</v>
      </c>
      <c r="K4720" t="inlineStr">
        <is>
          <t>1⁴, 2², 4¹</t>
        </is>
      </c>
      <c r="L4720" t="inlineStr">
        <is>
          <t>16N⁵, 32N⁵, 32E⁹, 32I⁹, 32J⁹</t>
        </is>
      </c>
      <c r="M4720" t="inlineStr"/>
      <c r="N4720" t="inlineStr">
        <is>
          <t>16G⁰, 2A⁰, 32N⁵, 4C⁰, 16A¹, 8C⁰, 2B⁰, 4E⁰, 32D¹, 4B⁰, 1A⁰, 16J², 32C³, 16H⁰, 16E⁰, 32B⁵, 8G⁰, 32O³, 16C⁰, 32D⁵, 32A⁵, 16M¹, 32E⁹, 8J⁰, 32B³, 16N⁵, 32C², 8D⁰, 16E¹, 32A³, 8I⁰, 16K², 16N³, 32C⁵, 32B², 32C¹, 16G¹, 32J⁹, 16D⁰, 32I⁹, 2C⁰, 8O⁰</t>
        </is>
      </c>
      <c r="O4720" t="inlineStr"/>
    </row>
    <row r="4721">
      <c r="A4721">
        <f>HYPERLINK("https://mathstats.uncg.edu/sites/pauli/congruence/csg17.html#group32C17", "32C¹⁷")</f>
        <v/>
      </c>
      <c r="B4721" t="n">
        <v>17</v>
      </c>
      <c r="C4721" t="inlineStr">
        <is>
          <t>Γ₁(32)</t>
        </is>
      </c>
      <c r="D4721" t="inlineStr">
        <is>
          <t>384</t>
        </is>
      </c>
      <c r="E4721" t="inlineStr">
        <is>
          <t>1</t>
        </is>
      </c>
      <c r="F4721" t="inlineStr">
        <is>
          <t>48</t>
        </is>
      </c>
      <c r="G4721" t="inlineStr">
        <is>
          <t>0</t>
        </is>
      </c>
      <c r="H4721" t="inlineStr">
        <is>
          <t>0</t>
        </is>
      </c>
      <c r="I4721" t="inlineStr">
        <is>
          <t>1⁸, 2⁴, 4⁴, 8⁴, 16⁴, 32⁸</t>
        </is>
      </c>
      <c r="J4721" t="n">
        <v>32</v>
      </c>
      <c r="K4721" t="inlineStr">
        <is>
          <t>1⁴, 2², 4², 8², 16¹</t>
        </is>
      </c>
      <c r="L4721" t="inlineStr">
        <is>
          <t>32O⁵</t>
        </is>
      </c>
      <c r="M4721" t="inlineStr"/>
      <c r="N4721" t="inlineStr">
        <is>
          <t>32A¹, 32C², 32E¹, 16C⁰, 16D⁰, 32A⁰, 32O⁵, 8C⁰, 2B⁰, 8I⁰, 4B⁰, 1A⁰, 16J², 16H⁰</t>
        </is>
      </c>
      <c r="O4721" t="inlineStr"/>
    </row>
    <row r="4722">
      <c r="A4722">
        <f>HYPERLINK("https://mathstats.uncg.edu/sites/pauli/congruence/csg17.html#group32D17", "32D¹⁷")</f>
        <v/>
      </c>
      <c r="B4722" t="n">
        <v>17</v>
      </c>
      <c r="C4722" t="inlineStr"/>
      <c r="D4722" t="inlineStr">
        <is>
          <t>384</t>
        </is>
      </c>
      <c r="E4722" t="inlineStr">
        <is>
          <t>1</t>
        </is>
      </c>
      <c r="F4722" t="inlineStr">
        <is>
          <t>48</t>
        </is>
      </c>
      <c r="G4722" t="inlineStr">
        <is>
          <t>0</t>
        </is>
      </c>
      <c r="H4722" t="inlineStr">
        <is>
          <t>0</t>
        </is>
      </c>
      <c r="I4722" t="inlineStr">
        <is>
          <t>2⁸, 4⁴, 8⁴, 16¹², 32⁴</t>
        </is>
      </c>
      <c r="J4722" t="n">
        <v>32</v>
      </c>
      <c r="K4722" t="inlineStr">
        <is>
          <t>1⁸, 2⁴, 4⁴, 8²</t>
        </is>
      </c>
      <c r="L4722" t="inlineStr">
        <is>
          <t>16N⁵</t>
        </is>
      </c>
      <c r="M4722" t="inlineStr"/>
      <c r="N4722" t="inlineStr">
        <is>
          <t>16G⁰, 2A⁰, 16N⁵, 8D⁰, 16E¹, 4C⁰, 16A¹, 8C⁰, 2B⁰, 4E⁰, 8I⁰, 4B⁰, 1A⁰, 16J², 16K², 16H⁰, 16N³, 16E⁰, 16G¹, 8G⁰, 16C⁰, 16D⁰, 16M¹, 8J⁰, 2C⁰, 8O⁰</t>
        </is>
      </c>
      <c r="O4722" t="inlineStr"/>
    </row>
    <row r="4723">
      <c r="A4723">
        <f>HYPERLINK("https://mathstats.uncg.edu/sites/pauli/congruence/csg17.html#group32E17", "32E¹⁷")</f>
        <v/>
      </c>
      <c r="B4723" t="n">
        <v>17</v>
      </c>
      <c r="C4723" t="inlineStr"/>
      <c r="D4723" t="inlineStr">
        <is>
          <t>384</t>
        </is>
      </c>
      <c r="E4723" t="inlineStr">
        <is>
          <t>1</t>
        </is>
      </c>
      <c r="F4723" t="inlineStr">
        <is>
          <t>48</t>
        </is>
      </c>
      <c r="G4723" t="inlineStr">
        <is>
          <t>0</t>
        </is>
      </c>
      <c r="H4723" t="inlineStr">
        <is>
          <t>0</t>
        </is>
      </c>
      <c r="I4723" t="inlineStr">
        <is>
          <t>4⁸, 8¹², 16⁸, 32⁴</t>
        </is>
      </c>
      <c r="J4723" t="n">
        <v>32</v>
      </c>
      <c r="K4723" t="inlineStr">
        <is>
          <t>1⁸, 2¹², 4⁴</t>
        </is>
      </c>
      <c r="L4723" t="inlineStr">
        <is>
          <t>16O⁵</t>
        </is>
      </c>
      <c r="M4723" t="inlineStr"/>
      <c r="N4723" t="inlineStr">
        <is>
          <t>2A⁰, 4C⁰, 4G⁰, 2B⁰, 4E⁰, 8L⁰, 8C⁰, 4B⁰, 8F¹, 8K⁰, 1A⁰, 8G⁰, 8G¹, 16O⁵, 4D⁰, 8P⁰, 16K¹, 8N⁰, 8A¹, 8K¹, 8D⁰, 16O³, 16I², 8B⁰, 8B¹, 8I⁰, 16K², 8H⁰, 16L¹, 8C¹, 4A⁰, 4F⁰, 8J⁰, 2C⁰, 8O⁰</t>
        </is>
      </c>
      <c r="O4723" t="inlineStr"/>
    </row>
    <row r="4724">
      <c r="A4724">
        <f>HYPERLINK("https://mathstats.uncg.edu/sites/pauli/congruence/csg17.html#group33A17", "33A¹⁷")</f>
        <v/>
      </c>
      <c r="B4724" t="n">
        <v>17</v>
      </c>
      <c r="C4724" t="inlineStr"/>
      <c r="D4724" t="inlineStr">
        <is>
          <t>264</t>
        </is>
      </c>
      <c r="E4724" t="inlineStr">
        <is>
          <t>1</t>
        </is>
      </c>
      <c r="F4724" t="inlineStr">
        <is>
          <t>264</t>
        </is>
      </c>
      <c r="G4724" t="inlineStr">
        <is>
          <t>0</t>
        </is>
      </c>
      <c r="H4724" t="inlineStr">
        <is>
          <t>0</t>
        </is>
      </c>
      <c r="I4724" t="inlineStr">
        <is>
          <t>11⁶, 33⁶</t>
        </is>
      </c>
      <c r="J4724" t="n">
        <v>12</v>
      </c>
      <c r="K4724" t="inlineStr">
        <is>
          <t>1², 2¹, 5², 10¹³, 20⁶</t>
        </is>
      </c>
      <c r="L4724" t="inlineStr">
        <is>
          <t>11A², 33B³</t>
        </is>
      </c>
      <c r="M4724" t="inlineStr"/>
      <c r="N4724" t="inlineStr">
        <is>
          <t>11A⁰, 3B⁰, 1A⁰, 33B³, 11A²</t>
        </is>
      </c>
      <c r="O4724" t="inlineStr"/>
    </row>
    <row r="4725">
      <c r="A4725">
        <f>HYPERLINK("https://mathstats.uncg.edu/sites/pauli/congruence/csg17.html#group33B17", "33B¹⁷")</f>
        <v/>
      </c>
      <c r="B4725" t="n">
        <v>17</v>
      </c>
      <c r="C4725" t="inlineStr"/>
      <c r="D4725" t="inlineStr">
        <is>
          <t>288</t>
        </is>
      </c>
      <c r="E4725" t="inlineStr">
        <is>
          <t>1</t>
        </is>
      </c>
      <c r="F4725" t="inlineStr">
        <is>
          <t>12</t>
        </is>
      </c>
      <c r="G4725" t="inlineStr">
        <is>
          <t>0</t>
        </is>
      </c>
      <c r="H4725" t="inlineStr">
        <is>
          <t>0</t>
        </is>
      </c>
      <c r="I4725" t="inlineStr">
        <is>
          <t>3⁸, 33⁸</t>
        </is>
      </c>
      <c r="J4725" t="n">
        <v>16</v>
      </c>
      <c r="K4725" t="inlineStr">
        <is>
          <t>1², 10¹</t>
        </is>
      </c>
      <c r="L4725" t="inlineStr">
        <is>
          <t>33B⁵, 33A⁹</t>
        </is>
      </c>
      <c r="M4725" t="inlineStr"/>
      <c r="N4725" t="inlineStr">
        <is>
          <t>33B⁵, 3B⁰, 11A¹, 33A⁵, 3C⁰, 33A⁹, 3A⁰, 33A³, 1A⁰, 3D⁰, 33C³</t>
        </is>
      </c>
      <c r="O4725" t="inlineStr"/>
    </row>
    <row r="4726">
      <c r="A4726">
        <f>HYPERLINK("https://mathstats.uncg.edu/sites/pauli/congruence/csg17.html#group33C17", "33C¹⁷")</f>
        <v/>
      </c>
      <c r="B4726" t="n">
        <v>17</v>
      </c>
      <c r="C4726" t="inlineStr"/>
      <c r="D4726" t="inlineStr">
        <is>
          <t>330</t>
        </is>
      </c>
      <c r="E4726" t="inlineStr">
        <is>
          <t>1</t>
        </is>
      </c>
      <c r="F4726" t="inlineStr">
        <is>
          <t>165</t>
        </is>
      </c>
      <c r="G4726" t="inlineStr">
        <is>
          <t>26</t>
        </is>
      </c>
      <c r="H4726" t="inlineStr">
        <is>
          <t>0</t>
        </is>
      </c>
      <c r="I4726" t="inlineStr">
        <is>
          <t>33¹⁰</t>
        </is>
      </c>
      <c r="J4726" t="n">
        <v>10</v>
      </c>
      <c r="K4726" t="inlineStr">
        <is>
          <t>5¹, 10⁶, 20⁵</t>
        </is>
      </c>
      <c r="L4726" t="inlineStr">
        <is>
          <t>33A⁷</t>
        </is>
      </c>
      <c r="M4726" t="inlineStr"/>
      <c r="N4726" t="inlineStr">
        <is>
          <t>3A⁰, 11C¹, 33A⁷, 1A⁰</t>
        </is>
      </c>
      <c r="O4726" t="inlineStr"/>
    </row>
    <row r="4727">
      <c r="A4727">
        <f>HYPERLINK("https://mathstats.uncg.edu/sites/pauli/congruence/csg17.html#group34A17", "34A¹⁷")</f>
        <v/>
      </c>
      <c r="B4727" t="n">
        <v>17</v>
      </c>
      <c r="C4727" t="inlineStr"/>
      <c r="D4727" t="inlineStr">
        <is>
          <t>288</t>
        </is>
      </c>
      <c r="E4727" t="inlineStr">
        <is>
          <t>1</t>
        </is>
      </c>
      <c r="F4727" t="inlineStr">
        <is>
          <t>18</t>
        </is>
      </c>
      <c r="G4727" t="inlineStr">
        <is>
          <t>0</t>
        </is>
      </c>
      <c r="H4727" t="inlineStr">
        <is>
          <t>0</t>
        </is>
      </c>
      <c r="I4727" t="inlineStr">
        <is>
          <t>2⁸, 34⁸</t>
        </is>
      </c>
      <c r="J4727" t="n">
        <v>16</v>
      </c>
      <c r="K4727" t="inlineStr">
        <is>
          <t>1², 16¹</t>
        </is>
      </c>
      <c r="L4727" t="inlineStr">
        <is>
          <t>17A⁵, 34D⁵, 34A⁹</t>
        </is>
      </c>
      <c r="M4727" t="inlineStr"/>
      <c r="N4727" t="inlineStr">
        <is>
          <t>2A⁰, 17A⁵, 17C¹, 34B³, 1A⁰, 34A³, 34A⁵, 17B¹, 34B⁵, 34A⁹, 34D⁵, 17A¹</t>
        </is>
      </c>
      <c r="O4727" t="inlineStr"/>
    </row>
    <row r="4728">
      <c r="A4728">
        <f>HYPERLINK("https://mathstats.uncg.edu/sites/pauli/congruence/csg17.html#group35A17", "35A¹⁷")</f>
        <v/>
      </c>
      <c r="B4728" t="n">
        <v>17</v>
      </c>
      <c r="C4728" t="inlineStr"/>
      <c r="D4728" t="inlineStr">
        <is>
          <t>320</t>
        </is>
      </c>
      <c r="E4728" t="inlineStr">
        <is>
          <t>1</t>
        </is>
      </c>
      <c r="F4728" t="inlineStr">
        <is>
          <t>80</t>
        </is>
      </c>
      <c r="G4728" t="inlineStr">
        <is>
          <t>0</t>
        </is>
      </c>
      <c r="H4728" t="inlineStr">
        <is>
          <t>8</t>
        </is>
      </c>
      <c r="I4728" t="inlineStr">
        <is>
          <t>5⁸, 35⁸</t>
        </is>
      </c>
      <c r="J4728" t="n">
        <v>16</v>
      </c>
      <c r="K4728" t="inlineStr">
        <is>
          <t>2², 4⁴, 12¹, 24²</t>
        </is>
      </c>
      <c r="L4728" t="inlineStr">
        <is>
          <t>35C⁹</t>
        </is>
      </c>
      <c r="M4728" t="inlineStr"/>
      <c r="N4728" t="inlineStr">
        <is>
          <t>35C⁹, 35A⁵, 5A⁰, 7B⁰, 5F⁰, 1A⁰, 35B², 5C⁰</t>
        </is>
      </c>
      <c r="O4728" t="inlineStr"/>
    </row>
    <row r="4729">
      <c r="A4729">
        <f>HYPERLINK("https://mathstats.uncg.edu/sites/pauli/congruence/csg17.html#group35B17", "35B¹⁷")</f>
        <v/>
      </c>
      <c r="B4729" t="n">
        <v>17</v>
      </c>
      <c r="C4729" t="inlineStr"/>
      <c r="D4729" t="inlineStr">
        <is>
          <t>336</t>
        </is>
      </c>
      <c r="E4729" t="inlineStr">
        <is>
          <t>1</t>
        </is>
      </c>
      <c r="F4729" t="inlineStr">
        <is>
          <t>168</t>
        </is>
      </c>
      <c r="G4729" t="inlineStr">
        <is>
          <t>16</t>
        </is>
      </c>
      <c r="H4729" t="inlineStr">
        <is>
          <t>0</t>
        </is>
      </c>
      <c r="I4729" t="inlineStr">
        <is>
          <t>7⁸, 35⁸</t>
        </is>
      </c>
      <c r="J4729" t="n">
        <v>16</v>
      </c>
      <c r="K4729" t="inlineStr">
        <is>
          <t>1², 3², 4¹, 6⁸, 12¹, 24⁴</t>
        </is>
      </c>
      <c r="L4729" t="inlineStr">
        <is>
          <t>35C⁴, 35D⁹</t>
        </is>
      </c>
      <c r="M4729" t="inlineStr"/>
      <c r="N4729" t="inlineStr">
        <is>
          <t>35C², 35C⁴, 5B⁰, 7F⁰, 1A⁰, 35D⁹, 7A⁰</t>
        </is>
      </c>
      <c r="O4729" t="inlineStr"/>
    </row>
    <row r="4730">
      <c r="A4730">
        <f>HYPERLINK("https://mathstats.uncg.edu/sites/pauli/congruence/csg17.html#group36A17", "36A¹⁷")</f>
        <v/>
      </c>
      <c r="B4730" t="n">
        <v>17</v>
      </c>
      <c r="C4730" t="inlineStr"/>
      <c r="D4730" t="inlineStr">
        <is>
          <t>288</t>
        </is>
      </c>
      <c r="E4730" t="inlineStr">
        <is>
          <t>1</t>
        </is>
      </c>
      <c r="F4730" t="inlineStr">
        <is>
          <t>12</t>
        </is>
      </c>
      <c r="G4730" t="inlineStr">
        <is>
          <t>0</t>
        </is>
      </c>
      <c r="H4730" t="inlineStr">
        <is>
          <t>0</t>
        </is>
      </c>
      <c r="I4730" t="inlineStr">
        <is>
          <t>6⁴, 12⁴, 18⁴, 36⁴</t>
        </is>
      </c>
      <c r="J4730" t="n">
        <v>16</v>
      </c>
      <c r="K4730" t="inlineStr">
        <is>
          <t>1⁶, 2³</t>
        </is>
      </c>
      <c r="L4730" t="inlineStr">
        <is>
          <t>12V¹, 36H⁸, 36J⁸, 36C⁹</t>
        </is>
      </c>
      <c r="M4730" t="inlineStr"/>
      <c r="N4730" t="inlineStr">
        <is>
          <t>3B⁰, 2A⁰, 18C⁴, 12V¹, 6I⁰, 12F¹, 18B⁰, 6C⁰, 12I⁰, 4C⁰, 12J⁰, 18D², 36F⁴, 2B⁰, 4E⁰, 12P¹, 4B⁰, 9C⁰, 1A⁰, 36A⁵, 36C⁹, 36H⁸, 6F⁰, 2C⁰, 12E⁰, 36J⁸, 18C²</t>
        </is>
      </c>
      <c r="O4730" t="inlineStr"/>
    </row>
    <row r="4731">
      <c r="A4731">
        <f>HYPERLINK("https://mathstats.uncg.edu/sites/pauli/congruence/csg17.html#group36B17", "36B¹⁷")</f>
        <v/>
      </c>
      <c r="B4731" t="n">
        <v>17</v>
      </c>
      <c r="C4731" t="inlineStr"/>
      <c r="D4731" t="inlineStr">
        <is>
          <t>288</t>
        </is>
      </c>
      <c r="E4731" t="inlineStr">
        <is>
          <t>1</t>
        </is>
      </c>
      <c r="F4731" t="inlineStr">
        <is>
          <t>12</t>
        </is>
      </c>
      <c r="G4731" t="inlineStr">
        <is>
          <t>0</t>
        </is>
      </c>
      <c r="H4731" t="inlineStr">
        <is>
          <t>0</t>
        </is>
      </c>
      <c r="I4731" t="inlineStr">
        <is>
          <t>6⁴, 12⁴, 18⁴, 36⁴</t>
        </is>
      </c>
      <c r="J4731" t="n">
        <v>16</v>
      </c>
      <c r="K4731" t="inlineStr">
        <is>
          <t>1⁶, 2³</t>
        </is>
      </c>
      <c r="L4731" t="inlineStr">
        <is>
          <t>12V¹, 36I⁸, 36K⁸, 36D⁹</t>
        </is>
      </c>
      <c r="M4731" t="inlineStr"/>
      <c r="N4731" t="inlineStr">
        <is>
          <t>3B⁰, 2A⁰, 12V¹, 6I⁰, 12F¹, 18D¹, 6C⁰, 12I⁰, 4C⁰, 12J⁰, 18E², 36I⁸, 2B⁰, 4E⁰, 36G⁴, 12P¹, 4B⁰, 36B⁵, 1A⁰, 18B², 36K⁸, 9A¹, 18D⁴, 6F⁰, 2C⁰, 12E⁰, 36D⁹</t>
        </is>
      </c>
      <c r="O4731" t="inlineStr"/>
    </row>
    <row r="4732">
      <c r="A4732">
        <f>HYPERLINK("https://mathstats.uncg.edu/sites/pauli/congruence/csg17.html#group36C17", "36C¹⁷")</f>
        <v/>
      </c>
      <c r="B4732" t="n">
        <v>17</v>
      </c>
      <c r="C4732" t="inlineStr"/>
      <c r="D4732" t="inlineStr">
        <is>
          <t>288</t>
        </is>
      </c>
      <c r="E4732" t="inlineStr">
        <is>
          <t>1</t>
        </is>
      </c>
      <c r="F4732" t="inlineStr">
        <is>
          <t>24</t>
        </is>
      </c>
      <c r="G4732" t="inlineStr">
        <is>
          <t>0</t>
        </is>
      </c>
      <c r="H4732" t="inlineStr">
        <is>
          <t>0</t>
        </is>
      </c>
      <c r="I4732" t="inlineStr">
        <is>
          <t>12¹², 36⁴</t>
        </is>
      </c>
      <c r="J4732" t="n">
        <v>16</v>
      </c>
      <c r="K4732" t="inlineStr">
        <is>
          <t>2⁴, 4⁴</t>
        </is>
      </c>
      <c r="L4732" t="inlineStr">
        <is>
          <t>18F³, 12A⁵, 36J⁷, 36G⁹, 36J⁹</t>
        </is>
      </c>
      <c r="M4732" t="inlineStr"/>
      <c r="N4732" t="inlineStr">
        <is>
          <t>2A⁰, 9E⁰, 12A⁵, 1A⁰, 18F³, 6B¹, 4D⁰, 12A¹, 12A², 36M⁴, 3C⁰, 12Q¹, 6A¹, 3A⁰, 36J⁹, 12G¹, 36G⁹, 3B⁰, 18F², 6B⁰, 36J⁷, 12I¹, 12B³, 6C⁰, 12F⁰, 12C³, 12A⁰, 6D¹, 6E⁰, 4A⁰, 9H⁰, 18F¹, 3D⁰</t>
        </is>
      </c>
      <c r="O4732" t="inlineStr"/>
    </row>
    <row r="4733">
      <c r="A4733">
        <f>HYPERLINK("https://mathstats.uncg.edu/sites/pauli/congruence/csg17.html#group36D17", "36D¹⁷")</f>
        <v/>
      </c>
      <c r="B4733" t="n">
        <v>17</v>
      </c>
      <c r="C4733" t="inlineStr"/>
      <c r="D4733" t="inlineStr">
        <is>
          <t>288</t>
        </is>
      </c>
      <c r="E4733" t="inlineStr">
        <is>
          <t>1</t>
        </is>
      </c>
      <c r="F4733" t="inlineStr">
        <is>
          <t>48</t>
        </is>
      </c>
      <c r="G4733" t="inlineStr">
        <is>
          <t>0</t>
        </is>
      </c>
      <c r="H4733" t="inlineStr">
        <is>
          <t>0</t>
        </is>
      </c>
      <c r="I4733" t="inlineStr">
        <is>
          <t>4⁶, 12⁴, 36⁶</t>
        </is>
      </c>
      <c r="J4733" t="n">
        <v>16</v>
      </c>
      <c r="K4733" t="inlineStr">
        <is>
          <t>2⁴, 4⁴, 12²</t>
        </is>
      </c>
      <c r="L4733" t="inlineStr">
        <is>
          <t>18G³, 36F⁵, 36H⁹</t>
        </is>
      </c>
      <c r="M4733" t="inlineStr"/>
      <c r="N4733" t="inlineStr">
        <is>
          <t>3B⁰, 2A⁰, 12I¹, 6C⁰, 9B⁰, 1A⁰, 18G³, 4A⁰, 18C¹, 12A¹, 4D⁰, 9I⁰, 36B³, 36F⁵, 36H⁹</t>
        </is>
      </c>
      <c r="O4733" t="inlineStr"/>
    </row>
    <row r="4734">
      <c r="A4734">
        <f>HYPERLINK("https://mathstats.uncg.edu/sites/pauli/congruence/csg17.html#group36E17", "36E¹⁷")</f>
        <v/>
      </c>
      <c r="B4734" t="n">
        <v>17</v>
      </c>
      <c r="C4734" t="inlineStr"/>
      <c r="D4734" t="inlineStr">
        <is>
          <t>288</t>
        </is>
      </c>
      <c r="E4734" t="inlineStr">
        <is>
          <t>1</t>
        </is>
      </c>
      <c r="F4734" t="inlineStr">
        <is>
          <t>48</t>
        </is>
      </c>
      <c r="G4734" t="inlineStr">
        <is>
          <t>0</t>
        </is>
      </c>
      <c r="H4734" t="inlineStr">
        <is>
          <t>0</t>
        </is>
      </c>
      <c r="I4734" t="inlineStr">
        <is>
          <t>12¹², 36⁴</t>
        </is>
      </c>
      <c r="J4734" t="n">
        <v>16</v>
      </c>
      <c r="K4734" t="inlineStr">
        <is>
          <t>2⁴, 4¹⁰</t>
        </is>
      </c>
      <c r="L4734" t="inlineStr">
        <is>
          <t>18H³, 12A⁵, 36K⁷</t>
        </is>
      </c>
      <c r="M4734" t="inlineStr"/>
      <c r="N4734" t="inlineStr">
        <is>
          <t>12G¹, 2A⁰, 3B⁰, 6B⁰, 12I¹, 12B³, 6C⁰, 12C³, 12F⁰, 12A⁵, 1A⁰, 12A⁰, 6D¹, 6E⁰, 6B¹, 4A⁰, 18H³, 4D⁰, 12A¹, 12A², 36K⁷, 12Q¹, 3C⁰, 6A¹, 18G¹, 3A⁰, 3D⁰</t>
        </is>
      </c>
      <c r="O4734" t="inlineStr"/>
    </row>
    <row r="4735">
      <c r="A4735">
        <f>HYPERLINK("https://mathstats.uncg.edu/sites/pauli/congruence/csg17.html#group36F17", "36F¹⁷")</f>
        <v/>
      </c>
      <c r="B4735" t="n">
        <v>17</v>
      </c>
      <c r="C4735" t="inlineStr"/>
      <c r="D4735" t="inlineStr">
        <is>
          <t>288</t>
        </is>
      </c>
      <c r="E4735" t="inlineStr">
        <is>
          <t>1</t>
        </is>
      </c>
      <c r="F4735" t="inlineStr">
        <is>
          <t>48</t>
        </is>
      </c>
      <c r="G4735" t="inlineStr">
        <is>
          <t>0</t>
        </is>
      </c>
      <c r="H4735" t="inlineStr">
        <is>
          <t>6</t>
        </is>
      </c>
      <c r="I4735" t="inlineStr">
        <is>
          <t>12⁶, 36⁶</t>
        </is>
      </c>
      <c r="J4735" t="n">
        <v>12</v>
      </c>
      <c r="K4735" t="inlineStr">
        <is>
          <t>2⁴, 4⁴, 12²</t>
        </is>
      </c>
      <c r="L4735" t="inlineStr">
        <is>
          <t>18N², 36G⁵, 36I⁹</t>
        </is>
      </c>
      <c r="M4735" t="inlineStr"/>
      <c r="N4735" t="inlineStr">
        <is>
          <t>3B⁰, 2A⁰, 9J⁰, 12I¹, 18B⁰, 6C⁰, 9C⁰, 1A⁰, 36G⁵, 36C³, 4A⁰, 4D⁰, 12A¹, 18N², 36I⁹</t>
        </is>
      </c>
      <c r="O4735" t="inlineStr"/>
    </row>
    <row r="4736">
      <c r="A4736">
        <f>HYPERLINK("https://mathstats.uncg.edu/sites/pauli/congruence/csg17.html#group36G17", "36G¹⁷")</f>
        <v/>
      </c>
      <c r="B4736" t="n">
        <v>17</v>
      </c>
      <c r="C4736" t="inlineStr"/>
      <c r="D4736" t="inlineStr">
        <is>
          <t>288</t>
        </is>
      </c>
      <c r="E4736" t="inlineStr">
        <is>
          <t>1</t>
        </is>
      </c>
      <c r="F4736" t="inlineStr">
        <is>
          <t>96</t>
        </is>
      </c>
      <c r="G4736" t="inlineStr">
        <is>
          <t>0</t>
        </is>
      </c>
      <c r="H4736" t="inlineStr">
        <is>
          <t>0</t>
        </is>
      </c>
      <c r="I4736" t="inlineStr">
        <is>
          <t>4⁶, 12⁴, 36⁶</t>
        </is>
      </c>
      <c r="J4736" t="n">
        <v>16</v>
      </c>
      <c r="K4736" t="inlineStr">
        <is>
          <t>2⁸, 4⁸, 12⁴</t>
        </is>
      </c>
      <c r="L4736" t="inlineStr">
        <is>
          <t>18I³, 36F⁵</t>
        </is>
      </c>
      <c r="M4736" t="inlineStr"/>
      <c r="N4736" t="inlineStr">
        <is>
          <t>3B⁰, 2A⁰, 12I¹, 6C⁰, 9B⁰, 1A⁰, 4A⁰, 18C¹, 12A¹, 4D⁰, 18I³, 36F⁵, 36B³</t>
        </is>
      </c>
      <c r="O4736" t="inlineStr"/>
    </row>
    <row r="4737">
      <c r="A4737">
        <f>HYPERLINK("https://mathstats.uncg.edu/sites/pauli/congruence/csg17.html#group36H17", "36H¹⁷")</f>
        <v/>
      </c>
      <c r="B4737" t="n">
        <v>17</v>
      </c>
      <c r="C4737" t="inlineStr"/>
      <c r="D4737" t="inlineStr">
        <is>
          <t>288</t>
        </is>
      </c>
      <c r="E4737" t="inlineStr">
        <is>
          <t>1</t>
        </is>
      </c>
      <c r="F4737" t="inlineStr">
        <is>
          <t>96</t>
        </is>
      </c>
      <c r="G4737" t="inlineStr">
        <is>
          <t>0</t>
        </is>
      </c>
      <c r="H4737" t="inlineStr">
        <is>
          <t>6</t>
        </is>
      </c>
      <c r="I4737" t="inlineStr">
        <is>
          <t>12⁶, 36⁶</t>
        </is>
      </c>
      <c r="J4737" t="n">
        <v>12</v>
      </c>
      <c r="K4737" t="inlineStr">
        <is>
          <t>2⁸, 4⁸, 12⁴</t>
        </is>
      </c>
      <c r="L4737" t="inlineStr">
        <is>
          <t>18O², 36G⁵</t>
        </is>
      </c>
      <c r="M4737" t="inlineStr"/>
      <c r="N4737" t="inlineStr">
        <is>
          <t>3B⁰, 2A⁰, 12I¹, 18B⁰, 4A⁰, 4D⁰, 6C⁰, 12A¹, 9C⁰, 18O², 1A⁰, 36G⁵, 36C³</t>
        </is>
      </c>
      <c r="O4737" t="inlineStr"/>
    </row>
    <row r="4738">
      <c r="A4738">
        <f>HYPERLINK("https://mathstats.uncg.edu/sites/pauli/congruence/csg17.html#group36I17", "36I¹⁷")</f>
        <v/>
      </c>
      <c r="B4738" t="n">
        <v>17</v>
      </c>
      <c r="C4738" t="inlineStr"/>
      <c r="D4738" t="inlineStr">
        <is>
          <t>432</t>
        </is>
      </c>
      <c r="E4738" t="inlineStr">
        <is>
          <t>1</t>
        </is>
      </c>
      <c r="F4738" t="inlineStr">
        <is>
          <t>18</t>
        </is>
      </c>
      <c r="G4738" t="inlineStr">
        <is>
          <t>0</t>
        </is>
      </c>
      <c r="H4738" t="inlineStr">
        <is>
          <t>0</t>
        </is>
      </c>
      <c r="I4738" t="inlineStr">
        <is>
          <t>6²⁴, 12⁶, 18⁸, 36²</t>
        </is>
      </c>
      <c r="J4738" t="n">
        <v>40</v>
      </c>
      <c r="K4738" t="inlineStr">
        <is>
          <t>1⁶, 2⁶</t>
        </is>
      </c>
      <c r="L4738" t="inlineStr">
        <is>
          <t>12N³, 18N⁷, 36N⁸, 36O⁸</t>
        </is>
      </c>
      <c r="M4738" t="inlineStr"/>
      <c r="N4738" t="inlineStr">
        <is>
          <t>2A⁰, 6C¹, 12I⁰, 6G⁰, 2B⁰, 12N³, 9E⁰, 1A⁰, 18F³, 36N⁸, 18N⁴, 6B¹, 18H³, 36O⁸, 3C⁰, 18K³, 6A¹, 18G¹, 6K⁰, 6H⁰, 3A⁰, 6F⁰, 6E¹, 18F², 12U¹, 18N⁷, 3B⁰, 6B⁰, 18I¹, 6I⁰, 6F¹, 6C⁰, 6D¹, 6A⁰, 6E⁰, 6L⁰, 6J⁰, 18P², 18F¹, 9H⁰, 3D⁰, 2C⁰, 6D⁰</t>
        </is>
      </c>
      <c r="O4738" t="inlineStr"/>
    </row>
    <row r="4739">
      <c r="A4739">
        <f>HYPERLINK("https://mathstats.uncg.edu/sites/pauli/congruence/csg17.html#group36J17", "36J¹⁷")</f>
        <v/>
      </c>
      <c r="B4739" t="n">
        <v>17</v>
      </c>
      <c r="C4739" t="inlineStr"/>
      <c r="D4739" t="inlineStr">
        <is>
          <t>432</t>
        </is>
      </c>
      <c r="E4739" t="inlineStr">
        <is>
          <t>1</t>
        </is>
      </c>
      <c r="F4739" t="inlineStr">
        <is>
          <t>36</t>
        </is>
      </c>
      <c r="G4739" t="inlineStr">
        <is>
          <t>0</t>
        </is>
      </c>
      <c r="H4739" t="inlineStr">
        <is>
          <t>0</t>
        </is>
      </c>
      <c r="I4739" t="inlineStr">
        <is>
          <t>2¹², 4³, 6⁸, 12², 18¹², 36³</t>
        </is>
      </c>
      <c r="J4739" t="n">
        <v>40</v>
      </c>
      <c r="K4739" t="inlineStr">
        <is>
          <t>1⁶, 2⁶, 6³</t>
        </is>
      </c>
      <c r="L4739" t="inlineStr">
        <is>
          <t>36J³, 18O⁷</t>
        </is>
      </c>
      <c r="M4739" t="inlineStr"/>
      <c r="N4739" t="inlineStr">
        <is>
          <t>3B⁰, 2A⁰, 6I⁰, 6C⁰, 12I⁰, 9B⁰, 2B⁰, 18J¹, 1A⁰, 18C⁰, 18O⁷, 18E⁰, 18Q², 18G³, 18C¹, 9I⁰, 36J³, 6F⁰, 2C⁰, 18I³</t>
        </is>
      </c>
      <c r="O4739" t="inlineStr"/>
    </row>
    <row r="4740">
      <c r="A4740">
        <f>HYPERLINK("https://mathstats.uncg.edu/sites/pauli/congruence/csg17.html#group36K17", "36K¹⁷")</f>
        <v/>
      </c>
      <c r="B4740" t="n">
        <v>17</v>
      </c>
      <c r="C4740" t="inlineStr"/>
      <c r="D4740" t="inlineStr">
        <is>
          <t>432</t>
        </is>
      </c>
      <c r="E4740" t="inlineStr">
        <is>
          <t>1</t>
        </is>
      </c>
      <c r="F4740" t="inlineStr">
        <is>
          <t>36</t>
        </is>
      </c>
      <c r="G4740" t="inlineStr">
        <is>
          <t>0</t>
        </is>
      </c>
      <c r="H4740" t="inlineStr">
        <is>
          <t>0</t>
        </is>
      </c>
      <c r="I4740" t="inlineStr">
        <is>
          <t>3¹², 6⁶, 9⁴, 12¹², 18², 36⁴</t>
        </is>
      </c>
      <c r="J4740" t="n">
        <v>40</v>
      </c>
      <c r="K4740" t="inlineStr">
        <is>
          <t>1⁸, 2¹⁰, 4²</t>
        </is>
      </c>
      <c r="L4740" t="inlineStr">
        <is>
          <t>12O³, 36N⁷</t>
        </is>
      </c>
      <c r="M4740" t="inlineStr"/>
      <c r="N4740" t="inlineStr">
        <is>
          <t>12O³, 3B⁰, 12K¹, 36N⁷, 18I¹, 12J⁰, 6G⁰, 12S¹, 2B⁰, 9E⁰, 4B⁰, 1A⁰, 12G⁰, 6F⁰, 12E⁰, 3C⁰, 6K⁰, 12B¹, 12D⁰, 36Q⁴, 18P², 3A⁰, 36I³, 3D⁰, 9H⁰, 6D⁰</t>
        </is>
      </c>
      <c r="O4740" t="inlineStr"/>
    </row>
    <row r="4741">
      <c r="A4741">
        <f>HYPERLINK("https://mathstats.uncg.edu/sites/pauli/congruence/csg17.html#group36L17", "36L¹⁷")</f>
        <v/>
      </c>
      <c r="B4741" t="n">
        <v>17</v>
      </c>
      <c r="C4741" t="inlineStr">
        <is>
          <t>Γ₁(36)</t>
        </is>
      </c>
      <c r="D4741" t="inlineStr">
        <is>
          <t>432</t>
        </is>
      </c>
      <c r="E4741" t="inlineStr">
        <is>
          <t>1</t>
        </is>
      </c>
      <c r="F4741" t="inlineStr">
        <is>
          <t>72</t>
        </is>
      </c>
      <c r="G4741" t="inlineStr">
        <is>
          <t>0</t>
        </is>
      </c>
      <c r="H4741" t="inlineStr">
        <is>
          <t>0</t>
        </is>
      </c>
      <c r="I4741" t="inlineStr">
        <is>
          <t>1⁶, 2³, 3⁴, 4⁶, 6², 9⁶, 12⁴, 18³, 36⁶</t>
        </is>
      </c>
      <c r="J4741" t="n">
        <v>40</v>
      </c>
      <c r="K4741" t="inlineStr">
        <is>
          <t>1⁸, 2¹⁰, 4², 6⁴, 12¹</t>
        </is>
      </c>
      <c r="L4741" t="inlineStr">
        <is>
          <t>36K³, 36O⁷</t>
        </is>
      </c>
      <c r="M4741" t="inlineStr"/>
      <c r="N4741" t="inlineStr">
        <is>
          <t>3B⁰, 18E⁰, 18Q², 6F⁰, 12J⁰, 9B⁰, 9I⁰, 36K³, 2B⁰, 36C¹, 4B⁰, 1A⁰, 12E⁰, 36O⁷</t>
        </is>
      </c>
      <c r="O4741" t="inlineStr"/>
    </row>
    <row r="4742">
      <c r="A4742">
        <f>HYPERLINK("https://mathstats.uncg.edu/sites/pauli/congruence/csg17.html#group39A17", "39A¹⁷")</f>
        <v/>
      </c>
      <c r="B4742" t="n">
        <v>17</v>
      </c>
      <c r="C4742" t="inlineStr"/>
      <c r="D4742" t="inlineStr">
        <is>
          <t>336</t>
        </is>
      </c>
      <c r="E4742" t="inlineStr">
        <is>
          <t>1</t>
        </is>
      </c>
      <c r="F4742" t="inlineStr">
        <is>
          <t>56</t>
        </is>
      </c>
      <c r="G4742" t="inlineStr">
        <is>
          <t>0</t>
        </is>
      </c>
      <c r="H4742" t="inlineStr">
        <is>
          <t>0</t>
        </is>
      </c>
      <c r="I4742" t="inlineStr">
        <is>
          <t>1⁶, 3⁶, 13⁶, 39⁶</t>
        </is>
      </c>
      <c r="J4742" t="n">
        <v>24</v>
      </c>
      <c r="K4742" t="inlineStr">
        <is>
          <t>1⁴, 2², 12², 24¹</t>
        </is>
      </c>
      <c r="L4742" t="inlineStr">
        <is>
          <t>13A², 39B⁵, 39B⁹</t>
        </is>
      </c>
      <c r="M4742" t="inlineStr"/>
      <c r="N4742" t="inlineStr">
        <is>
          <t>3B⁰, 39A³, 13A², 39B⁹, 13A⁰, 13C⁰, 13B⁰, 1A⁰, 39B⁵</t>
        </is>
      </c>
      <c r="O4742" t="inlineStr"/>
    </row>
    <row r="4743">
      <c r="A4743">
        <f>HYPERLINK("https://mathstats.uncg.edu/sites/pauli/congruence/csg17.html#group40A17", "40A¹⁷")</f>
        <v/>
      </c>
      <c r="B4743" t="n">
        <v>17</v>
      </c>
      <c r="C4743" t="inlineStr"/>
      <c r="D4743" t="inlineStr">
        <is>
          <t>240</t>
        </is>
      </c>
      <c r="E4743" t="inlineStr">
        <is>
          <t>1</t>
        </is>
      </c>
      <c r="F4743" t="inlineStr">
        <is>
          <t>15</t>
        </is>
      </c>
      <c r="G4743" t="inlineStr">
        <is>
          <t>0</t>
        </is>
      </c>
      <c r="H4743" t="inlineStr">
        <is>
          <t>0</t>
        </is>
      </c>
      <c r="I4743" t="inlineStr">
        <is>
          <t>20⁴, 40⁴</t>
        </is>
      </c>
      <c r="J4743" t="n">
        <v>8</v>
      </c>
      <c r="K4743" t="inlineStr">
        <is>
          <t>1³, 4³</t>
        </is>
      </c>
      <c r="L4743" t="inlineStr">
        <is>
          <t>8F¹, 20A⁸, 40A⁸, 40B⁸, 40A⁹, 40B⁹</t>
        </is>
      </c>
      <c r="M4743" t="inlineStr"/>
      <c r="N4743" t="inlineStr">
        <is>
          <t>40B⁸, 2A⁰, 5A⁰, 40A⁴, 4C⁰, 40A⁸, 20A¹, 2B⁰, 4E⁰, 8C⁰, 4B⁰, 8F¹, 1A⁰, 4G⁰, 40C⁴, 40A⁹, 10A⁰, 20D², 8G⁰, 4D⁰, 40A⁵, 20A², 8A¹, 40B⁹, 8D⁰, 10B¹, 20B², 8B⁰, 20C⁴, 8B¹, 10B², 40B⁴, 8H⁰, 8C¹, 4A⁰, 20A⁴, 20A⁸, 4F⁰, 2C⁰</t>
        </is>
      </c>
      <c r="O4743" t="inlineStr"/>
    </row>
    <row r="4744">
      <c r="A4744">
        <f>HYPERLINK("https://mathstats.uncg.edu/sites/pauli/congruence/csg17.html#group40B17", "40B¹⁷")</f>
        <v/>
      </c>
      <c r="B4744" t="n">
        <v>17</v>
      </c>
      <c r="C4744" t="inlineStr"/>
      <c r="D4744" t="inlineStr">
        <is>
          <t>240</t>
        </is>
      </c>
      <c r="E4744" t="inlineStr">
        <is>
          <t>1</t>
        </is>
      </c>
      <c r="F4744" t="inlineStr">
        <is>
          <t>30</t>
        </is>
      </c>
      <c r="G4744" t="inlineStr">
        <is>
          <t>0</t>
        </is>
      </c>
      <c r="H4744" t="inlineStr">
        <is>
          <t>0</t>
        </is>
      </c>
      <c r="I4744" t="inlineStr">
        <is>
          <t>20⁴, 40⁴</t>
        </is>
      </c>
      <c r="J4744" t="n">
        <v>8</v>
      </c>
      <c r="K4744" t="inlineStr">
        <is>
          <t>2³, 4⁶</t>
        </is>
      </c>
      <c r="L4744" t="inlineStr">
        <is>
          <t>20F⁵, 40C⁹, 40D⁹</t>
        </is>
      </c>
      <c r="M4744" t="inlineStr"/>
      <c r="N4744" t="inlineStr">
        <is>
          <t>10E², 8A¹, 20F⁵, 10D⁰, 4C⁰, 5C⁰, 40D⁹, 40C⁹, 2B⁰, 20F², 1A⁰, 20F³, 10F¹</t>
        </is>
      </c>
      <c r="O4744" t="inlineStr"/>
    </row>
    <row r="4745">
      <c r="A4745">
        <f>HYPERLINK("https://mathstats.uncg.edu/sites/pauli/congruence/csg17.html#group40C17", "40C¹⁷")</f>
        <v/>
      </c>
      <c r="B4745" t="n">
        <v>17</v>
      </c>
      <c r="C4745" t="inlineStr"/>
      <c r="D4745" t="inlineStr">
        <is>
          <t>240</t>
        </is>
      </c>
      <c r="E4745" t="inlineStr">
        <is>
          <t>1</t>
        </is>
      </c>
      <c r="F4745" t="inlineStr">
        <is>
          <t>30</t>
        </is>
      </c>
      <c r="G4745" t="inlineStr">
        <is>
          <t>0</t>
        </is>
      </c>
      <c r="H4745" t="inlineStr">
        <is>
          <t>0</t>
        </is>
      </c>
      <c r="I4745" t="inlineStr">
        <is>
          <t>20⁴, 40⁴</t>
        </is>
      </c>
      <c r="J4745" t="n">
        <v>8</v>
      </c>
      <c r="K4745" t="inlineStr">
        <is>
          <t>2³, 4⁶</t>
        </is>
      </c>
      <c r="L4745" t="inlineStr">
        <is>
          <t>20C⁷, 40D⁷, 40C⁹</t>
        </is>
      </c>
      <c r="M4745" t="inlineStr"/>
      <c r="N4745" t="inlineStr">
        <is>
          <t>2A⁰, 20E³, 4C⁰, 10A³, 2B⁰, 4E⁰, 4B⁰, 1A⁰, 20F³, 10F¹, 20C⁷, 10C¹, 40C⁹, 5C⁰, 2C⁰, 40D⁷</t>
        </is>
      </c>
      <c r="O4745" t="inlineStr"/>
    </row>
    <row r="4746">
      <c r="A4746">
        <f>HYPERLINK("https://mathstats.uncg.edu/sites/pauli/congruence/csg17.html#group40D17", "40D¹⁷")</f>
        <v/>
      </c>
      <c r="B4746" t="n">
        <v>17</v>
      </c>
      <c r="C4746" t="inlineStr"/>
      <c r="D4746" t="inlineStr">
        <is>
          <t>240</t>
        </is>
      </c>
      <c r="E4746" t="inlineStr">
        <is>
          <t>1</t>
        </is>
      </c>
      <c r="F4746" t="inlineStr">
        <is>
          <t>30</t>
        </is>
      </c>
      <c r="G4746" t="inlineStr">
        <is>
          <t>0</t>
        </is>
      </c>
      <c r="H4746" t="inlineStr">
        <is>
          <t>0</t>
        </is>
      </c>
      <c r="I4746" t="inlineStr">
        <is>
          <t>20⁴, 40⁴</t>
        </is>
      </c>
      <c r="J4746" t="n">
        <v>8</v>
      </c>
      <c r="K4746" t="inlineStr">
        <is>
          <t>2³, 4⁶</t>
        </is>
      </c>
      <c r="L4746" t="inlineStr">
        <is>
          <t>8B¹, 20C⁷, 40E⁷, 40D⁹</t>
        </is>
      </c>
      <c r="M4746" t="inlineStr"/>
      <c r="N4746" t="inlineStr">
        <is>
          <t>2A⁰, 8A¹, 20E³, 4C⁰, 8B⁰, 10A³, 40D⁹, 8B¹, 4E⁰, 2B⁰, 4B⁰, 1A⁰, 20F³, 10F¹, 40E⁷, 20C⁷, 10C¹, 5C⁰, 2C⁰</t>
        </is>
      </c>
      <c r="O4746" t="inlineStr"/>
    </row>
    <row r="4747">
      <c r="A4747">
        <f>HYPERLINK("https://mathstats.uncg.edu/sites/pauli/congruence/csg17.html#group40E17", "40E¹⁷")</f>
        <v/>
      </c>
      <c r="B4747" t="n">
        <v>17</v>
      </c>
      <c r="C4747" t="inlineStr"/>
      <c r="D4747" t="inlineStr">
        <is>
          <t>240</t>
        </is>
      </c>
      <c r="E4747" t="inlineStr">
        <is>
          <t>1</t>
        </is>
      </c>
      <c r="F4747" t="inlineStr">
        <is>
          <t>30</t>
        </is>
      </c>
      <c r="G4747" t="inlineStr">
        <is>
          <t>0</t>
        </is>
      </c>
      <c r="H4747" t="inlineStr">
        <is>
          <t>0</t>
        </is>
      </c>
      <c r="I4747" t="inlineStr">
        <is>
          <t>20⁴, 40⁴</t>
        </is>
      </c>
      <c r="J4747" t="n">
        <v>8</v>
      </c>
      <c r="K4747" t="inlineStr">
        <is>
          <t>2³, 4⁶</t>
        </is>
      </c>
      <c r="L4747" t="inlineStr">
        <is>
          <t>40A⁴, 20D⁷, 40E⁷, 40C⁹</t>
        </is>
      </c>
      <c r="M4747" t="inlineStr"/>
      <c r="N4747" t="inlineStr">
        <is>
          <t>20D⁷, 5A⁰, 40A⁴, 10B¹, 20B², 4C⁰, 8B⁰, 5F⁰, 2B⁰, 1A⁰, 10D², 20F³, 10F¹, 40E⁷, 20B⁴, 40C⁹, 5C⁰</t>
        </is>
      </c>
      <c r="O4747" t="inlineStr"/>
    </row>
    <row r="4748">
      <c r="A4748">
        <f>HYPERLINK("https://mathstats.uncg.edu/sites/pauli/congruence/csg17.html#group40F17", "40F¹⁷")</f>
        <v/>
      </c>
      <c r="B4748" t="n">
        <v>17</v>
      </c>
      <c r="C4748" t="inlineStr"/>
      <c r="D4748" t="inlineStr">
        <is>
          <t>240</t>
        </is>
      </c>
      <c r="E4748" t="inlineStr">
        <is>
          <t>1</t>
        </is>
      </c>
      <c r="F4748" t="inlineStr">
        <is>
          <t>30</t>
        </is>
      </c>
      <c r="G4748" t="inlineStr">
        <is>
          <t>0</t>
        </is>
      </c>
      <c r="H4748" t="inlineStr">
        <is>
          <t>0</t>
        </is>
      </c>
      <c r="I4748" t="inlineStr">
        <is>
          <t>20⁴, 40⁴</t>
        </is>
      </c>
      <c r="J4748" t="n">
        <v>8</v>
      </c>
      <c r="K4748" t="inlineStr">
        <is>
          <t>2³, 4⁶</t>
        </is>
      </c>
      <c r="L4748" t="inlineStr">
        <is>
          <t>40A⁵, 20D⁷, 40D⁷, 40D⁹</t>
        </is>
      </c>
      <c r="M4748" t="inlineStr"/>
      <c r="N4748" t="inlineStr">
        <is>
          <t>20D⁷, 5A⁰, 8A¹, 10B¹, 20B², 4C⁰, 5F⁰, 40D⁹, 2B⁰, 1A⁰, 20F³, 10D², 10F¹, 20B⁴, 40A⁵, 5C⁰, 40D⁷</t>
        </is>
      </c>
      <c r="O4748" t="inlineStr"/>
    </row>
    <row r="4749">
      <c r="A4749">
        <f>HYPERLINK("https://mathstats.uncg.edu/sites/pauli/congruence/csg17.html#group40G17", "40G¹⁷")</f>
        <v/>
      </c>
      <c r="B4749" t="n">
        <v>17</v>
      </c>
      <c r="C4749" t="inlineStr"/>
      <c r="D4749" t="inlineStr">
        <is>
          <t>240</t>
        </is>
      </c>
      <c r="E4749" t="inlineStr">
        <is>
          <t>1</t>
        </is>
      </c>
      <c r="F4749" t="inlineStr">
        <is>
          <t>30</t>
        </is>
      </c>
      <c r="G4749" t="inlineStr">
        <is>
          <t>0</t>
        </is>
      </c>
      <c r="H4749" t="inlineStr">
        <is>
          <t>0</t>
        </is>
      </c>
      <c r="I4749" t="inlineStr">
        <is>
          <t>20⁴, 40⁴</t>
        </is>
      </c>
      <c r="J4749" t="n">
        <v>8</v>
      </c>
      <c r="K4749" t="inlineStr">
        <is>
          <t>1⁴, 2¹, 4⁴, 8¹</t>
        </is>
      </c>
      <c r="L4749" t="inlineStr">
        <is>
          <t>8G¹, 40D⁸, 40F⁸, 40A⁹</t>
        </is>
      </c>
      <c r="M4749" t="inlineStr"/>
      <c r="N4749" t="inlineStr">
        <is>
          <t>20A², 2A⁰, 5A⁰, 40A⁴, 8A¹, 10B¹, 20B², 40D⁸, 4C⁰, 8B⁰, 8L⁰, 2B⁰, 8B¹, 4E⁰, 10B², 4B⁰, 1A⁰, 40F⁸, 40A⁹, 10A⁰, 8G¹, 20A⁴, 40A⁵, 8J⁰, 2C⁰</t>
        </is>
      </c>
      <c r="O4749" t="inlineStr"/>
    </row>
    <row r="4750">
      <c r="A4750">
        <f>HYPERLINK("https://mathstats.uncg.edu/sites/pauli/congruence/csg17.html#group40H17", "40H¹⁷")</f>
        <v/>
      </c>
      <c r="B4750" t="n">
        <v>17</v>
      </c>
      <c r="C4750" t="inlineStr"/>
      <c r="D4750" t="inlineStr">
        <is>
          <t>240</t>
        </is>
      </c>
      <c r="E4750" t="inlineStr">
        <is>
          <t>1</t>
        </is>
      </c>
      <c r="F4750" t="inlineStr">
        <is>
          <t>60</t>
        </is>
      </c>
      <c r="G4750" t="inlineStr">
        <is>
          <t>0</t>
        </is>
      </c>
      <c r="H4750" t="inlineStr">
        <is>
          <t>0</t>
        </is>
      </c>
      <c r="I4750" t="inlineStr">
        <is>
          <t>20⁴, 40⁴</t>
        </is>
      </c>
      <c r="J4750" t="n">
        <v>8</v>
      </c>
      <c r="K4750" t="inlineStr">
        <is>
          <t>4³, 8⁶</t>
        </is>
      </c>
      <c r="L4750" t="inlineStr">
        <is>
          <t>20B⁷</t>
        </is>
      </c>
      <c r="M4750" t="inlineStr"/>
      <c r="N4750" t="inlineStr">
        <is>
          <t>2A⁰, 20B⁷, 20B⁴, 10A³, 2B⁰, 10C¹, 20F², 1A⁰, 5C⁰, 2C⁰, 10F¹</t>
        </is>
      </c>
      <c r="O4750" t="inlineStr"/>
    </row>
    <row r="4751">
      <c r="A4751">
        <f>HYPERLINK("https://mathstats.uncg.edu/sites/pauli/congruence/csg17.html#group40I17", "40I¹⁷")</f>
        <v/>
      </c>
      <c r="B4751" t="n">
        <v>17</v>
      </c>
      <c r="C4751" t="inlineStr"/>
      <c r="D4751" t="inlineStr">
        <is>
          <t>240</t>
        </is>
      </c>
      <c r="E4751" t="inlineStr">
        <is>
          <t>1</t>
        </is>
      </c>
      <c r="F4751" t="inlineStr">
        <is>
          <t>60</t>
        </is>
      </c>
      <c r="G4751" t="inlineStr">
        <is>
          <t>0</t>
        </is>
      </c>
      <c r="H4751" t="inlineStr">
        <is>
          <t>0</t>
        </is>
      </c>
      <c r="I4751" t="inlineStr">
        <is>
          <t>20⁴, 40⁴</t>
        </is>
      </c>
      <c r="J4751" t="n">
        <v>8</v>
      </c>
      <c r="K4751" t="inlineStr">
        <is>
          <t>2², 4⁶, 8⁴</t>
        </is>
      </c>
      <c r="L4751" t="inlineStr">
        <is>
          <t>20A⁷</t>
        </is>
      </c>
      <c r="M4751" t="inlineStr"/>
      <c r="N4751" t="inlineStr">
        <is>
          <t>10E², 20E³, 10D⁰, 20A⁷, 20B⁴, 2B⁰, 1A⁰, 4B⁰, 5C⁰, 10F¹</t>
        </is>
      </c>
      <c r="O4751" t="inlineStr"/>
    </row>
    <row r="4752">
      <c r="A4752">
        <f>HYPERLINK("https://mathstats.uncg.edu/sites/pauli/congruence/csg17.html#group40J17", "40J¹⁷")</f>
        <v/>
      </c>
      <c r="B4752" t="n">
        <v>17</v>
      </c>
      <c r="C4752" t="inlineStr"/>
      <c r="D4752" t="inlineStr">
        <is>
          <t>240</t>
        </is>
      </c>
      <c r="E4752" t="inlineStr">
        <is>
          <t>1</t>
        </is>
      </c>
      <c r="F4752" t="inlineStr">
        <is>
          <t>60</t>
        </is>
      </c>
      <c r="G4752" t="inlineStr">
        <is>
          <t>0</t>
        </is>
      </c>
      <c r="H4752" t="inlineStr">
        <is>
          <t>0</t>
        </is>
      </c>
      <c r="I4752" t="inlineStr">
        <is>
          <t>20⁴, 40⁴</t>
        </is>
      </c>
      <c r="J4752" t="n">
        <v>8</v>
      </c>
      <c r="K4752" t="inlineStr">
        <is>
          <t>2², 4⁶, 8⁴</t>
        </is>
      </c>
      <c r="L4752" t="inlineStr">
        <is>
          <t>20G⁷, 40H⁷, 40D⁹</t>
        </is>
      </c>
      <c r="M4752" t="inlineStr"/>
      <c r="N4752" t="inlineStr">
        <is>
          <t>8A¹, 20G⁷, 5C⁰, 4C⁰, 40H⁷, 40D⁹, 2B⁰, 1A⁰, 20F³, 10F¹</t>
        </is>
      </c>
      <c r="O4752" t="inlineStr"/>
    </row>
    <row r="4753">
      <c r="A4753">
        <f>HYPERLINK("https://mathstats.uncg.edu/sites/pauli/congruence/csg17.html#group40K17", "40K¹⁷")</f>
        <v/>
      </c>
      <c r="B4753" t="n">
        <v>17</v>
      </c>
      <c r="C4753" t="inlineStr"/>
      <c r="D4753" t="inlineStr">
        <is>
          <t>240</t>
        </is>
      </c>
      <c r="E4753" t="inlineStr">
        <is>
          <t>1</t>
        </is>
      </c>
      <c r="F4753" t="inlineStr">
        <is>
          <t>60</t>
        </is>
      </c>
      <c r="G4753" t="inlineStr">
        <is>
          <t>0</t>
        </is>
      </c>
      <c r="H4753" t="inlineStr">
        <is>
          <t>0</t>
        </is>
      </c>
      <c r="I4753" t="inlineStr">
        <is>
          <t>20⁴, 40⁴</t>
        </is>
      </c>
      <c r="J4753" t="n">
        <v>8</v>
      </c>
      <c r="K4753" t="inlineStr">
        <is>
          <t>2², 4⁶, 8⁴</t>
        </is>
      </c>
      <c r="L4753" t="inlineStr">
        <is>
          <t>20G⁷, 40I⁷, 40C⁹</t>
        </is>
      </c>
      <c r="M4753" t="inlineStr"/>
      <c r="N4753" t="inlineStr">
        <is>
          <t>40I⁷, 8D⁰, 20G⁷, 4C⁰, 1A⁰, 2B⁰, 40C⁹, 5C⁰, 20F³, 10F¹</t>
        </is>
      </c>
      <c r="O4753" t="inlineStr"/>
    </row>
    <row r="4754">
      <c r="A4754">
        <f>HYPERLINK("https://mathstats.uncg.edu/sites/pauli/congruence/csg17.html#group40L17", "40L¹⁷")</f>
        <v/>
      </c>
      <c r="B4754" t="n">
        <v>17</v>
      </c>
      <c r="C4754" t="inlineStr"/>
      <c r="D4754" t="inlineStr">
        <is>
          <t>240</t>
        </is>
      </c>
      <c r="E4754" t="inlineStr">
        <is>
          <t>1</t>
        </is>
      </c>
      <c r="F4754" t="inlineStr">
        <is>
          <t>60</t>
        </is>
      </c>
      <c r="G4754" t="inlineStr">
        <is>
          <t>0</t>
        </is>
      </c>
      <c r="H4754" t="inlineStr">
        <is>
          <t>0</t>
        </is>
      </c>
      <c r="I4754" t="inlineStr">
        <is>
          <t>20⁴, 40⁴</t>
        </is>
      </c>
      <c r="J4754" t="n">
        <v>8</v>
      </c>
      <c r="K4754" t="inlineStr">
        <is>
          <t>2², 4⁶, 8⁴</t>
        </is>
      </c>
      <c r="L4754" t="inlineStr">
        <is>
          <t>20H⁷, 40H⁷, 40C⁹</t>
        </is>
      </c>
      <c r="M4754" t="inlineStr"/>
      <c r="N4754" t="inlineStr">
        <is>
          <t>20H⁷, 4A⁰, 4C⁰, 5C⁰, 40H⁷, 2B⁰, 40C⁹, 4F⁰, 1A⁰, 20E², 20F³, 10F¹</t>
        </is>
      </c>
      <c r="O4754" t="inlineStr"/>
    </row>
    <row r="4755">
      <c r="A4755">
        <f>HYPERLINK("https://mathstats.uncg.edu/sites/pauli/congruence/csg17.html#group40M17", "40M¹⁷")</f>
        <v/>
      </c>
      <c r="B4755" t="n">
        <v>17</v>
      </c>
      <c r="C4755" t="inlineStr"/>
      <c r="D4755" t="inlineStr">
        <is>
          <t>240</t>
        </is>
      </c>
      <c r="E4755" t="inlineStr">
        <is>
          <t>1</t>
        </is>
      </c>
      <c r="F4755" t="inlineStr">
        <is>
          <t>60</t>
        </is>
      </c>
      <c r="G4755" t="inlineStr">
        <is>
          <t>0</t>
        </is>
      </c>
      <c r="H4755" t="inlineStr">
        <is>
          <t>0</t>
        </is>
      </c>
      <c r="I4755" t="inlineStr">
        <is>
          <t>20⁴, 40⁴</t>
        </is>
      </c>
      <c r="J4755" t="n">
        <v>8</v>
      </c>
      <c r="K4755" t="inlineStr">
        <is>
          <t>2², 4⁶, 8⁴</t>
        </is>
      </c>
      <c r="L4755" t="inlineStr">
        <is>
          <t>8C¹, 20H⁷, 40I⁷, 40D⁹</t>
        </is>
      </c>
      <c r="M4755" t="inlineStr"/>
      <c r="N4755" t="inlineStr">
        <is>
          <t>8C¹, 8A¹, 20H⁷, 40I⁷, 8D⁰, 4A⁰, 4C⁰, 5C⁰, 40D⁹, 2B⁰, 4F⁰, 1A⁰, 20E², 20F³, 10F¹</t>
        </is>
      </c>
      <c r="O4755" t="inlineStr"/>
    </row>
    <row r="4756">
      <c r="A4756">
        <f>HYPERLINK("https://mathstats.uncg.edu/sites/pauli/congruence/csg17.html#group40N17", "40N¹⁷")</f>
        <v/>
      </c>
      <c r="B4756" t="n">
        <v>17</v>
      </c>
      <c r="C4756" t="inlineStr"/>
      <c r="D4756" t="inlineStr">
        <is>
          <t>240</t>
        </is>
      </c>
      <c r="E4756" t="inlineStr">
        <is>
          <t>1</t>
        </is>
      </c>
      <c r="F4756" t="inlineStr">
        <is>
          <t>60</t>
        </is>
      </c>
      <c r="G4756" t="inlineStr">
        <is>
          <t>4</t>
        </is>
      </c>
      <c r="H4756" t="inlineStr">
        <is>
          <t>0</t>
        </is>
      </c>
      <c r="I4756" t="inlineStr">
        <is>
          <t>40⁶</t>
        </is>
      </c>
      <c r="J4756" t="n">
        <v>6</v>
      </c>
      <c r="K4756" t="inlineStr">
        <is>
          <t>2², 4², 8², 16²</t>
        </is>
      </c>
      <c r="L4756" t="inlineStr">
        <is>
          <t>8H¹, 40B⁸, 40E⁸, 40E⁹</t>
        </is>
      </c>
      <c r="M4756" t="inlineStr"/>
      <c r="N4756" t="inlineStr">
        <is>
          <t>40B⁸, 5A⁰, 40A⁴, 8D⁰, 10B¹, 20B², 4C⁰, 8B⁰, 8A⁰, 20A¹, 20C⁴, 2B⁰, 8K⁰, 1A⁰, 8H¹, 8D¹, 40E⁸, 8H⁰, 40C⁴, 4A⁰, 4F⁰, 40E⁹, 40A²</t>
        </is>
      </c>
      <c r="O4756" t="inlineStr"/>
    </row>
    <row r="4757">
      <c r="A4757">
        <f>HYPERLINK("https://mathstats.uncg.edu/sites/pauli/congruence/csg17.html#group40O17", "40O¹⁷")</f>
        <v/>
      </c>
      <c r="B4757" t="n">
        <v>17</v>
      </c>
      <c r="C4757" t="inlineStr"/>
      <c r="D4757" t="inlineStr">
        <is>
          <t>240</t>
        </is>
      </c>
      <c r="E4757" t="inlineStr">
        <is>
          <t>1</t>
        </is>
      </c>
      <c r="F4757" t="inlineStr">
        <is>
          <t>60</t>
        </is>
      </c>
      <c r="G4757" t="inlineStr">
        <is>
          <t>4</t>
        </is>
      </c>
      <c r="H4757" t="inlineStr">
        <is>
          <t>0</t>
        </is>
      </c>
      <c r="I4757" t="inlineStr">
        <is>
          <t>40⁶</t>
        </is>
      </c>
      <c r="J4757" t="n">
        <v>6</v>
      </c>
      <c r="K4757" t="inlineStr">
        <is>
          <t>1², 2¹, 4⁴, 8¹, 16²</t>
        </is>
      </c>
      <c r="L4757" t="inlineStr">
        <is>
          <t>8I¹, 40D⁵, 40B⁸</t>
        </is>
      </c>
      <c r="M4757" t="inlineStr"/>
      <c r="N4757" t="inlineStr">
        <is>
          <t>40B⁸, 5A⁰, 40A⁴, 8D⁰, 10B¹, 20B², 4C⁰, 8B⁰, 20A¹, 20C⁴, 2B⁰, 1A⁰, 40D⁵, 8H⁰, 40C⁴, 8F⁰, 4A⁰, 8I¹, 4F⁰</t>
        </is>
      </c>
      <c r="O4757" t="inlineStr"/>
    </row>
    <row r="4758">
      <c r="A4758">
        <f>HYPERLINK("https://mathstats.uncg.edu/sites/pauli/congruence/csg17.html#group40P17", "40P¹⁷")</f>
        <v/>
      </c>
      <c r="B4758" t="n">
        <v>17</v>
      </c>
      <c r="C4758" t="inlineStr"/>
      <c r="D4758" t="inlineStr">
        <is>
          <t>240</t>
        </is>
      </c>
      <c r="E4758" t="inlineStr">
        <is>
          <t>1</t>
        </is>
      </c>
      <c r="F4758" t="inlineStr">
        <is>
          <t>120</t>
        </is>
      </c>
      <c r="G4758" t="inlineStr">
        <is>
          <t>4</t>
        </is>
      </c>
      <c r="H4758" t="inlineStr">
        <is>
          <t>0</t>
        </is>
      </c>
      <c r="I4758" t="inlineStr">
        <is>
          <t>40⁶</t>
        </is>
      </c>
      <c r="J4758" t="n">
        <v>6</v>
      </c>
      <c r="K4758" t="inlineStr">
        <is>
          <t>4², 8⁶, 16⁴</t>
        </is>
      </c>
      <c r="L4758" t="inlineStr">
        <is>
          <t>40E⁵, 20H⁷</t>
        </is>
      </c>
      <c r="M4758" t="inlineStr"/>
      <c r="N4758" t="inlineStr">
        <is>
          <t>40E⁵, 20H⁷, 4A⁰, 4C⁰, 5C⁰, 2B⁰, 4F⁰, 1A⁰, 20E², 20F³, 10F¹</t>
        </is>
      </c>
      <c r="O4758" t="inlineStr"/>
    </row>
    <row r="4759">
      <c r="A4759">
        <f>HYPERLINK("https://mathstats.uncg.edu/sites/pauli/congruence/csg17.html#group40Q17", "40Q¹⁷")</f>
        <v/>
      </c>
      <c r="B4759" t="n">
        <v>17</v>
      </c>
      <c r="C4759" t="inlineStr"/>
      <c r="D4759" t="inlineStr">
        <is>
          <t>240</t>
        </is>
      </c>
      <c r="E4759" t="inlineStr">
        <is>
          <t>1</t>
        </is>
      </c>
      <c r="F4759" t="inlineStr">
        <is>
          <t>120</t>
        </is>
      </c>
      <c r="G4759" t="inlineStr">
        <is>
          <t>4</t>
        </is>
      </c>
      <c r="H4759" t="inlineStr">
        <is>
          <t>0</t>
        </is>
      </c>
      <c r="I4759" t="inlineStr">
        <is>
          <t>40⁶</t>
        </is>
      </c>
      <c r="J4759" t="n">
        <v>6</v>
      </c>
      <c r="K4759" t="inlineStr">
        <is>
          <t>4², 8⁶, 16⁴</t>
        </is>
      </c>
      <c r="L4759" t="inlineStr">
        <is>
          <t>8D¹, 40F⁵, 20H⁷</t>
        </is>
      </c>
      <c r="M4759" t="inlineStr"/>
      <c r="N4759" t="inlineStr">
        <is>
          <t>40F⁵, 20H⁷, 4A⁰, 20E², 5C⁰, 4C⁰, 8A⁰, 2B⁰, 4F⁰, 1A⁰, 8D¹, 20F³, 10F¹</t>
        </is>
      </c>
      <c r="O4759" t="inlineStr"/>
    </row>
    <row r="4760">
      <c r="A4760">
        <f>HYPERLINK("https://mathstats.uncg.edu/sites/pauli/congruence/csg17.html#group40R17", "40R¹⁷")</f>
        <v/>
      </c>
      <c r="B4760" t="n">
        <v>17</v>
      </c>
      <c r="C4760" t="inlineStr"/>
      <c r="D4760" t="inlineStr">
        <is>
          <t>240</t>
        </is>
      </c>
      <c r="E4760" t="inlineStr">
        <is>
          <t>2</t>
        </is>
      </c>
      <c r="F4760" t="inlineStr">
        <is>
          <t>60</t>
        </is>
      </c>
      <c r="G4760" t="inlineStr">
        <is>
          <t>4</t>
        </is>
      </c>
      <c r="H4760" t="inlineStr">
        <is>
          <t>0</t>
        </is>
      </c>
      <c r="I4760" t="inlineStr">
        <is>
          <t>40⁶</t>
        </is>
      </c>
      <c r="J4760" t="n">
        <v>6</v>
      </c>
      <c r="K4760" t="inlineStr">
        <is>
          <t>4², 8², 16⁶</t>
        </is>
      </c>
      <c r="L4760" t="inlineStr">
        <is>
          <t>40A³, 40E⁵, 20F⁷, 40H⁸</t>
        </is>
      </c>
      <c r="M4760" t="inlineStr"/>
      <c r="N4760" t="inlineStr">
        <is>
          <t>40E⁵, 5A⁰, 40A³, 4A⁰, 40H⁸, 5B⁰, 5E⁰, 20A¹, 1A⁰, 20F⁷, 5C⁰, 20E², 5G⁰, 20B¹, 20D³</t>
        </is>
      </c>
      <c r="O4760" t="inlineStr"/>
    </row>
    <row r="4761">
      <c r="A4761">
        <f>HYPERLINK("https://mathstats.uncg.edu/sites/pauli/congruence/csg17.html#group40S17", "40S¹⁷")</f>
        <v/>
      </c>
      <c r="B4761" t="n">
        <v>17</v>
      </c>
      <c r="C4761" t="inlineStr"/>
      <c r="D4761" t="inlineStr">
        <is>
          <t>240</t>
        </is>
      </c>
      <c r="E4761" t="inlineStr">
        <is>
          <t>2</t>
        </is>
      </c>
      <c r="F4761" t="inlineStr">
        <is>
          <t>60</t>
        </is>
      </c>
      <c r="G4761" t="inlineStr">
        <is>
          <t>4</t>
        </is>
      </c>
      <c r="H4761" t="inlineStr">
        <is>
          <t>0</t>
        </is>
      </c>
      <c r="I4761" t="inlineStr">
        <is>
          <t>40⁶</t>
        </is>
      </c>
      <c r="J4761" t="n">
        <v>6</v>
      </c>
      <c r="K4761" t="inlineStr">
        <is>
          <t>4², 8², 16⁶</t>
        </is>
      </c>
      <c r="L4761" t="inlineStr">
        <is>
          <t>40B³, 40F⁵, 20F⁷, 40G⁸, 40H⁸</t>
        </is>
      </c>
      <c r="M4761" t="inlineStr"/>
      <c r="N4761" t="inlineStr">
        <is>
          <t>40F⁵, 5A⁰, 40G⁸, 8A⁰, 5B⁰, 20A¹, 5G⁰, 20F⁷, 1A⁰, 20B¹, 4A⁰, 40B³, 40H⁸, 5E⁰, 5C⁰, 20E², 40A², 20D³</t>
        </is>
      </c>
      <c r="O4761" t="inlineStr"/>
    </row>
    <row r="4762">
      <c r="A4762">
        <f>HYPERLINK("https://mathstats.uncg.edu/sites/pauli/congruence/csg17.html#group40T17", "40T¹⁷")</f>
        <v/>
      </c>
      <c r="B4762" t="n">
        <v>17</v>
      </c>
      <c r="C4762" t="inlineStr"/>
      <c r="D4762" t="inlineStr">
        <is>
          <t>288</t>
        </is>
      </c>
      <c r="E4762" t="inlineStr">
        <is>
          <t>1</t>
        </is>
      </c>
      <c r="F4762" t="inlineStr">
        <is>
          <t>18</t>
        </is>
      </c>
      <c r="G4762" t="inlineStr">
        <is>
          <t>0</t>
        </is>
      </c>
      <c r="H4762" t="inlineStr">
        <is>
          <t>0</t>
        </is>
      </c>
      <c r="I4762" t="inlineStr">
        <is>
          <t>4⁴, 8⁴, 20⁴, 40⁴</t>
        </is>
      </c>
      <c r="J4762" t="n">
        <v>16</v>
      </c>
      <c r="K4762" t="inlineStr">
        <is>
          <t>1⁶, 4³</t>
        </is>
      </c>
      <c r="L4762" t="inlineStr">
        <is>
          <t>20I⁵, 40T⁷, 40K⁹, 40L⁹</t>
        </is>
      </c>
      <c r="M4762" t="inlineStr"/>
      <c r="N4762" t="inlineStr">
        <is>
          <t>20E¹, 2A⁰, 10G⁰, 40K⁹, 20I⁵, 40T⁷, 20G³, 4C⁰, 5B⁰, 5D⁰, 10A¹, 2B⁰, 20D¹, 20H¹, 4E⁰, 4B⁰, 10D¹, 1A⁰, 40L⁹, 20H³, 10F⁰, 10B⁰, 20A⁰, 20I¹, 10C⁰, 10K¹, 20I³, 20J³, 2C⁰, 20C², 10G¹</t>
        </is>
      </c>
      <c r="O4762" t="inlineStr"/>
    </row>
    <row r="4763">
      <c r="A4763">
        <f>HYPERLINK("https://mathstats.uncg.edu/sites/pauli/congruence/csg17.html#group40U17", "40U¹⁷")</f>
        <v/>
      </c>
      <c r="B4763" t="n">
        <v>17</v>
      </c>
      <c r="C4763" t="inlineStr"/>
      <c r="D4763" t="inlineStr">
        <is>
          <t>288</t>
        </is>
      </c>
      <c r="E4763" t="inlineStr">
        <is>
          <t>1</t>
        </is>
      </c>
      <c r="F4763" t="inlineStr">
        <is>
          <t>18</t>
        </is>
      </c>
      <c r="G4763" t="inlineStr">
        <is>
          <t>0</t>
        </is>
      </c>
      <c r="H4763" t="inlineStr">
        <is>
          <t>0</t>
        </is>
      </c>
      <c r="I4763" t="inlineStr">
        <is>
          <t>4⁴, 8⁴, 20⁴, 40⁴</t>
        </is>
      </c>
      <c r="J4763" t="n">
        <v>16</v>
      </c>
      <c r="K4763" t="inlineStr">
        <is>
          <t>1⁶, 4³</t>
        </is>
      </c>
      <c r="L4763" t="inlineStr">
        <is>
          <t>20K⁷, 40L⁷, 40R⁷, 40I⁹, 40O⁹</t>
        </is>
      </c>
      <c r="M4763" t="inlineStr"/>
      <c r="N4763" t="inlineStr">
        <is>
          <t>20E¹, 2A⁰, 40L⁷, 40O⁹, 4C⁰, 20C³, 5B⁰, 10A¹, 4G⁰, 20D¹, 40I⁹, 4E⁰, 2B⁰, 4B⁰, 40B⁵, 1A⁰, 20B¹, 20L³, 40C³, 20K⁷, 4A⁰, 4D⁰, 10C⁰, 40R⁷, 40E³, 4F⁰, 20J³, 2C⁰, 10G¹, 40G³</t>
        </is>
      </c>
      <c r="O4763" t="inlineStr"/>
    </row>
    <row r="4764">
      <c r="A4764">
        <f>HYPERLINK("https://mathstats.uncg.edu/sites/pauli/congruence/csg17.html#group40V17", "40V¹⁷")</f>
        <v/>
      </c>
      <c r="B4764" t="n">
        <v>17</v>
      </c>
      <c r="C4764" t="inlineStr"/>
      <c r="D4764" t="inlineStr">
        <is>
          <t>288</t>
        </is>
      </c>
      <c r="E4764" t="inlineStr">
        <is>
          <t>1</t>
        </is>
      </c>
      <c r="F4764" t="inlineStr">
        <is>
          <t>18</t>
        </is>
      </c>
      <c r="G4764" t="inlineStr">
        <is>
          <t>0</t>
        </is>
      </c>
      <c r="H4764" t="inlineStr">
        <is>
          <t>0</t>
        </is>
      </c>
      <c r="I4764" t="inlineStr">
        <is>
          <t>4⁴, 8⁴, 20⁴, 40⁴</t>
        </is>
      </c>
      <c r="J4764" t="n">
        <v>16</v>
      </c>
      <c r="K4764" t="inlineStr">
        <is>
          <t>1⁶, 4³</t>
        </is>
      </c>
      <c r="L4764" t="inlineStr">
        <is>
          <t>20L⁷, 40L⁷, 40Q⁷, 40J⁹, 40M⁹</t>
        </is>
      </c>
      <c r="M4764" t="inlineStr"/>
      <c r="N4764" t="inlineStr">
        <is>
          <t>2A⁰, 20E¹, 20L⁷, 40L⁷, 40D³, 40Q⁷, 8A¹, 4C⁰, 5B⁰, 8B⁰, 10A¹, 40C⁵, 40J⁹, 2B⁰, 20D¹, 4E⁰, 20K³, 4B⁰, 1A⁰, 8B¹, 40M⁹, 20A⁰, 10C⁰, 40E³, 20I³, 20J³, 2C⁰, 20C², 10G¹, 40G³</t>
        </is>
      </c>
      <c r="O4764" t="inlineStr"/>
    </row>
    <row r="4765">
      <c r="A4765">
        <f>HYPERLINK("https://mathstats.uncg.edu/sites/pauli/congruence/csg17.html#group40W17", "40W¹⁷")</f>
        <v/>
      </c>
      <c r="B4765" t="n">
        <v>17</v>
      </c>
      <c r="C4765" t="inlineStr"/>
      <c r="D4765" t="inlineStr">
        <is>
          <t>288</t>
        </is>
      </c>
      <c r="E4765" t="inlineStr">
        <is>
          <t>1</t>
        </is>
      </c>
      <c r="F4765" t="inlineStr">
        <is>
          <t>18</t>
        </is>
      </c>
      <c r="G4765" t="inlineStr">
        <is>
          <t>0</t>
        </is>
      </c>
      <c r="H4765" t="inlineStr">
        <is>
          <t>0</t>
        </is>
      </c>
      <c r="I4765" t="inlineStr">
        <is>
          <t>4⁴, 8⁴, 20⁴, 40⁴</t>
        </is>
      </c>
      <c r="J4765" t="n">
        <v>16</v>
      </c>
      <c r="K4765" t="inlineStr">
        <is>
          <t>1⁶, 4³</t>
        </is>
      </c>
      <c r="L4765" t="inlineStr">
        <is>
          <t>20L⁷, 40M⁷, 40P⁷, 40I⁹, 40N⁹</t>
        </is>
      </c>
      <c r="M4765" t="inlineStr"/>
      <c r="N4765" t="inlineStr">
        <is>
          <t>2A⁰, 20E¹, 20L⁷, 40N⁹, 40H³, 8D⁰, 4C⁰, 5B⁰, 10A¹, 2B⁰, 40I⁹, 20D¹, 4E⁰, 20K³, 4B⁰, 1A⁰, 40B⁵, 8C⁰, 40P⁷, 40C³, 20A⁰, 40F³, 40M⁷, 8G⁰, 10C⁰, 20I³, 20J³, 2C⁰, 20C², 10G¹</t>
        </is>
      </c>
      <c r="O4765" t="inlineStr"/>
    </row>
    <row r="4766">
      <c r="A4766">
        <f>HYPERLINK("https://mathstats.uncg.edu/sites/pauli/congruence/csg17.html#group40X17", "40X¹⁷")</f>
        <v/>
      </c>
      <c r="B4766" t="n">
        <v>17</v>
      </c>
      <c r="C4766" t="inlineStr"/>
      <c r="D4766" t="inlineStr">
        <is>
          <t>288</t>
        </is>
      </c>
      <c r="E4766" t="inlineStr">
        <is>
          <t>1</t>
        </is>
      </c>
      <c r="F4766" t="inlineStr">
        <is>
          <t>18</t>
        </is>
      </c>
      <c r="G4766" t="inlineStr">
        <is>
          <t>0</t>
        </is>
      </c>
      <c r="H4766" t="inlineStr">
        <is>
          <t>0</t>
        </is>
      </c>
      <c r="I4766" t="inlineStr">
        <is>
          <t>4⁴, 8⁴, 20⁴, 40⁴</t>
        </is>
      </c>
      <c r="J4766" t="n">
        <v>16</v>
      </c>
      <c r="K4766" t="inlineStr">
        <is>
          <t>1⁶, 4³</t>
        </is>
      </c>
      <c r="L4766" t="inlineStr">
        <is>
          <t>8F¹, 20K⁷, 40M⁷, 40S⁷, 40J⁹, 40P⁹</t>
        </is>
      </c>
      <c r="M4766" t="inlineStr"/>
      <c r="N4766" t="inlineStr">
        <is>
          <t>20E¹, 2A⁰, 40D³, 4C⁰, 5B⁰, 40C⁵, 10A¹, 4G⁰, 2B⁰, 4E⁰, 8C⁰, 4B⁰, 8F¹, 1A⁰, 40S⁷, 40P⁹, 20B¹, 20K⁷, 40F³, 8G⁰, 4D⁰, 10C⁰, 20J³, 8A¹, 40H³, 8D⁰, 20C³, 8B⁰, 40J⁹, 20D¹, 8B¹, 8H⁰, 8C¹, 40M⁷, 4A⁰, 4F⁰, 20L³, 2C⁰, 10G¹</t>
        </is>
      </c>
      <c r="O4766" t="inlineStr"/>
    </row>
    <row r="4767">
      <c r="A4767">
        <f>HYPERLINK("https://mathstats.uncg.edu/sites/pauli/congruence/csg17.html#group40Y17", "40Y¹⁷")</f>
        <v/>
      </c>
      <c r="B4767" t="n">
        <v>17</v>
      </c>
      <c r="C4767" t="inlineStr"/>
      <c r="D4767" t="inlineStr">
        <is>
          <t>288</t>
        </is>
      </c>
      <c r="E4767" t="inlineStr">
        <is>
          <t>1</t>
        </is>
      </c>
      <c r="F4767" t="inlineStr">
        <is>
          <t>18</t>
        </is>
      </c>
      <c r="G4767" t="inlineStr">
        <is>
          <t>0</t>
        </is>
      </c>
      <c r="H4767" t="inlineStr">
        <is>
          <t>0</t>
        </is>
      </c>
      <c r="I4767" t="inlineStr">
        <is>
          <t>4⁴, 8⁴, 20⁴, 40⁴</t>
        </is>
      </c>
      <c r="J4767" t="n">
        <v>16</v>
      </c>
      <c r="K4767" t="inlineStr">
        <is>
          <t>1⁶, 4³</t>
        </is>
      </c>
      <c r="L4767" t="inlineStr">
        <is>
          <t>20I⁵, 40L⁵, 40F⁹, 40H⁹, 40G⁹, 40I⁹, 40J⁹</t>
        </is>
      </c>
      <c r="M4767" t="inlineStr"/>
      <c r="N4767" t="inlineStr">
        <is>
          <t>20E¹, 2A⁰, 10G⁰, 20I⁵, 4C⁰, 5B⁰, 40C⁵, 5D⁰, 10A¹, 2B⁰, 40I⁹, 20H¹, 4E⁰, 4B⁰, 10D¹, 1A⁰, 20H³, 40C³, 10G¹, 10C⁰, 40L⁵, 20J³, 20C², 8A¹, 40H⁹, 40F⁹, 20G³, 8B⁰, 40J⁹, 20D¹, 40B⁵, 8B¹, 10F⁰, 10B⁰, 20A⁰, 20I¹, 10K¹, 20I³, 40D³, 2C⁰, 40G⁹</t>
        </is>
      </c>
      <c r="O4767" t="inlineStr"/>
    </row>
    <row r="4768">
      <c r="A4768">
        <f>HYPERLINK("https://mathstats.uncg.edu/sites/pauli/congruence/csg17.html#group40Z17", "40Z¹⁷")</f>
        <v/>
      </c>
      <c r="B4768" t="n">
        <v>17</v>
      </c>
      <c r="C4768" t="inlineStr"/>
      <c r="D4768" t="inlineStr">
        <is>
          <t>288</t>
        </is>
      </c>
      <c r="E4768" t="inlineStr">
        <is>
          <t>1</t>
        </is>
      </c>
      <c r="F4768" t="inlineStr">
        <is>
          <t>36</t>
        </is>
      </c>
      <c r="G4768" t="inlineStr">
        <is>
          <t>0</t>
        </is>
      </c>
      <c r="H4768" t="inlineStr">
        <is>
          <t>0</t>
        </is>
      </c>
      <c r="I4768" t="inlineStr">
        <is>
          <t>4⁴, 8⁴, 20⁴, 40⁴</t>
        </is>
      </c>
      <c r="J4768" t="n">
        <v>16</v>
      </c>
      <c r="K4768" t="inlineStr">
        <is>
          <t>1⁴, 2⁴, 4², 8²</t>
        </is>
      </c>
      <c r="L4768" t="inlineStr">
        <is>
          <t>20J⁵, 40N⁵, 40F⁹, 40O⁹, 40N⁹, 40M⁹, 40P⁹</t>
        </is>
      </c>
      <c r="M4768" t="inlineStr"/>
      <c r="N4768" t="inlineStr">
        <is>
          <t>20E¹, 40N⁹, 10G⁰, 8A¹, 40O⁹, 20J⁵, 40H³, 8D⁰, 40F⁹, 4C⁰, 5B⁰, 40C⁵, 40B⁵, 2B⁰, 20K³, 1A⁰, 40M⁹, 20B¹, 40P⁹, 10B⁰, 20A⁰, 8C¹, 20I¹, 4A⁰, 20G¹, 10C⁰, 40N⁵, 4F⁰, 20L³, 40G³</t>
        </is>
      </c>
      <c r="O4768" t="inlineStr"/>
    </row>
    <row r="4769">
      <c r="A4769">
        <f>HYPERLINK("https://mathstats.uncg.edu/sites/pauli/congruence/csg17.html#group40AA17", "40AA¹⁷")</f>
        <v/>
      </c>
      <c r="B4769" t="n">
        <v>17</v>
      </c>
      <c r="C4769" t="inlineStr"/>
      <c r="D4769" t="inlineStr">
        <is>
          <t>288</t>
        </is>
      </c>
      <c r="E4769" t="inlineStr">
        <is>
          <t>1</t>
        </is>
      </c>
      <c r="F4769" t="inlineStr">
        <is>
          <t>36</t>
        </is>
      </c>
      <c r="G4769" t="inlineStr">
        <is>
          <t>0</t>
        </is>
      </c>
      <c r="H4769" t="inlineStr">
        <is>
          <t>0</t>
        </is>
      </c>
      <c r="I4769" t="inlineStr">
        <is>
          <t>4⁴, 8⁴, 20⁴, 40⁴</t>
        </is>
      </c>
      <c r="J4769" t="n">
        <v>16</v>
      </c>
      <c r="K4769" t="inlineStr">
        <is>
          <t>1⁴, 2⁴, 4², 8²</t>
        </is>
      </c>
      <c r="L4769" t="inlineStr">
        <is>
          <t>20M⁷, 40N⁷, 40Q⁷, 40S⁷, 40H⁹, 40O⁹, 40N⁹</t>
        </is>
      </c>
      <c r="M4769" t="inlineStr"/>
      <c r="N4769" t="inlineStr">
        <is>
          <t>20E¹, 40D³, 20M⁷, 40Q⁷, 40N⁹, 40O⁹, 40H³, 8D⁰, 40H⁹, 20G³, 4C⁰, 5B⁰, 8B⁰, 5D⁰, 2B⁰, 40B⁵, 20K³, 1A⁰, 20B³, 10F⁰, 40S⁷, 20B¹, 40N⁷, 8H⁰, 4A⁰, 10C⁰, 4F⁰, 20L³, 20C², 40G³</t>
        </is>
      </c>
      <c r="O4769" t="inlineStr"/>
    </row>
    <row r="4770">
      <c r="A4770">
        <f>HYPERLINK("https://mathstats.uncg.edu/sites/pauli/congruence/csg17.html#group40AB17", "40AB¹⁷")</f>
        <v/>
      </c>
      <c r="B4770" t="n">
        <v>17</v>
      </c>
      <c r="C4770" t="inlineStr"/>
      <c r="D4770" t="inlineStr">
        <is>
          <t>288</t>
        </is>
      </c>
      <c r="E4770" t="inlineStr">
        <is>
          <t>1</t>
        </is>
      </c>
      <c r="F4770" t="inlineStr">
        <is>
          <t>36</t>
        </is>
      </c>
      <c r="G4770" t="inlineStr">
        <is>
          <t>0</t>
        </is>
      </c>
      <c r="H4770" t="inlineStr">
        <is>
          <t>0</t>
        </is>
      </c>
      <c r="I4770" t="inlineStr">
        <is>
          <t>4⁴, 8⁴, 20⁴, 40⁴</t>
        </is>
      </c>
      <c r="J4770" t="n">
        <v>16</v>
      </c>
      <c r="K4770" t="inlineStr">
        <is>
          <t>1⁴, 2⁴, 4², 8²</t>
        </is>
      </c>
      <c r="L4770" t="inlineStr">
        <is>
          <t>20M⁷, 40N⁷, 40R⁷, 40P⁷, 40G⁹, 40M⁹, 40P⁹</t>
        </is>
      </c>
      <c r="M4770" t="inlineStr"/>
      <c r="N4770" t="inlineStr">
        <is>
          <t>20E¹, 20M⁷, 8A¹, 40H³, 8D⁰, 20G³, 4C⁰, 5B⁰, 40C⁵, 5D⁰, 2B⁰, 20K³, 1A⁰, 20B³, 40M⁹, 40P⁷, 40P⁹, 10F⁰, 40N⁷, 20B¹, 40C³, 8C¹, 4A⁰, 10C⁰, 40R⁷, 4F⁰, 20L³, 20C², 40G⁹, 40G³</t>
        </is>
      </c>
      <c r="O4770" t="inlineStr"/>
    </row>
    <row r="4771">
      <c r="A4771">
        <f>HYPERLINK("https://mathstats.uncg.edu/sites/pauli/congruence/csg17.html#group40AC17", "40AC¹⁷")</f>
        <v/>
      </c>
      <c r="B4771" t="n">
        <v>17</v>
      </c>
      <c r="C4771" t="inlineStr"/>
      <c r="D4771" t="inlineStr">
        <is>
          <t>288</t>
        </is>
      </c>
      <c r="E4771" t="inlineStr">
        <is>
          <t>1</t>
        </is>
      </c>
      <c r="F4771" t="inlineStr">
        <is>
          <t>36</t>
        </is>
      </c>
      <c r="G4771" t="inlineStr">
        <is>
          <t>0</t>
        </is>
      </c>
      <c r="H4771" t="inlineStr">
        <is>
          <t>0</t>
        </is>
      </c>
      <c r="I4771" t="inlineStr">
        <is>
          <t>4⁴, 8⁴, 20⁴, 40⁴</t>
        </is>
      </c>
      <c r="J4771" t="n">
        <v>16</v>
      </c>
      <c r="K4771" t="inlineStr">
        <is>
          <t>1⁸, 2², 4⁴, 8¹</t>
        </is>
      </c>
      <c r="L4771" t="inlineStr">
        <is>
          <t>20T³, 40T⁷, 40F⁹</t>
        </is>
      </c>
      <c r="M4771" t="inlineStr"/>
      <c r="N4771" t="inlineStr">
        <is>
          <t>20E¹, 10G⁰, 8A¹, 40T⁷, 40F⁹, 4C⁰, 5B⁰, 40C⁵, 2B⁰, 40B⁵, 1A⁰, 20T³, 10B⁰, 20A⁰, 20I¹, 10C⁰</t>
        </is>
      </c>
      <c r="O4771" t="inlineStr"/>
    </row>
    <row r="4772">
      <c r="A4772">
        <f>HYPERLINK("https://mathstats.uncg.edu/sites/pauli/congruence/csg17.html#group40AD17", "40AD¹⁷")</f>
        <v/>
      </c>
      <c r="B4772" t="n">
        <v>17</v>
      </c>
      <c r="C4772" t="inlineStr"/>
      <c r="D4772" t="inlineStr">
        <is>
          <t>288</t>
        </is>
      </c>
      <c r="E4772" t="inlineStr">
        <is>
          <t>1</t>
        </is>
      </c>
      <c r="F4772" t="inlineStr">
        <is>
          <t>36</t>
        </is>
      </c>
      <c r="G4772" t="inlineStr">
        <is>
          <t>0</t>
        </is>
      </c>
      <c r="H4772" t="inlineStr">
        <is>
          <t>0</t>
        </is>
      </c>
      <c r="I4772" t="inlineStr">
        <is>
          <t>4⁴, 8⁴, 20⁴, 40⁴</t>
        </is>
      </c>
      <c r="J4772" t="n">
        <v>16</v>
      </c>
      <c r="K4772" t="inlineStr">
        <is>
          <t>1⁸, 2², 4⁴, 8¹</t>
        </is>
      </c>
      <c r="L4772" t="inlineStr">
        <is>
          <t>40W⁷, 40AA⁷, 40J⁹</t>
        </is>
      </c>
      <c r="M4772" t="inlineStr"/>
      <c r="N4772" t="inlineStr">
        <is>
          <t>20E¹, 2A⁰, 40D³, 8A¹, 40W⁷, 4C⁰, 5B⁰, 40C⁵, 10A¹, 8B⁰, 40J⁹, 20D¹, 4E⁰, 2B⁰, 4B⁰, 8B¹, 1A⁰, 40AA⁷, 10C⁰, 20J³, 2C⁰, 10G¹</t>
        </is>
      </c>
      <c r="O4772" t="inlineStr"/>
    </row>
    <row r="4773">
      <c r="A4773">
        <f>HYPERLINK("https://mathstats.uncg.edu/sites/pauli/congruence/csg17.html#group40AE17", "40AE¹⁷")</f>
        <v/>
      </c>
      <c r="B4773" t="n">
        <v>17</v>
      </c>
      <c r="C4773" t="inlineStr"/>
      <c r="D4773" t="inlineStr">
        <is>
          <t>288</t>
        </is>
      </c>
      <c r="E4773" t="inlineStr">
        <is>
          <t>1</t>
        </is>
      </c>
      <c r="F4773" t="inlineStr">
        <is>
          <t>36</t>
        </is>
      </c>
      <c r="G4773" t="inlineStr">
        <is>
          <t>0</t>
        </is>
      </c>
      <c r="H4773" t="inlineStr">
        <is>
          <t>0</t>
        </is>
      </c>
      <c r="I4773" t="inlineStr">
        <is>
          <t>4⁴, 8⁴, 20⁴, 40⁴</t>
        </is>
      </c>
      <c r="J4773" t="n">
        <v>16</v>
      </c>
      <c r="K4773" t="inlineStr">
        <is>
          <t>1⁸, 2², 4⁴, 8¹</t>
        </is>
      </c>
      <c r="L4773" t="inlineStr">
        <is>
          <t>8G¹, 40X⁷, 40AB⁷, 40J⁹</t>
        </is>
      </c>
      <c r="M4773" t="inlineStr"/>
      <c r="N4773" t="inlineStr">
        <is>
          <t>2A⁰, 20E¹, 40D³, 8A¹, 4C⁰, 40X⁷, 5B⁰, 10A¹, 40C⁵, 40J⁹, 2B⁰, 4E⁰, 20D¹, 4B⁰, 8J⁰, 1A⁰, 8B¹, 8L⁰, 8B⁰, 8G¹, 10C⁰, 20J³, 2C⁰, 40AB⁷, 10G¹</t>
        </is>
      </c>
      <c r="O4773" t="inlineStr"/>
    </row>
    <row r="4774">
      <c r="A4774">
        <f>HYPERLINK("https://mathstats.uncg.edu/sites/pauli/congruence/csg17.html#group40AF17", "40AF¹⁷")</f>
        <v/>
      </c>
      <c r="B4774" t="n">
        <v>17</v>
      </c>
      <c r="C4774" t="inlineStr"/>
      <c r="D4774" t="inlineStr">
        <is>
          <t>288</t>
        </is>
      </c>
      <c r="E4774" t="inlineStr">
        <is>
          <t>1</t>
        </is>
      </c>
      <c r="F4774" t="inlineStr">
        <is>
          <t>72</t>
        </is>
      </c>
      <c r="G4774" t="inlineStr">
        <is>
          <t>0</t>
        </is>
      </c>
      <c r="H4774" t="inlineStr">
        <is>
          <t>0</t>
        </is>
      </c>
      <c r="I4774" t="inlineStr">
        <is>
          <t>4⁴, 8⁴, 20⁴, 40⁴</t>
        </is>
      </c>
      <c r="J4774" t="n">
        <v>16</v>
      </c>
      <c r="K4774" t="inlineStr">
        <is>
          <t>1⁸, 2⁴, 4⁶, 8², 16¹</t>
        </is>
      </c>
      <c r="L4774" t="inlineStr">
        <is>
          <t>40G⁹</t>
        </is>
      </c>
      <c r="M4774" t="inlineStr"/>
      <c r="N4774" t="inlineStr">
        <is>
          <t>40C³, 20E¹, 8A¹, 20G³, 4C⁰, 40C⁵, 5B⁰, 10C⁰, 5D⁰, 2B⁰, 10F⁰, 1A⁰, 20C², 40G⁹</t>
        </is>
      </c>
      <c r="O4774" t="inlineStr"/>
    </row>
    <row r="4775">
      <c r="A4775">
        <f>HYPERLINK("https://mathstats.uncg.edu/sites/pauli/congruence/csg17.html#group40AG17", "40AG¹⁷")</f>
        <v/>
      </c>
      <c r="B4775" t="n">
        <v>17</v>
      </c>
      <c r="C4775" t="inlineStr"/>
      <c r="D4775" t="inlineStr">
        <is>
          <t>288</t>
        </is>
      </c>
      <c r="E4775" t="inlineStr">
        <is>
          <t>1</t>
        </is>
      </c>
      <c r="F4775" t="inlineStr">
        <is>
          <t>72</t>
        </is>
      </c>
      <c r="G4775" t="inlineStr">
        <is>
          <t>0</t>
        </is>
      </c>
      <c r="H4775" t="inlineStr">
        <is>
          <t>0</t>
        </is>
      </c>
      <c r="I4775" t="inlineStr">
        <is>
          <t>4⁴, 8⁴, 20⁴, 40⁴</t>
        </is>
      </c>
      <c r="J4775" t="n">
        <v>16</v>
      </c>
      <c r="K4775" t="inlineStr">
        <is>
          <t>1⁸, 2⁴, 4⁶, 8², 16¹</t>
        </is>
      </c>
      <c r="L4775" t="inlineStr">
        <is>
          <t>40AA⁷, 40AB⁷, 40H⁹</t>
        </is>
      </c>
      <c r="M4775" t="inlineStr"/>
      <c r="N4775" t="inlineStr">
        <is>
          <t>20E¹, 40H⁹, 4C⁰, 20G³, 8B⁰, 5B⁰, 5D⁰, 8L⁰, 2B⁰, 40B⁵, 1A⁰, 20C², 10F⁰, 40AA⁷, 10C⁰, 40D³, 40AB⁷</t>
        </is>
      </c>
      <c r="O4775" t="inlineStr"/>
    </row>
    <row r="4776">
      <c r="A4776">
        <f>HYPERLINK("https://mathstats.uncg.edu/sites/pauli/congruence/csg17.html#group40AH17", "40AH¹⁷")</f>
        <v/>
      </c>
      <c r="B4776" t="n">
        <v>17</v>
      </c>
      <c r="C4776" t="inlineStr"/>
      <c r="D4776" t="inlineStr">
        <is>
          <t>288</t>
        </is>
      </c>
      <c r="E4776" t="inlineStr">
        <is>
          <t>1</t>
        </is>
      </c>
      <c r="F4776" t="inlineStr">
        <is>
          <t>72</t>
        </is>
      </c>
      <c r="G4776" t="inlineStr">
        <is>
          <t>0</t>
        </is>
      </c>
      <c r="H4776" t="inlineStr">
        <is>
          <t>0</t>
        </is>
      </c>
      <c r="I4776" t="inlineStr">
        <is>
          <t>4⁴, 8⁴, 20⁴, 40⁴</t>
        </is>
      </c>
      <c r="J4776" t="n">
        <v>16</v>
      </c>
      <c r="K4776" t="inlineStr">
        <is>
          <t>1¹⁶, 2⁴, 4⁸, 8²</t>
        </is>
      </c>
      <c r="L4776" t="inlineStr">
        <is>
          <t>40W⁷, 40X⁷, 40I⁹</t>
        </is>
      </c>
      <c r="M4776" t="inlineStr"/>
      <c r="N4776" t="inlineStr">
        <is>
          <t>2A⁰, 20E¹, 40W⁷, 4C⁰, 40X⁷, 5B⁰, 10A¹, 2B⁰, 40I⁹, 4E⁰, 20D¹, 4B⁰, 8J⁰, 1A⁰, 40B⁵, 40C³, 10C⁰, 20J³, 2C⁰, 10G¹</t>
        </is>
      </c>
      <c r="O4776" t="inlineStr"/>
    </row>
    <row r="4777">
      <c r="A4777">
        <f>HYPERLINK("https://mathstats.uncg.edu/sites/pauli/congruence/csg17.html#group40AI17", "40AI¹⁷")</f>
        <v/>
      </c>
      <c r="B4777" t="n">
        <v>17</v>
      </c>
      <c r="C4777" t="inlineStr"/>
      <c r="D4777" t="inlineStr">
        <is>
          <t>288</t>
        </is>
      </c>
      <c r="E4777" t="inlineStr">
        <is>
          <t>1</t>
        </is>
      </c>
      <c r="F4777" t="inlineStr">
        <is>
          <t>72</t>
        </is>
      </c>
      <c r="G4777" t="inlineStr">
        <is>
          <t>8</t>
        </is>
      </c>
      <c r="H4777" t="inlineStr">
        <is>
          <t>0</t>
        </is>
      </c>
      <c r="I4777" t="inlineStr">
        <is>
          <t>8⁶, 40⁶</t>
        </is>
      </c>
      <c r="J4777" t="n">
        <v>12</v>
      </c>
      <c r="K4777" t="inlineStr">
        <is>
          <t>2⁴, 4⁴, 8², 16²</t>
        </is>
      </c>
      <c r="L4777" t="inlineStr">
        <is>
          <t>20J⁵, 40G⁵, 40H⁵</t>
        </is>
      </c>
      <c r="M4777" t="inlineStr"/>
      <c r="N4777" t="inlineStr">
        <is>
          <t>20E¹, 10G⁰, 40G⁵, 20J⁵, 4C⁰, 5B⁰, 2B⁰, 20K³, 1A⁰, 20B¹, 10B⁰, 20A⁰, 40H⁵, 20I¹, 4A⁰, 20G¹, 10C⁰, 4F⁰, 20L³</t>
        </is>
      </c>
      <c r="O4777" t="inlineStr"/>
    </row>
    <row r="4778">
      <c r="A4778">
        <f>HYPERLINK("https://mathstats.uncg.edu/sites/pauli/congruence/csg17.html#group40AJ17", "40AJ¹⁷")</f>
        <v/>
      </c>
      <c r="B4778" t="n">
        <v>17</v>
      </c>
      <c r="C4778" t="inlineStr"/>
      <c r="D4778" t="inlineStr">
        <is>
          <t>288</t>
        </is>
      </c>
      <c r="E4778" t="inlineStr">
        <is>
          <t>1</t>
        </is>
      </c>
      <c r="F4778" t="inlineStr">
        <is>
          <t>72</t>
        </is>
      </c>
      <c r="G4778" t="inlineStr">
        <is>
          <t>8</t>
        </is>
      </c>
      <c r="H4778" t="inlineStr">
        <is>
          <t>0</t>
        </is>
      </c>
      <c r="I4778" t="inlineStr">
        <is>
          <t>8⁶, 40⁶</t>
        </is>
      </c>
      <c r="J4778" t="n">
        <v>12</v>
      </c>
      <c r="K4778" t="inlineStr">
        <is>
          <t>2⁴, 4⁴, 8², 16²</t>
        </is>
      </c>
      <c r="L4778" t="inlineStr">
        <is>
          <t>40R⁷, 40Y⁷, 40R⁹</t>
        </is>
      </c>
      <c r="M4778" t="inlineStr"/>
      <c r="N4778" t="inlineStr">
        <is>
          <t>20E¹, 4C⁰, 5B⁰, 8A⁰, 2B⁰, 1A⁰, 8D¹, 20B¹, 40C³, 4A⁰, 40B³, 10C⁰, 40R⁷, 40Y⁷, 4F⁰, 40R⁹, 20L³, 40G³</t>
        </is>
      </c>
      <c r="O4778" t="inlineStr"/>
    </row>
    <row r="4779">
      <c r="A4779">
        <f>HYPERLINK("https://mathstats.uncg.edu/sites/pauli/congruence/csg17.html#group40AK17", "40AK¹⁷")</f>
        <v/>
      </c>
      <c r="B4779" t="n">
        <v>17</v>
      </c>
      <c r="C4779" t="inlineStr"/>
      <c r="D4779" t="inlineStr">
        <is>
          <t>288</t>
        </is>
      </c>
      <c r="E4779" t="inlineStr">
        <is>
          <t>1</t>
        </is>
      </c>
      <c r="F4779" t="inlineStr">
        <is>
          <t>72</t>
        </is>
      </c>
      <c r="G4779" t="inlineStr">
        <is>
          <t>8</t>
        </is>
      </c>
      <c r="H4779" t="inlineStr">
        <is>
          <t>0</t>
        </is>
      </c>
      <c r="I4779" t="inlineStr">
        <is>
          <t>8⁶, 40⁶</t>
        </is>
      </c>
      <c r="J4779" t="n">
        <v>12</v>
      </c>
      <c r="K4779" t="inlineStr">
        <is>
          <t>2⁴, 4⁴, 8², 16²</t>
        </is>
      </c>
      <c r="L4779" t="inlineStr">
        <is>
          <t>40R⁷, 40Z⁷, 40Q⁹</t>
        </is>
      </c>
      <c r="M4779" t="inlineStr"/>
      <c r="N4779" t="inlineStr">
        <is>
          <t>20E¹, 40A³, 4C⁰, 5B⁰, 2B⁰, 8K⁰, 1A⁰, 20B¹, 40C³, 4A⁰, 40Q⁹, 10C⁰, 40R⁷, 4F⁰, 40Z⁷, 20L³, 40G³</t>
        </is>
      </c>
      <c r="O4779" t="inlineStr"/>
    </row>
    <row r="4780">
      <c r="A4780">
        <f>HYPERLINK("https://mathstats.uncg.edu/sites/pauli/congruence/csg17.html#group40AL17", "40AL¹⁷")</f>
        <v/>
      </c>
      <c r="B4780" t="n">
        <v>17</v>
      </c>
      <c r="C4780" t="inlineStr"/>
      <c r="D4780" t="inlineStr">
        <is>
          <t>288</t>
        </is>
      </c>
      <c r="E4780" t="inlineStr">
        <is>
          <t>1</t>
        </is>
      </c>
      <c r="F4780" t="inlineStr">
        <is>
          <t>72</t>
        </is>
      </c>
      <c r="G4780" t="inlineStr">
        <is>
          <t>8</t>
        </is>
      </c>
      <c r="H4780" t="inlineStr">
        <is>
          <t>0</t>
        </is>
      </c>
      <c r="I4780" t="inlineStr">
        <is>
          <t>8⁶, 40⁶</t>
        </is>
      </c>
      <c r="J4780" t="n">
        <v>12</v>
      </c>
      <c r="K4780" t="inlineStr">
        <is>
          <t>2⁴, 4⁴, 8², 16²</t>
        </is>
      </c>
      <c r="L4780" t="inlineStr">
        <is>
          <t>40S⁷, 40Y⁷, 40Q⁹</t>
        </is>
      </c>
      <c r="M4780" t="inlineStr"/>
      <c r="N4780" t="inlineStr">
        <is>
          <t>20E¹, 40D³, 40A³, 40H³, 8D⁰, 4C⁰, 5B⁰, 8B⁰, 2B⁰, 1A⁰, 20B¹, 40S⁷, 8H⁰, 4A⁰, 40Q⁹, 10C⁰, 40Y⁷, 4F⁰, 20L³</t>
        </is>
      </c>
      <c r="O4780" t="inlineStr"/>
    </row>
    <row r="4781">
      <c r="A4781">
        <f>HYPERLINK("https://mathstats.uncg.edu/sites/pauli/congruence/csg17.html#group40AM17", "40AM¹⁷")</f>
        <v/>
      </c>
      <c r="B4781" t="n">
        <v>17</v>
      </c>
      <c r="C4781" t="inlineStr"/>
      <c r="D4781" t="inlineStr">
        <is>
          <t>288</t>
        </is>
      </c>
      <c r="E4781" t="inlineStr">
        <is>
          <t>1</t>
        </is>
      </c>
      <c r="F4781" t="inlineStr">
        <is>
          <t>72</t>
        </is>
      </c>
      <c r="G4781" t="inlineStr">
        <is>
          <t>8</t>
        </is>
      </c>
      <c r="H4781" t="inlineStr">
        <is>
          <t>0</t>
        </is>
      </c>
      <c r="I4781" t="inlineStr">
        <is>
          <t>8⁶, 40⁶</t>
        </is>
      </c>
      <c r="J4781" t="n">
        <v>12</v>
      </c>
      <c r="K4781" t="inlineStr">
        <is>
          <t>2⁴, 4⁴, 8², 16²</t>
        </is>
      </c>
      <c r="L4781" t="inlineStr">
        <is>
          <t>8H¹, 40S⁷, 40Z⁷, 40R⁹</t>
        </is>
      </c>
      <c r="M4781" t="inlineStr"/>
      <c r="N4781" t="inlineStr">
        <is>
          <t>20E¹, 40D³, 40H³, 8D⁰, 4C⁰, 5B⁰, 8A⁰, 8B⁰, 2B⁰, 8K⁰, 1A⁰, 8H¹, 20B¹, 40S⁷, 8D¹, 8H⁰, 4A⁰, 40B³, 10C⁰, 4F⁰, 40Z⁷, 40R⁹, 20L³</t>
        </is>
      </c>
      <c r="O4781" t="inlineStr"/>
    </row>
    <row r="4782">
      <c r="A4782">
        <f>HYPERLINK("https://mathstats.uncg.edu/sites/pauli/congruence/csg17.html#group40AN17", "40AN¹⁷")</f>
        <v/>
      </c>
      <c r="B4782" t="n">
        <v>17</v>
      </c>
      <c r="C4782" t="inlineStr"/>
      <c r="D4782" t="inlineStr">
        <is>
          <t>288</t>
        </is>
      </c>
      <c r="E4782" t="inlineStr">
        <is>
          <t>1</t>
        </is>
      </c>
      <c r="F4782" t="inlineStr">
        <is>
          <t>72</t>
        </is>
      </c>
      <c r="G4782" t="inlineStr">
        <is>
          <t>8</t>
        </is>
      </c>
      <c r="H4782" t="inlineStr">
        <is>
          <t>0</t>
        </is>
      </c>
      <c r="I4782" t="inlineStr">
        <is>
          <t>8⁶, 40⁶</t>
        </is>
      </c>
      <c r="J4782" t="n">
        <v>12</v>
      </c>
      <c r="K4782" t="inlineStr">
        <is>
          <t>2⁴, 4⁴, 8², 16²</t>
        </is>
      </c>
      <c r="L4782" t="inlineStr">
        <is>
          <t>20J⁵, 40J⁵, 40Q⁹, 40R⁹</t>
        </is>
      </c>
      <c r="M4782" t="inlineStr"/>
      <c r="N4782" t="inlineStr">
        <is>
          <t>20E¹, 40A³, 10G⁰, 20J⁵, 4C⁰, 5B⁰, 8A⁰, 2B⁰, 20K³, 1A⁰, 8D¹, 20B¹, 10B⁰, 20A⁰, 20I¹, 4A⁰, 40J⁵, 40B³, 40Q⁹, 20G¹, 10C⁰, 4F⁰, 40R⁹, 20L³</t>
        </is>
      </c>
      <c r="O4782" t="inlineStr"/>
    </row>
    <row r="4783">
      <c r="A4783">
        <f>HYPERLINK("https://mathstats.uncg.edu/sites/pauli/congruence/csg17.html#group40AO17", "40AO¹⁷")</f>
        <v/>
      </c>
      <c r="B4783" t="n">
        <v>17</v>
      </c>
      <c r="C4783" t="inlineStr"/>
      <c r="D4783" t="inlineStr">
        <is>
          <t>288</t>
        </is>
      </c>
      <c r="E4783" t="inlineStr">
        <is>
          <t>1</t>
        </is>
      </c>
      <c r="F4783" t="inlineStr">
        <is>
          <t>72</t>
        </is>
      </c>
      <c r="G4783" t="inlineStr">
        <is>
          <t>8</t>
        </is>
      </c>
      <c r="H4783" t="inlineStr">
        <is>
          <t>0</t>
        </is>
      </c>
      <c r="I4783" t="inlineStr">
        <is>
          <t>8⁶, 40⁶</t>
        </is>
      </c>
      <c r="J4783" t="n">
        <v>12</v>
      </c>
      <c r="K4783" t="inlineStr">
        <is>
          <t>1⁴, 2², 4⁶, 8¹, 16²</t>
        </is>
      </c>
      <c r="L4783" t="inlineStr">
        <is>
          <t>40S⁷</t>
        </is>
      </c>
      <c r="M4783" t="inlineStr"/>
      <c r="N4783" t="inlineStr">
        <is>
          <t>20E¹, 40H³, 8D⁰, 4C⁰, 8B⁰, 5B⁰, 2B⁰, 1A⁰, 40S⁷, 20B¹, 8H⁰, 4A⁰, 10C⁰, 4F⁰, 40D³, 20L³</t>
        </is>
      </c>
      <c r="O4783" t="inlineStr"/>
    </row>
    <row r="4784">
      <c r="A4784">
        <f>HYPERLINK("https://mathstats.uncg.edu/sites/pauli/congruence/csg17.html#group40AP17", "40AP¹⁷")</f>
        <v/>
      </c>
      <c r="B4784" t="n">
        <v>17</v>
      </c>
      <c r="C4784" t="inlineStr"/>
      <c r="D4784" t="inlineStr">
        <is>
          <t>288</t>
        </is>
      </c>
      <c r="E4784" t="inlineStr">
        <is>
          <t>1</t>
        </is>
      </c>
      <c r="F4784" t="inlineStr">
        <is>
          <t>72</t>
        </is>
      </c>
      <c r="G4784" t="inlineStr">
        <is>
          <t>8</t>
        </is>
      </c>
      <c r="H4784" t="inlineStr">
        <is>
          <t>0</t>
        </is>
      </c>
      <c r="I4784" t="inlineStr">
        <is>
          <t>8⁶, 40⁶</t>
        </is>
      </c>
      <c r="J4784" t="n">
        <v>12</v>
      </c>
      <c r="K4784" t="inlineStr">
        <is>
          <t>1⁴, 2², 4⁶, 8¹, 16²</t>
        </is>
      </c>
      <c r="L4784" t="inlineStr">
        <is>
          <t>8I¹, 40I⁵, 40S⁷</t>
        </is>
      </c>
      <c r="M4784" t="inlineStr"/>
      <c r="N4784" t="inlineStr">
        <is>
          <t>40I⁵, 20E¹, 40H³, 8D⁰, 4C⁰, 5B⁰, 8B⁰, 2B⁰, 1A⁰, 20B¹, 40S⁷, 8H⁰, 8F⁰, 4A⁰, 8I¹, 10C⁰, 4F⁰, 40D³, 20L³</t>
        </is>
      </c>
      <c r="O4784" t="inlineStr"/>
    </row>
    <row r="4785">
      <c r="A4785">
        <f>HYPERLINK("https://mathstats.uncg.edu/sites/pauli/congruence/csg17.html#group40AQ17", "40AQ¹⁷")</f>
        <v/>
      </c>
      <c r="B4785" t="n">
        <v>17</v>
      </c>
      <c r="C4785" t="inlineStr"/>
      <c r="D4785" t="inlineStr">
        <is>
          <t>288</t>
        </is>
      </c>
      <c r="E4785" t="inlineStr">
        <is>
          <t>2</t>
        </is>
      </c>
      <c r="F4785" t="inlineStr">
        <is>
          <t>18</t>
        </is>
      </c>
      <c r="G4785" t="inlineStr">
        <is>
          <t>0</t>
        </is>
      </c>
      <c r="H4785" t="inlineStr">
        <is>
          <t>0</t>
        </is>
      </c>
      <c r="I4785" t="inlineStr">
        <is>
          <t>4⁴, 8⁴, 20⁴, 40⁴</t>
        </is>
      </c>
      <c r="J4785" t="n">
        <v>16</v>
      </c>
      <c r="K4785" t="inlineStr">
        <is>
          <t>2⁶, 8³</t>
        </is>
      </c>
      <c r="L4785" t="inlineStr">
        <is>
          <t>20K⁵, 40O⁵, 40F⁹</t>
        </is>
      </c>
      <c r="M4785" t="inlineStr"/>
      <c r="N4785" t="inlineStr">
        <is>
          <t>20E¹, 20C¹, 20M³, 10G⁰, 40A¹, 8A¹, 40O⁵, 40F⁹, 4C⁰, 5B⁰, 40C⁵, 2B⁰, 40B⁵, 1A⁰, 20J¹, 10B⁰, 20A⁰, 20K⁵, 20I¹, 40I³, 10C⁰</t>
        </is>
      </c>
      <c r="O4785" t="inlineStr"/>
    </row>
    <row r="4786">
      <c r="A4786">
        <f>HYPERLINK("https://mathstats.uncg.edu/sites/pauli/congruence/csg17.html#group40AR17", "40AR¹⁷")</f>
        <v/>
      </c>
      <c r="B4786" t="n">
        <v>17</v>
      </c>
      <c r="C4786" t="inlineStr"/>
      <c r="D4786" t="inlineStr">
        <is>
          <t>288</t>
        </is>
      </c>
      <c r="E4786" t="inlineStr">
        <is>
          <t>2</t>
        </is>
      </c>
      <c r="F4786" t="inlineStr">
        <is>
          <t>36</t>
        </is>
      </c>
      <c r="G4786" t="inlineStr">
        <is>
          <t>0</t>
        </is>
      </c>
      <c r="H4786" t="inlineStr">
        <is>
          <t>0</t>
        </is>
      </c>
      <c r="I4786" t="inlineStr">
        <is>
          <t>4⁴, 8⁴, 20⁴, 40⁴</t>
        </is>
      </c>
      <c r="J4786" t="n">
        <v>16</v>
      </c>
      <c r="K4786" t="inlineStr">
        <is>
          <t>2¹², 8⁶</t>
        </is>
      </c>
      <c r="L4786" t="inlineStr">
        <is>
          <t>20L⁷, 40AC⁷, 40K⁹</t>
        </is>
      </c>
      <c r="M4786" t="inlineStr"/>
      <c r="N4786" t="inlineStr">
        <is>
          <t>2A⁰, 20E¹, 20L⁷, 40A¹, 40K⁹, 4C⁰, 40AC⁷, 5B⁰, 10A¹, 2B⁰, 20D¹, 4E⁰, 20K³, 4B⁰, 1A⁰, 20A⁰, 40I³, 10C⁰, 20I³, 20J³, 2C⁰, 20C², 10G¹</t>
        </is>
      </c>
      <c r="O4786" t="inlineStr"/>
    </row>
    <row r="4787">
      <c r="A4787">
        <f>HYPERLINK("https://mathstats.uncg.edu/sites/pauli/congruence/csg17.html#group40AS17", "40AS¹⁷")</f>
        <v/>
      </c>
      <c r="B4787" t="n">
        <v>17</v>
      </c>
      <c r="C4787" t="inlineStr"/>
      <c r="D4787" t="inlineStr">
        <is>
          <t>288</t>
        </is>
      </c>
      <c r="E4787" t="inlineStr">
        <is>
          <t>2</t>
        </is>
      </c>
      <c r="F4787" t="inlineStr">
        <is>
          <t>36</t>
        </is>
      </c>
      <c r="G4787" t="inlineStr">
        <is>
          <t>0</t>
        </is>
      </c>
      <c r="H4787" t="inlineStr">
        <is>
          <t>0</t>
        </is>
      </c>
      <c r="I4787" t="inlineStr">
        <is>
          <t>4⁴, 8⁴, 20⁴, 40⁴</t>
        </is>
      </c>
      <c r="J4787" t="n">
        <v>16</v>
      </c>
      <c r="K4787" t="inlineStr">
        <is>
          <t>2¹², 8⁶</t>
        </is>
      </c>
      <c r="L4787" t="inlineStr">
        <is>
          <t>20N⁷, 40O⁷, 40L⁹</t>
        </is>
      </c>
      <c r="M4787" t="inlineStr"/>
      <c r="N4787" t="inlineStr">
        <is>
          <t>20C¹, 20M³, 10G⁰, 40O⁷, 5B⁰, 2B⁰, 20D¹, 8C⁰, 4B⁰, 1A⁰, 20J¹, 40L⁹, 20H³, 10B⁰, 40F³, 20N⁷, 10C⁰, 40E³, 20C²</t>
        </is>
      </c>
      <c r="O4787" t="inlineStr"/>
    </row>
    <row r="4788">
      <c r="A4788">
        <f>HYPERLINK("https://mathstats.uncg.edu/sites/pauli/congruence/csg17.html#group40AT17", "40AT¹⁷")</f>
        <v/>
      </c>
      <c r="B4788" t="n">
        <v>17</v>
      </c>
      <c r="C4788" t="inlineStr"/>
      <c r="D4788" t="inlineStr">
        <is>
          <t>288</t>
        </is>
      </c>
      <c r="E4788" t="inlineStr">
        <is>
          <t>2</t>
        </is>
      </c>
      <c r="F4788" t="inlineStr">
        <is>
          <t>72</t>
        </is>
      </c>
      <c r="G4788" t="inlineStr">
        <is>
          <t>8</t>
        </is>
      </c>
      <c r="H4788" t="inlineStr">
        <is>
          <t>0</t>
        </is>
      </c>
      <c r="I4788" t="inlineStr">
        <is>
          <t>8⁶, 40⁶</t>
        </is>
      </c>
      <c r="J4788" t="n">
        <v>12</v>
      </c>
      <c r="K4788" t="inlineStr">
        <is>
          <t>2⁸, 4⁸, 8⁴, 16⁴</t>
        </is>
      </c>
      <c r="L4788" t="inlineStr">
        <is>
          <t>40P⁷</t>
        </is>
      </c>
      <c r="M4788" t="inlineStr"/>
      <c r="N4788" t="inlineStr">
        <is>
          <t>40C³, 20E¹, 40H³, 8D⁰, 4C⁰, 5B⁰, 10C⁰, 2B⁰, 20K³, 1A⁰, 40P⁷</t>
        </is>
      </c>
      <c r="O4788" t="inlineStr"/>
    </row>
    <row r="4789">
      <c r="A4789">
        <f>HYPERLINK("https://mathstats.uncg.edu/sites/pauli/congruence/csg17.html#group42A17", "42A¹⁷")</f>
        <v/>
      </c>
      <c r="B4789" t="n">
        <v>17</v>
      </c>
      <c r="C4789" t="inlineStr"/>
      <c r="D4789" t="inlineStr">
        <is>
          <t>252</t>
        </is>
      </c>
      <c r="E4789" t="inlineStr">
        <is>
          <t>1</t>
        </is>
      </c>
      <c r="F4789" t="inlineStr">
        <is>
          <t>63</t>
        </is>
      </c>
      <c r="G4789" t="inlineStr">
        <is>
          <t>8</t>
        </is>
      </c>
      <c r="H4789" t="inlineStr">
        <is>
          <t>0</t>
        </is>
      </c>
      <c r="I4789" t="inlineStr">
        <is>
          <t>42⁶</t>
        </is>
      </c>
      <c r="J4789" t="n">
        <v>6</v>
      </c>
      <c r="K4789" t="inlineStr">
        <is>
          <t>3¹, 6⁴, 12³</t>
        </is>
      </c>
      <c r="L4789" t="inlineStr">
        <is>
          <t>42D⁶, 21A⁷</t>
        </is>
      </c>
      <c r="M4789" t="inlineStr"/>
      <c r="N4789" t="inlineStr">
        <is>
          <t>42A², 7D⁰, 21E¹, 7A¹, 21A⁰, 42D⁶, 21A⁷, 3A⁰, 1A⁰, 7A⁰</t>
        </is>
      </c>
      <c r="O4789" t="inlineStr"/>
    </row>
    <row r="4790">
      <c r="A4790">
        <f>HYPERLINK("https://mathstats.uncg.edu/sites/pauli/congruence/csg17.html#group42B17", "42B¹⁷")</f>
        <v/>
      </c>
      <c r="B4790" t="n">
        <v>17</v>
      </c>
      <c r="C4790" t="inlineStr"/>
      <c r="D4790" t="inlineStr">
        <is>
          <t>252</t>
        </is>
      </c>
      <c r="E4790" t="inlineStr">
        <is>
          <t>1</t>
        </is>
      </c>
      <c r="F4790" t="inlineStr">
        <is>
          <t>63</t>
        </is>
      </c>
      <c r="G4790" t="inlineStr">
        <is>
          <t>8</t>
        </is>
      </c>
      <c r="H4790" t="inlineStr">
        <is>
          <t>0</t>
        </is>
      </c>
      <c r="I4790" t="inlineStr">
        <is>
          <t>42⁶</t>
        </is>
      </c>
      <c r="J4790" t="n">
        <v>6</v>
      </c>
      <c r="K4790" t="inlineStr">
        <is>
          <t>3¹, 6⁴, 12³</t>
        </is>
      </c>
      <c r="L4790" t="inlineStr">
        <is>
          <t>42H⁵, 21A⁷, 42G⁷</t>
        </is>
      </c>
      <c r="M4790" t="inlineStr"/>
      <c r="N4790" t="inlineStr">
        <is>
          <t>6B⁰, 7D⁰, 21E¹, 42H⁵, 42G⁷, 21A⁰, 21A⁷, 7A¹, 42B¹, 3A⁰, 1A⁰, 7A⁰</t>
        </is>
      </c>
      <c r="O4790" t="inlineStr"/>
    </row>
    <row r="4791">
      <c r="A4791">
        <f>HYPERLINK("https://mathstats.uncg.edu/sites/pauli/congruence/csg17.html#group42C17", "42C¹⁷")</f>
        <v/>
      </c>
      <c r="B4791" t="n">
        <v>17</v>
      </c>
      <c r="C4791" t="inlineStr"/>
      <c r="D4791" t="inlineStr">
        <is>
          <t>252</t>
        </is>
      </c>
      <c r="E4791" t="inlineStr">
        <is>
          <t>2</t>
        </is>
      </c>
      <c r="F4791" t="inlineStr">
        <is>
          <t>63</t>
        </is>
      </c>
      <c r="G4791" t="inlineStr">
        <is>
          <t>4</t>
        </is>
      </c>
      <c r="H4791" t="inlineStr">
        <is>
          <t>0</t>
        </is>
      </c>
      <c r="I4791" t="inlineStr">
        <is>
          <t>21⁴, 42⁴</t>
        </is>
      </c>
      <c r="J4791" t="n">
        <v>8</v>
      </c>
      <c r="K4791" t="inlineStr">
        <is>
          <t>2³, 4³, 6⁶, 12⁶</t>
        </is>
      </c>
      <c r="L4791" t="inlineStr">
        <is>
          <t>21B⁵, 42K⁷, 42A⁸, 42C⁸</t>
        </is>
      </c>
      <c r="M4791" t="inlineStr"/>
      <c r="N4791" t="inlineStr">
        <is>
          <t>21D², 14B¹, 21B⁵, 21D¹, 21C², 21A⁰, 42K⁷, 6G⁰, 2B⁰, 42A⁸, 1A⁰, 14A², 7C⁰, 3C⁰, 42C⁸, 3A⁰, 42C³, 6D⁰, 7A⁰</t>
        </is>
      </c>
      <c r="O4791" t="inlineStr"/>
    </row>
    <row r="4792">
      <c r="A4792">
        <f>HYPERLINK("https://mathstats.uncg.edu/sites/pauli/congruence/csg17.html#group42D17", "42D¹⁷")</f>
        <v/>
      </c>
      <c r="B4792" t="n">
        <v>17</v>
      </c>
      <c r="C4792" t="inlineStr"/>
      <c r="D4792" t="inlineStr">
        <is>
          <t>252</t>
        </is>
      </c>
      <c r="E4792" t="inlineStr">
        <is>
          <t>2</t>
        </is>
      </c>
      <c r="F4792" t="inlineStr">
        <is>
          <t>63</t>
        </is>
      </c>
      <c r="G4792" t="inlineStr">
        <is>
          <t>8</t>
        </is>
      </c>
      <c r="H4792" t="inlineStr">
        <is>
          <t>0</t>
        </is>
      </c>
      <c r="I4792" t="inlineStr">
        <is>
          <t>42⁶</t>
        </is>
      </c>
      <c r="J4792" t="n">
        <v>6</v>
      </c>
      <c r="K4792" t="inlineStr">
        <is>
          <t>6⁷, 12⁷</t>
        </is>
      </c>
      <c r="L4792" t="inlineStr">
        <is>
          <t>21D⁵, 42G⁷, 42H⁷</t>
        </is>
      </c>
      <c r="M4792" t="inlineStr"/>
      <c r="N4792" t="inlineStr">
        <is>
          <t>21D⁵, 14A⁰, 14B², 42A¹, 7D⁰, 42H⁷, 21E¹, 21D¹, 42G⁷, 21A⁰, 3A⁰, 1A⁰, 7A⁰</t>
        </is>
      </c>
      <c r="O4792" t="inlineStr"/>
    </row>
    <row r="4793">
      <c r="A4793">
        <f>HYPERLINK("https://mathstats.uncg.edu/sites/pauli/congruence/csg17.html#group42E17", "42E¹⁷")</f>
        <v/>
      </c>
      <c r="B4793" t="n">
        <v>17</v>
      </c>
      <c r="C4793" t="inlineStr"/>
      <c r="D4793" t="inlineStr">
        <is>
          <t>252</t>
        </is>
      </c>
      <c r="E4793" t="inlineStr">
        <is>
          <t>2</t>
        </is>
      </c>
      <c r="F4793" t="inlineStr">
        <is>
          <t>63</t>
        </is>
      </c>
      <c r="G4793" t="inlineStr">
        <is>
          <t>8</t>
        </is>
      </c>
      <c r="H4793" t="inlineStr">
        <is>
          <t>0</t>
        </is>
      </c>
      <c r="I4793" t="inlineStr">
        <is>
          <t>42⁶</t>
        </is>
      </c>
      <c r="J4793" t="n">
        <v>6</v>
      </c>
      <c r="K4793" t="inlineStr">
        <is>
          <t>6⁷, 12⁷</t>
        </is>
      </c>
      <c r="L4793" t="inlineStr">
        <is>
          <t>42E⁵, 21C⁶, 42D⁶, 42H⁷</t>
        </is>
      </c>
      <c r="M4793" t="inlineStr"/>
      <c r="N4793" t="inlineStr">
        <is>
          <t>14A⁰, 21D², 14B², 42A¹, 7D⁰, 42H⁷, 21A⁰, 42D⁶, 1A⁰, 21C⁶, 42A², 21E¹, 42E⁵, 3C⁰, 3A⁰, 7A⁰</t>
        </is>
      </c>
      <c r="O4793" t="inlineStr"/>
    </row>
    <row r="4794">
      <c r="A4794">
        <f>HYPERLINK("https://mathstats.uncg.edu/sites/pauli/congruence/csg17.html#group42F17", "42F¹⁷")</f>
        <v/>
      </c>
      <c r="B4794" t="n">
        <v>17</v>
      </c>
      <c r="C4794" t="inlineStr"/>
      <c r="D4794" t="inlineStr">
        <is>
          <t>252</t>
        </is>
      </c>
      <c r="E4794" t="inlineStr">
        <is>
          <t>2</t>
        </is>
      </c>
      <c r="F4794" t="inlineStr">
        <is>
          <t>63</t>
        </is>
      </c>
      <c r="G4794" t="inlineStr">
        <is>
          <t>8</t>
        </is>
      </c>
      <c r="H4794" t="inlineStr">
        <is>
          <t>0</t>
        </is>
      </c>
      <c r="I4794" t="inlineStr">
        <is>
          <t>42⁶</t>
        </is>
      </c>
      <c r="J4794" t="n">
        <v>6</v>
      </c>
      <c r="K4794" t="inlineStr">
        <is>
          <t>2³, 4³, 6⁶, 12⁶</t>
        </is>
      </c>
      <c r="L4794" t="inlineStr">
        <is>
          <t>42E⁵, 42I⁷, 42C⁸, 42D⁸</t>
        </is>
      </c>
      <c r="M4794" t="inlineStr"/>
      <c r="N4794" t="inlineStr">
        <is>
          <t>14A⁰, 21D², 42A¹, 42D⁸, 14B¹, 14C², 21A⁰, 6G⁰, 2B⁰, 1A⁰, 42I⁷, 42A², 42E⁵, 3C⁰, 42C⁸, 3A⁰, 42C³, 6D⁰, 7A⁰</t>
        </is>
      </c>
      <c r="O4794" t="inlineStr"/>
    </row>
    <row r="4795">
      <c r="A4795">
        <f>HYPERLINK("https://mathstats.uncg.edu/sites/pauli/congruence/csg17.html#group42G17", "42G¹⁷")</f>
        <v/>
      </c>
      <c r="B4795" t="n">
        <v>17</v>
      </c>
      <c r="C4795" t="inlineStr"/>
      <c r="D4795" t="inlineStr">
        <is>
          <t>252</t>
        </is>
      </c>
      <c r="E4795" t="inlineStr">
        <is>
          <t>2</t>
        </is>
      </c>
      <c r="F4795" t="inlineStr">
        <is>
          <t>63</t>
        </is>
      </c>
      <c r="G4795" t="inlineStr">
        <is>
          <t>8</t>
        </is>
      </c>
      <c r="H4795" t="inlineStr">
        <is>
          <t>0</t>
        </is>
      </c>
      <c r="I4795" t="inlineStr">
        <is>
          <t>42⁶</t>
        </is>
      </c>
      <c r="J4795" t="n">
        <v>6</v>
      </c>
      <c r="K4795" t="inlineStr">
        <is>
          <t>2³, 4³, 6⁶, 12⁶</t>
        </is>
      </c>
      <c r="L4795" t="inlineStr">
        <is>
          <t>42F⁵, 42L⁷, 42A⁸, 42D⁸</t>
        </is>
      </c>
      <c r="M4795" t="inlineStr"/>
      <c r="N4795" t="inlineStr">
        <is>
          <t>42F⁵, 6B⁰, 42D⁸, 14B¹, 6H⁰, 21C², 21A⁰, 2B⁰, 42A⁸, 1A⁰, 42A², 14A², 7C⁰, 42L⁷, 42B¹, 3A⁰, 42C³, 6D⁰, 7A⁰</t>
        </is>
      </c>
      <c r="O4795" t="inlineStr"/>
    </row>
    <row r="4796">
      <c r="A4796">
        <f>HYPERLINK("https://mathstats.uncg.edu/sites/pauli/congruence/csg17.html#group42H17", "42H¹⁷")</f>
        <v/>
      </c>
      <c r="B4796" t="n">
        <v>17</v>
      </c>
      <c r="C4796" t="inlineStr"/>
      <c r="D4796" t="inlineStr">
        <is>
          <t>252</t>
        </is>
      </c>
      <c r="E4796" t="inlineStr">
        <is>
          <t>2</t>
        </is>
      </c>
      <c r="F4796" t="inlineStr">
        <is>
          <t>126</t>
        </is>
      </c>
      <c r="G4796" t="inlineStr">
        <is>
          <t>8</t>
        </is>
      </c>
      <c r="H4796" t="inlineStr">
        <is>
          <t>0</t>
        </is>
      </c>
      <c r="I4796" t="inlineStr">
        <is>
          <t>42⁶</t>
        </is>
      </c>
      <c r="J4796" t="n">
        <v>6</v>
      </c>
      <c r="K4796" t="inlineStr">
        <is>
          <t>6¹⁴, 12¹⁴</t>
        </is>
      </c>
      <c r="L4796" t="inlineStr">
        <is>
          <t>42E⁵, 42J⁷</t>
        </is>
      </c>
      <c r="M4796" t="inlineStr"/>
      <c r="N4796" t="inlineStr">
        <is>
          <t>14A⁰, 21D², 42J⁷, 42A², 42A¹, 14F¹, 42E⁵, 21A⁰, 3C⁰, 3A⁰, 1A⁰, 7A⁰</t>
        </is>
      </c>
      <c r="O4796" t="inlineStr"/>
    </row>
    <row r="4797">
      <c r="A4797">
        <f>HYPERLINK("https://mathstats.uncg.edu/sites/pauli/congruence/csg17.html#group42I17", "42I¹⁷")</f>
        <v/>
      </c>
      <c r="B4797" t="n">
        <v>17</v>
      </c>
      <c r="C4797" t="inlineStr"/>
      <c r="D4797" t="inlineStr">
        <is>
          <t>288</t>
        </is>
      </c>
      <c r="E4797" t="inlineStr">
        <is>
          <t>1</t>
        </is>
      </c>
      <c r="F4797" t="inlineStr">
        <is>
          <t>24</t>
        </is>
      </c>
      <c r="G4797" t="inlineStr">
        <is>
          <t>0</t>
        </is>
      </c>
      <c r="H4797" t="inlineStr">
        <is>
          <t>0</t>
        </is>
      </c>
      <c r="I4797" t="inlineStr">
        <is>
          <t>3⁴, 6⁴, 21⁴, 42⁴</t>
        </is>
      </c>
      <c r="J4797" t="n">
        <v>16</v>
      </c>
      <c r="K4797" t="inlineStr">
        <is>
          <t>1⁶, 6³</t>
        </is>
      </c>
      <c r="L4797" t="inlineStr">
        <is>
          <t>6K⁰, 21C⁵, 42G⁵, 42A⁹</t>
        </is>
      </c>
      <c r="M4797" t="inlineStr"/>
      <c r="N4797" t="inlineStr">
        <is>
          <t>3B⁰, 6G⁰, 2B⁰, 42G⁵, 1A⁰, 21A³, 42A⁹, 21B¹, 21C⁵, 21A², 42A⁵, 7B⁰, 14C¹, 6F⁰, 3C⁰, 6K⁰, 3A⁰, 3D⁰, 6D⁰</t>
        </is>
      </c>
      <c r="O4797" t="inlineStr"/>
    </row>
    <row r="4798">
      <c r="A4798">
        <f>HYPERLINK("https://mathstats.uncg.edu/sites/pauli/congruence/csg17.html#group42J17", "42J¹⁷")</f>
        <v/>
      </c>
      <c r="B4798" t="n">
        <v>17</v>
      </c>
      <c r="C4798" t="inlineStr"/>
      <c r="D4798" t="inlineStr">
        <is>
          <t>288</t>
        </is>
      </c>
      <c r="E4798" t="inlineStr">
        <is>
          <t>2</t>
        </is>
      </c>
      <c r="F4798" t="inlineStr">
        <is>
          <t>96</t>
        </is>
      </c>
      <c r="G4798" t="inlineStr">
        <is>
          <t>0</t>
        </is>
      </c>
      <c r="H4798" t="inlineStr">
        <is>
          <t>0</t>
        </is>
      </c>
      <c r="I4798" t="inlineStr">
        <is>
          <t>3⁴, 6⁴, 21⁴, 42⁴</t>
        </is>
      </c>
      <c r="J4798" t="n">
        <v>16</v>
      </c>
      <c r="K4798" t="inlineStr">
        <is>
          <t>2²⁴, 12¹²</t>
        </is>
      </c>
      <c r="L4798" t="inlineStr">
        <is>
          <t>21C⁴, 42B⁵, 42G⁵</t>
        </is>
      </c>
      <c r="M4798" t="inlineStr"/>
      <c r="N4798" t="inlineStr">
        <is>
          <t>3B⁰, 21B¹, 42B⁵, 7B⁰, 21A¹, 14C¹, 1A⁰, 2B⁰, 42G⁵, 6F⁰, 21C⁴</t>
        </is>
      </c>
      <c r="O4798" t="inlineStr"/>
    </row>
    <row r="4799">
      <c r="A4799">
        <f>HYPERLINK("https://mathstats.uncg.edu/sites/pauli/congruence/csg17.html#group42K17", "42K¹⁷")</f>
        <v/>
      </c>
      <c r="B4799" t="n">
        <v>17</v>
      </c>
      <c r="C4799" t="inlineStr"/>
      <c r="D4799" t="inlineStr">
        <is>
          <t>336</t>
        </is>
      </c>
      <c r="E4799" t="inlineStr">
        <is>
          <t>1</t>
        </is>
      </c>
      <c r="F4799" t="inlineStr">
        <is>
          <t>84</t>
        </is>
      </c>
      <c r="G4799" t="inlineStr">
        <is>
          <t>32</t>
        </is>
      </c>
      <c r="H4799" t="inlineStr">
        <is>
          <t>0</t>
        </is>
      </c>
      <c r="I4799" t="inlineStr">
        <is>
          <t>42⁸</t>
        </is>
      </c>
      <c r="J4799" t="n">
        <v>8</v>
      </c>
      <c r="K4799" t="inlineStr">
        <is>
          <t>1¹, 2¹, 3¹, 6⁵, 12⁴</t>
        </is>
      </c>
      <c r="L4799" t="inlineStr">
        <is>
          <t>42F³, 21C⁷, 42N⁷, 42B⁹</t>
        </is>
      </c>
      <c r="M4799" t="inlineStr"/>
      <c r="N4799" t="inlineStr">
        <is>
          <t>14A⁰, 6B⁰, 42A¹, 21D¹, 21A⁰, 42B⁹, 21C⁷, 14G¹, 1A⁰, 21C³, 7F⁰, 42B¹, 3A⁰, 42F³, 7A⁰, 42N⁷</t>
        </is>
      </c>
      <c r="O4799" t="inlineStr"/>
    </row>
    <row r="4800">
      <c r="A4800">
        <f>HYPERLINK("https://mathstats.uncg.edu/sites/pauli/congruence/csg17.html#group42L17", "42L¹⁷")</f>
        <v/>
      </c>
      <c r="B4800" t="n">
        <v>17</v>
      </c>
      <c r="C4800" t="inlineStr"/>
      <c r="D4800" t="inlineStr">
        <is>
          <t>384</t>
        </is>
      </c>
      <c r="E4800" t="inlineStr">
        <is>
          <t>1</t>
        </is>
      </c>
      <c r="F4800" t="inlineStr">
        <is>
          <t>64</t>
        </is>
      </c>
      <c r="G4800" t="inlineStr">
        <is>
          <t>0</t>
        </is>
      </c>
      <c r="H4800" t="inlineStr">
        <is>
          <t>12</t>
        </is>
      </c>
      <c r="I4800" t="inlineStr">
        <is>
          <t>2⁶, 6⁶, 14⁶, 42⁶</t>
        </is>
      </c>
      <c r="J4800" t="n">
        <v>24</v>
      </c>
      <c r="K4800" t="inlineStr">
        <is>
          <t>1⁸, 2⁴, 6⁴, 12²</t>
        </is>
      </c>
      <c r="L4800" t="inlineStr">
        <is>
          <t>42I⁵, 42D⁹</t>
        </is>
      </c>
      <c r="M4800" t="inlineStr"/>
      <c r="N4800" t="inlineStr">
        <is>
          <t>3B⁰, 42I⁵, 2A⁰, 42D⁹, 21B¹, 7B⁰, 42E³, 6C⁰, 14B⁰, 42D³, 14C⁰, 1A⁰, 21F¹</t>
        </is>
      </c>
      <c r="O4800" t="inlineStr"/>
    </row>
    <row r="4801">
      <c r="A4801">
        <f>HYPERLINK("https://mathstats.uncg.edu/sites/pauli/congruence/csg17.html#group44A17", "44A¹⁷")</f>
        <v/>
      </c>
      <c r="B4801" t="n">
        <v>17</v>
      </c>
      <c r="C4801" t="inlineStr"/>
      <c r="D4801" t="inlineStr">
        <is>
          <t>264</t>
        </is>
      </c>
      <c r="E4801" t="inlineStr">
        <is>
          <t>1</t>
        </is>
      </c>
      <c r="F4801" t="inlineStr">
        <is>
          <t>66</t>
        </is>
      </c>
      <c r="G4801" t="inlineStr">
        <is>
          <t>12</t>
        </is>
      </c>
      <c r="H4801" t="inlineStr">
        <is>
          <t>0</t>
        </is>
      </c>
      <c r="I4801" t="inlineStr">
        <is>
          <t>44⁶</t>
        </is>
      </c>
      <c r="J4801" t="n">
        <v>6</v>
      </c>
      <c r="K4801" t="inlineStr">
        <is>
          <t>2¹, 10¹, 20⁶</t>
        </is>
      </c>
      <c r="L4801" t="inlineStr">
        <is>
          <t>22B⁶</t>
        </is>
      </c>
      <c r="M4801" t="inlineStr"/>
      <c r="N4801" t="inlineStr">
        <is>
          <t>11A⁰, 1A⁰, 22B⁶, 11A²</t>
        </is>
      </c>
      <c r="O4801" t="inlineStr"/>
    </row>
    <row r="4802">
      <c r="A4802">
        <f>HYPERLINK("https://mathstats.uncg.edu/sites/pauli/congruence/csg17.html#group44B17", "44B¹⁷")</f>
        <v/>
      </c>
      <c r="B4802" t="n">
        <v>17</v>
      </c>
      <c r="C4802" t="inlineStr"/>
      <c r="D4802" t="inlineStr">
        <is>
          <t>264</t>
        </is>
      </c>
      <c r="E4802" t="inlineStr">
        <is>
          <t>1</t>
        </is>
      </c>
      <c r="F4802" t="inlineStr">
        <is>
          <t>66</t>
        </is>
      </c>
      <c r="G4802" t="inlineStr">
        <is>
          <t>12</t>
        </is>
      </c>
      <c r="H4802" t="inlineStr">
        <is>
          <t>0</t>
        </is>
      </c>
      <c r="I4802" t="inlineStr">
        <is>
          <t>44⁶</t>
        </is>
      </c>
      <c r="J4802" t="n">
        <v>6</v>
      </c>
      <c r="K4802" t="inlineStr">
        <is>
          <t>2¹, 10¹, 20⁶</t>
        </is>
      </c>
      <c r="L4802" t="inlineStr">
        <is>
          <t>22B⁶</t>
        </is>
      </c>
      <c r="M4802" t="inlineStr"/>
      <c r="N4802" t="inlineStr">
        <is>
          <t>11A⁰, 1A⁰, 22B⁶, 11A²</t>
        </is>
      </c>
      <c r="O4802" t="inlineStr"/>
    </row>
    <row r="4803">
      <c r="A4803">
        <f>HYPERLINK("https://mathstats.uncg.edu/sites/pauli/congruence/csg17.html#group44C17", "44C¹⁷")</f>
        <v/>
      </c>
      <c r="B4803" t="n">
        <v>17</v>
      </c>
      <c r="C4803" t="inlineStr"/>
      <c r="D4803" t="inlineStr">
        <is>
          <t>264</t>
        </is>
      </c>
      <c r="E4803" t="inlineStr">
        <is>
          <t>1</t>
        </is>
      </c>
      <c r="F4803" t="inlineStr">
        <is>
          <t>264</t>
        </is>
      </c>
      <c r="G4803" t="inlineStr">
        <is>
          <t>12</t>
        </is>
      </c>
      <c r="H4803" t="inlineStr">
        <is>
          <t>0</t>
        </is>
      </c>
      <c r="I4803" t="inlineStr">
        <is>
          <t>44⁶</t>
        </is>
      </c>
      <c r="J4803" t="n">
        <v>6</v>
      </c>
      <c r="K4803" t="inlineStr">
        <is>
          <t>2², 10², 20¹²</t>
        </is>
      </c>
      <c r="L4803" t="inlineStr">
        <is>
          <t>11A², 44A²</t>
        </is>
      </c>
      <c r="M4803" t="inlineStr"/>
      <c r="N4803" t="inlineStr">
        <is>
          <t>11A⁰, 44A², 1A⁰, 4A⁰, 11A²</t>
        </is>
      </c>
      <c r="O4803" t="inlineStr"/>
    </row>
    <row r="4804">
      <c r="A4804">
        <f>HYPERLINK("https://mathstats.uncg.edu/sites/pauli/congruence/csg17.html#group44D17", "44D¹⁷")</f>
        <v/>
      </c>
      <c r="B4804" t="n">
        <v>17</v>
      </c>
      <c r="C4804" t="inlineStr"/>
      <c r="D4804" t="inlineStr">
        <is>
          <t>288</t>
        </is>
      </c>
      <c r="E4804" t="inlineStr">
        <is>
          <t>1</t>
        </is>
      </c>
      <c r="F4804" t="inlineStr">
        <is>
          <t>36</t>
        </is>
      </c>
      <c r="G4804" t="inlineStr">
        <is>
          <t>0</t>
        </is>
      </c>
      <c r="H4804" t="inlineStr">
        <is>
          <t>0</t>
        </is>
      </c>
      <c r="I4804" t="inlineStr">
        <is>
          <t>2⁴, 4⁴, 22⁴, 44⁴</t>
        </is>
      </c>
      <c r="J4804" t="n">
        <v>16</v>
      </c>
      <c r="K4804" t="inlineStr">
        <is>
          <t>1⁶, 10³</t>
        </is>
      </c>
      <c r="L4804" t="inlineStr">
        <is>
          <t>44A⁸, 44B⁸, 44B⁹</t>
        </is>
      </c>
      <c r="M4804" t="inlineStr"/>
      <c r="N4804" t="inlineStr">
        <is>
          <t>2A⁰, 4C⁰, 44B⁵, 2B⁰, 4E⁰, 4B⁰, 22C², 1A⁰, 44B⁹, 44B⁸, 22A⁴, 44D⁴, 44A⁸, 11A¹, 22A², 2C⁰</t>
        </is>
      </c>
      <c r="O4804" t="inlineStr"/>
    </row>
    <row r="4805">
      <c r="A4805">
        <f>HYPERLINK("https://mathstats.uncg.edu/sites/pauli/congruence/csg17.html#group45A17", "45A¹⁷")</f>
        <v/>
      </c>
      <c r="B4805" t="n">
        <v>17</v>
      </c>
      <c r="C4805" t="inlineStr"/>
      <c r="D4805" t="inlineStr">
        <is>
          <t>240</t>
        </is>
      </c>
      <c r="E4805" t="inlineStr">
        <is>
          <t>1</t>
        </is>
      </c>
      <c r="F4805" t="inlineStr">
        <is>
          <t>40</t>
        </is>
      </c>
      <c r="G4805" t="inlineStr">
        <is>
          <t>0</t>
        </is>
      </c>
      <c r="H4805" t="inlineStr">
        <is>
          <t>0</t>
        </is>
      </c>
      <c r="I4805" t="inlineStr">
        <is>
          <t>15⁴, 45⁴</t>
        </is>
      </c>
      <c r="J4805" t="n">
        <v>8</v>
      </c>
      <c r="K4805" t="inlineStr">
        <is>
          <t>2², 4⁵, 8²</t>
        </is>
      </c>
      <c r="L4805" t="inlineStr">
        <is>
          <t>15G³, 45A⁵, 45A⁹</t>
        </is>
      </c>
      <c r="M4805" t="inlineStr"/>
      <c r="N4805" t="inlineStr">
        <is>
          <t>3B⁰, 45A⁹, 5A⁰, 45A⁵, 9A¹, 15G³, 5C⁰, 15B¹, 5F⁰, 15C², 1A⁰</t>
        </is>
      </c>
      <c r="O4805" t="inlineStr"/>
    </row>
    <row r="4806">
      <c r="A4806">
        <f>HYPERLINK("https://mathstats.uncg.edu/sites/pauli/congruence/csg17.html#group45B17", "45B¹⁷")</f>
        <v/>
      </c>
      <c r="B4806" t="n">
        <v>17</v>
      </c>
      <c r="C4806" t="inlineStr"/>
      <c r="D4806" t="inlineStr">
        <is>
          <t>240</t>
        </is>
      </c>
      <c r="E4806" t="inlineStr">
        <is>
          <t>1</t>
        </is>
      </c>
      <c r="F4806" t="inlineStr">
        <is>
          <t>80</t>
        </is>
      </c>
      <c r="G4806" t="inlineStr">
        <is>
          <t>0</t>
        </is>
      </c>
      <c r="H4806" t="inlineStr">
        <is>
          <t>0</t>
        </is>
      </c>
      <c r="I4806" t="inlineStr">
        <is>
          <t>15⁴, 45⁴</t>
        </is>
      </c>
      <c r="J4806" t="n">
        <v>8</v>
      </c>
      <c r="K4806" t="inlineStr">
        <is>
          <t>4², 8⁹</t>
        </is>
      </c>
      <c r="L4806" t="inlineStr">
        <is>
          <t>15G³, 45B⁵</t>
        </is>
      </c>
      <c r="M4806" t="inlineStr"/>
      <c r="N4806" t="inlineStr">
        <is>
          <t>3B⁰, 5A⁰, 5C⁰, 15G³, 15B¹, 5F⁰, 15C², 45B⁵, 1A⁰</t>
        </is>
      </c>
      <c r="O4806" t="inlineStr"/>
    </row>
    <row r="4807">
      <c r="A4807">
        <f>HYPERLINK("https://mathstats.uncg.edu/sites/pauli/congruence/csg17.html#group45C17", "45C¹⁷")</f>
        <v/>
      </c>
      <c r="B4807" t="n">
        <v>17</v>
      </c>
      <c r="C4807" t="inlineStr"/>
      <c r="D4807" t="inlineStr">
        <is>
          <t>270</t>
        </is>
      </c>
      <c r="E4807" t="inlineStr">
        <is>
          <t>1</t>
        </is>
      </c>
      <c r="F4807" t="inlineStr">
        <is>
          <t>135</t>
        </is>
      </c>
      <c r="G4807" t="inlineStr">
        <is>
          <t>14</t>
        </is>
      </c>
      <c r="H4807" t="inlineStr">
        <is>
          <t>0</t>
        </is>
      </c>
      <c r="I4807" t="inlineStr">
        <is>
          <t>45⁶</t>
        </is>
      </c>
      <c r="J4807" t="n">
        <v>6</v>
      </c>
      <c r="K4807" t="inlineStr">
        <is>
          <t>1¹, 2², 4⁴, 6¹, 8³, 12¹, 24³</t>
        </is>
      </c>
      <c r="L4807" t="inlineStr">
        <is>
          <t>15H³, 45D⁷</t>
        </is>
      </c>
      <c r="M4807" t="inlineStr"/>
      <c r="N4807" t="inlineStr">
        <is>
          <t>5A⁰, 15A¹, 9A⁰, 15F¹, 5E⁰, 45A³, 45D⁷, 3A⁰, 1A⁰, 15H³, 15A⁰</t>
        </is>
      </c>
      <c r="O4807" t="inlineStr"/>
    </row>
    <row r="4808">
      <c r="A4808">
        <f>HYPERLINK("https://mathstats.uncg.edu/sites/pauli/congruence/csg17.html#group45D17", "45D¹⁷")</f>
        <v/>
      </c>
      <c r="B4808" t="n">
        <v>17</v>
      </c>
      <c r="C4808" t="inlineStr"/>
      <c r="D4808" t="inlineStr">
        <is>
          <t>270</t>
        </is>
      </c>
      <c r="E4808" t="inlineStr">
        <is>
          <t>1</t>
        </is>
      </c>
      <c r="F4808" t="inlineStr">
        <is>
          <t>270</t>
        </is>
      </c>
      <c r="G4808" t="inlineStr">
        <is>
          <t>14</t>
        </is>
      </c>
      <c r="H4808" t="inlineStr">
        <is>
          <t>0</t>
        </is>
      </c>
      <c r="I4808" t="inlineStr">
        <is>
          <t>45⁶</t>
        </is>
      </c>
      <c r="J4808" t="n">
        <v>6</v>
      </c>
      <c r="K4808" t="inlineStr">
        <is>
          <t>6¹, 12⁶, 24⁸</t>
        </is>
      </c>
      <c r="L4808" t="inlineStr">
        <is>
          <t>9G⁰, 45E⁵</t>
        </is>
      </c>
      <c r="M4808" t="inlineStr"/>
      <c r="N4808" t="inlineStr">
        <is>
          <t>15D¹, 9A⁰, 3A⁰, 1A⁰, 45E⁵, 9G⁰, 5C⁰</t>
        </is>
      </c>
      <c r="O4808" t="inlineStr"/>
    </row>
    <row r="4809">
      <c r="A4809">
        <f>HYPERLINK("https://mathstats.uncg.edu/sites/pauli/congruence/csg17.html#group45E17", "45E¹⁷")</f>
        <v/>
      </c>
      <c r="B4809" t="n">
        <v>17</v>
      </c>
      <c r="C4809" t="inlineStr"/>
      <c r="D4809" t="inlineStr">
        <is>
          <t>288</t>
        </is>
      </c>
      <c r="E4809" t="inlineStr">
        <is>
          <t>1</t>
        </is>
      </c>
      <c r="F4809" t="inlineStr">
        <is>
          <t>24</t>
        </is>
      </c>
      <c r="G4809" t="inlineStr">
        <is>
          <t>0</t>
        </is>
      </c>
      <c r="H4809" t="inlineStr">
        <is>
          <t>0</t>
        </is>
      </c>
      <c r="I4809" t="inlineStr">
        <is>
          <t>3⁴, 9⁴, 15⁴, 45⁴</t>
        </is>
      </c>
      <c r="J4809" t="n">
        <v>16</v>
      </c>
      <c r="K4809" t="inlineStr">
        <is>
          <t>1⁴, 2², 4², 8¹</t>
        </is>
      </c>
      <c r="L4809" t="inlineStr">
        <is>
          <t>15I¹, 45C⁹</t>
        </is>
      </c>
      <c r="M4809" t="inlineStr"/>
      <c r="N4809" t="inlineStr">
        <is>
          <t>45C⁵, 15C¹, 3B⁰, 45C⁹, 15I¹, 5B⁰, 15G¹, 5D⁰, 9C⁰, 1A⁰</t>
        </is>
      </c>
      <c r="O4809" t="inlineStr"/>
    </row>
    <row r="4810">
      <c r="A4810">
        <f>HYPERLINK("https://mathstats.uncg.edu/sites/pauli/congruence/csg17.html#group45F17", "45F¹⁷")</f>
        <v/>
      </c>
      <c r="B4810" t="n">
        <v>17</v>
      </c>
      <c r="C4810" t="inlineStr"/>
      <c r="D4810" t="inlineStr">
        <is>
          <t>288</t>
        </is>
      </c>
      <c r="E4810" t="inlineStr">
        <is>
          <t>1</t>
        </is>
      </c>
      <c r="F4810" t="inlineStr">
        <is>
          <t>24</t>
        </is>
      </c>
      <c r="G4810" t="inlineStr">
        <is>
          <t>0</t>
        </is>
      </c>
      <c r="H4810" t="inlineStr">
        <is>
          <t>0</t>
        </is>
      </c>
      <c r="I4810" t="inlineStr">
        <is>
          <t>3⁴, 9⁴, 15⁴, 45⁴</t>
        </is>
      </c>
      <c r="J4810" t="n">
        <v>16</v>
      </c>
      <c r="K4810" t="inlineStr">
        <is>
          <t>1⁴, 2², 4², 8¹</t>
        </is>
      </c>
      <c r="L4810" t="inlineStr">
        <is>
          <t>15I¹, 45D⁹</t>
        </is>
      </c>
      <c r="M4810" t="inlineStr"/>
      <c r="N4810" t="inlineStr">
        <is>
          <t>15C¹, 3B⁰, 45D⁹, 9A¹, 15I¹, 5B⁰, 15G¹, 5D⁰, 1A⁰, 45D⁵</t>
        </is>
      </c>
      <c r="O4810" t="inlineStr"/>
    </row>
    <row r="4811">
      <c r="A4811">
        <f>HYPERLINK("https://mathstats.uncg.edu/sites/pauli/congruence/csg17.html#group48A17", "48A¹⁷")</f>
        <v/>
      </c>
      <c r="B4811" t="n">
        <v>17</v>
      </c>
      <c r="C4811" t="inlineStr"/>
      <c r="D4811" t="inlineStr">
        <is>
          <t>256</t>
        </is>
      </c>
      <c r="E4811" t="inlineStr">
        <is>
          <t>2</t>
        </is>
      </c>
      <c r="F4811" t="inlineStr">
        <is>
          <t>128</t>
        </is>
      </c>
      <c r="G4811" t="inlineStr">
        <is>
          <t>0</t>
        </is>
      </c>
      <c r="H4811" t="inlineStr">
        <is>
          <t>4</t>
        </is>
      </c>
      <c r="I4811" t="inlineStr">
        <is>
          <t>16⁴, 48⁴</t>
        </is>
      </c>
      <c r="J4811" t="n">
        <v>8</v>
      </c>
      <c r="K4811" t="inlineStr">
        <is>
          <t>8¹⁶, 16⁸</t>
        </is>
      </c>
      <c r="L4811" t="inlineStr">
        <is>
          <t>16H², 48A⁴, 24F⁷</t>
        </is>
      </c>
      <c r="M4811" t="inlineStr"/>
      <c r="N4811" t="inlineStr">
        <is>
          <t>24C⁴, 3B⁰, 8F⁰, 16A⁰, 24A², 16H², 4A⁰, 12A¹, 24F⁷, 8A⁰, 48A⁴, 8M⁰, 1A⁰</t>
        </is>
      </c>
      <c r="O4811" t="inlineStr"/>
    </row>
    <row r="4812">
      <c r="A4812">
        <f>HYPERLINK("https://mathstats.uncg.edu/sites/pauli/congruence/csg17.html#group48B17", "48B¹⁷")</f>
        <v/>
      </c>
      <c r="B4812" t="n">
        <v>17</v>
      </c>
      <c r="C4812" t="inlineStr"/>
      <c r="D4812" t="inlineStr">
        <is>
          <t>288</t>
        </is>
      </c>
      <c r="E4812" t="inlineStr">
        <is>
          <t>1</t>
        </is>
      </c>
      <c r="F4812" t="inlineStr">
        <is>
          <t>6</t>
        </is>
      </c>
      <c r="G4812" t="inlineStr">
        <is>
          <t>0</t>
        </is>
      </c>
      <c r="H4812" t="inlineStr">
        <is>
          <t>0</t>
        </is>
      </c>
      <c r="I4812" t="inlineStr">
        <is>
          <t>6⁸, 12⁴, 48⁴</t>
        </is>
      </c>
      <c r="J4812" t="n">
        <v>16</v>
      </c>
      <c r="K4812" t="inlineStr">
        <is>
          <t>1⁴, 2¹</t>
        </is>
      </c>
      <c r="L4812" t="inlineStr">
        <is>
          <t>24R⁵, 48C⁵, 48N⁹</t>
        </is>
      </c>
      <c r="M4812" t="inlineStr"/>
      <c r="N4812" t="inlineStr">
        <is>
          <t>12K¹, 24G¹, 48N⁹, 6G⁰, 12S¹, 8C⁰, 2B⁰, 4B⁰, 1A⁰, 24B², 6D⁰, 24D², 24R⁵, 3C⁰, 6K⁰, 12B¹, 24K³, 3A⁰, 6F⁰, 48C⁵, 3B⁰, 12G⁰, 12D⁰, 24L³, 3D⁰, 12E⁰</t>
        </is>
      </c>
      <c r="O4812" t="inlineStr"/>
    </row>
    <row r="4813">
      <c r="A4813">
        <f>HYPERLINK("https://mathstats.uncg.edu/sites/pauli/congruence/csg17.html#group48C17", "48C¹⁷")</f>
        <v/>
      </c>
      <c r="B4813" t="n">
        <v>17</v>
      </c>
      <c r="C4813" t="inlineStr"/>
      <c r="D4813" t="inlineStr">
        <is>
          <t>288</t>
        </is>
      </c>
      <c r="E4813" t="inlineStr">
        <is>
          <t>1</t>
        </is>
      </c>
      <c r="F4813" t="inlineStr">
        <is>
          <t>6</t>
        </is>
      </c>
      <c r="G4813" t="inlineStr">
        <is>
          <t>0</t>
        </is>
      </c>
      <c r="H4813" t="inlineStr">
        <is>
          <t>0</t>
        </is>
      </c>
      <c r="I4813" t="inlineStr">
        <is>
          <t>6⁸, 12⁴, 48⁴</t>
        </is>
      </c>
      <c r="J4813" t="n">
        <v>16</v>
      </c>
      <c r="K4813" t="inlineStr">
        <is>
          <t>1⁴, 2¹</t>
        </is>
      </c>
      <c r="L4813" t="inlineStr">
        <is>
          <t>24R⁵, 48D⁵, 48C⁹, 48D⁹</t>
        </is>
      </c>
      <c r="M4813" t="inlineStr"/>
      <c r="N4813" t="inlineStr">
        <is>
          <t>12K¹, 24G¹, 6G⁰, 16A¹, 2B⁰, 8C⁰, 12S¹, 4B⁰, 1A⁰, 24B², 24D², 24R⁵, 3C⁰, 6K⁰, 12B¹, 48D⁵, 24K³, 12E⁰, 3A⁰, 6F⁰, 48B⁵, 3B⁰, 48A⁵, 48D⁹, 12G⁰, 48C⁹, 12D⁰, 24L³, 3D⁰, 6D⁰</t>
        </is>
      </c>
      <c r="O4813" t="inlineStr"/>
    </row>
    <row r="4814">
      <c r="A4814">
        <f>HYPERLINK("https://mathstats.uncg.edu/sites/pauli/congruence/csg17.html#group48D17", "48D¹⁷")</f>
        <v/>
      </c>
      <c r="B4814" t="n">
        <v>17</v>
      </c>
      <c r="C4814" t="inlineStr"/>
      <c r="D4814" t="inlineStr">
        <is>
          <t>288</t>
        </is>
      </c>
      <c r="E4814" t="inlineStr">
        <is>
          <t>1</t>
        </is>
      </c>
      <c r="F4814" t="inlineStr">
        <is>
          <t>6</t>
        </is>
      </c>
      <c r="G4814" t="inlineStr">
        <is>
          <t>0</t>
        </is>
      </c>
      <c r="H4814" t="inlineStr">
        <is>
          <t>0</t>
        </is>
      </c>
      <c r="I4814" t="inlineStr">
        <is>
          <t>6⁸, 12⁴, 48⁴</t>
        </is>
      </c>
      <c r="J4814" t="n">
        <v>16</v>
      </c>
      <c r="K4814" t="inlineStr">
        <is>
          <t>1⁴, 2¹</t>
        </is>
      </c>
      <c r="L4814" t="inlineStr">
        <is>
          <t>16M¹, 24B⁸, 48C⁸, 48E⁸, 48A⁹, 48B⁹</t>
        </is>
      </c>
      <c r="M4814" t="inlineStr"/>
      <c r="N4814" t="inlineStr">
        <is>
          <t>2A⁰, 16G⁰, 12C⁰, 48B⁹, 4C⁰, 6C¹, 12B², 16A¹, 8C⁰, 2B⁰, 4E⁰, 4B⁰, 1A⁰, 16H⁰, 24B², 16E⁰, 8G⁰, 48E⁸, 16C⁰, 12B¹, 16M¹, 6A¹, 48D³, 3A⁰, 48D⁴, 48A⁵, 24F⁴, 8D⁰, 16E¹, 24B⁸, 8I⁰, 24D⁴, 48B⁴, 48A⁹, 6A⁰, 16G¹, 16D⁰, 48C⁸, 24C¹, 8J⁰, 2C⁰, 6D⁰, 24G⁴, 8O⁰</t>
        </is>
      </c>
      <c r="O4814" t="inlineStr"/>
    </row>
    <row r="4815">
      <c r="A4815">
        <f>HYPERLINK("https://mathstats.uncg.edu/sites/pauli/congruence/csg17.html#group48E17", "48E¹⁷")</f>
        <v/>
      </c>
      <c r="B4815" t="n">
        <v>17</v>
      </c>
      <c r="C4815" t="inlineStr"/>
      <c r="D4815" t="inlineStr">
        <is>
          <t>288</t>
        </is>
      </c>
      <c r="E4815" t="inlineStr">
        <is>
          <t>1</t>
        </is>
      </c>
      <c r="F4815" t="inlineStr">
        <is>
          <t>18</t>
        </is>
      </c>
      <c r="G4815" t="inlineStr">
        <is>
          <t>0</t>
        </is>
      </c>
      <c r="H4815" t="inlineStr">
        <is>
          <t>0</t>
        </is>
      </c>
      <c r="I4815" t="inlineStr">
        <is>
          <t>6⁸, 12⁴, 48⁴</t>
        </is>
      </c>
      <c r="J4815" t="n">
        <v>16</v>
      </c>
      <c r="K4815" t="inlineStr">
        <is>
          <t>1⁴, 2⁵, 4¹</t>
        </is>
      </c>
      <c r="L4815" t="inlineStr">
        <is>
          <t>24J⁷, 48Q⁷, 48C⁹, 48E⁹, 48AA⁹</t>
        </is>
      </c>
      <c r="M4815" t="inlineStr"/>
      <c r="N4815" t="inlineStr">
        <is>
          <t>2A⁰, 24O², 24E¹, 12K¹, 12C⁰, 12D², 6C¹, 4C⁰, 48F⁴, 6G⁰, 12B², 24J⁷, 8C⁰, 2B⁰, 4E⁰, 12E², 4B⁰, 12G³, 1A⁰, 24O³, 24B², 6B¹, 8G⁰, 24D², 3C⁰, 12B¹, 6A¹, 6H⁰, 3A⁰, 48B⁵, 6E¹, 48E⁹, 6B⁰, 8D⁰, 24J⁴, 12L¹, 24D⁴, 48Q⁷, 48AA⁹, 48C⁹, 6A⁰, 12C¹, 24C¹, 24E⁴, 12D⁰, 12H⁰, 24L³, 2C⁰, 6D⁰</t>
        </is>
      </c>
      <c r="O4815" t="inlineStr"/>
    </row>
    <row r="4816">
      <c r="A4816">
        <f>HYPERLINK("https://mathstats.uncg.edu/sites/pauli/congruence/csg17.html#group48F17", "48F¹⁷")</f>
        <v/>
      </c>
      <c r="B4816" t="n">
        <v>17</v>
      </c>
      <c r="C4816" t="inlineStr"/>
      <c r="D4816" t="inlineStr">
        <is>
          <t>288</t>
        </is>
      </c>
      <c r="E4816" t="inlineStr">
        <is>
          <t>1</t>
        </is>
      </c>
      <c r="F4816" t="inlineStr">
        <is>
          <t>18</t>
        </is>
      </c>
      <c r="G4816" t="inlineStr">
        <is>
          <t>0</t>
        </is>
      </c>
      <c r="H4816" t="inlineStr">
        <is>
          <t>0</t>
        </is>
      </c>
      <c r="I4816" t="inlineStr">
        <is>
          <t>6⁸, 12⁴, 48⁴</t>
        </is>
      </c>
      <c r="J4816" t="n">
        <v>16</v>
      </c>
      <c r="K4816" t="inlineStr">
        <is>
          <t>1⁴, 2⁵, 4¹</t>
        </is>
      </c>
      <c r="L4816" t="inlineStr">
        <is>
          <t>24N⁷, 48Q⁷, 48D⁹, 48G⁹, 48AA⁹</t>
        </is>
      </c>
      <c r="M4816" t="inlineStr"/>
      <c r="N4816" t="inlineStr">
        <is>
          <t>24I⁴, 12K¹, 12D², 48F⁴, 6G⁰, 16A¹, 8C⁰, 2B⁰, 12N¹, 4B⁰, 1A⁰, 24B², 24D², 3C⁰, 12B¹, 48G⁹, 24K³, 6H⁰, 3A⁰, 48B⁵, 48A⁵, 6B⁰, 24N⁷, 24J⁴, 48D⁹, 48Q⁷, 48AA⁹, 12C¹, 6E⁰, 6L⁰, 12E³, 12D⁰, 24L³, 12C², 6D⁰</t>
        </is>
      </c>
      <c r="O4816" t="inlineStr"/>
    </row>
    <row r="4817">
      <c r="A4817">
        <f>HYPERLINK("https://mathstats.uncg.edu/sites/pauli/congruence/csg17.html#group48G17", "48G¹⁷")</f>
        <v/>
      </c>
      <c r="B4817" t="n">
        <v>17</v>
      </c>
      <c r="C4817" t="inlineStr"/>
      <c r="D4817" t="inlineStr">
        <is>
          <t>288</t>
        </is>
      </c>
      <c r="E4817" t="inlineStr">
        <is>
          <t>1</t>
        </is>
      </c>
      <c r="F4817" t="inlineStr">
        <is>
          <t>18</t>
        </is>
      </c>
      <c r="G4817" t="inlineStr">
        <is>
          <t>0</t>
        </is>
      </c>
      <c r="H4817" t="inlineStr">
        <is>
          <t>0</t>
        </is>
      </c>
      <c r="I4817" t="inlineStr">
        <is>
          <t>6⁸, 12⁴, 48⁴</t>
        </is>
      </c>
      <c r="J4817" t="n">
        <v>16</v>
      </c>
      <c r="K4817" t="inlineStr">
        <is>
          <t>1⁴, 2⁵, 4¹</t>
        </is>
      </c>
      <c r="L4817" t="inlineStr">
        <is>
          <t>24N⁷, 48R⁷, 48C⁹, 48F⁹, 48AA⁹</t>
        </is>
      </c>
      <c r="M4817" t="inlineStr"/>
      <c r="N4817" t="inlineStr">
        <is>
          <t>24I⁴, 12K¹, 12D², 48F⁴, 6G⁰, 8C⁰, 2B⁰, 12N¹, 4B⁰, 1A⁰, 24B², 48R⁷, 16C⁰, 24D², 3C⁰, 12B¹, 24K³, 48F⁹, 6H⁰, 3A⁰, 48B⁵, 6B⁰, 24N⁷, 24J⁴, 48B⁴, 48AA⁹, 48C⁹, 12C¹, 6E⁰, 6L⁰, 12E³, 12D⁰, 24L³, 12C², 6D⁰</t>
        </is>
      </c>
      <c r="O4817" t="inlineStr"/>
    </row>
    <row r="4818">
      <c r="A4818">
        <f>HYPERLINK("https://mathstats.uncg.edu/sites/pauli/congruence/csg17.html#group48H17", "48H¹⁷")</f>
        <v/>
      </c>
      <c r="B4818" t="n">
        <v>17</v>
      </c>
      <c r="C4818" t="inlineStr"/>
      <c r="D4818" t="inlineStr">
        <is>
          <t>288</t>
        </is>
      </c>
      <c r="E4818" t="inlineStr">
        <is>
          <t>1</t>
        </is>
      </c>
      <c r="F4818" t="inlineStr">
        <is>
          <t>18</t>
        </is>
      </c>
      <c r="G4818" t="inlineStr">
        <is>
          <t>0</t>
        </is>
      </c>
      <c r="H4818" t="inlineStr">
        <is>
          <t>0</t>
        </is>
      </c>
      <c r="I4818" t="inlineStr">
        <is>
          <t>6⁸, 12⁴, 48⁴</t>
        </is>
      </c>
      <c r="J4818" t="n">
        <v>16</v>
      </c>
      <c r="K4818" t="inlineStr">
        <is>
          <t>1⁴, 2⁵, 4¹</t>
        </is>
      </c>
      <c r="L4818" t="inlineStr">
        <is>
          <t>24B⁸, 48D⁸, 48I⁸, 48E⁹, 48O⁹</t>
        </is>
      </c>
      <c r="M4818" t="inlineStr"/>
      <c r="N4818" t="inlineStr">
        <is>
          <t>2A⁰, 48I⁸, 12C⁰, 48G³, 6C¹, 4C⁰, 48F⁴, 12B², 8C⁰, 2B⁰, 4E⁰, 4B⁰, 1A⁰, 24B², 8G⁰, 12B¹, 6A¹, 3A⁰, 48B⁵, 24F⁴, 48E⁹, 8D⁰, 24B⁸, 8I⁰, 48G⁴, 24D⁴, 6A⁰, 48D⁸, 24C¹, 48O⁹, 8J⁰, 2C⁰, 6D⁰, 24G⁴, 8O⁰</t>
        </is>
      </c>
      <c r="O4818" t="inlineStr"/>
    </row>
    <row r="4819">
      <c r="A4819">
        <f>HYPERLINK("https://mathstats.uncg.edu/sites/pauli/congruence/csg17.html#group48I17", "48I¹⁷")</f>
        <v/>
      </c>
      <c r="B4819" t="n">
        <v>17</v>
      </c>
      <c r="C4819" t="inlineStr"/>
      <c r="D4819" t="inlineStr">
        <is>
          <t>288</t>
        </is>
      </c>
      <c r="E4819" t="inlineStr">
        <is>
          <t>1</t>
        </is>
      </c>
      <c r="F4819" t="inlineStr">
        <is>
          <t>18</t>
        </is>
      </c>
      <c r="G4819" t="inlineStr">
        <is>
          <t>0</t>
        </is>
      </c>
      <c r="H4819" t="inlineStr">
        <is>
          <t>0</t>
        </is>
      </c>
      <c r="I4819" t="inlineStr">
        <is>
          <t>6⁸, 12⁴, 48⁴</t>
        </is>
      </c>
      <c r="J4819" t="n">
        <v>16</v>
      </c>
      <c r="K4819" t="inlineStr">
        <is>
          <t>1⁴, 2⁵, 4¹</t>
        </is>
      </c>
      <c r="L4819" t="inlineStr">
        <is>
          <t>24D⁸, 48C⁸, 48K⁸, 48E⁹, 48P⁹</t>
        </is>
      </c>
      <c r="M4819" t="inlineStr"/>
      <c r="N4819" t="inlineStr">
        <is>
          <t>2A⁰, 16G⁰, 12C⁰, 6C¹, 4C⁰, 48F⁴, 12B², 8C⁰, 2B⁰, 4E⁰, 4B⁰, 1A⁰, 24B², 16E⁰, 8G⁰, 24N⁴, 24M⁴, 12B¹, 6A¹, 48D³, 3A⁰, 48D⁴, 48B⁵, 48E⁹, 24D⁸, 8D⁰, 48K⁸, 24D⁴, 48P⁹, 6A⁰, 16D⁰, 48C⁸, 24C¹, 2C⁰, 6D⁰</t>
        </is>
      </c>
      <c r="O4819" t="inlineStr"/>
    </row>
    <row r="4820">
      <c r="A4820">
        <f>HYPERLINK("https://mathstats.uncg.edu/sites/pauli/congruence/csg17.html#group48J17", "48J¹⁷")</f>
        <v/>
      </c>
      <c r="B4820" t="n">
        <v>17</v>
      </c>
      <c r="C4820" t="inlineStr"/>
      <c r="D4820" t="inlineStr">
        <is>
          <t>288</t>
        </is>
      </c>
      <c r="E4820" t="inlineStr">
        <is>
          <t>1</t>
        </is>
      </c>
      <c r="F4820" t="inlineStr">
        <is>
          <t>18</t>
        </is>
      </c>
      <c r="G4820" t="inlineStr">
        <is>
          <t>0</t>
        </is>
      </c>
      <c r="H4820" t="inlineStr">
        <is>
          <t>0</t>
        </is>
      </c>
      <c r="I4820" t="inlineStr">
        <is>
          <t>6⁸, 12⁴, 48⁴</t>
        </is>
      </c>
      <c r="J4820" t="n">
        <v>16</v>
      </c>
      <c r="K4820" t="inlineStr">
        <is>
          <t>1⁴, 2⁵, 4¹</t>
        </is>
      </c>
      <c r="L4820" t="inlineStr">
        <is>
          <t>24D⁸, 48D⁸, 48J⁸, 48A⁹, 48Q⁹</t>
        </is>
      </c>
      <c r="M4820" t="inlineStr"/>
      <c r="N4820" t="inlineStr">
        <is>
          <t>2A⁰, 12C⁰, 48G³, 48Q⁹, 4C⁰, 6C¹, 12B², 16A¹, 8C⁰, 2B⁰, 4E⁰, 4B⁰, 1A⁰, 24B², 8G⁰, 24N⁴, 16C⁰, 24M⁴, 12B¹, 48J⁸, 6A¹, 3A⁰, 48A⁵, 24D⁸, 8D⁰, 16E¹, 24D⁴, 48G⁴, 48B⁴, 48A⁹, 6A⁰, 48D⁸, 24C¹, 2C⁰, 6D⁰</t>
        </is>
      </c>
      <c r="O4820" t="inlineStr"/>
    </row>
    <row r="4821">
      <c r="A4821">
        <f>HYPERLINK("https://mathstats.uncg.edu/sites/pauli/congruence/csg17.html#group48K17", "48K¹⁷")</f>
        <v/>
      </c>
      <c r="B4821" t="n">
        <v>17</v>
      </c>
      <c r="C4821" t="inlineStr"/>
      <c r="D4821" t="inlineStr">
        <is>
          <t>288</t>
        </is>
      </c>
      <c r="E4821" t="inlineStr">
        <is>
          <t>1</t>
        </is>
      </c>
      <c r="F4821" t="inlineStr">
        <is>
          <t>18</t>
        </is>
      </c>
      <c r="G4821" t="inlineStr">
        <is>
          <t>0</t>
        </is>
      </c>
      <c r="H4821" t="inlineStr">
        <is>
          <t>0</t>
        </is>
      </c>
      <c r="I4821" t="inlineStr">
        <is>
          <t>6⁸, 12⁴, 48⁴</t>
        </is>
      </c>
      <c r="J4821" t="n">
        <v>16</v>
      </c>
      <c r="K4821" t="inlineStr">
        <is>
          <t>1⁴, 2⁵, 4¹</t>
        </is>
      </c>
      <c r="L4821" t="inlineStr">
        <is>
          <t>24J⁷, 48R⁷, 48A⁹, 48D⁹, 48E⁹, 48F⁹, 48G⁹</t>
        </is>
      </c>
      <c r="M4821" t="inlineStr"/>
      <c r="N4821" t="inlineStr">
        <is>
          <t>2A⁰, 24O², 24E¹, 12C⁰, 12K¹, 12D², 4C⁰, 6C¹, 12B², 48F⁴, 6G⁰, 24J⁷, 16A¹, 8C⁰, 2B⁰, 4E⁰, 4B⁰, 12E², 1A⁰, 12G³, 24O³, 24B², 48R⁷, 6B¹, 8G⁰, 16C⁰, 24D², 3C⁰, 12B¹, 48G⁹, 48F⁹, 6A¹, 3A⁰, 6H⁰, 48B⁵, 6E¹, 48A⁵, 48E⁹, 6B⁰, 8D⁰, 16E¹, 24J⁴, 48D⁹, 12L¹, 24D⁴, 48B⁴, 48A⁹, 6A⁰, 12C¹, 24C¹, 24E⁴, 12D⁰, 12H⁰, 24L³, 2C⁰, 6D⁰</t>
        </is>
      </c>
      <c r="O4821" t="inlineStr"/>
    </row>
    <row r="4822">
      <c r="A4822">
        <f>HYPERLINK("https://mathstats.uncg.edu/sites/pauli/congruence/csg17.html#group48L17", "48L¹⁷")</f>
        <v/>
      </c>
      <c r="B4822" t="n">
        <v>17</v>
      </c>
      <c r="C4822" t="inlineStr"/>
      <c r="D4822" t="inlineStr">
        <is>
          <t>288</t>
        </is>
      </c>
      <c r="E4822" t="inlineStr">
        <is>
          <t>1</t>
        </is>
      </c>
      <c r="F4822" t="inlineStr">
        <is>
          <t>18</t>
        </is>
      </c>
      <c r="G4822" t="inlineStr">
        <is>
          <t>16</t>
        </is>
      </c>
      <c r="H4822" t="inlineStr">
        <is>
          <t>0</t>
        </is>
      </c>
      <c r="I4822" t="inlineStr">
        <is>
          <t>24⁴, 48⁴</t>
        </is>
      </c>
      <c r="J4822" t="n">
        <v>8</v>
      </c>
      <c r="K4822" t="inlineStr">
        <is>
          <t>2³, 4³</t>
        </is>
      </c>
      <c r="L4822" t="inlineStr">
        <is>
          <t>24S⁵, 48H⁹, 48I⁹</t>
        </is>
      </c>
      <c r="M4822" t="inlineStr"/>
      <c r="N4822" t="inlineStr">
        <is>
          <t>12T¹, 6B⁰, 12C⁰, 4C⁰, 24D¹, 24I³, 6G⁰, 8B⁰, 2B⁰, 48I⁹, 24C², 12N¹, 12H⁰, 1A⁰, 12L¹, 12G⁰, 12C¹, 24H³, 48H⁹, 6E⁰, 6L⁰, 24S³, 24A⁰, 24S⁵, 3C⁰, 12D⁰, 6H⁰, 3A⁰, 24H¹, 6D⁰</t>
        </is>
      </c>
      <c r="O4822" t="inlineStr"/>
    </row>
    <row r="4823">
      <c r="A4823">
        <f>HYPERLINK("https://mathstats.uncg.edu/sites/pauli/congruence/csg17.html#group48M17", "48M¹⁷")</f>
        <v/>
      </c>
      <c r="B4823" t="n">
        <v>17</v>
      </c>
      <c r="C4823" t="inlineStr"/>
      <c r="D4823" t="inlineStr">
        <is>
          <t>288</t>
        </is>
      </c>
      <c r="E4823" t="inlineStr">
        <is>
          <t>1</t>
        </is>
      </c>
      <c r="F4823" t="inlineStr">
        <is>
          <t>18</t>
        </is>
      </c>
      <c r="G4823" t="inlineStr">
        <is>
          <t>16</t>
        </is>
      </c>
      <c r="H4823" t="inlineStr">
        <is>
          <t>0</t>
        </is>
      </c>
      <c r="I4823" t="inlineStr">
        <is>
          <t>24⁴, 48⁴</t>
        </is>
      </c>
      <c r="J4823" t="n">
        <v>8</v>
      </c>
      <c r="K4823" t="inlineStr">
        <is>
          <t>1², 2⁴, 4²</t>
        </is>
      </c>
      <c r="L4823" t="inlineStr">
        <is>
          <t>24S⁵, 48S⁷, 48T⁷, 48J⁹, 48M⁹</t>
        </is>
      </c>
      <c r="M4823" t="inlineStr"/>
      <c r="N4823" t="inlineStr">
        <is>
          <t>12T¹, 12C⁰, 48M⁹, 4C⁰, 24I³, 6G⁰, 2B⁰, 24C², 12N¹, 1A⁰, 48S⁷, 48T⁷, 24H³, 24A⁰, 24S³, 24S⁵, 3C⁰, 6H⁰, 3A⁰, 24H¹, 6B⁰, 48J⁹, 24D¹, 8B⁰, 16B¹, 12L¹, 48C³, 12G⁰, 12C¹, 6E⁰, 6L⁰, 12D⁰, 48F³, 12H⁰, 6D⁰</t>
        </is>
      </c>
      <c r="O4823" t="inlineStr"/>
    </row>
    <row r="4824">
      <c r="A4824">
        <f>HYPERLINK("https://mathstats.uncg.edu/sites/pauli/congruence/csg17.html#group48N17", "48N¹⁷")</f>
        <v/>
      </c>
      <c r="B4824" t="n">
        <v>17</v>
      </c>
      <c r="C4824" t="inlineStr"/>
      <c r="D4824" t="inlineStr">
        <is>
          <t>288</t>
        </is>
      </c>
      <c r="E4824" t="inlineStr">
        <is>
          <t>1</t>
        </is>
      </c>
      <c r="F4824" t="inlineStr">
        <is>
          <t>18</t>
        </is>
      </c>
      <c r="G4824" t="inlineStr">
        <is>
          <t>16</t>
        </is>
      </c>
      <c r="H4824" t="inlineStr">
        <is>
          <t>0</t>
        </is>
      </c>
      <c r="I4824" t="inlineStr">
        <is>
          <t>24⁴, 48⁴</t>
        </is>
      </c>
      <c r="J4824" t="n">
        <v>8</v>
      </c>
      <c r="K4824" t="inlineStr">
        <is>
          <t>1², 2⁴, 4²</t>
        </is>
      </c>
      <c r="L4824" t="inlineStr">
        <is>
          <t>48G⁵, 24O⁷, 48N⁷, 48J⁹, 48AB⁹</t>
        </is>
      </c>
      <c r="M4824" t="inlineStr"/>
      <c r="N4824" t="inlineStr">
        <is>
          <t>24E¹, 12C⁰, 24P⁴, 24O⁷, 48J⁹, 4C⁰, 24I³, 6G⁰, 24P², 8B⁰, 12M¹, 2B⁰, 24C², 48A⁰, 48G⁵, 1A⁰, 12L¹, 48C⁴, 16B⁰, 12C¹, 12I³, 24A⁰, 48N⁷, 24N³, 48AB⁹, 3C⁰, 48F³, 3A⁰, 6D⁰</t>
        </is>
      </c>
      <c r="O4824" t="inlineStr"/>
    </row>
    <row r="4825">
      <c r="A4825">
        <f>HYPERLINK("https://mathstats.uncg.edu/sites/pauli/congruence/csg17.html#group48O17", "48O¹⁷")</f>
        <v/>
      </c>
      <c r="B4825" t="n">
        <v>17</v>
      </c>
      <c r="C4825" t="inlineStr"/>
      <c r="D4825" t="inlineStr">
        <is>
          <t>288</t>
        </is>
      </c>
      <c r="E4825" t="inlineStr">
        <is>
          <t>1</t>
        </is>
      </c>
      <c r="F4825" t="inlineStr">
        <is>
          <t>18</t>
        </is>
      </c>
      <c r="G4825" t="inlineStr">
        <is>
          <t>16</t>
        </is>
      </c>
      <c r="H4825" t="inlineStr">
        <is>
          <t>0</t>
        </is>
      </c>
      <c r="I4825" t="inlineStr">
        <is>
          <t>24⁴, 48⁴</t>
        </is>
      </c>
      <c r="J4825" t="n">
        <v>8</v>
      </c>
      <c r="K4825" t="inlineStr">
        <is>
          <t>1², 2⁴, 4²</t>
        </is>
      </c>
      <c r="L4825" t="inlineStr">
        <is>
          <t>24O⁷, 48M⁷, 48V⁷, 48AI⁷, 48M⁹</t>
        </is>
      </c>
      <c r="M4825" t="inlineStr"/>
      <c r="N4825" t="inlineStr">
        <is>
          <t>48AI⁷, 24E¹, 12C⁰, 24P⁴, 24O⁷, 48M⁹, 4C⁰, 8B⁰, 24I³, 24P², 16B¹, 2B⁰, 12M¹, 6G⁰, 24C², 1A⁰, 12L¹, 48C³, 48V⁷, 48M⁷, 12C¹, 24A⁰, 12I³, 24N³, 48A², 3C⁰, 48F³, 3A⁰, 6D⁰</t>
        </is>
      </c>
      <c r="O4825" t="inlineStr"/>
    </row>
    <row r="4826">
      <c r="A4826">
        <f>HYPERLINK("https://mathstats.uncg.edu/sites/pauli/congruence/csg17.html#group48P17", "48P¹⁷")</f>
        <v/>
      </c>
      <c r="B4826" t="n">
        <v>17</v>
      </c>
      <c r="C4826" t="inlineStr"/>
      <c r="D4826" t="inlineStr">
        <is>
          <t>288</t>
        </is>
      </c>
      <c r="E4826" t="inlineStr">
        <is>
          <t>1</t>
        </is>
      </c>
      <c r="F4826" t="inlineStr">
        <is>
          <t>18</t>
        </is>
      </c>
      <c r="G4826" t="inlineStr">
        <is>
          <t>16</t>
        </is>
      </c>
      <c r="H4826" t="inlineStr">
        <is>
          <t>0</t>
        </is>
      </c>
      <c r="I4826" t="inlineStr">
        <is>
          <t>24⁴, 48⁴</t>
        </is>
      </c>
      <c r="J4826" t="n">
        <v>8</v>
      </c>
      <c r="K4826" t="inlineStr">
        <is>
          <t>1², 2⁴, 4²</t>
        </is>
      </c>
      <c r="L4826" t="inlineStr">
        <is>
          <t>24R⁷, 48M⁷, 48U⁷, 48AI⁷, 48J⁹</t>
        </is>
      </c>
      <c r="M4826" t="inlineStr"/>
      <c r="N4826" t="inlineStr">
        <is>
          <t>24E¹, 12C⁰, 4C⁰, 24I³, 6G⁰, 24P², 12M¹, 2B⁰, 24C², 1A⁰, 24O³, 48M⁷, 24R⁷, 24A⁰, 3C⁰, 3A⁰, 12G¹, 48AI⁷, 8D⁰, 48J⁹, 8B⁰, 48U⁷, 24L², 12L¹, 12J³, 8H⁰, 12A⁰, 12C¹, 4A⁰, 24K⁴, 24C¹, 48A², 12J¹, 4F⁰, 48F³, 24L⁴, 6D⁰</t>
        </is>
      </c>
      <c r="O4826" t="inlineStr"/>
    </row>
    <row r="4827">
      <c r="A4827">
        <f>HYPERLINK("https://mathstats.uncg.edu/sites/pauli/congruence/csg17.html#group48Q17", "48Q¹⁷")</f>
        <v/>
      </c>
      <c r="B4827" t="n">
        <v>17</v>
      </c>
      <c r="C4827" t="inlineStr"/>
      <c r="D4827" t="inlineStr">
        <is>
          <t>288</t>
        </is>
      </c>
      <c r="E4827" t="inlineStr">
        <is>
          <t>1</t>
        </is>
      </c>
      <c r="F4827" t="inlineStr">
        <is>
          <t>18</t>
        </is>
      </c>
      <c r="G4827" t="inlineStr">
        <is>
          <t>16</t>
        </is>
      </c>
      <c r="H4827" t="inlineStr">
        <is>
          <t>0</t>
        </is>
      </c>
      <c r="I4827" t="inlineStr">
        <is>
          <t>24⁴, 48⁴</t>
        </is>
      </c>
      <c r="J4827" t="n">
        <v>8</v>
      </c>
      <c r="K4827" t="inlineStr">
        <is>
          <t>1², 2⁴, 4²</t>
        </is>
      </c>
      <c r="L4827" t="inlineStr">
        <is>
          <t>48E⁵, 48G⁵, 24R⁷, 48N⁷, 48K⁹, 48L⁹, 48M⁹</t>
        </is>
      </c>
      <c r="M4827" t="inlineStr"/>
      <c r="N4827" t="inlineStr">
        <is>
          <t>24E¹, 12C⁰, 48M⁹, 4C⁰, 24I³, 6G⁰, 24P², 2B⁰, 12M¹, 24C², 1A⁰, 24O³, 16B⁰, 24R⁷, 24A⁰, 3C⁰, 16F¹, 3A⁰, 12G¹, 48E⁵, 8D⁰, 48K⁹, 8B⁰, 16B¹, 48A⁰, 24L², 48G⁵, 12L¹, 12J³, 48C⁴, 8H⁰, 48C³, 48L⁹, 12A⁰, 12C¹, 48N⁷, 4A⁰, 24K⁴, 24C¹, 12J¹, 4F⁰, 48F³, 24L⁴, 6D⁰</t>
        </is>
      </c>
      <c r="O4827" t="inlineStr"/>
    </row>
    <row r="4828">
      <c r="A4828">
        <f>HYPERLINK("https://mathstats.uncg.edu/sites/pauli/congruence/csg17.html#group48R17", "48R¹⁷")</f>
        <v/>
      </c>
      <c r="B4828" t="n">
        <v>17</v>
      </c>
      <c r="C4828" t="inlineStr"/>
      <c r="D4828" t="inlineStr">
        <is>
          <t>288</t>
        </is>
      </c>
      <c r="E4828" t="inlineStr">
        <is>
          <t>1</t>
        </is>
      </c>
      <c r="F4828" t="inlineStr">
        <is>
          <t>18</t>
        </is>
      </c>
      <c r="G4828" t="inlineStr">
        <is>
          <t>16</t>
        </is>
      </c>
      <c r="H4828" t="inlineStr">
        <is>
          <t>0</t>
        </is>
      </c>
      <c r="I4828" t="inlineStr">
        <is>
          <t>24⁴, 48⁴</t>
        </is>
      </c>
      <c r="J4828" t="n">
        <v>8</v>
      </c>
      <c r="K4828" t="inlineStr">
        <is>
          <t>2⁷, 4¹</t>
        </is>
      </c>
      <c r="L4828" t="inlineStr">
        <is>
          <t>24S⁵, 48V⁹</t>
        </is>
      </c>
      <c r="M4828" t="inlineStr"/>
      <c r="N4828" t="inlineStr">
        <is>
          <t>12T¹, 12C⁰, 4C⁰, 24I³, 6G⁰, 2B⁰, 24C², 12N¹, 1A⁰, 24H³, 24A⁰, 24S³, 24S⁵, 3C⁰, 6H⁰, 3A⁰, 24H¹, 48V⁹, 6B⁰, 24D¹, 8B⁰, 12L¹, 12G⁰, 12C¹, 6E⁰, 6L⁰, 12D⁰, 12H⁰, 6D⁰</t>
        </is>
      </c>
      <c r="O4828" t="inlineStr"/>
    </row>
    <row r="4829">
      <c r="A4829">
        <f>HYPERLINK("https://mathstats.uncg.edu/sites/pauli/congruence/csg17.html#group48S17", "48S¹⁷")</f>
        <v/>
      </c>
      <c r="B4829" t="n">
        <v>17</v>
      </c>
      <c r="C4829" t="inlineStr"/>
      <c r="D4829" t="inlineStr">
        <is>
          <t>288</t>
        </is>
      </c>
      <c r="E4829" t="inlineStr">
        <is>
          <t>1</t>
        </is>
      </c>
      <c r="F4829" t="inlineStr">
        <is>
          <t>24</t>
        </is>
      </c>
      <c r="G4829" t="inlineStr">
        <is>
          <t>12</t>
        </is>
      </c>
      <c r="H4829" t="inlineStr">
        <is>
          <t>0</t>
        </is>
      </c>
      <c r="I4829" t="inlineStr">
        <is>
          <t>24⁸, 48²</t>
        </is>
      </c>
      <c r="J4829" t="n">
        <v>10</v>
      </c>
      <c r="K4829" t="inlineStr">
        <is>
          <t>4², 8²</t>
        </is>
      </c>
      <c r="L4829" t="inlineStr">
        <is>
          <t>16P³, 24K⁷</t>
        </is>
      </c>
      <c r="M4829" t="inlineStr"/>
      <c r="N4829" t="inlineStr">
        <is>
          <t>24K⁷, 12C⁰, 8D⁰, 4C⁰, 8B⁰, 16P³, 8A⁰, 2B⁰, 24L², 8K⁰, 1A⁰, 8D¹, 8H¹, 24J³, 8H⁰, 24H⁴, 12A⁰, 24A¹, 24A⁰, 4A⁰, 24C¹, 12J¹, 4F⁰, 3A⁰, 6D⁰</t>
        </is>
      </c>
      <c r="O4829" t="inlineStr"/>
    </row>
    <row r="4830">
      <c r="A4830">
        <f>HYPERLINK("https://mathstats.uncg.edu/sites/pauli/congruence/csg17.html#group48T17", "48T¹⁷")</f>
        <v/>
      </c>
      <c r="B4830" t="n">
        <v>17</v>
      </c>
      <c r="C4830" t="inlineStr"/>
      <c r="D4830" t="inlineStr">
        <is>
          <t>288</t>
        </is>
      </c>
      <c r="E4830" t="inlineStr">
        <is>
          <t>1</t>
        </is>
      </c>
      <c r="F4830" t="inlineStr">
        <is>
          <t>24</t>
        </is>
      </c>
      <c r="G4830" t="inlineStr">
        <is>
          <t>12</t>
        </is>
      </c>
      <c r="H4830" t="inlineStr">
        <is>
          <t>0</t>
        </is>
      </c>
      <c r="I4830" t="inlineStr">
        <is>
          <t>24⁸, 48²</t>
        </is>
      </c>
      <c r="J4830" t="n">
        <v>10</v>
      </c>
      <c r="K4830" t="inlineStr">
        <is>
          <t>4², 8²</t>
        </is>
      </c>
      <c r="L4830" t="inlineStr">
        <is>
          <t>16Q³, 24K⁷, 48G⁸, 48H⁸</t>
        </is>
      </c>
      <c r="M4830" t="inlineStr"/>
      <c r="N4830" t="inlineStr">
        <is>
          <t>24K⁷, 12C⁰, 8D⁰, 4C⁰, 8B⁰, 8A⁰, 2B⁰, 48H⁸, 24L², 8K⁰, 1A⁰, 8D¹, 8H¹, 24J³, 8H⁰, 16L¹, 24H⁴, 12A⁰, 24A¹, 24A⁰, 4A⁰, 24C¹, 48G⁸, 12J¹, 4F⁰, 3A⁰, 16Q³, 16K¹, 6D⁰</t>
        </is>
      </c>
      <c r="O4830" t="inlineStr"/>
    </row>
    <row r="4831">
      <c r="A4831">
        <f>HYPERLINK("https://mathstats.uncg.edu/sites/pauli/congruence/csg17.html#group48U17", "48U¹⁷")</f>
        <v/>
      </c>
      <c r="B4831" t="n">
        <v>17</v>
      </c>
      <c r="C4831" t="inlineStr"/>
      <c r="D4831" t="inlineStr">
        <is>
          <t>288</t>
        </is>
      </c>
      <c r="E4831" t="inlineStr">
        <is>
          <t>1</t>
        </is>
      </c>
      <c r="F4831" t="inlineStr">
        <is>
          <t>36</t>
        </is>
      </c>
      <c r="G4831" t="inlineStr">
        <is>
          <t>0</t>
        </is>
      </c>
      <c r="H4831" t="inlineStr">
        <is>
          <t>0</t>
        </is>
      </c>
      <c r="I4831" t="inlineStr">
        <is>
          <t>6⁸, 12⁴, 48⁴</t>
        </is>
      </c>
      <c r="J4831" t="n">
        <v>16</v>
      </c>
      <c r="K4831" t="inlineStr">
        <is>
          <t>2⁴, 4⁷</t>
        </is>
      </c>
      <c r="L4831" t="inlineStr">
        <is>
          <t>24I⁷, 48W⁷, 48N⁹</t>
        </is>
      </c>
      <c r="M4831" t="inlineStr"/>
      <c r="N4831" t="inlineStr">
        <is>
          <t>24I⁴, 2A⁰, 24E¹, 12C⁰, 12K¹, 12D², 4C⁰, 48N⁹, 6C¹, 12B², 6G⁰, 12E², 2B⁰, 4E⁰, 4B⁰, 12G³, 1A⁰, 6B¹, 24N³, 24D², 24I⁷, 3C⁰, 12B¹, 24K³, 6A¹, 6H⁰, 3A⁰, 6E¹, 48W⁷, 6B⁰, 24N², 12L¹, 12C¹, 6A⁰, 24E⁴, 12D⁰, 12H⁰, 2C⁰, 6D⁰</t>
        </is>
      </c>
      <c r="O4831" t="inlineStr"/>
    </row>
    <row r="4832">
      <c r="A4832">
        <f>HYPERLINK("https://mathstats.uncg.edu/sites/pauli/congruence/csg17.html#group48V17", "48V¹⁷")</f>
        <v/>
      </c>
      <c r="B4832" t="n">
        <v>17</v>
      </c>
      <c r="C4832" t="inlineStr"/>
      <c r="D4832" t="inlineStr">
        <is>
          <t>288</t>
        </is>
      </c>
      <c r="E4832" t="inlineStr">
        <is>
          <t>1</t>
        </is>
      </c>
      <c r="F4832" t="inlineStr">
        <is>
          <t>36</t>
        </is>
      </c>
      <c r="G4832" t="inlineStr">
        <is>
          <t>0</t>
        </is>
      </c>
      <c r="H4832" t="inlineStr">
        <is>
          <t>0</t>
        </is>
      </c>
      <c r="I4832" t="inlineStr">
        <is>
          <t>6⁸, 12⁴, 48⁴</t>
        </is>
      </c>
      <c r="J4832" t="n">
        <v>16</v>
      </c>
      <c r="K4832" t="inlineStr">
        <is>
          <t>2⁴, 4⁷</t>
        </is>
      </c>
      <c r="L4832" t="inlineStr">
        <is>
          <t>24N⁷, 48W⁷, 48N⁹</t>
        </is>
      </c>
      <c r="M4832" t="inlineStr"/>
      <c r="N4832" t="inlineStr">
        <is>
          <t>24I⁴, 12K¹, 12D², 48N⁹, 6G⁰, 2B⁰, 8C⁰, 12N¹, 4B⁰, 1A⁰, 24B², 24D², 3C⁰, 12B¹, 24K³, 6H⁰, 3A⁰, 48W⁷, 6B⁰, 24N⁷, 24J⁴, 12C¹, 6E⁰, 6L⁰, 12E³, 12D⁰, 24L³, 12C², 6D⁰</t>
        </is>
      </c>
      <c r="O4832" t="inlineStr"/>
    </row>
    <row r="4833">
      <c r="A4833">
        <f>HYPERLINK("https://mathstats.uncg.edu/sites/pauli/congruence/csg17.html#group48W17", "48W¹⁷")</f>
        <v/>
      </c>
      <c r="B4833" t="n">
        <v>17</v>
      </c>
      <c r="C4833" t="inlineStr"/>
      <c r="D4833" t="inlineStr">
        <is>
          <t>288</t>
        </is>
      </c>
      <c r="E4833" t="inlineStr">
        <is>
          <t>1</t>
        </is>
      </c>
      <c r="F4833" t="inlineStr">
        <is>
          <t>36</t>
        </is>
      </c>
      <c r="G4833" t="inlineStr">
        <is>
          <t>0</t>
        </is>
      </c>
      <c r="H4833" t="inlineStr">
        <is>
          <t>0</t>
        </is>
      </c>
      <c r="I4833" t="inlineStr">
        <is>
          <t>6⁸, 12⁴, 48⁴</t>
        </is>
      </c>
      <c r="J4833" t="n">
        <v>16</v>
      </c>
      <c r="K4833" t="inlineStr">
        <is>
          <t>2⁸, 4³, 8¹</t>
        </is>
      </c>
      <c r="L4833" t="inlineStr">
        <is>
          <t>24E⁸, 48J⁸, 48L⁸, 48F⁹, 48AC⁹</t>
        </is>
      </c>
      <c r="M4833" t="inlineStr"/>
      <c r="N4833" t="inlineStr">
        <is>
          <t>6B⁰, 12D², 24J⁴, 8C⁰, 2B⁰, 4B⁰, 1A⁰, 48G⁴, 48AC⁹, 48B⁴, 24B², 48L⁸, 12C¹, 16C⁰, 24M⁴, 24D², 24E⁸, 12B¹, 48J⁸, 48F⁹, 6H⁰, 3A⁰, 6D⁰, 48B⁵</t>
        </is>
      </c>
      <c r="O4833" t="inlineStr"/>
    </row>
    <row r="4834">
      <c r="A4834">
        <f>HYPERLINK("https://mathstats.uncg.edu/sites/pauli/congruence/csg17.html#group48X17", "48X¹⁷")</f>
        <v/>
      </c>
      <c r="B4834" t="n">
        <v>17</v>
      </c>
      <c r="C4834" t="inlineStr"/>
      <c r="D4834" t="inlineStr">
        <is>
          <t>288</t>
        </is>
      </c>
      <c r="E4834" t="inlineStr">
        <is>
          <t>1</t>
        </is>
      </c>
      <c r="F4834" t="inlineStr">
        <is>
          <t>36</t>
        </is>
      </c>
      <c r="G4834" t="inlineStr">
        <is>
          <t>0</t>
        </is>
      </c>
      <c r="H4834" t="inlineStr">
        <is>
          <t>0</t>
        </is>
      </c>
      <c r="I4834" t="inlineStr">
        <is>
          <t>6⁸, 12⁴, 48⁴</t>
        </is>
      </c>
      <c r="J4834" t="n">
        <v>16</v>
      </c>
      <c r="K4834" t="inlineStr">
        <is>
          <t>2⁸, 4³, 8¹</t>
        </is>
      </c>
      <c r="L4834" t="inlineStr">
        <is>
          <t>24E⁸, 48L⁸, 48Y⁸, 48G⁹, 48Q⁹</t>
        </is>
      </c>
      <c r="M4834" t="inlineStr"/>
      <c r="N4834" t="inlineStr">
        <is>
          <t>48A⁵, 6B⁰, 48Q⁹, 12D², 24J⁴, 48F⁴, 16A¹, 48Y⁸, 8C⁰, 2B⁰, 4B⁰, 1A⁰, 48G⁴, 24B², 48L⁸, 12C¹, 24M⁴, 24D², 24E⁸, 12B¹, 48G⁹, 6H⁰, 3A⁰, 6D⁰</t>
        </is>
      </c>
      <c r="O4834" t="inlineStr"/>
    </row>
    <row r="4835">
      <c r="A4835">
        <f>HYPERLINK("https://mathstats.uncg.edu/sites/pauli/congruence/csg17.html#group48Y17", "48Y¹⁷")</f>
        <v/>
      </c>
      <c r="B4835" t="n">
        <v>17</v>
      </c>
      <c r="C4835" t="inlineStr"/>
      <c r="D4835" t="inlineStr">
        <is>
          <t>288</t>
        </is>
      </c>
      <c r="E4835" t="inlineStr">
        <is>
          <t>1</t>
        </is>
      </c>
      <c r="F4835" t="inlineStr">
        <is>
          <t>36</t>
        </is>
      </c>
      <c r="G4835" t="inlineStr">
        <is>
          <t>0</t>
        </is>
      </c>
      <c r="H4835" t="inlineStr">
        <is>
          <t>0</t>
        </is>
      </c>
      <c r="I4835" t="inlineStr">
        <is>
          <t>6⁸, 12⁴, 48⁴</t>
        </is>
      </c>
      <c r="J4835" t="n">
        <v>16</v>
      </c>
      <c r="K4835" t="inlineStr">
        <is>
          <t>1⁴, 2⁶, 4³, 8¹</t>
        </is>
      </c>
      <c r="L4835" t="inlineStr">
        <is>
          <t>24T⁷, 48X⁷, 48D⁹, 48Q⁹, 48AC⁹</t>
        </is>
      </c>
      <c r="M4835" t="inlineStr"/>
      <c r="N4835" t="inlineStr">
        <is>
          <t>48A⁵, 12K¹, 24T⁷, 48Q⁹, 6G⁰, 16A¹, 2B⁰, 48D⁹, 8C⁰, 4B⁰, 1A⁰, 48G⁴, 48AC⁹, 24B², 6D⁰, 24M⁴, 24D², 3C⁰, 12B¹, 12D⁰, 3A⁰, 24L³, 48X⁷, 48B⁵</t>
        </is>
      </c>
      <c r="O4835" t="inlineStr"/>
    </row>
    <row r="4836">
      <c r="A4836">
        <f>HYPERLINK("https://mathstats.uncg.edu/sites/pauli/congruence/csg17.html#group48Z17", "48Z¹⁷")</f>
        <v/>
      </c>
      <c r="B4836" t="n">
        <v>17</v>
      </c>
      <c r="C4836" t="inlineStr"/>
      <c r="D4836" t="inlineStr">
        <is>
          <t>288</t>
        </is>
      </c>
      <c r="E4836" t="inlineStr">
        <is>
          <t>1</t>
        </is>
      </c>
      <c r="F4836" t="inlineStr">
        <is>
          <t>36</t>
        </is>
      </c>
      <c r="G4836" t="inlineStr">
        <is>
          <t>0</t>
        </is>
      </c>
      <c r="H4836" t="inlineStr">
        <is>
          <t>0</t>
        </is>
      </c>
      <c r="I4836" t="inlineStr">
        <is>
          <t>6⁸, 12⁴, 48⁴</t>
        </is>
      </c>
      <c r="J4836" t="n">
        <v>16</v>
      </c>
      <c r="K4836" t="inlineStr">
        <is>
          <t>1⁴, 2⁶, 4³, 8¹</t>
        </is>
      </c>
      <c r="L4836" t="inlineStr">
        <is>
          <t>24T⁷, 48Y⁷, 48C⁹, 48P⁹, 48AC⁹</t>
        </is>
      </c>
      <c r="M4836" t="inlineStr"/>
      <c r="N4836" t="inlineStr">
        <is>
          <t>12K¹, 24T⁷, 6G⁰, 2B⁰, 8C⁰, 4B⁰, 1A⁰, 48G⁴, 48AC⁹, 48Y⁷, 24B², 48P⁹, 48C⁹, 16D⁰, 24M⁴, 24D², 3C⁰, 12B¹, 12D⁰, 3A⁰, 24L³, 6D⁰, 48D⁴, 48B⁵</t>
        </is>
      </c>
      <c r="O4836" t="inlineStr"/>
    </row>
    <row r="4837">
      <c r="A4837">
        <f>HYPERLINK("https://mathstats.uncg.edu/sites/pauli/congruence/csg17.html#group48AA17", "48AA¹⁷")</f>
        <v/>
      </c>
      <c r="B4837" t="n">
        <v>17</v>
      </c>
      <c r="C4837" t="inlineStr"/>
      <c r="D4837" t="inlineStr">
        <is>
          <t>288</t>
        </is>
      </c>
      <c r="E4837" t="inlineStr">
        <is>
          <t>1</t>
        </is>
      </c>
      <c r="F4837" t="inlineStr">
        <is>
          <t>36</t>
        </is>
      </c>
      <c r="G4837" t="inlineStr">
        <is>
          <t>0</t>
        </is>
      </c>
      <c r="H4837" t="inlineStr">
        <is>
          <t>0</t>
        </is>
      </c>
      <c r="I4837" t="inlineStr">
        <is>
          <t>6⁸, 12⁴, 48⁴</t>
        </is>
      </c>
      <c r="J4837" t="n">
        <v>16</v>
      </c>
      <c r="K4837" t="inlineStr">
        <is>
          <t>1⁴, 2⁶, 4³, 8¹</t>
        </is>
      </c>
      <c r="L4837" t="inlineStr">
        <is>
          <t>24U⁷, 48X⁷, 48C⁹, 48O⁹, 48AC⁹</t>
        </is>
      </c>
      <c r="M4837" t="inlineStr"/>
      <c r="N4837" t="inlineStr">
        <is>
          <t>24U⁷, 24F⁴, 12K¹, 6G⁰, 2B⁰, 8C⁰, 8I⁰, 4B⁰, 1A⁰, 48G⁴, 48AC⁹, 24B², 48C⁹, 6D⁰, 24M⁴, 24D², 48O⁹, 3C⁰, 12B¹, 12D⁰, 3A⁰, 24L³, 48X⁷, 48B⁵</t>
        </is>
      </c>
      <c r="O4837" t="inlineStr"/>
    </row>
    <row r="4838">
      <c r="A4838">
        <f>HYPERLINK("https://mathstats.uncg.edu/sites/pauli/congruence/csg17.html#group48AB17", "48AB¹⁷")</f>
        <v/>
      </c>
      <c r="B4838" t="n">
        <v>17</v>
      </c>
      <c r="C4838" t="inlineStr"/>
      <c r="D4838" t="inlineStr">
        <is>
          <t>288</t>
        </is>
      </c>
      <c r="E4838" t="inlineStr">
        <is>
          <t>1</t>
        </is>
      </c>
      <c r="F4838" t="inlineStr">
        <is>
          <t>36</t>
        </is>
      </c>
      <c r="G4838" t="inlineStr">
        <is>
          <t>0</t>
        </is>
      </c>
      <c r="H4838" t="inlineStr">
        <is>
          <t>0</t>
        </is>
      </c>
      <c r="I4838" t="inlineStr">
        <is>
          <t>6⁸, 12⁴, 48⁴</t>
        </is>
      </c>
      <c r="J4838" t="n">
        <v>16</v>
      </c>
      <c r="K4838" t="inlineStr">
        <is>
          <t>1⁴, 2⁶, 4³, 8¹</t>
        </is>
      </c>
      <c r="L4838" t="inlineStr">
        <is>
          <t>24U⁷, 48Y⁷, 48B⁹, 48D⁹, 48O⁹, 48P⁹, 48Q⁹</t>
        </is>
      </c>
      <c r="M4838" t="inlineStr"/>
      <c r="N4838" t="inlineStr">
        <is>
          <t>24U⁷, 24F⁴, 48A⁵, 12K¹, 48B⁹, 48Q⁹, 6G⁰, 16A¹, 2B⁰, 48D⁹, 8C⁰, 8I⁰, 4B⁰, 1A⁰, 48G⁴, 48Y⁷, 24B², 48P⁹, 16G¹, 16D⁰, 24M⁴, 24D², 48O⁹, 3C⁰, 12B¹, 12D⁰, 3A⁰, 24L³, 6D⁰, 48D⁴, 48B⁵</t>
        </is>
      </c>
      <c r="O4838" t="inlineStr"/>
    </row>
    <row r="4839">
      <c r="A4839">
        <f>HYPERLINK("https://mathstats.uncg.edu/sites/pauli/congruence/csg17.html#group48AC17", "48AC¹⁷")</f>
        <v/>
      </c>
      <c r="B4839" t="n">
        <v>17</v>
      </c>
      <c r="C4839" t="inlineStr"/>
      <c r="D4839" t="inlineStr">
        <is>
          <t>288</t>
        </is>
      </c>
      <c r="E4839" t="inlineStr">
        <is>
          <t>1</t>
        </is>
      </c>
      <c r="F4839" t="inlineStr">
        <is>
          <t>36</t>
        </is>
      </c>
      <c r="G4839" t="inlineStr">
        <is>
          <t>0</t>
        </is>
      </c>
      <c r="H4839" t="inlineStr">
        <is>
          <t>0</t>
        </is>
      </c>
      <c r="I4839" t="inlineStr">
        <is>
          <t>6⁸, 12⁴, 48⁴</t>
        </is>
      </c>
      <c r="J4839" t="n">
        <v>16</v>
      </c>
      <c r="K4839" t="inlineStr">
        <is>
          <t>1⁴, 2⁶, 4³, 8¹</t>
        </is>
      </c>
      <c r="L4839" t="inlineStr">
        <is>
          <t>24F⁸, 48E⁸, 48J⁸, 48M⁸, 48F⁹, 48O⁹, 48P⁹</t>
        </is>
      </c>
      <c r="M4839" t="inlineStr"/>
      <c r="N4839" t="inlineStr">
        <is>
          <t>24F⁴, 6B⁰, 12D², 24J⁴, 8C⁰, 2B⁰, 8I⁰, 4B⁰, 1A⁰, 48G⁴, 48B⁴, 16H⁰, 24B², 48P⁹, 12C¹, 48E⁸, 24F⁸, 16D⁰, 24M⁴, 16C⁰, 48M⁸, 48O⁹, 24D², 12B¹, 48J⁸, 48F⁹, 6H⁰, 3A⁰, 6D⁰, 48D⁴, 48B⁵</t>
        </is>
      </c>
      <c r="O4839" t="inlineStr"/>
    </row>
    <row r="4840">
      <c r="A4840">
        <f>HYPERLINK("https://mathstats.uncg.edu/sites/pauli/congruence/csg17.html#group48AD17", "48AD¹⁷")</f>
        <v/>
      </c>
      <c r="B4840" t="n">
        <v>17</v>
      </c>
      <c r="C4840" t="inlineStr"/>
      <c r="D4840" t="inlineStr">
        <is>
          <t>288</t>
        </is>
      </c>
      <c r="E4840" t="inlineStr">
        <is>
          <t>1</t>
        </is>
      </c>
      <c r="F4840" t="inlineStr">
        <is>
          <t>36</t>
        </is>
      </c>
      <c r="G4840" t="inlineStr">
        <is>
          <t>0</t>
        </is>
      </c>
      <c r="H4840" t="inlineStr">
        <is>
          <t>0</t>
        </is>
      </c>
      <c r="I4840" t="inlineStr">
        <is>
          <t>6⁸, 12⁴, 48⁴</t>
        </is>
      </c>
      <c r="J4840" t="n">
        <v>16</v>
      </c>
      <c r="K4840" t="inlineStr">
        <is>
          <t>1⁴, 2⁶, 4³, 8¹</t>
        </is>
      </c>
      <c r="L4840" t="inlineStr">
        <is>
          <t>24F⁸, 48I⁸, 48K⁸, 48M⁸, 48B⁹, 48G⁹, 48Q⁹</t>
        </is>
      </c>
      <c r="M4840" t="inlineStr"/>
      <c r="N4840" t="inlineStr">
        <is>
          <t>48A⁵, 48I⁸, 24F⁴, 6B⁰, 48B⁹, 48Q⁹, 48K⁸, 12D², 24J⁴, 48F⁴, 16A¹, 8C⁰, 2B⁰, 8I⁰, 4B⁰, 1A⁰, 48G⁴, 24B², 12C¹, 16G¹, 24F⁸, 16D⁰, 24M⁴, 24D², 48M⁸, 12B¹, 48G⁹, 6H⁰, 3A⁰, 6D⁰, 48D⁴</t>
        </is>
      </c>
      <c r="O4840" t="inlineStr"/>
    </row>
    <row r="4841">
      <c r="A4841">
        <f>HYPERLINK("https://mathstats.uncg.edu/sites/pauli/congruence/csg17.html#group48AE17", "48AE¹⁷")</f>
        <v/>
      </c>
      <c r="B4841" t="n">
        <v>17</v>
      </c>
      <c r="C4841" t="inlineStr"/>
      <c r="D4841" t="inlineStr">
        <is>
          <t>288</t>
        </is>
      </c>
      <c r="E4841" t="inlineStr">
        <is>
          <t>1</t>
        </is>
      </c>
      <c r="F4841" t="inlineStr">
        <is>
          <t>36</t>
        </is>
      </c>
      <c r="G4841" t="inlineStr">
        <is>
          <t>8</t>
        </is>
      </c>
      <c r="H4841" t="inlineStr">
        <is>
          <t>0</t>
        </is>
      </c>
      <c r="I4841" t="inlineStr">
        <is>
          <t>12⁸, 48⁴</t>
        </is>
      </c>
      <c r="J4841" t="n">
        <v>12</v>
      </c>
      <c r="K4841" t="inlineStr">
        <is>
          <t>2², 4⁴, 8²</t>
        </is>
      </c>
      <c r="L4841" t="inlineStr">
        <is>
          <t>24R⁷, 48AB⁷</t>
        </is>
      </c>
      <c r="M4841" t="inlineStr"/>
      <c r="N4841" t="inlineStr">
        <is>
          <t>24E¹, 12C⁰, 4C⁰, 24I³, 6G⁰, 24P², 2B⁰, 12M¹, 24C², 1A⁰, 24O³, 24R⁷, 24A⁰, 3C⁰, 3A⁰, 12G¹, 8D⁰, 8B⁰, 24L², 12L¹, 12J³, 8H⁰, 48AB⁷, 12A⁰, 12C¹, 4A⁰, 24K⁴, 24C¹, 12J¹, 4F⁰, 24L⁴, 6D⁰</t>
        </is>
      </c>
      <c r="O4841" t="inlineStr"/>
    </row>
    <row r="4842">
      <c r="A4842">
        <f>HYPERLINK("https://mathstats.uncg.edu/sites/pauli/congruence/csg17.html#group48AF17", "48AF¹⁷")</f>
        <v/>
      </c>
      <c r="B4842" t="n">
        <v>17</v>
      </c>
      <c r="C4842" t="inlineStr"/>
      <c r="D4842" t="inlineStr">
        <is>
          <t>288</t>
        </is>
      </c>
      <c r="E4842" t="inlineStr">
        <is>
          <t>1</t>
        </is>
      </c>
      <c r="F4842" t="inlineStr">
        <is>
          <t>36</t>
        </is>
      </c>
      <c r="G4842" t="inlineStr">
        <is>
          <t>8</t>
        </is>
      </c>
      <c r="H4842" t="inlineStr">
        <is>
          <t>0</t>
        </is>
      </c>
      <c r="I4842" t="inlineStr">
        <is>
          <t>12⁸, 48⁴</t>
        </is>
      </c>
      <c r="J4842" t="n">
        <v>12</v>
      </c>
      <c r="K4842" t="inlineStr">
        <is>
          <t>2², 4⁴, 8²</t>
        </is>
      </c>
      <c r="L4842" t="inlineStr">
        <is>
          <t>24R⁷, 48O⁷, 48AB⁷</t>
        </is>
      </c>
      <c r="M4842" t="inlineStr"/>
      <c r="N4842" t="inlineStr">
        <is>
          <t>24E¹, 12C⁰, 4C⁰, 24I³, 6G⁰, 24P², 2B⁰, 12M¹, 24C², 1A⁰, 24O³, 24R⁷, 24A⁰, 3C⁰, 3A⁰, 16H¹, 12G¹, 8D⁰, 8B⁰, 24L², 12L¹, 12J³, 8H⁰, 48AB⁷, 12A⁰, 12C¹, 4A⁰, 24K⁴, 24C¹, 12J¹, 4F⁰, 48O⁷, 24L⁴, 6D⁰</t>
        </is>
      </c>
      <c r="O4842" t="inlineStr"/>
    </row>
    <row r="4843">
      <c r="A4843">
        <f>HYPERLINK("https://mathstats.uncg.edu/sites/pauli/congruence/csg17.html#group48AG17", "48AG¹⁷")</f>
        <v/>
      </c>
      <c r="B4843" t="n">
        <v>17</v>
      </c>
      <c r="C4843" t="inlineStr"/>
      <c r="D4843" t="inlineStr">
        <is>
          <t>288</t>
        </is>
      </c>
      <c r="E4843" t="inlineStr">
        <is>
          <t>1</t>
        </is>
      </c>
      <c r="F4843" t="inlineStr">
        <is>
          <t>36</t>
        </is>
      </c>
      <c r="G4843" t="inlineStr">
        <is>
          <t>8</t>
        </is>
      </c>
      <c r="H4843" t="inlineStr">
        <is>
          <t>0</t>
        </is>
      </c>
      <c r="I4843" t="inlineStr">
        <is>
          <t>12⁸, 48⁴</t>
        </is>
      </c>
      <c r="J4843" t="n">
        <v>12</v>
      </c>
      <c r="K4843" t="inlineStr">
        <is>
          <t>2⁴, 4³, 8²</t>
        </is>
      </c>
      <c r="L4843" t="inlineStr">
        <is>
          <t>24U⁵, 48W⁸</t>
        </is>
      </c>
      <c r="M4843" t="inlineStr"/>
      <c r="N4843" t="inlineStr">
        <is>
          <t>12T¹, 24O², 24E¹, 12C⁰, 4C⁰, 6G⁰, 2B⁰, 12N¹, 1A⁰, 24O³, 24N³, 24U⁵, 3C⁰, 6H⁰, 3A⁰, 6B⁰, 24N², 8D⁰, 48W⁸, 12L¹, 12G⁰, 12C¹, 6E⁰, 6L⁰, 24C¹, 12D⁰, 12H⁰, 6D⁰</t>
        </is>
      </c>
      <c r="O4843" t="inlineStr"/>
    </row>
    <row r="4844">
      <c r="A4844">
        <f>HYPERLINK("https://mathstats.uncg.edu/sites/pauli/congruence/csg17.html#group48AH17", "48AH¹⁷")</f>
        <v/>
      </c>
      <c r="B4844" t="n">
        <v>17</v>
      </c>
      <c r="C4844" t="inlineStr"/>
      <c r="D4844" t="inlineStr">
        <is>
          <t>288</t>
        </is>
      </c>
      <c r="E4844" t="inlineStr">
        <is>
          <t>1</t>
        </is>
      </c>
      <c r="F4844" t="inlineStr">
        <is>
          <t>36</t>
        </is>
      </c>
      <c r="G4844" t="inlineStr">
        <is>
          <t>8</t>
        </is>
      </c>
      <c r="H4844" t="inlineStr">
        <is>
          <t>0</t>
        </is>
      </c>
      <c r="I4844" t="inlineStr">
        <is>
          <t>12⁸, 48⁴</t>
        </is>
      </c>
      <c r="J4844" t="n">
        <v>12</v>
      </c>
      <c r="K4844" t="inlineStr">
        <is>
          <t>1², 2³, 4³, 8²</t>
        </is>
      </c>
      <c r="L4844" t="inlineStr">
        <is>
          <t>24U⁵, 48N⁸, 48O⁸, 48R⁹, 48S⁹</t>
        </is>
      </c>
      <c r="M4844" t="inlineStr"/>
      <c r="N4844" t="inlineStr">
        <is>
          <t>12T¹, 24O², 24E¹, 12C⁰, 48O⁸, 4C⁰, 6G⁰, 2B⁰, 12N¹, 1A⁰, 24O³, 48E⁴, 24N³, 48S⁹, 24U⁵, 3C⁰, 48N⁸, 6H⁰, 3A⁰, 48R⁹, 6B⁰, 24N², 48H⁴, 8D⁰, 12L¹, 12G⁰, 12C¹, 6E⁰, 6L⁰, 16C¹, 24C¹, 12D⁰, 12H⁰, 6D⁰</t>
        </is>
      </c>
      <c r="O4844" t="inlineStr"/>
    </row>
    <row r="4845">
      <c r="A4845">
        <f>HYPERLINK("https://mathstats.uncg.edu/sites/pauli/congruence/csg17.html#group48AI17", "48AI¹⁷")</f>
        <v/>
      </c>
      <c r="B4845" t="n">
        <v>17</v>
      </c>
      <c r="C4845" t="inlineStr"/>
      <c r="D4845" t="inlineStr">
        <is>
          <t>288</t>
        </is>
      </c>
      <c r="E4845" t="inlineStr">
        <is>
          <t>1</t>
        </is>
      </c>
      <c r="F4845" t="inlineStr">
        <is>
          <t>36</t>
        </is>
      </c>
      <c r="G4845" t="inlineStr">
        <is>
          <t>8</t>
        </is>
      </c>
      <c r="H4845" t="inlineStr">
        <is>
          <t>0</t>
        </is>
      </c>
      <c r="I4845" t="inlineStr">
        <is>
          <t>12⁸, 48⁴</t>
        </is>
      </c>
      <c r="J4845" t="n">
        <v>12</v>
      </c>
      <c r="K4845" t="inlineStr">
        <is>
          <t>1², 2³, 4³, 8²</t>
        </is>
      </c>
      <c r="L4845" t="inlineStr">
        <is>
          <t>24P⁷, 48Z⁷, 48Q⁸, 48Z⁸, 48S⁹</t>
        </is>
      </c>
      <c r="M4845" t="inlineStr"/>
      <c r="N4845" t="inlineStr">
        <is>
          <t>24Q³, 24E¹, 24P⁷, 12C⁰, 48G³, 8D⁰, 48H⁴, 48Z⁸, 4C⁰, 24D¹, 6G⁰, 12M¹, 2B⁰, 48Z⁷, 48Q⁸, 1A⁰, 24O³, 12L¹, 48E⁴, 12C¹, 24H³, 12I³, 48S⁹, 16C¹, 24T³, 24C¹, 3C⁰, 3A⁰, 6D⁰</t>
        </is>
      </c>
      <c r="O4845" t="inlineStr"/>
    </row>
    <row r="4846">
      <c r="A4846">
        <f>HYPERLINK("https://mathstats.uncg.edu/sites/pauli/congruence/csg17.html#group48AJ17", "48AJ¹⁷")</f>
        <v/>
      </c>
      <c r="B4846" t="n">
        <v>17</v>
      </c>
      <c r="C4846" t="inlineStr"/>
      <c r="D4846" t="inlineStr">
        <is>
          <t>288</t>
        </is>
      </c>
      <c r="E4846" t="inlineStr">
        <is>
          <t>1</t>
        </is>
      </c>
      <c r="F4846" t="inlineStr">
        <is>
          <t>36</t>
        </is>
      </c>
      <c r="G4846" t="inlineStr">
        <is>
          <t>8</t>
        </is>
      </c>
      <c r="H4846" t="inlineStr">
        <is>
          <t>0</t>
        </is>
      </c>
      <c r="I4846" t="inlineStr">
        <is>
          <t>12⁸, 48⁴</t>
        </is>
      </c>
      <c r="J4846" t="n">
        <v>12</v>
      </c>
      <c r="K4846" t="inlineStr">
        <is>
          <t>1², 2³, 4³, 8²</t>
        </is>
      </c>
      <c r="L4846" t="inlineStr">
        <is>
          <t>24P⁷, 48AA⁷, 48P⁸, 48Z⁸, 48R⁹</t>
        </is>
      </c>
      <c r="M4846" t="inlineStr"/>
      <c r="N4846" t="inlineStr">
        <is>
          <t>24Q³, 24E¹, 24P⁷, 12C⁰, 3A⁰, 48G³, 8D⁰, 48H⁴, 48Z⁸, 4C⁰, 24D¹, 6G⁰, 12M¹, 2B⁰, 48P⁸, 1A⁰, 24O³, 12L¹, 16E⁰, 12C¹, 24H³, 12I³, 6D⁰, 24T³, 24C¹, 3C⁰, 48D³, 48AA⁷, 48R⁹</t>
        </is>
      </c>
      <c r="O4846" t="inlineStr"/>
    </row>
    <row r="4847">
      <c r="A4847">
        <f>HYPERLINK("https://mathstats.uncg.edu/sites/pauli/congruence/csg17.html#group48AK17", "48AK¹⁷")</f>
        <v/>
      </c>
      <c r="B4847" t="n">
        <v>17</v>
      </c>
      <c r="C4847" t="inlineStr"/>
      <c r="D4847" t="inlineStr">
        <is>
          <t>288</t>
        </is>
      </c>
      <c r="E4847" t="inlineStr">
        <is>
          <t>1</t>
        </is>
      </c>
      <c r="F4847" t="inlineStr">
        <is>
          <t>36</t>
        </is>
      </c>
      <c r="G4847" t="inlineStr">
        <is>
          <t>8</t>
        </is>
      </c>
      <c r="H4847" t="inlineStr">
        <is>
          <t>0</t>
        </is>
      </c>
      <c r="I4847" t="inlineStr">
        <is>
          <t>12⁸, 48⁴</t>
        </is>
      </c>
      <c r="J4847" t="n">
        <v>12</v>
      </c>
      <c r="K4847" t="inlineStr">
        <is>
          <t>1², 2³, 4³, 8²</t>
        </is>
      </c>
      <c r="L4847" t="inlineStr">
        <is>
          <t>24R⁷, 48Z⁷, 48AC⁷, 48R⁹, 48AD⁹</t>
        </is>
      </c>
      <c r="M4847" t="inlineStr"/>
      <c r="N4847" t="inlineStr">
        <is>
          <t>48AD⁹, 24E¹, 12C⁰, 48G³, 48AC⁷, 4C⁰, 24I³, 6G⁰, 24P², 2B⁰, 12M¹, 24C², 1A⁰, 24O³, 24R⁷, 24A⁰, 3C⁰, 3A⁰, 48R⁹, 12G¹, 48H⁴, 8D⁰, 8B⁰, 24L², 48Z⁷, 12L¹, 12J³, 8H⁰, 12A⁰, 12C¹, 4A⁰, 24K⁴, 24C¹, 12J¹, 4F⁰, 24L⁴, 6D⁰</t>
        </is>
      </c>
      <c r="O4847" t="inlineStr"/>
    </row>
    <row r="4848">
      <c r="A4848">
        <f>HYPERLINK("https://mathstats.uncg.edu/sites/pauli/congruence/csg17.html#group48AL17", "48AL¹⁷")</f>
        <v/>
      </c>
      <c r="B4848" t="n">
        <v>17</v>
      </c>
      <c r="C4848" t="inlineStr"/>
      <c r="D4848" t="inlineStr">
        <is>
          <t>288</t>
        </is>
      </c>
      <c r="E4848" t="inlineStr">
        <is>
          <t>1</t>
        </is>
      </c>
      <c r="F4848" t="inlineStr">
        <is>
          <t>36</t>
        </is>
      </c>
      <c r="G4848" t="inlineStr">
        <is>
          <t>8</t>
        </is>
      </c>
      <c r="H4848" t="inlineStr">
        <is>
          <t>0</t>
        </is>
      </c>
      <c r="I4848" t="inlineStr">
        <is>
          <t>12⁸, 48⁴</t>
        </is>
      </c>
      <c r="J4848" t="n">
        <v>12</v>
      </c>
      <c r="K4848" t="inlineStr">
        <is>
          <t>1², 2³, 4³, 8²</t>
        </is>
      </c>
      <c r="L4848" t="inlineStr">
        <is>
          <t>24R⁷, 48P⁷, 48AA⁷, 48AC⁷, 48S⁹, 48T⁹, 48U⁹</t>
        </is>
      </c>
      <c r="M4848" t="inlineStr"/>
      <c r="N4848" t="inlineStr">
        <is>
          <t>24E¹, 12C⁰, 48G³, 16I¹, 48AC⁷, 4C⁰, 48P⁷, 24I³, 6G⁰, 24P², 2B⁰, 12M¹, 24C², 1A⁰, 24O³, 16E⁰, 24R⁷, 48E⁴, 24A⁰, 48S⁹, 3C⁰, 48D³, 3A⁰, 12G¹, 48T⁹, 48H⁴, 8D⁰, 8B⁰, 48U⁹, 24L², 12L¹, 12J³, 8H⁰, 12A⁰, 12C¹, 4A⁰, 16C¹, 24K⁴, 24C¹, 12J¹, 4F⁰, 48AA⁷, 24L⁴, 6D⁰</t>
        </is>
      </c>
      <c r="O4848" t="inlineStr"/>
    </row>
    <row r="4849">
      <c r="A4849">
        <f>HYPERLINK("https://mathstats.uncg.edu/sites/pauli/congruence/csg17.html#group48AM17", "48AM¹⁷")</f>
        <v/>
      </c>
      <c r="B4849" t="n">
        <v>17</v>
      </c>
      <c r="C4849" t="inlineStr"/>
      <c r="D4849" t="inlineStr">
        <is>
          <t>288</t>
        </is>
      </c>
      <c r="E4849" t="inlineStr">
        <is>
          <t>1</t>
        </is>
      </c>
      <c r="F4849" t="inlineStr">
        <is>
          <t>36</t>
        </is>
      </c>
      <c r="G4849" t="inlineStr">
        <is>
          <t>16</t>
        </is>
      </c>
      <c r="H4849" t="inlineStr">
        <is>
          <t>0</t>
        </is>
      </c>
      <c r="I4849" t="inlineStr">
        <is>
          <t>24⁴, 48⁴</t>
        </is>
      </c>
      <c r="J4849" t="n">
        <v>8</v>
      </c>
      <c r="K4849" t="inlineStr">
        <is>
          <t>2², 4⁴, 8²</t>
        </is>
      </c>
      <c r="L4849" t="inlineStr">
        <is>
          <t>24K⁷, 48U⁷, 48AB⁷</t>
        </is>
      </c>
      <c r="M4849" t="inlineStr"/>
      <c r="N4849" t="inlineStr">
        <is>
          <t>24K⁷, 12C⁰, 8D⁰, 4C⁰, 8B⁰, 8A⁰, 2B⁰, 24L², 8K⁰, 1A⁰, 8D¹, 8H¹, 24J³, 8H⁰, 48AB⁷, 24H⁴, 12A⁰, 24A¹, 24A⁰, 4A⁰, 6D⁰, 24C¹, 48A², 12J¹, 4F⁰, 48F³, 3A⁰, 48U⁷</t>
        </is>
      </c>
      <c r="O4849" t="inlineStr"/>
    </row>
    <row r="4850">
      <c r="A4850">
        <f>HYPERLINK("https://mathstats.uncg.edu/sites/pauli/congruence/csg17.html#group48AN17", "48AN¹⁷")</f>
        <v/>
      </c>
      <c r="B4850" t="n">
        <v>17</v>
      </c>
      <c r="C4850" t="inlineStr"/>
      <c r="D4850" t="inlineStr">
        <is>
          <t>288</t>
        </is>
      </c>
      <c r="E4850" t="inlineStr">
        <is>
          <t>1</t>
        </is>
      </c>
      <c r="F4850" t="inlineStr">
        <is>
          <t>36</t>
        </is>
      </c>
      <c r="G4850" t="inlineStr">
        <is>
          <t>16</t>
        </is>
      </c>
      <c r="H4850" t="inlineStr">
        <is>
          <t>0</t>
        </is>
      </c>
      <c r="I4850" t="inlineStr">
        <is>
          <t>24⁴, 48⁴</t>
        </is>
      </c>
      <c r="J4850" t="n">
        <v>8</v>
      </c>
      <c r="K4850" t="inlineStr">
        <is>
          <t>2², 4⁴, 8²</t>
        </is>
      </c>
      <c r="L4850" t="inlineStr">
        <is>
          <t>24AB⁷, 48O⁷, 48U⁷</t>
        </is>
      </c>
      <c r="M4850" t="inlineStr"/>
      <c r="N4850" t="inlineStr">
        <is>
          <t>24O⁴, 12C⁰, 8D⁰, 4C⁰, 8B⁰, 2B⁰, 24B¹, 24L², 1A⁰, 8H⁰, 12A⁰, 24A⁰, 4A⁰, 6D⁰, 24C¹, 48A², 48F³, 24AB⁷, 12J¹, 4F⁰, 24R³, 3A⁰, 48O⁷, 16H¹, 48U⁷</t>
        </is>
      </c>
      <c r="O4850" t="inlineStr"/>
    </row>
    <row r="4851">
      <c r="A4851">
        <f>HYPERLINK("https://mathstats.uncg.edu/sites/pauli/congruence/csg17.html#group48AO17", "48AO¹⁷")</f>
        <v/>
      </c>
      <c r="B4851" t="n">
        <v>17</v>
      </c>
      <c r="C4851" t="inlineStr"/>
      <c r="D4851" t="inlineStr">
        <is>
          <t>288</t>
        </is>
      </c>
      <c r="E4851" t="inlineStr">
        <is>
          <t>1</t>
        </is>
      </c>
      <c r="F4851" t="inlineStr">
        <is>
          <t>36</t>
        </is>
      </c>
      <c r="G4851" t="inlineStr">
        <is>
          <t>16</t>
        </is>
      </c>
      <c r="H4851" t="inlineStr">
        <is>
          <t>0</t>
        </is>
      </c>
      <c r="I4851" t="inlineStr">
        <is>
          <t>24⁴, 48⁴</t>
        </is>
      </c>
      <c r="J4851" t="n">
        <v>8</v>
      </c>
      <c r="K4851" t="inlineStr">
        <is>
          <t>1², 2³, 4³, 8²</t>
        </is>
      </c>
      <c r="L4851" t="inlineStr">
        <is>
          <t>24L⁷, 48U⁷, 48AC⁷</t>
        </is>
      </c>
      <c r="M4851" t="inlineStr"/>
      <c r="N4851" t="inlineStr">
        <is>
          <t>12C⁰, 48G³, 48AC⁷, 48H⁴, 8D⁰, 4C⁰, 8B⁰, 2B⁰, 24L², 1A⁰, 8H⁰, 24F¹, 12A⁰, 8F⁰, 24A⁰, 4A⁰, 8I¹, 6D⁰, 24C¹, 48A², 24L⁷, 12J¹, 4F⁰, 48F³, 3A⁰, 48U⁷</t>
        </is>
      </c>
      <c r="O4851" t="inlineStr"/>
    </row>
    <row r="4852">
      <c r="A4852">
        <f>HYPERLINK("https://mathstats.uncg.edu/sites/pauli/congruence/csg17.html#group48AP17", "48AP¹⁷")</f>
        <v/>
      </c>
      <c r="B4852" t="n">
        <v>17</v>
      </c>
      <c r="C4852" t="inlineStr"/>
      <c r="D4852" t="inlineStr">
        <is>
          <t>288</t>
        </is>
      </c>
      <c r="E4852" t="inlineStr">
        <is>
          <t>1</t>
        </is>
      </c>
      <c r="F4852" t="inlineStr">
        <is>
          <t>36</t>
        </is>
      </c>
      <c r="G4852" t="inlineStr">
        <is>
          <t>16</t>
        </is>
      </c>
      <c r="H4852" t="inlineStr">
        <is>
          <t>0</t>
        </is>
      </c>
      <c r="I4852" t="inlineStr">
        <is>
          <t>24⁴, 48⁴</t>
        </is>
      </c>
      <c r="J4852" t="n">
        <v>8</v>
      </c>
      <c r="K4852" t="inlineStr">
        <is>
          <t>1², 2³, 4³, 8²</t>
        </is>
      </c>
      <c r="L4852" t="inlineStr">
        <is>
          <t>24AC⁷, 48P⁷, 48U⁷</t>
        </is>
      </c>
      <c r="M4852" t="inlineStr"/>
      <c r="N4852" t="inlineStr">
        <is>
          <t>12C⁰, 24AC⁷, 16I¹, 8D⁰, 4C⁰, 48P⁷, 8B⁰, 2B⁰, 24L², 1A⁰, 8H⁰, 16E⁰, 12A⁰, 48E⁴, 24A⁰, 4A⁰, 16C¹, 6D⁰, 24C¹, 48A², 48F³, 12J¹, 48D³, 4F⁰, 3A⁰, 48U⁷</t>
        </is>
      </c>
      <c r="O4852" t="inlineStr"/>
    </row>
    <row r="4853">
      <c r="A4853">
        <f>HYPERLINK("https://mathstats.uncg.edu/sites/pauli/congruence/csg17.html#group48AQ17", "48AQ¹⁷")</f>
        <v/>
      </c>
      <c r="B4853" t="n">
        <v>17</v>
      </c>
      <c r="C4853" t="inlineStr"/>
      <c r="D4853" t="inlineStr">
        <is>
          <t>288</t>
        </is>
      </c>
      <c r="E4853" t="inlineStr">
        <is>
          <t>1</t>
        </is>
      </c>
      <c r="F4853" t="inlineStr">
        <is>
          <t>36</t>
        </is>
      </c>
      <c r="G4853" t="inlineStr">
        <is>
          <t>16</t>
        </is>
      </c>
      <c r="H4853" t="inlineStr">
        <is>
          <t>0</t>
        </is>
      </c>
      <c r="I4853" t="inlineStr">
        <is>
          <t>24⁴, 48⁴</t>
        </is>
      </c>
      <c r="J4853" t="n">
        <v>8</v>
      </c>
      <c r="K4853" t="inlineStr">
        <is>
          <t>2², 4⁸</t>
        </is>
      </c>
      <c r="L4853" t="inlineStr">
        <is>
          <t>24W⁵, 48AD⁷, 48R⁸, 48S⁸, 48T⁸</t>
        </is>
      </c>
      <c r="M4853" t="inlineStr"/>
      <c r="N4853" t="inlineStr">
        <is>
          <t>12I², 24E¹, 24O², 24Q³, 12C⁰, 48R⁸, 4C⁰, 24P², 2B⁰, 12M¹, 24P³, 1A⁰, 24W⁵, 48H³, 48S⁸, 24A⁰, 6H⁰, 3A⁰, 24H¹, 6B⁰, 8D⁰, 24D¹, 8B⁰, 48T⁸, 12F⁰, 24L², 48AD⁷, 8H⁰, 12A⁰, 4A⁰, 24C¹, 12J¹, 12D⁰, 4F⁰, 12H⁰, 6D⁰</t>
        </is>
      </c>
      <c r="O4853" t="inlineStr"/>
    </row>
    <row r="4854">
      <c r="A4854">
        <f>HYPERLINK("https://mathstats.uncg.edu/sites/pauli/congruence/csg17.html#group48AR17", "48AR¹⁷")</f>
        <v/>
      </c>
      <c r="B4854" t="n">
        <v>17</v>
      </c>
      <c r="C4854" t="inlineStr"/>
      <c r="D4854" t="inlineStr">
        <is>
          <t>288</t>
        </is>
      </c>
      <c r="E4854" t="inlineStr">
        <is>
          <t>1</t>
        </is>
      </c>
      <c r="F4854" t="inlineStr">
        <is>
          <t>36</t>
        </is>
      </c>
      <c r="G4854" t="inlineStr">
        <is>
          <t>16</t>
        </is>
      </c>
      <c r="H4854" t="inlineStr">
        <is>
          <t>0</t>
        </is>
      </c>
      <c r="I4854" t="inlineStr">
        <is>
          <t>24⁴, 48⁴</t>
        </is>
      </c>
      <c r="J4854" t="n">
        <v>8</v>
      </c>
      <c r="K4854" t="inlineStr">
        <is>
          <t>2⁸, 4³, 8¹</t>
        </is>
      </c>
      <c r="L4854" t="inlineStr">
        <is>
          <t>24S⁵, 48AF⁹</t>
        </is>
      </c>
      <c r="M4854" t="inlineStr"/>
      <c r="N4854" t="inlineStr">
        <is>
          <t>12T¹, 6B⁰, 12C⁰, 48AF⁹, 4C⁰, 24D¹, 24I³, 6G⁰, 8B⁰, 2B⁰, 24C², 12N¹, 12H⁰, 1A⁰, 12L¹, 12G⁰, 12C¹, 24H³, 6E⁰, 6L⁰, 24S³, 24A⁰, 24S⁵, 3C⁰, 12D⁰, 6H⁰, 3A⁰, 24H¹, 6D⁰</t>
        </is>
      </c>
      <c r="O4854" t="inlineStr"/>
    </row>
    <row r="4855">
      <c r="A4855">
        <f>HYPERLINK("https://mathstats.uncg.edu/sites/pauli/congruence/csg17.html#group48AS17", "48AS¹⁷")</f>
        <v/>
      </c>
      <c r="B4855" t="n">
        <v>17</v>
      </c>
      <c r="C4855" t="inlineStr"/>
      <c r="D4855" t="inlineStr">
        <is>
          <t>288</t>
        </is>
      </c>
      <c r="E4855" t="inlineStr">
        <is>
          <t>1</t>
        </is>
      </c>
      <c r="F4855" t="inlineStr">
        <is>
          <t>36</t>
        </is>
      </c>
      <c r="G4855" t="inlineStr">
        <is>
          <t>16</t>
        </is>
      </c>
      <c r="H4855" t="inlineStr">
        <is>
          <t>0</t>
        </is>
      </c>
      <c r="I4855" t="inlineStr">
        <is>
          <t>24⁴, 48⁴</t>
        </is>
      </c>
      <c r="J4855" t="n">
        <v>8</v>
      </c>
      <c r="K4855" t="inlineStr">
        <is>
          <t>2⁶, 4⁶</t>
        </is>
      </c>
      <c r="L4855" t="inlineStr">
        <is>
          <t>24W⁵, 48AE⁷, 48F⁸, 48R⁸, 48AB⁸</t>
        </is>
      </c>
      <c r="M4855" t="inlineStr"/>
      <c r="N4855" t="inlineStr">
        <is>
          <t>48AB⁸, 12I², 24E¹, 24O², 24Q³, 48F⁸, 12C⁰, 48R⁸, 4C⁰, 24P², 2B⁰, 12M¹, 24P³, 1A⁰, 24W⁵, 48H³, 16E², 16D¹, 24A⁰, 6H⁰, 3A⁰, 24H¹, 6B⁰, 8D⁰, 24D¹, 8B⁰, 12F⁰, 24L², 8H⁰, 12A⁰, 48E³, 4A⁰, 24C¹, 12J¹, 12D⁰, 4F⁰, 48AE⁷, 12H⁰, 6D⁰</t>
        </is>
      </c>
      <c r="O4855" t="inlineStr"/>
    </row>
    <row r="4856">
      <c r="A4856">
        <f>HYPERLINK("https://mathstats.uncg.edu/sites/pauli/congruence/csg17.html#group48AT17", "48AT¹⁷")</f>
        <v/>
      </c>
      <c r="B4856" t="n">
        <v>17</v>
      </c>
      <c r="C4856" t="inlineStr"/>
      <c r="D4856" t="inlineStr">
        <is>
          <t>288</t>
        </is>
      </c>
      <c r="E4856" t="inlineStr">
        <is>
          <t>1</t>
        </is>
      </c>
      <c r="F4856" t="inlineStr">
        <is>
          <t>36</t>
        </is>
      </c>
      <c r="G4856" t="inlineStr">
        <is>
          <t>16</t>
        </is>
      </c>
      <c r="H4856" t="inlineStr">
        <is>
          <t>0</t>
        </is>
      </c>
      <c r="I4856" t="inlineStr">
        <is>
          <t>24⁴, 48⁴</t>
        </is>
      </c>
      <c r="J4856" t="n">
        <v>8</v>
      </c>
      <c r="K4856" t="inlineStr">
        <is>
          <t>2⁶, 4⁶</t>
        </is>
      </c>
      <c r="L4856" t="inlineStr">
        <is>
          <t>24D⁶, 48U⁷, 48AF⁷, 48R⁸, 48AA⁸</t>
        </is>
      </c>
      <c r="M4856" t="inlineStr"/>
      <c r="N4856" t="inlineStr">
        <is>
          <t>24D⁶, 12C⁰, 48R⁸, 8D⁰, 4C⁰, 8B⁰, 8L⁰, 2B⁰, 48U⁷, 24L², 1A⁰, 8P⁰, 48H³, 8H⁰, 12A⁰, 24A⁰, 4A⁰, 24M², 6D⁰, 24C¹, 48A², 12J¹, 4F⁰, 48F³, 3A⁰, 48AF⁷, 48AA⁸</t>
        </is>
      </c>
      <c r="O4856" t="inlineStr"/>
    </row>
    <row r="4857">
      <c r="A4857">
        <f>HYPERLINK("https://mathstats.uncg.edu/sites/pauli/congruence/csg17.html#group48AU17", "48AU¹⁷")</f>
        <v/>
      </c>
      <c r="B4857" t="n">
        <v>17</v>
      </c>
      <c r="C4857" t="inlineStr"/>
      <c r="D4857" t="inlineStr">
        <is>
          <t>288</t>
        </is>
      </c>
      <c r="E4857" t="inlineStr">
        <is>
          <t>1</t>
        </is>
      </c>
      <c r="F4857" t="inlineStr">
        <is>
          <t>36</t>
        </is>
      </c>
      <c r="G4857" t="inlineStr">
        <is>
          <t>16</t>
        </is>
      </c>
      <c r="H4857" t="inlineStr">
        <is>
          <t>0</t>
        </is>
      </c>
      <c r="I4857" t="inlineStr">
        <is>
          <t>24⁴, 48⁴</t>
        </is>
      </c>
      <c r="J4857" t="n">
        <v>8</v>
      </c>
      <c r="K4857" t="inlineStr">
        <is>
          <t>2⁶, 4⁶</t>
        </is>
      </c>
      <c r="L4857" t="inlineStr">
        <is>
          <t>24G⁶, 48U⁷, 48AG⁷, 48F⁸, 48AD⁸</t>
        </is>
      </c>
      <c r="M4857" t="inlineStr"/>
      <c r="N4857" t="inlineStr">
        <is>
          <t>48AG⁷, 48F⁸, 12C⁰, 8D⁰, 4C⁰, 8B⁰, 24Q², 2B⁰, 24L², 1A⁰, 48AD⁸, 16E², 8H⁰, 24G⁶, 16D¹, 12A⁰, 48E³, 24A⁰, 4A⁰, 6D⁰, 24C¹, 48A², 12J¹, 4F⁰, 48F³, 3A⁰, 48U⁷</t>
        </is>
      </c>
      <c r="O4857" t="inlineStr"/>
    </row>
    <row r="4858">
      <c r="A4858">
        <f>HYPERLINK("https://mathstats.uncg.edu/sites/pauli/congruence/csg17.html#group48AV17", "48AV¹⁷")</f>
        <v/>
      </c>
      <c r="B4858" t="n">
        <v>17</v>
      </c>
      <c r="C4858" t="inlineStr"/>
      <c r="D4858" t="inlineStr">
        <is>
          <t>288</t>
        </is>
      </c>
      <c r="E4858" t="inlineStr">
        <is>
          <t>1</t>
        </is>
      </c>
      <c r="F4858" t="inlineStr">
        <is>
          <t>36</t>
        </is>
      </c>
      <c r="G4858" t="inlineStr">
        <is>
          <t>16</t>
        </is>
      </c>
      <c r="H4858" t="inlineStr">
        <is>
          <t>0</t>
        </is>
      </c>
      <c r="I4858" t="inlineStr">
        <is>
          <t>24⁴, 48⁴</t>
        </is>
      </c>
      <c r="J4858" t="n">
        <v>8</v>
      </c>
      <c r="K4858" t="inlineStr">
        <is>
          <t>1⁴, 2⁶, 4³, 8¹</t>
        </is>
      </c>
      <c r="L4858" t="inlineStr">
        <is>
          <t>24S⁵, 48AD⁷, 48AE⁷, 48W⁹, 48Z⁹</t>
        </is>
      </c>
      <c r="M4858" t="inlineStr"/>
      <c r="N4858" t="inlineStr">
        <is>
          <t>12T¹, 12C⁰, 48Z⁹, 4C⁰, 24I³, 6G⁰, 2B⁰, 24C², 12N¹, 1A⁰, 48H³, 16D¹, 24H³, 24A⁰, 24S³, 24S⁵, 3C⁰, 6H⁰, 3A⁰, 48W⁹, 24H¹, 6B⁰, 24D¹, 8B⁰, 12L¹, 48AD⁷, 12G⁰, 12C¹, 48E³, 6E⁰, 6L⁰, 12D⁰, 48AE⁷, 12H⁰, 6D⁰</t>
        </is>
      </c>
      <c r="O4858" t="inlineStr"/>
    </row>
    <row r="4859">
      <c r="A4859">
        <f>HYPERLINK("https://mathstats.uncg.edu/sites/pauli/congruence/csg17.html#group48AW17", "48AW¹⁷")</f>
        <v/>
      </c>
      <c r="B4859" t="n">
        <v>17</v>
      </c>
      <c r="C4859" t="inlineStr"/>
      <c r="D4859" t="inlineStr">
        <is>
          <t>288</t>
        </is>
      </c>
      <c r="E4859" t="inlineStr">
        <is>
          <t>1</t>
        </is>
      </c>
      <c r="F4859" t="inlineStr">
        <is>
          <t>36</t>
        </is>
      </c>
      <c r="G4859" t="inlineStr">
        <is>
          <t>16</t>
        </is>
      </c>
      <c r="H4859" t="inlineStr">
        <is>
          <t>0</t>
        </is>
      </c>
      <c r="I4859" t="inlineStr">
        <is>
          <t>24⁴, 48⁴</t>
        </is>
      </c>
      <c r="J4859" t="n">
        <v>8</v>
      </c>
      <c r="K4859" t="inlineStr">
        <is>
          <t>1⁴, 2⁶, 4³, 8¹</t>
        </is>
      </c>
      <c r="L4859" t="inlineStr">
        <is>
          <t>48H⁵, 24Z⁷, 48N⁷, 48W⁹, 48AE⁹</t>
        </is>
      </c>
      <c r="M4859" t="inlineStr"/>
      <c r="N4859" t="inlineStr">
        <is>
          <t>12C⁰, 24Z⁷, 4C⁰, 24I³, 8B⁰, 6G⁰, 48H⁵, 48A⁰, 2B⁰, 24C², 24Q², 1A⁰, 12L¹, 48H³, 48C⁴, 16B⁰, 12C¹, 24A⁰, 48N⁷, 48AE⁹, 3C⁰, 48W⁹, 3A⁰, 6D⁰</t>
        </is>
      </c>
      <c r="O4859" t="inlineStr"/>
    </row>
    <row r="4860">
      <c r="A4860">
        <f>HYPERLINK("https://mathstats.uncg.edu/sites/pauli/congruence/csg17.html#group48AX17", "48AX¹⁷")</f>
        <v/>
      </c>
      <c r="B4860" t="n">
        <v>17</v>
      </c>
      <c r="C4860" t="inlineStr"/>
      <c r="D4860" t="inlineStr">
        <is>
          <t>288</t>
        </is>
      </c>
      <c r="E4860" t="inlineStr">
        <is>
          <t>1</t>
        </is>
      </c>
      <c r="F4860" t="inlineStr">
        <is>
          <t>36</t>
        </is>
      </c>
      <c r="G4860" t="inlineStr">
        <is>
          <t>16</t>
        </is>
      </c>
      <c r="H4860" t="inlineStr">
        <is>
          <t>0</t>
        </is>
      </c>
      <c r="I4860" t="inlineStr">
        <is>
          <t>24⁴, 48⁴</t>
        </is>
      </c>
      <c r="J4860" t="n">
        <v>8</v>
      </c>
      <c r="K4860" t="inlineStr">
        <is>
          <t>1⁴, 2⁶, 4³, 8¹</t>
        </is>
      </c>
      <c r="L4860" t="inlineStr">
        <is>
          <t>24Z⁷, 48M⁷, 48AG⁷, 48AJ⁷, 48Z⁹</t>
        </is>
      </c>
      <c r="M4860" t="inlineStr"/>
      <c r="N4860" t="inlineStr">
        <is>
          <t>48AG⁷, 12C⁰, 48Z⁹, 24Z⁷, 4C⁰, 8B⁰, 24I³, 24Q², 48AJ⁷, 2B⁰, 6G⁰, 24C², 1A⁰, 12L¹, 48H³, 16D¹, 48M⁷, 12C¹, 48E³, 24A⁰, 48A², 3C⁰, 3A⁰, 6D⁰</t>
        </is>
      </c>
      <c r="O4860" t="inlineStr"/>
    </row>
    <row r="4861">
      <c r="A4861">
        <f>HYPERLINK("https://mathstats.uncg.edu/sites/pauli/congruence/csg17.html#group48AY17", "48AY¹⁷")</f>
        <v/>
      </c>
      <c r="B4861" t="n">
        <v>17</v>
      </c>
      <c r="C4861" t="inlineStr"/>
      <c r="D4861" t="inlineStr">
        <is>
          <t>288</t>
        </is>
      </c>
      <c r="E4861" t="inlineStr">
        <is>
          <t>1</t>
        </is>
      </c>
      <c r="F4861" t="inlineStr">
        <is>
          <t>36</t>
        </is>
      </c>
      <c r="G4861" t="inlineStr">
        <is>
          <t>16</t>
        </is>
      </c>
      <c r="H4861" t="inlineStr">
        <is>
          <t>0</t>
        </is>
      </c>
      <c r="I4861" t="inlineStr">
        <is>
          <t>24⁴, 48⁴</t>
        </is>
      </c>
      <c r="J4861" t="n">
        <v>8</v>
      </c>
      <c r="K4861" t="inlineStr">
        <is>
          <t>1⁴, 2⁶, 4³, 8¹</t>
        </is>
      </c>
      <c r="L4861" t="inlineStr">
        <is>
          <t>24AA⁷, 48M⁷, 48AF⁷, 48AJ⁷, 48W⁹</t>
        </is>
      </c>
      <c r="M4861" t="inlineStr"/>
      <c r="N4861" t="inlineStr">
        <is>
          <t>12C⁰, 24AA⁷, 4C⁰, 24I³, 8B⁰, 6G⁰, 48AJ⁷, 2B⁰, 24Q², 24C², 8L⁰, 12L¹, 1A⁰, 48H³, 48M⁷, 12C¹, 24A⁰, 24M², 48A², 3C⁰, 48W⁹, 3A⁰, 48AF⁷, 6D⁰</t>
        </is>
      </c>
      <c r="O4861" t="inlineStr"/>
    </row>
    <row r="4862">
      <c r="A4862">
        <f>HYPERLINK("https://mathstats.uncg.edu/sites/pauli/congruence/csg17.html#group48AZ17", "48AZ¹⁷")</f>
        <v/>
      </c>
      <c r="B4862" t="n">
        <v>17</v>
      </c>
      <c r="C4862" t="inlineStr"/>
      <c r="D4862" t="inlineStr">
        <is>
          <t>288</t>
        </is>
      </c>
      <c r="E4862" t="inlineStr">
        <is>
          <t>1</t>
        </is>
      </c>
      <c r="F4862" t="inlineStr">
        <is>
          <t>36</t>
        </is>
      </c>
      <c r="G4862" t="inlineStr">
        <is>
          <t>16</t>
        </is>
      </c>
      <c r="H4862" t="inlineStr">
        <is>
          <t>0</t>
        </is>
      </c>
      <c r="I4862" t="inlineStr">
        <is>
          <t>24⁴, 48⁴</t>
        </is>
      </c>
      <c r="J4862" t="n">
        <v>8</v>
      </c>
      <c r="K4862" t="inlineStr">
        <is>
          <t>1⁴, 2⁶, 4³, 8¹</t>
        </is>
      </c>
      <c r="L4862" t="inlineStr">
        <is>
          <t>48F⁵, 48H⁵, 24AA⁷, 48N⁷, 48X⁹, 48Y⁹, 48Z⁹</t>
        </is>
      </c>
      <c r="M4862" t="inlineStr"/>
      <c r="N4862" t="inlineStr">
        <is>
          <t>48F⁵, 12C⁰, 24AA⁷, 48Z⁹, 4C⁰, 8B⁰, 24I³, 24Q², 48H⁵, 48A⁰, 8L⁰, 2B⁰, 6G⁰, 16J¹, 24C², 1A⁰, 12L¹, 48H³, 48C⁴, 16B⁰, 48Y⁹, 16D¹, 12C¹, 48E³, 24A⁰, 48N⁷, 24M², 48X⁹, 3C⁰, 3A⁰, 6D⁰</t>
        </is>
      </c>
      <c r="O4862" t="inlineStr"/>
    </row>
    <row r="4863">
      <c r="A4863">
        <f>HYPERLINK("https://mathstats.uncg.edu/sites/pauli/congruence/csg17.html#group48BA17", "48BA¹⁷")</f>
        <v/>
      </c>
      <c r="B4863" t="n">
        <v>17</v>
      </c>
      <c r="C4863" t="inlineStr"/>
      <c r="D4863" t="inlineStr">
        <is>
          <t>288</t>
        </is>
      </c>
      <c r="E4863" t="inlineStr">
        <is>
          <t>1</t>
        </is>
      </c>
      <c r="F4863" t="inlineStr">
        <is>
          <t>36</t>
        </is>
      </c>
      <c r="G4863" t="inlineStr">
        <is>
          <t>16</t>
        </is>
      </c>
      <c r="H4863" t="inlineStr">
        <is>
          <t>0</t>
        </is>
      </c>
      <c r="I4863" t="inlineStr">
        <is>
          <t>24⁴, 48⁴</t>
        </is>
      </c>
      <c r="J4863" t="n">
        <v>8</v>
      </c>
      <c r="K4863" t="inlineStr">
        <is>
          <t>4¹⁴, 8²</t>
        </is>
      </c>
      <c r="L4863" t="inlineStr">
        <is>
          <t>24H⁶, 48V⁷, 48AJ⁷, 48T⁸, 48AC⁸</t>
        </is>
      </c>
      <c r="M4863" t="inlineStr"/>
      <c r="N4863" t="inlineStr">
        <is>
          <t>24E¹, 12C⁰, 4C⁰, 8B⁰, 48T⁸, 24P², 48AJ⁷, 16B¹, 2B⁰, 12M¹, 24Q², 1A⁰, 48H³, 48C³, 48V⁷, 24A⁰, 24H⁶, 48A², 48AC⁸, 3A⁰, 6D⁰</t>
        </is>
      </c>
      <c r="O4863" t="inlineStr"/>
    </row>
    <row r="4864">
      <c r="A4864">
        <f>HYPERLINK("https://mathstats.uncg.edu/sites/pauli/congruence/csg17.html#group48BB17", "48BB¹⁷")</f>
        <v/>
      </c>
      <c r="B4864" t="n">
        <v>17</v>
      </c>
      <c r="C4864" t="inlineStr"/>
      <c r="D4864" t="inlineStr">
        <is>
          <t>288</t>
        </is>
      </c>
      <c r="E4864" t="inlineStr">
        <is>
          <t>1</t>
        </is>
      </c>
      <c r="F4864" t="inlineStr">
        <is>
          <t>36</t>
        </is>
      </c>
      <c r="G4864" t="inlineStr">
        <is>
          <t>16</t>
        </is>
      </c>
      <c r="H4864" t="inlineStr">
        <is>
          <t>0</t>
        </is>
      </c>
      <c r="I4864" t="inlineStr">
        <is>
          <t>24⁴, 48⁴</t>
        </is>
      </c>
      <c r="J4864" t="n">
        <v>8</v>
      </c>
      <c r="K4864" t="inlineStr">
        <is>
          <t>4¹⁴, 8²</t>
        </is>
      </c>
      <c r="L4864" t="inlineStr">
        <is>
          <t>24I⁶, 48V⁷, 48AJ⁷, 48S⁸, 48AC⁸</t>
        </is>
      </c>
      <c r="M4864" t="inlineStr"/>
      <c r="N4864" t="inlineStr">
        <is>
          <t>24E¹, 24I⁶, 12C⁰, 4C⁰, 8B⁰, 24P², 48AJ⁷, 16B¹, 2B⁰, 12M¹, 24Q², 1A⁰, 48H³, 48S⁸, 48C³, 48V⁷, 24A⁰, 48A², 48AC⁸, 3A⁰, 6D⁰</t>
        </is>
      </c>
      <c r="O4864" t="inlineStr"/>
    </row>
    <row r="4865">
      <c r="A4865">
        <f>HYPERLINK("https://mathstats.uncg.edu/sites/pauli/congruence/csg17.html#group48BC17", "48BC¹⁷")</f>
        <v/>
      </c>
      <c r="B4865" t="n">
        <v>17</v>
      </c>
      <c r="C4865" t="inlineStr"/>
      <c r="D4865" t="inlineStr">
        <is>
          <t>288</t>
        </is>
      </c>
      <c r="E4865" t="inlineStr">
        <is>
          <t>1</t>
        </is>
      </c>
      <c r="F4865" t="inlineStr">
        <is>
          <t>36</t>
        </is>
      </c>
      <c r="G4865" t="inlineStr">
        <is>
          <t>16</t>
        </is>
      </c>
      <c r="H4865" t="inlineStr">
        <is>
          <t>0</t>
        </is>
      </c>
      <c r="I4865" t="inlineStr">
        <is>
          <t>24⁴, 48⁴</t>
        </is>
      </c>
      <c r="J4865" t="n">
        <v>8</v>
      </c>
      <c r="K4865" t="inlineStr">
        <is>
          <t>2⁴, 4¹⁰, 8³</t>
        </is>
      </c>
      <c r="L4865" t="inlineStr">
        <is>
          <t>24V⁵, 48AD⁷, 48AE⁷, 48S⁸, 48AB⁸</t>
        </is>
      </c>
      <c r="M4865" t="inlineStr"/>
      <c r="N4865" t="inlineStr">
        <is>
          <t>48AB⁸, 24E¹, 6B⁰, 12C⁰, 24N², 6H⁰, 4C⁰, 24D¹, 8B⁰, 24P², 2B⁰, 12M¹, 12H⁰, 1A⁰, 48H³, 48S⁸, 48AD⁷, 12H², 24V⁵, 16D¹, 48E³, 24A⁰, 24T³, 12D⁰, 48AE⁷, 3A⁰, 24H¹, 6D⁰</t>
        </is>
      </c>
      <c r="O4865" t="inlineStr"/>
    </row>
    <row r="4866">
      <c r="A4866">
        <f>HYPERLINK("https://mathstats.uncg.edu/sites/pauli/congruence/csg17.html#group48BD17", "48BD¹⁷")</f>
        <v/>
      </c>
      <c r="B4866" t="n">
        <v>17</v>
      </c>
      <c r="C4866" t="inlineStr"/>
      <c r="D4866" t="inlineStr">
        <is>
          <t>288</t>
        </is>
      </c>
      <c r="E4866" t="inlineStr">
        <is>
          <t>1</t>
        </is>
      </c>
      <c r="F4866" t="inlineStr">
        <is>
          <t>36</t>
        </is>
      </c>
      <c r="G4866" t="inlineStr">
        <is>
          <t>16</t>
        </is>
      </c>
      <c r="H4866" t="inlineStr">
        <is>
          <t>0</t>
        </is>
      </c>
      <c r="I4866" t="inlineStr">
        <is>
          <t>24⁴, 48⁴</t>
        </is>
      </c>
      <c r="J4866" t="n">
        <v>8</v>
      </c>
      <c r="K4866" t="inlineStr">
        <is>
          <t>2⁴, 4¹⁰, 8³</t>
        </is>
      </c>
      <c r="L4866" t="inlineStr">
        <is>
          <t>24V⁵, 48AD⁷, 48AE⁷, 48T⁸, 48AB⁸</t>
        </is>
      </c>
      <c r="M4866" t="inlineStr"/>
      <c r="N4866" t="inlineStr">
        <is>
          <t>48AB⁸, 24E¹, 6B⁰, 12C⁰, 24N², 6H⁰, 4C⁰, 24D¹, 8B⁰, 48T⁸, 24P², 2B⁰, 12M¹, 12H⁰, 1A⁰, 48H³, 48AD⁷, 12H², 24V⁵, 16D¹, 48E³, 24A⁰, 24T³, 12D⁰, 48AE⁷, 3A⁰, 24H¹, 6D⁰</t>
        </is>
      </c>
      <c r="O4866" t="inlineStr"/>
    </row>
    <row r="4867">
      <c r="A4867">
        <f>HYPERLINK("https://mathstats.uncg.edu/sites/pauli/congruence/csg17.html#group48BE17", "48BE¹⁷")</f>
        <v/>
      </c>
      <c r="B4867" t="n">
        <v>17</v>
      </c>
      <c r="C4867" t="inlineStr"/>
      <c r="D4867" t="inlineStr">
        <is>
          <t>288</t>
        </is>
      </c>
      <c r="E4867" t="inlineStr">
        <is>
          <t>1</t>
        </is>
      </c>
      <c r="F4867" t="inlineStr">
        <is>
          <t>36</t>
        </is>
      </c>
      <c r="G4867" t="inlineStr">
        <is>
          <t>16</t>
        </is>
      </c>
      <c r="H4867" t="inlineStr">
        <is>
          <t>0</t>
        </is>
      </c>
      <c r="I4867" t="inlineStr">
        <is>
          <t>24⁴, 48⁴</t>
        </is>
      </c>
      <c r="J4867" t="n">
        <v>8</v>
      </c>
      <c r="K4867" t="inlineStr">
        <is>
          <t>2⁴, 4¹⁰, 8³</t>
        </is>
      </c>
      <c r="L4867" t="inlineStr">
        <is>
          <t>24X⁵, 48S⁷, 48AE⁷, 48AD⁸, 48AE⁸</t>
        </is>
      </c>
      <c r="M4867" t="inlineStr"/>
      <c r="N4867" t="inlineStr">
        <is>
          <t>24X⁵, 6B⁰, 12C⁰, 3A⁰, 6H⁰, 4C⁰, 24D¹, 8B⁰, 24Q², 2B⁰, 1A⁰, 48AD⁸, 48AE⁸, 48S⁷, 48H³, 16D¹, 24A⁰, 48E³, 48F³, 12D⁰, 48AE⁷, 12H⁰, 24H¹, 6D⁰</t>
        </is>
      </c>
      <c r="O4867" t="inlineStr"/>
    </row>
    <row r="4868">
      <c r="A4868">
        <f>HYPERLINK("https://mathstats.uncg.edu/sites/pauli/congruence/csg17.html#group48BF17", "48BF¹⁷")</f>
        <v/>
      </c>
      <c r="B4868" t="n">
        <v>17</v>
      </c>
      <c r="C4868" t="inlineStr"/>
      <c r="D4868" t="inlineStr">
        <is>
          <t>288</t>
        </is>
      </c>
      <c r="E4868" t="inlineStr">
        <is>
          <t>1</t>
        </is>
      </c>
      <c r="F4868" t="inlineStr">
        <is>
          <t>36</t>
        </is>
      </c>
      <c r="G4868" t="inlineStr">
        <is>
          <t>16</t>
        </is>
      </c>
      <c r="H4868" t="inlineStr">
        <is>
          <t>0</t>
        </is>
      </c>
      <c r="I4868" t="inlineStr">
        <is>
          <t>24⁴, 48⁴</t>
        </is>
      </c>
      <c r="J4868" t="n">
        <v>8</v>
      </c>
      <c r="K4868" t="inlineStr">
        <is>
          <t>2⁴, 4¹⁰, 8³</t>
        </is>
      </c>
      <c r="L4868" t="inlineStr">
        <is>
          <t>24X⁵, 48S⁷, 48AE⁷, 48AD⁸, 48AF⁸</t>
        </is>
      </c>
      <c r="M4868" t="inlineStr"/>
      <c r="N4868" t="inlineStr">
        <is>
          <t>24X⁵, 6B⁰, 12C⁰, 3A⁰, 48AF⁸, 6H⁰, 4C⁰, 24D¹, 8B⁰, 24Q², 2B⁰, 1A⁰, 48AD⁸, 48H³, 48S⁷, 16D¹, 24A⁰, 48E³, 48F³, 12D⁰, 48AE⁷, 12H⁰, 24H¹, 6D⁰</t>
        </is>
      </c>
      <c r="O4868" t="inlineStr"/>
    </row>
    <row r="4869">
      <c r="A4869">
        <f>HYPERLINK("https://mathstats.uncg.edu/sites/pauli/congruence/csg17.html#group48BG17", "48BG¹⁷")</f>
        <v/>
      </c>
      <c r="B4869" t="n">
        <v>17</v>
      </c>
      <c r="C4869" t="inlineStr"/>
      <c r="D4869" t="inlineStr">
        <is>
          <t>288</t>
        </is>
      </c>
      <c r="E4869" t="inlineStr">
        <is>
          <t>1</t>
        </is>
      </c>
      <c r="F4869" t="inlineStr">
        <is>
          <t>36</t>
        </is>
      </c>
      <c r="G4869" t="inlineStr">
        <is>
          <t>16</t>
        </is>
      </c>
      <c r="H4869" t="inlineStr">
        <is>
          <t>0</t>
        </is>
      </c>
      <c r="I4869" t="inlineStr">
        <is>
          <t>24⁴, 48⁴</t>
        </is>
      </c>
      <c r="J4869" t="n">
        <v>8</v>
      </c>
      <c r="K4869" t="inlineStr">
        <is>
          <t>2⁴, 4¹⁰, 8³</t>
        </is>
      </c>
      <c r="L4869" t="inlineStr">
        <is>
          <t>24Y⁵, 48S⁷, 48AD⁷, 48AA⁸, 48AE⁸</t>
        </is>
      </c>
      <c r="M4869" t="inlineStr"/>
      <c r="N4869" t="inlineStr">
        <is>
          <t>6B⁰, 12C⁰, 3A⁰, 4C⁰, 24D¹, 8B⁰, 24Q², 8L⁰, 24Y⁵, 2B⁰, 1A⁰, 48AE⁸, 48H³, 48S⁷, 48AD⁷, 24A⁰, 6D⁰, 24M², 48F³, 12D⁰, 6H⁰, 12H⁰, 24H¹, 48AA⁸</t>
        </is>
      </c>
      <c r="O4869" t="inlineStr"/>
    </row>
    <row r="4870">
      <c r="A4870">
        <f>HYPERLINK("https://mathstats.uncg.edu/sites/pauli/congruence/csg17.html#group48BH17", "48BH¹⁷")</f>
        <v/>
      </c>
      <c r="B4870" t="n">
        <v>17</v>
      </c>
      <c r="C4870" t="inlineStr"/>
      <c r="D4870" t="inlineStr">
        <is>
          <t>288</t>
        </is>
      </c>
      <c r="E4870" t="inlineStr">
        <is>
          <t>1</t>
        </is>
      </c>
      <c r="F4870" t="inlineStr">
        <is>
          <t>36</t>
        </is>
      </c>
      <c r="G4870" t="inlineStr">
        <is>
          <t>16</t>
        </is>
      </c>
      <c r="H4870" t="inlineStr">
        <is>
          <t>0</t>
        </is>
      </c>
      <c r="I4870" t="inlineStr">
        <is>
          <t>24⁴, 48⁴</t>
        </is>
      </c>
      <c r="J4870" t="n">
        <v>8</v>
      </c>
      <c r="K4870" t="inlineStr">
        <is>
          <t>2⁴, 4¹⁰, 8³</t>
        </is>
      </c>
      <c r="L4870" t="inlineStr">
        <is>
          <t>24Y⁵, 48S⁷, 48AD⁷, 48AA⁸, 48AF⁸</t>
        </is>
      </c>
      <c r="M4870" t="inlineStr"/>
      <c r="N4870" t="inlineStr">
        <is>
          <t>6B⁰, 12C⁰, 48AF⁸, 6H⁰, 4C⁰, 24D¹, 8B⁰, 24Q², 8L⁰, 24Y⁵, 2B⁰, 12H⁰, 1A⁰, 48H³, 48S⁷, 48AD⁷, 24A⁰, 6D⁰, 24M², 12D⁰, 48F³, 3A⁰, 24H¹, 48AA⁸</t>
        </is>
      </c>
      <c r="O4870" t="inlineStr"/>
    </row>
    <row r="4871">
      <c r="A4871">
        <f>HYPERLINK("https://mathstats.uncg.edu/sites/pauli/congruence/csg17.html#group48BI17", "48BI¹⁷")</f>
        <v/>
      </c>
      <c r="B4871" t="n">
        <v>17</v>
      </c>
      <c r="C4871" t="inlineStr"/>
      <c r="D4871" t="inlineStr">
        <is>
          <t>288</t>
        </is>
      </c>
      <c r="E4871" t="inlineStr">
        <is>
          <t>1</t>
        </is>
      </c>
      <c r="F4871" t="inlineStr">
        <is>
          <t>72</t>
        </is>
      </c>
      <c r="G4871" t="inlineStr">
        <is>
          <t>4</t>
        </is>
      </c>
      <c r="H4871" t="inlineStr">
        <is>
          <t>0</t>
        </is>
      </c>
      <c r="I4871" t="inlineStr">
        <is>
          <t>12⁸, 24⁴, 48²</t>
        </is>
      </c>
      <c r="J4871" t="n">
        <v>14</v>
      </c>
      <c r="K4871" t="inlineStr">
        <is>
          <t>4⁴, 8⁸, 16⁴</t>
        </is>
      </c>
      <c r="L4871" t="inlineStr">
        <is>
          <t>24Y⁷, 48U⁸</t>
        </is>
      </c>
      <c r="M4871" t="inlineStr"/>
      <c r="N4871" t="inlineStr">
        <is>
          <t>12G¹, 12C⁰, 4C⁰, 6G⁰, 48U⁸, 2B⁰, 12M¹, 1A⁰, 8K⁰, 12L¹, 12J³, 24J³, 12A⁰, 12C¹, 4A⁰, 3C⁰, 12J¹, 24R³, 4F⁰, 3A⁰, 24Y⁷, 6D⁰</t>
        </is>
      </c>
      <c r="O4871" t="inlineStr"/>
    </row>
    <row r="4872">
      <c r="A4872">
        <f>HYPERLINK("https://mathstats.uncg.edu/sites/pauli/congruence/csg17.html#group48BJ17", "48BJ¹⁷")</f>
        <v/>
      </c>
      <c r="B4872" t="n">
        <v>17</v>
      </c>
      <c r="C4872" t="inlineStr"/>
      <c r="D4872" t="inlineStr">
        <is>
          <t>288</t>
        </is>
      </c>
      <c r="E4872" t="inlineStr">
        <is>
          <t>1</t>
        </is>
      </c>
      <c r="F4872" t="inlineStr">
        <is>
          <t>72</t>
        </is>
      </c>
      <c r="G4872" t="inlineStr">
        <is>
          <t>4</t>
        </is>
      </c>
      <c r="H4872" t="inlineStr">
        <is>
          <t>0</t>
        </is>
      </c>
      <c r="I4872" t="inlineStr">
        <is>
          <t>12⁸, 24⁴, 48²</t>
        </is>
      </c>
      <c r="J4872" t="n">
        <v>14</v>
      </c>
      <c r="K4872" t="inlineStr">
        <is>
          <t>4⁴, 8⁸, 16⁴</t>
        </is>
      </c>
      <c r="L4872" t="inlineStr">
        <is>
          <t>24Y⁷, 48V⁸</t>
        </is>
      </c>
      <c r="M4872" t="inlineStr"/>
      <c r="N4872" t="inlineStr">
        <is>
          <t>12G¹, 12C⁰, 4C⁰, 6G⁰, 2B⁰, 12M¹, 48V⁸, 1A⁰, 8K⁰, 12L¹, 12J³, 24J³, 12A⁰, 12C¹, 4A⁰, 3C⁰, 12J¹, 24R³, 4F⁰, 3A⁰, 24Y⁷, 6D⁰</t>
        </is>
      </c>
      <c r="O4872" t="inlineStr"/>
    </row>
    <row r="4873">
      <c r="A4873">
        <f>HYPERLINK("https://mathstats.uncg.edu/sites/pauli/congruence/csg17.html#group48BK17", "48BK¹⁷")</f>
        <v/>
      </c>
      <c r="B4873" t="n">
        <v>17</v>
      </c>
      <c r="C4873" t="inlineStr"/>
      <c r="D4873" t="inlineStr">
        <is>
          <t>288</t>
        </is>
      </c>
      <c r="E4873" t="inlineStr">
        <is>
          <t>1</t>
        </is>
      </c>
      <c r="F4873" t="inlineStr">
        <is>
          <t>72</t>
        </is>
      </c>
      <c r="G4873" t="inlineStr">
        <is>
          <t>4</t>
        </is>
      </c>
      <c r="H4873" t="inlineStr">
        <is>
          <t>0</t>
        </is>
      </c>
      <c r="I4873" t="inlineStr">
        <is>
          <t>12⁸, 24⁴, 48²</t>
        </is>
      </c>
      <c r="J4873" t="n">
        <v>14</v>
      </c>
      <c r="K4873" t="inlineStr">
        <is>
          <t>4⁴, 8⁸, 16⁴</t>
        </is>
      </c>
      <c r="L4873" t="inlineStr">
        <is>
          <t>24Y⁷, 48G⁸, 48U⁸</t>
        </is>
      </c>
      <c r="M4873" t="inlineStr"/>
      <c r="N4873" t="inlineStr">
        <is>
          <t>12G¹, 12C⁰, 4C⁰, 6G⁰, 48U⁸, 2B⁰, 12M¹, 1A⁰, 8K⁰, 12L¹, 12J³, 24J³, 12A⁰, 12C¹, 4A⁰, 3C⁰, 48G⁸, 12J¹, 4F⁰, 24R³, 3A⁰, 24Y⁷, 16K¹, 6D⁰</t>
        </is>
      </c>
      <c r="O4873" t="inlineStr"/>
    </row>
    <row r="4874">
      <c r="A4874">
        <f>HYPERLINK("https://mathstats.uncg.edu/sites/pauli/congruence/csg17.html#group48BL17", "48BL¹⁷")</f>
        <v/>
      </c>
      <c r="B4874" t="n">
        <v>17</v>
      </c>
      <c r="C4874" t="inlineStr"/>
      <c r="D4874" t="inlineStr">
        <is>
          <t>288</t>
        </is>
      </c>
      <c r="E4874" t="inlineStr">
        <is>
          <t>1</t>
        </is>
      </c>
      <c r="F4874" t="inlineStr">
        <is>
          <t>72</t>
        </is>
      </c>
      <c r="G4874" t="inlineStr">
        <is>
          <t>4</t>
        </is>
      </c>
      <c r="H4874" t="inlineStr">
        <is>
          <t>0</t>
        </is>
      </c>
      <c r="I4874" t="inlineStr">
        <is>
          <t>12⁸, 24⁴, 48²</t>
        </is>
      </c>
      <c r="J4874" t="n">
        <v>14</v>
      </c>
      <c r="K4874" t="inlineStr">
        <is>
          <t>4⁴, 8⁸, 16⁴</t>
        </is>
      </c>
      <c r="L4874" t="inlineStr">
        <is>
          <t>24Y⁷, 48H⁸, 48V⁸</t>
        </is>
      </c>
      <c r="M4874" t="inlineStr"/>
      <c r="N4874" t="inlineStr">
        <is>
          <t>12G¹, 12C⁰, 4C⁰, 6G⁰, 2B⁰, 48H⁸, 12M¹, 48V⁸, 1A⁰, 8K⁰, 12L¹, 12J³, 24J³, 16L¹, 12A⁰, 12C¹, 4A⁰, 3C⁰, 12J¹, 24R³, 4F⁰, 3A⁰, 24Y⁷, 6D⁰</t>
        </is>
      </c>
      <c r="O4874" t="inlineStr"/>
    </row>
    <row r="4875">
      <c r="A4875">
        <f>HYPERLINK("https://mathstats.uncg.edu/sites/pauli/congruence/csg17.html#group48BM17", "48BM¹⁷")</f>
        <v/>
      </c>
      <c r="B4875" t="n">
        <v>17</v>
      </c>
      <c r="C4875" t="inlineStr"/>
      <c r="D4875" t="inlineStr">
        <is>
          <t>288</t>
        </is>
      </c>
      <c r="E4875" t="inlineStr">
        <is>
          <t>1</t>
        </is>
      </c>
      <c r="F4875" t="inlineStr">
        <is>
          <t>72</t>
        </is>
      </c>
      <c r="G4875" t="inlineStr">
        <is>
          <t>8</t>
        </is>
      </c>
      <c r="H4875" t="inlineStr">
        <is>
          <t>0</t>
        </is>
      </c>
      <c r="I4875" t="inlineStr">
        <is>
          <t>12⁸, 48⁴</t>
        </is>
      </c>
      <c r="J4875" t="n">
        <v>12</v>
      </c>
      <c r="K4875" t="inlineStr">
        <is>
          <t>4², 8⁸</t>
        </is>
      </c>
      <c r="L4875" t="inlineStr">
        <is>
          <t>24Q⁷</t>
        </is>
      </c>
      <c r="M4875" t="inlineStr"/>
      <c r="N4875" t="inlineStr">
        <is>
          <t>12G¹, 24E¹, 12C⁰, 4C⁰, 24D¹, 6G⁰, 2B⁰, 24P³, 12M¹, 1A⁰, 12L¹, 12J³, 12A⁰, 12C¹, 24H³, 24N³, 4A⁰, 24T³, 3C⁰, 12J¹, 4F⁰, 3A⁰, 24Q⁷, 6D⁰</t>
        </is>
      </c>
      <c r="O4875" t="inlineStr"/>
    </row>
    <row r="4876">
      <c r="A4876">
        <f>HYPERLINK("https://mathstats.uncg.edu/sites/pauli/congruence/csg17.html#group48BN17", "48BN¹⁷")</f>
        <v/>
      </c>
      <c r="B4876" t="n">
        <v>17</v>
      </c>
      <c r="C4876" t="inlineStr"/>
      <c r="D4876" t="inlineStr">
        <is>
          <t>288</t>
        </is>
      </c>
      <c r="E4876" t="inlineStr">
        <is>
          <t>1</t>
        </is>
      </c>
      <c r="F4876" t="inlineStr">
        <is>
          <t>72</t>
        </is>
      </c>
      <c r="G4876" t="inlineStr">
        <is>
          <t>12</t>
        </is>
      </c>
      <c r="H4876" t="inlineStr">
        <is>
          <t>0</t>
        </is>
      </c>
      <c r="I4876" t="inlineStr">
        <is>
          <t>24⁸, 48²</t>
        </is>
      </c>
      <c r="J4876" t="n">
        <v>10</v>
      </c>
      <c r="K4876" t="inlineStr">
        <is>
          <t>4², 8⁴, 16²</t>
        </is>
      </c>
      <c r="L4876" t="inlineStr">
        <is>
          <t>24K⁷</t>
        </is>
      </c>
      <c r="M4876" t="inlineStr"/>
      <c r="N4876" t="inlineStr">
        <is>
          <t>24K⁷, 12C⁰, 8D⁰, 4C⁰, 8B⁰, 8A⁰, 2B⁰, 24L², 8K⁰, 1A⁰, 8D¹, 8H¹, 24J³, 8H⁰, 24H⁴, 12A⁰, 24A¹, 24A⁰, 4A⁰, 24C¹, 12J¹, 4F⁰, 3A⁰, 6D⁰</t>
        </is>
      </c>
      <c r="O4876" t="inlineStr"/>
    </row>
    <row r="4877">
      <c r="A4877">
        <f>HYPERLINK("https://mathstats.uncg.edu/sites/pauli/congruence/csg17.html#group48BO17", "48BO¹⁷")</f>
        <v/>
      </c>
      <c r="B4877" t="n">
        <v>17</v>
      </c>
      <c r="C4877" t="inlineStr"/>
      <c r="D4877" t="inlineStr">
        <is>
          <t>288</t>
        </is>
      </c>
      <c r="E4877" t="inlineStr">
        <is>
          <t>1</t>
        </is>
      </c>
      <c r="F4877" t="inlineStr">
        <is>
          <t>72</t>
        </is>
      </c>
      <c r="G4877" t="inlineStr">
        <is>
          <t>12</t>
        </is>
      </c>
      <c r="H4877" t="inlineStr">
        <is>
          <t>0</t>
        </is>
      </c>
      <c r="I4877" t="inlineStr">
        <is>
          <t>24⁸, 48²</t>
        </is>
      </c>
      <c r="J4877" t="n">
        <v>10</v>
      </c>
      <c r="K4877" t="inlineStr">
        <is>
          <t>4², 8⁴, 16²</t>
        </is>
      </c>
      <c r="L4877" t="inlineStr">
        <is>
          <t>24K⁷, 48U⁸, 48V⁸</t>
        </is>
      </c>
      <c r="M4877" t="inlineStr"/>
      <c r="N4877" t="inlineStr">
        <is>
          <t>24K⁷, 12C⁰, 8D⁰, 4C⁰, 8B⁰, 8A⁰, 48U⁸, 2B⁰, 24L², 48V⁸, 8K⁰, 1A⁰, 8D¹, 8H¹, 24J³, 8H⁰, 24H⁴, 12A⁰, 24A¹, 24A⁰, 4A⁰, 24C¹, 12J¹, 4F⁰, 3A⁰, 6D⁰</t>
        </is>
      </c>
      <c r="O4877" t="inlineStr"/>
    </row>
    <row r="4878">
      <c r="A4878">
        <f>HYPERLINK("https://mathstats.uncg.edu/sites/pauli/congruence/csg17.html#group48BP17", "48BP¹⁷")</f>
        <v/>
      </c>
      <c r="B4878" t="n">
        <v>17</v>
      </c>
      <c r="C4878" t="inlineStr"/>
      <c r="D4878" t="inlineStr">
        <is>
          <t>288</t>
        </is>
      </c>
      <c r="E4878" t="inlineStr">
        <is>
          <t>2</t>
        </is>
      </c>
      <c r="F4878" t="inlineStr">
        <is>
          <t>18</t>
        </is>
      </c>
      <c r="G4878" t="inlineStr">
        <is>
          <t>0</t>
        </is>
      </c>
      <c r="H4878" t="inlineStr">
        <is>
          <t>0</t>
        </is>
      </c>
      <c r="I4878" t="inlineStr">
        <is>
          <t>6⁸, 12⁴, 48⁴</t>
        </is>
      </c>
      <c r="J4878" t="n">
        <v>16</v>
      </c>
      <c r="K4878" t="inlineStr">
        <is>
          <t>2¹², 4³</t>
        </is>
      </c>
      <c r="L4878" t="inlineStr">
        <is>
          <t>24D⁸, 48D⁸, 48Y⁸, 48E⁹, 48AC⁹</t>
        </is>
      </c>
      <c r="M4878" t="inlineStr"/>
      <c r="N4878" t="inlineStr">
        <is>
          <t>2A⁰, 48E⁹, 12C⁰, 24D⁸, 48G³, 8D⁰, 6C¹, 4C⁰, 48F⁴, 12B², 48Y⁸, 8C⁰, 2B⁰, 4E⁰, 4B⁰, 1A⁰, 24D⁴, 48G⁴, 48AC⁹, 24B², 6A⁰, 8G⁰, 24N⁴, 48D⁸, 24M⁴, 24C¹, 12B¹, 6A¹, 3A⁰, 2C⁰, 6D⁰, 48B⁵</t>
        </is>
      </c>
      <c r="O4878" t="inlineStr"/>
    </row>
    <row r="4879">
      <c r="A4879">
        <f>HYPERLINK("https://mathstats.uncg.edu/sites/pauli/congruence/csg17.html#group48BQ17", "48BQ¹⁷")</f>
        <v/>
      </c>
      <c r="B4879" t="n">
        <v>17</v>
      </c>
      <c r="C4879" t="inlineStr"/>
      <c r="D4879" t="inlineStr">
        <is>
          <t>288</t>
        </is>
      </c>
      <c r="E4879" t="inlineStr">
        <is>
          <t>2</t>
        </is>
      </c>
      <c r="F4879" t="inlineStr">
        <is>
          <t>18</t>
        </is>
      </c>
      <c r="G4879" t="inlineStr">
        <is>
          <t>16</t>
        </is>
      </c>
      <c r="H4879" t="inlineStr">
        <is>
          <t>0</t>
        </is>
      </c>
      <c r="I4879" t="inlineStr">
        <is>
          <t>24⁴, 48⁴</t>
        </is>
      </c>
      <c r="J4879" t="n">
        <v>8</v>
      </c>
      <c r="K4879" t="inlineStr">
        <is>
          <t>2⁶, 4⁶</t>
        </is>
      </c>
      <c r="L4879" t="inlineStr">
        <is>
          <t>24V⁵, 48T⁷, 48V⁷, 48AH⁷, 48AI⁷, 48L⁹, 48AB⁹</t>
        </is>
      </c>
      <c r="M4879" t="inlineStr"/>
      <c r="N4879" t="inlineStr">
        <is>
          <t>24E¹, 12C⁰, 4C⁰, 24P², 2B⁰, 12M¹, 1A⁰, 48T⁷, 12H², 24V⁵, 24A⁰, 48AB⁹, 24T³, 6H⁰, 3A⁰, 24H¹, 48AH⁷, 48AI⁷, 6B⁰, 24N², 24D¹, 8B⁰, 16B¹, 48C⁴, 48C³, 48V⁷, 48L⁹, 48A², 12D⁰, 48F³, 12H⁰, 6D⁰</t>
        </is>
      </c>
      <c r="O4879" t="inlineStr"/>
    </row>
    <row r="4880">
      <c r="A4880">
        <f>HYPERLINK("https://mathstats.uncg.edu/sites/pauli/congruence/csg17.html#group48BR17", "48BR¹⁷")</f>
        <v/>
      </c>
      <c r="B4880" t="n">
        <v>17</v>
      </c>
      <c r="C4880" t="inlineStr"/>
      <c r="D4880" t="inlineStr">
        <is>
          <t>288</t>
        </is>
      </c>
      <c r="E4880" t="inlineStr">
        <is>
          <t>2</t>
        </is>
      </c>
      <c r="F4880" t="inlineStr">
        <is>
          <t>18</t>
        </is>
      </c>
      <c r="G4880" t="inlineStr">
        <is>
          <t>16</t>
        </is>
      </c>
      <c r="H4880" t="inlineStr">
        <is>
          <t>0</t>
        </is>
      </c>
      <c r="I4880" t="inlineStr">
        <is>
          <t>24⁴, 48⁴</t>
        </is>
      </c>
      <c r="J4880" t="n">
        <v>8</v>
      </c>
      <c r="K4880" t="inlineStr">
        <is>
          <t>2⁶, 4⁶</t>
        </is>
      </c>
      <c r="L4880" t="inlineStr">
        <is>
          <t>24W⁵, 48S⁷, 48U⁷, 48AH⁷, 48AI⁷, 48K⁹, 48AB⁹</t>
        </is>
      </c>
      <c r="M4880" t="inlineStr"/>
      <c r="N4880" t="inlineStr">
        <is>
          <t>12I², 24E¹, 24O², 24Q³, 12C⁰, 4C⁰, 24P², 2B⁰, 12M¹, 24P³, 1A⁰, 24W⁵, 48S⁷, 24A⁰, 48AB⁹, 6H⁰, 3A⁰, 24H¹, 48AH⁷, 48AI⁷, 6B⁰, 8D⁰, 48K⁹, 24D¹, 8B⁰, 12F⁰, 48U⁷, 24L², 48C⁴, 8H⁰, 12A⁰, 4A⁰, 24C¹, 48A², 12J¹, 12D⁰, 4F⁰, 48F³, 12H⁰, 6D⁰</t>
        </is>
      </c>
      <c r="O4880" t="inlineStr"/>
    </row>
    <row r="4881">
      <c r="A4881">
        <f>HYPERLINK("https://mathstats.uncg.edu/sites/pauli/congruence/csg17.html#group48BS17", "48BS¹⁷")</f>
        <v/>
      </c>
      <c r="B4881" t="n">
        <v>17</v>
      </c>
      <c r="C4881" t="inlineStr"/>
      <c r="D4881" t="inlineStr">
        <is>
          <t>288</t>
        </is>
      </c>
      <c r="E4881" t="inlineStr">
        <is>
          <t>2</t>
        </is>
      </c>
      <c r="F4881" t="inlineStr">
        <is>
          <t>36</t>
        </is>
      </c>
      <c r="G4881" t="inlineStr">
        <is>
          <t>0</t>
        </is>
      </c>
      <c r="H4881" t="inlineStr">
        <is>
          <t>0</t>
        </is>
      </c>
      <c r="I4881" t="inlineStr">
        <is>
          <t>6⁸, 12⁴, 48⁴</t>
        </is>
      </c>
      <c r="J4881" t="n">
        <v>16</v>
      </c>
      <c r="K4881" t="inlineStr">
        <is>
          <t>2¹², 4⁶, 8³</t>
        </is>
      </c>
      <c r="L4881" t="inlineStr">
        <is>
          <t>24E⁸, 48K⁸, 48M⁸, 48Y⁸, 48P⁹, 48AA⁹, 48AC⁹</t>
        </is>
      </c>
      <c r="M4881" t="inlineStr"/>
      <c r="N4881" t="inlineStr">
        <is>
          <t>6B⁰, 48K⁸, 12D², 24J⁴, 48F⁴, 48Y⁸, 8C⁰, 2B⁰, 4B⁰, 1A⁰, 48G⁴, 48AC⁹, 24B², 48AA⁹, 48P⁹, 12C¹, 16D⁰, 24M⁴, 24D², 48M⁸, 24E⁸, 12B¹, 6H⁰, 3A⁰, 6D⁰, 48D⁴, 48B⁵</t>
        </is>
      </c>
      <c r="O4881" t="inlineStr"/>
    </row>
    <row r="4882">
      <c r="A4882">
        <f>HYPERLINK("https://mathstats.uncg.edu/sites/pauli/congruence/csg17.html#group48BT17", "48BT¹⁷")</f>
        <v/>
      </c>
      <c r="B4882" t="n">
        <v>17</v>
      </c>
      <c r="C4882" t="inlineStr"/>
      <c r="D4882" t="inlineStr">
        <is>
          <t>288</t>
        </is>
      </c>
      <c r="E4882" t="inlineStr">
        <is>
          <t>2</t>
        </is>
      </c>
      <c r="F4882" t="inlineStr">
        <is>
          <t>36</t>
        </is>
      </c>
      <c r="G4882" t="inlineStr">
        <is>
          <t>0</t>
        </is>
      </c>
      <c r="H4882" t="inlineStr">
        <is>
          <t>0</t>
        </is>
      </c>
      <c r="I4882" t="inlineStr">
        <is>
          <t>6⁸, 12⁴, 48⁴</t>
        </is>
      </c>
      <c r="J4882" t="n">
        <v>16</v>
      </c>
      <c r="K4882" t="inlineStr">
        <is>
          <t>2¹², 4⁶, 8³</t>
        </is>
      </c>
      <c r="L4882" t="inlineStr">
        <is>
          <t>24F⁸, 48I⁸, 48L⁸, 48Y⁸, 48O⁹, 48AA⁹, 48AC⁹</t>
        </is>
      </c>
      <c r="M4882" t="inlineStr"/>
      <c r="N4882" t="inlineStr">
        <is>
          <t>48I⁸, 24F⁴, 6B⁰, 12D², 24J⁴, 48F⁴, 48Y⁸, 8C⁰, 2B⁰, 8I⁰, 4B⁰, 1A⁰, 48G⁴, 48AC⁹, 24B², 48AA⁹, 48L⁸, 12C¹, 24F⁸, 24M⁴, 24D², 48O⁹, 12B¹, 6H⁰, 3A⁰, 6D⁰, 48B⁵</t>
        </is>
      </c>
      <c r="O4882" t="inlineStr"/>
    </row>
    <row r="4883">
      <c r="A4883">
        <f>HYPERLINK("https://mathstats.uncg.edu/sites/pauli/congruence/csg17.html#group48BU17", "48BU¹⁷")</f>
        <v/>
      </c>
      <c r="B4883" t="n">
        <v>17</v>
      </c>
      <c r="C4883" t="inlineStr"/>
      <c r="D4883" t="inlineStr">
        <is>
          <t>288</t>
        </is>
      </c>
      <c r="E4883" t="inlineStr">
        <is>
          <t>2</t>
        </is>
      </c>
      <c r="F4883" t="inlineStr">
        <is>
          <t>36</t>
        </is>
      </c>
      <c r="G4883" t="inlineStr">
        <is>
          <t>8</t>
        </is>
      </c>
      <c r="H4883" t="inlineStr">
        <is>
          <t>0</t>
        </is>
      </c>
      <c r="I4883" t="inlineStr">
        <is>
          <t>12⁸, 48⁴</t>
        </is>
      </c>
      <c r="J4883" t="n">
        <v>12</v>
      </c>
      <c r="K4883" t="inlineStr">
        <is>
          <t>2⁶, 4³, 8⁶</t>
        </is>
      </c>
      <c r="L4883" t="inlineStr">
        <is>
          <t>48I⁶, 24AD⁷, 48O⁸, 48Q⁸, 48Z⁸, 48U⁹, 48AD⁹</t>
        </is>
      </c>
      <c r="M4883" t="inlineStr"/>
      <c r="N4883" t="inlineStr">
        <is>
          <t>24O², 48AD⁹, 24Q³, 24E¹, 12C⁰, 48G³, 24P⁴, 48O⁸, 48Z⁸, 4C⁰, 2B⁰, 12M¹, 24C², 1A⁰, 12H², 48E⁴, 24S³, 24T³, 6H⁰, 3A⁰, 24AD⁷, 6B⁰, 48I⁶, 8D⁰, 48H⁴, 24D¹, 48U⁹, 48Q⁸, 16C¹, 24C¹, 12D⁰, 12H⁰, 24L⁴, 6D⁰</t>
        </is>
      </c>
      <c r="O4883" t="inlineStr"/>
    </row>
    <row r="4884">
      <c r="A4884">
        <f>HYPERLINK("https://mathstats.uncg.edu/sites/pauli/congruence/csg17.html#group48BV17", "48BV¹⁷")</f>
        <v/>
      </c>
      <c r="B4884" t="n">
        <v>17</v>
      </c>
      <c r="C4884" t="inlineStr"/>
      <c r="D4884" t="inlineStr">
        <is>
          <t>288</t>
        </is>
      </c>
      <c r="E4884" t="inlineStr">
        <is>
          <t>2</t>
        </is>
      </c>
      <c r="F4884" t="inlineStr">
        <is>
          <t>36</t>
        </is>
      </c>
      <c r="G4884" t="inlineStr">
        <is>
          <t>8</t>
        </is>
      </c>
      <c r="H4884" t="inlineStr">
        <is>
          <t>0</t>
        </is>
      </c>
      <c r="I4884" t="inlineStr">
        <is>
          <t>12⁸, 48⁴</t>
        </is>
      </c>
      <c r="J4884" t="n">
        <v>12</v>
      </c>
      <c r="K4884" t="inlineStr">
        <is>
          <t>2⁶, 4³, 8⁶</t>
        </is>
      </c>
      <c r="L4884" t="inlineStr">
        <is>
          <t>48J⁶, 24AD⁷, 48N⁸, 48P⁸, 48Z⁸, 48T⁹, 48AD⁹</t>
        </is>
      </c>
      <c r="M4884" t="inlineStr"/>
      <c r="N4884" t="inlineStr">
        <is>
          <t>24O², 48AD⁹, 24Q³, 24E¹, 12C⁰, 48G³, 24P⁴, 48Z⁸, 4C⁰, 2B⁰, 12M¹, 24C², 1A⁰, 16E⁰, 12H², 24S³, 24T³, 48N⁸, 48D³, 6H⁰, 3A⁰, 24AD⁷, 48T⁹, 6B⁰, 8D⁰, 48H⁴, 24D¹, 48P⁸, 48J⁶, 24C¹, 12D⁰, 12H⁰, 24L⁴, 6D⁰</t>
        </is>
      </c>
      <c r="O4884" t="inlineStr"/>
    </row>
    <row r="4885">
      <c r="A4885">
        <f>HYPERLINK("https://mathstats.uncg.edu/sites/pauli/congruence/csg17.html#group48BW17", "48BW¹⁷")</f>
        <v/>
      </c>
      <c r="B4885" t="n">
        <v>17</v>
      </c>
      <c r="C4885" t="inlineStr"/>
      <c r="D4885" t="inlineStr">
        <is>
          <t>288</t>
        </is>
      </c>
      <c r="E4885" t="inlineStr">
        <is>
          <t>2</t>
        </is>
      </c>
      <c r="F4885" t="inlineStr">
        <is>
          <t>36</t>
        </is>
      </c>
      <c r="G4885" t="inlineStr">
        <is>
          <t>16</t>
        </is>
      </c>
      <c r="H4885" t="inlineStr">
        <is>
          <t>0</t>
        </is>
      </c>
      <c r="I4885" t="inlineStr">
        <is>
          <t>24⁴, 48⁴</t>
        </is>
      </c>
      <c r="J4885" t="n">
        <v>8</v>
      </c>
      <c r="K4885" t="inlineStr">
        <is>
          <t>4⁶, 8⁶</t>
        </is>
      </c>
      <c r="L4885" t="inlineStr">
        <is>
          <t>24AB⁷, 48U⁷, 48AB⁷</t>
        </is>
      </c>
      <c r="M4885" t="inlineStr"/>
      <c r="N4885" t="inlineStr">
        <is>
          <t>24O⁴, 12C⁰, 8D⁰, 4C⁰, 8B⁰, 2B⁰, 24B¹, 24L², 1A⁰, 8H⁰, 48AB⁷, 12A⁰, 24A⁰, 4A⁰, 6D⁰, 24C¹, 48A², 48F³, 24AB⁷, 12J¹, 4F⁰, 24R³, 3A⁰, 48U⁷</t>
        </is>
      </c>
      <c r="O4885" t="inlineStr"/>
    </row>
    <row r="4886">
      <c r="A4886">
        <f>HYPERLINK("https://mathstats.uncg.edu/sites/pauli/congruence/csg17.html#group48BX17", "48BX¹⁷")</f>
        <v/>
      </c>
      <c r="B4886" t="n">
        <v>17</v>
      </c>
      <c r="C4886" t="inlineStr"/>
      <c r="D4886" t="inlineStr">
        <is>
          <t>288</t>
        </is>
      </c>
      <c r="E4886" t="inlineStr">
        <is>
          <t>2</t>
        </is>
      </c>
      <c r="F4886" t="inlineStr">
        <is>
          <t>36</t>
        </is>
      </c>
      <c r="G4886" t="inlineStr">
        <is>
          <t>16</t>
        </is>
      </c>
      <c r="H4886" t="inlineStr">
        <is>
          <t>0</t>
        </is>
      </c>
      <c r="I4886" t="inlineStr">
        <is>
          <t>24⁴, 48⁴</t>
        </is>
      </c>
      <c r="J4886" t="n">
        <v>8</v>
      </c>
      <c r="K4886" t="inlineStr">
        <is>
          <t>2⁶, 4³, 8⁶</t>
        </is>
      </c>
      <c r="L4886" t="inlineStr">
        <is>
          <t>24AC⁷, 48U⁷, 48AC⁷</t>
        </is>
      </c>
      <c r="M4886" t="inlineStr"/>
      <c r="N4886" t="inlineStr">
        <is>
          <t>12C⁰, 24AC⁷, 48G³, 48AC⁷, 48H⁴, 8D⁰, 4C⁰, 8B⁰, 2B⁰, 24L², 1A⁰, 8H⁰, 12A⁰, 24A⁰, 4A⁰, 6D⁰, 24C¹, 48A², 12J¹, 4F⁰, 48F³, 3A⁰, 48U⁷</t>
        </is>
      </c>
      <c r="O4886" t="inlineStr"/>
    </row>
    <row r="4887">
      <c r="A4887">
        <f>HYPERLINK("https://mathstats.uncg.edu/sites/pauli/congruence/csg17.html#group48BY17", "48BY¹⁷")</f>
        <v/>
      </c>
      <c r="B4887" t="n">
        <v>17</v>
      </c>
      <c r="C4887" t="inlineStr"/>
      <c r="D4887" t="inlineStr">
        <is>
          <t>288</t>
        </is>
      </c>
      <c r="E4887" t="inlineStr">
        <is>
          <t>2</t>
        </is>
      </c>
      <c r="F4887" t="inlineStr">
        <is>
          <t>36</t>
        </is>
      </c>
      <c r="G4887" t="inlineStr">
        <is>
          <t>16</t>
        </is>
      </c>
      <c r="H4887" t="inlineStr">
        <is>
          <t>0</t>
        </is>
      </c>
      <c r="I4887" t="inlineStr">
        <is>
          <t>24⁴, 48⁴</t>
        </is>
      </c>
      <c r="J4887" t="n">
        <v>8</v>
      </c>
      <c r="K4887" t="inlineStr">
        <is>
          <t>4¹⁴, 8²</t>
        </is>
      </c>
      <c r="L4887" t="inlineStr">
        <is>
          <t>24X⁵, 48T⁷, 48AD⁷, 48AC⁸, 48AE⁸, 48AF⁸</t>
        </is>
      </c>
      <c r="M4887" t="inlineStr"/>
      <c r="N4887" t="inlineStr">
        <is>
          <t>24X⁵, 6B⁰, 12C⁰, 3A⁰, 48AF⁸, 6H⁰, 4C⁰, 24D¹, 8B⁰, 24Q², 16B¹, 2B⁰, 1A⁰, 48AE⁸, 48H³, 48AD⁷, 48T⁷, 48C³, 24A⁰, 48F³, 12D⁰, 48AC⁸, 12H⁰, 24H¹, 6D⁰</t>
        </is>
      </c>
      <c r="O4887" t="inlineStr"/>
    </row>
    <row r="4888">
      <c r="A4888">
        <f>HYPERLINK("https://mathstats.uncg.edu/sites/pauli/congruence/csg17.html#group48BZ17", "48BZ¹⁷")</f>
        <v/>
      </c>
      <c r="B4888" t="n">
        <v>17</v>
      </c>
      <c r="C4888" t="inlineStr"/>
      <c r="D4888" t="inlineStr">
        <is>
          <t>288</t>
        </is>
      </c>
      <c r="E4888" t="inlineStr">
        <is>
          <t>2</t>
        </is>
      </c>
      <c r="F4888" t="inlineStr">
        <is>
          <t>36</t>
        </is>
      </c>
      <c r="G4888" t="inlineStr">
        <is>
          <t>16</t>
        </is>
      </c>
      <c r="H4888" t="inlineStr">
        <is>
          <t>0</t>
        </is>
      </c>
      <c r="I4888" t="inlineStr">
        <is>
          <t>24⁴, 48⁴</t>
        </is>
      </c>
      <c r="J4888" t="n">
        <v>8</v>
      </c>
      <c r="K4888" t="inlineStr">
        <is>
          <t>4¹⁸</t>
        </is>
      </c>
      <c r="L4888" t="inlineStr">
        <is>
          <t>24G⁶, 48U⁷, 48AJ⁷, 48R⁸, 48AE⁸, 48AF⁸</t>
        </is>
      </c>
      <c r="M4888" t="inlineStr"/>
      <c r="N4888" t="inlineStr">
        <is>
          <t>12C⁰, 48AF⁸, 48R⁸, 8D⁰, 4C⁰, 8B⁰, 24Q², 48AJ⁷, 2B⁰, 24L², 1A⁰, 48AE⁸, 48H³, 8H⁰, 24G⁶, 12A⁰, 24A⁰, 4A⁰, 6D⁰, 24C¹, 48A², 12J¹, 4F⁰, 48F³, 3A⁰, 48U⁷</t>
        </is>
      </c>
      <c r="O4888" t="inlineStr"/>
    </row>
    <row r="4889">
      <c r="A4889">
        <f>HYPERLINK("https://mathstats.uncg.edu/sites/pauli/congruence/csg17.html#group48CA17", "48CA¹⁷")</f>
        <v/>
      </c>
      <c r="B4889" t="n">
        <v>17</v>
      </c>
      <c r="C4889" t="inlineStr"/>
      <c r="D4889" t="inlineStr">
        <is>
          <t>288</t>
        </is>
      </c>
      <c r="E4889" t="inlineStr">
        <is>
          <t>2</t>
        </is>
      </c>
      <c r="F4889" t="inlineStr">
        <is>
          <t>36</t>
        </is>
      </c>
      <c r="G4889" t="inlineStr">
        <is>
          <t>16</t>
        </is>
      </c>
      <c r="H4889" t="inlineStr">
        <is>
          <t>0</t>
        </is>
      </c>
      <c r="I4889" t="inlineStr">
        <is>
          <t>24⁴, 48⁴</t>
        </is>
      </c>
      <c r="J4889" t="n">
        <v>8</v>
      </c>
      <c r="K4889" t="inlineStr">
        <is>
          <t>2⁸, 4¹⁰, 8²</t>
        </is>
      </c>
      <c r="L4889" t="inlineStr">
        <is>
          <t>24Y⁵, 48T⁷, 48AE⁷, 48X⁸, 48AA⁸, 48AC⁸, 48AD⁸</t>
        </is>
      </c>
      <c r="M4889" t="inlineStr"/>
      <c r="N4889" t="inlineStr">
        <is>
          <t>6B⁰, 12C⁰, 3A⁰, 48X⁸, 6H⁰, 4C⁰, 24D¹, 8B⁰, 16B¹, 24Q², 24Y⁵, 2B⁰, 8L⁰, 1A⁰, 48AD⁸, 48H³, 48AC⁸, 48T⁷, 48C³, 16D¹, 24A⁰, 48E³, 16F², 6D⁰, 24M², 48F³, 12D⁰, 48AE⁷, 12H⁰, 24H¹, 48AA⁸</t>
        </is>
      </c>
      <c r="O4889" t="inlineStr"/>
    </row>
    <row r="4890">
      <c r="A4890">
        <f>HYPERLINK("https://mathstats.uncg.edu/sites/pauli/congruence/csg17.html#group48CB17", "48CB¹⁷")</f>
        <v/>
      </c>
      <c r="B4890" t="n">
        <v>17</v>
      </c>
      <c r="C4890" t="inlineStr"/>
      <c r="D4890" t="inlineStr">
        <is>
          <t>288</t>
        </is>
      </c>
      <c r="E4890" t="inlineStr">
        <is>
          <t>2</t>
        </is>
      </c>
      <c r="F4890" t="inlineStr">
        <is>
          <t>36</t>
        </is>
      </c>
      <c r="G4890" t="inlineStr">
        <is>
          <t>16</t>
        </is>
      </c>
      <c r="H4890" t="inlineStr">
        <is>
          <t>0</t>
        </is>
      </c>
      <c r="I4890" t="inlineStr">
        <is>
          <t>24⁴, 48⁴</t>
        </is>
      </c>
      <c r="J4890" t="n">
        <v>8</v>
      </c>
      <c r="K4890" t="inlineStr">
        <is>
          <t>2⁸, 4¹⁰, 8²</t>
        </is>
      </c>
      <c r="L4890" t="inlineStr">
        <is>
          <t>24K⁶, 48V⁷, 48AF⁷, 48AG⁷, 48X⁸, 48AB⁸, 48AC⁸</t>
        </is>
      </c>
      <c r="M4890" t="inlineStr"/>
      <c r="N4890" t="inlineStr">
        <is>
          <t>48AB⁸, 48AG⁷, 24E¹, 12C⁰, 48X⁸, 4C⁰, 8B⁰, 24P², 24Q², 2B⁰, 12M¹, 16B¹, 8L⁰, 1A⁰, 48H³, 48C³, 48V⁷, 16D¹, 48E³, 24A⁰, 16F², 24M², 48A², 24K⁶, 48AC⁸, 3A⁰, 48AF⁷, 6D⁰</t>
        </is>
      </c>
      <c r="O4890" t="inlineStr"/>
    </row>
    <row r="4891">
      <c r="A4891">
        <f>HYPERLINK("https://mathstats.uncg.edu/sites/pauli/congruence/csg17.html#group48CC17", "48CC¹⁷")</f>
        <v/>
      </c>
      <c r="B4891" t="n">
        <v>17</v>
      </c>
      <c r="C4891" t="inlineStr"/>
      <c r="D4891" t="inlineStr">
        <is>
          <t>288</t>
        </is>
      </c>
      <c r="E4891" t="inlineStr">
        <is>
          <t>2</t>
        </is>
      </c>
      <c r="F4891" t="inlineStr">
        <is>
          <t>36</t>
        </is>
      </c>
      <c r="G4891" t="inlineStr">
        <is>
          <t>16</t>
        </is>
      </c>
      <c r="H4891" t="inlineStr">
        <is>
          <t>0</t>
        </is>
      </c>
      <c r="I4891" t="inlineStr">
        <is>
          <t>24⁴, 48⁴</t>
        </is>
      </c>
      <c r="J4891" t="n">
        <v>8</v>
      </c>
      <c r="K4891" t="inlineStr">
        <is>
          <t>2¹², 4⁶, 8³</t>
        </is>
      </c>
      <c r="L4891" t="inlineStr">
        <is>
          <t>24X⁵, 48AE⁷, 48AG⁷, 48AH⁷, 48AJ⁷, 48Y⁹, 48AE⁹</t>
        </is>
      </c>
      <c r="M4891" t="inlineStr"/>
      <c r="N4891" t="inlineStr">
        <is>
          <t>24X⁵, 48AG⁷, 48AH⁷, 6B⁰, 12C⁰, 3A⁰, 6H⁰, 4C⁰, 24D¹, 8B⁰, 24Q², 48AJ⁷, 2B⁰, 1A⁰, 48H³, 48C⁴, 48Y⁹, 16D¹, 24A⁰, 48E³, 48AE⁹, 48A², 12D⁰, 48AE⁷, 12H⁰, 24H¹, 6D⁰</t>
        </is>
      </c>
      <c r="O4891" t="inlineStr"/>
    </row>
    <row r="4892">
      <c r="A4892">
        <f>HYPERLINK("https://mathstats.uncg.edu/sites/pauli/congruence/csg17.html#group48CD17", "48CD¹⁷")</f>
        <v/>
      </c>
      <c r="B4892" t="n">
        <v>17</v>
      </c>
      <c r="C4892" t="inlineStr"/>
      <c r="D4892" t="inlineStr">
        <is>
          <t>288</t>
        </is>
      </c>
      <c r="E4892" t="inlineStr">
        <is>
          <t>2</t>
        </is>
      </c>
      <c r="F4892" t="inlineStr">
        <is>
          <t>36</t>
        </is>
      </c>
      <c r="G4892" t="inlineStr">
        <is>
          <t>16</t>
        </is>
      </c>
      <c r="H4892" t="inlineStr">
        <is>
          <t>0</t>
        </is>
      </c>
      <c r="I4892" t="inlineStr">
        <is>
          <t>24⁴, 48⁴</t>
        </is>
      </c>
      <c r="J4892" t="n">
        <v>8</v>
      </c>
      <c r="K4892" t="inlineStr">
        <is>
          <t>2¹², 4⁶, 8³</t>
        </is>
      </c>
      <c r="L4892" t="inlineStr">
        <is>
          <t>24Y⁵, 48AD⁷, 48AF⁷, 48AH⁷, 48AJ⁷, 48X⁹, 48AE⁹</t>
        </is>
      </c>
      <c r="M4892" t="inlineStr"/>
      <c r="N4892" t="inlineStr">
        <is>
          <t>48AH⁷, 6B⁰, 12C⁰, 3A⁰, 4C⁰, 24D¹, 8B⁰, 24Q², 48AJ⁷, 24Y⁵, 2B⁰, 8L⁰, 1A⁰, 48H³, 48AD⁷, 48C⁴, 24A⁰, 24M², 48X⁹, 48AE⁹, 48A², 12D⁰, 6H⁰, 12H⁰, 24H¹, 48AF⁷, 6D⁰</t>
        </is>
      </c>
      <c r="O4892" t="inlineStr"/>
    </row>
    <row r="4893">
      <c r="A4893">
        <f>HYPERLINK("https://mathstats.uncg.edu/sites/pauli/congruence/csg17.html#group48CE17", "48CE¹⁷")</f>
        <v/>
      </c>
      <c r="B4893" t="n">
        <v>17</v>
      </c>
      <c r="C4893" t="inlineStr"/>
      <c r="D4893" t="inlineStr">
        <is>
          <t>288</t>
        </is>
      </c>
      <c r="E4893" t="inlineStr">
        <is>
          <t>2</t>
        </is>
      </c>
      <c r="F4893" t="inlineStr">
        <is>
          <t>36</t>
        </is>
      </c>
      <c r="G4893" t="inlineStr">
        <is>
          <t>16</t>
        </is>
      </c>
      <c r="H4893" t="inlineStr">
        <is>
          <t>0</t>
        </is>
      </c>
      <c r="I4893" t="inlineStr">
        <is>
          <t>24⁴, 48⁴</t>
        </is>
      </c>
      <c r="J4893" t="n">
        <v>8</v>
      </c>
      <c r="K4893" t="inlineStr">
        <is>
          <t>4²⁴, 8⁶</t>
        </is>
      </c>
      <c r="L4893" t="inlineStr">
        <is>
          <t>24H⁶, 48AG⁷, 48AI⁷, 48AJ⁷, 48AB⁸, 48AD⁸, 48AE⁸</t>
        </is>
      </c>
      <c r="M4893" t="inlineStr"/>
      <c r="N4893" t="inlineStr">
        <is>
          <t>48AB⁸, 48AG⁷, 48AI⁷, 24E¹, 12C⁰, 4C⁰, 8B⁰, 24P², 48AJ⁷, 2B⁰, 12M¹, 24Q², 1A⁰, 48AD⁸, 48AE⁸, 48H³, 16D¹, 48E³, 24A⁰, 24H⁶, 48A², 48F³, 3A⁰, 6D⁰</t>
        </is>
      </c>
      <c r="O4893" t="inlineStr"/>
    </row>
    <row r="4894">
      <c r="A4894">
        <f>HYPERLINK("https://mathstats.uncg.edu/sites/pauli/congruence/csg17.html#group48CF17", "48CF¹⁷")</f>
        <v/>
      </c>
      <c r="B4894" t="n">
        <v>17</v>
      </c>
      <c r="C4894" t="inlineStr"/>
      <c r="D4894" t="inlineStr">
        <is>
          <t>288</t>
        </is>
      </c>
      <c r="E4894" t="inlineStr">
        <is>
          <t>2</t>
        </is>
      </c>
      <c r="F4894" t="inlineStr">
        <is>
          <t>36</t>
        </is>
      </c>
      <c r="G4894" t="inlineStr">
        <is>
          <t>16</t>
        </is>
      </c>
      <c r="H4894" t="inlineStr">
        <is>
          <t>0</t>
        </is>
      </c>
      <c r="I4894" t="inlineStr">
        <is>
          <t>24⁴, 48⁴</t>
        </is>
      </c>
      <c r="J4894" t="n">
        <v>8</v>
      </c>
      <c r="K4894" t="inlineStr">
        <is>
          <t>4²⁴, 8⁶</t>
        </is>
      </c>
      <c r="L4894" t="inlineStr">
        <is>
          <t>24I⁶, 48AG⁷, 48AI⁷, 48AJ⁷, 48AB⁸, 48AD⁸, 48AF⁸</t>
        </is>
      </c>
      <c r="M4894" t="inlineStr"/>
      <c r="N4894" t="inlineStr">
        <is>
          <t>48AB⁸, 48AG⁷, 48AI⁷, 24I⁶, 24E¹, 12C⁰, 48AF⁸, 4C⁰, 8B⁰, 24P², 48AJ⁷, 2B⁰, 12M¹, 24Q², 1A⁰, 48AD⁸, 48H³, 16D¹, 48E³, 24A⁰, 48A², 48F³, 3A⁰, 6D⁰</t>
        </is>
      </c>
      <c r="O4894" t="inlineStr"/>
    </row>
    <row r="4895">
      <c r="A4895">
        <f>HYPERLINK("https://mathstats.uncg.edu/sites/pauli/congruence/csg17.html#group48CG17", "48CG¹⁷")</f>
        <v/>
      </c>
      <c r="B4895" t="n">
        <v>17</v>
      </c>
      <c r="C4895" t="inlineStr"/>
      <c r="D4895" t="inlineStr">
        <is>
          <t>288</t>
        </is>
      </c>
      <c r="E4895" t="inlineStr">
        <is>
          <t>2</t>
        </is>
      </c>
      <c r="F4895" t="inlineStr">
        <is>
          <t>36</t>
        </is>
      </c>
      <c r="G4895" t="inlineStr">
        <is>
          <t>16</t>
        </is>
      </c>
      <c r="H4895" t="inlineStr">
        <is>
          <t>0</t>
        </is>
      </c>
      <c r="I4895" t="inlineStr">
        <is>
          <t>24⁴, 48⁴</t>
        </is>
      </c>
      <c r="J4895" t="n">
        <v>8</v>
      </c>
      <c r="K4895" t="inlineStr">
        <is>
          <t>4²⁴, 8⁶</t>
        </is>
      </c>
      <c r="L4895" t="inlineStr">
        <is>
          <t>24K⁶, 48AF⁷, 48AI⁷, 48AJ⁷, 48S⁸, 48AA⁸, 48AE⁸</t>
        </is>
      </c>
      <c r="M4895" t="inlineStr"/>
      <c r="N4895" t="inlineStr">
        <is>
          <t>48AI⁷, 24E¹, 12C⁰, 4C⁰, 8B⁰, 24P², 48AJ⁷, 12M¹, 2B⁰, 8L⁰, 24Q², 1A⁰, 48AE⁸, 48H³, 48S⁸, 24A⁰, 6D⁰, 24M², 48A², 24K⁶, 48F³, 3A⁰, 48AF⁷, 48AA⁸</t>
        </is>
      </c>
      <c r="O4895" t="inlineStr"/>
    </row>
    <row r="4896">
      <c r="A4896">
        <f>HYPERLINK("https://mathstats.uncg.edu/sites/pauli/congruence/csg17.html#group48CH17", "48CH¹⁷")</f>
        <v/>
      </c>
      <c r="B4896" t="n">
        <v>17</v>
      </c>
      <c r="C4896" t="inlineStr"/>
      <c r="D4896" t="inlineStr">
        <is>
          <t>288</t>
        </is>
      </c>
      <c r="E4896" t="inlineStr">
        <is>
          <t>2</t>
        </is>
      </c>
      <c r="F4896" t="inlineStr">
        <is>
          <t>36</t>
        </is>
      </c>
      <c r="G4896" t="inlineStr">
        <is>
          <t>16</t>
        </is>
      </c>
      <c r="H4896" t="inlineStr">
        <is>
          <t>0</t>
        </is>
      </c>
      <c r="I4896" t="inlineStr">
        <is>
          <t>24⁴, 48⁴</t>
        </is>
      </c>
      <c r="J4896" t="n">
        <v>8</v>
      </c>
      <c r="K4896" t="inlineStr">
        <is>
          <t>4²⁴, 8⁶</t>
        </is>
      </c>
      <c r="L4896" t="inlineStr">
        <is>
          <t>24K⁶, 48AF⁷, 48AI⁷, 48AJ⁷, 48T⁸, 48AA⁸, 48AF⁸</t>
        </is>
      </c>
      <c r="M4896" t="inlineStr"/>
      <c r="N4896" t="inlineStr">
        <is>
          <t>48AI⁷, 24E¹, 12C⁰, 48AF⁸, 4C⁰, 8B⁰, 48T⁸, 24P², 48AJ⁷, 12M¹, 2B⁰, 24Q², 8L⁰, 1A⁰, 48H³, 24A⁰, 6D⁰, 24M², 48A², 24K⁶, 48F³, 3A⁰, 48AF⁷, 48AA⁸</t>
        </is>
      </c>
      <c r="O4896" t="inlineStr"/>
    </row>
    <row r="4897">
      <c r="A4897">
        <f>HYPERLINK("https://mathstats.uncg.edu/sites/pauli/congruence/csg17.html#group48CI17", "48CI¹⁷")</f>
        <v/>
      </c>
      <c r="B4897" t="n">
        <v>17</v>
      </c>
      <c r="C4897" t="inlineStr"/>
      <c r="D4897" t="inlineStr">
        <is>
          <t>288</t>
        </is>
      </c>
      <c r="E4897" t="inlineStr">
        <is>
          <t>2</t>
        </is>
      </c>
      <c r="F4897" t="inlineStr">
        <is>
          <t>72</t>
        </is>
      </c>
      <c r="G4897" t="inlineStr">
        <is>
          <t>8</t>
        </is>
      </c>
      <c r="H4897" t="inlineStr">
        <is>
          <t>0</t>
        </is>
      </c>
      <c r="I4897" t="inlineStr">
        <is>
          <t>12⁸, 48⁴</t>
        </is>
      </c>
      <c r="J4897" t="n">
        <v>12</v>
      </c>
      <c r="K4897" t="inlineStr">
        <is>
          <t>4¹², 8¹²</t>
        </is>
      </c>
      <c r="L4897" t="inlineStr">
        <is>
          <t>48K⁶, 24AE⁷, 48W⁸</t>
        </is>
      </c>
      <c r="M4897" t="inlineStr"/>
      <c r="N4897" t="inlineStr">
        <is>
          <t>12I², 24E¹, 12C⁰, 24P⁴, 4C⁰, 2B⁰, 12M¹, 24P³, 24C², 48K⁶, 1A⁰, 24AE⁷, 24S³, 24T³, 6H⁰, 3A⁰, 6B⁰, 24N², 48W⁸, 24D¹, 12F⁰, 12A⁰, 4A⁰, 24K⁴, 12J¹, 12D⁰, 4F⁰, 12H⁰, 6D⁰</t>
        </is>
      </c>
      <c r="O4897" t="inlineStr"/>
    </row>
    <row r="4898">
      <c r="A4898">
        <f>HYPERLINK("https://mathstats.uncg.edu/sites/pauli/congruence/csg17.html#group48CJ17", "48CJ¹⁷")</f>
        <v/>
      </c>
      <c r="B4898" t="n">
        <v>17</v>
      </c>
      <c r="C4898" t="inlineStr"/>
      <c r="D4898" t="inlineStr">
        <is>
          <t>384</t>
        </is>
      </c>
      <c r="E4898" t="inlineStr">
        <is>
          <t>1</t>
        </is>
      </c>
      <c r="F4898" t="inlineStr">
        <is>
          <t>24</t>
        </is>
      </c>
      <c r="G4898" t="inlineStr">
        <is>
          <t>0</t>
        </is>
      </c>
      <c r="H4898" t="inlineStr">
        <is>
          <t>0</t>
        </is>
      </c>
      <c r="I4898" t="inlineStr">
        <is>
          <t>2⁸, 4⁴, 6⁸, 12⁴, 16⁴, 48⁴</t>
        </is>
      </c>
      <c r="J4898" t="n">
        <v>32</v>
      </c>
      <c r="K4898" t="inlineStr">
        <is>
          <t>1⁸, 2⁶, 4¹</t>
        </is>
      </c>
      <c r="L4898" t="inlineStr">
        <is>
          <t>24AH⁷, 48AK⁷, 48AN⁷, 48AK⁹, 48AL⁹</t>
        </is>
      </c>
      <c r="M4898" t="inlineStr"/>
      <c r="N4898" t="inlineStr">
        <is>
          <t>2A⁰, 48AL⁹, 24V³, 24G¹, 4C⁰, 24AH⁷, 16A¹, 8C⁰, 2B⁰, 4E⁰, 4B⁰, 1A⁰, 48AN⁷, 8G⁰, 48J³, 16C⁰, 48AK⁹, 6F⁰, 3B⁰, 24Z³, 8D⁰, 12F¹, 48K³, 6I⁰, 6C⁰, 16E¹, 12P¹, 48AK⁷, 24X³, 24I², 48D⁵, 2C⁰, 12E⁰</t>
        </is>
      </c>
      <c r="O4898" t="inlineStr"/>
    </row>
    <row r="4899">
      <c r="A4899">
        <f>HYPERLINK("https://mathstats.uncg.edu/sites/pauli/congruence/csg17.html#group48CK17", "48CK¹⁷")</f>
        <v/>
      </c>
      <c r="B4899" t="n">
        <v>17</v>
      </c>
      <c r="C4899" t="inlineStr"/>
      <c r="D4899" t="inlineStr">
        <is>
          <t>384</t>
        </is>
      </c>
      <c r="E4899" t="inlineStr">
        <is>
          <t>1</t>
        </is>
      </c>
      <c r="F4899" t="inlineStr">
        <is>
          <t>24</t>
        </is>
      </c>
      <c r="G4899" t="inlineStr">
        <is>
          <t>0</t>
        </is>
      </c>
      <c r="H4899" t="inlineStr">
        <is>
          <t>0</t>
        </is>
      </c>
      <c r="I4899" t="inlineStr">
        <is>
          <t>2⁸, 4⁴, 6⁸, 12⁴, 16⁴, 48⁴</t>
        </is>
      </c>
      <c r="J4899" t="n">
        <v>32</v>
      </c>
      <c r="K4899" t="inlineStr">
        <is>
          <t>1⁸, 2⁶, 4¹</t>
        </is>
      </c>
      <c r="L4899" t="inlineStr">
        <is>
          <t>24AH⁷, 48AL⁷, 48AM⁷, 48AH⁹, 48AM⁹</t>
        </is>
      </c>
      <c r="M4899" t="inlineStr"/>
      <c r="N4899" t="inlineStr">
        <is>
          <t>48C⁵, 16G⁰, 2A⁰, 3B⁰, 24V³, 24Z³, 8D⁰, 12F¹, 6I⁰, 24G¹, 4C⁰, 6C⁰, 24AH⁷, 8C⁰, 4E⁰, 2B⁰, 12P¹, 4B⁰, 48AM⁹, 1A⁰, 16E⁰, 24X³, 48AL⁷, 48AH⁹, 24I², 8G⁰, 48J⁴, 48AM⁷, 16D⁰, 48I³, 6F⁰, 2C⁰, 12E⁰, 48L³</t>
        </is>
      </c>
      <c r="O4899" t="inlineStr"/>
    </row>
    <row r="4900">
      <c r="A4900">
        <f>HYPERLINK("https://mathstats.uncg.edu/sites/pauli/congruence/csg17.html#group48CL17", "48CL¹⁷")</f>
        <v/>
      </c>
      <c r="B4900" t="n">
        <v>17</v>
      </c>
      <c r="C4900" t="inlineStr"/>
      <c r="D4900" t="inlineStr">
        <is>
          <t>384</t>
        </is>
      </c>
      <c r="E4900" t="inlineStr">
        <is>
          <t>1</t>
        </is>
      </c>
      <c r="F4900" t="inlineStr">
        <is>
          <t>24</t>
        </is>
      </c>
      <c r="G4900" t="inlineStr">
        <is>
          <t>0</t>
        </is>
      </c>
      <c r="H4900" t="inlineStr">
        <is>
          <t>0</t>
        </is>
      </c>
      <c r="I4900" t="inlineStr">
        <is>
          <t>2⁸, 4⁴, 6⁸, 12⁴, 16⁴, 48⁴</t>
        </is>
      </c>
      <c r="J4900" t="n">
        <v>32</v>
      </c>
      <c r="K4900" t="inlineStr">
        <is>
          <t>1⁸, 2⁶, 4¹</t>
        </is>
      </c>
      <c r="L4900" t="inlineStr">
        <is>
          <t>24AI⁷, 48AK⁷, 48AO⁷, 48AH⁹, 48AN⁹</t>
        </is>
      </c>
      <c r="M4900" t="inlineStr"/>
      <c r="N4900" t="inlineStr">
        <is>
          <t>2A⁰, 24V³, 24AI⁷, 24AA³, 24G¹, 4C⁰, 8C⁰, 2B⁰, 4E⁰, 4B⁰, 1A⁰, 48AH⁹, 8G⁰, 48I³, 6F⁰, 48C⁵, 3B⁰, 8D⁰, 12F¹, 48K³, 6I⁰, 6C⁰, 48AO⁷, 8I⁰, 12P¹, 48AK⁷, 24I², 48AN⁹, 24Y³, 8J⁰, 2C⁰, 12E⁰, 8O⁰</t>
        </is>
      </c>
      <c r="O4900" t="inlineStr"/>
    </row>
    <row r="4901">
      <c r="A4901">
        <f>HYPERLINK("https://mathstats.uncg.edu/sites/pauli/congruence/csg17.html#group48CM17", "48CM¹⁷")</f>
        <v/>
      </c>
      <c r="B4901" t="n">
        <v>17</v>
      </c>
      <c r="C4901" t="inlineStr"/>
      <c r="D4901" t="inlineStr">
        <is>
          <t>384</t>
        </is>
      </c>
      <c r="E4901" t="inlineStr">
        <is>
          <t>1</t>
        </is>
      </c>
      <c r="F4901" t="inlineStr">
        <is>
          <t>24</t>
        </is>
      </c>
      <c r="G4901" t="inlineStr">
        <is>
          <t>0</t>
        </is>
      </c>
      <c r="H4901" t="inlineStr">
        <is>
          <t>0</t>
        </is>
      </c>
      <c r="I4901" t="inlineStr">
        <is>
          <t>2⁸, 4⁴, 6⁸, 12⁴, 16⁴, 48⁴</t>
        </is>
      </c>
      <c r="J4901" t="n">
        <v>32</v>
      </c>
      <c r="K4901" t="inlineStr">
        <is>
          <t>1⁸, 2⁶, 4¹</t>
        </is>
      </c>
      <c r="L4901" t="inlineStr">
        <is>
          <t>16M¹, 24AI⁷, 48AL⁷, 48AP⁷, 48AK⁹, 48AO⁹</t>
        </is>
      </c>
      <c r="M4901" t="inlineStr"/>
      <c r="N4901" t="inlineStr">
        <is>
          <t>16G⁰, 2A⁰, 24V³, 24AI⁷, 24AA³, 24G¹, 4C⁰, 16A¹, 8C⁰, 4E⁰, 2B⁰, 4B⁰, 1A⁰, 16H⁰, 16E⁰, 48AL⁷, 8G⁰, 48J³, 16C⁰, 48AK⁹, 16M¹, 48AO⁹, 6F⁰, 48L³, 3B⁰, 8D⁰, 12F¹, 6I⁰, 16E¹, 6C⁰, 8I⁰, 12P¹, 24I², 16G¹, 48J⁴, 16D⁰, 24Y³, 48D⁵, 8J⁰, 2C⁰, 48AP⁷, 12E⁰, 8O⁰</t>
        </is>
      </c>
      <c r="O4901" t="inlineStr"/>
    </row>
    <row r="4902">
      <c r="A4902">
        <f>HYPERLINK("https://mathstats.uncg.edu/sites/pauli/congruence/csg17.html#group48CN17", "48CN¹⁷")</f>
        <v/>
      </c>
      <c r="B4902" t="n">
        <v>17</v>
      </c>
      <c r="C4902" t="inlineStr"/>
      <c r="D4902" t="inlineStr">
        <is>
          <t>384</t>
        </is>
      </c>
      <c r="E4902" t="inlineStr">
        <is>
          <t>1</t>
        </is>
      </c>
      <c r="F4902" t="inlineStr">
        <is>
          <t>24</t>
        </is>
      </c>
      <c r="G4902" t="inlineStr">
        <is>
          <t>0</t>
        </is>
      </c>
      <c r="H4902" t="inlineStr">
        <is>
          <t>0</t>
        </is>
      </c>
      <c r="I4902" t="inlineStr">
        <is>
          <t>2⁸, 4⁴, 6⁸, 12⁴, 16⁴, 48⁴</t>
        </is>
      </c>
      <c r="J4902" t="n">
        <v>32</v>
      </c>
      <c r="K4902" t="inlineStr">
        <is>
          <t>1⁸, 2⁶, 4¹</t>
        </is>
      </c>
      <c r="L4902" t="inlineStr">
        <is>
          <t>24Z⁵, 48I⁵, 48AG⁹, 48AH⁹, 48AJ⁹, 48AI⁹, 48AK⁹</t>
        </is>
      </c>
      <c r="M4902" t="inlineStr"/>
      <c r="N4902" t="inlineStr">
        <is>
          <t>2A⁰, 24V³, 48AJ⁹, 24G¹, 4C⁰, 12I⁰, 12J⁰, 16A¹, 2B⁰, 8C⁰, 48AG⁹, 4E⁰, 4B⁰, 1A⁰, 24Z⁵, 24J¹, 24U³, 48AH⁹, 8G⁰, 48J³, 16C⁰, 48AK⁹, 48I³, 6F⁰, 48C⁵, 3B⁰, 48I⁵, 12V¹, 8D⁰, 6I⁰, 12F¹, 16E¹, 6C⁰, 12P¹, 24I², 24B⁰, 48AI⁹, 24W³, 24F², 48D⁵, 2C⁰, 12E⁰</t>
        </is>
      </c>
      <c r="O4902" t="inlineStr"/>
    </row>
    <row r="4903">
      <c r="A4903">
        <f>HYPERLINK("https://mathstats.uncg.edu/sites/pauli/congruence/csg17.html#group48CO17", "48CO¹⁷")</f>
        <v/>
      </c>
      <c r="B4903" t="n">
        <v>17</v>
      </c>
      <c r="C4903" t="inlineStr"/>
      <c r="D4903" t="inlineStr">
        <is>
          <t>384</t>
        </is>
      </c>
      <c r="E4903" t="inlineStr">
        <is>
          <t>1</t>
        </is>
      </c>
      <c r="F4903" t="inlineStr">
        <is>
          <t>48</t>
        </is>
      </c>
      <c r="G4903" t="inlineStr">
        <is>
          <t>0</t>
        </is>
      </c>
      <c r="H4903" t="inlineStr">
        <is>
          <t>0</t>
        </is>
      </c>
      <c r="I4903" t="inlineStr">
        <is>
          <t>2⁸, 4⁴, 6⁸, 12⁴, 16⁴, 48⁴</t>
        </is>
      </c>
      <c r="J4903" t="n">
        <v>32</v>
      </c>
      <c r="K4903" t="inlineStr">
        <is>
          <t>1⁸, 2⁸, 4⁴, 8¹</t>
        </is>
      </c>
      <c r="L4903" t="inlineStr">
        <is>
          <t>24AA⁵, 48J⁵, 48AG⁹, 48AN⁹, 48AM⁹, 48AL⁹, 48AO⁹</t>
        </is>
      </c>
      <c r="M4903" t="inlineStr"/>
      <c r="N4903" t="inlineStr">
        <is>
          <t>48C⁵, 3B⁰, 48AL⁹, 24AA⁵, 48K³, 24G¹, 48AO⁹, 12J⁰, 16A¹, 8C⁰, 2B⁰, 48AG⁹, 8I⁰, 4B⁰, 48AM⁹, 1A⁰, 24J¹, 24X³, 24B⁰, 16G¹, 16D⁰, 48AN⁹, 24Y³, 48J⁵, 48D⁵, 6F⁰, 12E⁰, 48L³</t>
        </is>
      </c>
      <c r="O4903" t="inlineStr"/>
    </row>
    <row r="4904">
      <c r="A4904">
        <f>HYPERLINK("https://mathstats.uncg.edu/sites/pauli/congruence/csg17.html#group48CP17", "48CP¹⁷")</f>
        <v/>
      </c>
      <c r="B4904" t="n">
        <v>17</v>
      </c>
      <c r="C4904" t="inlineStr"/>
      <c r="D4904" t="inlineStr">
        <is>
          <t>384</t>
        </is>
      </c>
      <c r="E4904" t="inlineStr">
        <is>
          <t>1</t>
        </is>
      </c>
      <c r="F4904" t="inlineStr">
        <is>
          <t>48</t>
        </is>
      </c>
      <c r="G4904" t="inlineStr">
        <is>
          <t>0</t>
        </is>
      </c>
      <c r="H4904" t="inlineStr">
        <is>
          <t>0</t>
        </is>
      </c>
      <c r="I4904" t="inlineStr">
        <is>
          <t>2⁸, 4⁴, 6⁸, 12⁴, 16⁴, 48⁴</t>
        </is>
      </c>
      <c r="J4904" t="n">
        <v>32</v>
      </c>
      <c r="K4904" t="inlineStr">
        <is>
          <t>1⁸, 2⁸, 4⁴, 8¹</t>
        </is>
      </c>
      <c r="L4904" t="inlineStr">
        <is>
          <t>24AJ⁷, 48AN⁷, 48AP⁷, 48AQ⁷, 48AJ⁹, 48AN⁹, 48AM⁹</t>
        </is>
      </c>
      <c r="M4904" t="inlineStr"/>
      <c r="N4904" t="inlineStr">
        <is>
          <t>24F², 3B⁰, 48C⁵, 48AJ⁹, 48K³, 24G¹, 12J⁰, 8C⁰, 2B⁰, 8I⁰, 4B⁰, 48AM⁹, 1A⁰, 16H⁰, 24X³, 48AN⁷, 48AQ⁷, 48J³, 16C⁰, 16D⁰, 24W³, 48AN⁹, 24Y³, 24AJ⁷, 6F⁰, 48AP⁷, 12E⁰, 48L³</t>
        </is>
      </c>
      <c r="O4904" t="inlineStr"/>
    </row>
    <row r="4905">
      <c r="A4905">
        <f>HYPERLINK("https://mathstats.uncg.edu/sites/pauli/congruence/csg17.html#group48CQ17", "48CQ¹⁷")</f>
        <v/>
      </c>
      <c r="B4905" t="n">
        <v>17</v>
      </c>
      <c r="C4905" t="inlineStr"/>
      <c r="D4905" t="inlineStr">
        <is>
          <t>384</t>
        </is>
      </c>
      <c r="E4905" t="inlineStr">
        <is>
          <t>1</t>
        </is>
      </c>
      <c r="F4905" t="inlineStr">
        <is>
          <t>48</t>
        </is>
      </c>
      <c r="G4905" t="inlineStr">
        <is>
          <t>0</t>
        </is>
      </c>
      <c r="H4905" t="inlineStr">
        <is>
          <t>0</t>
        </is>
      </c>
      <c r="I4905" t="inlineStr">
        <is>
          <t>2⁸, 4⁴, 6⁸, 12⁴, 16⁴, 48⁴</t>
        </is>
      </c>
      <c r="J4905" t="n">
        <v>32</v>
      </c>
      <c r="K4905" t="inlineStr">
        <is>
          <t>1⁸, 2⁸, 4⁴, 8¹</t>
        </is>
      </c>
      <c r="L4905" t="inlineStr">
        <is>
          <t>24AJ⁷, 48AO⁷, 48AM⁷, 48AQ⁷, 48AI⁹, 48AL⁹, 48AO⁹</t>
        </is>
      </c>
      <c r="M4905" t="inlineStr"/>
      <c r="N4905" t="inlineStr">
        <is>
          <t>24F², 3B⁰, 48AL⁹, 48K³, 24G¹, 12J⁰, 16A¹, 48AO⁷, 8C⁰, 2B⁰, 8I⁰, 4B⁰, 1A⁰, 24X³, 48AQ⁷, 16G¹, 16D⁰, 48AM⁷, 48AI⁹, 24W³, 48I³, 24Y³, 48AO⁹, 24AJ⁷, 48D⁵, 6F⁰, 12E⁰, 48L³</t>
        </is>
      </c>
      <c r="O4905" t="inlineStr"/>
    </row>
    <row r="4906">
      <c r="A4906">
        <f>HYPERLINK("https://mathstats.uncg.edu/sites/pauli/congruence/csg17.html#group50A17", "50A¹⁷")</f>
        <v/>
      </c>
      <c r="B4906" t="n">
        <v>17</v>
      </c>
      <c r="C4906" t="inlineStr"/>
      <c r="D4906" t="inlineStr">
        <is>
          <t>300</t>
        </is>
      </c>
      <c r="E4906" t="inlineStr">
        <is>
          <t>1</t>
        </is>
      </c>
      <c r="F4906" t="inlineStr">
        <is>
          <t>300</t>
        </is>
      </c>
      <c r="G4906" t="inlineStr">
        <is>
          <t>4</t>
        </is>
      </c>
      <c r="H4906" t="inlineStr">
        <is>
          <t>15</t>
        </is>
      </c>
      <c r="I4906" t="inlineStr">
        <is>
          <t>50⁶</t>
        </is>
      </c>
      <c r="J4906" t="n">
        <v>6</v>
      </c>
      <c r="K4906" t="inlineStr">
        <is>
          <t>4¹⁵, 20¹²</t>
        </is>
      </c>
      <c r="L4906" t="inlineStr">
        <is>
          <t>10J¹, 50E⁴</t>
        </is>
      </c>
      <c r="M4906" t="inlineStr"/>
      <c r="N4906" t="inlineStr">
        <is>
          <t>10J¹, 50E⁴, 1A⁰, 5C⁰, 10D⁰, 25E²</t>
        </is>
      </c>
      <c r="O4906" t="inlineStr"/>
    </row>
    <row r="4907">
      <c r="A4907">
        <f>HYPERLINK("https://mathstats.uncg.edu/sites/pauli/congruence/csg17.html#group51A17", "51A¹⁷")</f>
        <v/>
      </c>
      <c r="B4907" t="n">
        <v>17</v>
      </c>
      <c r="C4907" t="inlineStr"/>
      <c r="D4907" t="inlineStr">
        <is>
          <t>288</t>
        </is>
      </c>
      <c r="E4907" t="inlineStr">
        <is>
          <t>1</t>
        </is>
      </c>
      <c r="F4907" t="inlineStr">
        <is>
          <t>72</t>
        </is>
      </c>
      <c r="G4907" t="inlineStr">
        <is>
          <t>0</t>
        </is>
      </c>
      <c r="H4907" t="inlineStr">
        <is>
          <t>0</t>
        </is>
      </c>
      <c r="I4907" t="inlineStr">
        <is>
          <t>1⁴, 3⁴, 17⁴, 51⁴</t>
        </is>
      </c>
      <c r="J4907" t="n">
        <v>16</v>
      </c>
      <c r="K4907" t="inlineStr">
        <is>
          <t>1⁴, 2², 16², 32¹</t>
        </is>
      </c>
      <c r="L4907" t="inlineStr">
        <is>
          <t>17C¹, 51A⁹</t>
        </is>
      </c>
      <c r="M4907" t="inlineStr"/>
      <c r="N4907" t="inlineStr">
        <is>
          <t>3B⁰, 51A⁹, 17C¹, 17A¹, 51A⁵, 1A⁰, 17B¹</t>
        </is>
      </c>
      <c r="O4907" t="inlineStr"/>
    </row>
    <row r="4908">
      <c r="A4908">
        <f>HYPERLINK("https://mathstats.uncg.edu/sites/pauli/congruence/csg17.html#group52A17", "52A¹⁷")</f>
        <v/>
      </c>
      <c r="B4908" t="n">
        <v>17</v>
      </c>
      <c r="C4908" t="inlineStr"/>
      <c r="D4908" t="inlineStr">
        <is>
          <t>336</t>
        </is>
      </c>
      <c r="E4908" t="inlineStr">
        <is>
          <t>1</t>
        </is>
      </c>
      <c r="F4908" t="inlineStr">
        <is>
          <t>56</t>
        </is>
      </c>
      <c r="G4908" t="inlineStr">
        <is>
          <t>24</t>
        </is>
      </c>
      <c r="H4908" t="inlineStr">
        <is>
          <t>0</t>
        </is>
      </c>
      <c r="I4908" t="inlineStr">
        <is>
          <t>4⁶, 52⁶</t>
        </is>
      </c>
      <c r="J4908" t="n">
        <v>12</v>
      </c>
      <c r="K4908" t="inlineStr">
        <is>
          <t>2⁴, 24²</t>
        </is>
      </c>
      <c r="L4908" t="inlineStr">
        <is>
          <t>26B², 52C⁵, 52C⁹</t>
        </is>
      </c>
      <c r="M4908" t="inlineStr"/>
      <c r="N4908" t="inlineStr">
        <is>
          <t>52A³, 4A⁰, 13A⁰, 13C⁰, 26A⁰, 26B², 52C⁹, 1A⁰, 52C⁵</t>
        </is>
      </c>
      <c r="O4908" t="inlineStr"/>
    </row>
    <row r="4909">
      <c r="A4909">
        <f>HYPERLINK("https://mathstats.uncg.edu/sites/pauli/congruence/csg17.html#group55A17", "55A¹⁷")</f>
        <v/>
      </c>
      <c r="B4909" t="n">
        <v>17</v>
      </c>
      <c r="C4909" t="inlineStr"/>
      <c r="D4909" t="inlineStr">
        <is>
          <t>240</t>
        </is>
      </c>
      <c r="E4909" t="inlineStr">
        <is>
          <t>1</t>
        </is>
      </c>
      <c r="F4909" t="inlineStr">
        <is>
          <t>120</t>
        </is>
      </c>
      <c r="G4909" t="inlineStr">
        <is>
          <t>0</t>
        </is>
      </c>
      <c r="H4909" t="inlineStr">
        <is>
          <t>0</t>
        </is>
      </c>
      <c r="I4909" t="inlineStr">
        <is>
          <t>5⁴, 55⁴</t>
        </is>
      </c>
      <c r="J4909" t="n">
        <v>8</v>
      </c>
      <c r="K4909" t="inlineStr">
        <is>
          <t>2², 4⁴, 20¹, 40²</t>
        </is>
      </c>
      <c r="L4909" t="inlineStr">
        <is>
          <t>5F⁰, 55A⁵, 55A⁹</t>
        </is>
      </c>
      <c r="M4909" t="inlineStr"/>
      <c r="N4909" t="inlineStr">
        <is>
          <t>5A⁰, 55A⁹, 11A¹, 5C⁰, 5F⁰, 55A⁵, 1A⁰</t>
        </is>
      </c>
      <c r="O4909" t="inlineStr"/>
    </row>
    <row r="4910">
      <c r="A4910">
        <f>HYPERLINK("https://mathstats.uncg.edu/sites/pauli/congruence/csg17.html#group55B17", "55B¹⁷")</f>
        <v/>
      </c>
      <c r="B4910" t="n">
        <v>17</v>
      </c>
      <c r="C4910" t="inlineStr"/>
      <c r="D4910" t="inlineStr">
        <is>
          <t>288</t>
        </is>
      </c>
      <c r="E4910" t="inlineStr">
        <is>
          <t>1</t>
        </is>
      </c>
      <c r="F4910" t="inlineStr">
        <is>
          <t>72</t>
        </is>
      </c>
      <c r="G4910" t="inlineStr">
        <is>
          <t>0</t>
        </is>
      </c>
      <c r="H4910" t="inlineStr">
        <is>
          <t>0</t>
        </is>
      </c>
      <c r="I4910" t="inlineStr">
        <is>
          <t>1⁴, 5⁴, 11⁴, 55⁴</t>
        </is>
      </c>
      <c r="J4910" t="n">
        <v>16</v>
      </c>
      <c r="K4910" t="inlineStr">
        <is>
          <t>1⁴, 4², 10², 40¹</t>
        </is>
      </c>
      <c r="L4910" t="inlineStr">
        <is>
          <t>55B⁹</t>
        </is>
      </c>
      <c r="M4910" t="inlineStr"/>
      <c r="N4910" t="inlineStr">
        <is>
          <t>5B⁰, 5D⁰, 55B⁹, 55B⁵, 1A⁰, 11A¹</t>
        </is>
      </c>
      <c r="O4910" t="inlineStr"/>
    </row>
    <row r="4911">
      <c r="A4911">
        <f>HYPERLINK("https://mathstats.uncg.edu/sites/pauli/congruence/csg17.html#group56A17", "56A¹⁷")</f>
        <v/>
      </c>
      <c r="B4911" t="n">
        <v>17</v>
      </c>
      <c r="C4911" t="inlineStr"/>
      <c r="D4911" t="inlineStr">
        <is>
          <t>224</t>
        </is>
      </c>
      <c r="E4911" t="inlineStr">
        <is>
          <t>2</t>
        </is>
      </c>
      <c r="F4911" t="inlineStr">
        <is>
          <t>112</t>
        </is>
      </c>
      <c r="G4911" t="inlineStr">
        <is>
          <t>0</t>
        </is>
      </c>
      <c r="H4911" t="inlineStr">
        <is>
          <t>2</t>
        </is>
      </c>
      <c r="I4911" t="inlineStr">
        <is>
          <t>56⁴</t>
        </is>
      </c>
      <c r="J4911" t="n">
        <v>4</v>
      </c>
      <c r="K4911" t="inlineStr">
        <is>
          <t>8⁴, 24⁸</t>
        </is>
      </c>
      <c r="L4911" t="inlineStr">
        <is>
          <t>8E¹, 28A⁴, 56H⁶</t>
        </is>
      </c>
      <c r="M4911" t="inlineStr"/>
      <c r="N4911" t="inlineStr">
        <is>
          <t>2A⁰, 8F⁰, 4A⁰, 28A⁴, 4D⁰, 14A¹, 56H⁶, 8E¹, 28A¹, 1A⁰, 7A⁰</t>
        </is>
      </c>
      <c r="O4911" t="inlineStr"/>
    </row>
    <row r="4912">
      <c r="A4912">
        <f>HYPERLINK("https://mathstats.uncg.edu/sites/pauli/congruence/csg17.html#group56B17", "56B¹⁷")</f>
        <v/>
      </c>
      <c r="B4912" t="n">
        <v>17</v>
      </c>
      <c r="C4912" t="inlineStr"/>
      <c r="D4912" t="inlineStr">
        <is>
          <t>252</t>
        </is>
      </c>
      <c r="E4912" t="inlineStr">
        <is>
          <t>2</t>
        </is>
      </c>
      <c r="F4912" t="inlineStr">
        <is>
          <t>63</t>
        </is>
      </c>
      <c r="G4912" t="inlineStr">
        <is>
          <t>8</t>
        </is>
      </c>
      <c r="H4912" t="inlineStr">
        <is>
          <t>0</t>
        </is>
      </c>
      <c r="I4912" t="inlineStr">
        <is>
          <t>28³, 56³</t>
        </is>
      </c>
      <c r="J4912" t="n">
        <v>6</v>
      </c>
      <c r="K4912" t="inlineStr">
        <is>
          <t>6²¹</t>
        </is>
      </c>
      <c r="L4912" t="inlineStr">
        <is>
          <t>56A⁵, 28I⁶</t>
        </is>
      </c>
      <c r="M4912" t="inlineStr"/>
      <c r="N4912" t="inlineStr">
        <is>
          <t>28C², 7D⁰, 14B¹, 4C⁰, 14F², 2B⁰, 56A⁵, 28I⁶, 1A⁰, 7A⁰</t>
        </is>
      </c>
      <c r="O4912" t="inlineStr"/>
    </row>
    <row r="4913">
      <c r="A4913">
        <f>HYPERLINK("https://mathstats.uncg.edu/sites/pauli/congruence/csg17.html#group56C17", "56C¹⁷")</f>
        <v/>
      </c>
      <c r="B4913" t="n">
        <v>17</v>
      </c>
      <c r="C4913" t="inlineStr"/>
      <c r="D4913" t="inlineStr">
        <is>
          <t>256</t>
        </is>
      </c>
      <c r="E4913" t="inlineStr">
        <is>
          <t>1</t>
        </is>
      </c>
      <c r="F4913" t="inlineStr">
        <is>
          <t>128</t>
        </is>
      </c>
      <c r="G4913" t="inlineStr">
        <is>
          <t>0</t>
        </is>
      </c>
      <c r="H4913" t="inlineStr">
        <is>
          <t>4</t>
        </is>
      </c>
      <c r="I4913" t="inlineStr">
        <is>
          <t>8⁴, 56⁴</t>
        </is>
      </c>
      <c r="J4913" t="n">
        <v>8</v>
      </c>
      <c r="K4913" t="inlineStr">
        <is>
          <t>4⁸, 24⁴</t>
        </is>
      </c>
      <c r="L4913" t="inlineStr">
        <is>
          <t>8E¹, 28E³, 56A⁹</t>
        </is>
      </c>
      <c r="M4913" t="inlineStr"/>
      <c r="N4913" t="inlineStr">
        <is>
          <t>2A⁰, 8F⁰, 7B⁰, 4A⁰, 4D⁰, 14B⁰, 28E³, 8E¹, 56A⁹, 1A⁰, 28A²</t>
        </is>
      </c>
      <c r="O4913" t="inlineStr"/>
    </row>
    <row r="4914">
      <c r="A4914">
        <f>HYPERLINK("https://mathstats.uncg.edu/sites/pauli/congruence/csg17.html#group56D17", "56D¹⁷")</f>
        <v/>
      </c>
      <c r="B4914" t="n">
        <v>17</v>
      </c>
      <c r="C4914" t="inlineStr"/>
      <c r="D4914" t="inlineStr">
        <is>
          <t>256</t>
        </is>
      </c>
      <c r="E4914" t="inlineStr">
        <is>
          <t>2</t>
        </is>
      </c>
      <c r="F4914" t="inlineStr">
        <is>
          <t>128</t>
        </is>
      </c>
      <c r="G4914" t="inlineStr">
        <is>
          <t>0</t>
        </is>
      </c>
      <c r="H4914" t="inlineStr">
        <is>
          <t>4</t>
        </is>
      </c>
      <c r="I4914" t="inlineStr">
        <is>
          <t>8⁴, 56⁴</t>
        </is>
      </c>
      <c r="J4914" t="n">
        <v>8</v>
      </c>
      <c r="K4914" t="inlineStr">
        <is>
          <t>4¹⁶, 24⁸</t>
        </is>
      </c>
      <c r="L4914" t="inlineStr">
        <is>
          <t>8M⁰, 56A⁴, 56A⁹</t>
        </is>
      </c>
      <c r="M4914" t="inlineStr"/>
      <c r="N4914" t="inlineStr">
        <is>
          <t>56A⁴, 8F⁰, 4A⁰, 7B⁰, 8A⁰, 8M⁰, 1A⁰, 56A⁹, 28A²</t>
        </is>
      </c>
      <c r="O4914" t="inlineStr"/>
    </row>
    <row r="4915">
      <c r="A4915">
        <f>HYPERLINK("https://mathstats.uncg.edu/sites/pauli/congruence/csg17.html#group56E17", "56E¹⁷")</f>
        <v/>
      </c>
      <c r="B4915" t="n">
        <v>17</v>
      </c>
      <c r="C4915" t="inlineStr"/>
      <c r="D4915" t="inlineStr">
        <is>
          <t>336</t>
        </is>
      </c>
      <c r="E4915" t="inlineStr">
        <is>
          <t>1</t>
        </is>
      </c>
      <c r="F4915" t="inlineStr">
        <is>
          <t>84</t>
        </is>
      </c>
      <c r="G4915" t="inlineStr">
        <is>
          <t>8</t>
        </is>
      </c>
      <c r="H4915" t="inlineStr">
        <is>
          <t>0</t>
        </is>
      </c>
      <c r="I4915" t="inlineStr">
        <is>
          <t>7¹⁶, 56⁴</t>
        </is>
      </c>
      <c r="J4915" t="n">
        <v>20</v>
      </c>
      <c r="K4915" t="inlineStr">
        <is>
          <t>2³, 6³, 12¹²</t>
        </is>
      </c>
      <c r="L4915" t="inlineStr">
        <is>
          <t>28E⁷</t>
        </is>
      </c>
      <c r="M4915" t="inlineStr"/>
      <c r="N4915" t="inlineStr">
        <is>
          <t>28E⁷, 14B¹, 7F⁰, 2B⁰, 1A⁰, 28B², 7A⁰, 14D³</t>
        </is>
      </c>
      <c r="O4915" t="inlineStr"/>
    </row>
    <row r="4916">
      <c r="A4916">
        <f>HYPERLINK("https://mathstats.uncg.edu/sites/pauli/congruence/csg17.html#group56F17", "56F¹⁷")</f>
        <v/>
      </c>
      <c r="B4916" t="n">
        <v>17</v>
      </c>
      <c r="C4916" t="inlineStr"/>
      <c r="D4916" t="inlineStr">
        <is>
          <t>336</t>
        </is>
      </c>
      <c r="E4916" t="inlineStr">
        <is>
          <t>1</t>
        </is>
      </c>
      <c r="F4916" t="inlineStr">
        <is>
          <t>84</t>
        </is>
      </c>
      <c r="G4916" t="inlineStr">
        <is>
          <t>8</t>
        </is>
      </c>
      <c r="H4916" t="inlineStr">
        <is>
          <t>0</t>
        </is>
      </c>
      <c r="I4916" t="inlineStr">
        <is>
          <t>7¹⁶, 56⁴</t>
        </is>
      </c>
      <c r="J4916" t="n">
        <v>20</v>
      </c>
      <c r="K4916" t="inlineStr">
        <is>
          <t>2³, 6³, 12¹²</t>
        </is>
      </c>
      <c r="L4916" t="inlineStr">
        <is>
          <t>28E⁷</t>
        </is>
      </c>
      <c r="M4916" t="inlineStr"/>
      <c r="N4916" t="inlineStr">
        <is>
          <t>28E⁷, 14B¹, 7F⁰, 2B⁰, 1A⁰, 28B², 7A⁰, 14D³</t>
        </is>
      </c>
      <c r="O4916" t="inlineStr"/>
    </row>
    <row r="4917">
      <c r="A4917">
        <f>HYPERLINK("https://mathstats.uncg.edu/sites/pauli/congruence/csg17.html#group57A17", "57A¹⁷")</f>
        <v/>
      </c>
      <c r="B4917" t="n">
        <v>17</v>
      </c>
      <c r="C4917" t="inlineStr"/>
      <c r="D4917" t="inlineStr">
        <is>
          <t>240</t>
        </is>
      </c>
      <c r="E4917" t="inlineStr">
        <is>
          <t>1</t>
        </is>
      </c>
      <c r="F4917" t="inlineStr">
        <is>
          <t>20</t>
        </is>
      </c>
      <c r="G4917" t="inlineStr">
        <is>
          <t>0</t>
        </is>
      </c>
      <c r="H4917" t="inlineStr">
        <is>
          <t>0</t>
        </is>
      </c>
      <c r="I4917" t="inlineStr">
        <is>
          <t>3⁴, 57⁴</t>
        </is>
      </c>
      <c r="J4917" t="n">
        <v>8</v>
      </c>
      <c r="K4917" t="inlineStr">
        <is>
          <t>1², 18¹</t>
        </is>
      </c>
      <c r="L4917" t="inlineStr">
        <is>
          <t>3D⁰, 57C⁵, 57A⁹</t>
        </is>
      </c>
      <c r="M4917" t="inlineStr"/>
      <c r="N4917" t="inlineStr">
        <is>
          <t>3B⁰, 19A¹, 57A⁹, 3C⁰, 57A⁵, 3A⁰, 1A⁰, 3D⁰, 57C⁵</t>
        </is>
      </c>
      <c r="O4917" t="inlineStr"/>
    </row>
    <row r="4918">
      <c r="A4918">
        <f>HYPERLINK("https://mathstats.uncg.edu/sites/pauli/congruence/csg17.html#group57B17", "57B¹⁷")</f>
        <v/>
      </c>
      <c r="B4918" t="n">
        <v>17</v>
      </c>
      <c r="C4918" t="inlineStr"/>
      <c r="D4918" t="inlineStr">
        <is>
          <t>240</t>
        </is>
      </c>
      <c r="E4918" t="inlineStr">
        <is>
          <t>2</t>
        </is>
      </c>
      <c r="F4918" t="inlineStr">
        <is>
          <t>80</t>
        </is>
      </c>
      <c r="G4918" t="inlineStr">
        <is>
          <t>0</t>
        </is>
      </c>
      <c r="H4918" t="inlineStr">
        <is>
          <t>0</t>
        </is>
      </c>
      <c r="I4918" t="inlineStr">
        <is>
          <t>3⁴, 57⁴</t>
        </is>
      </c>
      <c r="J4918" t="n">
        <v>8</v>
      </c>
      <c r="K4918" t="inlineStr">
        <is>
          <t>2⁸, 36⁴</t>
        </is>
      </c>
      <c r="L4918" t="inlineStr">
        <is>
          <t>57B⁵, 57C⁵</t>
        </is>
      </c>
      <c r="M4918" t="inlineStr"/>
      <c r="N4918" t="inlineStr">
        <is>
          <t>19A¹, 3B⁰, 57B⁵, 1A⁰, 57C⁵</t>
        </is>
      </c>
      <c r="O4918" t="inlineStr"/>
    </row>
    <row r="4919">
      <c r="A4919">
        <f>HYPERLINK("https://mathstats.uncg.edu/sites/pauli/congruence/csg17.html#group60A17", "60A¹⁷")</f>
        <v/>
      </c>
      <c r="B4919" t="n">
        <v>17</v>
      </c>
      <c r="C4919" t="inlineStr"/>
      <c r="D4919" t="inlineStr">
        <is>
          <t>240</t>
        </is>
      </c>
      <c r="E4919" t="inlineStr">
        <is>
          <t>1</t>
        </is>
      </c>
      <c r="F4919" t="inlineStr">
        <is>
          <t>40</t>
        </is>
      </c>
      <c r="G4919" t="inlineStr">
        <is>
          <t>0</t>
        </is>
      </c>
      <c r="H4919" t="inlineStr">
        <is>
          <t>6</t>
        </is>
      </c>
      <c r="I4919" t="inlineStr">
        <is>
          <t>60⁴</t>
        </is>
      </c>
      <c r="J4919" t="n">
        <v>4</v>
      </c>
      <c r="K4919" t="inlineStr">
        <is>
          <t>8⁵</t>
        </is>
      </c>
      <c r="L4919" t="inlineStr">
        <is>
          <t>20N³, 30C⁸</t>
        </is>
      </c>
      <c r="M4919" t="inlineStr"/>
      <c r="N4919" t="inlineStr">
        <is>
          <t>10H¹, 30C⁸, 30B², 2A⁰, 5A⁰, 10A⁰, 10D⁰, 5C⁰, 5F⁰, 20N³, 10C¹, 1A⁰, 20F¹</t>
        </is>
      </c>
      <c r="O4919" t="inlineStr"/>
    </row>
    <row r="4920">
      <c r="A4920">
        <f>HYPERLINK("https://mathstats.uncg.edu/sites/pauli/congruence/csg17.html#group60B17", "60B¹⁷")</f>
        <v/>
      </c>
      <c r="B4920" t="n">
        <v>17</v>
      </c>
      <c r="C4920" t="inlineStr"/>
      <c r="D4920" t="inlineStr">
        <is>
          <t>240</t>
        </is>
      </c>
      <c r="E4920" t="inlineStr">
        <is>
          <t>1</t>
        </is>
      </c>
      <c r="F4920" t="inlineStr">
        <is>
          <t>60</t>
        </is>
      </c>
      <c r="G4920" t="inlineStr">
        <is>
          <t>0</t>
        </is>
      </c>
      <c r="H4920" t="inlineStr">
        <is>
          <t>0</t>
        </is>
      </c>
      <c r="I4920" t="inlineStr">
        <is>
          <t>10², 20², 30², 60²</t>
        </is>
      </c>
      <c r="J4920" t="n">
        <v>8</v>
      </c>
      <c r="K4920" t="inlineStr">
        <is>
          <t>1⁶, 2³, 4⁶, 8³</t>
        </is>
      </c>
      <c r="L4920" t="inlineStr">
        <is>
          <t>12P¹, 20A⁴, 30B⁸, 60C⁸, 60B⁹</t>
        </is>
      </c>
      <c r="M4920" t="inlineStr"/>
      <c r="N4920" t="inlineStr">
        <is>
          <t>20A², 3B⁰, 2A⁰, 5A⁰, 60B⁹, 12F¹, 10B¹, 20B², 4C⁰, 6I⁰, 30D², 6C⁰, 2B⁰, 4E⁰, 10B², 12P¹, 4B⁰, 1A⁰, 10A⁰, 30B⁸, 30D⁴, 60C⁸, 20A⁴, 15B¹, 6F⁰, 2C⁰, 12E⁰</t>
        </is>
      </c>
      <c r="O4920" t="inlineStr"/>
    </row>
    <row r="4921">
      <c r="A4921">
        <f>HYPERLINK("https://mathstats.uncg.edu/sites/pauli/congruence/csg17.html#group60C17", "60C¹⁷")</f>
        <v/>
      </c>
      <c r="B4921" t="n">
        <v>17</v>
      </c>
      <c r="C4921" t="inlineStr"/>
      <c r="D4921" t="inlineStr">
        <is>
          <t>240</t>
        </is>
      </c>
      <c r="E4921" t="inlineStr">
        <is>
          <t>1</t>
        </is>
      </c>
      <c r="F4921" t="inlineStr">
        <is>
          <t>60</t>
        </is>
      </c>
      <c r="G4921" t="inlineStr">
        <is>
          <t>8</t>
        </is>
      </c>
      <c r="H4921" t="inlineStr">
        <is>
          <t>0</t>
        </is>
      </c>
      <c r="I4921" t="inlineStr">
        <is>
          <t>60⁴</t>
        </is>
      </c>
      <c r="J4921" t="n">
        <v>4</v>
      </c>
      <c r="K4921" t="inlineStr">
        <is>
          <t>4¹, 8³, 16²</t>
        </is>
      </c>
      <c r="L4921" t="inlineStr">
        <is>
          <t>30I⁷</t>
        </is>
      </c>
      <c r="M4921" t="inlineStr"/>
      <c r="N4921" t="inlineStr">
        <is>
          <t>15D¹, 6B⁰, 30H³, 6E⁰, 30I⁷, 3C⁰, 1A⁰, 15C³, 3A⁰, 5C⁰</t>
        </is>
      </c>
      <c r="O4921" t="inlineStr"/>
    </row>
    <row r="4922">
      <c r="A4922">
        <f>HYPERLINK("https://mathstats.uncg.edu/sites/pauli/congruence/csg17.html#group60D17", "60D¹⁷")</f>
        <v/>
      </c>
      <c r="B4922" t="n">
        <v>17</v>
      </c>
      <c r="C4922" t="inlineStr"/>
      <c r="D4922" t="inlineStr">
        <is>
          <t>240</t>
        </is>
      </c>
      <c r="E4922" t="inlineStr">
        <is>
          <t>1</t>
        </is>
      </c>
      <c r="F4922" t="inlineStr">
        <is>
          <t>60</t>
        </is>
      </c>
      <c r="G4922" t="inlineStr">
        <is>
          <t>8</t>
        </is>
      </c>
      <c r="H4922" t="inlineStr">
        <is>
          <t>0</t>
        </is>
      </c>
      <c r="I4922" t="inlineStr">
        <is>
          <t>60⁴</t>
        </is>
      </c>
      <c r="J4922" t="n">
        <v>4</v>
      </c>
      <c r="K4922" t="inlineStr">
        <is>
          <t>4¹, 8³, 16²</t>
        </is>
      </c>
      <c r="L4922" t="inlineStr">
        <is>
          <t>12D¹, 30I⁷</t>
        </is>
      </c>
      <c r="M4922" t="inlineStr"/>
      <c r="N4922" t="inlineStr">
        <is>
          <t>15D¹, 12D¹, 6B⁰, 30H³, 6E⁰, 30I⁷, 3C⁰, 1A⁰, 15C³, 3A⁰, 5C⁰</t>
        </is>
      </c>
      <c r="O4922" t="inlineStr"/>
    </row>
    <row r="4923">
      <c r="A4923">
        <f>HYPERLINK("https://mathstats.uncg.edu/sites/pauli/congruence/csg17.html#group60E17", "60E¹⁷")</f>
        <v/>
      </c>
      <c r="B4923" t="n">
        <v>17</v>
      </c>
      <c r="C4923" t="inlineStr"/>
      <c r="D4923" t="inlineStr">
        <is>
          <t>240</t>
        </is>
      </c>
      <c r="E4923" t="inlineStr">
        <is>
          <t>1</t>
        </is>
      </c>
      <c r="F4923" t="inlineStr">
        <is>
          <t>60</t>
        </is>
      </c>
      <c r="G4923" t="inlineStr">
        <is>
          <t>8</t>
        </is>
      </c>
      <c r="H4923" t="inlineStr">
        <is>
          <t>0</t>
        </is>
      </c>
      <c r="I4923" t="inlineStr">
        <is>
          <t>60⁴</t>
        </is>
      </c>
      <c r="J4923" t="n">
        <v>4</v>
      </c>
      <c r="K4923" t="inlineStr">
        <is>
          <t>2², 4², 8², 16²</t>
        </is>
      </c>
      <c r="L4923" t="inlineStr">
        <is>
          <t>12Q¹, 30A⁴, 60D⁸, 60C⁹</t>
        </is>
      </c>
      <c r="M4923" t="inlineStr"/>
      <c r="N4923" t="inlineStr">
        <is>
          <t>12G¹, 5A⁰, 6B⁰, 60D⁸, 12F⁰, 20A¹, 30A⁴, 1A⁰, 12A⁰, 30A², 15A², 6E⁰, 4A⁰, 60A⁴, 12Q¹, 3C⁰, 3A⁰, 60C⁹, 15A¹</t>
        </is>
      </c>
      <c r="O4923" t="inlineStr"/>
    </row>
    <row r="4924">
      <c r="A4924">
        <f>HYPERLINK("https://mathstats.uncg.edu/sites/pauli/congruence/csg17.html#group60F17", "60F¹⁷")</f>
        <v/>
      </c>
      <c r="B4924" t="n">
        <v>17</v>
      </c>
      <c r="C4924" t="inlineStr"/>
      <c r="D4924" t="inlineStr">
        <is>
          <t>240</t>
        </is>
      </c>
      <c r="E4924" t="inlineStr">
        <is>
          <t>1</t>
        </is>
      </c>
      <c r="F4924" t="inlineStr">
        <is>
          <t>120</t>
        </is>
      </c>
      <c r="G4924" t="inlineStr">
        <is>
          <t>0</t>
        </is>
      </c>
      <c r="H4924" t="inlineStr">
        <is>
          <t>0</t>
        </is>
      </c>
      <c r="I4924" t="inlineStr">
        <is>
          <t>10², 20², 30², 60²</t>
        </is>
      </c>
      <c r="J4924" t="n">
        <v>8</v>
      </c>
      <c r="K4924" t="inlineStr">
        <is>
          <t>2⁶, 4¹⁵, 8⁶</t>
        </is>
      </c>
      <c r="L4924" t="inlineStr">
        <is>
          <t>20B⁴, 30L⁷</t>
        </is>
      </c>
      <c r="M4924" t="inlineStr"/>
      <c r="N4924" t="inlineStr">
        <is>
          <t>3B⁰, 5C⁰, 6F⁰, 20B⁴, 2B⁰, 15C², 30L⁷, 1A⁰, 10F¹</t>
        </is>
      </c>
      <c r="O4924" t="inlineStr"/>
    </row>
    <row r="4925">
      <c r="A4925">
        <f>HYPERLINK("https://mathstats.uncg.edu/sites/pauli/congruence/csg17.html#group60G17", "60G¹⁷")</f>
        <v/>
      </c>
      <c r="B4925" t="n">
        <v>17</v>
      </c>
      <c r="C4925" t="inlineStr"/>
      <c r="D4925" t="inlineStr">
        <is>
          <t>240</t>
        </is>
      </c>
      <c r="E4925" t="inlineStr">
        <is>
          <t>1</t>
        </is>
      </c>
      <c r="F4925" t="inlineStr">
        <is>
          <t>120</t>
        </is>
      </c>
      <c r="G4925" t="inlineStr">
        <is>
          <t>0</t>
        </is>
      </c>
      <c r="H4925" t="inlineStr">
        <is>
          <t>0</t>
        </is>
      </c>
      <c r="I4925" t="inlineStr">
        <is>
          <t>10², 20², 30², 60²</t>
        </is>
      </c>
      <c r="J4925" t="n">
        <v>8</v>
      </c>
      <c r="K4925" t="inlineStr">
        <is>
          <t>2⁶, 4¹⁵, 8⁶</t>
        </is>
      </c>
      <c r="L4925" t="inlineStr">
        <is>
          <t>12F¹, 20F³, 30L⁷</t>
        </is>
      </c>
      <c r="M4925" t="inlineStr"/>
      <c r="N4925" t="inlineStr">
        <is>
          <t>3B⁰, 12F¹, 4C⁰, 5C⁰, 6F⁰, 2B⁰, 15C², 30L⁷, 1A⁰, 20F³, 10F¹</t>
        </is>
      </c>
      <c r="O4925" t="inlineStr"/>
    </row>
    <row r="4926">
      <c r="A4926">
        <f>HYPERLINK("https://mathstats.uncg.edu/sites/pauli/congruence/csg17.html#group60H17", "60H¹⁷")</f>
        <v/>
      </c>
      <c r="B4926" t="n">
        <v>17</v>
      </c>
      <c r="C4926" t="inlineStr"/>
      <c r="D4926" t="inlineStr">
        <is>
          <t>240</t>
        </is>
      </c>
      <c r="E4926" t="inlineStr">
        <is>
          <t>1</t>
        </is>
      </c>
      <c r="F4926" t="inlineStr">
        <is>
          <t>120</t>
        </is>
      </c>
      <c r="G4926" t="inlineStr">
        <is>
          <t>8</t>
        </is>
      </c>
      <c r="H4926" t="inlineStr">
        <is>
          <t>0</t>
        </is>
      </c>
      <c r="I4926" t="inlineStr">
        <is>
          <t>60⁴</t>
        </is>
      </c>
      <c r="J4926" t="n">
        <v>4</v>
      </c>
      <c r="K4926" t="inlineStr">
        <is>
          <t>4², 8⁶, 16⁴</t>
        </is>
      </c>
      <c r="L4926" t="inlineStr">
        <is>
          <t>30C⁴, 60J⁷</t>
        </is>
      </c>
      <c r="M4926" t="inlineStr"/>
      <c r="N4926" t="inlineStr">
        <is>
          <t>60J⁷, 30C⁴, 15D¹, 12A⁰, 4A⁰, 1A⁰, 3A⁰, 5C⁰, 20E²</t>
        </is>
      </c>
      <c r="O4926" t="inlineStr"/>
    </row>
    <row r="4927">
      <c r="A4927">
        <f>HYPERLINK("https://mathstats.uncg.edu/sites/pauli/congruence/csg17.html#group60I17", "60I¹⁷")</f>
        <v/>
      </c>
      <c r="B4927" t="n">
        <v>17</v>
      </c>
      <c r="C4927" t="inlineStr"/>
      <c r="D4927" t="inlineStr">
        <is>
          <t>240</t>
        </is>
      </c>
      <c r="E4927" t="inlineStr">
        <is>
          <t>1</t>
        </is>
      </c>
      <c r="F4927" t="inlineStr">
        <is>
          <t>120</t>
        </is>
      </c>
      <c r="G4927" t="inlineStr">
        <is>
          <t>8</t>
        </is>
      </c>
      <c r="H4927" t="inlineStr">
        <is>
          <t>0</t>
        </is>
      </c>
      <c r="I4927" t="inlineStr">
        <is>
          <t>60⁴</t>
        </is>
      </c>
      <c r="J4927" t="n">
        <v>4</v>
      </c>
      <c r="K4927" t="inlineStr">
        <is>
          <t>4², 8⁶, 16⁴</t>
        </is>
      </c>
      <c r="L4927" t="inlineStr">
        <is>
          <t>12G¹, 15C³, 60J⁷</t>
        </is>
      </c>
      <c r="M4927" t="inlineStr"/>
      <c r="N4927" t="inlineStr">
        <is>
          <t>12G¹, 60J⁷, 15D¹, 12A⁰, 4A⁰, 5C⁰, 3C⁰, 15C³, 3A⁰, 1A⁰, 20E²</t>
        </is>
      </c>
      <c r="O4927" t="inlineStr"/>
    </row>
    <row r="4928">
      <c r="A4928">
        <f>HYPERLINK("https://mathstats.uncg.edu/sites/pauli/congruence/csg17.html#group60J17", "60J¹⁷")</f>
        <v/>
      </c>
      <c r="B4928" t="n">
        <v>17</v>
      </c>
      <c r="C4928" t="inlineStr"/>
      <c r="D4928" t="inlineStr">
        <is>
          <t>240</t>
        </is>
      </c>
      <c r="E4928" t="inlineStr">
        <is>
          <t>2</t>
        </is>
      </c>
      <c r="F4928" t="inlineStr">
        <is>
          <t>30</t>
        </is>
      </c>
      <c r="G4928" t="inlineStr">
        <is>
          <t>8</t>
        </is>
      </c>
      <c r="H4928" t="inlineStr">
        <is>
          <t>0</t>
        </is>
      </c>
      <c r="I4928" t="inlineStr">
        <is>
          <t>60⁴</t>
        </is>
      </c>
      <c r="J4928" t="n">
        <v>4</v>
      </c>
      <c r="K4928" t="inlineStr">
        <is>
          <t>4¹, 8³, 16²</t>
        </is>
      </c>
      <c r="L4928" t="inlineStr">
        <is>
          <t>30J⁷, 60L⁷</t>
        </is>
      </c>
      <c r="M4928" t="inlineStr"/>
      <c r="N4928" t="inlineStr">
        <is>
          <t>15D¹, 30C⁴, 30F², 10D⁰, 5C⁰, 3C⁰, 15C³, 3A⁰, 1A⁰, 60L⁷, 30J⁷</t>
        </is>
      </c>
      <c r="O4928" t="inlineStr"/>
    </row>
    <row r="4929">
      <c r="A4929">
        <f>HYPERLINK("https://mathstats.uncg.edu/sites/pauli/congruence/csg17.html#group60K17", "60K¹⁷")</f>
        <v/>
      </c>
      <c r="B4929" t="n">
        <v>17</v>
      </c>
      <c r="C4929" t="inlineStr"/>
      <c r="D4929" t="inlineStr">
        <is>
          <t>240</t>
        </is>
      </c>
      <c r="E4929" t="inlineStr">
        <is>
          <t>2</t>
        </is>
      </c>
      <c r="F4929" t="inlineStr">
        <is>
          <t>30</t>
        </is>
      </c>
      <c r="G4929" t="inlineStr">
        <is>
          <t>8</t>
        </is>
      </c>
      <c r="H4929" t="inlineStr">
        <is>
          <t>0</t>
        </is>
      </c>
      <c r="I4929" t="inlineStr">
        <is>
          <t>60⁴</t>
        </is>
      </c>
      <c r="J4929" t="n">
        <v>4</v>
      </c>
      <c r="K4929" t="inlineStr">
        <is>
          <t>4¹, 8³, 16²</t>
        </is>
      </c>
      <c r="L4929" t="inlineStr">
        <is>
          <t>30J⁷, 60K⁷, 60L⁷</t>
        </is>
      </c>
      <c r="M4929" t="inlineStr"/>
      <c r="N4929" t="inlineStr">
        <is>
          <t>15D¹, 30C⁴, 30F², 10D⁰, 5C⁰, 60K⁷, 3C⁰, 15C³, 3A⁰, 1A⁰, 60L⁷, 30J⁷, 20F¹</t>
        </is>
      </c>
      <c r="O4929" t="inlineStr"/>
    </row>
    <row r="4930">
      <c r="A4930">
        <f>HYPERLINK("https://mathstats.uncg.edu/sites/pauli/congruence/csg17.html#group60L17", "60L¹⁷")</f>
        <v/>
      </c>
      <c r="B4930" t="n">
        <v>17</v>
      </c>
      <c r="C4930" t="inlineStr"/>
      <c r="D4930" t="inlineStr">
        <is>
          <t>240</t>
        </is>
      </c>
      <c r="E4930" t="inlineStr">
        <is>
          <t>2</t>
        </is>
      </c>
      <c r="F4930" t="inlineStr">
        <is>
          <t>40</t>
        </is>
      </c>
      <c r="G4930" t="inlineStr">
        <is>
          <t>0</t>
        </is>
      </c>
      <c r="H4930" t="inlineStr">
        <is>
          <t>6</t>
        </is>
      </c>
      <c r="I4930" t="inlineStr">
        <is>
          <t>60⁴</t>
        </is>
      </c>
      <c r="J4930" t="n">
        <v>4</v>
      </c>
      <c r="K4930" t="inlineStr">
        <is>
          <t>4⁴, 8⁸</t>
        </is>
      </c>
      <c r="L4930" t="inlineStr">
        <is>
          <t>60B⁴, 30E⁸</t>
        </is>
      </c>
      <c r="M4930" t="inlineStr"/>
      <c r="N4930" t="inlineStr">
        <is>
          <t>30E⁸, 2A⁰, 30B², 5A⁰, 3B⁰, 10A⁰, 30D², 60B⁴, 6C⁰, 15B¹, 1A⁰, 12B⁰</t>
        </is>
      </c>
      <c r="O4930" t="inlineStr"/>
    </row>
    <row r="4931">
      <c r="A4931">
        <f>HYPERLINK("https://mathstats.uncg.edu/sites/pauli/congruence/csg17.html#group60M17", "60M¹⁷")</f>
        <v/>
      </c>
      <c r="B4931" t="n">
        <v>17</v>
      </c>
      <c r="C4931" t="inlineStr"/>
      <c r="D4931" t="inlineStr">
        <is>
          <t>270</t>
        </is>
      </c>
      <c r="E4931" t="inlineStr">
        <is>
          <t>1</t>
        </is>
      </c>
      <c r="F4931" t="inlineStr">
        <is>
          <t>135</t>
        </is>
      </c>
      <c r="G4931" t="inlineStr">
        <is>
          <t>8</t>
        </is>
      </c>
      <c r="H4931" t="inlineStr">
        <is>
          <t>0</t>
        </is>
      </c>
      <c r="I4931" t="inlineStr">
        <is>
          <t>15⁶, 60³</t>
        </is>
      </c>
      <c r="J4931" t="n">
        <v>9</v>
      </c>
      <c r="K4931" t="inlineStr">
        <is>
          <t>1³, 2⁶, 4¹², 8⁹</t>
        </is>
      </c>
      <c r="L4931" t="inlineStr">
        <is>
          <t>30P⁷</t>
        </is>
      </c>
      <c r="M4931" t="inlineStr"/>
      <c r="N4931" t="inlineStr">
        <is>
          <t>30P⁷, 30D³, 5A⁰, 10I¹, 30E³, 15A¹, 10B¹, 15F¹, 5E⁰, 2B⁰, 3A⁰, 1A⁰, 6D⁰, 15A⁰</t>
        </is>
      </c>
      <c r="O4931" t="inlineStr"/>
    </row>
    <row r="4932">
      <c r="A4932">
        <f>HYPERLINK("https://mathstats.uncg.edu/sites/pauli/congruence/csg17.html#group60N17", "60N¹⁷")</f>
        <v/>
      </c>
      <c r="B4932" t="n">
        <v>17</v>
      </c>
      <c r="C4932" t="inlineStr"/>
      <c r="D4932" t="inlineStr">
        <is>
          <t>288</t>
        </is>
      </c>
      <c r="E4932" t="inlineStr">
        <is>
          <t>1</t>
        </is>
      </c>
      <c r="F4932" t="inlineStr">
        <is>
          <t>36</t>
        </is>
      </c>
      <c r="G4932" t="inlineStr">
        <is>
          <t>16</t>
        </is>
      </c>
      <c r="H4932" t="inlineStr">
        <is>
          <t>0</t>
        </is>
      </c>
      <c r="I4932" t="inlineStr">
        <is>
          <t>12⁴, 60⁴</t>
        </is>
      </c>
      <c r="J4932" t="n">
        <v>8</v>
      </c>
      <c r="K4932" t="inlineStr">
        <is>
          <t>2², 4², 8¹, 16¹</t>
        </is>
      </c>
      <c r="L4932" t="inlineStr">
        <is>
          <t>30R⁵, 60E⁹, 60F⁹</t>
        </is>
      </c>
      <c r="M4932" t="inlineStr"/>
      <c r="N4932" t="inlineStr">
        <is>
          <t>30A⁰, 30L³, 6B⁰, 30I³, 12D¹, 30J³, 60F⁹, 5B⁰, 15H¹, 1A⁰, 60E⁹, 10B⁰, 30D¹, 15B⁰, 30R⁵, 6E⁰, 15E¹, 3C⁰, 15C⁰, 3A⁰, 30C¹, 30C²</t>
        </is>
      </c>
      <c r="O4932" t="inlineStr"/>
    </row>
    <row r="4933">
      <c r="A4933">
        <f>HYPERLINK("https://mathstats.uncg.edu/sites/pauli/congruence/csg17.html#group60O17", "60O¹⁷")</f>
        <v/>
      </c>
      <c r="B4933" t="n">
        <v>17</v>
      </c>
      <c r="C4933" t="inlineStr"/>
      <c r="D4933" t="inlineStr">
        <is>
          <t>288</t>
        </is>
      </c>
      <c r="E4933" t="inlineStr">
        <is>
          <t>1</t>
        </is>
      </c>
      <c r="F4933" t="inlineStr">
        <is>
          <t>72</t>
        </is>
      </c>
      <c r="G4933" t="inlineStr">
        <is>
          <t>0</t>
        </is>
      </c>
      <c r="H4933" t="inlineStr">
        <is>
          <t>0</t>
        </is>
      </c>
      <c r="I4933" t="inlineStr">
        <is>
          <t>2², 4², 6², 10², 12², 20², 30², 60²</t>
        </is>
      </c>
      <c r="J4933" t="n">
        <v>16</v>
      </c>
      <c r="K4933" t="inlineStr">
        <is>
          <t>1¹², 2⁶, 4⁶, 8³</t>
        </is>
      </c>
      <c r="L4933" t="inlineStr">
        <is>
          <t>30S⁵</t>
        </is>
      </c>
      <c r="M4933" t="inlineStr"/>
      <c r="N4933" t="inlineStr">
        <is>
          <t>15C¹, 3B⁰, 5B⁰, 10C⁰, 15G¹, 30S⁵, 5D⁰, 2B⁰, 30K³, 1A⁰, 6F⁰, 10F⁰</t>
        </is>
      </c>
      <c r="O4933" t="inlineStr"/>
    </row>
    <row r="4934">
      <c r="A4934">
        <f>HYPERLINK("https://mathstats.uncg.edu/sites/pauli/congruence/csg17.html#group60P17", "60P¹⁷")</f>
        <v/>
      </c>
      <c r="B4934" t="n">
        <v>17</v>
      </c>
      <c r="C4934" t="inlineStr"/>
      <c r="D4934" t="inlineStr">
        <is>
          <t>288</t>
        </is>
      </c>
      <c r="E4934" t="inlineStr">
        <is>
          <t>1</t>
        </is>
      </c>
      <c r="F4934" t="inlineStr">
        <is>
          <t>72</t>
        </is>
      </c>
      <c r="G4934" t="inlineStr">
        <is>
          <t>0</t>
        </is>
      </c>
      <c r="H4934" t="inlineStr">
        <is>
          <t>0</t>
        </is>
      </c>
      <c r="I4934" t="inlineStr">
        <is>
          <t>2², 4², 6², 10², 12², 20², 30², 60²</t>
        </is>
      </c>
      <c r="J4934" t="n">
        <v>16</v>
      </c>
      <c r="K4934" t="inlineStr">
        <is>
          <t>1¹², 2⁶, 4⁶, 8³</t>
        </is>
      </c>
      <c r="L4934" t="inlineStr">
        <is>
          <t>20I¹, 30S⁷, 60O⁷, 60H⁹</t>
        </is>
      </c>
      <c r="M4934" t="inlineStr"/>
      <c r="N4934" t="inlineStr">
        <is>
          <t>20E¹, 3B⁰, 10G⁰, 12F¹, 4C⁰, 5B⁰, 60O⁷, 2B⁰, 30S⁷, 1A⁰, 10B⁰, 15C¹, 20A⁰, 30F³, 20I¹, 6F⁰, 10C⁰, 30K³, 60H⁹</t>
        </is>
      </c>
      <c r="O4934" t="inlineStr"/>
    </row>
    <row r="4935">
      <c r="A4935">
        <f>HYPERLINK("https://mathstats.uncg.edu/sites/pauli/congruence/csg17.html#group60Q17", "60Q¹⁷")</f>
        <v/>
      </c>
      <c r="B4935" t="n">
        <v>17</v>
      </c>
      <c r="C4935" t="inlineStr"/>
      <c r="D4935" t="inlineStr">
        <is>
          <t>288</t>
        </is>
      </c>
      <c r="E4935" t="inlineStr">
        <is>
          <t>1</t>
        </is>
      </c>
      <c r="F4935" t="inlineStr">
        <is>
          <t>72</t>
        </is>
      </c>
      <c r="G4935" t="inlineStr">
        <is>
          <t>0</t>
        </is>
      </c>
      <c r="H4935" t="inlineStr">
        <is>
          <t>0</t>
        </is>
      </c>
      <c r="I4935" t="inlineStr">
        <is>
          <t>2², 4², 6², 10², 12², 20², 30², 60²</t>
        </is>
      </c>
      <c r="J4935" t="n">
        <v>16</v>
      </c>
      <c r="K4935" t="inlineStr">
        <is>
          <t>1¹², 2⁶, 4⁶, 8³</t>
        </is>
      </c>
      <c r="L4935" t="inlineStr">
        <is>
          <t>20G³, 30S⁵, 60G⁹, 60H⁹</t>
        </is>
      </c>
      <c r="M4935" t="inlineStr"/>
      <c r="N4935" t="inlineStr">
        <is>
          <t>3B⁰, 20E¹, 12F¹, 20G³, 4C⁰, 5B⁰, 60G⁹, 15G¹, 5D⁰, 2B⁰, 1A⁰, 10F⁰, 15C¹, 60H⁹, 10C⁰, 30S⁵, 30K³, 6F⁰, 20C²</t>
        </is>
      </c>
      <c r="O4935" t="inlineStr"/>
    </row>
    <row r="4936">
      <c r="A4936">
        <f>HYPERLINK("https://mathstats.uncg.edu/sites/pauli/congruence/csg17.html#group60R17", "60R¹⁷")</f>
        <v/>
      </c>
      <c r="B4936" t="n">
        <v>17</v>
      </c>
      <c r="C4936" t="inlineStr"/>
      <c r="D4936" t="inlineStr">
        <is>
          <t>288</t>
        </is>
      </c>
      <c r="E4936" t="inlineStr">
        <is>
          <t>1</t>
        </is>
      </c>
      <c r="F4936" t="inlineStr">
        <is>
          <t>72</t>
        </is>
      </c>
      <c r="G4936" t="inlineStr">
        <is>
          <t>0</t>
        </is>
      </c>
      <c r="H4936" t="inlineStr">
        <is>
          <t>0</t>
        </is>
      </c>
      <c r="I4936" t="inlineStr">
        <is>
          <t>2², 4², 6², 10², 12², 20², 30², 60²</t>
        </is>
      </c>
      <c r="J4936" t="n">
        <v>16</v>
      </c>
      <c r="K4936" t="inlineStr">
        <is>
          <t>1¹², 2⁶, 4⁶, 8³</t>
        </is>
      </c>
      <c r="L4936" t="inlineStr">
        <is>
          <t>20H³, 30S⁷, 60P⁷, 60G⁹</t>
        </is>
      </c>
      <c r="M4936" t="inlineStr"/>
      <c r="N4936" t="inlineStr">
        <is>
          <t>3B⁰, 10G⁰, 5B⁰, 60G⁹, 2B⁰, 20D¹, 30S⁷, 4B⁰, 1A⁰, 20H³, 10B⁰, 15C¹, 30F³, 10C⁰, 60P⁷, 30K³, 6F⁰, 20C², 12E⁰</t>
        </is>
      </c>
      <c r="O4936" t="inlineStr"/>
    </row>
    <row r="4937">
      <c r="A4937">
        <f>HYPERLINK("https://mathstats.uncg.edu/sites/pauli/congruence/csg17.html#group60S17", "60S¹⁷")</f>
        <v/>
      </c>
      <c r="B4937" t="n">
        <v>17</v>
      </c>
      <c r="C4937" t="inlineStr"/>
      <c r="D4937" t="inlineStr">
        <is>
          <t>288</t>
        </is>
      </c>
      <c r="E4937" t="inlineStr">
        <is>
          <t>1</t>
        </is>
      </c>
      <c r="F4937" t="inlineStr">
        <is>
          <t>72</t>
        </is>
      </c>
      <c r="G4937" t="inlineStr">
        <is>
          <t>0</t>
        </is>
      </c>
      <c r="H4937" t="inlineStr">
        <is>
          <t>0</t>
        </is>
      </c>
      <c r="I4937" t="inlineStr">
        <is>
          <t>2², 4², 6², 10², 12², 20², 30², 60²</t>
        </is>
      </c>
      <c r="J4937" t="n">
        <v>16</v>
      </c>
      <c r="K4937" t="inlineStr">
        <is>
          <t>1¹², 2⁶, 4⁶, 8³</t>
        </is>
      </c>
      <c r="L4937" t="inlineStr">
        <is>
          <t>20I³, 30Q⁷, 60O⁷, 60G⁹</t>
        </is>
      </c>
      <c r="M4937" t="inlineStr"/>
      <c r="N4937" t="inlineStr">
        <is>
          <t>30Q⁷, 2A⁰, 3B⁰, 6I⁰, 6C⁰, 5B⁰, 60G⁹, 10A¹, 60O⁷, 2B⁰, 30G³, 1A⁰, 15C¹, 20A⁰, 10C⁰, 30K³, 20I³, 6F⁰, 2C⁰, 20C², 10G¹</t>
        </is>
      </c>
      <c r="O4937" t="inlineStr"/>
    </row>
    <row r="4938">
      <c r="A4938">
        <f>HYPERLINK("https://mathstats.uncg.edu/sites/pauli/congruence/csg17.html#group60T17", "60T¹⁷")</f>
        <v/>
      </c>
      <c r="B4938" t="n">
        <v>17</v>
      </c>
      <c r="C4938" t="inlineStr"/>
      <c r="D4938" t="inlineStr">
        <is>
          <t>288</t>
        </is>
      </c>
      <c r="E4938" t="inlineStr">
        <is>
          <t>1</t>
        </is>
      </c>
      <c r="F4938" t="inlineStr">
        <is>
          <t>72</t>
        </is>
      </c>
      <c r="G4938" t="inlineStr">
        <is>
          <t>0</t>
        </is>
      </c>
      <c r="H4938" t="inlineStr">
        <is>
          <t>0</t>
        </is>
      </c>
      <c r="I4938" t="inlineStr">
        <is>
          <t>2², 4², 6², 10², 12², 20², 30², 60²</t>
        </is>
      </c>
      <c r="J4938" t="n">
        <v>16</v>
      </c>
      <c r="K4938" t="inlineStr">
        <is>
          <t>1¹², 2⁶, 4⁶, 8³</t>
        </is>
      </c>
      <c r="L4938" t="inlineStr">
        <is>
          <t>12P¹, 20J³, 30Q⁷, 60P⁷, 60H⁹</t>
        </is>
      </c>
      <c r="M4938" t="inlineStr"/>
      <c r="N4938" t="inlineStr">
        <is>
          <t>30Q⁷, 3B⁰, 2A⁰, 20E¹, 6I⁰, 12F¹, 6C⁰, 4C⁰, 5B⁰, 10A¹, 2B⁰, 20D¹, 4E⁰, 12P¹, 30G³, 4B⁰, 1A⁰, 15C¹, 60H⁹, 6F⁰, 10C⁰, 60P⁷, 30K³, 20J³, 2C⁰, 12E⁰, 10G¹</t>
        </is>
      </c>
      <c r="O4938" t="inlineStr"/>
    </row>
    <row r="4939">
      <c r="A4939">
        <f>HYPERLINK("https://mathstats.uncg.edu/sites/pauli/congruence/csg17.html#group60U17", "60U¹⁷")</f>
        <v/>
      </c>
      <c r="B4939" t="n">
        <v>17</v>
      </c>
      <c r="C4939" t="inlineStr"/>
      <c r="D4939" t="inlineStr">
        <is>
          <t>288</t>
        </is>
      </c>
      <c r="E4939" t="inlineStr">
        <is>
          <t>1</t>
        </is>
      </c>
      <c r="F4939" t="inlineStr">
        <is>
          <t>72</t>
        </is>
      </c>
      <c r="G4939" t="inlineStr">
        <is>
          <t>16</t>
        </is>
      </c>
      <c r="H4939" t="inlineStr">
        <is>
          <t>0</t>
        </is>
      </c>
      <c r="I4939" t="inlineStr">
        <is>
          <t>12⁴, 60⁴</t>
        </is>
      </c>
      <c r="J4939" t="n">
        <v>8</v>
      </c>
      <c r="K4939" t="inlineStr">
        <is>
          <t>2⁴, 4⁴, 8², 16²</t>
        </is>
      </c>
      <c r="L4939" t="inlineStr">
        <is>
          <t>15H¹, 60Q⁷, 60J⁹</t>
        </is>
      </c>
      <c r="M4939" t="inlineStr"/>
      <c r="N4939" t="inlineStr">
        <is>
          <t>12G¹, 60J⁹, 5B⁰, 15H¹, 1A⁰, 20B¹, 15B⁰, 12A⁰, 4A⁰, 60Q⁷, 3C⁰, 15C⁰, 60B³, 3A⁰, 15E¹</t>
        </is>
      </c>
      <c r="O4939" t="inlineStr"/>
    </row>
    <row r="4940">
      <c r="A4940">
        <f>HYPERLINK("https://mathstats.uncg.edu/sites/pauli/congruence/csg17.html#group60V17", "60V¹⁷")</f>
        <v/>
      </c>
      <c r="B4940" t="n">
        <v>17</v>
      </c>
      <c r="C4940" t="inlineStr"/>
      <c r="D4940" t="inlineStr">
        <is>
          <t>288</t>
        </is>
      </c>
      <c r="E4940" t="inlineStr">
        <is>
          <t>1</t>
        </is>
      </c>
      <c r="F4940" t="inlineStr">
        <is>
          <t>72</t>
        </is>
      </c>
      <c r="G4940" t="inlineStr">
        <is>
          <t>16</t>
        </is>
      </c>
      <c r="H4940" t="inlineStr">
        <is>
          <t>0</t>
        </is>
      </c>
      <c r="I4940" t="inlineStr">
        <is>
          <t>12⁴, 60⁴</t>
        </is>
      </c>
      <c r="J4940" t="n">
        <v>8</v>
      </c>
      <c r="K4940" t="inlineStr">
        <is>
          <t>2⁴, 4⁴, 8², 16²</t>
        </is>
      </c>
      <c r="L4940" t="inlineStr">
        <is>
          <t>12Q¹, 30I³, 60R⁷, 60J⁹</t>
        </is>
      </c>
      <c r="M4940" t="inlineStr"/>
      <c r="N4940" t="inlineStr">
        <is>
          <t>12G¹, 6B⁰, 30I³, 60J⁹, 30C¹, 60R⁷, 12F⁰, 5B⁰, 1A⁰, 20B¹, 15B⁰, 12A⁰, 6E⁰, 4A⁰, 12Q¹, 3C⁰, 60B³, 3A⁰, 15E¹</t>
        </is>
      </c>
      <c r="O4940" t="inlineStr"/>
    </row>
    <row r="4941">
      <c r="A4941">
        <f>HYPERLINK("https://mathstats.uncg.edu/sites/pauli/congruence/csg17.html#group60W17", "60W¹⁷")</f>
        <v/>
      </c>
      <c r="B4941" t="n">
        <v>17</v>
      </c>
      <c r="C4941" t="inlineStr"/>
      <c r="D4941" t="inlineStr">
        <is>
          <t>288</t>
        </is>
      </c>
      <c r="E4941" t="inlineStr">
        <is>
          <t>1</t>
        </is>
      </c>
      <c r="F4941" t="inlineStr">
        <is>
          <t>72</t>
        </is>
      </c>
      <c r="G4941" t="inlineStr">
        <is>
          <t>16</t>
        </is>
      </c>
      <c r="H4941" t="inlineStr">
        <is>
          <t>0</t>
        </is>
      </c>
      <c r="I4941" t="inlineStr">
        <is>
          <t>12⁴, 60⁴</t>
        </is>
      </c>
      <c r="J4941" t="n">
        <v>8</v>
      </c>
      <c r="K4941" t="inlineStr">
        <is>
          <t>2⁴, 4⁴, 8², 16²</t>
        </is>
      </c>
      <c r="L4941" t="inlineStr">
        <is>
          <t>30J³, 60C⁵, 60I⁹, 60J⁹</t>
        </is>
      </c>
      <c r="M4941" t="inlineStr"/>
      <c r="N4941" t="inlineStr">
        <is>
          <t>30A⁰, 12G¹, 60C⁵, 60J⁹, 30J³, 5B⁰, 1A⁰, 20B¹, 60I⁹, 10B⁰, 15B⁰, 12A⁰, 4A⁰, 20G¹, 3C⁰, 60B³, 3A⁰, 15E¹, 30C²</t>
        </is>
      </c>
      <c r="O4941" t="inlineStr"/>
    </row>
    <row r="4942">
      <c r="A4942">
        <f>HYPERLINK("https://mathstats.uncg.edu/sites/pauli/congruence/csg17.html#group60X17", "60X¹⁷")</f>
        <v/>
      </c>
      <c r="B4942" t="n">
        <v>17</v>
      </c>
      <c r="C4942" t="inlineStr"/>
      <c r="D4942" t="inlineStr">
        <is>
          <t>288</t>
        </is>
      </c>
      <c r="E4942" t="inlineStr">
        <is>
          <t>2</t>
        </is>
      </c>
      <c r="F4942" t="inlineStr">
        <is>
          <t>18</t>
        </is>
      </c>
      <c r="G4942" t="inlineStr">
        <is>
          <t>16</t>
        </is>
      </c>
      <c r="H4942" t="inlineStr">
        <is>
          <t>0</t>
        </is>
      </c>
      <c r="I4942" t="inlineStr">
        <is>
          <t>12⁴, 60⁴</t>
        </is>
      </c>
      <c r="J4942" t="n">
        <v>8</v>
      </c>
      <c r="K4942" t="inlineStr">
        <is>
          <t>2², 4², 8¹, 16¹</t>
        </is>
      </c>
      <c r="L4942" t="inlineStr">
        <is>
          <t>30R⁵, 60M⁷, 60N⁷, 60S⁷, 60K⁹, 60L⁹</t>
        </is>
      </c>
      <c r="M4942" t="inlineStr"/>
      <c r="N4942" t="inlineStr">
        <is>
          <t>30A⁰, 20C¹, 30L³, 6B⁰, 30I³, 60L⁹, 30C¹, 30J³, 5B⁰, 60N⁷, 60D³, 60M⁷, 15H¹, 1A⁰, 60S⁷, 30D¹, 10B⁰, 15B⁰, 30R⁵, 60C³, 60K⁹, 6E⁰, 3C⁰, 15C⁰, 3A⁰, 15E¹, 30C²</t>
        </is>
      </c>
      <c r="O4942" t="inlineStr"/>
    </row>
    <row r="4943">
      <c r="A4943">
        <f>HYPERLINK("https://mathstats.uncg.edu/sites/pauli/congruence/csg17.html#group60Y17", "60Y¹⁷")</f>
        <v/>
      </c>
      <c r="B4943" t="n">
        <v>17</v>
      </c>
      <c r="C4943" t="inlineStr"/>
      <c r="D4943" t="inlineStr">
        <is>
          <t>288</t>
        </is>
      </c>
      <c r="E4943" t="inlineStr">
        <is>
          <t>2</t>
        </is>
      </c>
      <c r="F4943" t="inlineStr">
        <is>
          <t>72</t>
        </is>
      </c>
      <c r="G4943" t="inlineStr">
        <is>
          <t>16</t>
        </is>
      </c>
      <c r="H4943" t="inlineStr">
        <is>
          <t>0</t>
        </is>
      </c>
      <c r="I4943" t="inlineStr">
        <is>
          <t>12⁴, 60⁴</t>
        </is>
      </c>
      <c r="J4943" t="n">
        <v>8</v>
      </c>
      <c r="K4943" t="inlineStr">
        <is>
          <t>4¹², 16⁶</t>
        </is>
      </c>
      <c r="L4943" t="inlineStr">
        <is>
          <t>30L³, 60Q⁷, 60R⁷, 60I⁹</t>
        </is>
      </c>
      <c r="M4943" t="inlineStr"/>
      <c r="N4943" t="inlineStr">
        <is>
          <t>30L³, 6B⁰, 30C¹, 60R⁷, 5B⁰, 12F⁰, 1A⁰, 20B¹, 60I⁹, 15B⁰, 12A⁰, 4A⁰, 60Q⁷, 60B³, 3A⁰, 15C⁰, 30C²</t>
        </is>
      </c>
      <c r="O4943" t="inlineStr"/>
    </row>
    <row r="4944">
      <c r="A4944">
        <f>HYPERLINK("https://mathstats.uncg.edu/sites/pauli/congruence/csg17.html#group63A17", "63A¹⁷")</f>
        <v/>
      </c>
      <c r="B4944" t="n">
        <v>17</v>
      </c>
      <c r="C4944" t="inlineStr"/>
      <c r="D4944" t="inlineStr">
        <is>
          <t>252</t>
        </is>
      </c>
      <c r="E4944" t="inlineStr">
        <is>
          <t>2</t>
        </is>
      </c>
      <c r="F4944" t="inlineStr">
        <is>
          <t>21</t>
        </is>
      </c>
      <c r="G4944" t="inlineStr">
        <is>
          <t>12</t>
        </is>
      </c>
      <c r="H4944" t="inlineStr">
        <is>
          <t>0</t>
        </is>
      </c>
      <c r="I4944" t="inlineStr">
        <is>
          <t>63⁴</t>
        </is>
      </c>
      <c r="J4944" t="n">
        <v>4</v>
      </c>
      <c r="K4944" t="inlineStr">
        <is>
          <t>2¹, 4¹, 6², 12²</t>
        </is>
      </c>
      <c r="L4944" t="inlineStr">
        <is>
          <t>21B⁵, 63E⁶, 63D⁷, 63A⁸</t>
        </is>
      </c>
      <c r="M4944" t="inlineStr"/>
      <c r="N4944" t="inlineStr">
        <is>
          <t>21D², 21B⁵, 21D¹, 21C², 63E⁶, 21A⁰, 1A⁰, 63A², 63A⁸, 9D⁰, 9A⁰, 7C⁰, 3C⁰, 3A⁰, 63D⁷, 7A⁰</t>
        </is>
      </c>
      <c r="O4944" t="inlineStr"/>
    </row>
    <row r="4945">
      <c r="A4945">
        <f>HYPERLINK("https://mathstats.uncg.edu/sites/pauli/congruence/csg17.html#group63B17", "63B¹⁷")</f>
        <v/>
      </c>
      <c r="B4945" t="n">
        <v>17</v>
      </c>
      <c r="C4945" t="inlineStr"/>
      <c r="D4945" t="inlineStr">
        <is>
          <t>252</t>
        </is>
      </c>
      <c r="E4945" t="inlineStr">
        <is>
          <t>2</t>
        </is>
      </c>
      <c r="F4945" t="inlineStr">
        <is>
          <t>42</t>
        </is>
      </c>
      <c r="G4945" t="inlineStr">
        <is>
          <t>12</t>
        </is>
      </c>
      <c r="H4945" t="inlineStr">
        <is>
          <t>0</t>
        </is>
      </c>
      <c r="I4945" t="inlineStr">
        <is>
          <t>63⁴</t>
        </is>
      </c>
      <c r="J4945" t="n">
        <v>4</v>
      </c>
      <c r="K4945" t="inlineStr">
        <is>
          <t>4³, 12⁶</t>
        </is>
      </c>
      <c r="L4945" t="inlineStr">
        <is>
          <t>21B⁵, 63E⁷</t>
        </is>
      </c>
      <c r="M4945" t="inlineStr"/>
      <c r="N4945" t="inlineStr">
        <is>
          <t>21D², 21B⁵, 21D¹, 7C⁰, 21C², 21A⁰, 3C⁰, 7A⁰, 3A⁰, 1A⁰, 63E⁷</t>
        </is>
      </c>
      <c r="O4945" t="inlineStr"/>
    </row>
    <row r="4946">
      <c r="A4946">
        <f>HYPERLINK("https://mathstats.uncg.edu/sites/pauli/congruence/csg17.html#group63C17", "63C¹⁷")</f>
        <v/>
      </c>
      <c r="B4946" t="n">
        <v>17</v>
      </c>
      <c r="C4946" t="inlineStr"/>
      <c r="D4946" t="inlineStr">
        <is>
          <t>252</t>
        </is>
      </c>
      <c r="E4946" t="inlineStr">
        <is>
          <t>2</t>
        </is>
      </c>
      <c r="F4946" t="inlineStr">
        <is>
          <t>126</t>
        </is>
      </c>
      <c r="G4946" t="inlineStr">
        <is>
          <t>4</t>
        </is>
      </c>
      <c r="H4946" t="inlineStr">
        <is>
          <t>0</t>
        </is>
      </c>
      <c r="I4946" t="inlineStr">
        <is>
          <t>21⁶, 63²</t>
        </is>
      </c>
      <c r="J4946" t="n">
        <v>8</v>
      </c>
      <c r="K4946" t="inlineStr">
        <is>
          <t>2¹, 4¹, 6³, 12⁴, 18², 36⁴</t>
        </is>
      </c>
      <c r="L4946" t="inlineStr">
        <is>
          <t>21B⁵, 63B⁸</t>
        </is>
      </c>
      <c r="M4946" t="inlineStr"/>
      <c r="N4946" t="inlineStr">
        <is>
          <t>21D², 21B⁵, 21D¹, 7C⁰, 21C², 21A⁰, 3C⁰, 9E⁰, 3A⁰, 1A⁰, 7A⁰, 63B⁸</t>
        </is>
      </c>
      <c r="O4946" t="inlineStr"/>
    </row>
    <row r="4947">
      <c r="A4947">
        <f>HYPERLINK("https://mathstats.uncg.edu/sites/pauli/congruence/csg17.html#group63D17", "63D¹⁷")</f>
        <v/>
      </c>
      <c r="B4947" t="n">
        <v>17</v>
      </c>
      <c r="C4947" t="inlineStr"/>
      <c r="D4947" t="inlineStr">
        <is>
          <t>288</t>
        </is>
      </c>
      <c r="E4947" t="inlineStr">
        <is>
          <t>1</t>
        </is>
      </c>
      <c r="F4947" t="inlineStr">
        <is>
          <t>48</t>
        </is>
      </c>
      <c r="G4947" t="inlineStr">
        <is>
          <t>0</t>
        </is>
      </c>
      <c r="H4947" t="inlineStr">
        <is>
          <t>0</t>
        </is>
      </c>
      <c r="I4947" t="inlineStr">
        <is>
          <t>3⁶, 9², 21⁶, 63²</t>
        </is>
      </c>
      <c r="J4947" t="n">
        <v>16</v>
      </c>
      <c r="K4947" t="inlineStr">
        <is>
          <t>1⁴, 2⁴, 6², 12²</t>
        </is>
      </c>
      <c r="L4947" t="inlineStr">
        <is>
          <t>9H⁰, 21C⁵, 63C⁹</t>
        </is>
      </c>
      <c r="M4947" t="inlineStr"/>
      <c r="N4947" t="inlineStr">
        <is>
          <t>3B⁰, 3A⁰, 21B¹, 21C⁵, 21A², 7B⁰, 3C⁰, 9H⁰, 9E⁰, 63C⁹, 1A⁰, 21A³, 3D⁰</t>
        </is>
      </c>
      <c r="O4947" t="inlineStr"/>
    </row>
    <row r="4948">
      <c r="A4948">
        <f>HYPERLINK("https://mathstats.uncg.edu/sites/pauli/congruence/csg17.html#group63E17", "63E¹⁷")</f>
        <v/>
      </c>
      <c r="B4948" t="n">
        <v>17</v>
      </c>
      <c r="C4948" t="inlineStr"/>
      <c r="D4948" t="inlineStr">
        <is>
          <t>288</t>
        </is>
      </c>
      <c r="E4948" t="inlineStr">
        <is>
          <t>1</t>
        </is>
      </c>
      <c r="F4948" t="inlineStr">
        <is>
          <t>96</t>
        </is>
      </c>
      <c r="G4948" t="inlineStr">
        <is>
          <t>0</t>
        </is>
      </c>
      <c r="H4948" t="inlineStr">
        <is>
          <t>0</t>
        </is>
      </c>
      <c r="I4948" t="inlineStr">
        <is>
          <t>1³, 3², 7³, 9³, 21², 63³</t>
        </is>
      </c>
      <c r="J4948" t="n">
        <v>16</v>
      </c>
      <c r="K4948" t="inlineStr">
        <is>
          <t>1⁴, 2⁴, 6⁴, 12², 36¹</t>
        </is>
      </c>
      <c r="L4948" t="inlineStr">
        <is>
          <t>63A⁵</t>
        </is>
      </c>
      <c r="M4948" t="inlineStr"/>
      <c r="N4948" t="inlineStr">
        <is>
          <t>63A⁵, 3B⁰, 9B⁰, 21B¹, 1A⁰, 7B⁰</t>
        </is>
      </c>
      <c r="O4948" t="inlineStr"/>
    </row>
    <row r="4949">
      <c r="A4949">
        <f>HYPERLINK("https://mathstats.uncg.edu/sites/pauli/congruence/csg17.html#group63F17", "63F¹⁷")</f>
        <v/>
      </c>
      <c r="B4949" t="n">
        <v>17</v>
      </c>
      <c r="C4949" t="inlineStr"/>
      <c r="D4949" t="inlineStr">
        <is>
          <t>288</t>
        </is>
      </c>
      <c r="E4949" t="inlineStr">
        <is>
          <t>1</t>
        </is>
      </c>
      <c r="F4949" t="inlineStr">
        <is>
          <t>96</t>
        </is>
      </c>
      <c r="G4949" t="inlineStr">
        <is>
          <t>0</t>
        </is>
      </c>
      <c r="H4949" t="inlineStr">
        <is>
          <t>0</t>
        </is>
      </c>
      <c r="I4949" t="inlineStr">
        <is>
          <t>1³, 3², 7³, 9³, 21², 63³</t>
        </is>
      </c>
      <c r="J4949" t="n">
        <v>16</v>
      </c>
      <c r="K4949" t="inlineStr">
        <is>
          <t>1⁴, 2⁴, 6⁴, 12², 36¹</t>
        </is>
      </c>
      <c r="L4949" t="inlineStr">
        <is>
          <t>63A⁵</t>
        </is>
      </c>
      <c r="M4949" t="inlineStr"/>
      <c r="N4949" t="inlineStr">
        <is>
          <t>63A⁵, 3B⁰, 9B⁰, 21B¹, 1A⁰, 7B⁰</t>
        </is>
      </c>
      <c r="O4949" t="inlineStr"/>
    </row>
    <row r="4950">
      <c r="A4950">
        <f>HYPERLINK("https://mathstats.uncg.edu/sites/pauli/congruence/csg17.html#group63G17", "63G¹⁷")</f>
        <v/>
      </c>
      <c r="B4950" t="n">
        <v>17</v>
      </c>
      <c r="C4950" t="inlineStr"/>
      <c r="D4950" t="inlineStr">
        <is>
          <t>288</t>
        </is>
      </c>
      <c r="E4950" t="inlineStr">
        <is>
          <t>1</t>
        </is>
      </c>
      <c r="F4950" t="inlineStr">
        <is>
          <t>96</t>
        </is>
      </c>
      <c r="G4950" t="inlineStr">
        <is>
          <t>0</t>
        </is>
      </c>
      <c r="H4950" t="inlineStr">
        <is>
          <t>0</t>
        </is>
      </c>
      <c r="I4950" t="inlineStr">
        <is>
          <t>1³, 3², 7³, 9³, 21², 63³</t>
        </is>
      </c>
      <c r="J4950" t="n">
        <v>16</v>
      </c>
      <c r="K4950" t="inlineStr">
        <is>
          <t>1⁴, 2⁴, 6⁴, 12², 36¹</t>
        </is>
      </c>
      <c r="L4950" t="inlineStr">
        <is>
          <t>9I⁰, 63A⁵</t>
        </is>
      </c>
      <c r="M4950" t="inlineStr"/>
      <c r="N4950" t="inlineStr">
        <is>
          <t>63A⁵, 3B⁰, 21B¹, 7B⁰, 9I⁰, 9B⁰, 1A⁰</t>
        </is>
      </c>
      <c r="O4950" t="inlineStr"/>
    </row>
    <row r="4951">
      <c r="A4951">
        <f>HYPERLINK("https://mathstats.uncg.edu/sites/pauli/congruence/csg17.html#group63H17", "63H¹⁷")</f>
        <v/>
      </c>
      <c r="B4951" t="n">
        <v>17</v>
      </c>
      <c r="C4951" t="inlineStr"/>
      <c r="D4951" t="inlineStr">
        <is>
          <t>288</t>
        </is>
      </c>
      <c r="E4951" t="inlineStr">
        <is>
          <t>1</t>
        </is>
      </c>
      <c r="F4951" t="inlineStr">
        <is>
          <t>96</t>
        </is>
      </c>
      <c r="G4951" t="inlineStr">
        <is>
          <t>0</t>
        </is>
      </c>
      <c r="H4951" t="inlineStr">
        <is>
          <t>0</t>
        </is>
      </c>
      <c r="I4951" t="inlineStr">
        <is>
          <t>3⁶, 9², 21⁶, 63²</t>
        </is>
      </c>
      <c r="J4951" t="n">
        <v>16</v>
      </c>
      <c r="K4951" t="inlineStr">
        <is>
          <t>1⁴, 2¹⁰, 6², 12⁵</t>
        </is>
      </c>
      <c r="L4951" t="inlineStr">
        <is>
          <t>21C⁵</t>
        </is>
      </c>
      <c r="M4951" t="inlineStr"/>
      <c r="N4951" t="inlineStr">
        <is>
          <t>3B⁰, 21B¹, 21C⁵, 21A², 7B⁰, 3C⁰, 3A⁰, 1A⁰, 21A³, 3D⁰</t>
        </is>
      </c>
      <c r="O4951" t="inlineStr"/>
    </row>
    <row r="4952">
      <c r="A4952">
        <f>HYPERLINK("https://mathstats.uncg.edu/sites/pauli/congruence/csg17.html#group63I17", "63I¹⁷")</f>
        <v/>
      </c>
      <c r="B4952" t="n">
        <v>17</v>
      </c>
      <c r="C4952" t="inlineStr"/>
      <c r="D4952" t="inlineStr">
        <is>
          <t>288</t>
        </is>
      </c>
      <c r="E4952" t="inlineStr">
        <is>
          <t>1</t>
        </is>
      </c>
      <c r="F4952" t="inlineStr">
        <is>
          <t>96</t>
        </is>
      </c>
      <c r="G4952" t="inlineStr">
        <is>
          <t>0</t>
        </is>
      </c>
      <c r="H4952" t="inlineStr">
        <is>
          <t>6</t>
        </is>
      </c>
      <c r="I4952" t="inlineStr">
        <is>
          <t>3³, 9³, 21³, 63³</t>
        </is>
      </c>
      <c r="J4952" t="n">
        <v>12</v>
      </c>
      <c r="K4952" t="inlineStr">
        <is>
          <t>1⁴, 2⁴, 6⁴, 12², 36¹</t>
        </is>
      </c>
      <c r="L4952" t="inlineStr">
        <is>
          <t>63B⁵</t>
        </is>
      </c>
      <c r="M4952" t="inlineStr"/>
      <c r="N4952" t="inlineStr">
        <is>
          <t>3B⁰, 63B⁵, 21B¹, 9C⁰, 1A⁰, 7B⁰</t>
        </is>
      </c>
      <c r="O4952" t="inlineStr"/>
    </row>
    <row r="4953">
      <c r="A4953">
        <f>HYPERLINK("https://mathstats.uncg.edu/sites/pauli/congruence/csg17.html#group63J17", "63J¹⁷")</f>
        <v/>
      </c>
      <c r="B4953" t="n">
        <v>17</v>
      </c>
      <c r="C4953" t="inlineStr"/>
      <c r="D4953" t="inlineStr">
        <is>
          <t>288</t>
        </is>
      </c>
      <c r="E4953" t="inlineStr">
        <is>
          <t>1</t>
        </is>
      </c>
      <c r="F4953" t="inlineStr">
        <is>
          <t>96</t>
        </is>
      </c>
      <c r="G4953" t="inlineStr">
        <is>
          <t>0</t>
        </is>
      </c>
      <c r="H4953" t="inlineStr">
        <is>
          <t>6</t>
        </is>
      </c>
      <c r="I4953" t="inlineStr">
        <is>
          <t>3³, 9³, 21³, 63³</t>
        </is>
      </c>
      <c r="J4953" t="n">
        <v>12</v>
      </c>
      <c r="K4953" t="inlineStr">
        <is>
          <t>1⁴, 2⁴, 6⁴, 12², 36¹</t>
        </is>
      </c>
      <c r="L4953" t="inlineStr">
        <is>
          <t>63B⁵</t>
        </is>
      </c>
      <c r="M4953" t="inlineStr"/>
      <c r="N4953" t="inlineStr">
        <is>
          <t>3B⁰, 63B⁵, 21B¹, 9C⁰, 1A⁰, 7B⁰</t>
        </is>
      </c>
      <c r="O4953" t="inlineStr"/>
    </row>
    <row r="4954">
      <c r="A4954">
        <f>HYPERLINK("https://mathstats.uncg.edu/sites/pauli/congruence/csg17.html#group63K17", "63K¹⁷")</f>
        <v/>
      </c>
      <c r="B4954" t="n">
        <v>17</v>
      </c>
      <c r="C4954" t="inlineStr"/>
      <c r="D4954" t="inlineStr">
        <is>
          <t>288</t>
        </is>
      </c>
      <c r="E4954" t="inlineStr">
        <is>
          <t>1</t>
        </is>
      </c>
      <c r="F4954" t="inlineStr">
        <is>
          <t>96</t>
        </is>
      </c>
      <c r="G4954" t="inlineStr">
        <is>
          <t>0</t>
        </is>
      </c>
      <c r="H4954" t="inlineStr">
        <is>
          <t>6</t>
        </is>
      </c>
      <c r="I4954" t="inlineStr">
        <is>
          <t>3³, 9³, 21³, 63³</t>
        </is>
      </c>
      <c r="J4954" t="n">
        <v>12</v>
      </c>
      <c r="K4954" t="inlineStr">
        <is>
          <t>1⁴, 2⁴, 6⁴, 12², 36¹</t>
        </is>
      </c>
      <c r="L4954" t="inlineStr">
        <is>
          <t>9J⁰, 63B⁵</t>
        </is>
      </c>
      <c r="M4954" t="inlineStr"/>
      <c r="N4954" t="inlineStr">
        <is>
          <t>3B⁰, 9J⁰, 21B¹, 7B⁰, 63B⁵, 9C⁰, 1A⁰</t>
        </is>
      </c>
      <c r="O4954" t="inlineStr"/>
    </row>
    <row r="4955">
      <c r="A4955">
        <f>HYPERLINK("https://mathstats.uncg.edu/sites/pauli/congruence/csg17.html#group64A17", "64A¹⁷")</f>
        <v/>
      </c>
      <c r="B4955" t="n">
        <v>17</v>
      </c>
      <c r="C4955" t="inlineStr"/>
      <c r="D4955" t="inlineStr">
        <is>
          <t>384</t>
        </is>
      </c>
      <c r="E4955" t="inlineStr">
        <is>
          <t>1</t>
        </is>
      </c>
      <c r="F4955" t="inlineStr">
        <is>
          <t>12</t>
        </is>
      </c>
      <c r="G4955" t="inlineStr">
        <is>
          <t>0</t>
        </is>
      </c>
      <c r="H4955" t="inlineStr">
        <is>
          <t>0</t>
        </is>
      </c>
      <c r="I4955" t="inlineStr">
        <is>
          <t>2¹⁶, 4⁸, 16⁴, 64⁴</t>
        </is>
      </c>
      <c r="J4955" t="n">
        <v>32</v>
      </c>
      <c r="K4955" t="inlineStr">
        <is>
          <t>1⁴, 2², 4¹</t>
        </is>
      </c>
      <c r="L4955" t="inlineStr">
        <is>
          <t>32M⁵, 64C⁵, 64A⁹, 64C⁹, 64B⁹, 64E⁹, 64D⁹</t>
        </is>
      </c>
      <c r="M4955" t="inlineStr"/>
      <c r="N4955" t="inlineStr">
        <is>
          <t>64C⁹, 2A⁰, 16G⁰, 64D⁹, 4C⁰, 32M³, 64C⁵, 64B³, 16A¹, 8C⁰, 2B⁰, 4E⁰, 4B⁰, 1A⁰, 32M⁵, 16H⁰, 16E⁰, 32A¹, 8O⁰, 8G⁰, 16C⁰, 32A⁰, 16M¹, 32E¹, 8D⁰, 16E¹, 8I⁰, 32K³, 32J³, 64B⁵, 64E⁹, 16G¹, 16D⁰, 32A², 64A⁹, 64A³, 8J⁰, 2C⁰, 64B⁹, 64A⁵</t>
        </is>
      </c>
      <c r="O4955" t="inlineStr"/>
    </row>
    <row r="4956">
      <c r="A4956">
        <f>HYPERLINK("https://mathstats.uncg.edu/sites/pauli/congruence/csg17.html#group64B17", "64B¹⁷")</f>
        <v/>
      </c>
      <c r="B4956" t="n">
        <v>17</v>
      </c>
      <c r="C4956" t="inlineStr"/>
      <c r="D4956" t="inlineStr">
        <is>
          <t>384</t>
        </is>
      </c>
      <c r="E4956" t="inlineStr">
        <is>
          <t>1</t>
        </is>
      </c>
      <c r="F4956" t="inlineStr">
        <is>
          <t>24</t>
        </is>
      </c>
      <c r="G4956" t="inlineStr">
        <is>
          <t>0</t>
        </is>
      </c>
      <c r="H4956" t="inlineStr">
        <is>
          <t>0</t>
        </is>
      </c>
      <c r="I4956" t="inlineStr">
        <is>
          <t>2¹⁶, 4⁸, 16⁴, 64⁴</t>
        </is>
      </c>
      <c r="J4956" t="n">
        <v>32</v>
      </c>
      <c r="K4956" t="inlineStr">
        <is>
          <t>1⁴, 2², 4², 8¹</t>
        </is>
      </c>
      <c r="L4956" t="inlineStr">
        <is>
          <t>32O⁵, 64D⁵, 64A⁹</t>
        </is>
      </c>
      <c r="M4956" t="inlineStr"/>
      <c r="N4956" t="inlineStr">
        <is>
          <t>32C², 32O⁵, 64D⁵, 8C⁰, 2B⁰, 8I⁰, 4B⁰, 1A⁰, 16J², 16H⁰, 64B⁵, 32A¹, 16C⁰, 16D⁰, 32A⁰, 64A⁹, 64A², 32E¹, 64A⁵</t>
        </is>
      </c>
      <c r="O4956" t="inlineStr"/>
    </row>
    <row r="4957">
      <c r="A4957">
        <f>HYPERLINK("https://mathstats.uncg.edu/sites/pauli/congruence/csg17.html#group64C17", "64C¹⁷")</f>
        <v/>
      </c>
      <c r="B4957" t="n">
        <v>17</v>
      </c>
      <c r="C4957" t="inlineStr"/>
      <c r="D4957" t="inlineStr">
        <is>
          <t>384</t>
        </is>
      </c>
      <c r="E4957" t="inlineStr">
        <is>
          <t>1</t>
        </is>
      </c>
      <c r="F4957" t="inlineStr">
        <is>
          <t>48</t>
        </is>
      </c>
      <c r="G4957" t="inlineStr">
        <is>
          <t>0</t>
        </is>
      </c>
      <c r="H4957" t="inlineStr">
        <is>
          <t>0</t>
        </is>
      </c>
      <c r="I4957" t="inlineStr">
        <is>
          <t>1⁸, 2⁴, 4⁴, 8¹², 64⁴</t>
        </is>
      </c>
      <c r="J4957" t="n">
        <v>32</v>
      </c>
      <c r="K4957" t="inlineStr">
        <is>
          <t>1⁴, 2², 4², 8², 16¹</t>
        </is>
      </c>
      <c r="L4957" t="inlineStr">
        <is>
          <t>32O⁵</t>
        </is>
      </c>
      <c r="M4957" t="inlineStr"/>
      <c r="N4957" t="inlineStr">
        <is>
          <t>32A¹, 32C², 32E¹, 16C⁰, 16D⁰, 32A⁰, 32O⁵, 8C⁰, 2B⁰, 8I⁰, 4B⁰, 1A⁰, 16J², 16H⁰</t>
        </is>
      </c>
      <c r="O4957" t="inlineStr"/>
    </row>
    <row r="4958">
      <c r="A4958">
        <f>HYPERLINK("https://mathstats.uncg.edu/sites/pauli/congruence/csg17.html#group64D17", "64D¹⁷")</f>
        <v/>
      </c>
      <c r="B4958" t="n">
        <v>17</v>
      </c>
      <c r="C4958" t="inlineStr"/>
      <c r="D4958" t="inlineStr">
        <is>
          <t>384</t>
        </is>
      </c>
      <c r="E4958" t="inlineStr">
        <is>
          <t>1</t>
        </is>
      </c>
      <c r="F4958" t="inlineStr">
        <is>
          <t>48</t>
        </is>
      </c>
      <c r="G4958" t="inlineStr">
        <is>
          <t>0</t>
        </is>
      </c>
      <c r="H4958" t="inlineStr">
        <is>
          <t>0</t>
        </is>
      </c>
      <c r="I4958" t="inlineStr">
        <is>
          <t>2⁸, 4¹², 8⁸, 64⁴</t>
        </is>
      </c>
      <c r="J4958" t="n">
        <v>32</v>
      </c>
      <c r="K4958" t="inlineStr">
        <is>
          <t>2⁸, 4⁴, 8²</t>
        </is>
      </c>
      <c r="L4958" t="inlineStr">
        <is>
          <t>32N⁵</t>
        </is>
      </c>
      <c r="M4958" t="inlineStr"/>
      <c r="N4958" t="inlineStr">
        <is>
          <t>16G⁰, 2A⁰, 32C², 8D⁰, 32N⁵, 16E¹, 4C⁰, 16A¹, 8C⁰, 2B⁰, 4E⁰, 32D¹, 4B⁰, 8I⁰, 1A⁰, 16H⁰, 16E⁰, 32B², 32C¹, 16G¹, 32O³, 8G⁰, 16C⁰, 16D⁰, 16M¹, 8J⁰, 2C⁰, 8O⁰</t>
        </is>
      </c>
      <c r="O4958" t="inlineStr"/>
    </row>
    <row r="4959">
      <c r="A4959">
        <f>HYPERLINK("https://mathstats.uncg.edu/sites/pauli/congruence/csg17.html#group65A17", "65A¹⁷")</f>
        <v/>
      </c>
      <c r="B4959" t="n">
        <v>17</v>
      </c>
      <c r="C4959" t="inlineStr"/>
      <c r="D4959" t="inlineStr">
        <is>
          <t>280</t>
        </is>
      </c>
      <c r="E4959" t="inlineStr">
        <is>
          <t>1</t>
        </is>
      </c>
      <c r="F4959" t="inlineStr">
        <is>
          <t>140</t>
        </is>
      </c>
      <c r="G4959" t="inlineStr">
        <is>
          <t>8</t>
        </is>
      </c>
      <c r="H4959" t="inlineStr">
        <is>
          <t>4</t>
        </is>
      </c>
      <c r="I4959" t="inlineStr">
        <is>
          <t>5⁴, 65⁴</t>
        </is>
      </c>
      <c r="J4959" t="n">
        <v>8</v>
      </c>
      <c r="K4959" t="inlineStr">
        <is>
          <t>2², 4⁴, 24¹, 48²</t>
        </is>
      </c>
      <c r="L4959" t="inlineStr">
        <is>
          <t>65A⁹</t>
        </is>
      </c>
      <c r="M4959" t="inlineStr"/>
      <c r="N4959" t="inlineStr">
        <is>
          <t>13A⁰, 5C⁰, 1A⁰, 65A⁹</t>
        </is>
      </c>
      <c r="O4959" t="inlineStr"/>
    </row>
    <row r="4960">
      <c r="A4960">
        <f>HYPERLINK("https://mathstats.uncg.edu/sites/pauli/congruence/csg17.html#group66A17", "66A¹⁷")</f>
        <v/>
      </c>
      <c r="B4960" t="n">
        <v>17</v>
      </c>
      <c r="C4960" t="inlineStr"/>
      <c r="D4960" t="inlineStr">
        <is>
          <t>288</t>
        </is>
      </c>
      <c r="E4960" t="inlineStr">
        <is>
          <t>1</t>
        </is>
      </c>
      <c r="F4960" t="inlineStr">
        <is>
          <t>144</t>
        </is>
      </c>
      <c r="G4960" t="inlineStr">
        <is>
          <t>0</t>
        </is>
      </c>
      <c r="H4960" t="inlineStr">
        <is>
          <t>0</t>
        </is>
      </c>
      <c r="I4960" t="inlineStr">
        <is>
          <t>1², 2², 3², 6², 11², 22², 33², 66²</t>
        </is>
      </c>
      <c r="J4960" t="n">
        <v>16</v>
      </c>
      <c r="K4960" t="inlineStr">
        <is>
          <t>1¹², 2⁶, 10⁶, 20³</t>
        </is>
      </c>
      <c r="L4960" t="inlineStr">
        <is>
          <t>33B⁵, 66A⁹</t>
        </is>
      </c>
      <c r="M4960" t="inlineStr"/>
      <c r="N4960" t="inlineStr">
        <is>
          <t>33B⁵, 3B⁰, 11A¹, 66A⁹, 6F⁰, 2B⁰, 22C², 1A⁰, 33C³</t>
        </is>
      </c>
      <c r="O4960" t="inlineStr"/>
    </row>
    <row r="4961">
      <c r="A4961">
        <f>HYPERLINK("https://mathstats.uncg.edu/sites/pauli/congruence/csg17.html#group66B17", "66B¹⁷")</f>
        <v/>
      </c>
      <c r="B4961" t="n">
        <v>17</v>
      </c>
      <c r="C4961" t="inlineStr"/>
      <c r="D4961" t="inlineStr">
        <is>
          <t>330</t>
        </is>
      </c>
      <c r="E4961" t="inlineStr">
        <is>
          <t>1</t>
        </is>
      </c>
      <c r="F4961" t="inlineStr">
        <is>
          <t>55</t>
        </is>
      </c>
      <c r="G4961" t="inlineStr">
        <is>
          <t>36</t>
        </is>
      </c>
      <c r="H4961" t="inlineStr">
        <is>
          <t>0</t>
        </is>
      </c>
      <c r="I4961" t="inlineStr">
        <is>
          <t>66⁵</t>
        </is>
      </c>
      <c r="J4961" t="n">
        <v>5</v>
      </c>
      <c r="K4961" t="inlineStr">
        <is>
          <t>5¹, 10⁵</t>
        </is>
      </c>
      <c r="L4961" t="inlineStr">
        <is>
          <t>22B⁴, 33A⁷</t>
        </is>
      </c>
      <c r="M4961" t="inlineStr"/>
      <c r="N4961" t="inlineStr">
        <is>
          <t>11C¹, 3A⁰, 1A⁰, 33A⁷, 22B⁴</t>
        </is>
      </c>
      <c r="O4961" t="inlineStr"/>
    </row>
    <row r="4962">
      <c r="A4962">
        <f>HYPERLINK("https://mathstats.uncg.edu/sites/pauli/congruence/csg17.html#group68A17", "68A¹⁷")</f>
        <v/>
      </c>
      <c r="B4962" t="n">
        <v>17</v>
      </c>
      <c r="C4962" t="inlineStr"/>
      <c r="D4962" t="inlineStr">
        <is>
          <t>288</t>
        </is>
      </c>
      <c r="E4962" t="inlineStr">
        <is>
          <t>1</t>
        </is>
      </c>
      <c r="F4962" t="inlineStr">
        <is>
          <t>72</t>
        </is>
      </c>
      <c r="G4962" t="inlineStr">
        <is>
          <t>16</t>
        </is>
      </c>
      <c r="H4962" t="inlineStr">
        <is>
          <t>0</t>
        </is>
      </c>
      <c r="I4962" t="inlineStr">
        <is>
          <t>4⁴, 68⁴</t>
        </is>
      </c>
      <c r="J4962" t="n">
        <v>8</v>
      </c>
      <c r="K4962" t="inlineStr">
        <is>
          <t>2⁴, 32²</t>
        </is>
      </c>
      <c r="L4962" t="inlineStr">
        <is>
          <t>17C¹, 68A⁹</t>
        </is>
      </c>
      <c r="M4962" t="inlineStr"/>
      <c r="N4962" t="inlineStr">
        <is>
          <t>68A⁵, 17C¹, 17A¹, 1A⁰, 68A⁹, 4A⁰, 17B¹</t>
        </is>
      </c>
      <c r="O4962" t="inlineStr"/>
    </row>
    <row r="4963">
      <c r="A4963">
        <f>HYPERLINK("https://mathstats.uncg.edu/sites/pauli/congruence/csg17.html#group68B17", "68B¹⁷")</f>
        <v/>
      </c>
      <c r="B4963" t="n">
        <v>17</v>
      </c>
      <c r="C4963" t="inlineStr"/>
      <c r="D4963" t="inlineStr">
        <is>
          <t>288</t>
        </is>
      </c>
      <c r="E4963" t="inlineStr">
        <is>
          <t>2</t>
        </is>
      </c>
      <c r="F4963" t="inlineStr">
        <is>
          <t>18</t>
        </is>
      </c>
      <c r="G4963" t="inlineStr">
        <is>
          <t>16</t>
        </is>
      </c>
      <c r="H4963" t="inlineStr">
        <is>
          <t>0</t>
        </is>
      </c>
      <c r="I4963" t="inlineStr">
        <is>
          <t>4⁴, 68⁴</t>
        </is>
      </c>
      <c r="J4963" t="n">
        <v>8</v>
      </c>
      <c r="K4963" t="inlineStr">
        <is>
          <t>2², 32¹</t>
        </is>
      </c>
      <c r="L4963" t="inlineStr">
        <is>
          <t>34D⁵</t>
        </is>
      </c>
      <c r="M4963" t="inlineStr"/>
      <c r="N4963" t="inlineStr">
        <is>
          <t>17A¹, 34D⁵, 17C¹, 1A⁰, 17B¹</t>
        </is>
      </c>
      <c r="O4963" t="inlineStr"/>
    </row>
    <row r="4964">
      <c r="A4964">
        <f>HYPERLINK("https://mathstats.uncg.edu/sites/pauli/congruence/csg17.html#group70A17", "70A¹⁷")</f>
        <v/>
      </c>
      <c r="B4964" t="n">
        <v>17</v>
      </c>
      <c r="C4964" t="inlineStr"/>
      <c r="D4964" t="inlineStr">
        <is>
          <t>210</t>
        </is>
      </c>
      <c r="E4964" t="inlineStr">
        <is>
          <t>1</t>
        </is>
      </c>
      <c r="F4964" t="inlineStr">
        <is>
          <t>105</t>
        </is>
      </c>
      <c r="G4964" t="inlineStr">
        <is>
          <t>0</t>
        </is>
      </c>
      <c r="H4964" t="inlineStr">
        <is>
          <t>0</t>
        </is>
      </c>
      <c r="I4964" t="inlineStr">
        <is>
          <t>70³</t>
        </is>
      </c>
      <c r="J4964" t="n">
        <v>3</v>
      </c>
      <c r="K4964" t="inlineStr">
        <is>
          <t>3¹, 6³, 12¹, 24³</t>
        </is>
      </c>
      <c r="L4964" t="inlineStr">
        <is>
          <t>14A³, 70A⁵, 35A⁷</t>
        </is>
      </c>
      <c r="M4964" t="inlineStr"/>
      <c r="N4964" t="inlineStr">
        <is>
          <t>2A⁰, 5A⁰, 10A⁰, 7D⁰, 14A³, 14A¹, 70A⁵, 35A⁷, 1A⁰, 35A², 7A⁰</t>
        </is>
      </c>
      <c r="O4964" t="inlineStr"/>
    </row>
    <row r="4965">
      <c r="A4965">
        <f>HYPERLINK("https://mathstats.uncg.edu/sites/pauli/congruence/csg17.html#group70B17", "70B¹⁷")</f>
        <v/>
      </c>
      <c r="B4965" t="n">
        <v>17</v>
      </c>
      <c r="C4965" t="inlineStr"/>
      <c r="D4965" t="inlineStr">
        <is>
          <t>210</t>
        </is>
      </c>
      <c r="E4965" t="inlineStr">
        <is>
          <t>2</t>
        </is>
      </c>
      <c r="F4965" t="inlineStr">
        <is>
          <t>35</t>
        </is>
      </c>
      <c r="G4965" t="inlineStr">
        <is>
          <t>0</t>
        </is>
      </c>
      <c r="H4965" t="inlineStr">
        <is>
          <t>0</t>
        </is>
      </c>
      <c r="I4965" t="inlineStr">
        <is>
          <t>70³</t>
        </is>
      </c>
      <c r="J4965" t="n">
        <v>3</v>
      </c>
      <c r="K4965" t="inlineStr">
        <is>
          <t>2¹, 6², 8¹, 24²</t>
        </is>
      </c>
      <c r="L4965" t="inlineStr">
        <is>
          <t>10A², 70A⁵, 35B⁶</t>
        </is>
      </c>
      <c r="M4965" t="inlineStr"/>
      <c r="N4965" t="inlineStr">
        <is>
          <t>2A⁰, 5A⁰, 10A², 10A⁰, 14A¹, 70A⁵, 5E⁰, 35B⁶, 1A⁰, 35A², 7A⁰</t>
        </is>
      </c>
      <c r="O4965" t="inlineStr"/>
    </row>
    <row r="4966">
      <c r="A4966">
        <f>HYPERLINK("https://mathstats.uncg.edu/sites/pauli/congruence/csg17.html#group70C17", "70C¹⁷")</f>
        <v/>
      </c>
      <c r="B4966" t="n">
        <v>17</v>
      </c>
      <c r="C4966" t="inlineStr"/>
      <c r="D4966" t="inlineStr">
        <is>
          <t>210</t>
        </is>
      </c>
      <c r="E4966" t="inlineStr">
        <is>
          <t>2</t>
        </is>
      </c>
      <c r="F4966" t="inlineStr">
        <is>
          <t>35</t>
        </is>
      </c>
      <c r="G4966" t="inlineStr">
        <is>
          <t>0</t>
        </is>
      </c>
      <c r="H4966" t="inlineStr">
        <is>
          <t>0</t>
        </is>
      </c>
      <c r="I4966" t="inlineStr">
        <is>
          <t>70³</t>
        </is>
      </c>
      <c r="J4966" t="n">
        <v>3</v>
      </c>
      <c r="K4966" t="inlineStr">
        <is>
          <t>2¹, 6², 8¹, 24²</t>
        </is>
      </c>
      <c r="L4966" t="inlineStr">
        <is>
          <t>10B², 14B³, 70A⁵, 70A⁸</t>
        </is>
      </c>
      <c r="M4966" t="inlineStr"/>
      <c r="N4966" t="inlineStr">
        <is>
          <t>2A⁰, 5A⁰, 14B³, 14B¹, 10B¹, 14A¹, 2B⁰, 10B², 1A⁰, 35A², 10A⁰, 70A⁵, 70A⁸, 2C⁰, 7A⁰</t>
        </is>
      </c>
      <c r="O4966" t="inlineStr"/>
    </row>
    <row r="4967">
      <c r="A4967">
        <f>HYPERLINK("https://mathstats.uncg.edu/sites/pauli/congruence/csg17.html#group70D17", "70D¹⁷")</f>
        <v/>
      </c>
      <c r="B4967" t="n">
        <v>17</v>
      </c>
      <c r="C4967" t="inlineStr"/>
      <c r="D4967" t="inlineStr">
        <is>
          <t>240</t>
        </is>
      </c>
      <c r="E4967" t="inlineStr">
        <is>
          <t>1</t>
        </is>
      </c>
      <c r="F4967" t="inlineStr">
        <is>
          <t>240</t>
        </is>
      </c>
      <c r="G4967" t="inlineStr">
        <is>
          <t>0</t>
        </is>
      </c>
      <c r="H4967" t="inlineStr">
        <is>
          <t>0</t>
        </is>
      </c>
      <c r="I4967" t="inlineStr">
        <is>
          <t>5², 10², 35², 70²</t>
        </is>
      </c>
      <c r="J4967" t="n">
        <v>8</v>
      </c>
      <c r="K4967" t="inlineStr">
        <is>
          <t>2⁶, 4¹², 12³, 24⁶</t>
        </is>
      </c>
      <c r="L4967" t="inlineStr">
        <is>
          <t>10F¹, 14C¹, 35A⁵</t>
        </is>
      </c>
      <c r="M4967" t="inlineStr"/>
      <c r="N4967" t="inlineStr">
        <is>
          <t>35A⁵, 7B⁰, 5C⁰, 14C¹, 2B⁰, 1A⁰, 10F¹</t>
        </is>
      </c>
      <c r="O4967" t="inlineStr"/>
    </row>
    <row r="4968">
      <c r="A4968">
        <f>HYPERLINK("https://mathstats.uncg.edu/sites/pauli/congruence/csg17.html#group70E17", "70E¹⁷")</f>
        <v/>
      </c>
      <c r="B4968" t="n">
        <v>17</v>
      </c>
      <c r="C4968" t="inlineStr"/>
      <c r="D4968" t="inlineStr">
        <is>
          <t>252</t>
        </is>
      </c>
      <c r="E4968" t="inlineStr">
        <is>
          <t>2</t>
        </is>
      </c>
      <c r="F4968" t="inlineStr">
        <is>
          <t>126</t>
        </is>
      </c>
      <c r="G4968" t="inlineStr">
        <is>
          <t>4</t>
        </is>
      </c>
      <c r="H4968" t="inlineStr">
        <is>
          <t>0</t>
        </is>
      </c>
      <c r="I4968" t="inlineStr">
        <is>
          <t>7², 14², 35², 70²</t>
        </is>
      </c>
      <c r="J4968" t="n">
        <v>8</v>
      </c>
      <c r="K4968" t="inlineStr">
        <is>
          <t>2⁶, 6¹², 8³, 24⁶</t>
        </is>
      </c>
      <c r="L4968" t="inlineStr">
        <is>
          <t>14A², 35B⁵, 70B⁸</t>
        </is>
      </c>
      <c r="M4968" t="inlineStr"/>
      <c r="N4968" t="inlineStr">
        <is>
          <t>35C², 14A², 14B¹, 7C⁰, 5B⁰, 70B⁸, 10C⁰, 35B⁵, 2B⁰, 1A⁰, 7A⁰</t>
        </is>
      </c>
      <c r="O4968" t="inlineStr"/>
    </row>
    <row r="4969">
      <c r="A4969">
        <f>HYPERLINK("https://mathstats.uncg.edu/sites/pauli/congruence/csg17.html#group70F17", "70F¹⁷")</f>
        <v/>
      </c>
      <c r="B4969" t="n">
        <v>17</v>
      </c>
      <c r="C4969" t="inlineStr"/>
      <c r="D4969" t="inlineStr">
        <is>
          <t>252</t>
        </is>
      </c>
      <c r="E4969" t="inlineStr">
        <is>
          <t>2</t>
        </is>
      </c>
      <c r="F4969" t="inlineStr">
        <is>
          <t>126</t>
        </is>
      </c>
      <c r="G4969" t="inlineStr">
        <is>
          <t>8</t>
        </is>
      </c>
      <c r="H4969" t="inlineStr">
        <is>
          <t>0</t>
        </is>
      </c>
      <c r="I4969" t="inlineStr">
        <is>
          <t>14³, 70³</t>
        </is>
      </c>
      <c r="J4969" t="n">
        <v>6</v>
      </c>
      <c r="K4969" t="inlineStr">
        <is>
          <t>6¹⁴, 24⁷</t>
        </is>
      </c>
      <c r="L4969" t="inlineStr">
        <is>
          <t>14B², 70B⁵, 35E⁶</t>
        </is>
      </c>
      <c r="M4969" t="inlineStr"/>
      <c r="N4969" t="inlineStr">
        <is>
          <t>35C², 14A⁰, 14B², 7D⁰, 35E⁶, 5B⁰, 70B⁵, 1A⁰, 7A⁰</t>
        </is>
      </c>
      <c r="O4969" t="inlineStr"/>
    </row>
    <row r="4970">
      <c r="A4970">
        <f>HYPERLINK("https://mathstats.uncg.edu/sites/pauli/congruence/csg17.html#group70G17", "70G¹⁷")</f>
        <v/>
      </c>
      <c r="B4970" t="n">
        <v>17</v>
      </c>
      <c r="C4970" t="inlineStr"/>
      <c r="D4970" t="inlineStr">
        <is>
          <t>252</t>
        </is>
      </c>
      <c r="E4970" t="inlineStr">
        <is>
          <t>2</t>
        </is>
      </c>
      <c r="F4970" t="inlineStr">
        <is>
          <t>126</t>
        </is>
      </c>
      <c r="G4970" t="inlineStr">
        <is>
          <t>8</t>
        </is>
      </c>
      <c r="H4970" t="inlineStr">
        <is>
          <t>0</t>
        </is>
      </c>
      <c r="I4970" t="inlineStr">
        <is>
          <t>14³, 70³</t>
        </is>
      </c>
      <c r="J4970" t="n">
        <v>6</v>
      </c>
      <c r="K4970" t="inlineStr">
        <is>
          <t>2⁶, 6¹², 8³, 24⁶</t>
        </is>
      </c>
      <c r="L4970" t="inlineStr">
        <is>
          <t>14C², 70B⁵, 70B⁸</t>
        </is>
      </c>
      <c r="M4970" t="inlineStr"/>
      <c r="N4970" t="inlineStr">
        <is>
          <t>35C², 14A⁰, 14B¹, 14C², 5B⁰, 70B⁸, 10C⁰, 70B⁵, 2B⁰, 1A⁰, 7A⁰</t>
        </is>
      </c>
      <c r="O4970" t="inlineStr"/>
    </row>
    <row r="4971">
      <c r="A4971">
        <f>HYPERLINK("https://mathstats.uncg.edu/sites/pauli/congruence/csg17.html#group70H17", "70H¹⁷")</f>
        <v/>
      </c>
      <c r="B4971" t="n">
        <v>17</v>
      </c>
      <c r="C4971" t="inlineStr"/>
      <c r="D4971" t="inlineStr">
        <is>
          <t>252</t>
        </is>
      </c>
      <c r="E4971" t="inlineStr">
        <is>
          <t>2</t>
        </is>
      </c>
      <c r="F4971" t="inlineStr">
        <is>
          <t>252</t>
        </is>
      </c>
      <c r="G4971" t="inlineStr">
        <is>
          <t>8</t>
        </is>
      </c>
      <c r="H4971" t="inlineStr">
        <is>
          <t>0</t>
        </is>
      </c>
      <c r="I4971" t="inlineStr">
        <is>
          <t>14³, 70³</t>
        </is>
      </c>
      <c r="J4971" t="n">
        <v>6</v>
      </c>
      <c r="K4971" t="inlineStr">
        <is>
          <t>6²⁸, 24¹⁴</t>
        </is>
      </c>
      <c r="L4971" t="inlineStr">
        <is>
          <t>14F¹, 70B⁵</t>
        </is>
      </c>
      <c r="M4971" t="inlineStr"/>
      <c r="N4971" t="inlineStr">
        <is>
          <t>35C², 5B⁰, 14A⁰, 70B⁵, 14F¹, 1A⁰, 7A⁰</t>
        </is>
      </c>
      <c r="O4971" t="inlineStr"/>
    </row>
    <row r="4972">
      <c r="A4972">
        <f>HYPERLINK("https://mathstats.uncg.edu/sites/pauli/congruence/csg17.html#group70I17", "70I¹⁷")</f>
        <v/>
      </c>
      <c r="B4972" t="n">
        <v>17</v>
      </c>
      <c r="C4972" t="inlineStr"/>
      <c r="D4972" t="inlineStr">
        <is>
          <t>280</t>
        </is>
      </c>
      <c r="E4972" t="inlineStr">
        <is>
          <t>2</t>
        </is>
      </c>
      <c r="F4972" t="inlineStr">
        <is>
          <t>70</t>
        </is>
      </c>
      <c r="G4972" t="inlineStr">
        <is>
          <t>16</t>
        </is>
      </c>
      <c r="H4972" t="inlineStr">
        <is>
          <t>4</t>
        </is>
      </c>
      <c r="I4972" t="inlineStr">
        <is>
          <t>70⁴</t>
        </is>
      </c>
      <c r="J4972" t="n">
        <v>4</v>
      </c>
      <c r="K4972" t="inlineStr">
        <is>
          <t>4¹, 8², 12², 24⁴</t>
        </is>
      </c>
      <c r="L4972" t="inlineStr">
        <is>
          <t>35C⁸, 70C⁸, 70C⁹</t>
        </is>
      </c>
      <c r="M4972" t="inlineStr"/>
      <c r="N4972" t="inlineStr">
        <is>
          <t>14A⁰, 70C⁹, 10D⁰, 35B⁴, 5C⁰, 1A⁰, 35C⁸, 70C⁸, 7A⁰</t>
        </is>
      </c>
      <c r="O4972" t="inlineStr"/>
    </row>
    <row r="4973">
      <c r="A4973">
        <f>HYPERLINK("https://mathstats.uncg.edu/sites/pauli/congruence/csg17.html#group70J17", "70J¹⁷")</f>
        <v/>
      </c>
      <c r="B4973" t="n">
        <v>17</v>
      </c>
      <c r="C4973" t="inlineStr"/>
      <c r="D4973" t="inlineStr">
        <is>
          <t>288</t>
        </is>
      </c>
      <c r="E4973" t="inlineStr">
        <is>
          <t>1</t>
        </is>
      </c>
      <c r="F4973" t="inlineStr">
        <is>
          <t>144</t>
        </is>
      </c>
      <c r="G4973" t="inlineStr">
        <is>
          <t>0</t>
        </is>
      </c>
      <c r="H4973" t="inlineStr">
        <is>
          <t>0</t>
        </is>
      </c>
      <c r="I4973" t="inlineStr">
        <is>
          <t>1², 2², 5², 7², 10², 14², 35², 70²</t>
        </is>
      </c>
      <c r="J4973" t="n">
        <v>16</v>
      </c>
      <c r="K4973" t="inlineStr">
        <is>
          <t>1¹², 4⁶, 6⁶, 24³</t>
        </is>
      </c>
      <c r="L4973" t="inlineStr">
        <is>
          <t>10F⁰, 35C⁵, 70D⁹</t>
        </is>
      </c>
      <c r="M4973" t="inlineStr"/>
      <c r="N4973" t="inlineStr">
        <is>
          <t>7B⁰, 14C¹, 5B⁰, 10C⁰, 35C⁵, 5D⁰, 2B⁰, 1A⁰, 35A³, 10F⁰, 70D⁹</t>
        </is>
      </c>
      <c r="O4973" t="inlineStr"/>
    </row>
    <row r="4974">
      <c r="A4974">
        <f>HYPERLINK("https://mathstats.uncg.edu/sites/pauli/congruence/csg17.html#group72A17", "72A¹⁷")</f>
        <v/>
      </c>
      <c r="B4974" t="n">
        <v>17</v>
      </c>
      <c r="C4974" t="inlineStr"/>
      <c r="D4974" t="inlineStr">
        <is>
          <t>216</t>
        </is>
      </c>
      <c r="E4974" t="inlineStr">
        <is>
          <t>1</t>
        </is>
      </c>
      <c r="F4974" t="inlineStr">
        <is>
          <t>9</t>
        </is>
      </c>
      <c r="G4974" t="inlineStr">
        <is>
          <t>0</t>
        </is>
      </c>
      <c r="H4974" t="inlineStr">
        <is>
          <t>0</t>
        </is>
      </c>
      <c r="I4974" t="inlineStr">
        <is>
          <t>36², 72²</t>
        </is>
      </c>
      <c r="J4974" t="n">
        <v>4</v>
      </c>
      <c r="K4974" t="inlineStr">
        <is>
          <t>1³, 2³</t>
        </is>
      </c>
      <c r="L4974" t="inlineStr">
        <is>
          <t>24C⁵, 36H⁵, 72D⁸</t>
        </is>
      </c>
      <c r="M4974" t="inlineStr"/>
      <c r="N4974" t="inlineStr">
        <is>
          <t>12C⁰, 36E³, 36B², 4C⁰, 6G⁰, 2B⁰, 36H⁵, 24C², 1A⁰, 12L¹, 9D⁰, 12C¹, 24C⁵, 9A⁰, 3C⁰, 72D⁸, 18E¹, 3A⁰, 18I², 6D⁰</t>
        </is>
      </c>
      <c r="O4974" t="inlineStr"/>
    </row>
    <row r="4975">
      <c r="A4975">
        <f>HYPERLINK("https://mathstats.uncg.edu/sites/pauli/congruence/csg17.html#group72B17", "72B¹⁷")</f>
        <v/>
      </c>
      <c r="B4975" t="n">
        <v>17</v>
      </c>
      <c r="C4975" t="inlineStr"/>
      <c r="D4975" t="inlineStr">
        <is>
          <t>216</t>
        </is>
      </c>
      <c r="E4975" t="inlineStr">
        <is>
          <t>1</t>
        </is>
      </c>
      <c r="F4975" t="inlineStr">
        <is>
          <t>9</t>
        </is>
      </c>
      <c r="G4975" t="inlineStr">
        <is>
          <t>0</t>
        </is>
      </c>
      <c r="H4975" t="inlineStr">
        <is>
          <t>0</t>
        </is>
      </c>
      <c r="I4975" t="inlineStr">
        <is>
          <t>36², 72²</t>
        </is>
      </c>
      <c r="J4975" t="n">
        <v>4</v>
      </c>
      <c r="K4975" t="inlineStr">
        <is>
          <t>1³, 2³</t>
        </is>
      </c>
      <c r="L4975" t="inlineStr">
        <is>
          <t>24E⁵, 36H⁵, 72B⁷, 72A⁹</t>
        </is>
      </c>
      <c r="M4975" t="inlineStr"/>
      <c r="N4975" t="inlineStr">
        <is>
          <t>24A³, 12C⁰, 8A¹, 72A⁹, 36E³, 36B², 24D¹, 4C⁰, 6G⁰, 2B⁰, 36H⁵, 24E⁵, 1A⁰, 12L¹, 9D⁰, 12C¹, 9A⁰, 72B⁷, 3C⁰, 18E¹, 3A⁰, 18I², 6D⁰</t>
        </is>
      </c>
      <c r="O4975" t="inlineStr"/>
    </row>
    <row r="4976">
      <c r="A4976">
        <f>HYPERLINK("https://mathstats.uncg.edu/sites/pauli/congruence/csg17.html#group72C17", "72C¹⁷")</f>
        <v/>
      </c>
      <c r="B4976" t="n">
        <v>17</v>
      </c>
      <c r="C4976" t="inlineStr"/>
      <c r="D4976" t="inlineStr">
        <is>
          <t>216</t>
        </is>
      </c>
      <c r="E4976" t="inlineStr">
        <is>
          <t>1</t>
        </is>
      </c>
      <c r="F4976" t="inlineStr">
        <is>
          <t>27</t>
        </is>
      </c>
      <c r="G4976" t="inlineStr">
        <is>
          <t>0</t>
        </is>
      </c>
      <c r="H4976" t="inlineStr">
        <is>
          <t>0</t>
        </is>
      </c>
      <c r="I4976" t="inlineStr">
        <is>
          <t>36², 72²</t>
        </is>
      </c>
      <c r="J4976" t="n">
        <v>4</v>
      </c>
      <c r="K4976" t="inlineStr">
        <is>
          <t>1³, 2³, 6³</t>
        </is>
      </c>
      <c r="L4976" t="inlineStr">
        <is>
          <t>72E⁴, 24A⁵, 36B⁸, 72A⁹</t>
        </is>
      </c>
      <c r="M4976" t="inlineStr"/>
      <c r="N4976" t="inlineStr">
        <is>
          <t>2A⁰, 24A³, 12C⁰, 72A⁹, 36B², 24A⁵, 4C⁰, 6C¹, 12B², 2B⁰, 4E⁰, 4B⁰, 1A⁰, 24A⁰, 18A⁴, 12B¹, 6A¹, 18E¹, 3A⁰, 8A¹, 72E⁴, 8B⁰, 36B⁸, 18A², 8B¹, 6A⁰, 9A⁰, 36D⁴, 2C⁰, 6D⁰</t>
        </is>
      </c>
      <c r="O4976" t="inlineStr"/>
    </row>
    <row r="4977">
      <c r="A4977">
        <f>HYPERLINK("https://mathstats.uncg.edu/sites/pauli/congruence/csg17.html#group72D17", "72D¹⁷")</f>
        <v/>
      </c>
      <c r="B4977" t="n">
        <v>17</v>
      </c>
      <c r="C4977" t="inlineStr"/>
      <c r="D4977" t="inlineStr">
        <is>
          <t>216</t>
        </is>
      </c>
      <c r="E4977" t="inlineStr">
        <is>
          <t>1</t>
        </is>
      </c>
      <c r="F4977" t="inlineStr">
        <is>
          <t>27</t>
        </is>
      </c>
      <c r="G4977" t="inlineStr">
        <is>
          <t>0</t>
        </is>
      </c>
      <c r="H4977" t="inlineStr">
        <is>
          <t>0</t>
        </is>
      </c>
      <c r="I4977" t="inlineStr">
        <is>
          <t>36², 72²</t>
        </is>
      </c>
      <c r="J4977" t="n">
        <v>4</v>
      </c>
      <c r="K4977" t="inlineStr">
        <is>
          <t>1³, 2³, 6³</t>
        </is>
      </c>
      <c r="L4977" t="inlineStr">
        <is>
          <t>24D⁵, 36C⁶, 72B⁶, 72A⁹</t>
        </is>
      </c>
      <c r="M4977" t="inlineStr"/>
      <c r="N4977" t="inlineStr">
        <is>
          <t>24A³, 6B⁰, 8A¹, 12C⁰, 72A⁹, 6H⁰, 36B², 4C⁰, 18B¹, 2B⁰, 24C², 72B⁶, 12H⁰, 1A⁰, 24D⁵, 18D³, 36C⁶, 9A⁰, 12D⁰, 18E¹, 3A⁰, 36D³, 18A¹, 6D⁰</t>
        </is>
      </c>
      <c r="O4977" t="inlineStr"/>
    </row>
    <row r="4978">
      <c r="A4978">
        <f>HYPERLINK("https://mathstats.uncg.edu/sites/pauli/congruence/csg17.html#group72E17", "72E¹⁷")</f>
        <v/>
      </c>
      <c r="B4978" t="n">
        <v>17</v>
      </c>
      <c r="C4978" t="inlineStr"/>
      <c r="D4978" t="inlineStr">
        <is>
          <t>216</t>
        </is>
      </c>
      <c r="E4978" t="inlineStr">
        <is>
          <t>1</t>
        </is>
      </c>
      <c r="F4978" t="inlineStr">
        <is>
          <t>27</t>
        </is>
      </c>
      <c r="G4978" t="inlineStr">
        <is>
          <t>0</t>
        </is>
      </c>
      <c r="H4978" t="inlineStr">
        <is>
          <t>0</t>
        </is>
      </c>
      <c r="I4978" t="inlineStr">
        <is>
          <t>36², 72²</t>
        </is>
      </c>
      <c r="J4978" t="n">
        <v>4</v>
      </c>
      <c r="K4978" t="inlineStr">
        <is>
          <t>1³, 2³, 6³</t>
        </is>
      </c>
      <c r="L4978" t="inlineStr">
        <is>
          <t>24F⁵, 72B⁶, 72B⁷, 36B⁸</t>
        </is>
      </c>
      <c r="M4978" t="inlineStr"/>
      <c r="N4978" t="inlineStr">
        <is>
          <t>2A⁰, 12C⁰, 36B², 4C⁰, 6C¹, 12B², 2B⁰, 4E⁰, 24C², 4B⁰, 1A⁰, 24F⁵, 18A⁴, 12B¹, 6A¹, 18E¹, 3A⁰, 24D¹, 36B⁸, 18A², 72B⁶, 6A⁰, 9A⁰, 72B⁷, 36D⁴, 2C⁰, 6D⁰</t>
        </is>
      </c>
      <c r="O4978" t="inlineStr"/>
    </row>
    <row r="4979">
      <c r="A4979">
        <f>HYPERLINK("https://mathstats.uncg.edu/sites/pauli/congruence/csg17.html#group72F17", "72F¹⁷")</f>
        <v/>
      </c>
      <c r="B4979" t="n">
        <v>17</v>
      </c>
      <c r="C4979" t="inlineStr"/>
      <c r="D4979" t="inlineStr">
        <is>
          <t>216</t>
        </is>
      </c>
      <c r="E4979" t="inlineStr">
        <is>
          <t>1</t>
        </is>
      </c>
      <c r="F4979" t="inlineStr">
        <is>
          <t>54</t>
        </is>
      </c>
      <c r="G4979" t="inlineStr">
        <is>
          <t>0</t>
        </is>
      </c>
      <c r="H4979" t="inlineStr">
        <is>
          <t>0</t>
        </is>
      </c>
      <c r="I4979" t="inlineStr">
        <is>
          <t>36², 72²</t>
        </is>
      </c>
      <c r="J4979" t="n">
        <v>4</v>
      </c>
      <c r="K4979" t="inlineStr">
        <is>
          <t>1², 2⁴, 4², 6², 12²</t>
        </is>
      </c>
      <c r="L4979" t="inlineStr">
        <is>
          <t>24B⁵, 36F⁶, 72C⁶, 72A⁹</t>
        </is>
      </c>
      <c r="M4979" t="inlineStr"/>
      <c r="N4979" t="inlineStr">
        <is>
          <t>24A³, 8A¹, 12C⁰, 72A⁹, 8D⁰, 36B², 4C⁰, 2B⁰, 1A⁰, 36A¹, 72C⁶, 36F⁶, 12A⁰, 8C¹, 4A⁰, 9A⁰, 24C¹, 12J¹, 4F⁰, 18E¹, 3A⁰, 6D⁰, 24B⁵</t>
        </is>
      </c>
      <c r="O4979" t="inlineStr"/>
    </row>
    <row r="4980">
      <c r="A4980">
        <f>HYPERLINK("https://mathstats.uncg.edu/sites/pauli/congruence/csg17.html#group72G17", "72G¹⁷")</f>
        <v/>
      </c>
      <c r="B4980" t="n">
        <v>17</v>
      </c>
      <c r="C4980" t="inlineStr"/>
      <c r="D4980" t="inlineStr">
        <is>
          <t>216</t>
        </is>
      </c>
      <c r="E4980" t="inlineStr">
        <is>
          <t>1</t>
        </is>
      </c>
      <c r="F4980" t="inlineStr">
        <is>
          <t>54</t>
        </is>
      </c>
      <c r="G4980" t="inlineStr">
        <is>
          <t>0</t>
        </is>
      </c>
      <c r="H4980" t="inlineStr">
        <is>
          <t>0</t>
        </is>
      </c>
      <c r="I4980" t="inlineStr">
        <is>
          <t>36², 72²</t>
        </is>
      </c>
      <c r="J4980" t="n">
        <v>4</v>
      </c>
      <c r="K4980" t="inlineStr">
        <is>
          <t>1², 2⁴, 4², 6², 12²</t>
        </is>
      </c>
      <c r="L4980" t="inlineStr">
        <is>
          <t>24G⁵, 36E⁶, 72D⁶, 72A⁹</t>
        </is>
      </c>
      <c r="M4980" t="inlineStr"/>
      <c r="N4980" t="inlineStr">
        <is>
          <t>24G⁵, 24E¹, 24A³, 12C⁰, 36E⁶, 72A⁹, 8A¹, 4C⁰, 36B², 12M¹, 2B⁰, 1A⁰, 72D⁶, 9A⁰, 18E¹, 3A⁰, 6D⁰</t>
        </is>
      </c>
      <c r="O4980" t="inlineStr"/>
    </row>
    <row r="4981">
      <c r="A4981">
        <f>HYPERLINK("https://mathstats.uncg.edu/sites/pauli/congruence/csg17.html#group72H17", "72H¹⁷")</f>
        <v/>
      </c>
      <c r="B4981" t="n">
        <v>17</v>
      </c>
      <c r="C4981" t="inlineStr"/>
      <c r="D4981" t="inlineStr">
        <is>
          <t>216</t>
        </is>
      </c>
      <c r="E4981" t="inlineStr">
        <is>
          <t>2</t>
        </is>
      </c>
      <c r="F4981" t="inlineStr">
        <is>
          <t>27</t>
        </is>
      </c>
      <c r="G4981" t="inlineStr">
        <is>
          <t>0</t>
        </is>
      </c>
      <c r="H4981" t="inlineStr">
        <is>
          <t>0</t>
        </is>
      </c>
      <c r="I4981" t="inlineStr">
        <is>
          <t>36², 72²</t>
        </is>
      </c>
      <c r="J4981" t="n">
        <v>4</v>
      </c>
      <c r="K4981" t="inlineStr">
        <is>
          <t>2⁹, 6⁶</t>
        </is>
      </c>
      <c r="L4981" t="inlineStr">
        <is>
          <t>36R⁴, 24D⁵, 72D⁸, 72A⁹</t>
        </is>
      </c>
      <c r="M4981" t="inlineStr"/>
      <c r="N4981" t="inlineStr">
        <is>
          <t>24A³, 6B⁰, 8A¹, 12C⁰, 72A⁹, 6H⁰, 36B², 4C⁰, 36R⁴, 2B⁰, 24C², 12H⁰, 1A⁰, 18A⁰, 18L², 24D⁵, 9A⁰, 72D⁸, 12D⁰, 18E¹, 3A⁰, 6D⁰, 36C²</t>
        </is>
      </c>
      <c r="O4981" t="inlineStr"/>
    </row>
    <row r="4982">
      <c r="A4982">
        <f>HYPERLINK("https://mathstats.uncg.edu/sites/pauli/congruence/csg17.html#group72I17", "72I¹⁷")</f>
        <v/>
      </c>
      <c r="B4982" t="n">
        <v>17</v>
      </c>
      <c r="C4982" t="inlineStr"/>
      <c r="D4982" t="inlineStr">
        <is>
          <t>216</t>
        </is>
      </c>
      <c r="E4982" t="inlineStr">
        <is>
          <t>2</t>
        </is>
      </c>
      <c r="F4982" t="inlineStr">
        <is>
          <t>27</t>
        </is>
      </c>
      <c r="G4982" t="inlineStr">
        <is>
          <t>0</t>
        </is>
      </c>
      <c r="H4982" t="inlineStr">
        <is>
          <t>0</t>
        </is>
      </c>
      <c r="I4982" t="inlineStr">
        <is>
          <t>36², 72²</t>
        </is>
      </c>
      <c r="J4982" t="n">
        <v>4</v>
      </c>
      <c r="K4982" t="inlineStr">
        <is>
          <t>2⁹, 6⁶</t>
        </is>
      </c>
      <c r="L4982" t="inlineStr">
        <is>
          <t>24C⁵, 72B⁶, 36E⁷, 72D⁸</t>
        </is>
      </c>
      <c r="M4982" t="inlineStr"/>
      <c r="N4982" t="inlineStr">
        <is>
          <t>12C⁰, 36B², 4C⁰, 6G⁰, 36E⁴, 2B⁰, 24C², 72B⁶, 1A⁰, 12L¹, 9B¹, 18E³, 12C¹, 24C⁵, 9A⁰, 36E⁷, 3C⁰, 72D⁸, 18E¹, 3A⁰, 6D⁰</t>
        </is>
      </c>
      <c r="O4982" t="inlineStr"/>
    </row>
    <row r="4983">
      <c r="A4983">
        <f>HYPERLINK("https://mathstats.uncg.edu/sites/pauli/congruence/csg17.html#group72J17", "72J¹⁷")</f>
        <v/>
      </c>
      <c r="B4983" t="n">
        <v>17</v>
      </c>
      <c r="C4983" t="inlineStr"/>
      <c r="D4983" t="inlineStr">
        <is>
          <t>216</t>
        </is>
      </c>
      <c r="E4983" t="inlineStr">
        <is>
          <t>2</t>
        </is>
      </c>
      <c r="F4983" t="inlineStr">
        <is>
          <t>27</t>
        </is>
      </c>
      <c r="G4983" t="inlineStr">
        <is>
          <t>0</t>
        </is>
      </c>
      <c r="H4983" t="inlineStr">
        <is>
          <t>0</t>
        </is>
      </c>
      <c r="I4983" t="inlineStr">
        <is>
          <t>36², 72²</t>
        </is>
      </c>
      <c r="J4983" t="n">
        <v>4</v>
      </c>
      <c r="K4983" t="inlineStr">
        <is>
          <t>2⁹, 6⁶</t>
        </is>
      </c>
      <c r="L4983" t="inlineStr">
        <is>
          <t>24E⁵, 72A⁵, 36E⁷, 72A⁹</t>
        </is>
      </c>
      <c r="M4983" t="inlineStr"/>
      <c r="N4983" t="inlineStr">
        <is>
          <t>24A³, 12C⁰, 8A¹, 72A⁹, 36B², 4C⁰, 24D¹, 6G⁰, 36E⁴, 72A⁵, 2B⁰, 24E⁵, 1A⁰, 12L¹, 9B¹, 18E³, 12C¹, 9A⁰, 36E⁷, 3C⁰, 18E¹, 3A⁰, 6D⁰</t>
        </is>
      </c>
      <c r="O4983" t="inlineStr"/>
    </row>
    <row r="4984">
      <c r="A4984">
        <f>HYPERLINK("https://mathstats.uncg.edu/sites/pauli/congruence/csg17.html#group72K17", "72K¹⁷")</f>
        <v/>
      </c>
      <c r="B4984" t="n">
        <v>17</v>
      </c>
      <c r="C4984" t="inlineStr"/>
      <c r="D4984" t="inlineStr">
        <is>
          <t>216</t>
        </is>
      </c>
      <c r="E4984" t="inlineStr">
        <is>
          <t>2</t>
        </is>
      </c>
      <c r="F4984" t="inlineStr">
        <is>
          <t>27</t>
        </is>
      </c>
      <c r="G4984" t="inlineStr">
        <is>
          <t>0</t>
        </is>
      </c>
      <c r="H4984" t="inlineStr">
        <is>
          <t>0</t>
        </is>
      </c>
      <c r="I4984" t="inlineStr">
        <is>
          <t>36², 72²</t>
        </is>
      </c>
      <c r="J4984" t="n">
        <v>4</v>
      </c>
      <c r="K4984" t="inlineStr">
        <is>
          <t>2⁹, 6⁶</t>
        </is>
      </c>
      <c r="L4984" t="inlineStr">
        <is>
          <t>24F⁵, 72A⁵, 36B⁸, 72D⁸</t>
        </is>
      </c>
      <c r="M4984" t="inlineStr"/>
      <c r="N4984" t="inlineStr">
        <is>
          <t>2A⁰, 12C⁰, 36B², 4C⁰, 6C¹, 12B², 2B⁰, 4E⁰, 24C², 4B⁰, 1A⁰, 24F⁵, 18A⁴, 12B¹, 6A¹, 18E¹, 3A⁰, 24D¹, 72A⁵, 36B⁸, 18A², 6A⁰, 9A⁰, 36D⁴, 72D⁸, 2C⁰, 6D⁰</t>
        </is>
      </c>
      <c r="O4984" t="inlineStr"/>
    </row>
    <row r="4985">
      <c r="A4985">
        <f>HYPERLINK("https://mathstats.uncg.edu/sites/pauli/congruence/csg17.html#group72L17", "72L¹⁷")</f>
        <v/>
      </c>
      <c r="B4985" t="n">
        <v>17</v>
      </c>
      <c r="C4985" t="inlineStr"/>
      <c r="D4985" t="inlineStr">
        <is>
          <t>216</t>
        </is>
      </c>
      <c r="E4985" t="inlineStr">
        <is>
          <t>2</t>
        </is>
      </c>
      <c r="F4985" t="inlineStr">
        <is>
          <t>54</t>
        </is>
      </c>
      <c r="G4985" t="inlineStr">
        <is>
          <t>0</t>
        </is>
      </c>
      <c r="H4985" t="inlineStr">
        <is>
          <t>0</t>
        </is>
      </c>
      <c r="I4985" t="inlineStr">
        <is>
          <t>36², 72²</t>
        </is>
      </c>
      <c r="J4985" t="n">
        <v>4</v>
      </c>
      <c r="K4985" t="inlineStr">
        <is>
          <t>2⁶, 4⁶, 6⁴, 12⁴</t>
        </is>
      </c>
      <c r="L4985" t="inlineStr">
        <is>
          <t>24G⁵, 36I⁶, 72E⁶, 72A⁹</t>
        </is>
      </c>
      <c r="M4985" t="inlineStr"/>
      <c r="N4985" t="inlineStr">
        <is>
          <t>24G⁵, 24E¹, 24A³, 12C⁰, 8A¹, 72A⁹, 4C⁰, 36B², 12M¹, 2B⁰, 1A⁰, 72E⁶, 36I⁶, 9A⁰, 18E¹, 3A⁰, 6D⁰</t>
        </is>
      </c>
      <c r="O4985" t="inlineStr"/>
    </row>
    <row r="4986">
      <c r="A4986">
        <f>HYPERLINK("https://mathstats.uncg.edu/sites/pauli/congruence/csg17.html#group72M17", "72M¹⁷")</f>
        <v/>
      </c>
      <c r="B4986" t="n">
        <v>17</v>
      </c>
      <c r="C4986" t="inlineStr"/>
      <c r="D4986" t="inlineStr">
        <is>
          <t>288</t>
        </is>
      </c>
      <c r="E4986" t="inlineStr">
        <is>
          <t>1</t>
        </is>
      </c>
      <c r="F4986" t="inlineStr">
        <is>
          <t>12</t>
        </is>
      </c>
      <c r="G4986" t="inlineStr">
        <is>
          <t>0</t>
        </is>
      </c>
      <c r="H4986" t="inlineStr">
        <is>
          <t>0</t>
        </is>
      </c>
      <c r="I4986" t="inlineStr">
        <is>
          <t>4⁶, 8⁶, 36², 72²</t>
        </is>
      </c>
      <c r="J4986" t="n">
        <v>16</v>
      </c>
      <c r="K4986" t="inlineStr">
        <is>
          <t>1⁶, 2³</t>
        </is>
      </c>
      <c r="L4986" t="inlineStr">
        <is>
          <t>24H⁵, 36L⁵</t>
        </is>
      </c>
      <c r="M4986" t="inlineStr"/>
      <c r="N4986" t="inlineStr">
        <is>
          <t>3B⁰, 2A⁰, 36L⁵, 6I⁰, 12F¹, 6C⁰, 4C⁰, 9B⁰, 2B⁰, 4E⁰, 12P¹, 18J¹, 4B⁰, 1A⁰, 18C⁰, 18E⁰, 18C¹, 24H⁵, 12E⁰, 36C¹, 6F⁰, 2C⁰, 36G³</t>
        </is>
      </c>
      <c r="O4986" t="inlineStr"/>
    </row>
    <row r="4987">
      <c r="A4987">
        <f>HYPERLINK("https://mathstats.uncg.edu/sites/pauli/congruence/csg17.html#group72N17", "72N¹⁷")</f>
        <v/>
      </c>
      <c r="B4987" t="n">
        <v>17</v>
      </c>
      <c r="C4987" t="inlineStr"/>
      <c r="D4987" t="inlineStr">
        <is>
          <t>288</t>
        </is>
      </c>
      <c r="E4987" t="inlineStr">
        <is>
          <t>1</t>
        </is>
      </c>
      <c r="F4987" t="inlineStr">
        <is>
          <t>12</t>
        </is>
      </c>
      <c r="G4987" t="inlineStr">
        <is>
          <t>0</t>
        </is>
      </c>
      <c r="H4987" t="inlineStr">
        <is>
          <t>0</t>
        </is>
      </c>
      <c r="I4987" t="inlineStr">
        <is>
          <t>4⁶, 8⁶, 36², 72²</t>
        </is>
      </c>
      <c r="J4987" t="n">
        <v>16</v>
      </c>
      <c r="K4987" t="inlineStr">
        <is>
          <t>1⁶, 2³</t>
        </is>
      </c>
      <c r="L4987" t="inlineStr">
        <is>
          <t>24I⁵, 36L⁵, 72B⁹, 72C⁹</t>
        </is>
      </c>
      <c r="M4987" t="inlineStr"/>
      <c r="N4987" t="inlineStr">
        <is>
          <t>3B⁰, 2A⁰, 36L⁵, 8A¹, 24B³, 12F¹, 6I⁰, 2C⁰, 4C⁰, 6C⁰, 8B⁰, 9B⁰, 2B⁰, 8B¹, 4E⁰, 12P¹, 4B⁰, 72B⁹, 1A⁰, 18J¹, 24C³, 18C⁰, 24I⁵, 18E⁰, 18C¹, 72C⁹, 36C¹, 6F⁰, 36G³, 12E⁰</t>
        </is>
      </c>
      <c r="O4987" t="inlineStr"/>
    </row>
    <row r="4988">
      <c r="A4988">
        <f>HYPERLINK("https://mathstats.uncg.edu/sites/pauli/congruence/csg17.html#group72O17", "72O¹⁷")</f>
        <v/>
      </c>
      <c r="B4988" t="n">
        <v>17</v>
      </c>
      <c r="C4988" t="inlineStr"/>
      <c r="D4988" t="inlineStr">
        <is>
          <t>288</t>
        </is>
      </c>
      <c r="E4988" t="inlineStr">
        <is>
          <t>1</t>
        </is>
      </c>
      <c r="F4988" t="inlineStr">
        <is>
          <t>24</t>
        </is>
      </c>
      <c r="G4988" t="inlineStr">
        <is>
          <t>0</t>
        </is>
      </c>
      <c r="H4988" t="inlineStr">
        <is>
          <t>0</t>
        </is>
      </c>
      <c r="I4988" t="inlineStr">
        <is>
          <t>3⁴, 6², 9⁴, 18², 24², 72²</t>
        </is>
      </c>
      <c r="J4988" t="n">
        <v>16</v>
      </c>
      <c r="K4988" t="inlineStr">
        <is>
          <t>1⁸, 2⁶, 4¹</t>
        </is>
      </c>
      <c r="L4988" t="inlineStr">
        <is>
          <t>24J¹, 36J⁸, 72F⁸, 72D⁹</t>
        </is>
      </c>
      <c r="M4988" t="inlineStr"/>
      <c r="N4988" t="inlineStr">
        <is>
          <t>3B⁰, 24G¹, 12J⁰, 18D², 36F⁴, 2B⁰, 8C⁰, 9C⁰, 4B⁰, 1A⁰, 24J¹, 24B⁰, 6F⁰, 72D⁹, 72F⁸, 12E⁰, 36J⁸</t>
        </is>
      </c>
      <c r="O4988" t="inlineStr"/>
    </row>
    <row r="4989">
      <c r="A4989">
        <f>HYPERLINK("https://mathstats.uncg.edu/sites/pauli/congruence/csg17.html#group72P17", "72P¹⁷")</f>
        <v/>
      </c>
      <c r="B4989" t="n">
        <v>17</v>
      </c>
      <c r="C4989" t="inlineStr"/>
      <c r="D4989" t="inlineStr">
        <is>
          <t>288</t>
        </is>
      </c>
      <c r="E4989" t="inlineStr">
        <is>
          <t>1</t>
        </is>
      </c>
      <c r="F4989" t="inlineStr">
        <is>
          <t>24</t>
        </is>
      </c>
      <c r="G4989" t="inlineStr">
        <is>
          <t>0</t>
        </is>
      </c>
      <c r="H4989" t="inlineStr">
        <is>
          <t>0</t>
        </is>
      </c>
      <c r="I4989" t="inlineStr">
        <is>
          <t>3⁴, 6², 9⁴, 18², 24², 72²</t>
        </is>
      </c>
      <c r="J4989" t="n">
        <v>16</v>
      </c>
      <c r="K4989" t="inlineStr">
        <is>
          <t>1⁸, 2⁶, 4¹</t>
        </is>
      </c>
      <c r="L4989" t="inlineStr">
        <is>
          <t>24J¹, 36K⁸, 72G⁸, 72E⁹</t>
        </is>
      </c>
      <c r="M4989" t="inlineStr"/>
      <c r="N4989" t="inlineStr">
        <is>
          <t>72E⁹, 3B⁰, 72G⁸, 24G¹, 18E², 36G⁴, 12J⁰, 2B⁰, 8C⁰, 4B⁰, 1A⁰, 24J¹, 36K⁸, 24B⁰, 9A¹, 6F⁰, 12E⁰</t>
        </is>
      </c>
      <c r="O4989" t="inlineStr"/>
    </row>
    <row r="4990">
      <c r="A4990">
        <f>HYPERLINK("https://mathstats.uncg.edu/sites/pauli/congruence/csg17.html#group72Q17", "72Q¹⁷")</f>
        <v/>
      </c>
      <c r="B4990" t="n">
        <v>17</v>
      </c>
      <c r="C4990" t="inlineStr"/>
      <c r="D4990" t="inlineStr">
        <is>
          <t>288</t>
        </is>
      </c>
      <c r="E4990" t="inlineStr">
        <is>
          <t>1</t>
        </is>
      </c>
      <c r="F4990" t="inlineStr">
        <is>
          <t>24</t>
        </is>
      </c>
      <c r="G4990" t="inlineStr">
        <is>
          <t>0</t>
        </is>
      </c>
      <c r="H4990" t="inlineStr">
        <is>
          <t>0</t>
        </is>
      </c>
      <c r="I4990" t="inlineStr">
        <is>
          <t>4⁶, 8⁶, 36², 72²</t>
        </is>
      </c>
      <c r="J4990" t="n">
        <v>16</v>
      </c>
      <c r="K4990" t="inlineStr">
        <is>
          <t>1⁴, 2⁶, 4²</t>
        </is>
      </c>
      <c r="L4990" t="inlineStr">
        <is>
          <t>24J⁵, 36I⁷, 72D⁷, 72B⁹</t>
        </is>
      </c>
      <c r="M4990" t="inlineStr"/>
      <c r="N4990" t="inlineStr">
        <is>
          <t>3B⁰, 24B³, 8D⁰, 12F¹, 4C⁰, 8B⁰, 9B⁰, 2B⁰, 72B⁹, 1A⁰, 8H⁰, 36I⁷, 18E⁰, 24I², 4A⁰, 12A¹, 72D⁷, 12G², 24J⁵, 4F⁰, 36B³, 6F⁰, 36G³</t>
        </is>
      </c>
      <c r="O4990" t="inlineStr"/>
    </row>
    <row r="4991">
      <c r="A4991">
        <f>HYPERLINK("https://mathstats.uncg.edu/sites/pauli/congruence/csg17.html#group72R17", "72R¹⁷")</f>
        <v/>
      </c>
      <c r="B4991" t="n">
        <v>17</v>
      </c>
      <c r="C4991" t="inlineStr"/>
      <c r="D4991" t="inlineStr">
        <is>
          <t>288</t>
        </is>
      </c>
      <c r="E4991" t="inlineStr">
        <is>
          <t>1</t>
        </is>
      </c>
      <c r="F4991" t="inlineStr">
        <is>
          <t>24</t>
        </is>
      </c>
      <c r="G4991" t="inlineStr">
        <is>
          <t>0</t>
        </is>
      </c>
      <c r="H4991" t="inlineStr">
        <is>
          <t>0</t>
        </is>
      </c>
      <c r="I4991" t="inlineStr">
        <is>
          <t>4⁶, 8⁶, 36², 72²</t>
        </is>
      </c>
      <c r="J4991" t="n">
        <v>16</v>
      </c>
      <c r="K4991" t="inlineStr">
        <is>
          <t>1⁴, 2⁶, 4²</t>
        </is>
      </c>
      <c r="L4991" t="inlineStr">
        <is>
          <t>24K⁵, 36I⁷, 72D⁷, 72C⁹</t>
        </is>
      </c>
      <c r="M4991" t="inlineStr"/>
      <c r="N4991" t="inlineStr">
        <is>
          <t>3B⁰, 24K⁵, 8A¹, 8D⁰, 12F¹, 4C⁰, 9B⁰, 2B⁰, 1A⁰, 24C³, 36I⁷, 18E⁰, 24I², 8C¹, 4A⁰, 12A¹, 72C⁹, 72D⁷, 12G², 4F⁰, 36B³, 6F⁰, 36G³</t>
        </is>
      </c>
      <c r="O4991" t="inlineStr"/>
    </row>
    <row r="4992">
      <c r="A4992">
        <f>HYPERLINK("https://mathstats.uncg.edu/sites/pauli/congruence/csg17.html#group72S17", "72S¹⁷")</f>
        <v/>
      </c>
      <c r="B4992" t="n">
        <v>17</v>
      </c>
      <c r="C4992" t="inlineStr"/>
      <c r="D4992" t="inlineStr">
        <is>
          <t>288</t>
        </is>
      </c>
      <c r="E4992" t="inlineStr">
        <is>
          <t>1</t>
        </is>
      </c>
      <c r="F4992" t="inlineStr">
        <is>
          <t>24</t>
        </is>
      </c>
      <c r="G4992" t="inlineStr">
        <is>
          <t>24</t>
        </is>
      </c>
      <c r="H4992" t="inlineStr">
        <is>
          <t>0</t>
        </is>
      </c>
      <c r="I4992" t="inlineStr">
        <is>
          <t>72⁴</t>
        </is>
      </c>
      <c r="J4992" t="n">
        <v>4</v>
      </c>
      <c r="K4992" t="inlineStr">
        <is>
          <t>4², 8²</t>
        </is>
      </c>
      <c r="L4992" t="inlineStr">
        <is>
          <t>24L⁵, 36M⁵</t>
        </is>
      </c>
      <c r="M4992" t="inlineStr"/>
      <c r="N4992" t="inlineStr">
        <is>
          <t>12G¹, 36D², 6B⁰, 36H³, 12F⁰, 1A⁰, 18A⁰, 36A¹, 12A⁰, 9D⁰, 18D⁰, 6E⁰, 4A⁰, 9A⁰, 36M⁵, 12Q¹, 3C⁰, 3A⁰, 24L⁵</t>
        </is>
      </c>
      <c r="O4992" t="inlineStr"/>
    </row>
    <row r="4993">
      <c r="A4993">
        <f>HYPERLINK("https://mathstats.uncg.edu/sites/pauli/congruence/csg17.html#group72T17", "72T¹⁷")</f>
        <v/>
      </c>
      <c r="B4993" t="n">
        <v>17</v>
      </c>
      <c r="C4993" t="inlineStr"/>
      <c r="D4993" t="inlineStr">
        <is>
          <t>288</t>
        </is>
      </c>
      <c r="E4993" t="inlineStr">
        <is>
          <t>1</t>
        </is>
      </c>
      <c r="F4993" t="inlineStr">
        <is>
          <t>48</t>
        </is>
      </c>
      <c r="G4993" t="inlineStr">
        <is>
          <t>0</t>
        </is>
      </c>
      <c r="H4993" t="inlineStr">
        <is>
          <t>0</t>
        </is>
      </c>
      <c r="I4993" t="inlineStr">
        <is>
          <t>4⁶, 8⁶, 36², 72²</t>
        </is>
      </c>
      <c r="J4993" t="n">
        <v>16</v>
      </c>
      <c r="K4993" t="inlineStr">
        <is>
          <t>1⁸, 2⁸, 4⁴, 8¹</t>
        </is>
      </c>
      <c r="L4993" t="inlineStr">
        <is>
          <t>24M⁵, 72C⁹</t>
        </is>
      </c>
      <c r="M4993" t="inlineStr"/>
      <c r="N4993" t="inlineStr">
        <is>
          <t>24C³, 3B⁰, 8A¹, 18E⁰, 24M⁵, 12F¹, 4C⁰, 6F⁰, 9B⁰, 72C⁹, 2B⁰, 1A⁰, 36G³</t>
        </is>
      </c>
      <c r="O4993" t="inlineStr"/>
    </row>
    <row r="4994">
      <c r="A4994">
        <f>HYPERLINK("https://mathstats.uncg.edu/sites/pauli/congruence/csg17.html#group72U17", "72U¹⁷")</f>
        <v/>
      </c>
      <c r="B4994" t="n">
        <v>17</v>
      </c>
      <c r="C4994" t="inlineStr"/>
      <c r="D4994" t="inlineStr">
        <is>
          <t>288</t>
        </is>
      </c>
      <c r="E4994" t="inlineStr">
        <is>
          <t>1</t>
        </is>
      </c>
      <c r="F4994" t="inlineStr">
        <is>
          <t>48</t>
        </is>
      </c>
      <c r="G4994" t="inlineStr">
        <is>
          <t>0</t>
        </is>
      </c>
      <c r="H4994" t="inlineStr">
        <is>
          <t>0</t>
        </is>
      </c>
      <c r="I4994" t="inlineStr">
        <is>
          <t>4⁶, 8⁶, 36², 72²</t>
        </is>
      </c>
      <c r="J4994" t="n">
        <v>16</v>
      </c>
      <c r="K4994" t="inlineStr">
        <is>
          <t>1⁸, 2⁸, 4⁴, 8¹</t>
        </is>
      </c>
      <c r="L4994" t="inlineStr">
        <is>
          <t>24N⁵, 72B⁹</t>
        </is>
      </c>
      <c r="M4994" t="inlineStr"/>
      <c r="N4994" t="inlineStr">
        <is>
          <t>3B⁰, 18E⁰, 24N⁵, 24B³, 12F¹, 4C⁰, 8B⁰, 6F⁰, 9B⁰, 8L⁰, 2B⁰, 72B⁹, 1A⁰, 36G³</t>
        </is>
      </c>
      <c r="O4994" t="inlineStr"/>
    </row>
    <row r="4995">
      <c r="A4995">
        <f>HYPERLINK("https://mathstats.uncg.edu/sites/pauli/congruence/csg17.html#group72V17", "72V¹⁷")</f>
        <v/>
      </c>
      <c r="B4995" t="n">
        <v>17</v>
      </c>
      <c r="C4995" t="inlineStr"/>
      <c r="D4995" t="inlineStr">
        <is>
          <t>288</t>
        </is>
      </c>
      <c r="E4995" t="inlineStr">
        <is>
          <t>1</t>
        </is>
      </c>
      <c r="F4995" t="inlineStr">
        <is>
          <t>48</t>
        </is>
      </c>
      <c r="G4995" t="inlineStr">
        <is>
          <t>24</t>
        </is>
      </c>
      <c r="H4995" t="inlineStr">
        <is>
          <t>0</t>
        </is>
      </c>
      <c r="I4995" t="inlineStr">
        <is>
          <t>72⁴</t>
        </is>
      </c>
      <c r="J4995" t="n">
        <v>4</v>
      </c>
      <c r="K4995" t="inlineStr">
        <is>
          <t>4⁴, 8⁴</t>
        </is>
      </c>
      <c r="L4995" t="inlineStr">
        <is>
          <t>36H³, 24O⁵, 72E⁷</t>
        </is>
      </c>
      <c r="M4995" t="inlineStr"/>
      <c r="N4995" t="inlineStr">
        <is>
          <t>24F¹, 36A¹, 12G¹, 12A⁰, 8F⁰, 9D⁰, 4A⁰, 9A⁰, 24O⁵, 36H³, 3C⁰, 3A⁰, 1A⁰, 72E⁷</t>
        </is>
      </c>
      <c r="O4995" t="inlineStr"/>
    </row>
    <row r="4996">
      <c r="A4996">
        <f>HYPERLINK("https://mathstats.uncg.edu/sites/pauli/congruence/csg17.html#group72W17", "72W¹⁷")</f>
        <v/>
      </c>
      <c r="B4996" t="n">
        <v>17</v>
      </c>
      <c r="C4996" t="inlineStr"/>
      <c r="D4996" t="inlineStr">
        <is>
          <t>288</t>
        </is>
      </c>
      <c r="E4996" t="inlineStr">
        <is>
          <t>2</t>
        </is>
      </c>
      <c r="F4996" t="inlineStr">
        <is>
          <t>12</t>
        </is>
      </c>
      <c r="G4996" t="inlineStr">
        <is>
          <t>24</t>
        </is>
      </c>
      <c r="H4996" t="inlineStr">
        <is>
          <t>0</t>
        </is>
      </c>
      <c r="I4996" t="inlineStr">
        <is>
          <t>72⁴</t>
        </is>
      </c>
      <c r="J4996" t="n">
        <v>4</v>
      </c>
      <c r="K4996" t="inlineStr">
        <is>
          <t>4², 8²</t>
        </is>
      </c>
      <c r="L4996" t="inlineStr">
        <is>
          <t>24P⁵, 36M⁵, 72H⁸, 72I⁸, 72J⁸, 72K⁸, 72G⁹, 72F⁹</t>
        </is>
      </c>
      <c r="M4996" t="inlineStr"/>
      <c r="N4996" t="inlineStr">
        <is>
          <t>8A⁰, 72C⁴, 72D⁴, 1A⁰, 18A⁰, 72A⁴, 72K⁸, 24A¹, 3C⁰, 12Q¹, 3A⁰, 24G², 24P⁵, 12G¹, 72J⁸, 36D², 6B⁰, 24D³, 72B⁴, 72H⁸, 72F⁹, 36H³, 12F⁰, 24B¹, 36A¹, 72I⁸, 24E³, 12A⁰, 24K², 9D⁰, 18D⁰, 6E⁰, 4A⁰, 9A⁰, 36M⁵, 72G⁹, 24H²</t>
        </is>
      </c>
      <c r="O4996" t="inlineStr"/>
    </row>
    <row r="4997">
      <c r="A4997">
        <f>HYPERLINK("https://mathstats.uncg.edu/sites/pauli/congruence/csg17.html#group72X17", "72X¹⁷")</f>
        <v/>
      </c>
      <c r="B4997" t="n">
        <v>17</v>
      </c>
      <c r="C4997" t="inlineStr"/>
      <c r="D4997" t="inlineStr">
        <is>
          <t>432</t>
        </is>
      </c>
      <c r="E4997" t="inlineStr">
        <is>
          <t>1</t>
        </is>
      </c>
      <c r="F4997" t="inlineStr">
        <is>
          <t>18</t>
        </is>
      </c>
      <c r="G4997" t="inlineStr">
        <is>
          <t>0</t>
        </is>
      </c>
      <c r="H4997" t="inlineStr">
        <is>
          <t>0</t>
        </is>
      </c>
      <c r="I4997" t="inlineStr">
        <is>
          <t>3²⁴, 9⁸, 24⁶, 72²</t>
        </is>
      </c>
      <c r="J4997" t="n">
        <v>40</v>
      </c>
      <c r="K4997" t="inlineStr">
        <is>
          <t>1⁶, 2⁶</t>
        </is>
      </c>
      <c r="L4997" t="inlineStr">
        <is>
          <t>24AC³, 36N⁷, 72L⁸, 72M⁸</t>
        </is>
      </c>
      <c r="M4997" t="inlineStr"/>
      <c r="N4997" t="inlineStr">
        <is>
          <t>3B⁰, 24I¹, 12K¹, 36N⁷, 18I¹, 72M⁸, 6G⁰, 12S¹, 2B⁰, 24AC³, 9E⁰, 4B⁰, 1A⁰, 72L⁸, 12G⁰, 24B⁰, 6D⁰, 6F⁰, 36Q⁴, 18P², 3C⁰, 12B¹, 12D⁰, 36I³, 6K⁰, 3A⁰, 9H⁰, 3D⁰, 12E⁰</t>
        </is>
      </c>
      <c r="O4997" t="inlineStr"/>
    </row>
    <row r="4998">
      <c r="A4998">
        <f>HYPERLINK("https://mathstats.uncg.edu/sites/pauli/congruence/csg17.html#group72Y17", "72Y¹⁷")</f>
        <v/>
      </c>
      <c r="B4998" t="n">
        <v>17</v>
      </c>
      <c r="C4998" t="inlineStr"/>
      <c r="D4998" t="inlineStr">
        <is>
          <t>432</t>
        </is>
      </c>
      <c r="E4998" t="inlineStr">
        <is>
          <t>1</t>
        </is>
      </c>
      <c r="F4998" t="inlineStr">
        <is>
          <t>36</t>
        </is>
      </c>
      <c r="G4998" t="inlineStr">
        <is>
          <t>0</t>
        </is>
      </c>
      <c r="H4998" t="inlineStr">
        <is>
          <t>0</t>
        </is>
      </c>
      <c r="I4998" t="inlineStr">
        <is>
          <t>1¹², 3⁸, 8³, 9¹², 24², 72³</t>
        </is>
      </c>
      <c r="J4998" t="n">
        <v>40</v>
      </c>
      <c r="K4998" t="inlineStr">
        <is>
          <t>1⁶, 2⁶, 6³</t>
        </is>
      </c>
      <c r="L4998" t="inlineStr">
        <is>
          <t>72A³, 36O⁷</t>
        </is>
      </c>
      <c r="M4998" t="inlineStr"/>
      <c r="N4998" t="inlineStr">
        <is>
          <t>72A³, 3B⁰, 18E⁰, 18Q², 24B⁰, 6F⁰, 9B⁰, 9I⁰, 2B⁰, 36C¹, 4B⁰, 1A⁰, 12E⁰, 36O⁷</t>
        </is>
      </c>
      <c r="O4998" t="inlineStr"/>
    </row>
    <row r="4999">
      <c r="A4999">
        <f>HYPERLINK("https://mathstats.uncg.edu/sites/pauli/congruence/csg17.html#group74A17", "74A¹⁷")</f>
        <v/>
      </c>
      <c r="B4999" t="n">
        <v>17</v>
      </c>
      <c r="C4999" t="inlineStr"/>
      <c r="D4999" t="inlineStr">
        <is>
          <t>228</t>
        </is>
      </c>
      <c r="E4999" t="inlineStr">
        <is>
          <t>1</t>
        </is>
      </c>
      <c r="F4999" t="inlineStr">
        <is>
          <t>38</t>
        </is>
      </c>
      <c r="G4999" t="inlineStr">
        <is>
          <t>0</t>
        </is>
      </c>
      <c r="H4999" t="inlineStr">
        <is>
          <t>0</t>
        </is>
      </c>
      <c r="I4999" t="inlineStr">
        <is>
          <t>2³, 74³</t>
        </is>
      </c>
      <c r="J4999" t="n">
        <v>6</v>
      </c>
      <c r="K4999" t="inlineStr">
        <is>
          <t>1², 36¹</t>
        </is>
      </c>
      <c r="L4999" t="inlineStr">
        <is>
          <t>2C⁰, 74A⁵, 74A⁸</t>
        </is>
      </c>
      <c r="M4999" t="inlineStr"/>
      <c r="N4999" t="inlineStr">
        <is>
          <t>37A², 2A⁰, 74A⁵, 2B⁰, 74A⁸, 1A⁰, 2C⁰</t>
        </is>
      </c>
      <c r="O4999" t="inlineStr"/>
    </row>
    <row r="5000">
      <c r="A5000">
        <f>HYPERLINK("https://mathstats.uncg.edu/sites/pauli/congruence/csg17.html#group74B17", "74B¹⁷")</f>
        <v/>
      </c>
      <c r="B5000" t="n">
        <v>17</v>
      </c>
      <c r="C5000" t="inlineStr"/>
      <c r="D5000" t="inlineStr">
        <is>
          <t>228</t>
        </is>
      </c>
      <c r="E5000" t="inlineStr">
        <is>
          <t>1</t>
        </is>
      </c>
      <c r="F5000" t="inlineStr">
        <is>
          <t>76</t>
        </is>
      </c>
      <c r="G5000" t="inlineStr">
        <is>
          <t>0</t>
        </is>
      </c>
      <c r="H5000" t="inlineStr">
        <is>
          <t>0</t>
        </is>
      </c>
      <c r="I5000" t="inlineStr">
        <is>
          <t>2³, 74³</t>
        </is>
      </c>
      <c r="J5000" t="n">
        <v>6</v>
      </c>
      <c r="K5000" t="inlineStr">
        <is>
          <t>1⁴, 36²</t>
        </is>
      </c>
      <c r="L5000" t="inlineStr">
        <is>
          <t>74A⁵</t>
        </is>
      </c>
      <c r="M5000" t="inlineStr"/>
      <c r="N5000" t="inlineStr">
        <is>
          <t>37A², 74A⁵, 2A⁰, 1A⁰</t>
        </is>
      </c>
      <c r="O5000" t="inlineStr"/>
    </row>
    <row r="5001">
      <c r="A5001">
        <f>HYPERLINK("https://mathstats.uncg.edu/sites/pauli/congruence/csg17.html#group75A17", "75A¹⁷")</f>
        <v/>
      </c>
      <c r="B5001" t="n">
        <v>17</v>
      </c>
      <c r="C5001" t="inlineStr"/>
      <c r="D5001" t="inlineStr">
        <is>
          <t>240</t>
        </is>
      </c>
      <c r="E5001" t="inlineStr">
        <is>
          <t>1</t>
        </is>
      </c>
      <c r="F5001" t="inlineStr">
        <is>
          <t>24</t>
        </is>
      </c>
      <c r="G5001" t="inlineStr">
        <is>
          <t>0</t>
        </is>
      </c>
      <c r="H5001" t="inlineStr">
        <is>
          <t>0</t>
        </is>
      </c>
      <c r="I5001" t="inlineStr">
        <is>
          <t>5², 15², 25², 75²</t>
        </is>
      </c>
      <c r="J5001" t="n">
        <v>8</v>
      </c>
      <c r="K5001" t="inlineStr">
        <is>
          <t>2⁴, 4⁶, 8²</t>
        </is>
      </c>
      <c r="L5001" t="inlineStr">
        <is>
          <t>15G¹, 25A⁴, 75A⁹</t>
        </is>
      </c>
      <c r="M5001" t="inlineStr"/>
      <c r="N5001" t="inlineStr">
        <is>
          <t>15C¹, 3B⁰, 25A², 75A⁹, 5B⁰, 15G¹, 5D⁰, 1A⁰, 25A⁴</t>
        </is>
      </c>
      <c r="O5001" t="inlineStr"/>
    </row>
    <row r="5002">
      <c r="A5002">
        <f>HYPERLINK("https://mathstats.uncg.edu/sites/pauli/congruence/csg17.html#group75B17", "75B¹⁷")</f>
        <v/>
      </c>
      <c r="B5002" t="n">
        <v>17</v>
      </c>
      <c r="C5002" t="inlineStr"/>
      <c r="D5002" t="inlineStr">
        <is>
          <t>240</t>
        </is>
      </c>
      <c r="E5002" t="inlineStr">
        <is>
          <t>1</t>
        </is>
      </c>
      <c r="F5002" t="inlineStr">
        <is>
          <t>24</t>
        </is>
      </c>
      <c r="G5002" t="inlineStr">
        <is>
          <t>0</t>
        </is>
      </c>
      <c r="H5002" t="inlineStr">
        <is>
          <t>0</t>
        </is>
      </c>
      <c r="I5002" t="inlineStr">
        <is>
          <t>5², 15², 25², 75²</t>
        </is>
      </c>
      <c r="J5002" t="n">
        <v>8</v>
      </c>
      <c r="K5002" t="inlineStr">
        <is>
          <t>2⁴, 4⁶, 8²</t>
        </is>
      </c>
      <c r="L5002" t="inlineStr">
        <is>
          <t>15G¹, 25B⁴, 75B⁹</t>
        </is>
      </c>
      <c r="M5002" t="inlineStr"/>
      <c r="N5002" t="inlineStr">
        <is>
          <t>75B⁹, 15C¹, 3B⁰, 25B⁴, 5B⁰, 15G¹, 5D⁰, 1A⁰, 25B²</t>
        </is>
      </c>
      <c r="O5002" t="inlineStr"/>
    </row>
    <row r="5003">
      <c r="A5003">
        <f>HYPERLINK("https://mathstats.uncg.edu/sites/pauli/congruence/csg17.html#group75C17", "75C¹⁷")</f>
        <v/>
      </c>
      <c r="B5003" t="n">
        <v>17</v>
      </c>
      <c r="C5003" t="inlineStr"/>
      <c r="D5003" t="inlineStr">
        <is>
          <t>240</t>
        </is>
      </c>
      <c r="E5003" t="inlineStr">
        <is>
          <t>1</t>
        </is>
      </c>
      <c r="F5003" t="inlineStr">
        <is>
          <t>24</t>
        </is>
      </c>
      <c r="G5003" t="inlineStr">
        <is>
          <t>0</t>
        </is>
      </c>
      <c r="H5003" t="inlineStr">
        <is>
          <t>0</t>
        </is>
      </c>
      <c r="I5003" t="inlineStr">
        <is>
          <t>5², 15², 25², 75²</t>
        </is>
      </c>
      <c r="J5003" t="n">
        <v>8</v>
      </c>
      <c r="K5003" t="inlineStr">
        <is>
          <t>2⁴, 4⁶, 8²</t>
        </is>
      </c>
      <c r="L5003" t="inlineStr">
        <is>
          <t>15G¹, 25C⁴, 75C⁹</t>
        </is>
      </c>
      <c r="M5003" t="inlineStr"/>
      <c r="N5003" t="inlineStr">
        <is>
          <t>15C¹, 3B⁰, 75C⁹, 5B⁰, 15G¹, 5D⁰, 1A⁰, 25C², 25C⁴</t>
        </is>
      </c>
      <c r="O5003" t="inlineStr"/>
    </row>
    <row r="5004">
      <c r="A5004">
        <f>HYPERLINK("https://mathstats.uncg.edu/sites/pauli/congruence/csg17.html#group75D17", "75D¹⁷")</f>
        <v/>
      </c>
      <c r="B5004" t="n">
        <v>17</v>
      </c>
      <c r="C5004" t="inlineStr"/>
      <c r="D5004" t="inlineStr">
        <is>
          <t>240</t>
        </is>
      </c>
      <c r="E5004" t="inlineStr">
        <is>
          <t>1</t>
        </is>
      </c>
      <c r="F5004" t="inlineStr">
        <is>
          <t>24</t>
        </is>
      </c>
      <c r="G5004" t="inlineStr">
        <is>
          <t>0</t>
        </is>
      </c>
      <c r="H5004" t="inlineStr">
        <is>
          <t>0</t>
        </is>
      </c>
      <c r="I5004" t="inlineStr">
        <is>
          <t>5², 15², 25², 75²</t>
        </is>
      </c>
      <c r="J5004" t="n">
        <v>8</v>
      </c>
      <c r="K5004" t="inlineStr">
        <is>
          <t>2⁴, 4⁶, 8²</t>
        </is>
      </c>
      <c r="L5004" t="inlineStr">
        <is>
          <t>15G¹, 25D⁴, 75D⁹</t>
        </is>
      </c>
      <c r="M5004" t="inlineStr"/>
      <c r="N5004" t="inlineStr">
        <is>
          <t>15C¹, 3B⁰, 5B⁰, 15G¹, 75D⁹, 5D⁰, 25D⁴, 1A⁰, 25D²</t>
        </is>
      </c>
      <c r="O5004" t="inlineStr"/>
    </row>
    <row r="5005">
      <c r="A5005">
        <f>HYPERLINK("https://mathstats.uncg.edu/sites/pauli/congruence/csg17.html#group75E17", "75E¹⁷")</f>
        <v/>
      </c>
      <c r="B5005" t="n">
        <v>17</v>
      </c>
      <c r="C5005" t="inlineStr"/>
      <c r="D5005" t="inlineStr">
        <is>
          <t>360</t>
        </is>
      </c>
      <c r="E5005" t="inlineStr">
        <is>
          <t>1</t>
        </is>
      </c>
      <c r="F5005" t="inlineStr">
        <is>
          <t>90</t>
        </is>
      </c>
      <c r="G5005" t="inlineStr">
        <is>
          <t>8</t>
        </is>
      </c>
      <c r="H5005" t="inlineStr">
        <is>
          <t>0</t>
        </is>
      </c>
      <c r="I5005" t="inlineStr">
        <is>
          <t>3²⁰, 75⁴</t>
        </is>
      </c>
      <c r="J5005" t="n">
        <v>24</v>
      </c>
      <c r="K5005" t="inlineStr">
        <is>
          <t>1², 2², 4², 8², 20¹, 40¹</t>
        </is>
      </c>
      <c r="L5005" t="inlineStr">
        <is>
          <t>15H¹, 75A⁸, 75E⁹</t>
        </is>
      </c>
      <c r="M5005" t="inlineStr"/>
      <c r="N5005" t="inlineStr">
        <is>
          <t>75A⁴, 15B⁰, 15E¹, 5B⁰, 25A⁰, 3C⁰, 1A⁰, 75E⁹, 3A⁰, 15H¹, 75A⁸, 15C⁰</t>
        </is>
      </c>
      <c r="O5005" t="inlineStr"/>
    </row>
    <row r="5006">
      <c r="A5006">
        <f>HYPERLINK("https://mathstats.uncg.edu/sites/pauli/congruence/csg17.html#group75F17", "75F¹⁷")</f>
        <v/>
      </c>
      <c r="B5006" t="n">
        <v>17</v>
      </c>
      <c r="C5006" t="inlineStr"/>
      <c r="D5006" t="inlineStr">
        <is>
          <t>480</t>
        </is>
      </c>
      <c r="E5006" t="inlineStr">
        <is>
          <t>1</t>
        </is>
      </c>
      <c r="F5006" t="inlineStr">
        <is>
          <t>24</t>
        </is>
      </c>
      <c r="G5006" t="inlineStr">
        <is>
          <t>0</t>
        </is>
      </c>
      <c r="H5006" t="inlineStr">
        <is>
          <t>0</t>
        </is>
      </c>
      <c r="I5006" t="inlineStr">
        <is>
          <t>1²⁰, 3²⁰, 25⁴, 75⁴</t>
        </is>
      </c>
      <c r="J5006" t="n">
        <v>48</v>
      </c>
      <c r="K5006" t="inlineStr">
        <is>
          <t>1⁴, 2², 4², 8¹</t>
        </is>
      </c>
      <c r="L5006" t="inlineStr">
        <is>
          <t>15I¹, 75F⁹</t>
        </is>
      </c>
      <c r="M5006" t="inlineStr"/>
      <c r="N5006" t="inlineStr">
        <is>
          <t>15C¹, 3B⁰, 75A⁵, 75F⁹, 15I¹, 5B⁰, 15G¹, 5D⁰, 25A⁰, 1A⁰, 25B⁰</t>
        </is>
      </c>
      <c r="O5006" t="inlineStr"/>
    </row>
    <row r="5007">
      <c r="A5007">
        <f>HYPERLINK("https://mathstats.uncg.edu/sites/pauli/congruence/csg17.html#group76A17", "76A¹⁷")</f>
        <v/>
      </c>
      <c r="B5007" t="n">
        <v>17</v>
      </c>
      <c r="C5007" t="inlineStr"/>
      <c r="D5007" t="inlineStr">
        <is>
          <t>240</t>
        </is>
      </c>
      <c r="E5007" t="inlineStr">
        <is>
          <t>1</t>
        </is>
      </c>
      <c r="F5007" t="inlineStr">
        <is>
          <t>60</t>
        </is>
      </c>
      <c r="G5007" t="inlineStr">
        <is>
          <t>0</t>
        </is>
      </c>
      <c r="H5007" t="inlineStr">
        <is>
          <t>0</t>
        </is>
      </c>
      <c r="I5007" t="inlineStr">
        <is>
          <t>2², 4², 38², 76²</t>
        </is>
      </c>
      <c r="J5007" t="n">
        <v>8</v>
      </c>
      <c r="K5007" t="inlineStr">
        <is>
          <t>1⁶, 18³</t>
        </is>
      </c>
      <c r="L5007" t="inlineStr">
        <is>
          <t>4E⁰, 38A⁸, 76A⁸, 76A⁹</t>
        </is>
      </c>
      <c r="M5007" t="inlineStr"/>
      <c r="N5007" t="inlineStr">
        <is>
          <t>19A¹, 2A⁰, 38A⁸, 38A², 4B⁰, 4C⁰, 38A⁴, 76A⁸, 2B⁰, 4E⁰, 76A⁹, 1A⁰, 2C⁰</t>
        </is>
      </c>
      <c r="O5007" t="inlineStr"/>
    </row>
    <row r="5008">
      <c r="A5008">
        <f>HYPERLINK("https://mathstats.uncg.edu/sites/pauli/congruence/csg17.html#group78A17", "78A¹⁷")</f>
        <v/>
      </c>
      <c r="B5008" t="n">
        <v>17</v>
      </c>
      <c r="C5008" t="inlineStr"/>
      <c r="D5008" t="inlineStr">
        <is>
          <t>252</t>
        </is>
      </c>
      <c r="E5008" t="inlineStr">
        <is>
          <t>1</t>
        </is>
      </c>
      <c r="F5008" t="inlineStr">
        <is>
          <t>126</t>
        </is>
      </c>
      <c r="G5008" t="inlineStr">
        <is>
          <t>4</t>
        </is>
      </c>
      <c r="H5008" t="inlineStr">
        <is>
          <t>0</t>
        </is>
      </c>
      <c r="I5008" t="inlineStr">
        <is>
          <t>3², 6², 39², 78²</t>
        </is>
      </c>
      <c r="J5008" t="n">
        <v>8</v>
      </c>
      <c r="K5008" t="inlineStr">
        <is>
          <t>1⁶, 2⁶, 12³, 24³</t>
        </is>
      </c>
      <c r="L5008" t="inlineStr">
        <is>
          <t>6G⁰, 39A⁵, 78A⁸</t>
        </is>
      </c>
      <c r="M5008" t="inlineStr"/>
      <c r="N5008" t="inlineStr">
        <is>
          <t>78A⁸, 39A², 39A⁵, 13A⁰, 6G⁰, 3C⁰, 2B⁰, 3A⁰, 1A⁰, 26A², 6D⁰</t>
        </is>
      </c>
      <c r="O5008" t="inlineStr"/>
    </row>
    <row r="5009">
      <c r="A5009">
        <f>HYPERLINK("https://mathstats.uncg.edu/sites/pauli/congruence/csg17.html#group78B17", "78B¹⁷")</f>
        <v/>
      </c>
      <c r="B5009" t="n">
        <v>17</v>
      </c>
      <c r="C5009" t="inlineStr"/>
      <c r="D5009" t="inlineStr">
        <is>
          <t>252</t>
        </is>
      </c>
      <c r="E5009" t="inlineStr">
        <is>
          <t>1</t>
        </is>
      </c>
      <c r="F5009" t="inlineStr">
        <is>
          <t>126</t>
        </is>
      </c>
      <c r="G5009" t="inlineStr">
        <is>
          <t>8</t>
        </is>
      </c>
      <c r="H5009" t="inlineStr">
        <is>
          <t>0</t>
        </is>
      </c>
      <c r="I5009" t="inlineStr">
        <is>
          <t>6³, 78³</t>
        </is>
      </c>
      <c r="J5009" t="n">
        <v>6</v>
      </c>
      <c r="K5009" t="inlineStr">
        <is>
          <t>1⁶, 2⁶, 12³, 24³</t>
        </is>
      </c>
      <c r="L5009" t="inlineStr">
        <is>
          <t>6H⁰, 78B⁵, 78A⁸</t>
        </is>
      </c>
      <c r="M5009" t="inlineStr"/>
      <c r="N5009" t="inlineStr">
        <is>
          <t>78A⁸, 39A², 6B⁰, 78B⁵, 13A⁰, 2B⁰, 6H⁰, 3A⁰, 1A⁰, 26A², 6D⁰</t>
        </is>
      </c>
      <c r="O5009" t="inlineStr"/>
    </row>
    <row r="5010">
      <c r="A5010">
        <f>HYPERLINK("https://mathstats.uncg.edu/sites/pauli/congruence/csg17.html#group80A17", "80A¹⁷")</f>
        <v/>
      </c>
      <c r="B5010" t="n">
        <v>17</v>
      </c>
      <c r="C5010" t="inlineStr"/>
      <c r="D5010" t="inlineStr">
        <is>
          <t>240</t>
        </is>
      </c>
      <c r="E5010" t="inlineStr">
        <is>
          <t>1</t>
        </is>
      </c>
      <c r="F5010" t="inlineStr">
        <is>
          <t>30</t>
        </is>
      </c>
      <c r="G5010" t="inlineStr">
        <is>
          <t>0</t>
        </is>
      </c>
      <c r="H5010" t="inlineStr">
        <is>
          <t>0</t>
        </is>
      </c>
      <c r="I5010" t="inlineStr">
        <is>
          <t>10⁴, 20², 80²</t>
        </is>
      </c>
      <c r="J5010" t="n">
        <v>8</v>
      </c>
      <c r="K5010" t="inlineStr">
        <is>
          <t>1⁴, 2¹, 4⁴, 8¹</t>
        </is>
      </c>
      <c r="L5010" t="inlineStr">
        <is>
          <t>16E¹, 40A⁸, 80B⁸, 80A⁹</t>
        </is>
      </c>
      <c r="M5010" t="inlineStr"/>
      <c r="N5010" t="inlineStr">
        <is>
          <t>2A⁰, 5A⁰, 4C⁰, 40A⁸, 8C⁰, 2B⁰, 16A¹, 4E⁰, 4B⁰, 1A⁰, 40C⁴, 10A⁰, 80B⁸, 80A⁹, 8G⁰, 16C⁰, 20A², 8D⁰, 16E¹, 10B¹, 20B², 10B², 40B⁴, 20A⁴, 2C⁰</t>
        </is>
      </c>
      <c r="O5010" t="inlineStr"/>
    </row>
    <row r="5011">
      <c r="A5011">
        <f>HYPERLINK("https://mathstats.uncg.edu/sites/pauli/congruence/csg17.html#group80B17", "80B¹⁷")</f>
        <v/>
      </c>
      <c r="B5011" t="n">
        <v>17</v>
      </c>
      <c r="C5011" t="inlineStr"/>
      <c r="D5011" t="inlineStr">
        <is>
          <t>240</t>
        </is>
      </c>
      <c r="E5011" t="inlineStr">
        <is>
          <t>1</t>
        </is>
      </c>
      <c r="F5011" t="inlineStr">
        <is>
          <t>30</t>
        </is>
      </c>
      <c r="G5011" t="inlineStr">
        <is>
          <t>8</t>
        </is>
      </c>
      <c r="H5011" t="inlineStr">
        <is>
          <t>0</t>
        </is>
      </c>
      <c r="I5011" t="inlineStr">
        <is>
          <t>40², 80²</t>
        </is>
      </c>
      <c r="J5011" t="n">
        <v>4</v>
      </c>
      <c r="K5011" t="inlineStr">
        <is>
          <t>1², 2², 4², 8²</t>
        </is>
      </c>
      <c r="L5011" t="inlineStr">
        <is>
          <t>16F¹, 40B⁸, 80A⁸, 80B⁹</t>
        </is>
      </c>
      <c r="M5011" t="inlineStr"/>
      <c r="N5011" t="inlineStr">
        <is>
          <t>40B⁸, 5A⁰, 40A⁴, 8D⁰, 10B¹, 20B², 4C⁰, 8B⁰, 16B¹, 20A¹, 2B⁰, 20C⁴, 1A⁰, 8H⁰, 16B⁰, 40C⁴, 4A⁰, 4F⁰, 16F¹, 80B⁹, 80A⁸</t>
        </is>
      </c>
      <c r="O5011" t="inlineStr"/>
    </row>
    <row r="5012">
      <c r="A5012">
        <f>HYPERLINK("https://mathstats.uncg.edu/sites/pauli/congruence/csg17.html#group80C17", "80C¹⁷")</f>
        <v/>
      </c>
      <c r="B5012" t="n">
        <v>17</v>
      </c>
      <c r="C5012" t="inlineStr"/>
      <c r="D5012" t="inlineStr">
        <is>
          <t>240</t>
        </is>
      </c>
      <c r="E5012" t="inlineStr">
        <is>
          <t>1</t>
        </is>
      </c>
      <c r="F5012" t="inlineStr">
        <is>
          <t>60</t>
        </is>
      </c>
      <c r="G5012" t="inlineStr">
        <is>
          <t>0</t>
        </is>
      </c>
      <c r="H5012" t="inlineStr">
        <is>
          <t>0</t>
        </is>
      </c>
      <c r="I5012" t="inlineStr">
        <is>
          <t>10⁴, 20², 80²</t>
        </is>
      </c>
      <c r="J5012" t="n">
        <v>8</v>
      </c>
      <c r="K5012" t="inlineStr">
        <is>
          <t>1⁴, 2², 4⁵, 8², 16¹</t>
        </is>
      </c>
      <c r="L5012" t="inlineStr">
        <is>
          <t>16G¹, 40C⁸, 80C⁸, 80A⁹</t>
        </is>
      </c>
      <c r="M5012" t="inlineStr"/>
      <c r="N5012" t="inlineStr">
        <is>
          <t>80C⁸, 20A², 5A⁰, 16G¹, 80A⁹, 10B¹, 16D⁰, 16A¹, 8C⁰, 2B⁰, 8I⁰, 4B⁰, 40B⁴, 1A⁰, 40C⁸</t>
        </is>
      </c>
      <c r="O5012" t="inlineStr"/>
    </row>
    <row r="5013">
      <c r="A5013">
        <f>HYPERLINK("https://mathstats.uncg.edu/sites/pauli/congruence/csg17.html#group80D17", "80D¹⁷")</f>
        <v/>
      </c>
      <c r="B5013" t="n">
        <v>17</v>
      </c>
      <c r="C5013" t="inlineStr"/>
      <c r="D5013" t="inlineStr">
        <is>
          <t>240</t>
        </is>
      </c>
      <c r="E5013" t="inlineStr">
        <is>
          <t>1</t>
        </is>
      </c>
      <c r="F5013" t="inlineStr">
        <is>
          <t>60</t>
        </is>
      </c>
      <c r="G5013" t="inlineStr">
        <is>
          <t>0</t>
        </is>
      </c>
      <c r="H5013" t="inlineStr">
        <is>
          <t>0</t>
        </is>
      </c>
      <c r="I5013" t="inlineStr">
        <is>
          <t>10⁴, 20², 80²</t>
        </is>
      </c>
      <c r="J5013" t="n">
        <v>8</v>
      </c>
      <c r="K5013" t="inlineStr">
        <is>
          <t>2⁴, 4⁹, 8²</t>
        </is>
      </c>
      <c r="L5013" t="inlineStr">
        <is>
          <t>40G⁷</t>
        </is>
      </c>
      <c r="M5013" t="inlineStr"/>
      <c r="N5013" t="inlineStr">
        <is>
          <t>40G⁷, 20E³, 1A⁰, 8C⁰, 2B⁰, 4B⁰, 5C⁰, 10F¹</t>
        </is>
      </c>
      <c r="O5013" t="inlineStr"/>
    </row>
    <row r="5014">
      <c r="A5014">
        <f>HYPERLINK("https://mathstats.uncg.edu/sites/pauli/congruence/csg17.html#group80E17", "80E¹⁷")</f>
        <v/>
      </c>
      <c r="B5014" t="n">
        <v>17</v>
      </c>
      <c r="C5014" t="inlineStr"/>
      <c r="D5014" t="inlineStr">
        <is>
          <t>240</t>
        </is>
      </c>
      <c r="E5014" t="inlineStr">
        <is>
          <t>1</t>
        </is>
      </c>
      <c r="F5014" t="inlineStr">
        <is>
          <t>60</t>
        </is>
      </c>
      <c r="G5014" t="inlineStr">
        <is>
          <t>0</t>
        </is>
      </c>
      <c r="H5014" t="inlineStr">
        <is>
          <t>0</t>
        </is>
      </c>
      <c r="I5014" t="inlineStr">
        <is>
          <t>10⁴, 20², 80²</t>
        </is>
      </c>
      <c r="J5014" t="n">
        <v>8</v>
      </c>
      <c r="K5014" t="inlineStr">
        <is>
          <t>2⁴, 4⁹, 8²</t>
        </is>
      </c>
      <c r="L5014" t="inlineStr">
        <is>
          <t>16A¹, 40G⁷</t>
        </is>
      </c>
      <c r="M5014" t="inlineStr"/>
      <c r="N5014" t="inlineStr">
        <is>
          <t>40G⁷, 20E³, 16A¹, 8C⁰, 2B⁰, 1A⁰, 4B⁰, 5C⁰, 10F¹</t>
        </is>
      </c>
      <c r="O5014" t="inlineStr"/>
    </row>
    <row r="5015">
      <c r="A5015">
        <f>HYPERLINK("https://mathstats.uncg.edu/sites/pauli/congruence/csg17.html#group80F17", "80F¹⁷")</f>
        <v/>
      </c>
      <c r="B5015" t="n">
        <v>17</v>
      </c>
      <c r="C5015" t="inlineStr"/>
      <c r="D5015" t="inlineStr">
        <is>
          <t>240</t>
        </is>
      </c>
      <c r="E5015" t="inlineStr">
        <is>
          <t>1</t>
        </is>
      </c>
      <c r="F5015" t="inlineStr">
        <is>
          <t>60</t>
        </is>
      </c>
      <c r="G5015" t="inlineStr">
        <is>
          <t>4</t>
        </is>
      </c>
      <c r="H5015" t="inlineStr">
        <is>
          <t>0</t>
        </is>
      </c>
      <c r="I5015" t="inlineStr">
        <is>
          <t>20⁴, 80²</t>
        </is>
      </c>
      <c r="J5015" t="n">
        <v>6</v>
      </c>
      <c r="K5015" t="inlineStr">
        <is>
          <t>2², 4², 8², 16²</t>
        </is>
      </c>
      <c r="L5015" t="inlineStr">
        <is>
          <t>16H¹, 40B⁸</t>
        </is>
      </c>
      <c r="M5015" t="inlineStr"/>
      <c r="N5015" t="inlineStr">
        <is>
          <t>40B⁸, 5A⁰, 40A⁴, 8D⁰, 10B¹, 20B², 4C⁰, 8B⁰, 20A¹, 20C⁴, 2B⁰, 1A⁰, 8H⁰, 40C⁴, 4A⁰, 4F⁰, 16H¹</t>
        </is>
      </c>
      <c r="O5015" t="inlineStr"/>
    </row>
    <row r="5016">
      <c r="A5016">
        <f>HYPERLINK("https://mathstats.uncg.edu/sites/pauli/congruence/csg17.html#group80G17", "80G¹⁷")</f>
        <v/>
      </c>
      <c r="B5016" t="n">
        <v>17</v>
      </c>
      <c r="C5016" t="inlineStr"/>
      <c r="D5016" t="inlineStr">
        <is>
          <t>240</t>
        </is>
      </c>
      <c r="E5016" t="inlineStr">
        <is>
          <t>1</t>
        </is>
      </c>
      <c r="F5016" t="inlineStr">
        <is>
          <t>60</t>
        </is>
      </c>
      <c r="G5016" t="inlineStr">
        <is>
          <t>4</t>
        </is>
      </c>
      <c r="H5016" t="inlineStr">
        <is>
          <t>0</t>
        </is>
      </c>
      <c r="I5016" t="inlineStr">
        <is>
          <t>20⁴, 80²</t>
        </is>
      </c>
      <c r="J5016" t="n">
        <v>6</v>
      </c>
      <c r="K5016" t="inlineStr">
        <is>
          <t>1², 2¹, 4⁴, 8¹, 16²</t>
        </is>
      </c>
      <c r="L5016" t="inlineStr">
        <is>
          <t>16I¹, 40B⁸, 80D⁸, 80C⁹</t>
        </is>
      </c>
      <c r="M5016" t="inlineStr"/>
      <c r="N5016" t="inlineStr">
        <is>
          <t>40B⁸, 5A⁰, 40A⁴, 16I¹, 8D⁰, 10B¹, 20B², 4C⁰, 8B⁰, 20A¹, 2B⁰, 20C⁴, 1A⁰, 8H⁰, 16E⁰, 40C⁴, 4A⁰, 16C¹, 80D⁸, 4F⁰, 80C⁹</t>
        </is>
      </c>
      <c r="O5016" t="inlineStr"/>
    </row>
    <row r="5017">
      <c r="A5017">
        <f>HYPERLINK("https://mathstats.uncg.edu/sites/pauli/congruence/csg17.html#group80H17", "80H¹⁷")</f>
        <v/>
      </c>
      <c r="B5017" t="n">
        <v>17</v>
      </c>
      <c r="C5017" t="inlineStr"/>
      <c r="D5017" t="inlineStr">
        <is>
          <t>240</t>
        </is>
      </c>
      <c r="E5017" t="inlineStr">
        <is>
          <t>1</t>
        </is>
      </c>
      <c r="F5017" t="inlineStr">
        <is>
          <t>60</t>
        </is>
      </c>
      <c r="G5017" t="inlineStr">
        <is>
          <t>8</t>
        </is>
      </c>
      <c r="H5017" t="inlineStr">
        <is>
          <t>0</t>
        </is>
      </c>
      <c r="I5017" t="inlineStr">
        <is>
          <t>40², 80²</t>
        </is>
      </c>
      <c r="J5017" t="n">
        <v>4</v>
      </c>
      <c r="K5017" t="inlineStr">
        <is>
          <t>2², 4⁶, 8⁴</t>
        </is>
      </c>
      <c r="L5017" t="inlineStr">
        <is>
          <t>40E⁷</t>
        </is>
      </c>
      <c r="M5017" t="inlineStr"/>
      <c r="N5017" t="inlineStr">
        <is>
          <t>40E⁷, 4C⁰, 8B⁰, 1A⁰, 2B⁰, 5C⁰, 20F³, 10F¹</t>
        </is>
      </c>
      <c r="O5017" t="inlineStr"/>
    </row>
    <row r="5018">
      <c r="A5018">
        <f>HYPERLINK("https://mathstats.uncg.edu/sites/pauli/congruence/csg17.html#group80I17", "80I¹⁷")</f>
        <v/>
      </c>
      <c r="B5018" t="n">
        <v>17</v>
      </c>
      <c r="C5018" t="inlineStr"/>
      <c r="D5018" t="inlineStr">
        <is>
          <t>240</t>
        </is>
      </c>
      <c r="E5018" t="inlineStr">
        <is>
          <t>1</t>
        </is>
      </c>
      <c r="F5018" t="inlineStr">
        <is>
          <t>60</t>
        </is>
      </c>
      <c r="G5018" t="inlineStr">
        <is>
          <t>8</t>
        </is>
      </c>
      <c r="H5018" t="inlineStr">
        <is>
          <t>0</t>
        </is>
      </c>
      <c r="I5018" t="inlineStr">
        <is>
          <t>40², 80²</t>
        </is>
      </c>
      <c r="J5018" t="n">
        <v>4</v>
      </c>
      <c r="K5018" t="inlineStr">
        <is>
          <t>2², 4⁶, 8⁴</t>
        </is>
      </c>
      <c r="L5018" t="inlineStr">
        <is>
          <t>16B¹, 40E⁷</t>
        </is>
      </c>
      <c r="M5018" t="inlineStr"/>
      <c r="N5018" t="inlineStr">
        <is>
          <t>40E⁷, 4C⁰, 5C⁰, 8B⁰, 16B¹, 2B⁰, 1A⁰, 20F³, 10F¹</t>
        </is>
      </c>
      <c r="O5018" t="inlineStr"/>
    </row>
    <row r="5019">
      <c r="A5019">
        <f>HYPERLINK("https://mathstats.uncg.edu/sites/pauli/congruence/csg17.html#group80J17", "80J¹⁷")</f>
        <v/>
      </c>
      <c r="B5019" t="n">
        <v>17</v>
      </c>
      <c r="C5019" t="inlineStr"/>
      <c r="D5019" t="inlineStr">
        <is>
          <t>240</t>
        </is>
      </c>
      <c r="E5019" t="inlineStr">
        <is>
          <t>1</t>
        </is>
      </c>
      <c r="F5019" t="inlineStr">
        <is>
          <t>60</t>
        </is>
      </c>
      <c r="G5019" t="inlineStr">
        <is>
          <t>8</t>
        </is>
      </c>
      <c r="H5019" t="inlineStr">
        <is>
          <t>0</t>
        </is>
      </c>
      <c r="I5019" t="inlineStr">
        <is>
          <t>40², 80²</t>
        </is>
      </c>
      <c r="J5019" t="n">
        <v>4</v>
      </c>
      <c r="K5019" t="inlineStr">
        <is>
          <t>1⁴, 2², 4⁵, 8², 16¹</t>
        </is>
      </c>
      <c r="L5019" t="inlineStr">
        <is>
          <t>16J¹, 40F⁸, 80A⁸, 80D⁹</t>
        </is>
      </c>
      <c r="M5019" t="inlineStr"/>
      <c r="N5019" t="inlineStr">
        <is>
          <t>5A⁰, 40A⁴, 10B¹, 80D⁹, 4C⁰, 20B², 8B⁰, 8L⁰, 2B⁰, 16J¹, 1A⁰, 40F⁸, 16B⁰, 16D¹, 80A⁸</t>
        </is>
      </c>
      <c r="O5019" t="inlineStr"/>
    </row>
    <row r="5020">
      <c r="A5020">
        <f>HYPERLINK("https://mathstats.uncg.edu/sites/pauli/congruence/csg17.html#group80K17", "80K¹⁷")</f>
        <v/>
      </c>
      <c r="B5020" t="n">
        <v>17</v>
      </c>
      <c r="C5020" t="inlineStr"/>
      <c r="D5020" t="inlineStr">
        <is>
          <t>240</t>
        </is>
      </c>
      <c r="E5020" t="inlineStr">
        <is>
          <t>1</t>
        </is>
      </c>
      <c r="F5020" t="inlineStr">
        <is>
          <t>120</t>
        </is>
      </c>
      <c r="G5020" t="inlineStr">
        <is>
          <t>2</t>
        </is>
      </c>
      <c r="H5020" t="inlineStr">
        <is>
          <t>0</t>
        </is>
      </c>
      <c r="I5020" t="inlineStr">
        <is>
          <t>20⁴, 40², 80¹</t>
        </is>
      </c>
      <c r="J5020" t="n">
        <v>7</v>
      </c>
      <c r="K5020" t="inlineStr">
        <is>
          <t>4⁴, 8⁴, 16⁴, 32⁴</t>
        </is>
      </c>
      <c r="L5020" t="inlineStr">
        <is>
          <t>16K¹, 40E⁸</t>
        </is>
      </c>
      <c r="M5020" t="inlineStr"/>
      <c r="N5020" t="inlineStr">
        <is>
          <t>40E⁸, 5A⁰, 8K⁰, 10B¹, 20B², 4C⁰, 4A⁰, 20A¹, 20C⁴, 2B⁰, 4F⁰, 1A⁰, 16K¹</t>
        </is>
      </c>
      <c r="O5020" t="inlineStr"/>
    </row>
    <row r="5021">
      <c r="A5021">
        <f>HYPERLINK("https://mathstats.uncg.edu/sites/pauli/congruence/csg17.html#group80L17", "80L¹⁷")</f>
        <v/>
      </c>
      <c r="B5021" t="n">
        <v>17</v>
      </c>
      <c r="C5021" t="inlineStr"/>
      <c r="D5021" t="inlineStr">
        <is>
          <t>240</t>
        </is>
      </c>
      <c r="E5021" t="inlineStr">
        <is>
          <t>1</t>
        </is>
      </c>
      <c r="F5021" t="inlineStr">
        <is>
          <t>120</t>
        </is>
      </c>
      <c r="G5021" t="inlineStr">
        <is>
          <t>2</t>
        </is>
      </c>
      <c r="H5021" t="inlineStr">
        <is>
          <t>0</t>
        </is>
      </c>
      <c r="I5021" t="inlineStr">
        <is>
          <t>20⁴, 40², 80¹</t>
        </is>
      </c>
      <c r="J5021" t="n">
        <v>7</v>
      </c>
      <c r="K5021" t="inlineStr">
        <is>
          <t>4⁴, 8⁴, 16⁴, 32⁴</t>
        </is>
      </c>
      <c r="L5021" t="inlineStr">
        <is>
          <t>16L¹, 40E⁸</t>
        </is>
      </c>
      <c r="M5021" t="inlineStr"/>
      <c r="N5021" t="inlineStr">
        <is>
          <t>40E⁸, 16L¹, 5A⁰, 8K⁰, 10B¹, 20B², 4C⁰, 4A⁰, 20A¹, 20C⁴, 2B⁰, 4F⁰, 1A⁰</t>
        </is>
      </c>
      <c r="O5021" t="inlineStr"/>
    </row>
    <row r="5022">
      <c r="A5022">
        <f>HYPERLINK("https://mathstats.uncg.edu/sites/pauli/congruence/csg17.html#group80M17", "80M¹⁷")</f>
        <v/>
      </c>
      <c r="B5022" t="n">
        <v>17</v>
      </c>
      <c r="C5022" t="inlineStr"/>
      <c r="D5022" t="inlineStr">
        <is>
          <t>240</t>
        </is>
      </c>
      <c r="E5022" t="inlineStr">
        <is>
          <t>1</t>
        </is>
      </c>
      <c r="F5022" t="inlineStr">
        <is>
          <t>120</t>
        </is>
      </c>
      <c r="G5022" t="inlineStr">
        <is>
          <t>4</t>
        </is>
      </c>
      <c r="H5022" t="inlineStr">
        <is>
          <t>0</t>
        </is>
      </c>
      <c r="I5022" t="inlineStr">
        <is>
          <t>20⁴, 80²</t>
        </is>
      </c>
      <c r="J5022" t="n">
        <v>6</v>
      </c>
      <c r="K5022" t="inlineStr">
        <is>
          <t>2², 4⁵, 8⁴, 16⁴</t>
        </is>
      </c>
      <c r="L5022" t="inlineStr">
        <is>
          <t>40I⁷</t>
        </is>
      </c>
      <c r="M5022" t="inlineStr"/>
      <c r="N5022" t="inlineStr">
        <is>
          <t>40I⁷, 8D⁰, 4C⁰, 1A⁰, 2B⁰, 5C⁰, 20F³, 10F¹</t>
        </is>
      </c>
      <c r="O5022" t="inlineStr"/>
    </row>
    <row r="5023">
      <c r="A5023">
        <f>HYPERLINK("https://mathstats.uncg.edu/sites/pauli/congruence/csg17.html#group80N17", "80N¹⁷")</f>
        <v/>
      </c>
      <c r="B5023" t="n">
        <v>17</v>
      </c>
      <c r="C5023" t="inlineStr"/>
      <c r="D5023" t="inlineStr">
        <is>
          <t>240</t>
        </is>
      </c>
      <c r="E5023" t="inlineStr">
        <is>
          <t>1</t>
        </is>
      </c>
      <c r="F5023" t="inlineStr">
        <is>
          <t>120</t>
        </is>
      </c>
      <c r="G5023" t="inlineStr">
        <is>
          <t>4</t>
        </is>
      </c>
      <c r="H5023" t="inlineStr">
        <is>
          <t>0</t>
        </is>
      </c>
      <c r="I5023" t="inlineStr">
        <is>
          <t>20⁴, 80²</t>
        </is>
      </c>
      <c r="J5023" t="n">
        <v>6</v>
      </c>
      <c r="K5023" t="inlineStr">
        <is>
          <t>2², 4⁵, 8⁴, 16⁴</t>
        </is>
      </c>
      <c r="L5023" t="inlineStr">
        <is>
          <t>16C¹, 40I⁷</t>
        </is>
      </c>
      <c r="M5023" t="inlineStr"/>
      <c r="N5023" t="inlineStr">
        <is>
          <t>40I⁷, 8D⁰, 16C¹, 4C⁰, 1A⁰, 2B⁰, 5C⁰, 20F³, 10F¹</t>
        </is>
      </c>
      <c r="O5023" t="inlineStr"/>
    </row>
    <row r="5024">
      <c r="A5024">
        <f>HYPERLINK("https://mathstats.uncg.edu/sites/pauli/congruence/csg17.html#group80O17", "80O¹⁷")</f>
        <v/>
      </c>
      <c r="B5024" t="n">
        <v>17</v>
      </c>
      <c r="C5024" t="inlineStr"/>
      <c r="D5024" t="inlineStr">
        <is>
          <t>240</t>
        </is>
      </c>
      <c r="E5024" t="inlineStr">
        <is>
          <t>1</t>
        </is>
      </c>
      <c r="F5024" t="inlineStr">
        <is>
          <t>120</t>
        </is>
      </c>
      <c r="G5024" t="inlineStr">
        <is>
          <t>8</t>
        </is>
      </c>
      <c r="H5024" t="inlineStr">
        <is>
          <t>0</t>
        </is>
      </c>
      <c r="I5024" t="inlineStr">
        <is>
          <t>40², 80²</t>
        </is>
      </c>
      <c r="J5024" t="n">
        <v>4</v>
      </c>
      <c r="K5024" t="inlineStr">
        <is>
          <t>2⁴, 4¹⁰, 8⁵, 16²</t>
        </is>
      </c>
      <c r="L5024" t="inlineStr">
        <is>
          <t>40E⁷</t>
        </is>
      </c>
      <c r="M5024" t="inlineStr"/>
      <c r="N5024" t="inlineStr">
        <is>
          <t>40E⁷, 4C⁰, 8B⁰, 1A⁰, 2B⁰, 5C⁰, 20F³, 10F¹</t>
        </is>
      </c>
      <c r="O5024" t="inlineStr"/>
    </row>
    <row r="5025">
      <c r="A5025">
        <f>HYPERLINK("https://mathstats.uncg.edu/sites/pauli/congruence/csg17.html#group80P17", "80P¹⁷")</f>
        <v/>
      </c>
      <c r="B5025" t="n">
        <v>17</v>
      </c>
      <c r="C5025" t="inlineStr"/>
      <c r="D5025" t="inlineStr">
        <is>
          <t>240</t>
        </is>
      </c>
      <c r="E5025" t="inlineStr">
        <is>
          <t>1</t>
        </is>
      </c>
      <c r="F5025" t="inlineStr">
        <is>
          <t>120</t>
        </is>
      </c>
      <c r="G5025" t="inlineStr">
        <is>
          <t>8</t>
        </is>
      </c>
      <c r="H5025" t="inlineStr">
        <is>
          <t>0</t>
        </is>
      </c>
      <c r="I5025" t="inlineStr">
        <is>
          <t>40², 80²</t>
        </is>
      </c>
      <c r="J5025" t="n">
        <v>4</v>
      </c>
      <c r="K5025" t="inlineStr">
        <is>
          <t>2⁴, 4¹⁰, 8⁵, 16²</t>
        </is>
      </c>
      <c r="L5025" t="inlineStr">
        <is>
          <t>16D¹, 40E⁷</t>
        </is>
      </c>
      <c r="M5025" t="inlineStr"/>
      <c r="N5025" t="inlineStr">
        <is>
          <t>16D¹, 40E⁷, 4C⁰, 5C⁰, 8B⁰, 2B⁰, 1A⁰, 20F³, 10F¹</t>
        </is>
      </c>
      <c r="O5025" t="inlineStr"/>
    </row>
    <row r="5026">
      <c r="A5026">
        <f>HYPERLINK("https://mathstats.uncg.edu/sites/pauli/congruence/csg17.html#group80Q17", "80Q¹⁷")</f>
        <v/>
      </c>
      <c r="B5026" t="n">
        <v>17</v>
      </c>
      <c r="C5026" t="inlineStr"/>
      <c r="D5026" t="inlineStr">
        <is>
          <t>240</t>
        </is>
      </c>
      <c r="E5026" t="inlineStr">
        <is>
          <t>2</t>
        </is>
      </c>
      <c r="F5026" t="inlineStr">
        <is>
          <t>30</t>
        </is>
      </c>
      <c r="G5026" t="inlineStr">
        <is>
          <t>8</t>
        </is>
      </c>
      <c r="H5026" t="inlineStr">
        <is>
          <t>0</t>
        </is>
      </c>
      <c r="I5026" t="inlineStr">
        <is>
          <t>40², 80²</t>
        </is>
      </c>
      <c r="J5026" t="n">
        <v>4</v>
      </c>
      <c r="K5026" t="inlineStr">
        <is>
          <t>4³, 8⁶</t>
        </is>
      </c>
      <c r="L5026" t="inlineStr">
        <is>
          <t>40D⁷</t>
        </is>
      </c>
      <c r="M5026" t="inlineStr"/>
      <c r="N5026" t="inlineStr">
        <is>
          <t>10F¹, 4C⁰, 2B⁰, 1A⁰, 20F³, 5C⁰, 40D⁷</t>
        </is>
      </c>
      <c r="O5026" t="inlineStr"/>
    </row>
    <row r="5027">
      <c r="A5027">
        <f>HYPERLINK("https://mathstats.uncg.edu/sites/pauli/congruence/csg17.html#group80R17", "80R¹⁷")</f>
        <v/>
      </c>
      <c r="B5027" t="n">
        <v>17</v>
      </c>
      <c r="C5027" t="inlineStr"/>
      <c r="D5027" t="inlineStr">
        <is>
          <t>240</t>
        </is>
      </c>
      <c r="E5027" t="inlineStr">
        <is>
          <t>2</t>
        </is>
      </c>
      <c r="F5027" t="inlineStr">
        <is>
          <t>30</t>
        </is>
      </c>
      <c r="G5027" t="inlineStr">
        <is>
          <t>8</t>
        </is>
      </c>
      <c r="H5027" t="inlineStr">
        <is>
          <t>0</t>
        </is>
      </c>
      <c r="I5027" t="inlineStr">
        <is>
          <t>40², 80²</t>
        </is>
      </c>
      <c r="J5027" t="n">
        <v>4</v>
      </c>
      <c r="K5027" t="inlineStr">
        <is>
          <t>4³, 8⁶</t>
        </is>
      </c>
      <c r="L5027" t="inlineStr">
        <is>
          <t>40D⁷</t>
        </is>
      </c>
      <c r="M5027" t="inlineStr"/>
      <c r="N5027" t="inlineStr">
        <is>
          <t>10F¹, 4C⁰, 2B⁰, 1A⁰, 20F³, 5C⁰, 40D⁷</t>
        </is>
      </c>
      <c r="O5027" t="inlineStr"/>
    </row>
    <row r="5028">
      <c r="A5028">
        <f>HYPERLINK("https://mathstats.uncg.edu/sites/pauli/congruence/csg17.html#group80S17", "80S¹⁷")</f>
        <v/>
      </c>
      <c r="B5028" t="n">
        <v>17</v>
      </c>
      <c r="C5028" t="inlineStr"/>
      <c r="D5028" t="inlineStr">
        <is>
          <t>240</t>
        </is>
      </c>
      <c r="E5028" t="inlineStr">
        <is>
          <t>2</t>
        </is>
      </c>
      <c r="F5028" t="inlineStr">
        <is>
          <t>60</t>
        </is>
      </c>
      <c r="G5028" t="inlineStr">
        <is>
          <t>0</t>
        </is>
      </c>
      <c r="H5028" t="inlineStr">
        <is>
          <t>0</t>
        </is>
      </c>
      <c r="I5028" t="inlineStr">
        <is>
          <t>10⁴, 20², 80²</t>
        </is>
      </c>
      <c r="J5028" t="n">
        <v>8</v>
      </c>
      <c r="K5028" t="inlineStr">
        <is>
          <t>4⁶, 8¹²</t>
        </is>
      </c>
      <c r="L5028" t="inlineStr">
        <is>
          <t>40F⁷</t>
        </is>
      </c>
      <c r="M5028" t="inlineStr"/>
      <c r="N5028" t="inlineStr">
        <is>
          <t>2B⁰, 4B⁰, 1A⁰, 20E³, 40F⁷, 5C⁰, 10F¹</t>
        </is>
      </c>
      <c r="O5028" t="inlineStr"/>
    </row>
    <row r="5029">
      <c r="A5029">
        <f>HYPERLINK("https://mathstats.uncg.edu/sites/pauli/congruence/csg17.html#group80T17", "80T¹⁷")</f>
        <v/>
      </c>
      <c r="B5029" t="n">
        <v>17</v>
      </c>
      <c r="C5029" t="inlineStr"/>
      <c r="D5029" t="inlineStr">
        <is>
          <t>240</t>
        </is>
      </c>
      <c r="E5029" t="inlineStr">
        <is>
          <t>2</t>
        </is>
      </c>
      <c r="F5029" t="inlineStr">
        <is>
          <t>60</t>
        </is>
      </c>
      <c r="G5029" t="inlineStr">
        <is>
          <t>8</t>
        </is>
      </c>
      <c r="H5029" t="inlineStr">
        <is>
          <t>0</t>
        </is>
      </c>
      <c r="I5029" t="inlineStr">
        <is>
          <t>40², 80²</t>
        </is>
      </c>
      <c r="J5029" t="n">
        <v>4</v>
      </c>
      <c r="K5029" t="inlineStr">
        <is>
          <t>4⁶, 8¹²</t>
        </is>
      </c>
      <c r="L5029" t="inlineStr">
        <is>
          <t>40D⁷</t>
        </is>
      </c>
      <c r="M5029" t="inlineStr"/>
      <c r="N5029" t="inlineStr">
        <is>
          <t>10F¹, 4C⁰, 2B⁰, 1A⁰, 20F³, 5C⁰, 40D⁷</t>
        </is>
      </c>
      <c r="O5029" t="inlineStr"/>
    </row>
    <row r="5030">
      <c r="A5030">
        <f>HYPERLINK("https://mathstats.uncg.edu/sites/pauli/congruence/csg17.html#group80U17", "80U¹⁷")</f>
        <v/>
      </c>
      <c r="B5030" t="n">
        <v>17</v>
      </c>
      <c r="C5030" t="inlineStr"/>
      <c r="D5030" t="inlineStr">
        <is>
          <t>288</t>
        </is>
      </c>
      <c r="E5030" t="inlineStr">
        <is>
          <t>1</t>
        </is>
      </c>
      <c r="F5030" t="inlineStr">
        <is>
          <t>36</t>
        </is>
      </c>
      <c r="G5030" t="inlineStr">
        <is>
          <t>0</t>
        </is>
      </c>
      <c r="H5030" t="inlineStr">
        <is>
          <t>0</t>
        </is>
      </c>
      <c r="I5030" t="inlineStr">
        <is>
          <t>2⁴, 4², 10⁴, 16², 20², 80²</t>
        </is>
      </c>
      <c r="J5030" t="n">
        <v>16</v>
      </c>
      <c r="K5030" t="inlineStr">
        <is>
          <t>1⁸, 2², 4⁴, 8¹</t>
        </is>
      </c>
      <c r="L5030" t="inlineStr">
        <is>
          <t>40M⁵, 80O⁹</t>
        </is>
      </c>
      <c r="M5030" t="inlineStr"/>
      <c r="N5030" t="inlineStr">
        <is>
          <t>20A⁰, 40F³, 40M⁵, 80O⁹, 5B⁰, 10C⁰, 5D⁰, 40E³, 20D¹, 8C⁰, 20H¹, 2B⁰, 4B⁰, 1A⁰, 10F⁰</t>
        </is>
      </c>
      <c r="O5030" t="inlineStr"/>
    </row>
    <row r="5031">
      <c r="A5031">
        <f>HYPERLINK("https://mathstats.uncg.edu/sites/pauli/congruence/csg17.html#group80V17", "80V¹⁷")</f>
        <v/>
      </c>
      <c r="B5031" t="n">
        <v>17</v>
      </c>
      <c r="C5031" t="inlineStr"/>
      <c r="D5031" t="inlineStr">
        <is>
          <t>288</t>
        </is>
      </c>
      <c r="E5031" t="inlineStr">
        <is>
          <t>1</t>
        </is>
      </c>
      <c r="F5031" t="inlineStr">
        <is>
          <t>36</t>
        </is>
      </c>
      <c r="G5031" t="inlineStr">
        <is>
          <t>0</t>
        </is>
      </c>
      <c r="H5031" t="inlineStr">
        <is>
          <t>0</t>
        </is>
      </c>
      <c r="I5031" t="inlineStr">
        <is>
          <t>2⁴, 4², 10⁴, 16², 20², 80²</t>
        </is>
      </c>
      <c r="J5031" t="n">
        <v>16</v>
      </c>
      <c r="K5031" t="inlineStr">
        <is>
          <t>1⁸, 2², 4⁴, 8¹</t>
        </is>
      </c>
      <c r="L5031" t="inlineStr">
        <is>
          <t>40M⁵, 80E⁹, 80F⁹</t>
        </is>
      </c>
      <c r="M5031" t="inlineStr"/>
      <c r="N5031" t="inlineStr">
        <is>
          <t>80F⁹, 5B⁰, 5D⁰, 16A¹, 20D¹, 8C⁰, 20H¹, 2B⁰, 4B⁰, 1A⁰, 10F⁰, 20A⁰, 80E⁹, 40F³, 40M⁵, 10C⁰, 40E³</t>
        </is>
      </c>
      <c r="O5031" t="inlineStr"/>
    </row>
    <row r="5032">
      <c r="A5032">
        <f>HYPERLINK("https://mathstats.uncg.edu/sites/pauli/congruence/csg17.html#group80W17", "80W¹⁷")</f>
        <v/>
      </c>
      <c r="B5032" t="n">
        <v>17</v>
      </c>
      <c r="C5032" t="inlineStr"/>
      <c r="D5032" t="inlineStr">
        <is>
          <t>288</t>
        </is>
      </c>
      <c r="E5032" t="inlineStr">
        <is>
          <t>1</t>
        </is>
      </c>
      <c r="F5032" t="inlineStr">
        <is>
          <t>36</t>
        </is>
      </c>
      <c r="G5032" t="inlineStr">
        <is>
          <t>0</t>
        </is>
      </c>
      <c r="H5032" t="inlineStr">
        <is>
          <t>0</t>
        </is>
      </c>
      <c r="I5032" t="inlineStr">
        <is>
          <t>2⁴, 4², 10⁴, 16², 20², 80²</t>
        </is>
      </c>
      <c r="J5032" t="n">
        <v>16</v>
      </c>
      <c r="K5032" t="inlineStr">
        <is>
          <t>1⁸, 2², 4⁴, 8¹</t>
        </is>
      </c>
      <c r="L5032" t="inlineStr">
        <is>
          <t>40M⁷, 80E⁷, 80E⁹</t>
        </is>
      </c>
      <c r="M5032" t="inlineStr"/>
      <c r="N5032" t="inlineStr">
        <is>
          <t>20E¹, 2A⁰, 40H³, 8D⁰, 4C⁰, 5B⁰, 10A¹, 20D¹, 8C⁰, 2B⁰, 4E⁰, 4B⁰, 1A⁰, 80E⁹, 40F³, 40M⁷, 8G⁰, 80E⁷, 10C⁰, 20J³, 2C⁰, 10G¹</t>
        </is>
      </c>
      <c r="O5032" t="inlineStr"/>
    </row>
    <row r="5033">
      <c r="A5033">
        <f>HYPERLINK("https://mathstats.uncg.edu/sites/pauli/congruence/csg17.html#group80X17", "80X¹⁷")</f>
        <v/>
      </c>
      <c r="B5033" t="n">
        <v>17</v>
      </c>
      <c r="C5033" t="inlineStr"/>
      <c r="D5033" t="inlineStr">
        <is>
          <t>288</t>
        </is>
      </c>
      <c r="E5033" t="inlineStr">
        <is>
          <t>1</t>
        </is>
      </c>
      <c r="F5033" t="inlineStr">
        <is>
          <t>36</t>
        </is>
      </c>
      <c r="G5033" t="inlineStr">
        <is>
          <t>0</t>
        </is>
      </c>
      <c r="H5033" t="inlineStr">
        <is>
          <t>0</t>
        </is>
      </c>
      <c r="I5033" t="inlineStr">
        <is>
          <t>2⁴, 4², 10⁴, 16², 20², 80²</t>
        </is>
      </c>
      <c r="J5033" t="n">
        <v>16</v>
      </c>
      <c r="K5033" t="inlineStr">
        <is>
          <t>1⁸, 2², 4⁴, 8¹</t>
        </is>
      </c>
      <c r="L5033" t="inlineStr">
        <is>
          <t>40O⁷, 80E⁷, 80F⁹</t>
        </is>
      </c>
      <c r="M5033" t="inlineStr"/>
      <c r="N5033" t="inlineStr">
        <is>
          <t>10G⁰, 40O⁷, 80F⁹, 5B⁰, 16A¹, 20D¹, 8C⁰, 2B⁰, 4B⁰, 1A⁰, 20H³, 10B⁰, 40F³, 80E⁷, 10C⁰, 40E³, 20C²</t>
        </is>
      </c>
      <c r="O5033" t="inlineStr"/>
    </row>
    <row r="5034">
      <c r="A5034">
        <f>HYPERLINK("https://mathstats.uncg.edu/sites/pauli/congruence/csg17.html#group80Y17", "80Y¹⁷")</f>
        <v/>
      </c>
      <c r="B5034" t="n">
        <v>17</v>
      </c>
      <c r="C5034" t="inlineStr"/>
      <c r="D5034" t="inlineStr">
        <is>
          <t>288</t>
        </is>
      </c>
      <c r="E5034" t="inlineStr">
        <is>
          <t>1</t>
        </is>
      </c>
      <c r="F5034" t="inlineStr">
        <is>
          <t>36</t>
        </is>
      </c>
      <c r="G5034" t="inlineStr">
        <is>
          <t>0</t>
        </is>
      </c>
      <c r="H5034" t="inlineStr">
        <is>
          <t>0</t>
        </is>
      </c>
      <c r="I5034" t="inlineStr">
        <is>
          <t>2⁴, 4², 10⁴, 16², 20², 80²</t>
        </is>
      </c>
      <c r="J5034" t="n">
        <v>16</v>
      </c>
      <c r="K5034" t="inlineStr">
        <is>
          <t>1⁸, 2², 4⁴, 8¹</t>
        </is>
      </c>
      <c r="L5034" t="inlineStr">
        <is>
          <t>40O⁷, 80F⁷, 80E⁹</t>
        </is>
      </c>
      <c r="M5034" t="inlineStr"/>
      <c r="N5034" t="inlineStr">
        <is>
          <t>10G⁰, 80F⁷, 40O⁷, 5B⁰, 20D¹, 8C⁰, 2B⁰, 4B⁰, 1A⁰, 20H³, 10B⁰, 80E⁹, 40F³, 16C⁰, 10C⁰, 40E³, 20C²</t>
        </is>
      </c>
      <c r="O5034" t="inlineStr"/>
    </row>
    <row r="5035">
      <c r="A5035">
        <f>HYPERLINK("https://mathstats.uncg.edu/sites/pauli/congruence/csg17.html#group80Z17", "80Z¹⁷")</f>
        <v/>
      </c>
      <c r="B5035" t="n">
        <v>17</v>
      </c>
      <c r="C5035" t="inlineStr"/>
      <c r="D5035" t="inlineStr">
        <is>
          <t>288</t>
        </is>
      </c>
      <c r="E5035" t="inlineStr">
        <is>
          <t>1</t>
        </is>
      </c>
      <c r="F5035" t="inlineStr">
        <is>
          <t>36</t>
        </is>
      </c>
      <c r="G5035" t="inlineStr">
        <is>
          <t>0</t>
        </is>
      </c>
      <c r="H5035" t="inlineStr">
        <is>
          <t>0</t>
        </is>
      </c>
      <c r="I5035" t="inlineStr">
        <is>
          <t>2⁴, 4², 10⁴, 16², 20², 80²</t>
        </is>
      </c>
      <c r="J5035" t="n">
        <v>16</v>
      </c>
      <c r="K5035" t="inlineStr">
        <is>
          <t>1⁸, 2², 4⁴, 8¹</t>
        </is>
      </c>
      <c r="L5035" t="inlineStr">
        <is>
          <t>16E¹, 40M⁷, 80F⁷, 80F⁹</t>
        </is>
      </c>
      <c r="M5035" t="inlineStr"/>
      <c r="N5035" t="inlineStr">
        <is>
          <t>20E¹, 2A⁰, 80F⁷, 4C⁰, 5B⁰, 10A¹, 16A¹, 8C⁰, 2B⁰, 4E⁰, 4B⁰, 1A⁰, 40F³, 8G⁰, 16C⁰, 10C⁰, 20J³, 40H³, 8D⁰, 80F⁹, 16E¹, 20D¹, 40M⁷, 2C⁰, 10G¹</t>
        </is>
      </c>
      <c r="O5035" t="inlineStr"/>
    </row>
    <row r="5036">
      <c r="A5036">
        <f>HYPERLINK("https://mathstats.uncg.edu/sites/pauli/congruence/csg17.html#group80AA17", "80AA¹⁷")</f>
        <v/>
      </c>
      <c r="B5036" t="n">
        <v>17</v>
      </c>
      <c r="C5036" t="inlineStr"/>
      <c r="D5036" t="inlineStr">
        <is>
          <t>288</t>
        </is>
      </c>
      <c r="E5036" t="inlineStr">
        <is>
          <t>1</t>
        </is>
      </c>
      <c r="F5036" t="inlineStr">
        <is>
          <t>36</t>
        </is>
      </c>
      <c r="G5036" t="inlineStr">
        <is>
          <t>16</t>
        </is>
      </c>
      <c r="H5036" t="inlineStr">
        <is>
          <t>0</t>
        </is>
      </c>
      <c r="I5036" t="inlineStr">
        <is>
          <t>8², 16², 40², 80²</t>
        </is>
      </c>
      <c r="J5036" t="n">
        <v>8</v>
      </c>
      <c r="K5036" t="inlineStr">
        <is>
          <t>1⁴, 2⁴, 4², 8²</t>
        </is>
      </c>
      <c r="L5036" t="inlineStr">
        <is>
          <t>40L⁵, 80G⁹, 80H⁹</t>
        </is>
      </c>
      <c r="M5036" t="inlineStr"/>
      <c r="N5036" t="inlineStr">
        <is>
          <t>20E¹, 40D³, 10G⁰, 4C⁰, 5B⁰, 8B⁰, 16B¹, 2B⁰, 1A⁰, 10B⁰, 40C³, 20A⁰, 20I¹, 80H⁹, 10C⁰, 40L⁵, 80G⁹</t>
        </is>
      </c>
      <c r="O5036" t="inlineStr"/>
    </row>
    <row r="5037">
      <c r="A5037">
        <f>HYPERLINK("https://mathstats.uncg.edu/sites/pauli/congruence/csg17.html#group80AB17", "80AB¹⁷")</f>
        <v/>
      </c>
      <c r="B5037" t="n">
        <v>17</v>
      </c>
      <c r="C5037" t="inlineStr"/>
      <c r="D5037" t="inlineStr">
        <is>
          <t>288</t>
        </is>
      </c>
      <c r="E5037" t="inlineStr">
        <is>
          <t>1</t>
        </is>
      </c>
      <c r="F5037" t="inlineStr">
        <is>
          <t>36</t>
        </is>
      </c>
      <c r="G5037" t="inlineStr">
        <is>
          <t>16</t>
        </is>
      </c>
      <c r="H5037" t="inlineStr">
        <is>
          <t>0</t>
        </is>
      </c>
      <c r="I5037" t="inlineStr">
        <is>
          <t>8², 16², 40², 80²</t>
        </is>
      </c>
      <c r="J5037" t="n">
        <v>8</v>
      </c>
      <c r="K5037" t="inlineStr">
        <is>
          <t>1⁴, 2⁴, 4², 8²</t>
        </is>
      </c>
      <c r="L5037" t="inlineStr">
        <is>
          <t>40Q⁷, 80C⁷, 80H⁹</t>
        </is>
      </c>
      <c r="M5037" t="inlineStr"/>
      <c r="N5037" t="inlineStr">
        <is>
          <t>20E¹, 40D³, 40Q⁷, 80H⁹, 4C⁰, 80C⁷, 8B⁰, 5B⁰, 10C⁰, 2B⁰, 16B¹, 20K³, 1A⁰, 40G³</t>
        </is>
      </c>
      <c r="O5037" t="inlineStr"/>
    </row>
    <row r="5038">
      <c r="A5038">
        <f>HYPERLINK("https://mathstats.uncg.edu/sites/pauli/congruence/csg17.html#group80AC17", "80AC¹⁷")</f>
        <v/>
      </c>
      <c r="B5038" t="n">
        <v>17</v>
      </c>
      <c r="C5038" t="inlineStr"/>
      <c r="D5038" t="inlineStr">
        <is>
          <t>288</t>
        </is>
      </c>
      <c r="E5038" t="inlineStr">
        <is>
          <t>1</t>
        </is>
      </c>
      <c r="F5038" t="inlineStr">
        <is>
          <t>36</t>
        </is>
      </c>
      <c r="G5038" t="inlineStr">
        <is>
          <t>16</t>
        </is>
      </c>
      <c r="H5038" t="inlineStr">
        <is>
          <t>0</t>
        </is>
      </c>
      <c r="I5038" t="inlineStr">
        <is>
          <t>8², 16², 40², 80²</t>
        </is>
      </c>
      <c r="J5038" t="n">
        <v>8</v>
      </c>
      <c r="K5038" t="inlineStr">
        <is>
          <t>1⁴, 2⁴, 4², 8²</t>
        </is>
      </c>
      <c r="L5038" t="inlineStr">
        <is>
          <t>40Q⁷, 80D⁷, 80G⁹</t>
        </is>
      </c>
      <c r="M5038" t="inlineStr"/>
      <c r="N5038" t="inlineStr">
        <is>
          <t>16B⁰, 20E¹, 40Q⁷, 80D⁷, 4C⁰, 8B⁰, 5B⁰, 10C⁰, 1A⁰, 2B⁰, 20K³, 40D³, 80G⁹, 40G³</t>
        </is>
      </c>
      <c r="O5038" t="inlineStr"/>
    </row>
    <row r="5039">
      <c r="A5039">
        <f>HYPERLINK("https://mathstats.uncg.edu/sites/pauli/congruence/csg17.html#group80AD17", "80AD¹⁷")</f>
        <v/>
      </c>
      <c r="B5039" t="n">
        <v>17</v>
      </c>
      <c r="C5039" t="inlineStr"/>
      <c r="D5039" t="inlineStr">
        <is>
          <t>288</t>
        </is>
      </c>
      <c r="E5039" t="inlineStr">
        <is>
          <t>1</t>
        </is>
      </c>
      <c r="F5039" t="inlineStr">
        <is>
          <t>36</t>
        </is>
      </c>
      <c r="G5039" t="inlineStr">
        <is>
          <t>16</t>
        </is>
      </c>
      <c r="H5039" t="inlineStr">
        <is>
          <t>0</t>
        </is>
      </c>
      <c r="I5039" t="inlineStr">
        <is>
          <t>8², 16², 40², 80²</t>
        </is>
      </c>
      <c r="J5039" t="n">
        <v>8</v>
      </c>
      <c r="K5039" t="inlineStr">
        <is>
          <t>1⁴, 2⁴, 4², 8²</t>
        </is>
      </c>
      <c r="L5039" t="inlineStr">
        <is>
          <t>40S⁷, 80C⁷, 80G⁹</t>
        </is>
      </c>
      <c r="M5039" t="inlineStr"/>
      <c r="N5039" t="inlineStr">
        <is>
          <t>20E¹, 40H³, 8D⁰, 4C⁰, 80C⁷, 8B⁰, 5B⁰, 2B⁰, 1A⁰, 40S⁷, 20L³, 20B¹, 8H⁰, 4A⁰, 10C⁰, 4F⁰, 40D³, 80G⁹</t>
        </is>
      </c>
      <c r="O5039" t="inlineStr"/>
    </row>
    <row r="5040">
      <c r="A5040">
        <f>HYPERLINK("https://mathstats.uncg.edu/sites/pauli/congruence/csg17.html#group80AE17", "80AE¹⁷")</f>
        <v/>
      </c>
      <c r="B5040" t="n">
        <v>17</v>
      </c>
      <c r="C5040" t="inlineStr"/>
      <c r="D5040" t="inlineStr">
        <is>
          <t>288</t>
        </is>
      </c>
      <c r="E5040" t="inlineStr">
        <is>
          <t>1</t>
        </is>
      </c>
      <c r="F5040" t="inlineStr">
        <is>
          <t>36</t>
        </is>
      </c>
      <c r="G5040" t="inlineStr">
        <is>
          <t>16</t>
        </is>
      </c>
      <c r="H5040" t="inlineStr">
        <is>
          <t>0</t>
        </is>
      </c>
      <c r="I5040" t="inlineStr">
        <is>
          <t>8², 16², 40², 80²</t>
        </is>
      </c>
      <c r="J5040" t="n">
        <v>8</v>
      </c>
      <c r="K5040" t="inlineStr">
        <is>
          <t>1⁴, 2⁴, 4², 8²</t>
        </is>
      </c>
      <c r="L5040" t="inlineStr">
        <is>
          <t>16F¹, 40S⁷, 80D⁷, 80H⁹</t>
        </is>
      </c>
      <c r="M5040" t="inlineStr"/>
      <c r="N5040" t="inlineStr">
        <is>
          <t>20E¹, 40H³, 8D⁰, 4C⁰, 8B⁰, 5B⁰, 16B¹, 2B⁰, 1A⁰, 40S⁷, 20B¹, 16B⁰, 8H⁰, 80D⁷, 4A⁰, 80H⁹, 10C⁰, 4F⁰, 16F¹, 40D³, 20L³</t>
        </is>
      </c>
      <c r="O5040" t="inlineStr"/>
    </row>
    <row r="5041">
      <c r="A5041">
        <f>HYPERLINK("https://mathstats.uncg.edu/sites/pauli/congruence/csg17.html#group80AF17", "80AF¹⁷")</f>
        <v/>
      </c>
      <c r="B5041" t="n">
        <v>17</v>
      </c>
      <c r="C5041" t="inlineStr"/>
      <c r="D5041" t="inlineStr">
        <is>
          <t>288</t>
        </is>
      </c>
      <c r="E5041" t="inlineStr">
        <is>
          <t>1</t>
        </is>
      </c>
      <c r="F5041" t="inlineStr">
        <is>
          <t>36</t>
        </is>
      </c>
      <c r="G5041" t="inlineStr">
        <is>
          <t>16</t>
        </is>
      </c>
      <c r="H5041" t="inlineStr">
        <is>
          <t>0</t>
        </is>
      </c>
      <c r="I5041" t="inlineStr">
        <is>
          <t>8², 16², 40², 80²</t>
        </is>
      </c>
      <c r="J5041" t="n">
        <v>8</v>
      </c>
      <c r="K5041" t="inlineStr">
        <is>
          <t>1⁸, 2², 4⁴, 8¹</t>
        </is>
      </c>
      <c r="L5041" t="inlineStr">
        <is>
          <t>40L⁵, 80P⁹</t>
        </is>
      </c>
      <c r="M5041" t="inlineStr"/>
      <c r="N5041" t="inlineStr">
        <is>
          <t>40C³, 20E¹, 80P⁹, 20A⁰, 40D³, 10G⁰, 20I¹, 4C⁰, 5B⁰, 10C⁰, 8B⁰, 1A⁰, 2B⁰, 40L⁵, 10B⁰</t>
        </is>
      </c>
      <c r="O5041" t="inlineStr"/>
    </row>
    <row r="5042">
      <c r="A5042">
        <f>HYPERLINK("https://mathstats.uncg.edu/sites/pauli/congruence/csg17.html#group80AG17", "80AG¹⁷")</f>
        <v/>
      </c>
      <c r="B5042" t="n">
        <v>17</v>
      </c>
      <c r="C5042" t="inlineStr"/>
      <c r="D5042" t="inlineStr">
        <is>
          <t>288</t>
        </is>
      </c>
      <c r="E5042" t="inlineStr">
        <is>
          <t>1</t>
        </is>
      </c>
      <c r="F5042" t="inlineStr">
        <is>
          <t>72</t>
        </is>
      </c>
      <c r="G5042" t="inlineStr">
        <is>
          <t>0</t>
        </is>
      </c>
      <c r="H5042" t="inlineStr">
        <is>
          <t>0</t>
        </is>
      </c>
      <c r="I5042" t="inlineStr">
        <is>
          <t>2⁴, 4², 10⁴, 16², 20², 80²</t>
        </is>
      </c>
      <c r="J5042" t="n">
        <v>16</v>
      </c>
      <c r="K5042" t="inlineStr">
        <is>
          <t>1⁸, 2⁴, 4⁶, 8², 16¹</t>
        </is>
      </c>
      <c r="L5042" t="inlineStr">
        <is>
          <t>40U⁷, 80G⁷, 80F⁹</t>
        </is>
      </c>
      <c r="M5042" t="inlineStr"/>
      <c r="N5042" t="inlineStr">
        <is>
          <t>40U⁷, 40F³, 80F⁹, 5B⁰, 10C⁰, 16A¹, 20D¹, 8C⁰, 2B⁰, 80G⁷, 4B⁰, 1A⁰</t>
        </is>
      </c>
      <c r="O5042" t="inlineStr"/>
    </row>
    <row r="5043">
      <c r="A5043">
        <f>HYPERLINK("https://mathstats.uncg.edu/sites/pauli/congruence/csg17.html#group80AH17", "80AH¹⁷")</f>
        <v/>
      </c>
      <c r="B5043" t="n">
        <v>17</v>
      </c>
      <c r="C5043" t="inlineStr"/>
      <c r="D5043" t="inlineStr">
        <is>
          <t>288</t>
        </is>
      </c>
      <c r="E5043" t="inlineStr">
        <is>
          <t>1</t>
        </is>
      </c>
      <c r="F5043" t="inlineStr">
        <is>
          <t>72</t>
        </is>
      </c>
      <c r="G5043" t="inlineStr">
        <is>
          <t>0</t>
        </is>
      </c>
      <c r="H5043" t="inlineStr">
        <is>
          <t>0</t>
        </is>
      </c>
      <c r="I5043" t="inlineStr">
        <is>
          <t>2⁴, 4², 10⁴, 16², 20², 80²</t>
        </is>
      </c>
      <c r="J5043" t="n">
        <v>16</v>
      </c>
      <c r="K5043" t="inlineStr">
        <is>
          <t>1⁸, 2⁴, 4⁶, 8², 16¹</t>
        </is>
      </c>
      <c r="L5043" t="inlineStr">
        <is>
          <t>40U⁷, 80H⁷, 80E⁹</t>
        </is>
      </c>
      <c r="M5043" t="inlineStr"/>
      <c r="N5043" t="inlineStr">
        <is>
          <t>80E⁹, 40U⁷, 40F³, 16D⁰, 80H⁷, 5B⁰, 10C⁰, 20D¹, 8C⁰, 2B⁰, 4B⁰, 1A⁰</t>
        </is>
      </c>
      <c r="O5043" t="inlineStr"/>
    </row>
    <row r="5044">
      <c r="A5044">
        <f>HYPERLINK("https://mathstats.uncg.edu/sites/pauli/congruence/csg17.html#group80AI17", "80AI¹⁷")</f>
        <v/>
      </c>
      <c r="B5044" t="n">
        <v>17</v>
      </c>
      <c r="C5044" t="inlineStr"/>
      <c r="D5044" t="inlineStr">
        <is>
          <t>288</t>
        </is>
      </c>
      <c r="E5044" t="inlineStr">
        <is>
          <t>1</t>
        </is>
      </c>
      <c r="F5044" t="inlineStr">
        <is>
          <t>72</t>
        </is>
      </c>
      <c r="G5044" t="inlineStr">
        <is>
          <t>0</t>
        </is>
      </c>
      <c r="H5044" t="inlineStr">
        <is>
          <t>0</t>
        </is>
      </c>
      <c r="I5044" t="inlineStr">
        <is>
          <t>2⁴, 4², 10⁴, 16², 20², 80²</t>
        </is>
      </c>
      <c r="J5044" t="n">
        <v>16</v>
      </c>
      <c r="K5044" t="inlineStr">
        <is>
          <t>1⁸, 2⁴, 4⁶, 8², 16¹</t>
        </is>
      </c>
      <c r="L5044" t="inlineStr">
        <is>
          <t>40V⁷, 80G⁷, 80E⁹</t>
        </is>
      </c>
      <c r="M5044" t="inlineStr"/>
      <c r="N5044" t="inlineStr">
        <is>
          <t>80E⁹, 40F³, 5B⁰, 10C⁰, 20D¹, 8C⁰, 2B⁰, 80G⁷, 4B⁰, 8I⁰, 1A⁰, 40V⁷</t>
        </is>
      </c>
      <c r="O5044" t="inlineStr"/>
    </row>
    <row r="5045">
      <c r="A5045">
        <f>HYPERLINK("https://mathstats.uncg.edu/sites/pauli/congruence/csg17.html#group80AJ17", "80AJ¹⁷")</f>
        <v/>
      </c>
      <c r="B5045" t="n">
        <v>17</v>
      </c>
      <c r="C5045" t="inlineStr"/>
      <c r="D5045" t="inlineStr">
        <is>
          <t>288</t>
        </is>
      </c>
      <c r="E5045" t="inlineStr">
        <is>
          <t>1</t>
        </is>
      </c>
      <c r="F5045" t="inlineStr">
        <is>
          <t>72</t>
        </is>
      </c>
      <c r="G5045" t="inlineStr">
        <is>
          <t>0</t>
        </is>
      </c>
      <c r="H5045" t="inlineStr">
        <is>
          <t>0</t>
        </is>
      </c>
      <c r="I5045" t="inlineStr">
        <is>
          <t>2⁴, 4², 10⁴, 16², 20², 80²</t>
        </is>
      </c>
      <c r="J5045" t="n">
        <v>16</v>
      </c>
      <c r="K5045" t="inlineStr">
        <is>
          <t>1⁸, 2⁴, 4⁶, 8², 16¹</t>
        </is>
      </c>
      <c r="L5045" t="inlineStr">
        <is>
          <t>16G¹, 40V⁷, 80H⁷, 80F⁹</t>
        </is>
      </c>
      <c r="M5045" t="inlineStr"/>
      <c r="N5045" t="inlineStr">
        <is>
          <t>80F⁹, 80H⁷, 5B⁰, 16A¹, 8C⁰, 2B⁰, 8I⁰, 20D¹, 4B⁰, 1A⁰, 40V⁷, 40F³, 16G¹, 16D⁰, 10C⁰</t>
        </is>
      </c>
      <c r="O5045" t="inlineStr"/>
    </row>
    <row r="5046">
      <c r="A5046">
        <f>HYPERLINK("https://mathstats.uncg.edu/sites/pauli/congruence/csg17.html#group80AK17", "80AK¹⁷")</f>
        <v/>
      </c>
      <c r="B5046" t="n">
        <v>17</v>
      </c>
      <c r="C5046" t="inlineStr"/>
      <c r="D5046" t="inlineStr">
        <is>
          <t>288</t>
        </is>
      </c>
      <c r="E5046" t="inlineStr">
        <is>
          <t>1</t>
        </is>
      </c>
      <c r="F5046" t="inlineStr">
        <is>
          <t>72</t>
        </is>
      </c>
      <c r="G5046" t="inlineStr">
        <is>
          <t>8</t>
        </is>
      </c>
      <c r="H5046" t="inlineStr">
        <is>
          <t>0</t>
        </is>
      </c>
      <c r="I5046" t="inlineStr">
        <is>
          <t>4⁴, 16², 20⁴, 80²</t>
        </is>
      </c>
      <c r="J5046" t="n">
        <v>12</v>
      </c>
      <c r="K5046" t="inlineStr">
        <is>
          <t>2⁴, 4⁴, 8², 16²</t>
        </is>
      </c>
      <c r="L5046" t="inlineStr">
        <is>
          <t>40S⁷</t>
        </is>
      </c>
      <c r="M5046" t="inlineStr"/>
      <c r="N5046" t="inlineStr">
        <is>
          <t>20E¹, 40H³, 8D⁰, 4C⁰, 8B⁰, 5B⁰, 2B⁰, 1A⁰, 40S⁷, 20B¹, 8H⁰, 4A⁰, 10C⁰, 4F⁰, 40D³, 20L³</t>
        </is>
      </c>
      <c r="O5046" t="inlineStr"/>
    </row>
    <row r="5047">
      <c r="A5047">
        <f>HYPERLINK("https://mathstats.uncg.edu/sites/pauli/congruence/csg17.html#group80AL17", "80AL¹⁷")</f>
        <v/>
      </c>
      <c r="B5047" t="n">
        <v>17</v>
      </c>
      <c r="C5047" t="inlineStr"/>
      <c r="D5047" t="inlineStr">
        <is>
          <t>288</t>
        </is>
      </c>
      <c r="E5047" t="inlineStr">
        <is>
          <t>1</t>
        </is>
      </c>
      <c r="F5047" t="inlineStr">
        <is>
          <t>72</t>
        </is>
      </c>
      <c r="G5047" t="inlineStr">
        <is>
          <t>8</t>
        </is>
      </c>
      <c r="H5047" t="inlineStr">
        <is>
          <t>0</t>
        </is>
      </c>
      <c r="I5047" t="inlineStr">
        <is>
          <t>4⁴, 16², 20⁴, 80²</t>
        </is>
      </c>
      <c r="J5047" t="n">
        <v>12</v>
      </c>
      <c r="K5047" t="inlineStr">
        <is>
          <t>2⁴, 4⁴, 8², 16²</t>
        </is>
      </c>
      <c r="L5047" t="inlineStr">
        <is>
          <t>16H¹, 40S⁷</t>
        </is>
      </c>
      <c r="M5047" t="inlineStr"/>
      <c r="N5047" t="inlineStr">
        <is>
          <t>20E¹, 40D³, 40H³, 8D⁰, 4C⁰, 8B⁰, 5B⁰, 2B⁰, 1A⁰, 40S⁷, 20B¹, 8H⁰, 4A⁰, 10C⁰, 4F⁰, 16H¹, 20L³</t>
        </is>
      </c>
      <c r="O5047" t="inlineStr"/>
    </row>
    <row r="5048">
      <c r="A5048">
        <f>HYPERLINK("https://mathstats.uncg.edu/sites/pauli/congruence/csg17.html#group80AM17", "80AM¹⁷")</f>
        <v/>
      </c>
      <c r="B5048" t="n">
        <v>17</v>
      </c>
      <c r="C5048" t="inlineStr"/>
      <c r="D5048" t="inlineStr">
        <is>
          <t>288</t>
        </is>
      </c>
      <c r="E5048" t="inlineStr">
        <is>
          <t>1</t>
        </is>
      </c>
      <c r="F5048" t="inlineStr">
        <is>
          <t>72</t>
        </is>
      </c>
      <c r="G5048" t="inlineStr">
        <is>
          <t>8</t>
        </is>
      </c>
      <c r="H5048" t="inlineStr">
        <is>
          <t>0</t>
        </is>
      </c>
      <c r="I5048" t="inlineStr">
        <is>
          <t>4⁴, 16², 20⁴, 80²</t>
        </is>
      </c>
      <c r="J5048" t="n">
        <v>12</v>
      </c>
      <c r="K5048" t="inlineStr">
        <is>
          <t>1⁴, 2², 4⁶, 8¹, 16²</t>
        </is>
      </c>
      <c r="L5048" t="inlineStr">
        <is>
          <t>40N⁵</t>
        </is>
      </c>
      <c r="M5048" t="inlineStr"/>
      <c r="N5048" t="inlineStr">
        <is>
          <t>20E¹, 20A⁰, 10G⁰, 20I¹, 40H³, 8D⁰, 4C⁰, 5B⁰, 10C⁰, 2B⁰, 40N⁵, 1A⁰, 40G³, 10B⁰</t>
        </is>
      </c>
      <c r="O5048" t="inlineStr"/>
    </row>
    <row r="5049">
      <c r="A5049">
        <f>HYPERLINK("https://mathstats.uncg.edu/sites/pauli/congruence/csg17.html#group80AN17", "80AN¹⁷")</f>
        <v/>
      </c>
      <c r="B5049" t="n">
        <v>17</v>
      </c>
      <c r="C5049" t="inlineStr"/>
      <c r="D5049" t="inlineStr">
        <is>
          <t>288</t>
        </is>
      </c>
      <c r="E5049" t="inlineStr">
        <is>
          <t>1</t>
        </is>
      </c>
      <c r="F5049" t="inlineStr">
        <is>
          <t>72</t>
        </is>
      </c>
      <c r="G5049" t="inlineStr">
        <is>
          <t>8</t>
        </is>
      </c>
      <c r="H5049" t="inlineStr">
        <is>
          <t>0</t>
        </is>
      </c>
      <c r="I5049" t="inlineStr">
        <is>
          <t>4⁴, 16², 20⁴, 80²</t>
        </is>
      </c>
      <c r="J5049" t="n">
        <v>12</v>
      </c>
      <c r="K5049" t="inlineStr">
        <is>
          <t>1⁴, 2², 4⁶, 8¹, 16²</t>
        </is>
      </c>
      <c r="L5049" t="inlineStr">
        <is>
          <t>40N⁵, 80I⁹, 80J⁹</t>
        </is>
      </c>
      <c r="M5049" t="inlineStr"/>
      <c r="N5049" t="inlineStr">
        <is>
          <t>80I⁹, 20E¹, 10G⁰, 40H³, 8D⁰, 80J⁹, 4C⁰, 5B⁰, 2B⁰, 1A⁰, 10B⁰, 20A⁰, 20I¹, 16C¹, 10C⁰, 40N⁵, 40G³</t>
        </is>
      </c>
      <c r="O5049" t="inlineStr"/>
    </row>
    <row r="5050">
      <c r="A5050">
        <f>HYPERLINK("https://mathstats.uncg.edu/sites/pauli/congruence/csg17.html#group80AO17", "80AO¹⁷")</f>
        <v/>
      </c>
      <c r="B5050" t="n">
        <v>17</v>
      </c>
      <c r="C5050" t="inlineStr"/>
      <c r="D5050" t="inlineStr">
        <is>
          <t>288</t>
        </is>
      </c>
      <c r="E5050" t="inlineStr">
        <is>
          <t>1</t>
        </is>
      </c>
      <c r="F5050" t="inlineStr">
        <is>
          <t>72</t>
        </is>
      </c>
      <c r="G5050" t="inlineStr">
        <is>
          <t>8</t>
        </is>
      </c>
      <c r="H5050" t="inlineStr">
        <is>
          <t>0</t>
        </is>
      </c>
      <c r="I5050" t="inlineStr">
        <is>
          <t>4⁴, 16², 20⁴, 80²</t>
        </is>
      </c>
      <c r="J5050" t="n">
        <v>12</v>
      </c>
      <c r="K5050" t="inlineStr">
        <is>
          <t>1⁴, 2², 4⁶, 8¹, 16²</t>
        </is>
      </c>
      <c r="L5050" t="inlineStr">
        <is>
          <t>40P⁷, 80I⁷, 80J⁹</t>
        </is>
      </c>
      <c r="M5050" t="inlineStr"/>
      <c r="N5050" t="inlineStr">
        <is>
          <t>40C³, 20E¹, 80I⁷, 40H³, 80J⁹, 8D⁰, 16C¹, 4C⁰, 5B⁰, 10C⁰, 2B⁰, 20K³, 1A⁰, 40P⁷</t>
        </is>
      </c>
      <c r="O5050" t="inlineStr"/>
    </row>
    <row r="5051">
      <c r="A5051">
        <f>HYPERLINK("https://mathstats.uncg.edu/sites/pauli/congruence/csg17.html#group80AP17", "80AP¹⁷")</f>
        <v/>
      </c>
      <c r="B5051" t="n">
        <v>17</v>
      </c>
      <c r="C5051" t="inlineStr"/>
      <c r="D5051" t="inlineStr">
        <is>
          <t>288</t>
        </is>
      </c>
      <c r="E5051" t="inlineStr">
        <is>
          <t>1</t>
        </is>
      </c>
      <c r="F5051" t="inlineStr">
        <is>
          <t>72</t>
        </is>
      </c>
      <c r="G5051" t="inlineStr">
        <is>
          <t>8</t>
        </is>
      </c>
      <c r="H5051" t="inlineStr">
        <is>
          <t>0</t>
        </is>
      </c>
      <c r="I5051" t="inlineStr">
        <is>
          <t>4⁴, 16², 20⁴, 80²</t>
        </is>
      </c>
      <c r="J5051" t="n">
        <v>12</v>
      </c>
      <c r="K5051" t="inlineStr">
        <is>
          <t>1⁴, 2², 4⁶, 8¹, 16²</t>
        </is>
      </c>
      <c r="L5051" t="inlineStr">
        <is>
          <t>40P⁷, 80J⁷, 80I⁹</t>
        </is>
      </c>
      <c r="M5051" t="inlineStr"/>
      <c r="N5051" t="inlineStr">
        <is>
          <t>40C³, 80I⁹, 20E¹, 16E⁰, 40H³, 8D⁰, 4C⁰, 5B⁰, 80J⁷, 10C⁰, 2B⁰, 20K³, 1A⁰, 40P⁷</t>
        </is>
      </c>
      <c r="O5051" t="inlineStr"/>
    </row>
    <row r="5052">
      <c r="A5052">
        <f>HYPERLINK("https://mathstats.uncg.edu/sites/pauli/congruence/csg17.html#group80AQ17", "80AQ¹⁷")</f>
        <v/>
      </c>
      <c r="B5052" t="n">
        <v>17</v>
      </c>
      <c r="C5052" t="inlineStr"/>
      <c r="D5052" t="inlineStr">
        <is>
          <t>288</t>
        </is>
      </c>
      <c r="E5052" t="inlineStr">
        <is>
          <t>1</t>
        </is>
      </c>
      <c r="F5052" t="inlineStr">
        <is>
          <t>72</t>
        </is>
      </c>
      <c r="G5052" t="inlineStr">
        <is>
          <t>8</t>
        </is>
      </c>
      <c r="H5052" t="inlineStr">
        <is>
          <t>0</t>
        </is>
      </c>
      <c r="I5052" t="inlineStr">
        <is>
          <t>4⁴, 16², 20⁴, 80²</t>
        </is>
      </c>
      <c r="J5052" t="n">
        <v>12</v>
      </c>
      <c r="K5052" t="inlineStr">
        <is>
          <t>1⁴, 2², 4⁶, 8¹, 16²</t>
        </is>
      </c>
      <c r="L5052" t="inlineStr">
        <is>
          <t>40S⁷, 80I⁷, 80I⁹</t>
        </is>
      </c>
      <c r="M5052" t="inlineStr"/>
      <c r="N5052" t="inlineStr">
        <is>
          <t>80I⁹, 20E¹, 40H³, 8D⁰, 4C⁰, 5B⁰, 8B⁰, 2B⁰, 1A⁰, 40S⁷, 20B¹, 8H⁰, 80I⁷, 4A⁰, 10C⁰, 4F⁰, 40D³, 20L³</t>
        </is>
      </c>
      <c r="O5052" t="inlineStr"/>
    </row>
    <row r="5053">
      <c r="A5053">
        <f>HYPERLINK("https://mathstats.uncg.edu/sites/pauli/congruence/csg17.html#group80AR17", "80AR¹⁷")</f>
        <v/>
      </c>
      <c r="B5053" t="n">
        <v>17</v>
      </c>
      <c r="C5053" t="inlineStr"/>
      <c r="D5053" t="inlineStr">
        <is>
          <t>288</t>
        </is>
      </c>
      <c r="E5053" t="inlineStr">
        <is>
          <t>1</t>
        </is>
      </c>
      <c r="F5053" t="inlineStr">
        <is>
          <t>72</t>
        </is>
      </c>
      <c r="G5053" t="inlineStr">
        <is>
          <t>8</t>
        </is>
      </c>
      <c r="H5053" t="inlineStr">
        <is>
          <t>0</t>
        </is>
      </c>
      <c r="I5053" t="inlineStr">
        <is>
          <t>4⁴, 16², 20⁴, 80²</t>
        </is>
      </c>
      <c r="J5053" t="n">
        <v>12</v>
      </c>
      <c r="K5053" t="inlineStr">
        <is>
          <t>1⁴, 2², 4⁶, 8¹, 16²</t>
        </is>
      </c>
      <c r="L5053" t="inlineStr">
        <is>
          <t>16I¹, 40S⁷, 80J⁷, 80J⁹</t>
        </is>
      </c>
      <c r="M5053" t="inlineStr"/>
      <c r="N5053" t="inlineStr">
        <is>
          <t>20E¹, 16I¹, 40H³, 8D⁰, 80J⁹, 4C⁰, 8B⁰, 80J⁷, 5B⁰, 2B⁰, 1A⁰, 40S⁷, 20B¹, 8H⁰, 16E⁰, 4A⁰, 16C¹, 10C⁰, 4F⁰, 40D³, 20L³</t>
        </is>
      </c>
      <c r="O5053" t="inlineStr"/>
    </row>
    <row r="5054">
      <c r="A5054">
        <f>HYPERLINK("https://mathstats.uncg.edu/sites/pauli/congruence/csg17.html#group80AS17", "80AS¹⁷")</f>
        <v/>
      </c>
      <c r="B5054" t="n">
        <v>17</v>
      </c>
      <c r="C5054" t="inlineStr"/>
      <c r="D5054" t="inlineStr">
        <is>
          <t>288</t>
        </is>
      </c>
      <c r="E5054" t="inlineStr">
        <is>
          <t>1</t>
        </is>
      </c>
      <c r="F5054" t="inlineStr">
        <is>
          <t>72</t>
        </is>
      </c>
      <c r="G5054" t="inlineStr">
        <is>
          <t>16</t>
        </is>
      </c>
      <c r="H5054" t="inlineStr">
        <is>
          <t>0</t>
        </is>
      </c>
      <c r="I5054" t="inlineStr">
        <is>
          <t>8², 16², 40², 80²</t>
        </is>
      </c>
      <c r="J5054" t="n">
        <v>8</v>
      </c>
      <c r="K5054" t="inlineStr">
        <is>
          <t>1⁸, 2⁴, 4⁶, 8², 16¹</t>
        </is>
      </c>
      <c r="L5054" t="inlineStr">
        <is>
          <t>40L⁵</t>
        </is>
      </c>
      <c r="M5054" t="inlineStr"/>
      <c r="N5054" t="inlineStr">
        <is>
          <t>40C³, 20E¹, 20A⁰, 40D³, 10G⁰, 20I¹, 4C⁰, 5B⁰, 10C⁰, 8B⁰, 1A⁰, 2B⁰, 40L⁵, 10B⁰</t>
        </is>
      </c>
      <c r="O5054" t="inlineStr"/>
    </row>
    <row r="5055">
      <c r="A5055">
        <f>HYPERLINK("https://mathstats.uncg.edu/sites/pauli/congruence/csg17.html#group80AT17", "80AT¹⁷")</f>
        <v/>
      </c>
      <c r="B5055" t="n">
        <v>17</v>
      </c>
      <c r="C5055" t="inlineStr"/>
      <c r="D5055" t="inlineStr">
        <is>
          <t>288</t>
        </is>
      </c>
      <c r="E5055" t="inlineStr">
        <is>
          <t>1</t>
        </is>
      </c>
      <c r="F5055" t="inlineStr">
        <is>
          <t>72</t>
        </is>
      </c>
      <c r="G5055" t="inlineStr">
        <is>
          <t>16</t>
        </is>
      </c>
      <c r="H5055" t="inlineStr">
        <is>
          <t>0</t>
        </is>
      </c>
      <c r="I5055" t="inlineStr">
        <is>
          <t>8², 16², 40², 80²</t>
        </is>
      </c>
      <c r="J5055" t="n">
        <v>8</v>
      </c>
      <c r="K5055" t="inlineStr">
        <is>
          <t>1⁸, 2⁴, 4⁶, 8², 16¹</t>
        </is>
      </c>
      <c r="L5055" t="inlineStr">
        <is>
          <t>40L⁵, 80K⁹, 80L⁹</t>
        </is>
      </c>
      <c r="M5055" t="inlineStr"/>
      <c r="N5055" t="inlineStr">
        <is>
          <t>20E¹, 10G⁰, 40L⁵, 80K⁹, 4C⁰, 8B⁰, 5B⁰, 2B⁰, 1A⁰, 10B⁰, 40C³, 20A⁰, 16D¹, 80L⁹, 20I¹, 10C⁰, 40D³</t>
        </is>
      </c>
      <c r="O5055" t="inlineStr"/>
    </row>
    <row r="5056">
      <c r="A5056">
        <f>HYPERLINK("https://mathstats.uncg.edu/sites/pauli/congruence/csg17.html#group80AU17", "80AU¹⁷")</f>
        <v/>
      </c>
      <c r="B5056" t="n">
        <v>17</v>
      </c>
      <c r="C5056" t="inlineStr"/>
      <c r="D5056" t="inlineStr">
        <is>
          <t>288</t>
        </is>
      </c>
      <c r="E5056" t="inlineStr">
        <is>
          <t>1</t>
        </is>
      </c>
      <c r="F5056" t="inlineStr">
        <is>
          <t>72</t>
        </is>
      </c>
      <c r="G5056" t="inlineStr">
        <is>
          <t>16</t>
        </is>
      </c>
      <c r="H5056" t="inlineStr">
        <is>
          <t>0</t>
        </is>
      </c>
      <c r="I5056" t="inlineStr">
        <is>
          <t>8², 16², 40², 80²</t>
        </is>
      </c>
      <c r="J5056" t="n">
        <v>8</v>
      </c>
      <c r="K5056" t="inlineStr">
        <is>
          <t>1⁸, 2⁴, 4⁶, 8², 16¹</t>
        </is>
      </c>
      <c r="L5056" t="inlineStr">
        <is>
          <t>40AA⁷, 80C⁷, 80L⁹</t>
        </is>
      </c>
      <c r="M5056" t="inlineStr"/>
      <c r="N5056" t="inlineStr">
        <is>
          <t>20E¹, 40D³, 40AA⁷, 80L⁹, 16D¹, 4C⁰, 80C⁷, 8B⁰, 5B⁰, 10C⁰, 2B⁰, 1A⁰</t>
        </is>
      </c>
      <c r="O5056" t="inlineStr"/>
    </row>
    <row r="5057">
      <c r="A5057">
        <f>HYPERLINK("https://mathstats.uncg.edu/sites/pauli/congruence/csg17.html#group80AV17", "80AV¹⁷")</f>
        <v/>
      </c>
      <c r="B5057" t="n">
        <v>17</v>
      </c>
      <c r="C5057" t="inlineStr"/>
      <c r="D5057" t="inlineStr">
        <is>
          <t>288</t>
        </is>
      </c>
      <c r="E5057" t="inlineStr">
        <is>
          <t>1</t>
        </is>
      </c>
      <c r="F5057" t="inlineStr">
        <is>
          <t>72</t>
        </is>
      </c>
      <c r="G5057" t="inlineStr">
        <is>
          <t>16</t>
        </is>
      </c>
      <c r="H5057" t="inlineStr">
        <is>
          <t>0</t>
        </is>
      </c>
      <c r="I5057" t="inlineStr">
        <is>
          <t>8², 16², 40², 80²</t>
        </is>
      </c>
      <c r="J5057" t="n">
        <v>8</v>
      </c>
      <c r="K5057" t="inlineStr">
        <is>
          <t>1⁸, 2⁴, 4⁶, 8², 16¹</t>
        </is>
      </c>
      <c r="L5057" t="inlineStr">
        <is>
          <t>40AA⁷, 80D⁷, 80K⁹</t>
        </is>
      </c>
      <c r="M5057" t="inlineStr"/>
      <c r="N5057" t="inlineStr">
        <is>
          <t>16B⁰, 20E¹, 40AA⁷, 80D⁷, 80K⁹, 4C⁰, 8B⁰, 5B⁰, 10C⁰, 1A⁰, 2B⁰, 40D³</t>
        </is>
      </c>
      <c r="O5057" t="inlineStr"/>
    </row>
    <row r="5058">
      <c r="A5058">
        <f>HYPERLINK("https://mathstats.uncg.edu/sites/pauli/congruence/csg17.html#group80AW17", "80AW¹⁷")</f>
        <v/>
      </c>
      <c r="B5058" t="n">
        <v>17</v>
      </c>
      <c r="C5058" t="inlineStr"/>
      <c r="D5058" t="inlineStr">
        <is>
          <t>288</t>
        </is>
      </c>
      <c r="E5058" t="inlineStr">
        <is>
          <t>1</t>
        </is>
      </c>
      <c r="F5058" t="inlineStr">
        <is>
          <t>72</t>
        </is>
      </c>
      <c r="G5058" t="inlineStr">
        <is>
          <t>16</t>
        </is>
      </c>
      <c r="H5058" t="inlineStr">
        <is>
          <t>0</t>
        </is>
      </c>
      <c r="I5058" t="inlineStr">
        <is>
          <t>8², 16², 40², 80²</t>
        </is>
      </c>
      <c r="J5058" t="n">
        <v>8</v>
      </c>
      <c r="K5058" t="inlineStr">
        <is>
          <t>1⁸, 2⁴, 4⁶, 8², 16¹</t>
        </is>
      </c>
      <c r="L5058" t="inlineStr">
        <is>
          <t>40AB⁷, 80C⁷, 80K⁹</t>
        </is>
      </c>
      <c r="M5058" t="inlineStr"/>
      <c r="N5058" t="inlineStr">
        <is>
          <t>20E¹, 40D³, 80K⁹, 4C⁰, 80C⁷, 8B⁰, 5B⁰, 10C⁰, 2B⁰, 8L⁰, 1A⁰, 40AB⁷</t>
        </is>
      </c>
      <c r="O5058" t="inlineStr"/>
    </row>
    <row r="5059">
      <c r="A5059">
        <f>HYPERLINK("https://mathstats.uncg.edu/sites/pauli/congruence/csg17.html#group80AX17", "80AX¹⁷")</f>
        <v/>
      </c>
      <c r="B5059" t="n">
        <v>17</v>
      </c>
      <c r="C5059" t="inlineStr"/>
      <c r="D5059" t="inlineStr">
        <is>
          <t>288</t>
        </is>
      </c>
      <c r="E5059" t="inlineStr">
        <is>
          <t>1</t>
        </is>
      </c>
      <c r="F5059" t="inlineStr">
        <is>
          <t>72</t>
        </is>
      </c>
      <c r="G5059" t="inlineStr">
        <is>
          <t>16</t>
        </is>
      </c>
      <c r="H5059" t="inlineStr">
        <is>
          <t>0</t>
        </is>
      </c>
      <c r="I5059" t="inlineStr">
        <is>
          <t>8², 16², 40², 80²</t>
        </is>
      </c>
      <c r="J5059" t="n">
        <v>8</v>
      </c>
      <c r="K5059" t="inlineStr">
        <is>
          <t>1⁸, 2⁴, 4⁶, 8², 16¹</t>
        </is>
      </c>
      <c r="L5059" t="inlineStr">
        <is>
          <t>16J¹, 40AB⁷, 80D⁷, 80L⁹</t>
        </is>
      </c>
      <c r="M5059" t="inlineStr"/>
      <c r="N5059" t="inlineStr">
        <is>
          <t>20E¹, 4C⁰, 8B⁰, 5B⁰, 8L⁰, 2B⁰, 16J¹, 1A⁰, 16B⁰, 16D¹, 80L⁹, 80D⁷, 10C⁰, 40D³, 40AB⁷</t>
        </is>
      </c>
      <c r="O5059" t="inlineStr"/>
    </row>
    <row r="5060">
      <c r="A5060">
        <f>HYPERLINK("https://mathstats.uncg.edu/sites/pauli/congruence/csg17.html#group80AY17", "80AY¹⁷")</f>
        <v/>
      </c>
      <c r="B5060" t="n">
        <v>17</v>
      </c>
      <c r="C5060" t="inlineStr"/>
      <c r="D5060" t="inlineStr">
        <is>
          <t>288</t>
        </is>
      </c>
      <c r="E5060" t="inlineStr">
        <is>
          <t>1</t>
        </is>
      </c>
      <c r="F5060" t="inlineStr">
        <is>
          <t>144</t>
        </is>
      </c>
      <c r="G5060" t="inlineStr">
        <is>
          <t>4</t>
        </is>
      </c>
      <c r="H5060" t="inlineStr">
        <is>
          <t>0</t>
        </is>
      </c>
      <c r="I5060" t="inlineStr">
        <is>
          <t>4⁴, 8², 16¹, 20⁴, 40², 80¹</t>
        </is>
      </c>
      <c r="J5060" t="n">
        <v>14</v>
      </c>
      <c r="K5060" t="inlineStr">
        <is>
          <t>4⁸, 8⁸, 16⁴, 32⁴</t>
        </is>
      </c>
      <c r="L5060" t="inlineStr">
        <is>
          <t>40Z⁷</t>
        </is>
      </c>
      <c r="M5060" t="inlineStr"/>
      <c r="N5060" t="inlineStr">
        <is>
          <t>20E¹, 8K⁰, 4A⁰, 4C⁰, 5B⁰, 10C⁰, 2B⁰, 4F⁰, 40Z⁷, 1A⁰, 20B¹, 20L³</t>
        </is>
      </c>
      <c r="O5060" t="inlineStr"/>
    </row>
    <row r="5061">
      <c r="A5061">
        <f>HYPERLINK("https://mathstats.uncg.edu/sites/pauli/congruence/csg17.html#group80AZ17", "80AZ¹⁷")</f>
        <v/>
      </c>
      <c r="B5061" t="n">
        <v>17</v>
      </c>
      <c r="C5061" t="inlineStr"/>
      <c r="D5061" t="inlineStr">
        <is>
          <t>288</t>
        </is>
      </c>
      <c r="E5061" t="inlineStr">
        <is>
          <t>1</t>
        </is>
      </c>
      <c r="F5061" t="inlineStr">
        <is>
          <t>144</t>
        </is>
      </c>
      <c r="G5061" t="inlineStr">
        <is>
          <t>4</t>
        </is>
      </c>
      <c r="H5061" t="inlineStr">
        <is>
          <t>0</t>
        </is>
      </c>
      <c r="I5061" t="inlineStr">
        <is>
          <t>4⁴, 8², 16¹, 20⁴, 40², 80¹</t>
        </is>
      </c>
      <c r="J5061" t="n">
        <v>14</v>
      </c>
      <c r="K5061" t="inlineStr">
        <is>
          <t>4⁸, 8⁸, 16⁴, 32⁴</t>
        </is>
      </c>
      <c r="L5061" t="inlineStr">
        <is>
          <t>40Z⁷</t>
        </is>
      </c>
      <c r="M5061" t="inlineStr"/>
      <c r="N5061" t="inlineStr">
        <is>
          <t>20E¹, 8K⁰, 4A⁰, 4C⁰, 5B⁰, 10C⁰, 2B⁰, 4F⁰, 40Z⁷, 1A⁰, 20B¹, 20L³</t>
        </is>
      </c>
      <c r="O5061" t="inlineStr"/>
    </row>
    <row r="5062">
      <c r="A5062">
        <f>HYPERLINK("https://mathstats.uncg.edu/sites/pauli/congruence/csg17.html#group80BA17", "80BA¹⁷")</f>
        <v/>
      </c>
      <c r="B5062" t="n">
        <v>17</v>
      </c>
      <c r="C5062" t="inlineStr"/>
      <c r="D5062" t="inlineStr">
        <is>
          <t>288</t>
        </is>
      </c>
      <c r="E5062" t="inlineStr">
        <is>
          <t>1</t>
        </is>
      </c>
      <c r="F5062" t="inlineStr">
        <is>
          <t>144</t>
        </is>
      </c>
      <c r="G5062" t="inlineStr">
        <is>
          <t>4</t>
        </is>
      </c>
      <c r="H5062" t="inlineStr">
        <is>
          <t>0</t>
        </is>
      </c>
      <c r="I5062" t="inlineStr">
        <is>
          <t>4⁴, 8², 16¹, 20⁴, 40², 80¹</t>
        </is>
      </c>
      <c r="J5062" t="n">
        <v>14</v>
      </c>
      <c r="K5062" t="inlineStr">
        <is>
          <t>4⁸, 8⁸, 16⁴, 32⁴</t>
        </is>
      </c>
      <c r="L5062" t="inlineStr">
        <is>
          <t>16K¹, 40Z⁷</t>
        </is>
      </c>
      <c r="M5062" t="inlineStr"/>
      <c r="N5062" t="inlineStr">
        <is>
          <t>20E¹, 8K⁰, 4A⁰, 4C⁰, 5B⁰, 10C⁰, 2B⁰, 4F⁰, 40Z⁷, 1A⁰, 16K¹, 20B¹, 20L³</t>
        </is>
      </c>
      <c r="O5062" t="inlineStr"/>
    </row>
    <row r="5063">
      <c r="A5063">
        <f>HYPERLINK("https://mathstats.uncg.edu/sites/pauli/congruence/csg17.html#group80BB17", "80BB¹⁷")</f>
        <v/>
      </c>
      <c r="B5063" t="n">
        <v>17</v>
      </c>
      <c r="C5063" t="inlineStr"/>
      <c r="D5063" t="inlineStr">
        <is>
          <t>288</t>
        </is>
      </c>
      <c r="E5063" t="inlineStr">
        <is>
          <t>1</t>
        </is>
      </c>
      <c r="F5063" t="inlineStr">
        <is>
          <t>144</t>
        </is>
      </c>
      <c r="G5063" t="inlineStr">
        <is>
          <t>4</t>
        </is>
      </c>
      <c r="H5063" t="inlineStr">
        <is>
          <t>0</t>
        </is>
      </c>
      <c r="I5063" t="inlineStr">
        <is>
          <t>4⁴, 8², 16¹, 20⁴, 40², 80¹</t>
        </is>
      </c>
      <c r="J5063" t="n">
        <v>14</v>
      </c>
      <c r="K5063" t="inlineStr">
        <is>
          <t>4⁸, 8⁸, 16⁴, 32⁴</t>
        </is>
      </c>
      <c r="L5063" t="inlineStr">
        <is>
          <t>16L¹, 40Z⁷</t>
        </is>
      </c>
      <c r="M5063" t="inlineStr"/>
      <c r="N5063" t="inlineStr">
        <is>
          <t>20E¹, 16L¹, 8K⁰, 4A⁰, 4C⁰, 5B⁰, 10C⁰, 2B⁰, 4F⁰, 40Z⁷, 1A⁰, 20B¹, 20L³</t>
        </is>
      </c>
      <c r="O5063" t="inlineStr"/>
    </row>
    <row r="5064">
      <c r="A5064">
        <f>HYPERLINK("https://mathstats.uncg.edu/sites/pauli/congruence/csg17.html#group80BC17", "80BC¹⁷")</f>
        <v/>
      </c>
      <c r="B5064" t="n">
        <v>17</v>
      </c>
      <c r="C5064" t="inlineStr"/>
      <c r="D5064" t="inlineStr">
        <is>
          <t>288</t>
        </is>
      </c>
      <c r="E5064" t="inlineStr">
        <is>
          <t>2</t>
        </is>
      </c>
      <c r="F5064" t="inlineStr">
        <is>
          <t>18</t>
        </is>
      </c>
      <c r="G5064" t="inlineStr">
        <is>
          <t>16</t>
        </is>
      </c>
      <c r="H5064" t="inlineStr">
        <is>
          <t>0</t>
        </is>
      </c>
      <c r="I5064" t="inlineStr">
        <is>
          <t>8², 16², 40², 80²</t>
        </is>
      </c>
      <c r="J5064" t="n">
        <v>8</v>
      </c>
      <c r="K5064" t="inlineStr">
        <is>
          <t>2⁶, 8³</t>
        </is>
      </c>
      <c r="L5064" t="inlineStr">
        <is>
          <t>40L⁵, 80M⁹, 80N⁹</t>
        </is>
      </c>
      <c r="M5064" t="inlineStr"/>
      <c r="N5064" t="inlineStr">
        <is>
          <t>20E¹, 40D³, 10G⁰, 4C⁰, 5B⁰, 8B⁰, 2B⁰, 80N⁹, 1A⁰, 10B⁰, 40C³, 20A⁰, 80M⁹, 20I¹, 10C⁰, 40L⁵</t>
        </is>
      </c>
      <c r="O5064" t="inlineStr"/>
    </row>
    <row r="5065">
      <c r="A5065">
        <f>HYPERLINK("https://mathstats.uncg.edu/sites/pauli/congruence/csg17.html#group80BD17", "80BD¹⁷")</f>
        <v/>
      </c>
      <c r="B5065" t="n">
        <v>17</v>
      </c>
      <c r="C5065" t="inlineStr"/>
      <c r="D5065" t="inlineStr">
        <is>
          <t>288</t>
        </is>
      </c>
      <c r="E5065" t="inlineStr">
        <is>
          <t>2</t>
        </is>
      </c>
      <c r="F5065" t="inlineStr">
        <is>
          <t>36</t>
        </is>
      </c>
      <c r="G5065" t="inlineStr">
        <is>
          <t>0</t>
        </is>
      </c>
      <c r="H5065" t="inlineStr">
        <is>
          <t>0</t>
        </is>
      </c>
      <c r="I5065" t="inlineStr">
        <is>
          <t>2⁴, 4², 10⁴, 16², 20², 80²</t>
        </is>
      </c>
      <c r="J5065" t="n">
        <v>16</v>
      </c>
      <c r="K5065" t="inlineStr">
        <is>
          <t>2¹², 8⁶</t>
        </is>
      </c>
      <c r="L5065" t="inlineStr">
        <is>
          <t>40L⁷, 80K⁷, 80O⁹</t>
        </is>
      </c>
      <c r="M5065" t="inlineStr"/>
      <c r="N5065" t="inlineStr">
        <is>
          <t>20E¹, 2A⁰, 40L⁷, 4C⁰, 5B⁰, 10A¹, 20D¹, 2B⁰, 4E⁰, 4B⁰, 1A⁰, 80O⁹, 10C⁰, 40E³, 80K⁷, 20J³, 2C⁰, 10G¹, 40G³</t>
        </is>
      </c>
      <c r="O5065" t="inlineStr"/>
    </row>
    <row r="5066">
      <c r="A5066">
        <f>HYPERLINK("https://mathstats.uncg.edu/sites/pauli/congruence/csg17.html#group80BE17", "80BE¹⁷")</f>
        <v/>
      </c>
      <c r="B5066" t="n">
        <v>17</v>
      </c>
      <c r="C5066" t="inlineStr"/>
      <c r="D5066" t="inlineStr">
        <is>
          <t>288</t>
        </is>
      </c>
      <c r="E5066" t="inlineStr">
        <is>
          <t>2</t>
        </is>
      </c>
      <c r="F5066" t="inlineStr">
        <is>
          <t>36</t>
        </is>
      </c>
      <c r="G5066" t="inlineStr">
        <is>
          <t>0</t>
        </is>
      </c>
      <c r="H5066" t="inlineStr">
        <is>
          <t>0</t>
        </is>
      </c>
      <c r="I5066" t="inlineStr">
        <is>
          <t>2⁴, 4², 10⁴, 16², 20², 80²</t>
        </is>
      </c>
      <c r="J5066" t="n">
        <v>16</v>
      </c>
      <c r="K5066" t="inlineStr">
        <is>
          <t>2¹², 8⁶</t>
        </is>
      </c>
      <c r="L5066" t="inlineStr">
        <is>
          <t>40O⁷, 80K⁷, 80O⁹</t>
        </is>
      </c>
      <c r="M5066" t="inlineStr"/>
      <c r="N5066" t="inlineStr">
        <is>
          <t>10G⁰, 40O⁷, 5B⁰, 20D¹, 2B⁰, 8C⁰, 4B⁰, 1A⁰, 20H³, 10B⁰, 40F³, 80O⁹, 10C⁰, 40E³, 80K⁷, 20C²</t>
        </is>
      </c>
      <c r="O5066" t="inlineStr"/>
    </row>
    <row r="5067">
      <c r="A5067">
        <f>HYPERLINK("https://mathstats.uncg.edu/sites/pauli/congruence/csg17.html#group80BF17", "80BF¹⁷")</f>
        <v/>
      </c>
      <c r="B5067" t="n">
        <v>17</v>
      </c>
      <c r="C5067" t="inlineStr"/>
      <c r="D5067" t="inlineStr">
        <is>
          <t>288</t>
        </is>
      </c>
      <c r="E5067" t="inlineStr">
        <is>
          <t>2</t>
        </is>
      </c>
      <c r="F5067" t="inlineStr">
        <is>
          <t>72</t>
        </is>
      </c>
      <c r="G5067" t="inlineStr">
        <is>
          <t>8</t>
        </is>
      </c>
      <c r="H5067" t="inlineStr">
        <is>
          <t>0</t>
        </is>
      </c>
      <c r="I5067" t="inlineStr">
        <is>
          <t>4⁴, 16², 20⁴, 80²</t>
        </is>
      </c>
      <c r="J5067" t="n">
        <v>12</v>
      </c>
      <c r="K5067" t="inlineStr">
        <is>
          <t>4¹², 16⁶</t>
        </is>
      </c>
      <c r="L5067" t="inlineStr">
        <is>
          <t>40R⁷</t>
        </is>
      </c>
      <c r="M5067" t="inlineStr"/>
      <c r="N5067" t="inlineStr">
        <is>
          <t>40C³, 20E¹, 4A⁰, 4C⁰, 5B⁰, 10C⁰, 40R⁷, 2B⁰, 4F⁰, 1A⁰, 20B¹, 20L³, 40G³</t>
        </is>
      </c>
      <c r="O5067" t="inlineStr"/>
    </row>
    <row r="5068">
      <c r="A5068">
        <f>HYPERLINK("https://mathstats.uncg.edu/sites/pauli/congruence/csg17.html#group82A17", "82A¹⁷")</f>
        <v/>
      </c>
      <c r="B5068" t="n">
        <v>17</v>
      </c>
      <c r="C5068" t="inlineStr"/>
      <c r="D5068" t="inlineStr">
        <is>
          <t>252</t>
        </is>
      </c>
      <c r="E5068" t="inlineStr">
        <is>
          <t>1</t>
        </is>
      </c>
      <c r="F5068" t="inlineStr">
        <is>
          <t>126</t>
        </is>
      </c>
      <c r="G5068" t="inlineStr">
        <is>
          <t>4</t>
        </is>
      </c>
      <c r="H5068" t="inlineStr">
        <is>
          <t>0</t>
        </is>
      </c>
      <c r="I5068" t="inlineStr">
        <is>
          <t>1², 2², 41², 82²</t>
        </is>
      </c>
      <c r="J5068" t="n">
        <v>8</v>
      </c>
      <c r="K5068" t="inlineStr">
        <is>
          <t>1⁶, 40³</t>
        </is>
      </c>
      <c r="L5068" t="inlineStr">
        <is>
          <t>41A⁵, 82A⁹</t>
        </is>
      </c>
      <c r="M5068" t="inlineStr"/>
      <c r="N5068" t="inlineStr">
        <is>
          <t>82A⁹, 2B⁰, 41A³, 1A⁰, 41A⁵</t>
        </is>
      </c>
      <c r="O5068" t="inlineStr"/>
    </row>
    <row r="5069">
      <c r="A5069">
        <f>HYPERLINK("https://mathstats.uncg.edu/sites/pauli/congruence/csg17.html#group84A17", "84A¹⁷")</f>
        <v/>
      </c>
      <c r="B5069" t="n">
        <v>17</v>
      </c>
      <c r="C5069" t="inlineStr"/>
      <c r="D5069" t="inlineStr">
        <is>
          <t>224</t>
        </is>
      </c>
      <c r="E5069" t="inlineStr">
        <is>
          <t>2</t>
        </is>
      </c>
      <c r="F5069" t="inlineStr">
        <is>
          <t>112</t>
        </is>
      </c>
      <c r="G5069" t="inlineStr">
        <is>
          <t>0</t>
        </is>
      </c>
      <c r="H5069" t="inlineStr">
        <is>
          <t>2</t>
        </is>
      </c>
      <c r="I5069" t="inlineStr">
        <is>
          <t>28², 84²</t>
        </is>
      </c>
      <c r="J5069" t="n">
        <v>4</v>
      </c>
      <c r="K5069" t="inlineStr">
        <is>
          <t>4⁴, 8², 12⁸, 24⁴</t>
        </is>
      </c>
      <c r="L5069" t="inlineStr">
        <is>
          <t>28E², 42D⁴, 84A⁹</t>
        </is>
      </c>
      <c r="M5069" t="inlineStr"/>
      <c r="N5069" t="inlineStr">
        <is>
          <t>3B⁰, 28E², 14A⁰, 84A⁹, 21B², 4A⁰, 42D⁴, 12A¹, 28A¹, 1A⁰, 7A⁰</t>
        </is>
      </c>
      <c r="O5069" t="inlineStr"/>
    </row>
    <row r="5070">
      <c r="A5070">
        <f>HYPERLINK("https://mathstats.uncg.edu/sites/pauli/congruence/csg17.html#group84B17", "84B¹⁷")</f>
        <v/>
      </c>
      <c r="B5070" t="n">
        <v>17</v>
      </c>
      <c r="C5070" t="inlineStr"/>
      <c r="D5070" t="inlineStr">
        <is>
          <t>224</t>
        </is>
      </c>
      <c r="E5070" t="inlineStr">
        <is>
          <t>2</t>
        </is>
      </c>
      <c r="F5070" t="inlineStr">
        <is>
          <t>112</t>
        </is>
      </c>
      <c r="G5070" t="inlineStr">
        <is>
          <t>0</t>
        </is>
      </c>
      <c r="H5070" t="inlineStr">
        <is>
          <t>2</t>
        </is>
      </c>
      <c r="I5070" t="inlineStr">
        <is>
          <t>28², 84²</t>
        </is>
      </c>
      <c r="J5070" t="n">
        <v>4</v>
      </c>
      <c r="K5070" t="inlineStr">
        <is>
          <t>4⁴, 8², 12⁸, 24⁴</t>
        </is>
      </c>
      <c r="L5070" t="inlineStr">
        <is>
          <t>21B³, 28D³, 84A⁹</t>
        </is>
      </c>
      <c r="M5070" t="inlineStr"/>
      <c r="N5070" t="inlineStr">
        <is>
          <t>21B³, 28D³, 3B⁰, 84A⁹, 21B², 4A⁰, 7C⁰, 12A¹, 28A¹, 1A⁰, 7A⁰</t>
        </is>
      </c>
      <c r="O5070" t="inlineStr"/>
    </row>
    <row r="5071">
      <c r="A5071">
        <f>HYPERLINK("https://mathstats.uncg.edu/sites/pauli/congruence/csg17.html#group84C17", "84C¹⁷")</f>
        <v/>
      </c>
      <c r="B5071" t="n">
        <v>17</v>
      </c>
      <c r="C5071" t="inlineStr"/>
      <c r="D5071" t="inlineStr">
        <is>
          <t>224</t>
        </is>
      </c>
      <c r="E5071" t="inlineStr">
        <is>
          <t>2</t>
        </is>
      </c>
      <c r="F5071" t="inlineStr">
        <is>
          <t>112</t>
        </is>
      </c>
      <c r="G5071" t="inlineStr">
        <is>
          <t>0</t>
        </is>
      </c>
      <c r="H5071" t="inlineStr">
        <is>
          <t>2</t>
        </is>
      </c>
      <c r="I5071" t="inlineStr">
        <is>
          <t>28², 84²</t>
        </is>
      </c>
      <c r="J5071" t="n">
        <v>4</v>
      </c>
      <c r="K5071" t="inlineStr">
        <is>
          <t>4⁴, 8², 12⁸, 24⁴</t>
        </is>
      </c>
      <c r="L5071" t="inlineStr">
        <is>
          <t>12I¹, 28A⁴, 42E⁴, 84A⁹</t>
        </is>
      </c>
      <c r="M5071" t="inlineStr"/>
      <c r="N5071" t="inlineStr">
        <is>
          <t>3B⁰, 2A⁰, 12I¹, 14A¹, 6C⁰, 1A⁰, 84A⁹, 21B², 4A⁰, 28A⁴, 42E⁴, 12A¹, 4D⁰, 28A¹, 7A⁰</t>
        </is>
      </c>
      <c r="O5071" t="inlineStr"/>
    </row>
    <row r="5072">
      <c r="A5072">
        <f>HYPERLINK("https://mathstats.uncg.edu/sites/pauli/congruence/csg17.html#group84D17", "84D¹⁷")</f>
        <v/>
      </c>
      <c r="B5072" t="n">
        <v>17</v>
      </c>
      <c r="C5072" t="inlineStr"/>
      <c r="D5072" t="inlineStr">
        <is>
          <t>252</t>
        </is>
      </c>
      <c r="E5072" t="inlineStr">
        <is>
          <t>2</t>
        </is>
      </c>
      <c r="F5072" t="inlineStr">
        <is>
          <t>21</t>
        </is>
      </c>
      <c r="G5072" t="inlineStr">
        <is>
          <t>12</t>
        </is>
      </c>
      <c r="H5072" t="inlineStr">
        <is>
          <t>0</t>
        </is>
      </c>
      <c r="I5072" t="inlineStr">
        <is>
          <t>42², 84²</t>
        </is>
      </c>
      <c r="J5072" t="n">
        <v>4</v>
      </c>
      <c r="K5072" t="inlineStr">
        <is>
          <t>2³, 6⁶</t>
        </is>
      </c>
      <c r="L5072" t="inlineStr">
        <is>
          <t>28B⁵, 84B⁶, 42A⁸, 84B⁹</t>
        </is>
      </c>
      <c r="M5072" t="inlineStr"/>
      <c r="N5072" t="inlineStr">
        <is>
          <t>12C⁰, 14B¹, 4C⁰, 21C², 21A⁰, 2B⁰, 42A⁸, 28B⁵, 1A⁰, 28C², 14A², 7C⁰, 84B⁹, 28B³, 3A⁰, 42C³, 84B⁶, 6D⁰, 7A⁰</t>
        </is>
      </c>
      <c r="O5072" t="inlineStr"/>
    </row>
    <row r="5073">
      <c r="A5073">
        <f>HYPERLINK("https://mathstats.uncg.edu/sites/pauli/congruence/csg17.html#group84E17", "84E¹⁷")</f>
        <v/>
      </c>
      <c r="B5073" t="n">
        <v>17</v>
      </c>
      <c r="C5073" t="inlineStr"/>
      <c r="D5073" t="inlineStr">
        <is>
          <t>252</t>
        </is>
      </c>
      <c r="E5073" t="inlineStr">
        <is>
          <t>2</t>
        </is>
      </c>
      <c r="F5073" t="inlineStr">
        <is>
          <t>42</t>
        </is>
      </c>
      <c r="G5073" t="inlineStr">
        <is>
          <t>12</t>
        </is>
      </c>
      <c r="H5073" t="inlineStr">
        <is>
          <t>0</t>
        </is>
      </c>
      <c r="I5073" t="inlineStr">
        <is>
          <t>42², 84²</t>
        </is>
      </c>
      <c r="J5073" t="n">
        <v>4</v>
      </c>
      <c r="K5073" t="inlineStr">
        <is>
          <t>4³, 12⁶</t>
        </is>
      </c>
      <c r="L5073" t="inlineStr">
        <is>
          <t>28B⁵, 42B⁸</t>
        </is>
      </c>
      <c r="M5073" t="inlineStr"/>
      <c r="N5073" t="inlineStr">
        <is>
          <t>28C², 14A², 42B⁸, 14B¹, 7C⁰, 4C⁰, 21C¹, 2B⁰, 28B³, 28B⁵, 1A⁰, 7A⁰</t>
        </is>
      </c>
      <c r="O5073" t="inlineStr"/>
    </row>
    <row r="5074">
      <c r="A5074">
        <f>HYPERLINK("https://mathstats.uncg.edu/sites/pauli/congruence/csg17.html#group84F17", "84F¹⁷")</f>
        <v/>
      </c>
      <c r="B5074" t="n">
        <v>17</v>
      </c>
      <c r="C5074" t="inlineStr"/>
      <c r="D5074" t="inlineStr">
        <is>
          <t>252</t>
        </is>
      </c>
      <c r="E5074" t="inlineStr">
        <is>
          <t>2</t>
        </is>
      </c>
      <c r="F5074" t="inlineStr">
        <is>
          <t>63</t>
        </is>
      </c>
      <c r="G5074" t="inlineStr">
        <is>
          <t>8</t>
        </is>
      </c>
      <c r="H5074" t="inlineStr">
        <is>
          <t>0</t>
        </is>
      </c>
      <c r="I5074" t="inlineStr">
        <is>
          <t>21⁴, 84²</t>
        </is>
      </c>
      <c r="J5074" t="n">
        <v>6</v>
      </c>
      <c r="K5074" t="inlineStr">
        <is>
          <t>2³, 4³, 6⁶, 12⁶</t>
        </is>
      </c>
      <c r="L5074" t="inlineStr">
        <is>
          <t>84B⁷, 42C⁸, 84F⁸</t>
        </is>
      </c>
      <c r="M5074" t="inlineStr"/>
      <c r="N5074" t="inlineStr">
        <is>
          <t>21D², 14B¹, 21A⁰, 6G⁰, 2B⁰, 84F⁸, 1A⁰, 84B⁷, 6D⁰, 3C⁰, 42C⁸, 3A⁰, 42C³, 28B², 7A⁰</t>
        </is>
      </c>
      <c r="O5074" t="inlineStr"/>
    </row>
    <row r="5075">
      <c r="A5075">
        <f>HYPERLINK("https://mathstats.uncg.edu/sites/pauli/congruence/csg17.html#group84G17", "84G¹⁷")</f>
        <v/>
      </c>
      <c r="B5075" t="n">
        <v>17</v>
      </c>
      <c r="C5075" t="inlineStr"/>
      <c r="D5075" t="inlineStr">
        <is>
          <t>252</t>
        </is>
      </c>
      <c r="E5075" t="inlineStr">
        <is>
          <t>2</t>
        </is>
      </c>
      <c r="F5075" t="inlineStr">
        <is>
          <t>63</t>
        </is>
      </c>
      <c r="G5075" t="inlineStr">
        <is>
          <t>8</t>
        </is>
      </c>
      <c r="H5075" t="inlineStr">
        <is>
          <t>0</t>
        </is>
      </c>
      <c r="I5075" t="inlineStr">
        <is>
          <t>21⁴, 84²</t>
        </is>
      </c>
      <c r="J5075" t="n">
        <v>6</v>
      </c>
      <c r="K5075" t="inlineStr">
        <is>
          <t>2³, 4³, 6⁶, 12⁶</t>
        </is>
      </c>
      <c r="L5075" t="inlineStr">
        <is>
          <t>84C⁷, 42A⁸, 84F⁸</t>
        </is>
      </c>
      <c r="M5075" t="inlineStr"/>
      <c r="N5075" t="inlineStr">
        <is>
          <t>14B¹, 21C², 21A⁰, 2B⁰, 84F⁸, 42A⁸, 1A⁰, 14A², 84C⁷, 7C⁰, 12D⁰, 3A⁰, 42C³, 6D⁰, 7A⁰</t>
        </is>
      </c>
      <c r="O5075" t="inlineStr"/>
    </row>
    <row r="5076">
      <c r="A5076">
        <f>HYPERLINK("https://mathstats.uncg.edu/sites/pauli/congruence/csg17.html#group84H17", "84H¹⁷")</f>
        <v/>
      </c>
      <c r="B5076" t="n">
        <v>17</v>
      </c>
      <c r="C5076" t="inlineStr"/>
      <c r="D5076" t="inlineStr">
        <is>
          <t>252</t>
        </is>
      </c>
      <c r="E5076" t="inlineStr">
        <is>
          <t>2</t>
        </is>
      </c>
      <c r="F5076" t="inlineStr">
        <is>
          <t>63</t>
        </is>
      </c>
      <c r="G5076" t="inlineStr">
        <is>
          <t>12</t>
        </is>
      </c>
      <c r="H5076" t="inlineStr">
        <is>
          <t>0</t>
        </is>
      </c>
      <c r="I5076" t="inlineStr">
        <is>
          <t>42², 84²</t>
        </is>
      </c>
      <c r="J5076" t="n">
        <v>4</v>
      </c>
      <c r="K5076" t="inlineStr">
        <is>
          <t>2³, 4³, 6⁶, 12⁶</t>
        </is>
      </c>
      <c r="L5076" t="inlineStr">
        <is>
          <t>12L¹, 84B⁶, 42C⁸, 84C⁹</t>
        </is>
      </c>
      <c r="M5076" t="inlineStr"/>
      <c r="N5076" t="inlineStr">
        <is>
          <t>21D², 12C⁰, 14B¹, 4C⁰, 6G⁰, 21A⁰, 2B⁰, 1A⁰, 12L¹, 84C⁹, 28C², 12C¹, 3C⁰, 42C⁸, 3A⁰, 42C³, 84B⁶, 6D⁰, 7A⁰</t>
        </is>
      </c>
      <c r="O5076" t="inlineStr"/>
    </row>
    <row r="5077">
      <c r="A5077">
        <f>HYPERLINK("https://mathstats.uncg.edu/sites/pauli/congruence/csg17.html#group84I17", "84I¹⁷")</f>
        <v/>
      </c>
      <c r="B5077" t="n">
        <v>17</v>
      </c>
      <c r="C5077" t="inlineStr"/>
      <c r="D5077" t="inlineStr">
        <is>
          <t>252</t>
        </is>
      </c>
      <c r="E5077" t="inlineStr">
        <is>
          <t>2</t>
        </is>
      </c>
      <c r="F5077" t="inlineStr">
        <is>
          <t>63</t>
        </is>
      </c>
      <c r="G5077" t="inlineStr">
        <is>
          <t>12</t>
        </is>
      </c>
      <c r="H5077" t="inlineStr">
        <is>
          <t>0</t>
        </is>
      </c>
      <c r="I5077" t="inlineStr">
        <is>
          <t>42², 84²</t>
        </is>
      </c>
      <c r="J5077" t="n">
        <v>4</v>
      </c>
      <c r="K5077" t="inlineStr">
        <is>
          <t>4⁹, 12¹⁸</t>
        </is>
      </c>
      <c r="L5077" t="inlineStr">
        <is>
          <t>42L⁷, 84F⁸, 84G⁸</t>
        </is>
      </c>
      <c r="M5077" t="inlineStr"/>
      <c r="N5077" t="inlineStr">
        <is>
          <t>6B⁰, 14B¹, 6H⁰, 84G⁸, 42L⁷, 21A⁰, 2B⁰, 84F⁸, 42B¹, 3A⁰, 1A⁰, 42C³, 6D⁰, 7A⁰</t>
        </is>
      </c>
      <c r="O5077" t="inlineStr"/>
    </row>
    <row r="5078">
      <c r="A5078">
        <f>HYPERLINK("https://mathstats.uncg.edu/sites/pauli/congruence/csg17.html#group84J17", "84J¹⁷")</f>
        <v/>
      </c>
      <c r="B5078" t="n">
        <v>17</v>
      </c>
      <c r="C5078" t="inlineStr"/>
      <c r="D5078" t="inlineStr">
        <is>
          <t>252</t>
        </is>
      </c>
      <c r="E5078" t="inlineStr">
        <is>
          <t>2</t>
        </is>
      </c>
      <c r="F5078" t="inlineStr">
        <is>
          <t>63</t>
        </is>
      </c>
      <c r="G5078" t="inlineStr">
        <is>
          <t>12</t>
        </is>
      </c>
      <c r="H5078" t="inlineStr">
        <is>
          <t>0</t>
        </is>
      </c>
      <c r="I5078" t="inlineStr">
        <is>
          <t>42², 84²</t>
        </is>
      </c>
      <c r="J5078" t="n">
        <v>4</v>
      </c>
      <c r="K5078" t="inlineStr">
        <is>
          <t>4⁹, 12¹⁸</t>
        </is>
      </c>
      <c r="L5078" t="inlineStr">
        <is>
          <t>42L⁷, 84F⁸, 84G⁸</t>
        </is>
      </c>
      <c r="M5078" t="inlineStr"/>
      <c r="N5078" t="inlineStr">
        <is>
          <t>6B⁰, 14B¹, 6H⁰, 84G⁸, 42L⁷, 21A⁰, 2B⁰, 84F⁸, 42B¹, 3A⁰, 1A⁰, 42C³, 6D⁰, 7A⁰</t>
        </is>
      </c>
      <c r="O5078" t="inlineStr"/>
    </row>
    <row r="5079">
      <c r="A5079">
        <f>HYPERLINK("https://mathstats.uncg.edu/sites/pauli/congruence/csg17.html#group84K17", "84K¹⁷")</f>
        <v/>
      </c>
      <c r="B5079" t="n">
        <v>17</v>
      </c>
      <c r="C5079" t="inlineStr"/>
      <c r="D5079" t="inlineStr">
        <is>
          <t>252</t>
        </is>
      </c>
      <c r="E5079" t="inlineStr">
        <is>
          <t>2</t>
        </is>
      </c>
      <c r="F5079" t="inlineStr">
        <is>
          <t>63</t>
        </is>
      </c>
      <c r="G5079" t="inlineStr">
        <is>
          <t>12</t>
        </is>
      </c>
      <c r="H5079" t="inlineStr">
        <is>
          <t>0</t>
        </is>
      </c>
      <c r="I5079" t="inlineStr">
        <is>
          <t>42², 84²</t>
        </is>
      </c>
      <c r="J5079" t="n">
        <v>4</v>
      </c>
      <c r="K5079" t="inlineStr">
        <is>
          <t>4⁹, 12¹⁸</t>
        </is>
      </c>
      <c r="L5079" t="inlineStr">
        <is>
          <t>84C⁷, 42D⁸, 84G⁸</t>
        </is>
      </c>
      <c r="M5079" t="inlineStr"/>
      <c r="N5079" t="inlineStr">
        <is>
          <t>42A², 42D⁸, 14B¹, 84C⁷, 84G⁸, 21A⁰, 2B⁰, 12D⁰, 3A⁰, 1A⁰, 42C³, 6D⁰, 7A⁰</t>
        </is>
      </c>
      <c r="O5079" t="inlineStr"/>
    </row>
    <row r="5080">
      <c r="A5080">
        <f>HYPERLINK("https://mathstats.uncg.edu/sites/pauli/congruence/csg17.html#group84L17", "84L¹⁷")</f>
        <v/>
      </c>
      <c r="B5080" t="n">
        <v>17</v>
      </c>
      <c r="C5080" t="inlineStr"/>
      <c r="D5080" t="inlineStr">
        <is>
          <t>252</t>
        </is>
      </c>
      <c r="E5080" t="inlineStr">
        <is>
          <t>2</t>
        </is>
      </c>
      <c r="F5080" t="inlineStr">
        <is>
          <t>63</t>
        </is>
      </c>
      <c r="G5080" t="inlineStr">
        <is>
          <t>12</t>
        </is>
      </c>
      <c r="H5080" t="inlineStr">
        <is>
          <t>0</t>
        </is>
      </c>
      <c r="I5080" t="inlineStr">
        <is>
          <t>42², 84²</t>
        </is>
      </c>
      <c r="J5080" t="n">
        <v>4</v>
      </c>
      <c r="K5080" t="inlineStr">
        <is>
          <t>4⁹, 12¹⁸</t>
        </is>
      </c>
      <c r="L5080" t="inlineStr">
        <is>
          <t>84C⁷, 42D⁸, 84G⁸</t>
        </is>
      </c>
      <c r="M5080" t="inlineStr"/>
      <c r="N5080" t="inlineStr">
        <is>
          <t>42A², 42D⁸, 14B¹, 84C⁷, 84G⁸, 21A⁰, 2B⁰, 12D⁰, 3A⁰, 1A⁰, 42C³, 6D⁰, 7A⁰</t>
        </is>
      </c>
      <c r="O5080" t="inlineStr"/>
    </row>
    <row r="5081">
      <c r="A5081">
        <f>HYPERLINK("https://mathstats.uncg.edu/sites/pauli/congruence/csg17.html#group84M17", "84M¹⁷")</f>
        <v/>
      </c>
      <c r="B5081" t="n">
        <v>17</v>
      </c>
      <c r="C5081" t="inlineStr"/>
      <c r="D5081" t="inlineStr">
        <is>
          <t>252</t>
        </is>
      </c>
      <c r="E5081" t="inlineStr">
        <is>
          <t>2</t>
        </is>
      </c>
      <c r="F5081" t="inlineStr">
        <is>
          <t>63</t>
        </is>
      </c>
      <c r="G5081" t="inlineStr">
        <is>
          <t>12</t>
        </is>
      </c>
      <c r="H5081" t="inlineStr">
        <is>
          <t>0</t>
        </is>
      </c>
      <c r="I5081" t="inlineStr">
        <is>
          <t>42², 84²</t>
        </is>
      </c>
      <c r="J5081" t="n">
        <v>4</v>
      </c>
      <c r="K5081" t="inlineStr">
        <is>
          <t>4⁹, 12¹⁸</t>
        </is>
      </c>
      <c r="L5081" t="inlineStr">
        <is>
          <t>12N¹, 42L⁷, 84C⁷, 84C⁹</t>
        </is>
      </c>
      <c r="M5081" t="inlineStr"/>
      <c r="N5081" t="inlineStr">
        <is>
          <t>6B⁰, 14B¹, 6H⁰, 21A⁰, 2B⁰, 12N¹, 1A⁰, 84C⁹, 12C¹, 84C⁷, 42L⁷, 12D⁰, 42B¹, 3A⁰, 42C³, 6D⁰, 7A⁰</t>
        </is>
      </c>
      <c r="O5081" t="inlineStr"/>
    </row>
    <row r="5082">
      <c r="A5082">
        <f>HYPERLINK("https://mathstats.uncg.edu/sites/pauli/congruence/csg17.html#group84N17", "84N¹⁷")</f>
        <v/>
      </c>
      <c r="B5082" t="n">
        <v>17</v>
      </c>
      <c r="C5082" t="inlineStr"/>
      <c r="D5082" t="inlineStr">
        <is>
          <t>252</t>
        </is>
      </c>
      <c r="E5082" t="inlineStr">
        <is>
          <t>2</t>
        </is>
      </c>
      <c r="F5082" t="inlineStr">
        <is>
          <t>63</t>
        </is>
      </c>
      <c r="G5082" t="inlineStr">
        <is>
          <t>12</t>
        </is>
      </c>
      <c r="H5082" t="inlineStr">
        <is>
          <t>0</t>
        </is>
      </c>
      <c r="I5082" t="inlineStr">
        <is>
          <t>42², 84²</t>
        </is>
      </c>
      <c r="J5082" t="n">
        <v>4</v>
      </c>
      <c r="K5082" t="inlineStr">
        <is>
          <t>4⁹, 12¹⁸</t>
        </is>
      </c>
      <c r="L5082" t="inlineStr">
        <is>
          <t>12N¹, 42L⁷, 84C⁷, 84C⁹</t>
        </is>
      </c>
      <c r="M5082" t="inlineStr"/>
      <c r="N5082" t="inlineStr">
        <is>
          <t>6B⁰, 14B¹, 6H⁰, 21A⁰, 2B⁰, 12N¹, 1A⁰, 84C⁹, 12C¹, 84C⁷, 42L⁷, 12D⁰, 42B¹, 3A⁰, 42C³, 6D⁰, 7A⁰</t>
        </is>
      </c>
      <c r="O5082" t="inlineStr"/>
    </row>
    <row r="5083">
      <c r="A5083">
        <f>HYPERLINK("https://mathstats.uncg.edu/sites/pauli/congruence/csg17.html#group84O17", "84O¹⁷")</f>
        <v/>
      </c>
      <c r="B5083" t="n">
        <v>17</v>
      </c>
      <c r="C5083" t="inlineStr"/>
      <c r="D5083" t="inlineStr">
        <is>
          <t>256</t>
        </is>
      </c>
      <c r="E5083" t="inlineStr">
        <is>
          <t>1</t>
        </is>
      </c>
      <c r="F5083" t="inlineStr">
        <is>
          <t>128</t>
        </is>
      </c>
      <c r="G5083" t="inlineStr">
        <is>
          <t>0</t>
        </is>
      </c>
      <c r="H5083" t="inlineStr">
        <is>
          <t>4</t>
        </is>
      </c>
      <c r="I5083" t="inlineStr">
        <is>
          <t>4², 12², 28², 84²</t>
        </is>
      </c>
      <c r="J5083" t="n">
        <v>8</v>
      </c>
      <c r="K5083" t="inlineStr">
        <is>
          <t>2⁸, 4⁴, 12⁴, 24²</t>
        </is>
      </c>
      <c r="L5083" t="inlineStr">
        <is>
          <t>21F¹, 84D⁹</t>
        </is>
      </c>
      <c r="M5083" t="inlineStr"/>
      <c r="N5083" t="inlineStr">
        <is>
          <t>3B⁰, 21B¹, 84D⁹, 7B⁰, 4A⁰, 12A¹, 1A⁰, 21F¹, 28A²</t>
        </is>
      </c>
      <c r="O5083" t="inlineStr"/>
    </row>
    <row r="5084">
      <c r="A5084">
        <f>HYPERLINK("https://mathstats.uncg.edu/sites/pauli/congruence/csg17.html#group84P17", "84P¹⁷")</f>
        <v/>
      </c>
      <c r="B5084" t="n">
        <v>17</v>
      </c>
      <c r="C5084" t="inlineStr"/>
      <c r="D5084" t="inlineStr">
        <is>
          <t>256</t>
        </is>
      </c>
      <c r="E5084" t="inlineStr">
        <is>
          <t>1</t>
        </is>
      </c>
      <c r="F5084" t="inlineStr">
        <is>
          <t>128</t>
        </is>
      </c>
      <c r="G5084" t="inlineStr">
        <is>
          <t>0</t>
        </is>
      </c>
      <c r="H5084" t="inlineStr">
        <is>
          <t>4</t>
        </is>
      </c>
      <c r="I5084" t="inlineStr">
        <is>
          <t>4², 12², 28², 84²</t>
        </is>
      </c>
      <c r="J5084" t="n">
        <v>8</v>
      </c>
      <c r="K5084" t="inlineStr">
        <is>
          <t>2⁸, 4⁴, 12⁴, 24²</t>
        </is>
      </c>
      <c r="L5084" t="inlineStr">
        <is>
          <t>42D³, 84D⁹</t>
        </is>
      </c>
      <c r="M5084" t="inlineStr"/>
      <c r="N5084" t="inlineStr">
        <is>
          <t>3B⁰, 21B¹, 84D⁹, 7B⁰, 4A⁰, 12A¹, 42D³, 1A⁰, 28A²</t>
        </is>
      </c>
      <c r="O5084" t="inlineStr"/>
    </row>
    <row r="5085">
      <c r="A5085">
        <f>HYPERLINK("https://mathstats.uncg.edu/sites/pauli/congruence/csg17.html#group84Q17", "84Q¹⁷")</f>
        <v/>
      </c>
      <c r="B5085" t="n">
        <v>17</v>
      </c>
      <c r="C5085" t="inlineStr"/>
      <c r="D5085" t="inlineStr">
        <is>
          <t>256</t>
        </is>
      </c>
      <c r="E5085" t="inlineStr">
        <is>
          <t>1</t>
        </is>
      </c>
      <c r="F5085" t="inlineStr">
        <is>
          <t>128</t>
        </is>
      </c>
      <c r="G5085" t="inlineStr">
        <is>
          <t>0</t>
        </is>
      </c>
      <c r="H5085" t="inlineStr">
        <is>
          <t>4</t>
        </is>
      </c>
      <c r="I5085" t="inlineStr">
        <is>
          <t>4², 12², 28², 84²</t>
        </is>
      </c>
      <c r="J5085" t="n">
        <v>8</v>
      </c>
      <c r="K5085" t="inlineStr">
        <is>
          <t>2⁸, 4⁴, 12⁴, 24²</t>
        </is>
      </c>
      <c r="L5085" t="inlineStr">
        <is>
          <t>12I¹, 28E³, 42E³, 84D⁹</t>
        </is>
      </c>
      <c r="M5085" t="inlineStr"/>
      <c r="N5085" t="inlineStr">
        <is>
          <t>3B⁰, 2A⁰, 12I¹, 84D⁹, 6C⁰, 28E³, 1A⁰, 28A², 21B¹, 4A⁰, 7B⁰, 42E³, 12A¹, 14B⁰, 4D⁰</t>
        </is>
      </c>
      <c r="O5085" t="inlineStr"/>
    </row>
    <row r="5086">
      <c r="A5086">
        <f>HYPERLINK("https://mathstats.uncg.edu/sites/pauli/congruence/csg17.html#group87A17", "87A¹⁷")</f>
        <v/>
      </c>
      <c r="B5086" t="n">
        <v>17</v>
      </c>
      <c r="C5086" t="inlineStr"/>
      <c r="D5086" t="inlineStr">
        <is>
          <t>240</t>
        </is>
      </c>
      <c r="E5086" t="inlineStr">
        <is>
          <t>1</t>
        </is>
      </c>
      <c r="F5086" t="inlineStr">
        <is>
          <t>120</t>
        </is>
      </c>
      <c r="G5086" t="inlineStr">
        <is>
          <t>0</t>
        </is>
      </c>
      <c r="H5086" t="inlineStr">
        <is>
          <t>0</t>
        </is>
      </c>
      <c r="I5086" t="inlineStr">
        <is>
          <t>1², 3², 29², 87²</t>
        </is>
      </c>
      <c r="J5086" t="n">
        <v>8</v>
      </c>
      <c r="K5086" t="inlineStr">
        <is>
          <t>1⁴, 2², 28², 56¹</t>
        </is>
      </c>
      <c r="L5086" t="inlineStr">
        <is>
          <t>29A⁴, 87A⁹</t>
        </is>
      </c>
      <c r="M5086" t="inlineStr"/>
      <c r="N5086" t="inlineStr">
        <is>
          <t>3B⁰, 87A⁹, 29A⁴, 1A⁰, 29A²</t>
        </is>
      </c>
      <c r="O5086" t="inlineStr"/>
    </row>
    <row r="5087">
      <c r="A5087">
        <f>HYPERLINK("https://mathstats.uncg.edu/sites/pauli/congruence/csg17.html#group88A17", "88A¹⁷")</f>
        <v/>
      </c>
      <c r="B5087" t="n">
        <v>17</v>
      </c>
      <c r="C5087" t="inlineStr"/>
      <c r="D5087" t="inlineStr">
        <is>
          <t>288</t>
        </is>
      </c>
      <c r="E5087" t="inlineStr">
        <is>
          <t>1</t>
        </is>
      </c>
      <c r="F5087" t="inlineStr">
        <is>
          <t>72</t>
        </is>
      </c>
      <c r="G5087" t="inlineStr">
        <is>
          <t>0</t>
        </is>
      </c>
      <c r="H5087" t="inlineStr">
        <is>
          <t>0</t>
        </is>
      </c>
      <c r="I5087" t="inlineStr">
        <is>
          <t>1⁴, 2², 8², 11⁴, 22², 88²</t>
        </is>
      </c>
      <c r="J5087" t="n">
        <v>16</v>
      </c>
      <c r="K5087" t="inlineStr">
        <is>
          <t>1⁸, 2², 10⁴, 20¹</t>
        </is>
      </c>
      <c r="L5087" t="inlineStr">
        <is>
          <t>44B⁸, 88C⁸, 88B⁹</t>
        </is>
      </c>
      <c r="M5087" t="inlineStr"/>
      <c r="N5087" t="inlineStr">
        <is>
          <t>88C⁸, 11A¹, 88B⁹, 2B⁰, 8C⁰, 4B⁰, 22C², 1A⁰, 44B⁸, 44D⁴</t>
        </is>
      </c>
      <c r="O5087" t="inlineStr"/>
    </row>
    <row r="5088">
      <c r="A5088">
        <f>HYPERLINK("https://mathstats.uncg.edu/sites/pauli/congruence/csg17.html#group90A17", "90A¹⁷")</f>
        <v/>
      </c>
      <c r="B5088" t="n">
        <v>17</v>
      </c>
      <c r="C5088" t="inlineStr"/>
      <c r="D5088" t="inlineStr">
        <is>
          <t>216</t>
        </is>
      </c>
      <c r="E5088" t="inlineStr">
        <is>
          <t>1</t>
        </is>
      </c>
      <c r="F5088" t="inlineStr">
        <is>
          <t>18</t>
        </is>
      </c>
      <c r="G5088" t="inlineStr">
        <is>
          <t>0</t>
        </is>
      </c>
      <c r="H5088" t="inlineStr">
        <is>
          <t>0</t>
        </is>
      </c>
      <c r="I5088" t="inlineStr">
        <is>
          <t>18², 90²</t>
        </is>
      </c>
      <c r="J5088" t="n">
        <v>4</v>
      </c>
      <c r="K5088" t="inlineStr">
        <is>
          <t>1², 2², 4¹, 8¹</t>
        </is>
      </c>
      <c r="L5088" t="inlineStr">
        <is>
          <t>30E⁵, 45F⁵, 90B⁸</t>
        </is>
      </c>
      <c r="M5088" t="inlineStr"/>
      <c r="N5088" t="inlineStr">
        <is>
          <t>45A², 90B⁸, 15B⁰, 45F⁵, 9D⁰, 30E⁵, 9A⁰, 5B⁰, 3C⁰, 3A⁰, 1A⁰, 15E¹, 30C²</t>
        </is>
      </c>
      <c r="O5088" t="inlineStr"/>
    </row>
    <row r="5089">
      <c r="A5089">
        <f>HYPERLINK("https://mathstats.uncg.edu/sites/pauli/congruence/csg17.html#group90B17", "90B¹⁷")</f>
        <v/>
      </c>
      <c r="B5089" t="n">
        <v>17</v>
      </c>
      <c r="C5089" t="inlineStr"/>
      <c r="D5089" t="inlineStr">
        <is>
          <t>216</t>
        </is>
      </c>
      <c r="E5089" t="inlineStr">
        <is>
          <t>1</t>
        </is>
      </c>
      <c r="F5089" t="inlineStr">
        <is>
          <t>18</t>
        </is>
      </c>
      <c r="G5089" t="inlineStr">
        <is>
          <t>0</t>
        </is>
      </c>
      <c r="H5089" t="inlineStr">
        <is>
          <t>0</t>
        </is>
      </c>
      <c r="I5089" t="inlineStr">
        <is>
          <t>18², 90²</t>
        </is>
      </c>
      <c r="J5089" t="n">
        <v>4</v>
      </c>
      <c r="K5089" t="inlineStr">
        <is>
          <t>1², 2², 4¹, 8¹</t>
        </is>
      </c>
      <c r="L5089" t="inlineStr">
        <is>
          <t>18A³, 30H⁵, 45F⁵, 90C⁷, 90A⁹</t>
        </is>
      </c>
      <c r="M5089" t="inlineStr"/>
      <c r="N5089" t="inlineStr">
        <is>
          <t>2A⁰, 45A², 6B⁰, 45F⁵, 30C¹, 18A³, 90A⁹, 5B⁰, 10A¹, 18A², 1A⁰, 30B³, 30H⁵, 15B⁰, 9D⁰, 6B¹, 90C⁷, 9A⁰, 3C⁰, 6A¹, 3A⁰, 18A¹, 15E¹</t>
        </is>
      </c>
      <c r="O5089" t="inlineStr"/>
    </row>
    <row r="5090">
      <c r="A5090">
        <f>HYPERLINK("https://mathstats.uncg.edu/sites/pauli/congruence/csg17.html#group90C17", "90C¹⁷")</f>
        <v/>
      </c>
      <c r="B5090" t="n">
        <v>17</v>
      </c>
      <c r="C5090" t="inlineStr"/>
      <c r="D5090" t="inlineStr">
        <is>
          <t>216</t>
        </is>
      </c>
      <c r="E5090" t="inlineStr">
        <is>
          <t>1</t>
        </is>
      </c>
      <c r="F5090" t="inlineStr">
        <is>
          <t>36</t>
        </is>
      </c>
      <c r="G5090" t="inlineStr">
        <is>
          <t>0</t>
        </is>
      </c>
      <c r="H5090" t="inlineStr">
        <is>
          <t>0</t>
        </is>
      </c>
      <c r="I5090" t="inlineStr">
        <is>
          <t>18², 90²</t>
        </is>
      </c>
      <c r="J5090" t="n">
        <v>4</v>
      </c>
      <c r="K5090" t="inlineStr">
        <is>
          <t>2⁶, 8³</t>
        </is>
      </c>
      <c r="L5090" t="inlineStr">
        <is>
          <t>18B³, 30H⁵, 90D⁷</t>
        </is>
      </c>
      <c r="M5090" t="inlineStr"/>
      <c r="N5090" t="inlineStr">
        <is>
          <t>2A⁰, 6B⁰, 5B⁰, 18B¹, 10A¹, 1A⁰, 30B³, 30H⁵, 90D⁷, 15B⁰, 6B¹, 15E¹, 18B³, 3C⁰, 6A¹, 3A⁰, 30C¹</t>
        </is>
      </c>
      <c r="O5090" t="inlineStr"/>
    </row>
    <row r="5091">
      <c r="A5091">
        <f>HYPERLINK("https://mathstats.uncg.edu/sites/pauli/congruence/csg17.html#group90D17", "90D¹⁷")</f>
        <v/>
      </c>
      <c r="B5091" t="n">
        <v>17</v>
      </c>
      <c r="C5091" t="inlineStr"/>
      <c r="D5091" t="inlineStr">
        <is>
          <t>216</t>
        </is>
      </c>
      <c r="E5091" t="inlineStr">
        <is>
          <t>1</t>
        </is>
      </c>
      <c r="F5091" t="inlineStr">
        <is>
          <t>54</t>
        </is>
      </c>
      <c r="G5091" t="inlineStr">
        <is>
          <t>0</t>
        </is>
      </c>
      <c r="H5091" t="inlineStr">
        <is>
          <t>0</t>
        </is>
      </c>
      <c r="I5091" t="inlineStr">
        <is>
          <t>18², 90²</t>
        </is>
      </c>
      <c r="J5091" t="n">
        <v>4</v>
      </c>
      <c r="K5091" t="inlineStr">
        <is>
          <t>1², 2², 4¹, 6², 8¹, 24¹</t>
        </is>
      </c>
      <c r="L5091" t="inlineStr">
        <is>
          <t>90A⁴, 30C⁵, 45A⁸, 90A⁹</t>
        </is>
      </c>
      <c r="M5091" t="inlineStr"/>
      <c r="N5091" t="inlineStr">
        <is>
          <t>30A⁰, 2A⁰, 30C⁵, 45A², 90A⁴, 45A⁸, 5B⁰, 90A⁹, 10A¹, 5D⁰, 18A², 10D¹, 1A⁰, 30B³, 10B⁰, 15B⁰, 9A⁰, 15B², 6A¹, 3A⁰</t>
        </is>
      </c>
      <c r="O5091" t="inlineStr"/>
    </row>
    <row r="5092">
      <c r="A5092">
        <f>HYPERLINK("https://mathstats.uncg.edu/sites/pauli/congruence/csg17.html#group90E17", "90E¹⁷")</f>
        <v/>
      </c>
      <c r="B5092" t="n">
        <v>17</v>
      </c>
      <c r="C5092" t="inlineStr"/>
      <c r="D5092" t="inlineStr">
        <is>
          <t>216</t>
        </is>
      </c>
      <c r="E5092" t="inlineStr">
        <is>
          <t>1</t>
        </is>
      </c>
      <c r="F5092" t="inlineStr">
        <is>
          <t>54</t>
        </is>
      </c>
      <c r="G5092" t="inlineStr">
        <is>
          <t>0</t>
        </is>
      </c>
      <c r="H5092" t="inlineStr">
        <is>
          <t>0</t>
        </is>
      </c>
      <c r="I5092" t="inlineStr">
        <is>
          <t>18², 90²</t>
        </is>
      </c>
      <c r="J5092" t="n">
        <v>4</v>
      </c>
      <c r="K5092" t="inlineStr">
        <is>
          <t>1², 2², 4¹, 6², 8¹, 24¹</t>
        </is>
      </c>
      <c r="L5092" t="inlineStr">
        <is>
          <t>30F⁵, 45D⁶, 90B⁶, 90A⁹</t>
        </is>
      </c>
      <c r="M5092" t="inlineStr"/>
      <c r="N5092" t="inlineStr">
        <is>
          <t>2A⁰, 45A², 90B⁶, 45D⁶, 5B⁰, 90A⁹, 10A¹, 18A², 1A⁰, 30F⁵, 30B³, 15B⁰, 9A⁰, 6A¹, 3A⁰, 15C⁰, 30C²</t>
        </is>
      </c>
      <c r="O5092" t="inlineStr"/>
    </row>
    <row r="5093">
      <c r="A5093">
        <f>HYPERLINK("https://mathstats.uncg.edu/sites/pauli/congruence/csg17.html#group90F17", "90F¹⁷")</f>
        <v/>
      </c>
      <c r="B5093" t="n">
        <v>17</v>
      </c>
      <c r="C5093" t="inlineStr"/>
      <c r="D5093" t="inlineStr">
        <is>
          <t>216</t>
        </is>
      </c>
      <c r="E5093" t="inlineStr">
        <is>
          <t>1</t>
        </is>
      </c>
      <c r="F5093" t="inlineStr">
        <is>
          <t>54</t>
        </is>
      </c>
      <c r="G5093" t="inlineStr">
        <is>
          <t>0</t>
        </is>
      </c>
      <c r="H5093" t="inlineStr">
        <is>
          <t>0</t>
        </is>
      </c>
      <c r="I5093" t="inlineStr">
        <is>
          <t>18², 90²</t>
        </is>
      </c>
      <c r="J5093" t="n">
        <v>4</v>
      </c>
      <c r="K5093" t="inlineStr">
        <is>
          <t>1², 2², 4¹, 6², 8¹, 24¹</t>
        </is>
      </c>
      <c r="L5093" t="inlineStr">
        <is>
          <t>30G⁵, 90B⁶, 90C⁷, 45A⁸</t>
        </is>
      </c>
      <c r="M5093" t="inlineStr"/>
      <c r="N5093" t="inlineStr">
        <is>
          <t>45A², 90B⁶, 6B⁰, 45A⁸, 5B⁰, 5D⁰, 30G⁵, 1A⁰, 15B⁰, 90C⁷, 9A⁰, 15B², 3A⁰, 18A¹, 30C¹, 30C²</t>
        </is>
      </c>
      <c r="O5093" t="inlineStr"/>
    </row>
    <row r="5094">
      <c r="A5094">
        <f>HYPERLINK("https://mathstats.uncg.edu/sites/pauli/congruence/csg17.html#group90G17", "90G¹⁷")</f>
        <v/>
      </c>
      <c r="B5094" t="n">
        <v>17</v>
      </c>
      <c r="C5094" t="inlineStr"/>
      <c r="D5094" t="inlineStr">
        <is>
          <t>216</t>
        </is>
      </c>
      <c r="E5094" t="inlineStr">
        <is>
          <t>1</t>
        </is>
      </c>
      <c r="F5094" t="inlineStr">
        <is>
          <t>108</t>
        </is>
      </c>
      <c r="G5094" t="inlineStr">
        <is>
          <t>0</t>
        </is>
      </c>
      <c r="H5094" t="inlineStr">
        <is>
          <t>0</t>
        </is>
      </c>
      <c r="I5094" t="inlineStr">
        <is>
          <t>18², 90²</t>
        </is>
      </c>
      <c r="J5094" t="n">
        <v>4</v>
      </c>
      <c r="K5094" t="inlineStr">
        <is>
          <t>2⁶, 6⁴, 8³, 24²</t>
        </is>
      </c>
      <c r="L5094" t="inlineStr">
        <is>
          <t>30G⁵, 90D⁷</t>
        </is>
      </c>
      <c r="M5094" t="inlineStr"/>
      <c r="N5094" t="inlineStr">
        <is>
          <t>90D⁷, 15B⁰, 6B⁰, 15B², 5B⁰, 5D⁰, 30G⁵, 18B¹, 3A⁰, 1A⁰, 30C¹, 30C²</t>
        </is>
      </c>
      <c r="O5094" t="inlineStr"/>
    </row>
    <row r="5095">
      <c r="A5095">
        <f>HYPERLINK("https://mathstats.uncg.edu/sites/pauli/congruence/csg17.html#group90H17", "90H¹⁷")</f>
        <v/>
      </c>
      <c r="B5095" t="n">
        <v>17</v>
      </c>
      <c r="C5095" t="inlineStr"/>
      <c r="D5095" t="inlineStr">
        <is>
          <t>216</t>
        </is>
      </c>
      <c r="E5095" t="inlineStr">
        <is>
          <t>2</t>
        </is>
      </c>
      <c r="F5095" t="inlineStr">
        <is>
          <t>54</t>
        </is>
      </c>
      <c r="G5095" t="inlineStr">
        <is>
          <t>0</t>
        </is>
      </c>
      <c r="H5095" t="inlineStr">
        <is>
          <t>0</t>
        </is>
      </c>
      <c r="I5095" t="inlineStr">
        <is>
          <t>18², 90²</t>
        </is>
      </c>
      <c r="J5095" t="n">
        <v>4</v>
      </c>
      <c r="K5095" t="inlineStr">
        <is>
          <t>2⁶, 6⁴, 8³, 24²</t>
        </is>
      </c>
      <c r="L5095" t="inlineStr">
        <is>
          <t>45C⁴, 30F⁵, 90B⁸, 90A⁹</t>
        </is>
      </c>
      <c r="M5095" t="inlineStr"/>
      <c r="N5095" t="inlineStr">
        <is>
          <t>2A⁰, 45A², 5B⁰, 90A⁹, 10A¹, 18A², 1A⁰, 30F⁵, 30B³, 90B⁸, 15B⁰, 9A⁰, 45C⁴, 6A¹, 3A⁰, 15C⁰, 30C²</t>
        </is>
      </c>
      <c r="O5095" t="inlineStr"/>
    </row>
    <row r="5096">
      <c r="A5096">
        <f>HYPERLINK("https://mathstats.uncg.edu/sites/pauli/congruence/csg17.html#group90I17", "90I¹⁷")</f>
        <v/>
      </c>
      <c r="B5096" t="n">
        <v>17</v>
      </c>
      <c r="C5096" t="inlineStr"/>
      <c r="D5096" t="inlineStr">
        <is>
          <t>216</t>
        </is>
      </c>
      <c r="E5096" t="inlineStr">
        <is>
          <t>2</t>
        </is>
      </c>
      <c r="F5096" t="inlineStr">
        <is>
          <t>54</t>
        </is>
      </c>
      <c r="G5096" t="inlineStr">
        <is>
          <t>0</t>
        </is>
      </c>
      <c r="H5096" t="inlineStr">
        <is>
          <t>0</t>
        </is>
      </c>
      <c r="I5096" t="inlineStr">
        <is>
          <t>18², 90²</t>
        </is>
      </c>
      <c r="J5096" t="n">
        <v>4</v>
      </c>
      <c r="K5096" t="inlineStr">
        <is>
          <t>2⁶, 6⁴, 8³, 24²</t>
        </is>
      </c>
      <c r="L5096" t="inlineStr">
        <is>
          <t>30E⁵, 90B⁶, 45B⁷, 90B⁸</t>
        </is>
      </c>
      <c r="M5096" t="inlineStr"/>
      <c r="N5096" t="inlineStr">
        <is>
          <t>45A², 90B⁸, 90B⁶, 15B⁰, 30E⁵, 9A⁰, 45B⁷, 5B⁰, 3C⁰, 3A⁰, 1A⁰, 9B¹, 15E¹, 30C²</t>
        </is>
      </c>
      <c r="O5096" t="inlineStr"/>
    </row>
    <row r="5097">
      <c r="A5097">
        <f>HYPERLINK("https://mathstats.uncg.edu/sites/pauli/congruence/csg17.html#group90J17", "90J¹⁷")</f>
        <v/>
      </c>
      <c r="B5097" t="n">
        <v>17</v>
      </c>
      <c r="C5097" t="inlineStr"/>
      <c r="D5097" t="inlineStr">
        <is>
          <t>216</t>
        </is>
      </c>
      <c r="E5097" t="inlineStr">
        <is>
          <t>2</t>
        </is>
      </c>
      <c r="F5097" t="inlineStr">
        <is>
          <t>54</t>
        </is>
      </c>
      <c r="G5097" t="inlineStr">
        <is>
          <t>0</t>
        </is>
      </c>
      <c r="H5097" t="inlineStr">
        <is>
          <t>0</t>
        </is>
      </c>
      <c r="I5097" t="inlineStr">
        <is>
          <t>18², 90²</t>
        </is>
      </c>
      <c r="J5097" t="n">
        <v>4</v>
      </c>
      <c r="K5097" t="inlineStr">
        <is>
          <t>2⁶, 6⁴, 8³, 24²</t>
        </is>
      </c>
      <c r="L5097" t="inlineStr">
        <is>
          <t>30G⁵, 90A⁵, 45A⁸, 90B⁸</t>
        </is>
      </c>
      <c r="M5097" t="inlineStr"/>
      <c r="N5097" t="inlineStr">
        <is>
          <t>45A², 6B⁰, 45A⁸, 5B⁰, 5D⁰, 30G⁵, 90A⁵, 1A⁰, 18A⁰, 90B⁸, 15B⁰, 9A⁰, 15B², 3A⁰, 30C¹, 30C²</t>
        </is>
      </c>
      <c r="O5097" t="inlineStr"/>
    </row>
    <row r="5098">
      <c r="A5098">
        <f>HYPERLINK("https://mathstats.uncg.edu/sites/pauli/congruence/csg17.html#group90K17", "90K¹⁷")</f>
        <v/>
      </c>
      <c r="B5098" t="n">
        <v>17</v>
      </c>
      <c r="C5098" t="inlineStr"/>
      <c r="D5098" t="inlineStr">
        <is>
          <t>216</t>
        </is>
      </c>
      <c r="E5098" t="inlineStr">
        <is>
          <t>2</t>
        </is>
      </c>
      <c r="F5098" t="inlineStr">
        <is>
          <t>54</t>
        </is>
      </c>
      <c r="G5098" t="inlineStr">
        <is>
          <t>0</t>
        </is>
      </c>
      <c r="H5098" t="inlineStr">
        <is>
          <t>0</t>
        </is>
      </c>
      <c r="I5098" t="inlineStr">
        <is>
          <t>18², 90²</t>
        </is>
      </c>
      <c r="J5098" t="n">
        <v>4</v>
      </c>
      <c r="K5098" t="inlineStr">
        <is>
          <t>2⁶, 6⁴, 8³, 24²</t>
        </is>
      </c>
      <c r="L5098" t="inlineStr">
        <is>
          <t>18C³, 30H⁵, 90A⁵, 45B⁷, 90A⁹</t>
        </is>
      </c>
      <c r="M5098" t="inlineStr"/>
      <c r="N5098" t="inlineStr">
        <is>
          <t>2A⁰, 45A², 6B⁰, 30C¹, 5B⁰, 90A⁹, 10A¹, 90A⁵, 18A², 1A⁰, 9B¹, 18A⁰, 30B³, 30H⁵, 15B⁰, 6B¹, 9A⁰, 18C³, 45B⁷, 3C⁰, 6A¹, 3A⁰, 15E¹</t>
        </is>
      </c>
      <c r="O5098" t="inlineStr"/>
    </row>
    <row r="5099">
      <c r="A5099">
        <f>HYPERLINK("https://mathstats.uncg.edu/sites/pauli/congruence/csg17.html#group90L17", "90L¹⁷")</f>
        <v/>
      </c>
      <c r="B5099" t="n">
        <v>17</v>
      </c>
      <c r="C5099" t="inlineStr"/>
      <c r="D5099" t="inlineStr">
        <is>
          <t>240</t>
        </is>
      </c>
      <c r="E5099" t="inlineStr">
        <is>
          <t>1</t>
        </is>
      </c>
      <c r="F5099" t="inlineStr">
        <is>
          <t>40</t>
        </is>
      </c>
      <c r="G5099" t="inlineStr">
        <is>
          <t>0</t>
        </is>
      </c>
      <c r="H5099" t="inlineStr">
        <is>
          <t>0</t>
        </is>
      </c>
      <c r="I5099" t="inlineStr">
        <is>
          <t>10⁶, 90²</t>
        </is>
      </c>
      <c r="J5099" t="n">
        <v>8</v>
      </c>
      <c r="K5099" t="inlineStr">
        <is>
          <t>2², 4⁵, 8²</t>
        </is>
      </c>
      <c r="L5099" t="inlineStr">
        <is>
          <t>30I⁵, 45C⁷</t>
        </is>
      </c>
      <c r="M5099" t="inlineStr"/>
      <c r="N5099" t="inlineStr">
        <is>
          <t>3B⁰, 30I⁵, 10D⁰, 5C⁰, 9B⁰, 45C⁷, 15C², 1A⁰</t>
        </is>
      </c>
      <c r="O5099" t="inlineStr"/>
    </row>
    <row r="5100">
      <c r="A5100">
        <f>HYPERLINK("https://mathstats.uncg.edu/sites/pauli/congruence/csg17.html#group90M17", "90M¹⁷")</f>
        <v/>
      </c>
      <c r="B5100" t="n">
        <v>17</v>
      </c>
      <c r="C5100" t="inlineStr"/>
      <c r="D5100" t="inlineStr">
        <is>
          <t>240</t>
        </is>
      </c>
      <c r="E5100" t="inlineStr">
        <is>
          <t>1</t>
        </is>
      </c>
      <c r="F5100" t="inlineStr">
        <is>
          <t>40</t>
        </is>
      </c>
      <c r="G5100" t="inlineStr">
        <is>
          <t>0</t>
        </is>
      </c>
      <c r="H5100" t="inlineStr">
        <is>
          <t>0</t>
        </is>
      </c>
      <c r="I5100" t="inlineStr">
        <is>
          <t>10⁶, 90²</t>
        </is>
      </c>
      <c r="J5100" t="n">
        <v>8</v>
      </c>
      <c r="K5100" t="inlineStr">
        <is>
          <t>2², 4⁵, 8²</t>
        </is>
      </c>
      <c r="L5100" t="inlineStr">
        <is>
          <t>18C¹, 30J⁵, 45C⁷</t>
        </is>
      </c>
      <c r="M5100" t="inlineStr"/>
      <c r="N5100" t="inlineStr">
        <is>
          <t>30J⁵, 2A⁰, 3B⁰, 18C¹, 6C⁰, 9B⁰, 10C¹, 45C⁷, 15C², 1A⁰, 5C⁰</t>
        </is>
      </c>
      <c r="O5100" t="inlineStr"/>
    </row>
    <row r="5101">
      <c r="A5101">
        <f>HYPERLINK("https://mathstats.uncg.edu/sites/pauli/congruence/csg17.html#group90N17", "90N¹⁷")</f>
        <v/>
      </c>
      <c r="B5101" t="n">
        <v>17</v>
      </c>
      <c r="C5101" t="inlineStr"/>
      <c r="D5101" t="inlineStr">
        <is>
          <t>240</t>
        </is>
      </c>
      <c r="E5101" t="inlineStr">
        <is>
          <t>1</t>
        </is>
      </c>
      <c r="F5101" t="inlineStr">
        <is>
          <t>40</t>
        </is>
      </c>
      <c r="G5101" t="inlineStr">
        <is>
          <t>0</t>
        </is>
      </c>
      <c r="H5101" t="inlineStr">
        <is>
          <t>6</t>
        </is>
      </c>
      <c r="I5101" t="inlineStr">
        <is>
          <t>30², 90²</t>
        </is>
      </c>
      <c r="J5101" t="n">
        <v>4</v>
      </c>
      <c r="K5101" t="inlineStr">
        <is>
          <t>2², 4⁵, 8²</t>
        </is>
      </c>
      <c r="L5101" t="inlineStr">
        <is>
          <t>30I⁵, 45B⁸</t>
        </is>
      </c>
      <c r="M5101" t="inlineStr"/>
      <c r="N5101" t="inlineStr">
        <is>
          <t>3B⁰, 30I⁵, 10D⁰, 45B⁸, 1A⁰, 15C², 9C⁰, 5C⁰</t>
        </is>
      </c>
      <c r="O5101" t="inlineStr"/>
    </row>
    <row r="5102">
      <c r="A5102">
        <f>HYPERLINK("https://mathstats.uncg.edu/sites/pauli/congruence/csg17.html#group90O17", "90O¹⁷")</f>
        <v/>
      </c>
      <c r="B5102" t="n">
        <v>17</v>
      </c>
      <c r="C5102" t="inlineStr"/>
      <c r="D5102" t="inlineStr">
        <is>
          <t>240</t>
        </is>
      </c>
      <c r="E5102" t="inlineStr">
        <is>
          <t>1</t>
        </is>
      </c>
      <c r="F5102" t="inlineStr">
        <is>
          <t>40</t>
        </is>
      </c>
      <c r="G5102" t="inlineStr">
        <is>
          <t>0</t>
        </is>
      </c>
      <c r="H5102" t="inlineStr">
        <is>
          <t>6</t>
        </is>
      </c>
      <c r="I5102" t="inlineStr">
        <is>
          <t>30², 90²</t>
        </is>
      </c>
      <c r="J5102" t="n">
        <v>4</v>
      </c>
      <c r="K5102" t="inlineStr">
        <is>
          <t>2², 4⁵, 8²</t>
        </is>
      </c>
      <c r="L5102" t="inlineStr">
        <is>
          <t>18B⁰, 30J⁵, 45B⁸</t>
        </is>
      </c>
      <c r="M5102" t="inlineStr"/>
      <c r="N5102" t="inlineStr">
        <is>
          <t>30J⁵, 2A⁰, 3B⁰, 18B⁰, 45B⁸, 6C⁰, 10C¹, 1A⁰, 15C², 9C⁰, 5C⁰</t>
        </is>
      </c>
      <c r="O5102" t="inlineStr"/>
    </row>
    <row r="5103">
      <c r="A5103">
        <f>HYPERLINK("https://mathstats.uncg.edu/sites/pauli/congruence/csg17.html#group90P17", "90P¹⁷")</f>
        <v/>
      </c>
      <c r="B5103" t="n">
        <v>17</v>
      </c>
      <c r="C5103" t="inlineStr"/>
      <c r="D5103" t="inlineStr">
        <is>
          <t>270</t>
        </is>
      </c>
      <c r="E5103" t="inlineStr">
        <is>
          <t>1</t>
        </is>
      </c>
      <c r="F5103" t="inlineStr">
        <is>
          <t>135</t>
        </is>
      </c>
      <c r="G5103" t="inlineStr">
        <is>
          <t>20</t>
        </is>
      </c>
      <c r="H5103" t="inlineStr">
        <is>
          <t>0</t>
        </is>
      </c>
      <c r="I5103" t="inlineStr">
        <is>
          <t>90³</t>
        </is>
      </c>
      <c r="J5103" t="n">
        <v>3</v>
      </c>
      <c r="K5103" t="inlineStr">
        <is>
          <t>1¹, 2², 4⁴, 6¹, 8³, 12¹, 24³</t>
        </is>
      </c>
      <c r="L5103" t="inlineStr">
        <is>
          <t>30F⁴, 45D⁷</t>
        </is>
      </c>
      <c r="M5103" t="inlineStr"/>
      <c r="N5103" t="inlineStr">
        <is>
          <t>5A⁰, 30F⁴, 15A¹, 9A⁰, 15F¹, 5E⁰, 45A³, 3A⁰, 10E¹, 1A⁰, 45D⁷, 15A⁰</t>
        </is>
      </c>
      <c r="O5103" t="inlineStr"/>
    </row>
    <row r="5104">
      <c r="A5104">
        <f>HYPERLINK("https://mathstats.uncg.edu/sites/pauli/congruence/csg17.html#group90Q17", "90Q¹⁷")</f>
        <v/>
      </c>
      <c r="B5104" t="n">
        <v>17</v>
      </c>
      <c r="C5104" t="inlineStr"/>
      <c r="D5104" t="inlineStr">
        <is>
          <t>288</t>
        </is>
      </c>
      <c r="E5104" t="inlineStr">
        <is>
          <t>1</t>
        </is>
      </c>
      <c r="F5104" t="inlineStr">
        <is>
          <t>24</t>
        </is>
      </c>
      <c r="G5104" t="inlineStr">
        <is>
          <t>0</t>
        </is>
      </c>
      <c r="H5104" t="inlineStr">
        <is>
          <t>0</t>
        </is>
      </c>
      <c r="I5104" t="inlineStr">
        <is>
          <t>2⁶, 10⁶, 18², 90²</t>
        </is>
      </c>
      <c r="J5104" t="n">
        <v>16</v>
      </c>
      <c r="K5104" t="inlineStr">
        <is>
          <t>1⁴, 2², 4², 8¹</t>
        </is>
      </c>
      <c r="L5104" t="inlineStr">
        <is>
          <t>30M⁵, 45H⁵</t>
        </is>
      </c>
      <c r="M5104" t="inlineStr"/>
      <c r="N5104" t="inlineStr">
        <is>
          <t>15C¹, 3B⁰, 30M⁵, 5B⁰, 9B⁰, 45H⁵, 15G¹, 5D⁰, 45D³, 1A⁰</t>
        </is>
      </c>
      <c r="O5104" t="inlineStr"/>
    </row>
    <row r="5105">
      <c r="A5105">
        <f>HYPERLINK("https://mathstats.uncg.edu/sites/pauli/congruence/csg17.html#group90R17", "90R¹⁷")</f>
        <v/>
      </c>
      <c r="B5105" t="n">
        <v>17</v>
      </c>
      <c r="C5105" t="inlineStr"/>
      <c r="D5105" t="inlineStr">
        <is>
          <t>288</t>
        </is>
      </c>
      <c r="E5105" t="inlineStr">
        <is>
          <t>1</t>
        </is>
      </c>
      <c r="F5105" t="inlineStr">
        <is>
          <t>24</t>
        </is>
      </c>
      <c r="G5105" t="inlineStr">
        <is>
          <t>0</t>
        </is>
      </c>
      <c r="H5105" t="inlineStr">
        <is>
          <t>0</t>
        </is>
      </c>
      <c r="I5105" t="inlineStr">
        <is>
          <t>2⁶, 10⁶, 18², 90²</t>
        </is>
      </c>
      <c r="J5105" t="n">
        <v>16</v>
      </c>
      <c r="K5105" t="inlineStr">
        <is>
          <t>1⁴, 2², 4², 8¹</t>
        </is>
      </c>
      <c r="L5105" t="inlineStr">
        <is>
          <t>30N⁵, 45H⁵, 90D⁹, 90E⁹</t>
        </is>
      </c>
      <c r="M5105" t="inlineStr"/>
      <c r="N5105" t="inlineStr">
        <is>
          <t>3B⁰, 2A⁰, 6C⁰, 30N⁵, 5B⁰, 9B⁰, 45D³, 15G¹, 90E⁹, 5D⁰, 10A¹, 30G³, 10D¹, 1A⁰, 10B⁰, 15C¹, 30F³, 18C¹, 90D⁹, 45H⁵</t>
        </is>
      </c>
      <c r="O5105" t="inlineStr"/>
    </row>
    <row r="5106">
      <c r="A5106">
        <f>HYPERLINK("https://mathstats.uncg.edu/sites/pauli/congruence/csg17.html#group90S17", "90S¹⁷")</f>
        <v/>
      </c>
      <c r="B5106" t="n">
        <v>17</v>
      </c>
      <c r="C5106" t="inlineStr"/>
      <c r="D5106" t="inlineStr">
        <is>
          <t>288</t>
        </is>
      </c>
      <c r="E5106" t="inlineStr">
        <is>
          <t>1</t>
        </is>
      </c>
      <c r="F5106" t="inlineStr">
        <is>
          <t>48</t>
        </is>
      </c>
      <c r="G5106" t="inlineStr">
        <is>
          <t>0</t>
        </is>
      </c>
      <c r="H5106" t="inlineStr">
        <is>
          <t>0</t>
        </is>
      </c>
      <c r="I5106" t="inlineStr">
        <is>
          <t>2⁶, 10⁶, 18², 90²</t>
        </is>
      </c>
      <c r="J5106" t="n">
        <v>16</v>
      </c>
      <c r="K5106" t="inlineStr">
        <is>
          <t>2⁸, 8⁴</t>
        </is>
      </c>
      <c r="L5106" t="inlineStr">
        <is>
          <t>30N⁵, 90F⁹</t>
        </is>
      </c>
      <c r="M5106" t="inlineStr"/>
      <c r="N5106" t="inlineStr">
        <is>
          <t>3B⁰, 2A⁰, 90F⁹, 6C⁰, 30N⁵, 5B⁰, 10A¹, 15G¹, 5D⁰, 30G³, 10D¹, 1A⁰, 10B⁰, 18C⁰, 15C¹, 30F³</t>
        </is>
      </c>
      <c r="O5106" t="inlineStr"/>
    </row>
    <row r="5107">
      <c r="A5107">
        <f>HYPERLINK("https://mathstats.uncg.edu/sites/pauli/congruence/csg17.html#group93A17", "93A¹⁷")</f>
        <v/>
      </c>
      <c r="B5107" t="n">
        <v>17</v>
      </c>
      <c r="C5107" t="inlineStr"/>
      <c r="D5107" t="inlineStr">
        <is>
          <t>256</t>
        </is>
      </c>
      <c r="E5107" t="inlineStr">
        <is>
          <t>1</t>
        </is>
      </c>
      <c r="F5107" t="inlineStr">
        <is>
          <t>128</t>
        </is>
      </c>
      <c r="G5107" t="inlineStr">
        <is>
          <t>0</t>
        </is>
      </c>
      <c r="H5107" t="inlineStr">
        <is>
          <t>4</t>
        </is>
      </c>
      <c r="I5107" t="inlineStr">
        <is>
          <t>1², 3², 31², 93²</t>
        </is>
      </c>
      <c r="J5107" t="n">
        <v>8</v>
      </c>
      <c r="K5107" t="inlineStr">
        <is>
          <t>1⁴, 2², 30², 60¹</t>
        </is>
      </c>
      <c r="L5107" t="inlineStr">
        <is>
          <t>93A⁹</t>
        </is>
      </c>
      <c r="M5107" t="inlineStr"/>
      <c r="N5107" t="inlineStr">
        <is>
          <t>3B⁰, 31A², 1A⁰, 93A⁹</t>
        </is>
      </c>
      <c r="O5107" t="inlineStr"/>
    </row>
    <row r="5108">
      <c r="A5108">
        <f>HYPERLINK("https://mathstats.uncg.edu/sites/pauli/congruence/csg17.html#group95A17", "95A¹⁷")</f>
        <v/>
      </c>
      <c r="B5108" t="n">
        <v>17</v>
      </c>
      <c r="C5108" t="inlineStr"/>
      <c r="D5108" t="inlineStr">
        <is>
          <t>240</t>
        </is>
      </c>
      <c r="E5108" t="inlineStr">
        <is>
          <t>1</t>
        </is>
      </c>
      <c r="F5108" t="inlineStr">
        <is>
          <t>120</t>
        </is>
      </c>
      <c r="G5108" t="inlineStr">
        <is>
          <t>0</t>
        </is>
      </c>
      <c r="H5108" t="inlineStr">
        <is>
          <t>0</t>
        </is>
      </c>
      <c r="I5108" t="inlineStr">
        <is>
          <t>1², 5², 19², 95²</t>
        </is>
      </c>
      <c r="J5108" t="n">
        <v>8</v>
      </c>
      <c r="K5108" t="inlineStr">
        <is>
          <t>1⁴, 4², 18², 72¹</t>
        </is>
      </c>
      <c r="L5108" t="inlineStr">
        <is>
          <t>5D⁰, 95A⁹</t>
        </is>
      </c>
      <c r="M5108" t="inlineStr"/>
      <c r="N5108" t="inlineStr">
        <is>
          <t>5B⁰, 19A¹, 5D⁰, 95A⁹, 1A⁰</t>
        </is>
      </c>
      <c r="O5108" t="inlineStr"/>
    </row>
    <row r="5109">
      <c r="A5109">
        <f>HYPERLINK("https://mathstats.uncg.edu/sites/pauli/congruence/csg17.html#group96A17", "96A¹⁷")</f>
        <v/>
      </c>
      <c r="B5109" t="n">
        <v>17</v>
      </c>
      <c r="C5109" t="inlineStr"/>
      <c r="D5109" t="inlineStr">
        <is>
          <t>288</t>
        </is>
      </c>
      <c r="E5109" t="inlineStr">
        <is>
          <t>1</t>
        </is>
      </c>
      <c r="F5109" t="inlineStr">
        <is>
          <t>12</t>
        </is>
      </c>
      <c r="G5109" t="inlineStr">
        <is>
          <t>0</t>
        </is>
      </c>
      <c r="H5109" t="inlineStr">
        <is>
          <t>0</t>
        </is>
      </c>
      <c r="I5109" t="inlineStr">
        <is>
          <t>3⁸, 6⁴, 24², 96²</t>
        </is>
      </c>
      <c r="J5109" t="n">
        <v>16</v>
      </c>
      <c r="K5109" t="inlineStr">
        <is>
          <t>1⁴, 2², 4¹</t>
        </is>
      </c>
      <c r="L5109" t="inlineStr">
        <is>
          <t>32E¹, 48E⁸, 96A⁸, 96A⁹</t>
        </is>
      </c>
      <c r="M5109" t="inlineStr"/>
      <c r="N5109" t="inlineStr">
        <is>
          <t>24F⁴, 96A⁹, 8C⁰, 2B⁰, 8I⁰, 4B⁰, 1A⁰, 48B⁴, 16H⁰, 24B², 32A¹, 48E⁸, 16C⁰, 16D⁰, 32A⁰, 12B¹, 96A⁸, 3A⁰, 32E¹, 6D⁰, 48D⁴</t>
        </is>
      </c>
      <c r="O5109" t="inlineStr"/>
    </row>
    <row r="5110">
      <c r="A5110">
        <f>HYPERLINK("https://mathstats.uncg.edu/sites/pauli/congruence/csg17.html#group96B17", "96B¹⁷")</f>
        <v/>
      </c>
      <c r="B5110" t="n">
        <v>17</v>
      </c>
      <c r="C5110" t="inlineStr"/>
      <c r="D5110" t="inlineStr">
        <is>
          <t>288</t>
        </is>
      </c>
      <c r="E5110" t="inlineStr">
        <is>
          <t>1</t>
        </is>
      </c>
      <c r="F5110" t="inlineStr">
        <is>
          <t>12</t>
        </is>
      </c>
      <c r="G5110" t="inlineStr">
        <is>
          <t>24</t>
        </is>
      </c>
      <c r="H5110" t="inlineStr">
        <is>
          <t>0</t>
        </is>
      </c>
      <c r="I5110" t="inlineStr">
        <is>
          <t>48², 96²</t>
        </is>
      </c>
      <c r="J5110" t="n">
        <v>4</v>
      </c>
      <c r="K5110" t="inlineStr">
        <is>
          <t>2², 4²</t>
        </is>
      </c>
      <c r="L5110" t="inlineStr">
        <is>
          <t>32E⁵, 48E⁵</t>
        </is>
      </c>
      <c r="M5110" t="inlineStr"/>
      <c r="N5110" t="inlineStr">
        <is>
          <t>48E⁵, 12C⁰, 32E⁵, 8D⁰, 4C⁰, 8B⁰, 16B¹, 48A⁰, 2B⁰, 24L², 1A⁰, 8H⁰, 48C³, 16B⁰, 12A⁰, 24A⁰, 4A⁰, 24C¹, 12J¹, 4F⁰, 16F¹, 3A⁰, 6D⁰</t>
        </is>
      </c>
      <c r="O5110" t="inlineStr"/>
    </row>
    <row r="5111">
      <c r="A5111">
        <f>HYPERLINK("https://mathstats.uncg.edu/sites/pauli/congruence/csg17.html#group96C17", "96C¹⁷")</f>
        <v/>
      </c>
      <c r="B5111" t="n">
        <v>17</v>
      </c>
      <c r="C5111" t="inlineStr"/>
      <c r="D5111" t="inlineStr">
        <is>
          <t>288</t>
        </is>
      </c>
      <c r="E5111" t="inlineStr">
        <is>
          <t>1</t>
        </is>
      </c>
      <c r="F5111" t="inlineStr">
        <is>
          <t>12</t>
        </is>
      </c>
      <c r="G5111" t="inlineStr">
        <is>
          <t>24</t>
        </is>
      </c>
      <c r="H5111" t="inlineStr">
        <is>
          <t>0</t>
        </is>
      </c>
      <c r="I5111" t="inlineStr">
        <is>
          <t>48², 96²</t>
        </is>
      </c>
      <c r="J5111" t="n">
        <v>4</v>
      </c>
      <c r="K5111" t="inlineStr">
        <is>
          <t>1², 2¹, 4²</t>
        </is>
      </c>
      <c r="L5111" t="inlineStr">
        <is>
          <t>32F⁵, 48E⁵</t>
        </is>
      </c>
      <c r="M5111" t="inlineStr"/>
      <c r="N5111" t="inlineStr">
        <is>
          <t>12C⁰, 4C⁰, 2B⁰, 1A⁰, 16B⁰, 24A⁰, 16F¹, 3A⁰, 32F⁵, 48E⁵, 8D⁰, 8B⁰, 16B¹, 48A⁰, 24L², 8H⁰, 48C³, 12A⁰, 4A⁰, 24C¹, 12J¹, 4F⁰, 6D⁰</t>
        </is>
      </c>
      <c r="O5111" t="inlineStr"/>
    </row>
    <row r="5112">
      <c r="A5112">
        <f>HYPERLINK("https://mathstats.uncg.edu/sites/pauli/congruence/csg17.html#group96D17", "96D¹⁷")</f>
        <v/>
      </c>
      <c r="B5112" t="n">
        <v>17</v>
      </c>
      <c r="C5112" t="inlineStr"/>
      <c r="D5112" t="inlineStr">
        <is>
          <t>288</t>
        </is>
      </c>
      <c r="E5112" t="inlineStr">
        <is>
          <t>1</t>
        </is>
      </c>
      <c r="F5112" t="inlineStr">
        <is>
          <t>12</t>
        </is>
      </c>
      <c r="G5112" t="inlineStr">
        <is>
          <t>24</t>
        </is>
      </c>
      <c r="H5112" t="inlineStr">
        <is>
          <t>0</t>
        </is>
      </c>
      <c r="I5112" t="inlineStr">
        <is>
          <t>48², 96²</t>
        </is>
      </c>
      <c r="J5112" t="n">
        <v>4</v>
      </c>
      <c r="K5112" t="inlineStr">
        <is>
          <t>2⁶</t>
        </is>
      </c>
      <c r="L5112" t="inlineStr">
        <is>
          <t>96A³, 32G⁵, 48E⁵, 96B⁹</t>
        </is>
      </c>
      <c r="M5112" t="inlineStr"/>
      <c r="N5112" t="inlineStr">
        <is>
          <t>12C⁰, 96B⁹, 4C⁰, 2B⁰, 32G⁵, 1A⁰, 16B⁰, 24A⁰, 32D³, 32B¹, 16F¹, 3A⁰, 96A³, 48E⁵, 8D⁰, 8B⁰, 16B¹, 48A⁰, 24L², 8H⁰, 48C³, 12A⁰, 4A⁰, 24C¹, 12J¹, 4F⁰, 6D⁰</t>
        </is>
      </c>
      <c r="O5112" t="inlineStr"/>
    </row>
    <row r="5113">
      <c r="A5113">
        <f>HYPERLINK("https://mathstats.uncg.edu/sites/pauli/congruence/csg17.html#group96E17", "96E¹⁷")</f>
        <v/>
      </c>
      <c r="B5113" t="n">
        <v>17</v>
      </c>
      <c r="C5113" t="inlineStr"/>
      <c r="D5113" t="inlineStr">
        <is>
          <t>288</t>
        </is>
      </c>
      <c r="E5113" t="inlineStr">
        <is>
          <t>1</t>
        </is>
      </c>
      <c r="F5113" t="inlineStr">
        <is>
          <t>24</t>
        </is>
      </c>
      <c r="G5113" t="inlineStr">
        <is>
          <t>12</t>
        </is>
      </c>
      <c r="H5113" t="inlineStr">
        <is>
          <t>0</t>
        </is>
      </c>
      <c r="I5113" t="inlineStr">
        <is>
          <t>12⁸, 96²</t>
        </is>
      </c>
      <c r="J5113" t="n">
        <v>10</v>
      </c>
      <c r="K5113" t="inlineStr">
        <is>
          <t>1², 2¹, 4¹, 8²</t>
        </is>
      </c>
      <c r="L5113" t="inlineStr">
        <is>
          <t>32P³, 48P⁷</t>
        </is>
      </c>
      <c r="M5113" t="inlineStr"/>
      <c r="N5113" t="inlineStr">
        <is>
          <t>12C⁰, 16I¹, 4C⁰, 48P⁷, 2B⁰, 1A⁰, 16E⁰, 48E⁴, 24A⁰, 48D³, 3A⁰, 8D⁰, 8B⁰, 24L², 8H⁰, 12A⁰, 4A⁰, 16C¹, 24C¹, 12J¹, 4F⁰, 32P³, 6D⁰</t>
        </is>
      </c>
      <c r="O5113" t="inlineStr"/>
    </row>
    <row r="5114">
      <c r="A5114">
        <f>HYPERLINK("https://mathstats.uncg.edu/sites/pauli/congruence/csg17.html#group96F17", "96F¹⁷")</f>
        <v/>
      </c>
      <c r="B5114" t="n">
        <v>17</v>
      </c>
      <c r="C5114" t="inlineStr"/>
      <c r="D5114" t="inlineStr">
        <is>
          <t>288</t>
        </is>
      </c>
      <c r="E5114" t="inlineStr">
        <is>
          <t>1</t>
        </is>
      </c>
      <c r="F5114" t="inlineStr">
        <is>
          <t>24</t>
        </is>
      </c>
      <c r="G5114" t="inlineStr">
        <is>
          <t>12</t>
        </is>
      </c>
      <c r="H5114" t="inlineStr">
        <is>
          <t>0</t>
        </is>
      </c>
      <c r="I5114" t="inlineStr">
        <is>
          <t>12⁸, 96²</t>
        </is>
      </c>
      <c r="J5114" t="n">
        <v>10</v>
      </c>
      <c r="K5114" t="inlineStr">
        <is>
          <t>2⁴, 8²</t>
        </is>
      </c>
      <c r="L5114" t="inlineStr">
        <is>
          <t>32Q³, 48P⁷, 96C⁸, 96D⁸</t>
        </is>
      </c>
      <c r="M5114" t="inlineStr"/>
      <c r="N5114" t="inlineStr">
        <is>
          <t>12C⁰, 16I¹, 8D⁰, 4C⁰, 48P⁷, 8B⁰, 96D⁸, 32D¹, 2B⁰, 24L², 1A⁰, 32Q³, 8H⁰, 16E⁰, 12A⁰, 48E⁴, 32C¹, 24A⁰, 4A⁰, 96C⁸, 16C¹, 24C¹, 12J¹, 48D³, 4F⁰, 3A⁰, 6D⁰</t>
        </is>
      </c>
      <c r="O5114" t="inlineStr"/>
    </row>
    <row r="5115">
      <c r="A5115">
        <f>HYPERLINK("https://mathstats.uncg.edu/sites/pauli/congruence/csg17.html#group96G17", "96G¹⁷")</f>
        <v/>
      </c>
      <c r="B5115" t="n">
        <v>17</v>
      </c>
      <c r="C5115" t="inlineStr"/>
      <c r="D5115" t="inlineStr">
        <is>
          <t>288</t>
        </is>
      </c>
      <c r="E5115" t="inlineStr">
        <is>
          <t>1</t>
        </is>
      </c>
      <c r="F5115" t="inlineStr">
        <is>
          <t>24</t>
        </is>
      </c>
      <c r="G5115" t="inlineStr">
        <is>
          <t>24</t>
        </is>
      </c>
      <c r="H5115" t="inlineStr">
        <is>
          <t>0</t>
        </is>
      </c>
      <c r="I5115" t="inlineStr">
        <is>
          <t>48², 96²</t>
        </is>
      </c>
      <c r="J5115" t="n">
        <v>4</v>
      </c>
      <c r="K5115" t="inlineStr">
        <is>
          <t>2⁸, 8¹</t>
        </is>
      </c>
      <c r="L5115" t="inlineStr">
        <is>
          <t>32J⁵, 48F⁵, 96C⁹, 96D⁹</t>
        </is>
      </c>
      <c r="M5115" t="inlineStr"/>
      <c r="N5115" t="inlineStr">
        <is>
          <t>48F⁵, 12C⁰, 32J⁵, 4C⁰, 8B⁰, 48A⁰, 8L⁰, 2B⁰, 32F³, 16J¹, 1A⁰, 16B⁰, 16D¹, 48E³, 24A⁰, 96D⁹, 24M², 32E³, 96C⁹, 3A⁰, 6D⁰</t>
        </is>
      </c>
      <c r="O5115" t="inlineStr"/>
    </row>
    <row r="5116">
      <c r="A5116">
        <f>HYPERLINK("https://mathstats.uncg.edu/sites/pauli/congruence/csg17.html#group96H17", "96H¹⁷")</f>
        <v/>
      </c>
      <c r="B5116" t="n">
        <v>17</v>
      </c>
      <c r="C5116" t="inlineStr"/>
      <c r="D5116" t="inlineStr">
        <is>
          <t>288</t>
        </is>
      </c>
      <c r="E5116" t="inlineStr">
        <is>
          <t>1</t>
        </is>
      </c>
      <c r="F5116" t="inlineStr">
        <is>
          <t>24</t>
        </is>
      </c>
      <c r="G5116" t="inlineStr">
        <is>
          <t>24</t>
        </is>
      </c>
      <c r="H5116" t="inlineStr">
        <is>
          <t>0</t>
        </is>
      </c>
      <c r="I5116" t="inlineStr">
        <is>
          <t>48², 96²</t>
        </is>
      </c>
      <c r="J5116" t="n">
        <v>4</v>
      </c>
      <c r="K5116" t="inlineStr">
        <is>
          <t>2⁸, 8¹</t>
        </is>
      </c>
      <c r="L5116" t="inlineStr">
        <is>
          <t>32K⁵, 48F⁵, 96F⁹, 96E⁹</t>
        </is>
      </c>
      <c r="M5116" t="inlineStr"/>
      <c r="N5116" t="inlineStr">
        <is>
          <t>48F⁵, 12C⁰, 32K⁵, 96F⁹, 4C⁰, 8B⁰, 8L⁰, 2B⁰, 48A⁰, 32G³, 16J¹, 1A⁰, 96E⁹, 16B⁰, 16D¹, 48E³, 24A⁰, 6D⁰, 24M², 3A⁰, 32H³</t>
        </is>
      </c>
      <c r="O5116" t="inlineStr"/>
    </row>
    <row r="5117">
      <c r="A5117">
        <f>HYPERLINK("https://mathstats.uncg.edu/sites/pauli/congruence/csg17.html#group96I17", "96I¹⁷")</f>
        <v/>
      </c>
      <c r="B5117" t="n">
        <v>17</v>
      </c>
      <c r="C5117" t="inlineStr"/>
      <c r="D5117" t="inlineStr">
        <is>
          <t>288</t>
        </is>
      </c>
      <c r="E5117" t="inlineStr">
        <is>
          <t>1</t>
        </is>
      </c>
      <c r="F5117" t="inlineStr">
        <is>
          <t>36</t>
        </is>
      </c>
      <c r="G5117" t="inlineStr">
        <is>
          <t>0</t>
        </is>
      </c>
      <c r="H5117" t="inlineStr">
        <is>
          <t>0</t>
        </is>
      </c>
      <c r="I5117" t="inlineStr">
        <is>
          <t>3⁸, 6⁴, 24², 96²</t>
        </is>
      </c>
      <c r="J5117" t="n">
        <v>16</v>
      </c>
      <c r="K5117" t="inlineStr">
        <is>
          <t>1⁴, 2⁶, 4³, 8¹</t>
        </is>
      </c>
      <c r="L5117" t="inlineStr">
        <is>
          <t>48R⁷, 96G⁹</t>
        </is>
      </c>
      <c r="M5117" t="inlineStr"/>
      <c r="N5117" t="inlineStr">
        <is>
          <t>12K¹, 48F⁴, 6G⁰, 8C⁰, 2B⁰, 4B⁰, 1A⁰, 96G⁹, 48B⁴, 24B², 48R⁷, 16C⁰, 24D², 3C⁰, 12B¹, 12D⁰, 3A⁰, 24L³, 6D⁰</t>
        </is>
      </c>
      <c r="O5117" t="inlineStr"/>
    </row>
    <row r="5118">
      <c r="A5118">
        <f>HYPERLINK("https://mathstats.uncg.edu/sites/pauli/congruence/csg17.html#group96J17", "96J¹⁷")</f>
        <v/>
      </c>
      <c r="B5118" t="n">
        <v>17</v>
      </c>
      <c r="C5118" t="inlineStr"/>
      <c r="D5118" t="inlineStr">
        <is>
          <t>288</t>
        </is>
      </c>
      <c r="E5118" t="inlineStr">
        <is>
          <t>1</t>
        </is>
      </c>
      <c r="F5118" t="inlineStr">
        <is>
          <t>36</t>
        </is>
      </c>
      <c r="G5118" t="inlineStr">
        <is>
          <t>0</t>
        </is>
      </c>
      <c r="H5118" t="inlineStr">
        <is>
          <t>0</t>
        </is>
      </c>
      <c r="I5118" t="inlineStr">
        <is>
          <t>3⁸, 6⁴, 24², 96²</t>
        </is>
      </c>
      <c r="J5118" t="n">
        <v>16</v>
      </c>
      <c r="K5118" t="inlineStr">
        <is>
          <t>1⁴, 2⁶, 4³, 8¹</t>
        </is>
      </c>
      <c r="L5118" t="inlineStr">
        <is>
          <t>48R⁷, 96A⁹, 96G⁹</t>
        </is>
      </c>
      <c r="M5118" t="inlineStr"/>
      <c r="N5118" t="inlineStr">
        <is>
          <t>12K¹, 96A⁹, 48F⁴, 6G⁰, 8C⁰, 2B⁰, 4B⁰, 1A⁰, 96G⁹, 48B⁴, 24B², 48R⁷, 32A¹, 16C⁰, 24D², 3C⁰, 12B¹, 12D⁰, 3A⁰, 24L³, 6D⁰</t>
        </is>
      </c>
      <c r="O5118" t="inlineStr"/>
    </row>
    <row r="5119">
      <c r="A5119">
        <f>HYPERLINK("https://mathstats.uncg.edu/sites/pauli/congruence/csg17.html#group96K17", "96K¹⁷")</f>
        <v/>
      </c>
      <c r="B5119" t="n">
        <v>17</v>
      </c>
      <c r="C5119" t="inlineStr"/>
      <c r="D5119" t="inlineStr">
        <is>
          <t>288</t>
        </is>
      </c>
      <c r="E5119" t="inlineStr">
        <is>
          <t>1</t>
        </is>
      </c>
      <c r="F5119" t="inlineStr">
        <is>
          <t>36</t>
        </is>
      </c>
      <c r="G5119" t="inlineStr">
        <is>
          <t>0</t>
        </is>
      </c>
      <c r="H5119" t="inlineStr">
        <is>
          <t>0</t>
        </is>
      </c>
      <c r="I5119" t="inlineStr">
        <is>
          <t>3⁸, 6⁴, 24², 96²</t>
        </is>
      </c>
      <c r="J5119" t="n">
        <v>16</v>
      </c>
      <c r="K5119" t="inlineStr">
        <is>
          <t>1⁴, 2⁶, 4³, 8¹</t>
        </is>
      </c>
      <c r="L5119" t="inlineStr">
        <is>
          <t>48E⁸, 96B⁸, 96G⁹</t>
        </is>
      </c>
      <c r="M5119" t="inlineStr"/>
      <c r="N5119" t="inlineStr">
        <is>
          <t>24F⁴, 8C⁰, 2B⁰, 8I⁰, 4B⁰, 1A⁰, 96G⁹, 48B⁴, 16H⁰, 24B², 96B⁸, 48E⁸, 16C⁰, 16D⁰, 12B¹, 3A⁰, 6D⁰, 48D⁴</t>
        </is>
      </c>
      <c r="O5119" t="inlineStr"/>
    </row>
    <row r="5120">
      <c r="A5120">
        <f>HYPERLINK("https://mathstats.uncg.edu/sites/pauli/congruence/csg17.html#group96L17", "96L¹⁷")</f>
        <v/>
      </c>
      <c r="B5120" t="n">
        <v>17</v>
      </c>
      <c r="C5120" t="inlineStr"/>
      <c r="D5120" t="inlineStr">
        <is>
          <t>288</t>
        </is>
      </c>
      <c r="E5120" t="inlineStr">
        <is>
          <t>1</t>
        </is>
      </c>
      <c r="F5120" t="inlineStr">
        <is>
          <t>36</t>
        </is>
      </c>
      <c r="G5120" t="inlineStr">
        <is>
          <t>0</t>
        </is>
      </c>
      <c r="H5120" t="inlineStr">
        <is>
          <t>0</t>
        </is>
      </c>
      <c r="I5120" t="inlineStr">
        <is>
          <t>3⁸, 6⁴, 24², 96²</t>
        </is>
      </c>
      <c r="J5120" t="n">
        <v>16</v>
      </c>
      <c r="K5120" t="inlineStr">
        <is>
          <t>1⁴, 2⁶, 4³, 8¹</t>
        </is>
      </c>
      <c r="L5120" t="inlineStr">
        <is>
          <t>48J⁸, 96A⁸, 96G⁹</t>
        </is>
      </c>
      <c r="M5120" t="inlineStr"/>
      <c r="N5120" t="inlineStr">
        <is>
          <t>24B², 4B⁰, 16C⁰, 24M⁴, 32A⁰, 8C⁰, 48J⁸, 96A⁸, 12B¹, 3A⁰, 2B⁰, 1A⁰, 96G⁹, 48G⁴, 6D⁰, 48B⁴</t>
        </is>
      </c>
      <c r="O5120" t="inlineStr"/>
    </row>
    <row r="5121">
      <c r="A5121">
        <f>HYPERLINK("https://mathstats.uncg.edu/sites/pauli/congruence/csg17.html#group96M17", "96M¹⁷")</f>
        <v/>
      </c>
      <c r="B5121" t="n">
        <v>17</v>
      </c>
      <c r="C5121" t="inlineStr"/>
      <c r="D5121" t="inlineStr">
        <is>
          <t>288</t>
        </is>
      </c>
      <c r="E5121" t="inlineStr">
        <is>
          <t>1</t>
        </is>
      </c>
      <c r="F5121" t="inlineStr">
        <is>
          <t>36</t>
        </is>
      </c>
      <c r="G5121" t="inlineStr">
        <is>
          <t>0</t>
        </is>
      </c>
      <c r="H5121" t="inlineStr">
        <is>
          <t>0</t>
        </is>
      </c>
      <c r="I5121" t="inlineStr">
        <is>
          <t>3⁸, 6⁴, 24², 96²</t>
        </is>
      </c>
      <c r="J5121" t="n">
        <v>16</v>
      </c>
      <c r="K5121" t="inlineStr">
        <is>
          <t>1⁴, 2⁶, 4³, 8¹</t>
        </is>
      </c>
      <c r="L5121" t="inlineStr">
        <is>
          <t>48J⁸, 96B⁸, 96A⁹</t>
        </is>
      </c>
      <c r="M5121" t="inlineStr"/>
      <c r="N5121" t="inlineStr">
        <is>
          <t>24B², 32A¹, 4B⁰, 96A⁹, 96B⁸, 16C⁰, 24M⁴, 8C⁰, 48J⁸, 12B¹, 2B⁰, 3A⁰, 1A⁰, 48G⁴, 6D⁰, 48B⁴</t>
        </is>
      </c>
      <c r="O5121" t="inlineStr"/>
    </row>
    <row r="5122">
      <c r="A5122">
        <f>HYPERLINK("https://mathstats.uncg.edu/sites/pauli/congruence/csg17.html#group96N17", "96N¹⁷")</f>
        <v/>
      </c>
      <c r="B5122" t="n">
        <v>17</v>
      </c>
      <c r="C5122" t="inlineStr"/>
      <c r="D5122" t="inlineStr">
        <is>
          <t>288</t>
        </is>
      </c>
      <c r="E5122" t="inlineStr">
        <is>
          <t>1</t>
        </is>
      </c>
      <c r="F5122" t="inlineStr">
        <is>
          <t>36</t>
        </is>
      </c>
      <c r="G5122" t="inlineStr">
        <is>
          <t>24</t>
        </is>
      </c>
      <c r="H5122" t="inlineStr">
        <is>
          <t>0</t>
        </is>
      </c>
      <c r="I5122" t="inlineStr">
        <is>
          <t>48², 96²</t>
        </is>
      </c>
      <c r="J5122" t="n">
        <v>4</v>
      </c>
      <c r="K5122" t="inlineStr">
        <is>
          <t>2², 4⁴, 8²</t>
        </is>
      </c>
      <c r="L5122" t="inlineStr">
        <is>
          <t>48E⁵</t>
        </is>
      </c>
      <c r="M5122" t="inlineStr"/>
      <c r="N5122" t="inlineStr">
        <is>
          <t>48E⁵, 12C⁰, 8D⁰, 4C⁰, 8B⁰, 16B¹, 48A⁰, 2B⁰, 24L², 1A⁰, 8H⁰, 48C³, 16B⁰, 12A⁰, 24A⁰, 4A⁰, 24C¹, 12J¹, 4F⁰, 16F¹, 3A⁰, 6D⁰</t>
        </is>
      </c>
      <c r="O5122" t="inlineStr"/>
    </row>
    <row r="5123">
      <c r="A5123">
        <f>HYPERLINK("https://mathstats.uncg.edu/sites/pauli/congruence/csg17.html#group96O17", "96O¹⁷")</f>
        <v/>
      </c>
      <c r="B5123" t="n">
        <v>17</v>
      </c>
      <c r="C5123" t="inlineStr"/>
      <c r="D5123" t="inlineStr">
        <is>
          <t>288</t>
        </is>
      </c>
      <c r="E5123" t="inlineStr">
        <is>
          <t>1</t>
        </is>
      </c>
      <c r="F5123" t="inlineStr">
        <is>
          <t>36</t>
        </is>
      </c>
      <c r="G5123" t="inlineStr">
        <is>
          <t>24</t>
        </is>
      </c>
      <c r="H5123" t="inlineStr">
        <is>
          <t>0</t>
        </is>
      </c>
      <c r="I5123" t="inlineStr">
        <is>
          <t>48², 96²</t>
        </is>
      </c>
      <c r="J5123" t="n">
        <v>4</v>
      </c>
      <c r="K5123" t="inlineStr">
        <is>
          <t>1², 2³, 4³, 8²</t>
        </is>
      </c>
      <c r="L5123" t="inlineStr">
        <is>
          <t>48E⁵</t>
        </is>
      </c>
      <c r="M5123" t="inlineStr"/>
      <c r="N5123" t="inlineStr">
        <is>
          <t>48E⁵, 12C⁰, 8D⁰, 4C⁰, 8B⁰, 16B¹, 48A⁰, 2B⁰, 24L², 1A⁰, 8H⁰, 48C³, 16B⁰, 12A⁰, 24A⁰, 4A⁰, 24C¹, 12J¹, 4F⁰, 16F¹, 3A⁰, 6D⁰</t>
        </is>
      </c>
      <c r="O5123" t="inlineStr"/>
    </row>
    <row r="5124">
      <c r="A5124">
        <f>HYPERLINK("https://mathstats.uncg.edu/sites/pauli/congruence/csg17.html#group96P17", "96P¹⁷")</f>
        <v/>
      </c>
      <c r="B5124" t="n">
        <v>17</v>
      </c>
      <c r="C5124" t="inlineStr"/>
      <c r="D5124" t="inlineStr">
        <is>
          <t>288</t>
        </is>
      </c>
      <c r="E5124" t="inlineStr">
        <is>
          <t>1</t>
        </is>
      </c>
      <c r="F5124" t="inlineStr">
        <is>
          <t>36</t>
        </is>
      </c>
      <c r="G5124" t="inlineStr">
        <is>
          <t>24</t>
        </is>
      </c>
      <c r="H5124" t="inlineStr">
        <is>
          <t>0</t>
        </is>
      </c>
      <c r="I5124" t="inlineStr">
        <is>
          <t>48², 96²</t>
        </is>
      </c>
      <c r="J5124" t="n">
        <v>4</v>
      </c>
      <c r="K5124" t="inlineStr">
        <is>
          <t>2⁶, 4⁶</t>
        </is>
      </c>
      <c r="L5124" t="inlineStr">
        <is>
          <t>96A⁵, 48N⁷</t>
        </is>
      </c>
      <c r="M5124" t="inlineStr"/>
      <c r="N5124" t="inlineStr">
        <is>
          <t>12C⁰, 96A⁵, 4C⁰, 24I³, 8B⁰, 6G⁰, 48A⁰, 2B⁰, 24C², 1A⁰, 12L¹, 48C⁴, 16B⁰, 12C¹, 24A⁰, 48N⁷, 3C⁰, 3A⁰, 6D⁰</t>
        </is>
      </c>
      <c r="O5124" t="inlineStr"/>
    </row>
    <row r="5125">
      <c r="A5125">
        <f>HYPERLINK("https://mathstats.uncg.edu/sites/pauli/congruence/csg17.html#group96Q17", "96Q¹⁷")</f>
        <v/>
      </c>
      <c r="B5125" t="n">
        <v>17</v>
      </c>
      <c r="C5125" t="inlineStr"/>
      <c r="D5125" t="inlineStr">
        <is>
          <t>288</t>
        </is>
      </c>
      <c r="E5125" t="inlineStr">
        <is>
          <t>1</t>
        </is>
      </c>
      <c r="F5125" t="inlineStr">
        <is>
          <t>36</t>
        </is>
      </c>
      <c r="G5125" t="inlineStr">
        <is>
          <t>24</t>
        </is>
      </c>
      <c r="H5125" t="inlineStr">
        <is>
          <t>0</t>
        </is>
      </c>
      <c r="I5125" t="inlineStr">
        <is>
          <t>48², 96²</t>
        </is>
      </c>
      <c r="J5125" t="n">
        <v>4</v>
      </c>
      <c r="K5125" t="inlineStr">
        <is>
          <t>2⁶, 4⁶</t>
        </is>
      </c>
      <c r="L5125" t="inlineStr">
        <is>
          <t>96A³, 48N⁷, 96A⁷</t>
        </is>
      </c>
      <c r="M5125" t="inlineStr"/>
      <c r="N5125" t="inlineStr">
        <is>
          <t>12C⁰, 4C⁰, 8B⁰, 24I³, 6G⁰, 48A⁰, 2B⁰, 24C², 1A⁰, 12L¹, 48C⁴, 16B⁰, 12C¹, 24A⁰, 48N⁷, 96A⁷, 3C⁰, 32B¹, 3A⁰, 96A³, 6D⁰</t>
        </is>
      </c>
      <c r="O5125" t="inlineStr"/>
    </row>
    <row r="5126">
      <c r="A5126">
        <f>HYPERLINK("https://mathstats.uncg.edu/sites/pauli/congruence/csg17.html#group96R17", "96R¹⁷")</f>
        <v/>
      </c>
      <c r="B5126" t="n">
        <v>17</v>
      </c>
      <c r="C5126" t="inlineStr"/>
      <c r="D5126" t="inlineStr">
        <is>
          <t>288</t>
        </is>
      </c>
      <c r="E5126" t="inlineStr">
        <is>
          <t>1</t>
        </is>
      </c>
      <c r="F5126" t="inlineStr">
        <is>
          <t>36</t>
        </is>
      </c>
      <c r="G5126" t="inlineStr">
        <is>
          <t>24</t>
        </is>
      </c>
      <c r="H5126" t="inlineStr">
        <is>
          <t>0</t>
        </is>
      </c>
      <c r="I5126" t="inlineStr">
        <is>
          <t>48², 96²</t>
        </is>
      </c>
      <c r="J5126" t="n">
        <v>4</v>
      </c>
      <c r="K5126" t="inlineStr">
        <is>
          <t>2⁶, 4⁶</t>
        </is>
      </c>
      <c r="L5126" t="inlineStr">
        <is>
          <t>48E⁵, 96A⁵, 96A⁷</t>
        </is>
      </c>
      <c r="M5126" t="inlineStr"/>
      <c r="N5126" t="inlineStr">
        <is>
          <t>12C⁰, 96A⁵, 4C⁰, 2B⁰, 1A⁰, 16B⁰, 24A⁰, 96A⁷, 16F¹, 3A⁰, 48E⁵, 8D⁰, 8B⁰, 16B¹, 48A⁰, 24L², 8H⁰, 48C³, 12A⁰, 4A⁰, 24C¹, 12J¹, 4F⁰, 6D⁰</t>
        </is>
      </c>
      <c r="O5126" t="inlineStr"/>
    </row>
    <row r="5127">
      <c r="A5127">
        <f>HYPERLINK("https://mathstats.uncg.edu/sites/pauli/congruence/csg17.html#group96S17", "96S¹⁷")</f>
        <v/>
      </c>
      <c r="B5127" t="n">
        <v>17</v>
      </c>
      <c r="C5127" t="inlineStr"/>
      <c r="D5127" t="inlineStr">
        <is>
          <t>288</t>
        </is>
      </c>
      <c r="E5127" t="inlineStr">
        <is>
          <t>1</t>
        </is>
      </c>
      <c r="F5127" t="inlineStr">
        <is>
          <t>72</t>
        </is>
      </c>
      <c r="G5127" t="inlineStr">
        <is>
          <t>0</t>
        </is>
      </c>
      <c r="H5127" t="inlineStr">
        <is>
          <t>0</t>
        </is>
      </c>
      <c r="I5127" t="inlineStr">
        <is>
          <t>3⁸, 6⁴, 24², 96²</t>
        </is>
      </c>
      <c r="J5127" t="n">
        <v>16</v>
      </c>
      <c r="K5127" t="inlineStr">
        <is>
          <t>2⁴, 4¹⁰, 8³</t>
        </is>
      </c>
      <c r="L5127" t="inlineStr">
        <is>
          <t>48Q⁷</t>
        </is>
      </c>
      <c r="M5127" t="inlineStr"/>
      <c r="N5127" t="inlineStr">
        <is>
          <t>12K¹, 48F⁴, 6G⁰, 8C⁰, 2B⁰, 4B⁰, 1A⁰, 48Q⁷, 24B², 24D², 3C⁰, 12B¹, 12D⁰, 3A⁰, 24L³, 6D⁰</t>
        </is>
      </c>
      <c r="O5127" t="inlineStr"/>
    </row>
    <row r="5128">
      <c r="A5128">
        <f>HYPERLINK("https://mathstats.uncg.edu/sites/pauli/congruence/csg17.html#group96T17", "96T¹⁷")</f>
        <v/>
      </c>
      <c r="B5128" t="n">
        <v>17</v>
      </c>
      <c r="C5128" t="inlineStr"/>
      <c r="D5128" t="inlineStr">
        <is>
          <t>288</t>
        </is>
      </c>
      <c r="E5128" t="inlineStr">
        <is>
          <t>1</t>
        </is>
      </c>
      <c r="F5128" t="inlineStr">
        <is>
          <t>72</t>
        </is>
      </c>
      <c r="G5128" t="inlineStr">
        <is>
          <t>4</t>
        </is>
      </c>
      <c r="H5128" t="inlineStr">
        <is>
          <t>0</t>
        </is>
      </c>
      <c r="I5128" t="inlineStr">
        <is>
          <t>6⁸, 12⁴, 96²</t>
        </is>
      </c>
      <c r="J5128" t="n">
        <v>14</v>
      </c>
      <c r="K5128" t="inlineStr">
        <is>
          <t>2², 4⁵, 8⁷, 16⁴</t>
        </is>
      </c>
      <c r="L5128" t="inlineStr">
        <is>
          <t>48AA⁷, 96E⁸</t>
        </is>
      </c>
      <c r="M5128" t="inlineStr"/>
      <c r="N5128" t="inlineStr">
        <is>
          <t>24E¹, 12C⁰, 48G³, 3A⁰, 8D⁰, 4C⁰, 6G⁰, 2B⁰, 96E⁸, 1A⁰, 24O³, 12L¹, 16E⁰, 12C¹, 24C¹, 3C⁰, 48D³, 48AA⁷, 6D⁰</t>
        </is>
      </c>
      <c r="O5128" t="inlineStr"/>
    </row>
    <row r="5129">
      <c r="A5129">
        <f>HYPERLINK("https://mathstats.uncg.edu/sites/pauli/congruence/csg17.html#group96U17", "96U¹⁷")</f>
        <v/>
      </c>
      <c r="B5129" t="n">
        <v>17</v>
      </c>
      <c r="C5129" t="inlineStr"/>
      <c r="D5129" t="inlineStr">
        <is>
          <t>288</t>
        </is>
      </c>
      <c r="E5129" t="inlineStr">
        <is>
          <t>1</t>
        </is>
      </c>
      <c r="F5129" t="inlineStr">
        <is>
          <t>72</t>
        </is>
      </c>
      <c r="G5129" t="inlineStr">
        <is>
          <t>4</t>
        </is>
      </c>
      <c r="H5129" t="inlineStr">
        <is>
          <t>0</t>
        </is>
      </c>
      <c r="I5129" t="inlineStr">
        <is>
          <t>6⁸, 12⁴, 96²</t>
        </is>
      </c>
      <c r="J5129" t="n">
        <v>14</v>
      </c>
      <c r="K5129" t="inlineStr">
        <is>
          <t>2², 4⁵, 8⁷, 16⁴</t>
        </is>
      </c>
      <c r="L5129" t="inlineStr">
        <is>
          <t>48AA⁷, 96F⁸</t>
        </is>
      </c>
      <c r="M5129" t="inlineStr"/>
      <c r="N5129" t="inlineStr">
        <is>
          <t>24E¹, 12C⁰, 48G³, 3A⁰, 8D⁰, 4C⁰, 6G⁰, 2B⁰, 1A⁰, 24O³, 12L¹, 16E⁰, 96F⁸, 12C¹, 24C¹, 3C⁰, 48D³, 48AA⁷, 6D⁰</t>
        </is>
      </c>
      <c r="O5129" t="inlineStr"/>
    </row>
    <row r="5130">
      <c r="A5130">
        <f>HYPERLINK("https://mathstats.uncg.edu/sites/pauli/congruence/csg17.html#group96V17", "96V¹⁷")</f>
        <v/>
      </c>
      <c r="B5130" t="n">
        <v>17</v>
      </c>
      <c r="C5130" t="inlineStr"/>
      <c r="D5130" t="inlineStr">
        <is>
          <t>288</t>
        </is>
      </c>
      <c r="E5130" t="inlineStr">
        <is>
          <t>1</t>
        </is>
      </c>
      <c r="F5130" t="inlineStr">
        <is>
          <t>72</t>
        </is>
      </c>
      <c r="G5130" t="inlineStr">
        <is>
          <t>4</t>
        </is>
      </c>
      <c r="H5130" t="inlineStr">
        <is>
          <t>0</t>
        </is>
      </c>
      <c r="I5130" t="inlineStr">
        <is>
          <t>6⁸, 12⁴, 96²</t>
        </is>
      </c>
      <c r="J5130" t="n">
        <v>14</v>
      </c>
      <c r="K5130" t="inlineStr">
        <is>
          <t>2², 4⁵, 8⁷, 16⁴</t>
        </is>
      </c>
      <c r="L5130" t="inlineStr">
        <is>
          <t>48AA⁷, 96C⁸, 96E⁸</t>
        </is>
      </c>
      <c r="M5130" t="inlineStr"/>
      <c r="N5130" t="inlineStr">
        <is>
          <t>24E¹, 12C⁰, 48G³, 3A⁰, 8D⁰, 4C⁰, 6G⁰, 2B⁰, 96E⁸, 1A⁰, 24O³, 12L¹, 16E⁰, 12C¹, 32C¹, 96C⁸, 24C¹, 3C⁰, 48D³, 48AA⁷, 6D⁰</t>
        </is>
      </c>
      <c r="O5130" t="inlineStr"/>
    </row>
    <row r="5131">
      <c r="A5131">
        <f>HYPERLINK("https://mathstats.uncg.edu/sites/pauli/congruence/csg17.html#group96W17", "96W¹⁷")</f>
        <v/>
      </c>
      <c r="B5131" t="n">
        <v>17</v>
      </c>
      <c r="C5131" t="inlineStr"/>
      <c r="D5131" t="inlineStr">
        <is>
          <t>288</t>
        </is>
      </c>
      <c r="E5131" t="inlineStr">
        <is>
          <t>1</t>
        </is>
      </c>
      <c r="F5131" t="inlineStr">
        <is>
          <t>72</t>
        </is>
      </c>
      <c r="G5131" t="inlineStr">
        <is>
          <t>4</t>
        </is>
      </c>
      <c r="H5131" t="inlineStr">
        <is>
          <t>0</t>
        </is>
      </c>
      <c r="I5131" t="inlineStr">
        <is>
          <t>6⁸, 12⁴, 96²</t>
        </is>
      </c>
      <c r="J5131" t="n">
        <v>14</v>
      </c>
      <c r="K5131" t="inlineStr">
        <is>
          <t>2², 4⁵, 8⁷, 16⁴</t>
        </is>
      </c>
      <c r="L5131" t="inlineStr">
        <is>
          <t>48AA⁷, 96D⁸, 96F⁸</t>
        </is>
      </c>
      <c r="M5131" t="inlineStr"/>
      <c r="N5131" t="inlineStr">
        <is>
          <t>24E¹, 12C⁰, 48G³, 3A⁰, 8D⁰, 4C⁰, 96D⁸, 6G⁰, 32D¹, 2B⁰, 1A⁰, 24O³, 12L¹, 16E⁰, 96F⁸, 12C¹, 24C¹, 3C⁰, 48D³, 48AA⁷, 6D⁰</t>
        </is>
      </c>
      <c r="O5131" t="inlineStr"/>
    </row>
    <row r="5132">
      <c r="A5132">
        <f>HYPERLINK("https://mathstats.uncg.edu/sites/pauli/congruence/csg17.html#group96X17", "96X¹⁷")</f>
        <v/>
      </c>
      <c r="B5132" t="n">
        <v>17</v>
      </c>
      <c r="C5132" t="inlineStr"/>
      <c r="D5132" t="inlineStr">
        <is>
          <t>288</t>
        </is>
      </c>
      <c r="E5132" t="inlineStr">
        <is>
          <t>1</t>
        </is>
      </c>
      <c r="F5132" t="inlineStr">
        <is>
          <t>72</t>
        </is>
      </c>
      <c r="G5132" t="inlineStr">
        <is>
          <t>12</t>
        </is>
      </c>
      <c r="H5132" t="inlineStr">
        <is>
          <t>0</t>
        </is>
      </c>
      <c r="I5132" t="inlineStr">
        <is>
          <t>12⁸, 96²</t>
        </is>
      </c>
      <c r="J5132" t="n">
        <v>10</v>
      </c>
      <c r="K5132" t="inlineStr">
        <is>
          <t>1², 2³, 4², 8³, 16²</t>
        </is>
      </c>
      <c r="L5132" t="inlineStr">
        <is>
          <t>48P⁷</t>
        </is>
      </c>
      <c r="M5132" t="inlineStr"/>
      <c r="N5132" t="inlineStr">
        <is>
          <t>12C⁰, 16I¹, 8D⁰, 4C⁰, 48P⁷, 8B⁰, 2B⁰, 24L², 1A⁰, 8H⁰, 16E⁰, 12A⁰, 48E⁴, 24A⁰, 4A⁰, 16C¹, 24C¹, 12J¹, 48D³, 4F⁰, 3A⁰, 6D⁰</t>
        </is>
      </c>
      <c r="O5132" t="inlineStr"/>
    </row>
    <row r="5133">
      <c r="A5133">
        <f>HYPERLINK("https://mathstats.uncg.edu/sites/pauli/congruence/csg17.html#group96Y17", "96Y¹⁷")</f>
        <v/>
      </c>
      <c r="B5133" t="n">
        <v>17</v>
      </c>
      <c r="C5133" t="inlineStr"/>
      <c r="D5133" t="inlineStr">
        <is>
          <t>288</t>
        </is>
      </c>
      <c r="E5133" t="inlineStr">
        <is>
          <t>1</t>
        </is>
      </c>
      <c r="F5133" t="inlineStr">
        <is>
          <t>72</t>
        </is>
      </c>
      <c r="G5133" t="inlineStr">
        <is>
          <t>12</t>
        </is>
      </c>
      <c r="H5133" t="inlineStr">
        <is>
          <t>0</t>
        </is>
      </c>
      <c r="I5133" t="inlineStr">
        <is>
          <t>12⁸, 96²</t>
        </is>
      </c>
      <c r="J5133" t="n">
        <v>10</v>
      </c>
      <c r="K5133" t="inlineStr">
        <is>
          <t>2⁴, 4⁴, 8², 16²</t>
        </is>
      </c>
      <c r="L5133" t="inlineStr">
        <is>
          <t>48P⁷, 96E⁸, 96F⁸</t>
        </is>
      </c>
      <c r="M5133" t="inlineStr"/>
      <c r="N5133" t="inlineStr">
        <is>
          <t>12C⁰, 16I¹, 4C⁰, 48P⁷, 2B⁰, 1A⁰, 16E⁰, 48E⁴, 24A⁰, 48D³, 3A⁰, 8D⁰, 8B⁰, 24L², 96E⁸, 8H⁰, 12A⁰, 96F⁸, 4A⁰, 16C¹, 24C¹, 12J¹, 4F⁰, 6D⁰</t>
        </is>
      </c>
      <c r="O5133" t="inlineStr"/>
    </row>
    <row r="5134">
      <c r="A5134">
        <f>HYPERLINK("https://mathstats.uncg.edu/sites/pauli/congruence/csg17.html#group96Z17", "96Z¹⁷")</f>
        <v/>
      </c>
      <c r="B5134" t="n">
        <v>17</v>
      </c>
      <c r="C5134" t="inlineStr"/>
      <c r="D5134" t="inlineStr">
        <is>
          <t>288</t>
        </is>
      </c>
      <c r="E5134" t="inlineStr">
        <is>
          <t>1</t>
        </is>
      </c>
      <c r="F5134" t="inlineStr">
        <is>
          <t>72</t>
        </is>
      </c>
      <c r="G5134" t="inlineStr">
        <is>
          <t>24</t>
        </is>
      </c>
      <c r="H5134" t="inlineStr">
        <is>
          <t>0</t>
        </is>
      </c>
      <c r="I5134" t="inlineStr">
        <is>
          <t>48², 96²</t>
        </is>
      </c>
      <c r="J5134" t="n">
        <v>4</v>
      </c>
      <c r="K5134" t="inlineStr">
        <is>
          <t>2⁸, 4⁸, 8¹, 16¹</t>
        </is>
      </c>
      <c r="L5134" t="inlineStr">
        <is>
          <t>48F⁵, 96H⁹, 96I⁹</t>
        </is>
      </c>
      <c r="M5134" t="inlineStr"/>
      <c r="N5134" t="inlineStr">
        <is>
          <t>48F⁵, 12C⁰, 4C⁰, 8B⁰, 48A⁰, 8L⁰, 2B⁰, 16J¹, 1A⁰, 16B⁰, 96I⁹, 16D¹, 48E³, 24A⁰, 24M², 96H⁹, 3A⁰, 6D⁰</t>
        </is>
      </c>
      <c r="O5134" t="inlineStr"/>
    </row>
    <row r="5135">
      <c r="A5135">
        <f>HYPERLINK("https://mathstats.uncg.edu/sites/pauli/congruence/csg17.html#group96AA17", "96AA¹⁷")</f>
        <v/>
      </c>
      <c r="B5135" t="n">
        <v>17</v>
      </c>
      <c r="C5135" t="inlineStr"/>
      <c r="D5135" t="inlineStr">
        <is>
          <t>288</t>
        </is>
      </c>
      <c r="E5135" t="inlineStr">
        <is>
          <t>1</t>
        </is>
      </c>
      <c r="F5135" t="inlineStr">
        <is>
          <t>72</t>
        </is>
      </c>
      <c r="G5135" t="inlineStr">
        <is>
          <t>24</t>
        </is>
      </c>
      <c r="H5135" t="inlineStr">
        <is>
          <t>0</t>
        </is>
      </c>
      <c r="I5135" t="inlineStr">
        <is>
          <t>48², 96²</t>
        </is>
      </c>
      <c r="J5135" t="n">
        <v>4</v>
      </c>
      <c r="K5135" t="inlineStr">
        <is>
          <t>2⁸, 4⁸, 8¹, 16¹</t>
        </is>
      </c>
      <c r="L5135" t="inlineStr">
        <is>
          <t>48F⁵, 96J⁹, 96K⁹</t>
        </is>
      </c>
      <c r="M5135" t="inlineStr"/>
      <c r="N5135" t="inlineStr">
        <is>
          <t>48F⁵, 12C⁰, 4C⁰, 8B⁰, 48A⁰, 2B⁰, 8L⁰, 96J⁹, 16J¹, 1A⁰, 16B⁰, 16D¹, 48E³, 24A⁰, 96K⁹, 24M², 3A⁰, 6D⁰</t>
        </is>
      </c>
      <c r="O5135" t="inlineStr"/>
    </row>
    <row r="5136">
      <c r="A5136">
        <f>HYPERLINK("https://mathstats.uncg.edu/sites/pauli/congruence/csg17.html#group96AB17", "96AB¹⁷")</f>
        <v/>
      </c>
      <c r="B5136" t="n">
        <v>17</v>
      </c>
      <c r="C5136" t="inlineStr"/>
      <c r="D5136" t="inlineStr">
        <is>
          <t>288</t>
        </is>
      </c>
      <c r="E5136" t="inlineStr">
        <is>
          <t>2</t>
        </is>
      </c>
      <c r="F5136" t="inlineStr">
        <is>
          <t>12</t>
        </is>
      </c>
      <c r="G5136" t="inlineStr">
        <is>
          <t>24</t>
        </is>
      </c>
      <c r="H5136" t="inlineStr">
        <is>
          <t>0</t>
        </is>
      </c>
      <c r="I5136" t="inlineStr">
        <is>
          <t>48², 96²</t>
        </is>
      </c>
      <c r="J5136" t="n">
        <v>4</v>
      </c>
      <c r="K5136" t="inlineStr">
        <is>
          <t>2⁸, 4²</t>
        </is>
      </c>
      <c r="L5136" t="inlineStr">
        <is>
          <t>96A³, 32L⁵, 48F⁵, 96B⁹</t>
        </is>
      </c>
      <c r="M5136" t="inlineStr"/>
      <c r="N5136" t="inlineStr">
        <is>
          <t>32L⁵, 48F⁵, 12C⁰, 96B⁹, 4C⁰, 8B⁰, 8L⁰, 2B⁰, 48A⁰, 16J¹, 1A⁰, 16B⁰, 16D¹, 24A⁰, 48E³, 24M², 32D³, 32B¹, 3A⁰, 96A³, 6D⁰</t>
        </is>
      </c>
      <c r="O5136" t="inlineStr"/>
    </row>
    <row r="5137">
      <c r="A5137">
        <f>HYPERLINK("https://mathstats.uncg.edu/sites/pauli/congruence/csg17.html#group96AC17", "96AC¹⁷")</f>
        <v/>
      </c>
      <c r="B5137" t="n">
        <v>17</v>
      </c>
      <c r="C5137" t="inlineStr"/>
      <c r="D5137" t="inlineStr">
        <is>
          <t>288</t>
        </is>
      </c>
      <c r="E5137" t="inlineStr">
        <is>
          <t>2</t>
        </is>
      </c>
      <c r="F5137" t="inlineStr">
        <is>
          <t>36</t>
        </is>
      </c>
      <c r="G5137" t="inlineStr">
        <is>
          <t>0</t>
        </is>
      </c>
      <c r="H5137" t="inlineStr">
        <is>
          <t>0</t>
        </is>
      </c>
      <c r="I5137" t="inlineStr">
        <is>
          <t>3⁸, 6⁴, 24², 96²</t>
        </is>
      </c>
      <c r="J5137" t="n">
        <v>16</v>
      </c>
      <c r="K5137" t="inlineStr">
        <is>
          <t>2¹², 4⁶, 8³</t>
        </is>
      </c>
      <c r="L5137" t="inlineStr">
        <is>
          <t>48J⁸, 96B⁸, 96G⁹</t>
        </is>
      </c>
      <c r="M5137" t="inlineStr"/>
      <c r="N5137" t="inlineStr">
        <is>
          <t>24B², 4B⁰, 96B⁸, 16C⁰, 24M⁴, 8C⁰, 48J⁸, 12B¹, 2B⁰, 3A⁰, 1A⁰, 96G⁹, 48G⁴, 6D⁰, 48B⁴</t>
        </is>
      </c>
      <c r="O5137" t="inlineStr"/>
    </row>
    <row r="5138">
      <c r="A5138">
        <f>HYPERLINK("https://mathstats.uncg.edu/sites/pauli/congruence/csg17.html#group96AD17", "96AD¹⁷")</f>
        <v/>
      </c>
      <c r="B5138" t="n">
        <v>17</v>
      </c>
      <c r="C5138" t="inlineStr"/>
      <c r="D5138" t="inlineStr">
        <is>
          <t>288</t>
        </is>
      </c>
      <c r="E5138" t="inlineStr">
        <is>
          <t>2</t>
        </is>
      </c>
      <c r="F5138" t="inlineStr">
        <is>
          <t>36</t>
        </is>
      </c>
      <c r="G5138" t="inlineStr">
        <is>
          <t>24</t>
        </is>
      </c>
      <c r="H5138" t="inlineStr">
        <is>
          <t>0</t>
        </is>
      </c>
      <c r="I5138" t="inlineStr">
        <is>
          <t>48², 96²</t>
        </is>
      </c>
      <c r="J5138" t="n">
        <v>4</v>
      </c>
      <c r="K5138" t="inlineStr">
        <is>
          <t>4¹⁸</t>
        </is>
      </c>
      <c r="L5138" t="inlineStr">
        <is>
          <t>48G⁵, 96A⁵, 96A⁷</t>
        </is>
      </c>
      <c r="M5138" t="inlineStr"/>
      <c r="N5138" t="inlineStr">
        <is>
          <t>24E¹, 12C⁰, 96A⁵, 4C⁰, 8B⁰, 24P², 48A⁰, 12M¹, 2B⁰, 48G⁵, 1A⁰, 16B⁰, 24A⁰, 96A⁷, 48F³, 3A⁰, 6D⁰</t>
        </is>
      </c>
      <c r="O5138" t="inlineStr"/>
    </row>
    <row r="5139">
      <c r="A5139">
        <f>HYPERLINK("https://mathstats.uncg.edu/sites/pauli/congruence/csg17.html#group96AE17", "96AE¹⁷")</f>
        <v/>
      </c>
      <c r="B5139" t="n">
        <v>17</v>
      </c>
      <c r="C5139" t="inlineStr"/>
      <c r="D5139" t="inlineStr">
        <is>
          <t>288</t>
        </is>
      </c>
      <c r="E5139" t="inlineStr">
        <is>
          <t>2</t>
        </is>
      </c>
      <c r="F5139" t="inlineStr">
        <is>
          <t>36</t>
        </is>
      </c>
      <c r="G5139" t="inlineStr">
        <is>
          <t>24</t>
        </is>
      </c>
      <c r="H5139" t="inlineStr">
        <is>
          <t>0</t>
        </is>
      </c>
      <c r="I5139" t="inlineStr">
        <is>
          <t>48², 96²</t>
        </is>
      </c>
      <c r="J5139" t="n">
        <v>4</v>
      </c>
      <c r="K5139" t="inlineStr">
        <is>
          <t>2⁸, 4¹⁰, 8²</t>
        </is>
      </c>
      <c r="L5139" t="inlineStr">
        <is>
          <t>48F⁵, 96A⁵, 96A⁷</t>
        </is>
      </c>
      <c r="M5139" t="inlineStr"/>
      <c r="N5139" t="inlineStr">
        <is>
          <t>48F⁵, 12C⁰, 96A⁵, 4C⁰, 8B⁰, 48A⁰, 8L⁰, 2B⁰, 16J¹, 1A⁰, 16B⁰, 16D¹, 48E³, 24A⁰, 96A⁷, 24M², 3A⁰, 6D⁰</t>
        </is>
      </c>
      <c r="O5139" t="inlineStr"/>
    </row>
    <row r="5140">
      <c r="A5140">
        <f>HYPERLINK("https://mathstats.uncg.edu/sites/pauli/congruence/csg17.html#group96AF17", "96AF¹⁷")</f>
        <v/>
      </c>
      <c r="B5140" t="n">
        <v>17</v>
      </c>
      <c r="C5140" t="inlineStr"/>
      <c r="D5140" t="inlineStr">
        <is>
          <t>288</t>
        </is>
      </c>
      <c r="E5140" t="inlineStr">
        <is>
          <t>2</t>
        </is>
      </c>
      <c r="F5140" t="inlineStr">
        <is>
          <t>36</t>
        </is>
      </c>
      <c r="G5140" t="inlineStr">
        <is>
          <t>24</t>
        </is>
      </c>
      <c r="H5140" t="inlineStr">
        <is>
          <t>0</t>
        </is>
      </c>
      <c r="I5140" t="inlineStr">
        <is>
          <t>48², 96²</t>
        </is>
      </c>
      <c r="J5140" t="n">
        <v>4</v>
      </c>
      <c r="K5140" t="inlineStr">
        <is>
          <t>4²⁴, 8⁶</t>
        </is>
      </c>
      <c r="L5140" t="inlineStr">
        <is>
          <t>48H⁵, 96A⁵, 96A⁷</t>
        </is>
      </c>
      <c r="M5140" t="inlineStr"/>
      <c r="N5140" t="inlineStr">
        <is>
          <t>16B⁰, 12C⁰, 24A⁰, 96A⁵, 96A⁷, 4C⁰, 8B⁰, 24Q², 48H⁵, 48A⁰, 2B⁰, 3A⁰, 1A⁰, 48H³, 6D⁰</t>
        </is>
      </c>
      <c r="O5140" t="inlineStr"/>
    </row>
    <row r="5141">
      <c r="A5141">
        <f>HYPERLINK("https://mathstats.uncg.edu/sites/pauli/congruence/csg17.html#group96AG17", "96AG¹⁷")</f>
        <v/>
      </c>
      <c r="B5141" t="n">
        <v>17</v>
      </c>
      <c r="C5141" t="inlineStr"/>
      <c r="D5141" t="inlineStr">
        <is>
          <t>288</t>
        </is>
      </c>
      <c r="E5141" t="inlineStr">
        <is>
          <t>2</t>
        </is>
      </c>
      <c r="F5141" t="inlineStr">
        <is>
          <t>36</t>
        </is>
      </c>
      <c r="G5141" t="inlineStr">
        <is>
          <t>24</t>
        </is>
      </c>
      <c r="H5141" t="inlineStr">
        <is>
          <t>0</t>
        </is>
      </c>
      <c r="I5141" t="inlineStr">
        <is>
          <t>48², 96²</t>
        </is>
      </c>
      <c r="J5141" t="n">
        <v>4</v>
      </c>
      <c r="K5141" t="inlineStr">
        <is>
          <t>4²⁴, 8⁶</t>
        </is>
      </c>
      <c r="L5141" t="inlineStr">
        <is>
          <t>48H⁵, 96A⁵, 96A⁷</t>
        </is>
      </c>
      <c r="M5141" t="inlineStr"/>
      <c r="N5141" t="inlineStr">
        <is>
          <t>16B⁰, 12C⁰, 24A⁰, 96A⁵, 96A⁷, 4C⁰, 8B⁰, 24Q², 48H⁵, 48A⁰, 2B⁰, 3A⁰, 1A⁰, 48H³, 6D⁰</t>
        </is>
      </c>
      <c r="O5141" t="inlineStr"/>
    </row>
    <row r="5142">
      <c r="A5142">
        <f>HYPERLINK("https://mathstats.uncg.edu/sites/pauli/congruence/csg17.html#group96AH17", "96AH¹⁷")</f>
        <v/>
      </c>
      <c r="B5142" t="n">
        <v>17</v>
      </c>
      <c r="C5142" t="inlineStr"/>
      <c r="D5142" t="inlineStr">
        <is>
          <t>384</t>
        </is>
      </c>
      <c r="E5142" t="inlineStr">
        <is>
          <t>1</t>
        </is>
      </c>
      <c r="F5142" t="inlineStr">
        <is>
          <t>48</t>
        </is>
      </c>
      <c r="G5142" t="inlineStr">
        <is>
          <t>0</t>
        </is>
      </c>
      <c r="H5142" t="inlineStr">
        <is>
          <t>0</t>
        </is>
      </c>
      <c r="I5142" t="inlineStr">
        <is>
          <t>1⁸, 2⁴, 3⁸, 6⁴, 8², 24², 32², 96²</t>
        </is>
      </c>
      <c r="J5142" t="n">
        <v>32</v>
      </c>
      <c r="K5142" t="inlineStr">
        <is>
          <t>1⁸, 2⁸, 4⁴, 8¹</t>
        </is>
      </c>
      <c r="L5142" t="inlineStr">
        <is>
          <t>48I⁵, 96L⁹, 96M⁹</t>
        </is>
      </c>
      <c r="M5142" t="inlineStr"/>
      <c r="N5142" t="inlineStr">
        <is>
          <t>3B⁰, 96M⁹, 48I⁵, 96L⁹, 24G¹, 12J⁰, 2B⁰, 8C⁰, 4B⁰, 1A⁰, 24J¹, 32A¹, 24B⁰, 48J³, 16C⁰, 48I³, 6F⁰, 12E⁰</t>
        </is>
      </c>
      <c r="O5142" t="inlineStr"/>
    </row>
    <row r="5143">
      <c r="A5143">
        <f>HYPERLINK("https://mathstats.uncg.edu/sites/pauli/congruence/csg17.html#group96AI17", "96AI¹⁷")</f>
        <v/>
      </c>
      <c r="B5143" t="n">
        <v>17</v>
      </c>
      <c r="C5143" t="inlineStr"/>
      <c r="D5143" t="inlineStr">
        <is>
          <t>384</t>
        </is>
      </c>
      <c r="E5143" t="inlineStr">
        <is>
          <t>1</t>
        </is>
      </c>
      <c r="F5143" t="inlineStr">
        <is>
          <t>48</t>
        </is>
      </c>
      <c r="G5143" t="inlineStr">
        <is>
          <t>0</t>
        </is>
      </c>
      <c r="H5143" t="inlineStr">
        <is>
          <t>0</t>
        </is>
      </c>
      <c r="I5143" t="inlineStr">
        <is>
          <t>1⁸, 2⁴, 3⁸, 6⁴, 8², 24², 32², 96²</t>
        </is>
      </c>
      <c r="J5143" t="n">
        <v>32</v>
      </c>
      <c r="K5143" t="inlineStr">
        <is>
          <t>1⁸, 2⁸, 4⁴, 8¹</t>
        </is>
      </c>
      <c r="L5143" t="inlineStr">
        <is>
          <t>48AN⁷, 96B⁷, 96M⁹</t>
        </is>
      </c>
      <c r="M5143" t="inlineStr"/>
      <c r="N5143" t="inlineStr">
        <is>
          <t>3B⁰, 24X³, 48AN⁷, 96M⁹, 32A¹, 4B⁰, 48J³, 16C⁰, 24G¹, 48K³, 6F⁰, 8C⁰, 2B⁰, 96B⁷, 1A⁰, 12E⁰</t>
        </is>
      </c>
      <c r="O5143" t="inlineStr"/>
    </row>
    <row r="5144">
      <c r="A5144">
        <f>HYPERLINK("https://mathstats.uncg.edu/sites/pauli/congruence/csg17.html#group96AJ17", "96AJ¹⁷")</f>
        <v/>
      </c>
      <c r="B5144" t="n">
        <v>17</v>
      </c>
      <c r="C5144" t="inlineStr"/>
      <c r="D5144" t="inlineStr">
        <is>
          <t>384</t>
        </is>
      </c>
      <c r="E5144" t="inlineStr">
        <is>
          <t>1</t>
        </is>
      </c>
      <c r="F5144" t="inlineStr">
        <is>
          <t>48</t>
        </is>
      </c>
      <c r="G5144" t="inlineStr">
        <is>
          <t>0</t>
        </is>
      </c>
      <c r="H5144" t="inlineStr">
        <is>
          <t>0</t>
        </is>
      </c>
      <c r="I5144" t="inlineStr">
        <is>
          <t>1⁸, 2⁴, 3⁸, 6⁴, 8², 24², 32², 96²</t>
        </is>
      </c>
      <c r="J5144" t="n">
        <v>32</v>
      </c>
      <c r="K5144" t="inlineStr">
        <is>
          <t>1⁸, 2⁸, 4⁴, 8¹</t>
        </is>
      </c>
      <c r="L5144" t="inlineStr">
        <is>
          <t>48AN⁷, 96C⁷, 96L⁹</t>
        </is>
      </c>
      <c r="M5144" t="inlineStr"/>
      <c r="N5144" t="inlineStr">
        <is>
          <t>96C⁷, 3B⁰, 24X³, 48AN⁷, 48J³, 96L⁹, 16C⁰, 24G¹, 32A⁰, 6F⁰, 48K³, 8C⁰, 2B⁰, 4B⁰, 1A⁰, 12E⁰</t>
        </is>
      </c>
      <c r="O5144" t="inlineStr"/>
    </row>
    <row r="5145">
      <c r="A5145">
        <f>HYPERLINK("https://mathstats.uncg.edu/sites/pauli/congruence/csg17.html#group96AK17", "96AK¹⁷")</f>
        <v/>
      </c>
      <c r="B5145" t="n">
        <v>17</v>
      </c>
      <c r="C5145" t="inlineStr"/>
      <c r="D5145" t="inlineStr">
        <is>
          <t>384</t>
        </is>
      </c>
      <c r="E5145" t="inlineStr">
        <is>
          <t>1</t>
        </is>
      </c>
      <c r="F5145" t="inlineStr">
        <is>
          <t>48</t>
        </is>
      </c>
      <c r="G5145" t="inlineStr">
        <is>
          <t>0</t>
        </is>
      </c>
      <c r="H5145" t="inlineStr">
        <is>
          <t>0</t>
        </is>
      </c>
      <c r="I5145" t="inlineStr">
        <is>
          <t>1⁸, 2⁴, 3⁸, 6⁴, 8², 24², 32², 96²</t>
        </is>
      </c>
      <c r="J5145" t="n">
        <v>32</v>
      </c>
      <c r="K5145" t="inlineStr">
        <is>
          <t>1⁸, 2⁸, 4⁴, 8¹</t>
        </is>
      </c>
      <c r="L5145" t="inlineStr">
        <is>
          <t>48AP⁷, 96B⁷, 96L⁹</t>
        </is>
      </c>
      <c r="M5145" t="inlineStr"/>
      <c r="N5145" t="inlineStr">
        <is>
          <t>3B⁰, 96L⁹, 24G¹, 8C⁰, 2B⁰, 8I⁰, 4B⁰, 96B⁷, 1A⁰, 16H⁰, 48J³, 16C⁰, 16D⁰, 24Y³, 6F⁰, 48AP⁷, 12E⁰, 48L³</t>
        </is>
      </c>
      <c r="O5145" t="inlineStr"/>
    </row>
    <row r="5146">
      <c r="A5146">
        <f>HYPERLINK("https://mathstats.uncg.edu/sites/pauli/congruence/csg17.html#group96AL17", "96AL¹⁷")</f>
        <v/>
      </c>
      <c r="B5146" t="n">
        <v>17</v>
      </c>
      <c r="C5146" t="inlineStr"/>
      <c r="D5146" t="inlineStr">
        <is>
          <t>384</t>
        </is>
      </c>
      <c r="E5146" t="inlineStr">
        <is>
          <t>1</t>
        </is>
      </c>
      <c r="F5146" t="inlineStr">
        <is>
          <t>48</t>
        </is>
      </c>
      <c r="G5146" t="inlineStr">
        <is>
          <t>0</t>
        </is>
      </c>
      <c r="H5146" t="inlineStr">
        <is>
          <t>0</t>
        </is>
      </c>
      <c r="I5146" t="inlineStr">
        <is>
          <t>1⁸, 2⁴, 3⁸, 6⁴, 8², 24², 32², 96²</t>
        </is>
      </c>
      <c r="J5146" t="n">
        <v>32</v>
      </c>
      <c r="K5146" t="inlineStr">
        <is>
          <t>1⁸, 2⁸, 4⁴, 8¹</t>
        </is>
      </c>
      <c r="L5146" t="inlineStr">
        <is>
          <t>32E¹, 48AP⁷, 96C⁷, 96M⁹</t>
        </is>
      </c>
      <c r="M5146" t="inlineStr"/>
      <c r="N5146" t="inlineStr">
        <is>
          <t>96C⁷, 3B⁰, 96M⁹, 24G¹, 8C⁰, 2B⁰, 8I⁰, 4B⁰, 1A⁰, 16H⁰, 32A¹, 32E¹, 48J³, 16C⁰, 16D⁰, 32A⁰, 24Y³, 6F⁰, 48AP⁷, 12E⁰, 48L³</t>
        </is>
      </c>
      <c r="O5146" t="inlineStr"/>
    </row>
    <row r="5147">
      <c r="A5147">
        <f>HYPERLINK("https://mathstats.uncg.edu/sites/pauli/congruence/csg17.html#group98A17", "98A¹⁷")</f>
        <v/>
      </c>
      <c r="B5147" t="n">
        <v>17</v>
      </c>
      <c r="C5147" t="inlineStr"/>
      <c r="D5147" t="inlineStr">
        <is>
          <t>336</t>
        </is>
      </c>
      <c r="E5147" t="inlineStr">
        <is>
          <t>1</t>
        </is>
      </c>
      <c r="F5147" t="inlineStr">
        <is>
          <t>8</t>
        </is>
      </c>
      <c r="G5147" t="inlineStr">
        <is>
          <t>0</t>
        </is>
      </c>
      <c r="H5147" t="inlineStr">
        <is>
          <t>0</t>
        </is>
      </c>
      <c r="I5147" t="inlineStr">
        <is>
          <t>2²¹, 98³</t>
        </is>
      </c>
      <c r="J5147" t="n">
        <v>24</v>
      </c>
      <c r="K5147" t="inlineStr">
        <is>
          <t>1², 6¹</t>
        </is>
      </c>
      <c r="L5147" t="inlineStr">
        <is>
          <t>14D², 49A³, 98A⁵</t>
        </is>
      </c>
      <c r="M5147" t="inlineStr"/>
      <c r="N5147" t="inlineStr">
        <is>
          <t>2A⁰, 98A⁵, 7B⁰, 14D², 49A¹, 14B⁰, 7E⁰, 1A⁰, 49A³</t>
        </is>
      </c>
      <c r="O5147" t="inlineStr"/>
    </row>
    <row r="5148">
      <c r="A5148">
        <f>HYPERLINK("https://mathstats.uncg.edu/sites/pauli/congruence/csg17.html#group98B17", "98B¹⁷")</f>
        <v/>
      </c>
      <c r="B5148" t="n">
        <v>17</v>
      </c>
      <c r="C5148" t="inlineStr"/>
      <c r="D5148" t="inlineStr">
        <is>
          <t>336</t>
        </is>
      </c>
      <c r="E5148" t="inlineStr">
        <is>
          <t>1</t>
        </is>
      </c>
      <c r="F5148" t="inlineStr">
        <is>
          <t>56</t>
        </is>
      </c>
      <c r="G5148" t="inlineStr">
        <is>
          <t>0</t>
        </is>
      </c>
      <c r="H5148" t="inlineStr">
        <is>
          <t>0</t>
        </is>
      </c>
      <c r="I5148" t="inlineStr">
        <is>
          <t>2²¹, 98³</t>
        </is>
      </c>
      <c r="J5148" t="n">
        <v>24</v>
      </c>
      <c r="K5148" t="inlineStr">
        <is>
          <t>1², 6², 42¹</t>
        </is>
      </c>
      <c r="L5148" t="inlineStr">
        <is>
          <t>14E², 98A⁵, 98A⁷</t>
        </is>
      </c>
      <c r="M5148" t="inlineStr"/>
      <c r="N5148" t="inlineStr">
        <is>
          <t>2A⁰, 98A⁷, 98A⁵, 7B⁰, 14B⁰, 49A¹, 14C¹, 2B⁰, 14E², 1A⁰, 2C⁰</t>
        </is>
      </c>
      <c r="O5148" t="inlineStr"/>
    </row>
    <row r="5149">
      <c r="A5149">
        <f>HYPERLINK("https://mathstats.uncg.edu/sites/pauli/congruence/csg17.html#group99A17", "99A¹⁷")</f>
        <v/>
      </c>
      <c r="B5149" t="n">
        <v>17</v>
      </c>
      <c r="C5149" t="inlineStr"/>
      <c r="D5149" t="inlineStr">
        <is>
          <t>216</t>
        </is>
      </c>
      <c r="E5149" t="inlineStr">
        <is>
          <t>1</t>
        </is>
      </c>
      <c r="F5149" t="inlineStr">
        <is>
          <t>36</t>
        </is>
      </c>
      <c r="G5149" t="inlineStr">
        <is>
          <t>0</t>
        </is>
      </c>
      <c r="H5149" t="inlineStr">
        <is>
          <t>0</t>
        </is>
      </c>
      <c r="I5149" t="inlineStr">
        <is>
          <t>9², 99²</t>
        </is>
      </c>
      <c r="J5149" t="n">
        <v>4</v>
      </c>
      <c r="K5149" t="inlineStr">
        <is>
          <t>1², 2², 10¹, 20¹</t>
        </is>
      </c>
      <c r="L5149" t="inlineStr">
        <is>
          <t>9D⁰, 33A⁵, 99A⁹</t>
        </is>
      </c>
      <c r="M5149" t="inlineStr"/>
      <c r="N5149" t="inlineStr">
        <is>
          <t>9D⁰, 11A¹, 9A⁰, 33A⁵, 3C⁰, 99A⁹, 3A⁰, 33A³, 1A⁰</t>
        </is>
      </c>
      <c r="O5149" t="inlineStr"/>
    </row>
    <row r="5150">
      <c r="A5150">
        <f>HYPERLINK("https://mathstats.uncg.edu/sites/pauli/congruence/csg17.html#group99B17", "99B¹⁷")</f>
        <v/>
      </c>
      <c r="B5150" t="n">
        <v>17</v>
      </c>
      <c r="C5150" t="inlineStr"/>
      <c r="D5150" t="inlineStr">
        <is>
          <t>216</t>
        </is>
      </c>
      <c r="E5150" t="inlineStr">
        <is>
          <t>2</t>
        </is>
      </c>
      <c r="F5150" t="inlineStr">
        <is>
          <t>108</t>
        </is>
      </c>
      <c r="G5150" t="inlineStr">
        <is>
          <t>0</t>
        </is>
      </c>
      <c r="H5150" t="inlineStr">
        <is>
          <t>0</t>
        </is>
      </c>
      <c r="I5150" t="inlineStr">
        <is>
          <t>9², 99²</t>
        </is>
      </c>
      <c r="J5150" t="n">
        <v>4</v>
      </c>
      <c r="K5150" t="inlineStr">
        <is>
          <t>2⁶, 6⁴, 20³, 60²</t>
        </is>
      </c>
      <c r="L5150" t="inlineStr">
        <is>
          <t>9B¹, 33A⁵, 99A⁹</t>
        </is>
      </c>
      <c r="M5150" t="inlineStr"/>
      <c r="N5150" t="inlineStr">
        <is>
          <t>11A¹, 9A⁰, 33A⁵, 3C⁰, 99A⁹, 3A⁰, 33A³, 1A⁰, 9B¹</t>
        </is>
      </c>
      <c r="O5150" t="inlineStr"/>
    </row>
    <row r="5151">
      <c r="A5151">
        <f>HYPERLINK("https://mathstats.uncg.edu/sites/pauli/congruence/csg17.html#group99C17", "99C¹⁷")</f>
        <v/>
      </c>
      <c r="B5151" t="n">
        <v>17</v>
      </c>
      <c r="C5151" t="inlineStr"/>
      <c r="D5151" t="inlineStr">
        <is>
          <t>288</t>
        </is>
      </c>
      <c r="E5151" t="inlineStr">
        <is>
          <t>1</t>
        </is>
      </c>
      <c r="F5151" t="inlineStr">
        <is>
          <t>48</t>
        </is>
      </c>
      <c r="G5151" t="inlineStr">
        <is>
          <t>0</t>
        </is>
      </c>
      <c r="H5151" t="inlineStr">
        <is>
          <t>0</t>
        </is>
      </c>
      <c r="I5151" t="inlineStr">
        <is>
          <t>1⁶, 9², 11⁶, 99²</t>
        </is>
      </c>
      <c r="J5151" t="n">
        <v>16</v>
      </c>
      <c r="K5151" t="inlineStr">
        <is>
          <t>1⁴, 2², 10², 20¹</t>
        </is>
      </c>
      <c r="L5151" t="inlineStr">
        <is>
          <t>33B⁵, 99C⁹</t>
        </is>
      </c>
      <c r="M5151" t="inlineStr"/>
      <c r="N5151" t="inlineStr">
        <is>
          <t>33B⁵, 3B⁰, 11A¹, 9B⁰, 99C⁹, 1A⁰, 33C³</t>
        </is>
      </c>
      <c r="O5151" t="inlineStr"/>
    </row>
    <row r="5152">
      <c r="A5152">
        <f>HYPERLINK("https://mathstats.uncg.edu/sites/pauli/congruence/csg17.html#group100A17", "100A¹⁷")</f>
        <v/>
      </c>
      <c r="B5152" t="n">
        <v>17</v>
      </c>
      <c r="C5152" t="inlineStr"/>
      <c r="D5152" t="inlineStr">
        <is>
          <t>240</t>
        </is>
      </c>
      <c r="E5152" t="inlineStr">
        <is>
          <t>1</t>
        </is>
      </c>
      <c r="F5152" t="inlineStr">
        <is>
          <t>120</t>
        </is>
      </c>
      <c r="G5152" t="inlineStr">
        <is>
          <t>8</t>
        </is>
      </c>
      <c r="H5152" t="inlineStr">
        <is>
          <t>0</t>
        </is>
      </c>
      <c r="I5152" t="inlineStr">
        <is>
          <t>20², 100²</t>
        </is>
      </c>
      <c r="J5152" t="n">
        <v>4</v>
      </c>
      <c r="K5152" t="inlineStr">
        <is>
          <t>4⁴, 8⁸, 40⁴</t>
        </is>
      </c>
      <c r="L5152" t="inlineStr">
        <is>
          <t>20G¹, 50A⁴, 100A⁹</t>
        </is>
      </c>
      <c r="M5152" t="inlineStr"/>
      <c r="N5152" t="inlineStr">
        <is>
          <t>100A⁹, 25A², 4A⁰, 20G¹, 5B⁰, 1A⁰, 50A⁴, 20B¹, 10B⁰</t>
        </is>
      </c>
      <c r="O5152" t="inlineStr"/>
    </row>
    <row r="5153">
      <c r="A5153">
        <f>HYPERLINK("https://mathstats.uncg.edu/sites/pauli/congruence/csg17.html#group100B17", "100B¹⁷")</f>
        <v/>
      </c>
      <c r="B5153" t="n">
        <v>17</v>
      </c>
      <c r="C5153" t="inlineStr"/>
      <c r="D5153" t="inlineStr">
        <is>
          <t>240</t>
        </is>
      </c>
      <c r="E5153" t="inlineStr">
        <is>
          <t>1</t>
        </is>
      </c>
      <c r="F5153" t="inlineStr">
        <is>
          <t>120</t>
        </is>
      </c>
      <c r="G5153" t="inlineStr">
        <is>
          <t>8</t>
        </is>
      </c>
      <c r="H5153" t="inlineStr">
        <is>
          <t>0</t>
        </is>
      </c>
      <c r="I5153" t="inlineStr">
        <is>
          <t>20², 100²</t>
        </is>
      </c>
      <c r="J5153" t="n">
        <v>4</v>
      </c>
      <c r="K5153" t="inlineStr">
        <is>
          <t>4⁴, 8⁸, 40⁴</t>
        </is>
      </c>
      <c r="L5153" t="inlineStr">
        <is>
          <t>20G¹, 50B⁴, 100B⁹</t>
        </is>
      </c>
      <c r="M5153" t="inlineStr"/>
      <c r="N5153" t="inlineStr">
        <is>
          <t>50B⁴, 4A⁰, 100B⁹, 20G¹, 5B⁰, 1A⁰, 20B¹, 25B², 10B⁰</t>
        </is>
      </c>
      <c r="O5153" t="inlineStr"/>
    </row>
    <row r="5154">
      <c r="A5154">
        <f>HYPERLINK("https://mathstats.uncg.edu/sites/pauli/congruence/csg17.html#group100C17", "100C¹⁷")</f>
        <v/>
      </c>
      <c r="B5154" t="n">
        <v>17</v>
      </c>
      <c r="C5154" t="inlineStr"/>
      <c r="D5154" t="inlineStr">
        <is>
          <t>240</t>
        </is>
      </c>
      <c r="E5154" t="inlineStr">
        <is>
          <t>1</t>
        </is>
      </c>
      <c r="F5154" t="inlineStr">
        <is>
          <t>120</t>
        </is>
      </c>
      <c r="G5154" t="inlineStr">
        <is>
          <t>8</t>
        </is>
      </c>
      <c r="H5154" t="inlineStr">
        <is>
          <t>0</t>
        </is>
      </c>
      <c r="I5154" t="inlineStr">
        <is>
          <t>20², 100²</t>
        </is>
      </c>
      <c r="J5154" t="n">
        <v>4</v>
      </c>
      <c r="K5154" t="inlineStr">
        <is>
          <t>4⁴, 8⁸, 40⁴</t>
        </is>
      </c>
      <c r="L5154" t="inlineStr">
        <is>
          <t>20G¹, 50C⁴, 100C⁹</t>
        </is>
      </c>
      <c r="M5154" t="inlineStr"/>
      <c r="N5154" t="inlineStr">
        <is>
          <t>4A⁰, 20G¹, 5B⁰, 50C⁴, 1A⁰, 25C², 20B¹, 100C⁹, 10B⁰</t>
        </is>
      </c>
      <c r="O5154" t="inlineStr"/>
    </row>
    <row r="5155">
      <c r="A5155">
        <f>HYPERLINK("https://mathstats.uncg.edu/sites/pauli/congruence/csg17.html#group100D17", "100D¹⁷")</f>
        <v/>
      </c>
      <c r="B5155" t="n">
        <v>17</v>
      </c>
      <c r="C5155" t="inlineStr"/>
      <c r="D5155" t="inlineStr">
        <is>
          <t>240</t>
        </is>
      </c>
      <c r="E5155" t="inlineStr">
        <is>
          <t>1</t>
        </is>
      </c>
      <c r="F5155" t="inlineStr">
        <is>
          <t>120</t>
        </is>
      </c>
      <c r="G5155" t="inlineStr">
        <is>
          <t>8</t>
        </is>
      </c>
      <c r="H5155" t="inlineStr">
        <is>
          <t>0</t>
        </is>
      </c>
      <c r="I5155" t="inlineStr">
        <is>
          <t>20², 100²</t>
        </is>
      </c>
      <c r="J5155" t="n">
        <v>4</v>
      </c>
      <c r="K5155" t="inlineStr">
        <is>
          <t>4⁴, 8⁸, 40⁴</t>
        </is>
      </c>
      <c r="L5155" t="inlineStr">
        <is>
          <t>20G¹, 50D⁴, 100D⁹</t>
        </is>
      </c>
      <c r="M5155" t="inlineStr"/>
      <c r="N5155" t="inlineStr">
        <is>
          <t>4A⁰, 20G¹, 5B⁰, 100D⁹, 50D⁴, 1A⁰, 20B¹, 25D², 10B⁰</t>
        </is>
      </c>
      <c r="O5155" t="inlineStr"/>
    </row>
    <row r="5156">
      <c r="A5156">
        <f>HYPERLINK("https://mathstats.uncg.edu/sites/pauli/congruence/csg17.html#group100E17", "100E¹⁷")</f>
        <v/>
      </c>
      <c r="B5156" t="n">
        <v>17</v>
      </c>
      <c r="C5156" t="inlineStr"/>
      <c r="D5156" t="inlineStr">
        <is>
          <t>360</t>
        </is>
      </c>
      <c r="E5156" t="inlineStr">
        <is>
          <t>1</t>
        </is>
      </c>
      <c r="F5156" t="inlineStr">
        <is>
          <t>90</t>
        </is>
      </c>
      <c r="G5156" t="inlineStr">
        <is>
          <t>8</t>
        </is>
      </c>
      <c r="H5156" t="inlineStr">
        <is>
          <t>0</t>
        </is>
      </c>
      <c r="I5156" t="inlineStr">
        <is>
          <t>2¹⁰, 4¹⁰, 50², 100²</t>
        </is>
      </c>
      <c r="J5156" t="n">
        <v>24</v>
      </c>
      <c r="K5156" t="inlineStr">
        <is>
          <t>1⁶, 4⁶, 20³</t>
        </is>
      </c>
      <c r="L5156" t="inlineStr">
        <is>
          <t>20I¹, 50E⁶, 100A⁶, 100I⁹</t>
        </is>
      </c>
      <c r="M5156" t="inlineStr"/>
      <c r="N5156" t="inlineStr">
        <is>
          <t>20E¹, 100A⁶, 10G⁰, 4C⁰, 5B⁰, 2B⁰, 50B², 1A⁰, 10B⁰, 20A⁰, 20I¹, 50E⁶, 100I⁹, 50A², 25A⁰, 10C⁰</t>
        </is>
      </c>
      <c r="O5156" t="inlineStr"/>
    </row>
    <row r="5157">
      <c r="A5157">
        <f>HYPERLINK("https://mathstats.uncg.edu/sites/pauli/congruence/csg17.html#group102A17", "102A¹⁷")</f>
        <v/>
      </c>
      <c r="B5157" t="n">
        <v>17</v>
      </c>
      <c r="C5157" t="inlineStr"/>
      <c r="D5157" t="inlineStr">
        <is>
          <t>216</t>
        </is>
      </c>
      <c r="E5157" t="inlineStr">
        <is>
          <t>1</t>
        </is>
      </c>
      <c r="F5157" t="inlineStr">
        <is>
          <t>18</t>
        </is>
      </c>
      <c r="G5157" t="inlineStr">
        <is>
          <t>0</t>
        </is>
      </c>
      <c r="H5157" t="inlineStr">
        <is>
          <t>0</t>
        </is>
      </c>
      <c r="I5157" t="inlineStr">
        <is>
          <t>6², 102²</t>
        </is>
      </c>
      <c r="J5157" t="n">
        <v>4</v>
      </c>
      <c r="K5157" t="inlineStr">
        <is>
          <t>1², 16¹</t>
        </is>
      </c>
      <c r="L5157" t="inlineStr">
        <is>
          <t>34A⁵, 51B⁵</t>
        </is>
      </c>
      <c r="M5157" t="inlineStr"/>
      <c r="N5157" t="inlineStr">
        <is>
          <t>51A³, 34A⁵, 17B¹, 17A¹, 51B⁵, 3A⁰, 1A⁰</t>
        </is>
      </c>
      <c r="O5157" t="inlineStr"/>
    </row>
    <row r="5158">
      <c r="A5158">
        <f>HYPERLINK("https://mathstats.uncg.edu/sites/pauli/congruence/csg17.html#group102B17", "102B¹⁷")</f>
        <v/>
      </c>
      <c r="B5158" t="n">
        <v>17</v>
      </c>
      <c r="C5158" t="inlineStr"/>
      <c r="D5158" t="inlineStr">
        <is>
          <t>216</t>
        </is>
      </c>
      <c r="E5158" t="inlineStr">
        <is>
          <t>1</t>
        </is>
      </c>
      <c r="F5158" t="inlineStr">
        <is>
          <t>18</t>
        </is>
      </c>
      <c r="G5158" t="inlineStr">
        <is>
          <t>0</t>
        </is>
      </c>
      <c r="H5158" t="inlineStr">
        <is>
          <t>0</t>
        </is>
      </c>
      <c r="I5158" t="inlineStr">
        <is>
          <t>6², 102²</t>
        </is>
      </c>
      <c r="J5158" t="n">
        <v>4</v>
      </c>
      <c r="K5158" t="inlineStr">
        <is>
          <t>1², 16¹</t>
        </is>
      </c>
      <c r="L5158" t="inlineStr">
        <is>
          <t>34B⁵, 51B⁵, 102A⁹, 102B⁹</t>
        </is>
      </c>
      <c r="M5158" t="inlineStr"/>
      <c r="N5158" t="inlineStr">
        <is>
          <t>2A⁰, 102A⁹, 51A³, 17B¹, 102B⁹, 34B⁵, 17A¹, 6A¹, 51B⁵, 3A⁰, 34B³, 1A⁰, 34A³</t>
        </is>
      </c>
      <c r="O5158" t="inlineStr"/>
    </row>
    <row r="5159">
      <c r="A5159">
        <f>HYPERLINK("https://mathstats.uncg.edu/sites/pauli/congruence/csg17.html#group102C17", "102C¹⁷")</f>
        <v/>
      </c>
      <c r="B5159" t="n">
        <v>17</v>
      </c>
      <c r="C5159" t="inlineStr"/>
      <c r="D5159" t="inlineStr">
        <is>
          <t>216</t>
        </is>
      </c>
      <c r="E5159" t="inlineStr">
        <is>
          <t>1</t>
        </is>
      </c>
      <c r="F5159" t="inlineStr">
        <is>
          <t>36</t>
        </is>
      </c>
      <c r="G5159" t="inlineStr">
        <is>
          <t>0</t>
        </is>
      </c>
      <c r="H5159" t="inlineStr">
        <is>
          <t>0</t>
        </is>
      </c>
      <c r="I5159" t="inlineStr">
        <is>
          <t>6², 102²</t>
        </is>
      </c>
      <c r="J5159" t="n">
        <v>4</v>
      </c>
      <c r="K5159" t="inlineStr">
        <is>
          <t>2², 32¹</t>
        </is>
      </c>
      <c r="L5159" t="inlineStr">
        <is>
          <t>34B⁵, 102C⁹</t>
        </is>
      </c>
      <c r="M5159" t="inlineStr"/>
      <c r="N5159" t="inlineStr">
        <is>
          <t>2A⁰, 102C⁹, 6A⁰, 17B¹, 34B⁵, 17A¹, 34B³, 1A⁰, 34A³</t>
        </is>
      </c>
      <c r="O5159" t="inlineStr"/>
    </row>
    <row r="5160">
      <c r="A5160">
        <f>HYPERLINK("https://mathstats.uncg.edu/sites/pauli/congruence/csg17.html#group102D17", "102D¹⁷")</f>
        <v/>
      </c>
      <c r="B5160" t="n">
        <v>17</v>
      </c>
      <c r="C5160" t="inlineStr"/>
      <c r="D5160" t="inlineStr">
        <is>
          <t>216</t>
        </is>
      </c>
      <c r="E5160" t="inlineStr">
        <is>
          <t>1</t>
        </is>
      </c>
      <c r="F5160" t="inlineStr">
        <is>
          <t>54</t>
        </is>
      </c>
      <c r="G5160" t="inlineStr">
        <is>
          <t>0</t>
        </is>
      </c>
      <c r="H5160" t="inlineStr">
        <is>
          <t>0</t>
        </is>
      </c>
      <c r="I5160" t="inlineStr">
        <is>
          <t>6², 102²</t>
        </is>
      </c>
      <c r="J5160" t="n">
        <v>4</v>
      </c>
      <c r="K5160" t="inlineStr">
        <is>
          <t>1², 2², 16¹, 32¹</t>
        </is>
      </c>
      <c r="L5160" t="inlineStr">
        <is>
          <t>51A⁷, 102A⁷, 102B⁹</t>
        </is>
      </c>
      <c r="M5160" t="inlineStr"/>
      <c r="N5160" t="inlineStr">
        <is>
          <t>2A⁰, 51A³, 51A⁷, 102B⁹, 17A¹, 6A¹, 102A⁷, 3A⁰, 34B³, 1A⁰</t>
        </is>
      </c>
      <c r="O5160" t="inlineStr"/>
    </row>
    <row r="5161">
      <c r="A5161">
        <f>HYPERLINK("https://mathstats.uncg.edu/sites/pauli/congruence/csg17.html#group102E17", "102E¹⁷")</f>
        <v/>
      </c>
      <c r="B5161" t="n">
        <v>17</v>
      </c>
      <c r="C5161" t="inlineStr"/>
      <c r="D5161" t="inlineStr">
        <is>
          <t>216</t>
        </is>
      </c>
      <c r="E5161" t="inlineStr">
        <is>
          <t>1</t>
        </is>
      </c>
      <c r="F5161" t="inlineStr">
        <is>
          <t>54</t>
        </is>
      </c>
      <c r="G5161" t="inlineStr">
        <is>
          <t>0</t>
        </is>
      </c>
      <c r="H5161" t="inlineStr">
        <is>
          <t>0</t>
        </is>
      </c>
      <c r="I5161" t="inlineStr">
        <is>
          <t>6², 102²</t>
        </is>
      </c>
      <c r="J5161" t="n">
        <v>4</v>
      </c>
      <c r="K5161" t="inlineStr">
        <is>
          <t>1², 2², 16¹, 32¹</t>
        </is>
      </c>
      <c r="L5161" t="inlineStr">
        <is>
          <t>51A⁷, 102B⁷, 102A⁹</t>
        </is>
      </c>
      <c r="M5161" t="inlineStr"/>
      <c r="N5161" t="inlineStr">
        <is>
          <t>6B⁰, 102A⁹, 102B⁷, 51A⁷, 51A³, 17A¹, 3A⁰, 1A⁰, 34A³</t>
        </is>
      </c>
      <c r="O5161" t="inlineStr"/>
    </row>
    <row r="5162">
      <c r="A5162">
        <f>HYPERLINK("https://mathstats.uncg.edu/sites/pauli/congruence/csg17.html#group102F17", "102F¹⁷")</f>
        <v/>
      </c>
      <c r="B5162" t="n">
        <v>17</v>
      </c>
      <c r="C5162" t="inlineStr"/>
      <c r="D5162" t="inlineStr">
        <is>
          <t>216</t>
        </is>
      </c>
      <c r="E5162" t="inlineStr">
        <is>
          <t>1</t>
        </is>
      </c>
      <c r="F5162" t="inlineStr">
        <is>
          <t>54</t>
        </is>
      </c>
      <c r="G5162" t="inlineStr">
        <is>
          <t>0</t>
        </is>
      </c>
      <c r="H5162" t="inlineStr">
        <is>
          <t>0</t>
        </is>
      </c>
      <c r="I5162" t="inlineStr">
        <is>
          <t>6², 102²</t>
        </is>
      </c>
      <c r="J5162" t="n">
        <v>4</v>
      </c>
      <c r="K5162" t="inlineStr">
        <is>
          <t>1², 2², 16¹, 32¹</t>
        </is>
      </c>
      <c r="L5162" t="inlineStr">
        <is>
          <t>51B⁷, 102A⁷, 102A⁹</t>
        </is>
      </c>
      <c r="M5162" t="inlineStr"/>
      <c r="N5162" t="inlineStr">
        <is>
          <t>102A⁹, 51A³, 51B⁷, 3C⁰, 17A¹, 102A⁷, 3A⁰, 1A⁰, 34A³</t>
        </is>
      </c>
      <c r="O5162" t="inlineStr"/>
    </row>
    <row r="5163">
      <c r="A5163">
        <f>HYPERLINK("https://mathstats.uncg.edu/sites/pauli/congruence/csg17.html#group102G17", "102G¹⁷")</f>
        <v/>
      </c>
      <c r="B5163" t="n">
        <v>17</v>
      </c>
      <c r="C5163" t="inlineStr"/>
      <c r="D5163" t="inlineStr">
        <is>
          <t>216</t>
        </is>
      </c>
      <c r="E5163" t="inlineStr">
        <is>
          <t>1</t>
        </is>
      </c>
      <c r="F5163" t="inlineStr">
        <is>
          <t>54</t>
        </is>
      </c>
      <c r="G5163" t="inlineStr">
        <is>
          <t>0</t>
        </is>
      </c>
      <c r="H5163" t="inlineStr">
        <is>
          <t>0</t>
        </is>
      </c>
      <c r="I5163" t="inlineStr">
        <is>
          <t>6², 102²</t>
        </is>
      </c>
      <c r="J5163" t="n">
        <v>4</v>
      </c>
      <c r="K5163" t="inlineStr">
        <is>
          <t>1², 2², 16¹, 32¹</t>
        </is>
      </c>
      <c r="L5163" t="inlineStr">
        <is>
          <t>6B¹, 51B⁷, 102B⁷, 102B⁹</t>
        </is>
      </c>
      <c r="M5163" t="inlineStr"/>
      <c r="N5163" t="inlineStr">
        <is>
          <t>2A⁰, 6B⁰, 6B¹, 51A³, 102B⁷, 51B⁷, 102B⁹, 3C⁰, 17A¹, 6A¹, 3A⁰, 34B³, 1A⁰</t>
        </is>
      </c>
      <c r="O5163" t="inlineStr"/>
    </row>
    <row r="5164">
      <c r="A5164">
        <f>HYPERLINK("https://mathstats.uncg.edu/sites/pauli/congruence/csg17.html#group105A17", "105A¹⁷")</f>
        <v/>
      </c>
      <c r="B5164" t="n">
        <v>17</v>
      </c>
      <c r="C5164" t="inlineStr"/>
      <c r="D5164" t="inlineStr">
        <is>
          <t>252</t>
        </is>
      </c>
      <c r="E5164" t="inlineStr">
        <is>
          <t>2</t>
        </is>
      </c>
      <c r="F5164" t="inlineStr">
        <is>
          <t>42</t>
        </is>
      </c>
      <c r="G5164" t="inlineStr">
        <is>
          <t>12</t>
        </is>
      </c>
      <c r="H5164" t="inlineStr">
        <is>
          <t>0</t>
        </is>
      </c>
      <c r="I5164" t="inlineStr">
        <is>
          <t>21², 105²</t>
        </is>
      </c>
      <c r="J5164" t="n">
        <v>4</v>
      </c>
      <c r="K5164" t="inlineStr">
        <is>
          <t>2², 6⁴, 8¹, 24²</t>
        </is>
      </c>
      <c r="L5164" t="inlineStr">
        <is>
          <t>21C², 35B⁵, 105C⁶</t>
        </is>
      </c>
      <c r="M5164" t="inlineStr"/>
      <c r="N5164" t="inlineStr">
        <is>
          <t>35C², 15B⁰, 105C⁶, 7C⁰, 21C², 21A⁰, 5B⁰, 35B⁵, 3A⁰, 1A⁰, 7A⁰</t>
        </is>
      </c>
      <c r="O5164" t="inlineStr"/>
    </row>
    <row r="5165">
      <c r="A5165">
        <f>HYPERLINK("https://mathstats.uncg.edu/sites/pauli/congruence/csg17.html#group105B17", "105B¹⁷")</f>
        <v/>
      </c>
      <c r="B5165" t="n">
        <v>17</v>
      </c>
      <c r="C5165" t="inlineStr"/>
      <c r="D5165" t="inlineStr">
        <is>
          <t>252</t>
        </is>
      </c>
      <c r="E5165" t="inlineStr">
        <is>
          <t>2</t>
        </is>
      </c>
      <c r="F5165" t="inlineStr">
        <is>
          <t>84</t>
        </is>
      </c>
      <c r="G5165" t="inlineStr">
        <is>
          <t>12</t>
        </is>
      </c>
      <c r="H5165" t="inlineStr">
        <is>
          <t>0</t>
        </is>
      </c>
      <c r="I5165" t="inlineStr">
        <is>
          <t>21², 105²</t>
        </is>
      </c>
      <c r="J5165" t="n">
        <v>4</v>
      </c>
      <c r="K5165" t="inlineStr">
        <is>
          <t>4², 12⁴, 16¹, 48²</t>
        </is>
      </c>
      <c r="L5165" t="inlineStr">
        <is>
          <t>21C¹, 35B⁵</t>
        </is>
      </c>
      <c r="M5165" t="inlineStr"/>
      <c r="N5165" t="inlineStr">
        <is>
          <t>35C², 5B⁰, 35B⁵, 1A⁰, 7C⁰, 7A⁰, 21C¹</t>
        </is>
      </c>
      <c r="O5165" t="inlineStr"/>
    </row>
    <row r="5166">
      <c r="A5166">
        <f>HYPERLINK("https://mathstats.uncg.edu/sites/pauli/congruence/csg17.html#group105C17", "105C¹⁷")</f>
        <v/>
      </c>
      <c r="B5166" t="n">
        <v>17</v>
      </c>
      <c r="C5166" t="inlineStr"/>
      <c r="D5166" t="inlineStr">
        <is>
          <t>252</t>
        </is>
      </c>
      <c r="E5166" t="inlineStr">
        <is>
          <t>2</t>
        </is>
      </c>
      <c r="F5166" t="inlineStr">
        <is>
          <t>126</t>
        </is>
      </c>
      <c r="G5166" t="inlineStr">
        <is>
          <t>12</t>
        </is>
      </c>
      <c r="H5166" t="inlineStr">
        <is>
          <t>0</t>
        </is>
      </c>
      <c r="I5166" t="inlineStr">
        <is>
          <t>21², 105²</t>
        </is>
      </c>
      <c r="J5166" t="n">
        <v>4</v>
      </c>
      <c r="K5166" t="inlineStr">
        <is>
          <t>2², 4², 6⁴, 8¹, 12⁴, 16¹, 24², 48²</t>
        </is>
      </c>
      <c r="L5166" t="inlineStr">
        <is>
          <t>15E¹, 21D², 105C⁶</t>
        </is>
      </c>
      <c r="M5166" t="inlineStr"/>
      <c r="N5166" t="inlineStr">
        <is>
          <t>35C², 21D², 15B⁰, 105C⁶, 5B⁰, 21A⁰, 3C⁰, 7A⁰, 3A⁰, 1A⁰, 15E¹</t>
        </is>
      </c>
      <c r="O5166" t="inlineStr"/>
    </row>
    <row r="5167">
      <c r="A5167">
        <f>HYPERLINK("https://mathstats.uncg.edu/sites/pauli/congruence/csg17.html#group106A17", "106A¹⁷")</f>
        <v/>
      </c>
      <c r="B5167" t="n">
        <v>17</v>
      </c>
      <c r="C5167" t="inlineStr"/>
      <c r="D5167" t="inlineStr">
        <is>
          <t>216</t>
        </is>
      </c>
      <c r="E5167" t="inlineStr">
        <is>
          <t>1</t>
        </is>
      </c>
      <c r="F5167" t="inlineStr">
        <is>
          <t>54</t>
        </is>
      </c>
      <c r="G5167" t="inlineStr">
        <is>
          <t>0</t>
        </is>
      </c>
      <c r="H5167" t="inlineStr">
        <is>
          <t>0</t>
        </is>
      </c>
      <c r="I5167" t="inlineStr">
        <is>
          <t>2², 106²</t>
        </is>
      </c>
      <c r="J5167" t="n">
        <v>4</v>
      </c>
      <c r="K5167" t="inlineStr">
        <is>
          <t>1², 52¹</t>
        </is>
      </c>
      <c r="L5167" t="inlineStr">
        <is>
          <t>53A⁸, 106A⁸, 106A⁹</t>
        </is>
      </c>
      <c r="M5167" t="inlineStr"/>
      <c r="N5167" t="inlineStr">
        <is>
          <t>2A⁰, 106A⁸, 53A⁸, 1A⁰, 106A⁹, 53A⁴</t>
        </is>
      </c>
      <c r="O5167" t="inlineStr"/>
    </row>
    <row r="5168">
      <c r="A5168">
        <f>HYPERLINK("https://mathstats.uncg.edu/sites/pauli/congruence/csg17.html#group108A17", "108A¹⁷")</f>
        <v/>
      </c>
      <c r="B5168" t="n">
        <v>17</v>
      </c>
      <c r="C5168" t="inlineStr"/>
      <c r="D5168" t="inlineStr">
        <is>
          <t>216</t>
        </is>
      </c>
      <c r="E5168" t="inlineStr">
        <is>
          <t>1</t>
        </is>
      </c>
      <c r="F5168" t="inlineStr">
        <is>
          <t>36</t>
        </is>
      </c>
      <c r="G5168" t="inlineStr">
        <is>
          <t>0</t>
        </is>
      </c>
      <c r="H5168" t="inlineStr">
        <is>
          <t>0</t>
        </is>
      </c>
      <c r="I5168" t="inlineStr">
        <is>
          <t>18¹, 36¹, 54¹, 108¹</t>
        </is>
      </c>
      <c r="J5168" t="n">
        <v>4</v>
      </c>
      <c r="K5168" t="inlineStr">
        <is>
          <t>1⁶, 2⁶, 6³</t>
        </is>
      </c>
      <c r="L5168" t="inlineStr">
        <is>
          <t>36A⁵, 54A⁸</t>
        </is>
      </c>
      <c r="M5168" t="inlineStr"/>
      <c r="N5168" t="inlineStr">
        <is>
          <t>3B⁰, 12F¹, 4C⁰, 9C⁰, 18D², 27B¹, 2B⁰, 1A⁰, 36A⁵, 6F⁰, 54A⁸</t>
        </is>
      </c>
      <c r="O5168" t="inlineStr"/>
    </row>
    <row r="5169">
      <c r="A5169">
        <f>HYPERLINK("https://mathstats.uncg.edu/sites/pauli/congruence/csg17.html#group108B17", "108B¹⁷")</f>
        <v/>
      </c>
      <c r="B5169" t="n">
        <v>17</v>
      </c>
      <c r="C5169" t="inlineStr"/>
      <c r="D5169" t="inlineStr">
        <is>
          <t>216</t>
        </is>
      </c>
      <c r="E5169" t="inlineStr">
        <is>
          <t>1</t>
        </is>
      </c>
      <c r="F5169" t="inlineStr">
        <is>
          <t>36</t>
        </is>
      </c>
      <c r="G5169" t="inlineStr">
        <is>
          <t>0</t>
        </is>
      </c>
      <c r="H5169" t="inlineStr">
        <is>
          <t>0</t>
        </is>
      </c>
      <c r="I5169" t="inlineStr">
        <is>
          <t>18¹, 36¹, 54¹, 108¹</t>
        </is>
      </c>
      <c r="J5169" t="n">
        <v>4</v>
      </c>
      <c r="K5169" t="inlineStr">
        <is>
          <t>1⁶, 2⁶, 6³</t>
        </is>
      </c>
      <c r="L5169" t="inlineStr">
        <is>
          <t>36A⁵, 54B⁸</t>
        </is>
      </c>
      <c r="M5169" t="inlineStr"/>
      <c r="N5169" t="inlineStr">
        <is>
          <t>3B⁰, 27B², 12F¹, 4C⁰, 9C⁰, 54B⁸, 18D², 2B⁰, 1A⁰, 36A⁵, 6F⁰</t>
        </is>
      </c>
      <c r="O5169" t="inlineStr"/>
    </row>
    <row r="5170">
      <c r="A5170">
        <f>HYPERLINK("https://mathstats.uncg.edu/sites/pauli/congruence/csg17.html#group108C17", "108C¹⁷")</f>
        <v/>
      </c>
      <c r="B5170" t="n">
        <v>17</v>
      </c>
      <c r="C5170" t="inlineStr"/>
      <c r="D5170" t="inlineStr">
        <is>
          <t>216</t>
        </is>
      </c>
      <c r="E5170" t="inlineStr">
        <is>
          <t>1</t>
        </is>
      </c>
      <c r="F5170" t="inlineStr">
        <is>
          <t>36</t>
        </is>
      </c>
      <c r="G5170" t="inlineStr">
        <is>
          <t>0</t>
        </is>
      </c>
      <c r="H5170" t="inlineStr">
        <is>
          <t>0</t>
        </is>
      </c>
      <c r="I5170" t="inlineStr">
        <is>
          <t>18¹, 36¹, 54¹, 108¹</t>
        </is>
      </c>
      <c r="J5170" t="n">
        <v>4</v>
      </c>
      <c r="K5170" t="inlineStr">
        <is>
          <t>1⁶, 2⁶, 6³</t>
        </is>
      </c>
      <c r="L5170" t="inlineStr">
        <is>
          <t>36A⁵, 54C⁸</t>
        </is>
      </c>
      <c r="M5170" t="inlineStr"/>
      <c r="N5170" t="inlineStr">
        <is>
          <t>3B⁰, 12F¹, 4C⁰, 9C⁰, 54C⁸, 18D², 1A⁰, 2B⁰, 36A⁵, 6F⁰, 27A³</t>
        </is>
      </c>
      <c r="O5170" t="inlineStr"/>
    </row>
    <row r="5171">
      <c r="A5171">
        <f>HYPERLINK("https://mathstats.uncg.edu/sites/pauli/congruence/csg17.html#group108D17", "108D¹⁷")</f>
        <v/>
      </c>
      <c r="B5171" t="n">
        <v>17</v>
      </c>
      <c r="C5171" t="inlineStr"/>
      <c r="D5171" t="inlineStr">
        <is>
          <t>288</t>
        </is>
      </c>
      <c r="E5171" t="inlineStr">
        <is>
          <t>1</t>
        </is>
      </c>
      <c r="F5171" t="inlineStr">
        <is>
          <t>48</t>
        </is>
      </c>
      <c r="G5171" t="inlineStr">
        <is>
          <t>0</t>
        </is>
      </c>
      <c r="H5171" t="inlineStr">
        <is>
          <t>0</t>
        </is>
      </c>
      <c r="I5171" t="inlineStr">
        <is>
          <t>4¹², 12², 108²</t>
        </is>
      </c>
      <c r="J5171" t="n">
        <v>16</v>
      </c>
      <c r="K5171" t="inlineStr">
        <is>
          <t>2⁴, 4⁴, 12²</t>
        </is>
      </c>
      <c r="L5171" t="inlineStr">
        <is>
          <t>54A³, 36F⁵, 108C⁹</t>
        </is>
      </c>
      <c r="M5171" t="inlineStr"/>
      <c r="N5171" t="inlineStr">
        <is>
          <t>3B⁰, 2A⁰, 12I¹, 4A⁰, 18C¹, 12A¹, 6C⁰, 4D⁰, 9B⁰, 27A⁰, 54A³, 1A⁰, 36B³, 36F⁵, 108C⁹</t>
        </is>
      </c>
      <c r="O5171" t="inlineStr"/>
    </row>
    <row r="5172">
      <c r="A5172">
        <f>HYPERLINK("https://mathstats.uncg.edu/sites/pauli/congruence/csg17.html#group108E17", "108E¹⁷")</f>
        <v/>
      </c>
      <c r="B5172" t="n">
        <v>17</v>
      </c>
      <c r="C5172" t="inlineStr"/>
      <c r="D5172" t="inlineStr">
        <is>
          <t>288</t>
        </is>
      </c>
      <c r="E5172" t="inlineStr">
        <is>
          <t>1</t>
        </is>
      </c>
      <c r="F5172" t="inlineStr">
        <is>
          <t>96</t>
        </is>
      </c>
      <c r="G5172" t="inlineStr">
        <is>
          <t>0</t>
        </is>
      </c>
      <c r="H5172" t="inlineStr">
        <is>
          <t>0</t>
        </is>
      </c>
      <c r="I5172" t="inlineStr">
        <is>
          <t>4¹², 12², 108²</t>
        </is>
      </c>
      <c r="J5172" t="n">
        <v>16</v>
      </c>
      <c r="K5172" t="inlineStr">
        <is>
          <t>4¹², 12⁴</t>
        </is>
      </c>
      <c r="L5172" t="inlineStr">
        <is>
          <t>54B³, 36F⁵</t>
        </is>
      </c>
      <c r="M5172" t="inlineStr"/>
      <c r="N5172" t="inlineStr">
        <is>
          <t>3B⁰, 2A⁰, 12I¹, 4A⁰, 54B³, 18C¹, 12A¹, 6C⁰, 4D⁰, 9B⁰, 1A⁰, 36B³, 36F⁵</t>
        </is>
      </c>
      <c r="O5172" t="inlineStr"/>
    </row>
    <row r="5173">
      <c r="A5173">
        <f>HYPERLINK("https://mathstats.uncg.edu/sites/pauli/congruence/csg17.html#group108F17", "108F¹⁷")</f>
        <v/>
      </c>
      <c r="B5173" t="n">
        <v>17</v>
      </c>
      <c r="C5173" t="inlineStr"/>
      <c r="D5173" t="inlineStr">
        <is>
          <t>432</t>
        </is>
      </c>
      <c r="E5173" t="inlineStr">
        <is>
          <t>1</t>
        </is>
      </c>
      <c r="F5173" t="inlineStr">
        <is>
          <t>36</t>
        </is>
      </c>
      <c r="G5173" t="inlineStr">
        <is>
          <t>0</t>
        </is>
      </c>
      <c r="H5173" t="inlineStr">
        <is>
          <t>0</t>
        </is>
      </c>
      <c r="I5173" t="inlineStr">
        <is>
          <t>2²⁴, 4⁶, 6⁴, 12¹, 54⁴, 108¹</t>
        </is>
      </c>
      <c r="J5173" t="n">
        <v>40</v>
      </c>
      <c r="K5173" t="inlineStr">
        <is>
          <t>1⁶, 2⁶, 6³</t>
        </is>
      </c>
      <c r="L5173" t="inlineStr">
        <is>
          <t>36J³, 54B⁷</t>
        </is>
      </c>
      <c r="M5173" t="inlineStr"/>
      <c r="N5173" t="inlineStr">
        <is>
          <t>3B⁰, 2A⁰, 54B², 6I⁰, 6C⁰, 12I⁰, 9B⁰, 2B⁰, 18J¹, 1A⁰, 18C⁰, 18E⁰, 18C¹, 54B³, 27A⁰, 54A³, 54B⁷, 36J³, 6F⁰, 2C⁰</t>
        </is>
      </c>
      <c r="O5173" t="inlineStr"/>
    </row>
    <row r="5174">
      <c r="A5174">
        <f>HYPERLINK("https://mathstats.uncg.edu/sites/pauli/congruence/csg17.html#group108G17", "108G¹⁷")</f>
        <v/>
      </c>
      <c r="B5174" t="n">
        <v>17</v>
      </c>
      <c r="C5174" t="inlineStr"/>
      <c r="D5174" t="inlineStr">
        <is>
          <t>432</t>
        </is>
      </c>
      <c r="E5174" t="inlineStr">
        <is>
          <t>1</t>
        </is>
      </c>
      <c r="F5174" t="inlineStr">
        <is>
          <t>72</t>
        </is>
      </c>
      <c r="G5174" t="inlineStr">
        <is>
          <t>0</t>
        </is>
      </c>
      <c r="H5174" t="inlineStr">
        <is>
          <t>0</t>
        </is>
      </c>
      <c r="I5174" t="inlineStr">
        <is>
          <t>1¹², 2⁶, 3², 4¹², 6¹, 12², 27², 54¹, 108²</t>
        </is>
      </c>
      <c r="J5174" t="n">
        <v>40</v>
      </c>
      <c r="K5174" t="inlineStr">
        <is>
          <t>1⁸, 2¹⁰, 4², 6⁴, 12¹</t>
        </is>
      </c>
      <c r="L5174" t="inlineStr">
        <is>
          <t>36K³, 108A⁷</t>
        </is>
      </c>
      <c r="M5174" t="inlineStr"/>
      <c r="N5174" t="inlineStr">
        <is>
          <t>3B⁰, 54B², 18E⁰, 108A⁷, 6F⁰, 27A⁰, 9B⁰, 12J⁰, 36K³, 2B⁰, 36C¹, 4B⁰, 1A⁰, 12E⁰</t>
        </is>
      </c>
      <c r="O5174" t="inlineStr"/>
    </row>
    <row r="5175">
      <c r="A5175">
        <f>HYPERLINK("https://mathstats.uncg.edu/sites/pauli/congruence/csg17.html#group110A17", "110A¹⁷")</f>
        <v/>
      </c>
      <c r="B5175" t="n">
        <v>17</v>
      </c>
      <c r="C5175" t="inlineStr"/>
      <c r="D5175" t="inlineStr">
        <is>
          <t>220</t>
        </is>
      </c>
      <c r="E5175" t="inlineStr">
        <is>
          <t>2</t>
        </is>
      </c>
      <c r="F5175" t="inlineStr">
        <is>
          <t>110</t>
        </is>
      </c>
      <c r="G5175" t="inlineStr">
        <is>
          <t>0</t>
        </is>
      </c>
      <c r="H5175" t="inlineStr">
        <is>
          <t>4</t>
        </is>
      </c>
      <c r="I5175" t="inlineStr">
        <is>
          <t>110²</t>
        </is>
      </c>
      <c r="J5175" t="n">
        <v>2</v>
      </c>
      <c r="K5175" t="inlineStr">
        <is>
          <t>4¹, 8², 20², 40⁴</t>
        </is>
      </c>
      <c r="L5175" t="inlineStr">
        <is>
          <t>10C¹, 22A¹, 55A⁷</t>
        </is>
      </c>
      <c r="M5175" t="inlineStr"/>
      <c r="N5175" t="inlineStr">
        <is>
          <t>11A⁰, 55A⁷, 2A⁰, 22A¹, 5C⁰, 10C¹, 1A⁰</t>
        </is>
      </c>
      <c r="O5175" t="inlineStr"/>
    </row>
    <row r="5176">
      <c r="A5176">
        <f>HYPERLINK("https://mathstats.uncg.edu/sites/pauli/congruence/csg17.html#group111A17", "111A¹⁷")</f>
        <v/>
      </c>
      <c r="B5176" t="n">
        <v>17</v>
      </c>
      <c r="C5176" t="inlineStr"/>
      <c r="D5176" t="inlineStr">
        <is>
          <t>228</t>
        </is>
      </c>
      <c r="E5176" t="inlineStr">
        <is>
          <t>1</t>
        </is>
      </c>
      <c r="F5176" t="inlineStr">
        <is>
          <t>114</t>
        </is>
      </c>
      <c r="G5176" t="inlineStr">
        <is>
          <t>4</t>
        </is>
      </c>
      <c r="H5176" t="inlineStr">
        <is>
          <t>0</t>
        </is>
      </c>
      <c r="I5176" t="inlineStr">
        <is>
          <t>3², 111²</t>
        </is>
      </c>
      <c r="J5176" t="n">
        <v>4</v>
      </c>
      <c r="K5176" t="inlineStr">
        <is>
          <t>1², 2², 36¹, 72¹</t>
        </is>
      </c>
      <c r="L5176" t="inlineStr">
        <is>
          <t>3C⁰, 111A⁸</t>
        </is>
      </c>
      <c r="M5176" t="inlineStr"/>
      <c r="N5176" t="inlineStr">
        <is>
          <t>37A², 3C⁰, 111A⁸, 3A⁰, 1A⁰</t>
        </is>
      </c>
      <c r="O5176" t="inlineStr"/>
    </row>
    <row r="5177">
      <c r="A5177">
        <f>HYPERLINK("https://mathstats.uncg.edu/sites/pauli/congruence/csg17.html#group113A17", "113A¹⁷")</f>
        <v/>
      </c>
      <c r="B5177" t="n">
        <v>17</v>
      </c>
      <c r="C5177" t="inlineStr"/>
      <c r="D5177" t="inlineStr">
        <is>
          <t>228</t>
        </is>
      </c>
      <c r="E5177" t="inlineStr">
        <is>
          <t>1</t>
        </is>
      </c>
      <c r="F5177" t="inlineStr">
        <is>
          <t>114</t>
        </is>
      </c>
      <c r="G5177" t="inlineStr">
        <is>
          <t>4</t>
        </is>
      </c>
      <c r="H5177" t="inlineStr">
        <is>
          <t>0</t>
        </is>
      </c>
      <c r="I5177" t="inlineStr">
        <is>
          <t>1², 113²</t>
        </is>
      </c>
      <c r="J5177" t="n">
        <v>4</v>
      </c>
      <c r="K5177" t="inlineStr">
        <is>
          <t>1², 112¹</t>
        </is>
      </c>
      <c r="L5177" t="inlineStr">
        <is>
          <t>113A⁹</t>
        </is>
      </c>
      <c r="M5177" t="inlineStr"/>
      <c r="N5177" t="inlineStr">
        <is>
          <t>1A⁰, 113A⁹</t>
        </is>
      </c>
      <c r="O5177" t="inlineStr"/>
    </row>
    <row r="5178">
      <c r="A5178">
        <f>HYPERLINK("https://mathstats.uncg.edu/sites/pauli/congruence/csg17.html#group114A17", "114A¹⁷")</f>
        <v/>
      </c>
      <c r="B5178" t="n">
        <v>17</v>
      </c>
      <c r="C5178" t="inlineStr">
        <is>
          <t>Γ₀(114)</t>
        </is>
      </c>
      <c r="D5178" t="inlineStr">
        <is>
          <t>240</t>
        </is>
      </c>
      <c r="E5178" t="inlineStr">
        <is>
          <t>1</t>
        </is>
      </c>
      <c r="F5178" t="inlineStr">
        <is>
          <t>240</t>
        </is>
      </c>
      <c r="G5178" t="inlineStr">
        <is>
          <t>0</t>
        </is>
      </c>
      <c r="H5178" t="inlineStr">
        <is>
          <t>0</t>
        </is>
      </c>
      <c r="I5178" t="inlineStr">
        <is>
          <t>1¹, 2¹, 3¹, 6¹, 19¹, 38¹, 57¹, 114¹</t>
        </is>
      </c>
      <c r="J5178" t="n">
        <v>8</v>
      </c>
      <c r="K5178" t="inlineStr">
        <is>
          <t>1¹², 2⁶, 18⁶, 36³</t>
        </is>
      </c>
      <c r="L5178" t="inlineStr">
        <is>
          <t>6F⁰, 38A⁴, 57C⁵</t>
        </is>
      </c>
      <c r="M5178" t="inlineStr"/>
      <c r="N5178" t="inlineStr">
        <is>
          <t>3B⁰, 19A¹, 38A⁴, 6F⁰, 2B⁰, 1A⁰, 57C⁵</t>
        </is>
      </c>
      <c r="O5178" t="inlineStr"/>
    </row>
    <row r="5179">
      <c r="A5179">
        <f>HYPERLINK("https://mathstats.uncg.edu/sites/pauli/congruence/csg17.html#group116A17", "116A¹⁷")</f>
        <v/>
      </c>
      <c r="B5179" t="n">
        <v>17</v>
      </c>
      <c r="C5179" t="inlineStr"/>
      <c r="D5179" t="inlineStr">
        <is>
          <t>240</t>
        </is>
      </c>
      <c r="E5179" t="inlineStr">
        <is>
          <t>1</t>
        </is>
      </c>
      <c r="F5179" t="inlineStr">
        <is>
          <t>120</t>
        </is>
      </c>
      <c r="G5179" t="inlineStr">
        <is>
          <t>8</t>
        </is>
      </c>
      <c r="H5179" t="inlineStr">
        <is>
          <t>0</t>
        </is>
      </c>
      <c r="I5179" t="inlineStr">
        <is>
          <t>4², 116²</t>
        </is>
      </c>
      <c r="J5179" t="n">
        <v>4</v>
      </c>
      <c r="K5179" t="inlineStr">
        <is>
          <t>2⁴, 56²</t>
        </is>
      </c>
      <c r="L5179" t="inlineStr">
        <is>
          <t>58A⁴, 116A⁹</t>
        </is>
      </c>
      <c r="M5179" t="inlineStr"/>
      <c r="N5179" t="inlineStr">
        <is>
          <t>116A⁹, 58A⁴, 1A⁰, 4A⁰, 29A²</t>
        </is>
      </c>
      <c r="O5179" t="inlineStr"/>
    </row>
    <row r="5180">
      <c r="A5180">
        <f>HYPERLINK("https://mathstats.uncg.edu/sites/pauli/congruence/csg17.html#group117A17", "117A¹⁷")</f>
        <v/>
      </c>
      <c r="B5180" t="n">
        <v>17</v>
      </c>
      <c r="C5180" t="inlineStr"/>
      <c r="D5180" t="inlineStr">
        <is>
          <t>252</t>
        </is>
      </c>
      <c r="E5180" t="inlineStr">
        <is>
          <t>1</t>
        </is>
      </c>
      <c r="F5180" t="inlineStr">
        <is>
          <t>42</t>
        </is>
      </c>
      <c r="G5180" t="inlineStr">
        <is>
          <t>12</t>
        </is>
      </c>
      <c r="H5180" t="inlineStr">
        <is>
          <t>0</t>
        </is>
      </c>
      <c r="I5180" t="inlineStr">
        <is>
          <t>9², 117²</t>
        </is>
      </c>
      <c r="J5180" t="n">
        <v>4</v>
      </c>
      <c r="K5180" t="inlineStr">
        <is>
          <t>1², 2², 12¹, 24¹</t>
        </is>
      </c>
      <c r="L5180" t="inlineStr">
        <is>
          <t>9D⁰, 39A⁵, 117A⁸</t>
        </is>
      </c>
      <c r="M5180" t="inlineStr"/>
      <c r="N5180" t="inlineStr">
        <is>
          <t>117A⁸, 39A², 9D⁰, 39A⁵, 9A⁰, 13A⁰, 3C⁰, 3A⁰, 1A⁰</t>
        </is>
      </c>
      <c r="O5180" t="inlineStr"/>
    </row>
    <row r="5181">
      <c r="A5181">
        <f>HYPERLINK("https://mathstats.uncg.edu/sites/pauli/congruence/csg17.html#group117B17", "117B¹⁷")</f>
        <v/>
      </c>
      <c r="B5181" t="n">
        <v>17</v>
      </c>
      <c r="C5181" t="inlineStr"/>
      <c r="D5181" t="inlineStr">
        <is>
          <t>252</t>
        </is>
      </c>
      <c r="E5181" t="inlineStr">
        <is>
          <t>1</t>
        </is>
      </c>
      <c r="F5181" t="inlineStr">
        <is>
          <t>84</t>
        </is>
      </c>
      <c r="G5181" t="inlineStr">
        <is>
          <t>12</t>
        </is>
      </c>
      <c r="H5181" t="inlineStr">
        <is>
          <t>0</t>
        </is>
      </c>
      <c r="I5181" t="inlineStr">
        <is>
          <t>9², 117²</t>
        </is>
      </c>
      <c r="J5181" t="n">
        <v>4</v>
      </c>
      <c r="K5181" t="inlineStr">
        <is>
          <t>2⁶, 24³</t>
        </is>
      </c>
      <c r="L5181" t="inlineStr">
        <is>
          <t>39A⁵</t>
        </is>
      </c>
      <c r="M5181" t="inlineStr"/>
      <c r="N5181" t="inlineStr">
        <is>
          <t>13A⁰, 39A², 3C⁰, 3A⁰, 39A⁵, 1A⁰</t>
        </is>
      </c>
      <c r="O5181" t="inlineStr"/>
    </row>
    <row r="5182">
      <c r="A5182">
        <f>HYPERLINK("https://mathstats.uncg.edu/sites/pauli/congruence/csg17.html#group117C17", "117C¹⁷")</f>
        <v/>
      </c>
      <c r="B5182" t="n">
        <v>17</v>
      </c>
      <c r="C5182" t="inlineStr"/>
      <c r="D5182" t="inlineStr">
        <is>
          <t>252</t>
        </is>
      </c>
      <c r="E5182" t="inlineStr">
        <is>
          <t>1</t>
        </is>
      </c>
      <c r="F5182" t="inlineStr">
        <is>
          <t>252</t>
        </is>
      </c>
      <c r="G5182" t="inlineStr">
        <is>
          <t>4</t>
        </is>
      </c>
      <c r="H5182" t="inlineStr">
        <is>
          <t>0</t>
        </is>
      </c>
      <c r="I5182" t="inlineStr">
        <is>
          <t>3³, 9¹, 39³, 117¹</t>
        </is>
      </c>
      <c r="J5182" t="n">
        <v>8</v>
      </c>
      <c r="K5182" t="inlineStr">
        <is>
          <t>1², 2², 3², 6⁴, 12¹, 24¹, 36¹, 72²</t>
        </is>
      </c>
      <c r="L5182" t="inlineStr">
        <is>
          <t>9E⁰, 39A⁵</t>
        </is>
      </c>
      <c r="M5182" t="inlineStr"/>
      <c r="N5182" t="inlineStr">
        <is>
          <t>13A⁰, 39A², 3C⁰, 3A⁰, 9E⁰, 39A⁵, 1A⁰</t>
        </is>
      </c>
      <c r="O5182" t="inlineStr"/>
    </row>
    <row r="5183">
      <c r="A5183">
        <f>HYPERLINK("https://mathstats.uncg.edu/sites/pauli/congruence/csg17.html#group119A17", "119A¹⁷")</f>
        <v/>
      </c>
      <c r="B5183" t="n">
        <v>17</v>
      </c>
      <c r="C5183" t="inlineStr"/>
      <c r="D5183" t="inlineStr">
        <is>
          <t>252</t>
        </is>
      </c>
      <c r="E5183" t="inlineStr">
        <is>
          <t>2</t>
        </is>
      </c>
      <c r="F5183" t="inlineStr">
        <is>
          <t>126</t>
        </is>
      </c>
      <c r="G5183" t="inlineStr">
        <is>
          <t>12</t>
        </is>
      </c>
      <c r="H5183" t="inlineStr">
        <is>
          <t>0</t>
        </is>
      </c>
      <c r="I5183" t="inlineStr">
        <is>
          <t>7², 119²</t>
        </is>
      </c>
      <c r="J5183" t="n">
        <v>4</v>
      </c>
      <c r="K5183" t="inlineStr">
        <is>
          <t>2², 6⁴, 32¹, 96²</t>
        </is>
      </c>
      <c r="L5183" t="inlineStr">
        <is>
          <t>17B¹, 119A⁹</t>
        </is>
      </c>
      <c r="M5183" t="inlineStr"/>
      <c r="N5183" t="inlineStr">
        <is>
          <t>119A⁹, 17A¹, 1A⁰, 17B¹, 7A⁰</t>
        </is>
      </c>
      <c r="O5183" t="inlineStr"/>
    </row>
    <row r="5184">
      <c r="A5184">
        <f>HYPERLINK("https://mathstats.uncg.edu/sites/pauli/congruence/csg17.html#group120A17", "120A¹⁷")</f>
        <v/>
      </c>
      <c r="B5184" t="n">
        <v>17</v>
      </c>
      <c r="C5184" t="inlineStr"/>
      <c r="D5184" t="inlineStr">
        <is>
          <t>216</t>
        </is>
      </c>
      <c r="E5184" t="inlineStr">
        <is>
          <t>1</t>
        </is>
      </c>
      <c r="F5184" t="inlineStr">
        <is>
          <t>18</t>
        </is>
      </c>
      <c r="G5184" t="inlineStr">
        <is>
          <t>0</t>
        </is>
      </c>
      <c r="H5184" t="inlineStr">
        <is>
          <t>0</t>
        </is>
      </c>
      <c r="I5184" t="inlineStr">
        <is>
          <t>12¹, 24¹, 60¹, 120¹</t>
        </is>
      </c>
      <c r="J5184" t="n">
        <v>4</v>
      </c>
      <c r="K5184" t="inlineStr">
        <is>
          <t>1⁶, 4³</t>
        </is>
      </c>
      <c r="L5184" t="inlineStr">
        <is>
          <t>40B⁵, 60A⁵</t>
        </is>
      </c>
      <c r="M5184" t="inlineStr"/>
      <c r="N5184" t="inlineStr">
        <is>
          <t>20E¹, 15B⁰, 12C⁰, 30E², 60A⁵, 4C⁰, 5B⁰, 10C⁰, 40B⁵, 2B⁰, 3A⁰, 1A⁰, 6D⁰</t>
        </is>
      </c>
      <c r="O5184" t="inlineStr"/>
    </row>
    <row r="5185">
      <c r="A5185">
        <f>HYPERLINK("https://mathstats.uncg.edu/sites/pauli/congruence/csg17.html#group120B17", "120B¹⁷")</f>
        <v/>
      </c>
      <c r="B5185" t="n">
        <v>17</v>
      </c>
      <c r="C5185" t="inlineStr"/>
      <c r="D5185" t="inlineStr">
        <is>
          <t>216</t>
        </is>
      </c>
      <c r="E5185" t="inlineStr">
        <is>
          <t>1</t>
        </is>
      </c>
      <c r="F5185" t="inlineStr">
        <is>
          <t>18</t>
        </is>
      </c>
      <c r="G5185" t="inlineStr">
        <is>
          <t>0</t>
        </is>
      </c>
      <c r="H5185" t="inlineStr">
        <is>
          <t>0</t>
        </is>
      </c>
      <c r="I5185" t="inlineStr">
        <is>
          <t>12¹, 24¹, 60¹, 120¹</t>
        </is>
      </c>
      <c r="J5185" t="n">
        <v>4</v>
      </c>
      <c r="K5185" t="inlineStr">
        <is>
          <t>1⁶, 4³</t>
        </is>
      </c>
      <c r="L5185" t="inlineStr">
        <is>
          <t>24A³, 40C⁵, 60A⁵</t>
        </is>
      </c>
      <c r="M5185" t="inlineStr"/>
      <c r="N5185" t="inlineStr">
        <is>
          <t>20E¹, 24A³, 8A¹, 12C⁰, 4C⁰, 40C⁵, 5B⁰, 2B⁰, 1A⁰, 15B⁰, 30E², 60A⁵, 10C⁰, 3A⁰, 6D⁰</t>
        </is>
      </c>
      <c r="O5185" t="inlineStr"/>
    </row>
    <row r="5186">
      <c r="A5186">
        <f>HYPERLINK("https://mathstats.uncg.edu/sites/pauli/congruence/csg17.html#group120C17", "120C¹⁷")</f>
        <v/>
      </c>
      <c r="B5186" t="n">
        <v>17</v>
      </c>
      <c r="C5186" t="inlineStr"/>
      <c r="D5186" t="inlineStr">
        <is>
          <t>240</t>
        </is>
      </c>
      <c r="E5186" t="inlineStr">
        <is>
          <t>1</t>
        </is>
      </c>
      <c r="F5186" t="inlineStr">
        <is>
          <t>80</t>
        </is>
      </c>
      <c r="G5186" t="inlineStr">
        <is>
          <t>12</t>
        </is>
      </c>
      <c r="H5186" t="inlineStr">
        <is>
          <t>0</t>
        </is>
      </c>
      <c r="I5186" t="inlineStr">
        <is>
          <t>120²</t>
        </is>
      </c>
      <c r="J5186" t="n">
        <v>2</v>
      </c>
      <c r="K5186" t="inlineStr">
        <is>
          <t>4⁴, 16⁴</t>
        </is>
      </c>
      <c r="L5186" t="inlineStr">
        <is>
          <t>24F¹, 60A⁴, 40D⁵</t>
        </is>
      </c>
      <c r="M5186" t="inlineStr"/>
      <c r="N5186" t="inlineStr">
        <is>
          <t>24F¹, 5A⁰, 12A⁰, 8F⁰, 4A⁰, 60A⁴, 20A¹, 3A⁰, 1A⁰, 40D⁵, 15A¹</t>
        </is>
      </c>
      <c r="O5186" t="inlineStr"/>
    </row>
    <row r="5187">
      <c r="A5187">
        <f>HYPERLINK("https://mathstats.uncg.edu/sites/pauli/congruence/csg17.html#group120D17", "120D¹⁷")</f>
        <v/>
      </c>
      <c r="B5187" t="n">
        <v>17</v>
      </c>
      <c r="C5187" t="inlineStr"/>
      <c r="D5187" t="inlineStr">
        <is>
          <t>240</t>
        </is>
      </c>
      <c r="E5187" t="inlineStr">
        <is>
          <t>1</t>
        </is>
      </c>
      <c r="F5187" t="inlineStr">
        <is>
          <t>120</t>
        </is>
      </c>
      <c r="G5187" t="inlineStr">
        <is>
          <t>0</t>
        </is>
      </c>
      <c r="H5187" t="inlineStr">
        <is>
          <t>0</t>
        </is>
      </c>
      <c r="I5187" t="inlineStr">
        <is>
          <t>5², 10¹, 15², 30¹, 40¹, 120¹</t>
        </is>
      </c>
      <c r="J5187" t="n">
        <v>8</v>
      </c>
      <c r="K5187" t="inlineStr">
        <is>
          <t>1⁸, 2⁶, 4⁹, 8⁶, 16¹</t>
        </is>
      </c>
      <c r="L5187" t="inlineStr">
        <is>
          <t>24G¹, 40B⁴, 60C⁸</t>
        </is>
      </c>
      <c r="M5187" t="inlineStr"/>
      <c r="N5187" t="inlineStr">
        <is>
          <t>20A², 3B⁰, 5A⁰, 10B¹, 24G¹, 8C⁰, 2B⁰, 4B⁰, 40B⁴, 1A⁰, 30D⁴, 60C⁸, 15B¹, 6F⁰, 12E⁰</t>
        </is>
      </c>
      <c r="O5187" t="inlineStr"/>
    </row>
    <row r="5188">
      <c r="A5188">
        <f>HYPERLINK("https://mathstats.uncg.edu/sites/pauli/congruence/csg17.html#group120E17", "120E¹⁷")</f>
        <v/>
      </c>
      <c r="B5188" t="n">
        <v>17</v>
      </c>
      <c r="C5188" t="inlineStr"/>
      <c r="D5188" t="inlineStr">
        <is>
          <t>240</t>
        </is>
      </c>
      <c r="E5188" t="inlineStr">
        <is>
          <t>2</t>
        </is>
      </c>
      <c r="F5188" t="inlineStr">
        <is>
          <t>40</t>
        </is>
      </c>
      <c r="G5188" t="inlineStr">
        <is>
          <t>12</t>
        </is>
      </c>
      <c r="H5188" t="inlineStr">
        <is>
          <t>0</t>
        </is>
      </c>
      <c r="I5188" t="inlineStr">
        <is>
          <t>120²</t>
        </is>
      </c>
      <c r="J5188" t="n">
        <v>2</v>
      </c>
      <c r="K5188" t="inlineStr">
        <is>
          <t>8², 16⁴</t>
        </is>
      </c>
      <c r="L5188" t="inlineStr">
        <is>
          <t>40E⁵, 60J⁷</t>
        </is>
      </c>
      <c r="M5188" t="inlineStr"/>
      <c r="N5188" t="inlineStr">
        <is>
          <t>40E⁵, 60J⁷, 15D¹, 12A⁰, 4A⁰, 5C⁰, 3A⁰, 1A⁰, 20E²</t>
        </is>
      </c>
      <c r="O5188" t="inlineStr"/>
    </row>
    <row r="5189">
      <c r="A5189">
        <f>HYPERLINK("https://mathstats.uncg.edu/sites/pauli/congruence/csg17.html#group120F17", "120F¹⁷")</f>
        <v/>
      </c>
      <c r="B5189" t="n">
        <v>17</v>
      </c>
      <c r="C5189" t="inlineStr"/>
      <c r="D5189" t="inlineStr">
        <is>
          <t>240</t>
        </is>
      </c>
      <c r="E5189" t="inlineStr">
        <is>
          <t>2</t>
        </is>
      </c>
      <c r="F5189" t="inlineStr">
        <is>
          <t>40</t>
        </is>
      </c>
      <c r="G5189" t="inlineStr">
        <is>
          <t>12</t>
        </is>
      </c>
      <c r="H5189" t="inlineStr">
        <is>
          <t>0</t>
        </is>
      </c>
      <c r="I5189" t="inlineStr">
        <is>
          <t>120²</t>
        </is>
      </c>
      <c r="J5189" t="n">
        <v>2</v>
      </c>
      <c r="K5189" t="inlineStr">
        <is>
          <t>8², 16⁴</t>
        </is>
      </c>
      <c r="L5189" t="inlineStr">
        <is>
          <t>24A¹, 40F⁵, 60J⁷</t>
        </is>
      </c>
      <c r="M5189" t="inlineStr"/>
      <c r="N5189" t="inlineStr">
        <is>
          <t>40F⁵, 60J⁷, 15D¹, 12A⁰, 24A¹, 4A⁰, 5C⁰, 8A⁰, 3A⁰, 1A⁰, 20E²</t>
        </is>
      </c>
      <c r="O5189" t="inlineStr"/>
    </row>
    <row r="5190">
      <c r="A5190">
        <f>HYPERLINK("https://mathstats.uncg.edu/sites/pauli/congruence/csg17.html#group120G17", "120G¹⁷")</f>
        <v/>
      </c>
      <c r="B5190" t="n">
        <v>17</v>
      </c>
      <c r="C5190" t="inlineStr"/>
      <c r="D5190" t="inlineStr">
        <is>
          <t>240</t>
        </is>
      </c>
      <c r="E5190" t="inlineStr">
        <is>
          <t>2</t>
        </is>
      </c>
      <c r="F5190" t="inlineStr">
        <is>
          <t>120</t>
        </is>
      </c>
      <c r="G5190" t="inlineStr">
        <is>
          <t>12</t>
        </is>
      </c>
      <c r="H5190" t="inlineStr">
        <is>
          <t>0</t>
        </is>
      </c>
      <c r="I5190" t="inlineStr">
        <is>
          <t>120²</t>
        </is>
      </c>
      <c r="J5190" t="n">
        <v>2</v>
      </c>
      <c r="K5190" t="inlineStr">
        <is>
          <t>8², 16⁶, 32⁴</t>
        </is>
      </c>
      <c r="L5190" t="inlineStr">
        <is>
          <t>60J⁷</t>
        </is>
      </c>
      <c r="M5190" t="inlineStr"/>
      <c r="N5190" t="inlineStr">
        <is>
          <t>60J⁷, 15D¹, 12A⁰, 4A⁰, 1A⁰, 3A⁰, 5C⁰, 20E²</t>
        </is>
      </c>
      <c r="O5190" t="inlineStr"/>
    </row>
    <row r="5191">
      <c r="A5191">
        <f>HYPERLINK("https://mathstats.uncg.edu/sites/pauli/congruence/csg17.html#group120H17", "120H¹⁷")</f>
        <v/>
      </c>
      <c r="B5191" t="n">
        <v>17</v>
      </c>
      <c r="C5191" t="inlineStr"/>
      <c r="D5191" t="inlineStr">
        <is>
          <t>240</t>
        </is>
      </c>
      <c r="E5191" t="inlineStr">
        <is>
          <t>2</t>
        </is>
      </c>
      <c r="F5191" t="inlineStr">
        <is>
          <t>120</t>
        </is>
      </c>
      <c r="G5191" t="inlineStr">
        <is>
          <t>12</t>
        </is>
      </c>
      <c r="H5191" t="inlineStr">
        <is>
          <t>0</t>
        </is>
      </c>
      <c r="I5191" t="inlineStr">
        <is>
          <t>120²</t>
        </is>
      </c>
      <c r="J5191" t="n">
        <v>2</v>
      </c>
      <c r="K5191" t="inlineStr">
        <is>
          <t>8², 16⁶, 32⁴</t>
        </is>
      </c>
      <c r="L5191" t="inlineStr">
        <is>
          <t>24B¹, 60J⁷</t>
        </is>
      </c>
      <c r="M5191" t="inlineStr"/>
      <c r="N5191" t="inlineStr">
        <is>
          <t>60J⁷, 15D¹, 12A⁰, 4A⁰, 1A⁰, 24B¹, 3A⁰, 5C⁰, 20E²</t>
        </is>
      </c>
      <c r="O5191" t="inlineStr"/>
    </row>
    <row r="5192">
      <c r="A5192">
        <f>HYPERLINK("https://mathstats.uncg.edu/sites/pauli/congruence/csg17.html#group120I17", "120I¹⁷")</f>
        <v/>
      </c>
      <c r="B5192" t="n">
        <v>17</v>
      </c>
      <c r="C5192" t="inlineStr"/>
      <c r="D5192" t="inlineStr">
        <is>
          <t>288</t>
        </is>
      </c>
      <c r="E5192" t="inlineStr">
        <is>
          <t>1</t>
        </is>
      </c>
      <c r="F5192" t="inlineStr">
        <is>
          <t>24</t>
        </is>
      </c>
      <c r="G5192" t="inlineStr">
        <is>
          <t>24</t>
        </is>
      </c>
      <c r="H5192" t="inlineStr">
        <is>
          <t>0</t>
        </is>
      </c>
      <c r="I5192" t="inlineStr">
        <is>
          <t>24², 120²</t>
        </is>
      </c>
      <c r="J5192" t="n">
        <v>4</v>
      </c>
      <c r="K5192" t="inlineStr">
        <is>
          <t>4⁴, 16²</t>
        </is>
      </c>
      <c r="L5192" t="inlineStr">
        <is>
          <t>40G⁵, 60C⁵</t>
        </is>
      </c>
      <c r="M5192" t="inlineStr"/>
      <c r="N5192" t="inlineStr">
        <is>
          <t>30A⁰, 15B⁰, 12A⁰, 40G⁵, 60C⁵, 4A⁰, 20G¹, 5B⁰, 60B³, 3A⁰, 1A⁰, 20B¹, 10B⁰</t>
        </is>
      </c>
      <c r="O5192" t="inlineStr"/>
    </row>
    <row r="5193">
      <c r="A5193">
        <f>HYPERLINK("https://mathstats.uncg.edu/sites/pauli/congruence/csg17.html#group120J17", "120J¹⁷")</f>
        <v/>
      </c>
      <c r="B5193" t="n">
        <v>17</v>
      </c>
      <c r="C5193" t="inlineStr"/>
      <c r="D5193" t="inlineStr">
        <is>
          <t>288</t>
        </is>
      </c>
      <c r="E5193" t="inlineStr">
        <is>
          <t>1</t>
        </is>
      </c>
      <c r="F5193" t="inlineStr">
        <is>
          <t>24</t>
        </is>
      </c>
      <c r="G5193" t="inlineStr">
        <is>
          <t>24</t>
        </is>
      </c>
      <c r="H5193" t="inlineStr">
        <is>
          <t>0</t>
        </is>
      </c>
      <c r="I5193" t="inlineStr">
        <is>
          <t>24², 120²</t>
        </is>
      </c>
      <c r="J5193" t="n">
        <v>4</v>
      </c>
      <c r="K5193" t="inlineStr">
        <is>
          <t>4⁴, 16²</t>
        </is>
      </c>
      <c r="L5193" t="inlineStr">
        <is>
          <t>40H⁵, 60C⁵</t>
        </is>
      </c>
      <c r="M5193" t="inlineStr"/>
      <c r="N5193" t="inlineStr">
        <is>
          <t>30A⁰, 15B⁰, 12A⁰, 40H⁵, 60C⁵, 4A⁰, 20G¹, 5B⁰, 60B³, 3A⁰, 1A⁰, 20B¹, 10B⁰</t>
        </is>
      </c>
      <c r="O5193" t="inlineStr"/>
    </row>
    <row r="5194">
      <c r="A5194">
        <f>HYPERLINK("https://mathstats.uncg.edu/sites/pauli/congruence/csg17.html#group120K17", "120K¹⁷")</f>
        <v/>
      </c>
      <c r="B5194" t="n">
        <v>17</v>
      </c>
      <c r="C5194" t="inlineStr"/>
      <c r="D5194" t="inlineStr">
        <is>
          <t>288</t>
        </is>
      </c>
      <c r="E5194" t="inlineStr">
        <is>
          <t>1</t>
        </is>
      </c>
      <c r="F5194" t="inlineStr">
        <is>
          <t>72</t>
        </is>
      </c>
      <c r="G5194" t="inlineStr">
        <is>
          <t>24</t>
        </is>
      </c>
      <c r="H5194" t="inlineStr">
        <is>
          <t>0</t>
        </is>
      </c>
      <c r="I5194" t="inlineStr">
        <is>
          <t>24², 120²</t>
        </is>
      </c>
      <c r="J5194" t="n">
        <v>4</v>
      </c>
      <c r="K5194" t="inlineStr">
        <is>
          <t>4⁴, 8⁴, 16², 32²</t>
        </is>
      </c>
      <c r="L5194" t="inlineStr">
        <is>
          <t>60C⁵</t>
        </is>
      </c>
      <c r="M5194" t="inlineStr"/>
      <c r="N5194" t="inlineStr">
        <is>
          <t>30A⁰, 15B⁰, 12A⁰, 60C⁵, 4A⁰, 20G¹, 5B⁰, 60B³, 3A⁰, 1A⁰, 20B¹, 10B⁰</t>
        </is>
      </c>
      <c r="O5194" t="inlineStr"/>
    </row>
    <row r="5195">
      <c r="A5195">
        <f>HYPERLINK("https://mathstats.uncg.edu/sites/pauli/congruence/csg17.html#group120L17", "120L¹⁷")</f>
        <v/>
      </c>
      <c r="B5195" t="n">
        <v>17</v>
      </c>
      <c r="C5195" t="inlineStr"/>
      <c r="D5195" t="inlineStr">
        <is>
          <t>288</t>
        </is>
      </c>
      <c r="E5195" t="inlineStr">
        <is>
          <t>1</t>
        </is>
      </c>
      <c r="F5195" t="inlineStr">
        <is>
          <t>72</t>
        </is>
      </c>
      <c r="G5195" t="inlineStr">
        <is>
          <t>24</t>
        </is>
      </c>
      <c r="H5195" t="inlineStr">
        <is>
          <t>0</t>
        </is>
      </c>
      <c r="I5195" t="inlineStr">
        <is>
          <t>24², 120²</t>
        </is>
      </c>
      <c r="J5195" t="n">
        <v>4</v>
      </c>
      <c r="K5195" t="inlineStr">
        <is>
          <t>4⁴, 8⁴, 16², 32²</t>
        </is>
      </c>
      <c r="L5195" t="inlineStr">
        <is>
          <t>60C⁵</t>
        </is>
      </c>
      <c r="M5195" t="inlineStr"/>
      <c r="N5195" t="inlineStr">
        <is>
          <t>30A⁰, 15B⁰, 12A⁰, 60C⁵, 4A⁰, 20G¹, 5B⁰, 60B³, 3A⁰, 1A⁰, 20B¹, 10B⁰</t>
        </is>
      </c>
      <c r="O5195" t="inlineStr"/>
    </row>
    <row r="5196">
      <c r="A5196">
        <f>HYPERLINK("https://mathstats.uncg.edu/sites/pauli/congruence/csg17.html#group120M17", "120M¹⁷")</f>
        <v/>
      </c>
      <c r="B5196" t="n">
        <v>17</v>
      </c>
      <c r="C5196" t="inlineStr"/>
      <c r="D5196" t="inlineStr">
        <is>
          <t>288</t>
        </is>
      </c>
      <c r="E5196" t="inlineStr">
        <is>
          <t>1</t>
        </is>
      </c>
      <c r="F5196" t="inlineStr">
        <is>
          <t>96</t>
        </is>
      </c>
      <c r="G5196" t="inlineStr">
        <is>
          <t>24</t>
        </is>
      </c>
      <c r="H5196" t="inlineStr">
        <is>
          <t>0</t>
        </is>
      </c>
      <c r="I5196" t="inlineStr">
        <is>
          <t>24², 120²</t>
        </is>
      </c>
      <c r="J5196" t="n">
        <v>4</v>
      </c>
      <c r="K5196" t="inlineStr">
        <is>
          <t>4⁸, 16⁴</t>
        </is>
      </c>
      <c r="L5196" t="inlineStr">
        <is>
          <t>24F¹, 60B³, 40I⁵</t>
        </is>
      </c>
      <c r="M5196" t="inlineStr"/>
      <c r="N5196" t="inlineStr">
        <is>
          <t>24F¹, 40I⁵, 15B⁰, 12A⁰, 8F⁰, 4A⁰, 5B⁰, 60B³, 3A⁰, 1A⁰, 20B¹</t>
        </is>
      </c>
      <c r="O5196" t="inlineStr"/>
    </row>
    <row r="5197">
      <c r="A5197">
        <f>HYPERLINK("https://mathstats.uncg.edu/sites/pauli/congruence/csg17.html#group120N17", "120N¹⁷")</f>
        <v/>
      </c>
      <c r="B5197" t="n">
        <v>17</v>
      </c>
      <c r="C5197" t="inlineStr"/>
      <c r="D5197" t="inlineStr">
        <is>
          <t>288</t>
        </is>
      </c>
      <c r="E5197" t="inlineStr">
        <is>
          <t>1</t>
        </is>
      </c>
      <c r="F5197" t="inlineStr">
        <is>
          <t>144</t>
        </is>
      </c>
      <c r="G5197" t="inlineStr">
        <is>
          <t>0</t>
        </is>
      </c>
      <c r="H5197" t="inlineStr">
        <is>
          <t>0</t>
        </is>
      </c>
      <c r="I5197" t="inlineStr">
        <is>
          <t>1², 2¹, 3², 5², 6¹, 8¹, 10¹, 15², 24¹, 30¹, 40¹, 120¹</t>
        </is>
      </c>
      <c r="J5197" t="n">
        <v>16</v>
      </c>
      <c r="K5197" t="inlineStr">
        <is>
          <t>1¹⁶, 2¹², 4¹⁰, 8⁶, 16¹</t>
        </is>
      </c>
      <c r="L5197" t="inlineStr">
        <is>
          <t>40E³, 60P⁷</t>
        </is>
      </c>
      <c r="M5197" t="inlineStr"/>
      <c r="N5197" t="inlineStr">
        <is>
          <t>3B⁰, 5B⁰, 20D¹, 2B⁰, 4B⁰, 1A⁰, 15C¹, 10C⁰, 40E³, 60P⁷, 30K³, 6F⁰, 12E⁰</t>
        </is>
      </c>
      <c r="O5197" t="inlineStr"/>
    </row>
    <row r="5198">
      <c r="A5198">
        <f>HYPERLINK("https://mathstats.uncg.edu/sites/pauli/congruence/csg17.html#group120O17", "120O¹⁷")</f>
        <v/>
      </c>
      <c r="B5198" t="n">
        <v>17</v>
      </c>
      <c r="C5198" t="inlineStr">
        <is>
          <t>Γ₀(120)</t>
        </is>
      </c>
      <c r="D5198" t="inlineStr">
        <is>
          <t>288</t>
        </is>
      </c>
      <c r="E5198" t="inlineStr">
        <is>
          <t>1</t>
        </is>
      </c>
      <c r="F5198" t="inlineStr">
        <is>
          <t>144</t>
        </is>
      </c>
      <c r="G5198" t="inlineStr">
        <is>
          <t>0</t>
        </is>
      </c>
      <c r="H5198" t="inlineStr">
        <is>
          <t>0</t>
        </is>
      </c>
      <c r="I5198" t="inlineStr">
        <is>
          <t>1², 2¹, 3², 5², 6¹, 8¹, 10¹, 15², 24¹, 30¹, 40¹, 120¹</t>
        </is>
      </c>
      <c r="J5198" t="n">
        <v>16</v>
      </c>
      <c r="K5198" t="inlineStr">
        <is>
          <t>1¹⁶, 2¹², 4¹⁰, 8⁶, 16¹</t>
        </is>
      </c>
      <c r="L5198" t="inlineStr">
        <is>
          <t>24G¹, 40F³, 60P⁷</t>
        </is>
      </c>
      <c r="M5198" t="inlineStr"/>
      <c r="N5198" t="inlineStr">
        <is>
          <t>3B⁰, 24G¹, 5B⁰, 20D¹, 8C⁰, 2B⁰, 4B⁰, 1A⁰, 15C¹, 40F³, 10C⁰, 60P⁷, 30K³, 6F⁰, 12E⁰</t>
        </is>
      </c>
      <c r="O5198" t="inlineStr"/>
    </row>
    <row r="5199">
      <c r="A5199">
        <f>HYPERLINK("https://mathstats.uncg.edu/sites/pauli/congruence/csg17.html#group120P17", "120P¹⁷")</f>
        <v/>
      </c>
      <c r="B5199" t="n">
        <v>17</v>
      </c>
      <c r="C5199" t="inlineStr"/>
      <c r="D5199" t="inlineStr">
        <is>
          <t>288</t>
        </is>
      </c>
      <c r="E5199" t="inlineStr">
        <is>
          <t>2</t>
        </is>
      </c>
      <c r="F5199" t="inlineStr">
        <is>
          <t>24</t>
        </is>
      </c>
      <c r="G5199" t="inlineStr">
        <is>
          <t>24</t>
        </is>
      </c>
      <c r="H5199" t="inlineStr">
        <is>
          <t>0</t>
        </is>
      </c>
      <c r="I5199" t="inlineStr">
        <is>
          <t>24², 120²</t>
        </is>
      </c>
      <c r="J5199" t="n">
        <v>4</v>
      </c>
      <c r="K5199" t="inlineStr">
        <is>
          <t>4⁴, 16²</t>
        </is>
      </c>
      <c r="L5199" t="inlineStr">
        <is>
          <t>40J⁵, 60C⁵, 120C⁹, 120D⁹</t>
        </is>
      </c>
      <c r="M5199" t="inlineStr"/>
      <c r="N5199" t="inlineStr">
        <is>
          <t>30A⁰, 40A³, 60C⁵, 5B⁰, 8A⁰, 120D⁹, 1A⁰, 120C⁹, 20B¹, 10B⁰, 15B⁰, 12A⁰, 24A¹, 4A⁰, 40J⁵, 40B³, 20G¹, 60B³, 3A⁰</t>
        </is>
      </c>
      <c r="O5199" t="inlineStr"/>
    </row>
    <row r="5200">
      <c r="A5200">
        <f>HYPERLINK("https://mathstats.uncg.edu/sites/pauli/congruence/csg17.html#group120Q17", "120Q¹⁷")</f>
        <v/>
      </c>
      <c r="B5200" t="n">
        <v>17</v>
      </c>
      <c r="C5200" t="inlineStr"/>
      <c r="D5200" t="inlineStr">
        <is>
          <t>288</t>
        </is>
      </c>
      <c r="E5200" t="inlineStr">
        <is>
          <t>2</t>
        </is>
      </c>
      <c r="F5200" t="inlineStr">
        <is>
          <t>72</t>
        </is>
      </c>
      <c r="G5200" t="inlineStr">
        <is>
          <t>24</t>
        </is>
      </c>
      <c r="H5200" t="inlineStr">
        <is>
          <t>0</t>
        </is>
      </c>
      <c r="I5200" t="inlineStr">
        <is>
          <t>24², 120²</t>
        </is>
      </c>
      <c r="J5200" t="n">
        <v>4</v>
      </c>
      <c r="K5200" t="inlineStr">
        <is>
          <t>4⁴, 8⁴, 16², 32²</t>
        </is>
      </c>
      <c r="L5200" t="inlineStr">
        <is>
          <t>60C⁵, 120E⁹, 120F⁹</t>
        </is>
      </c>
      <c r="M5200" t="inlineStr"/>
      <c r="N5200" t="inlineStr">
        <is>
          <t>30A⁰, 15B⁰, 12A⁰, 60C⁵, 120F⁹, 4A⁰, 20G¹, 5B⁰, 120E⁹, 60B³, 24B¹, 3A⁰, 1A⁰, 20B¹, 10B⁰</t>
        </is>
      </c>
      <c r="O5200" t="inlineStr"/>
    </row>
    <row r="5201">
      <c r="A5201">
        <f>HYPERLINK("https://mathstats.uncg.edu/sites/pauli/congruence/csg17.html#group122A17", "122A¹⁷")</f>
        <v/>
      </c>
      <c r="B5201" t="n">
        <v>17</v>
      </c>
      <c r="C5201" t="inlineStr"/>
      <c r="D5201" t="inlineStr">
        <is>
          <t>248</t>
        </is>
      </c>
      <c r="E5201" t="inlineStr">
        <is>
          <t>1</t>
        </is>
      </c>
      <c r="F5201" t="inlineStr">
        <is>
          <t>62</t>
        </is>
      </c>
      <c r="G5201" t="inlineStr">
        <is>
          <t>0</t>
        </is>
      </c>
      <c r="H5201" t="inlineStr">
        <is>
          <t>8</t>
        </is>
      </c>
      <c r="I5201" t="inlineStr">
        <is>
          <t>2², 122²</t>
        </is>
      </c>
      <c r="J5201" t="n">
        <v>4</v>
      </c>
      <c r="K5201" t="inlineStr">
        <is>
          <t>1², 60¹</t>
        </is>
      </c>
      <c r="L5201" t="inlineStr">
        <is>
          <t>61A⁸, 122A⁸, 122A⁹</t>
        </is>
      </c>
      <c r="M5201" t="inlineStr"/>
      <c r="N5201" t="inlineStr">
        <is>
          <t>122A⁸, 122A⁹, 2A⁰, 61A⁴, 61A⁸, 1A⁰</t>
        </is>
      </c>
      <c r="O5201" t="inlineStr"/>
    </row>
    <row r="5202">
      <c r="A5202">
        <f>HYPERLINK("https://mathstats.uncg.edu/sites/pauli/congruence/csg17.html#group123A17", "123A¹⁷")</f>
        <v/>
      </c>
      <c r="B5202" t="n">
        <v>17</v>
      </c>
      <c r="C5202" t="inlineStr"/>
      <c r="D5202" t="inlineStr">
        <is>
          <t>252</t>
        </is>
      </c>
      <c r="E5202" t="inlineStr">
        <is>
          <t>1</t>
        </is>
      </c>
      <c r="F5202" t="inlineStr">
        <is>
          <t>42</t>
        </is>
      </c>
      <c r="G5202" t="inlineStr">
        <is>
          <t>12</t>
        </is>
      </c>
      <c r="H5202" t="inlineStr">
        <is>
          <t>0</t>
        </is>
      </c>
      <c r="I5202" t="inlineStr">
        <is>
          <t>3², 123²</t>
        </is>
      </c>
      <c r="J5202" t="n">
        <v>4</v>
      </c>
      <c r="K5202" t="inlineStr">
        <is>
          <t>1², 40¹</t>
        </is>
      </c>
      <c r="L5202" t="inlineStr">
        <is>
          <t>41A⁵, 123A⁹</t>
        </is>
      </c>
      <c r="M5202" t="inlineStr"/>
      <c r="N5202" t="inlineStr">
        <is>
          <t>123A⁹, 41A³, 3A⁰, 1A⁰, 41A⁵</t>
        </is>
      </c>
      <c r="O5202" t="inlineStr"/>
    </row>
    <row r="5203">
      <c r="A5203">
        <f>HYPERLINK("https://mathstats.uncg.edu/sites/pauli/congruence/csg17.html#group126A17", "126A¹⁷")</f>
        <v/>
      </c>
      <c r="B5203" t="n">
        <v>17</v>
      </c>
      <c r="C5203" t="inlineStr"/>
      <c r="D5203" t="inlineStr">
        <is>
          <t>216</t>
        </is>
      </c>
      <c r="E5203" t="inlineStr">
        <is>
          <t>1</t>
        </is>
      </c>
      <c r="F5203" t="inlineStr">
        <is>
          <t>216</t>
        </is>
      </c>
      <c r="G5203" t="inlineStr">
        <is>
          <t>0</t>
        </is>
      </c>
      <c r="H5203" t="inlineStr">
        <is>
          <t>0</t>
        </is>
      </c>
      <c r="I5203" t="inlineStr">
        <is>
          <t>9¹, 18¹, 63¹, 126¹</t>
        </is>
      </c>
      <c r="J5203" t="n">
        <v>4</v>
      </c>
      <c r="K5203" t="inlineStr">
        <is>
          <t>1⁶, 2⁶, 6⁹, 12³, 36³</t>
        </is>
      </c>
      <c r="L5203" t="inlineStr">
        <is>
          <t>18E¹, 42A⁵, 63A⁶</t>
        </is>
      </c>
      <c r="M5203" t="inlineStr"/>
      <c r="N5203" t="inlineStr">
        <is>
          <t>63A⁶, 21A², 42A⁵, 7B⁰, 9A⁰, 14C¹, 2B⁰, 18E¹, 3A⁰, 1A⁰, 6D⁰</t>
        </is>
      </c>
      <c r="O5203" t="inlineStr"/>
    </row>
    <row r="5204">
      <c r="A5204">
        <f>HYPERLINK("https://mathstats.uncg.edu/sites/pauli/congruence/csg17.html#group126B17", "126B¹⁷")</f>
        <v/>
      </c>
      <c r="B5204" t="n">
        <v>17</v>
      </c>
      <c r="C5204" t="inlineStr"/>
      <c r="D5204" t="inlineStr">
        <is>
          <t>252</t>
        </is>
      </c>
      <c r="E5204" t="inlineStr">
        <is>
          <t>2</t>
        </is>
      </c>
      <c r="F5204" t="inlineStr">
        <is>
          <t>63</t>
        </is>
      </c>
      <c r="G5204" t="inlineStr">
        <is>
          <t>16</t>
        </is>
      </c>
      <c r="H5204" t="inlineStr">
        <is>
          <t>0</t>
        </is>
      </c>
      <c r="I5204" t="inlineStr">
        <is>
          <t>126²</t>
        </is>
      </c>
      <c r="J5204" t="n">
        <v>2</v>
      </c>
      <c r="K5204" t="inlineStr">
        <is>
          <t>2¹, 4¹, 6², 12³, 36²</t>
        </is>
      </c>
      <c r="L5204" t="inlineStr">
        <is>
          <t>42F³, 126A⁶, 63D⁷, 126A⁸</t>
        </is>
      </c>
      <c r="M5204" t="inlineStr"/>
      <c r="N5204" t="inlineStr">
        <is>
          <t>14A⁰, 6B⁰, 42A¹, 21D¹, 21A⁰, 1A⁰, 63A², 126A⁸, 126A⁶, 42F³, 9A⁰, 42B¹, 3A⁰, 18A¹, 63D⁷, 7A⁰</t>
        </is>
      </c>
      <c r="O5204" t="inlineStr"/>
    </row>
    <row r="5205">
      <c r="A5205">
        <f>HYPERLINK("https://mathstats.uncg.edu/sites/pauli/congruence/csg17.html#group126C17", "126C¹⁷")</f>
        <v/>
      </c>
      <c r="B5205" t="n">
        <v>17</v>
      </c>
      <c r="C5205" t="inlineStr"/>
      <c r="D5205" t="inlineStr">
        <is>
          <t>252</t>
        </is>
      </c>
      <c r="E5205" t="inlineStr">
        <is>
          <t>2</t>
        </is>
      </c>
      <c r="F5205" t="inlineStr">
        <is>
          <t>63</t>
        </is>
      </c>
      <c r="G5205" t="inlineStr">
        <is>
          <t>16</t>
        </is>
      </c>
      <c r="H5205" t="inlineStr">
        <is>
          <t>0</t>
        </is>
      </c>
      <c r="I5205" t="inlineStr">
        <is>
          <t>126²</t>
        </is>
      </c>
      <c r="J5205" t="n">
        <v>2</v>
      </c>
      <c r="K5205" t="inlineStr">
        <is>
          <t>4³, 12⁸, 36⁴</t>
        </is>
      </c>
      <c r="L5205" t="inlineStr">
        <is>
          <t>42F⁵, 126A⁵, 63A⁸, 126C⁸</t>
        </is>
      </c>
      <c r="M5205" t="inlineStr"/>
      <c r="N5205" t="inlineStr">
        <is>
          <t>42F⁵, 6B⁰, 21C², 21A⁰, 126A⁵, 1A⁰, 18A⁰, 63A², 63A⁸, 126C⁸, 42A², 9A⁰, 7C⁰, 42B¹, 3A⁰, 7A⁰</t>
        </is>
      </c>
      <c r="O5205" t="inlineStr"/>
    </row>
    <row r="5206">
      <c r="A5206">
        <f>HYPERLINK("https://mathstats.uncg.edu/sites/pauli/congruence/csg17.html#group126D17", "126D¹⁷")</f>
        <v/>
      </c>
      <c r="B5206" t="n">
        <v>17</v>
      </c>
      <c r="C5206" t="inlineStr"/>
      <c r="D5206" t="inlineStr">
        <is>
          <t>252</t>
        </is>
      </c>
      <c r="E5206" t="inlineStr">
        <is>
          <t>2</t>
        </is>
      </c>
      <c r="F5206" t="inlineStr">
        <is>
          <t>63</t>
        </is>
      </c>
      <c r="G5206" t="inlineStr">
        <is>
          <t>16</t>
        </is>
      </c>
      <c r="H5206" t="inlineStr">
        <is>
          <t>0</t>
        </is>
      </c>
      <c r="I5206" t="inlineStr">
        <is>
          <t>126²</t>
        </is>
      </c>
      <c r="J5206" t="n">
        <v>2</v>
      </c>
      <c r="K5206" t="inlineStr">
        <is>
          <t>4³, 12⁸, 36⁴</t>
        </is>
      </c>
      <c r="L5206" t="inlineStr">
        <is>
          <t>42F⁵, 126B⁵, 63A⁸, 126B⁸</t>
        </is>
      </c>
      <c r="M5206" t="inlineStr"/>
      <c r="N5206" t="inlineStr">
        <is>
          <t>42F⁵, 6B⁰, 21C², 21A⁰, 1A⁰, 18A⁰, 63A², 63A⁸, 42A², 9A⁰, 7C⁰, 126B⁵, 42B¹, 3A⁰, 126B⁸, 7A⁰</t>
        </is>
      </c>
      <c r="O5206" t="inlineStr"/>
    </row>
    <row r="5207">
      <c r="A5207">
        <f>HYPERLINK("https://mathstats.uncg.edu/sites/pauli/congruence/csg17.html#group126E17", "126E¹⁷")</f>
        <v/>
      </c>
      <c r="B5207" t="n">
        <v>17</v>
      </c>
      <c r="C5207" t="inlineStr"/>
      <c r="D5207" t="inlineStr">
        <is>
          <t>252</t>
        </is>
      </c>
      <c r="E5207" t="inlineStr">
        <is>
          <t>2</t>
        </is>
      </c>
      <c r="F5207" t="inlineStr">
        <is>
          <t>126</t>
        </is>
      </c>
      <c r="G5207" t="inlineStr">
        <is>
          <t>12</t>
        </is>
      </c>
      <c r="H5207" t="inlineStr">
        <is>
          <t>0</t>
        </is>
      </c>
      <c r="I5207" t="inlineStr">
        <is>
          <t>42³, 126¹</t>
        </is>
      </c>
      <c r="J5207" t="n">
        <v>4</v>
      </c>
      <c r="K5207" t="inlineStr">
        <is>
          <t>2¹, 4¹, 6³, 12⁴, 18², 36⁴</t>
        </is>
      </c>
      <c r="L5207" t="inlineStr">
        <is>
          <t>18F¹, 42F⁴, 63B⁸</t>
        </is>
      </c>
      <c r="M5207" t="inlineStr"/>
      <c r="N5207" t="inlineStr">
        <is>
          <t>21D², 6B⁰, 42F⁴, 42B¹, 6E⁰, 21A⁰, 3C⁰, 18F¹, 9E⁰, 3A⁰, 1A⁰, 7A⁰, 63B⁸</t>
        </is>
      </c>
      <c r="O5207" t="inlineStr"/>
    </row>
    <row r="5208">
      <c r="A5208">
        <f>HYPERLINK("https://mathstats.uncg.edu/sites/pauli/congruence/csg17.html#group126F17", "126F¹⁷")</f>
        <v/>
      </c>
      <c r="B5208" t="n">
        <v>17</v>
      </c>
      <c r="C5208" t="inlineStr"/>
      <c r="D5208" t="inlineStr">
        <is>
          <t>252</t>
        </is>
      </c>
      <c r="E5208" t="inlineStr">
        <is>
          <t>2</t>
        </is>
      </c>
      <c r="F5208" t="inlineStr">
        <is>
          <t>126</t>
        </is>
      </c>
      <c r="G5208" t="inlineStr">
        <is>
          <t>16</t>
        </is>
      </c>
      <c r="H5208" t="inlineStr">
        <is>
          <t>0</t>
        </is>
      </c>
      <c r="I5208" t="inlineStr">
        <is>
          <t>126²</t>
        </is>
      </c>
      <c r="J5208" t="n">
        <v>2</v>
      </c>
      <c r="K5208" t="inlineStr">
        <is>
          <t>12⁹, 36⁴</t>
        </is>
      </c>
      <c r="L5208" t="inlineStr">
        <is>
          <t>42F³, 63E⁷</t>
        </is>
      </c>
      <c r="M5208" t="inlineStr"/>
      <c r="N5208" t="inlineStr">
        <is>
          <t>14A⁰, 6B⁰, 42A¹, 7A⁰, 21D¹, 21A⁰, 42B¹, 3A⁰, 1A⁰, 42F³, 63E⁷</t>
        </is>
      </c>
      <c r="O5208" t="inlineStr"/>
    </row>
    <row r="5209">
      <c r="A5209">
        <f>HYPERLINK("https://mathstats.uncg.edu/sites/pauli/congruence/csg17.html#group126G17", "126G¹⁷")</f>
        <v/>
      </c>
      <c r="B5209" t="n">
        <v>17</v>
      </c>
      <c r="C5209" t="inlineStr"/>
      <c r="D5209" t="inlineStr">
        <is>
          <t>252</t>
        </is>
      </c>
      <c r="E5209" t="inlineStr">
        <is>
          <t>2</t>
        </is>
      </c>
      <c r="F5209" t="inlineStr">
        <is>
          <t>126</t>
        </is>
      </c>
      <c r="G5209" t="inlineStr">
        <is>
          <t>16</t>
        </is>
      </c>
      <c r="H5209" t="inlineStr">
        <is>
          <t>0</t>
        </is>
      </c>
      <c r="I5209" t="inlineStr">
        <is>
          <t>126²</t>
        </is>
      </c>
      <c r="J5209" t="n">
        <v>2</v>
      </c>
      <c r="K5209" t="inlineStr">
        <is>
          <t>4³, 12⁸, 36⁴</t>
        </is>
      </c>
      <c r="L5209" t="inlineStr">
        <is>
          <t>42F³, 126D⁸</t>
        </is>
      </c>
      <c r="M5209" t="inlineStr"/>
      <c r="N5209" t="inlineStr">
        <is>
          <t>14A⁰, 6B⁰, 42A¹, 42F³, 21D¹, 18B¹, 21A⁰, 42B¹, 3A⁰, 1A⁰, 126D⁸, 7A⁰</t>
        </is>
      </c>
      <c r="O5209" t="inlineStr"/>
    </row>
    <row r="5210">
      <c r="A5210">
        <f>HYPERLINK("https://mathstats.uncg.edu/sites/pauli/congruence/csg17.html#group126H17", "126H¹⁷")</f>
        <v/>
      </c>
      <c r="B5210" t="n">
        <v>17</v>
      </c>
      <c r="C5210" t="inlineStr"/>
      <c r="D5210" t="inlineStr">
        <is>
          <t>252</t>
        </is>
      </c>
      <c r="E5210" t="inlineStr">
        <is>
          <t>2</t>
        </is>
      </c>
      <c r="F5210" t="inlineStr">
        <is>
          <t>252</t>
        </is>
      </c>
      <c r="G5210" t="inlineStr">
        <is>
          <t>12</t>
        </is>
      </c>
      <c r="H5210" t="inlineStr">
        <is>
          <t>0</t>
        </is>
      </c>
      <c r="I5210" t="inlineStr">
        <is>
          <t>42³, 126¹</t>
        </is>
      </c>
      <c r="J5210" t="n">
        <v>4</v>
      </c>
      <c r="K5210" t="inlineStr">
        <is>
          <t>4³, 6², 12¹⁰, 18⁴, 36⁸</t>
        </is>
      </c>
      <c r="L5210" t="inlineStr">
        <is>
          <t>18G¹, 42F⁴</t>
        </is>
      </c>
      <c r="M5210" t="inlineStr"/>
      <c r="N5210" t="inlineStr">
        <is>
          <t>21D², 6B⁰, 42F⁴, 21A⁰, 1A⁰, 6E⁰, 3C⁰, 18G¹, 42B¹, 3A⁰, 7A⁰</t>
        </is>
      </c>
      <c r="O5210" t="inlineStr"/>
    </row>
    <row r="5211">
      <c r="A5211">
        <f>HYPERLINK("https://mathstats.uncg.edu/sites/pauli/congruence/csg17.html#group126I17", "126I¹⁷")</f>
        <v/>
      </c>
      <c r="B5211" t="n">
        <v>17</v>
      </c>
      <c r="C5211" t="inlineStr"/>
      <c r="D5211" t="inlineStr">
        <is>
          <t>252</t>
        </is>
      </c>
      <c r="E5211" t="inlineStr">
        <is>
          <t>2</t>
        </is>
      </c>
      <c r="F5211" t="inlineStr">
        <is>
          <t>252</t>
        </is>
      </c>
      <c r="G5211" t="inlineStr">
        <is>
          <t>16</t>
        </is>
      </c>
      <c r="H5211" t="inlineStr">
        <is>
          <t>0</t>
        </is>
      </c>
      <c r="I5211" t="inlineStr">
        <is>
          <t>126²</t>
        </is>
      </c>
      <c r="J5211" t="n">
        <v>2</v>
      </c>
      <c r="K5211" t="inlineStr">
        <is>
          <t>12¹⁸, 36⁸</t>
        </is>
      </c>
      <c r="L5211" t="inlineStr">
        <is>
          <t>42F³</t>
        </is>
      </c>
      <c r="M5211" t="inlineStr"/>
      <c r="N5211" t="inlineStr">
        <is>
          <t>14A⁰, 6B⁰, 42A¹, 21D¹, 21A⁰, 42B¹, 3A⁰, 1A⁰, 42F³, 7A⁰</t>
        </is>
      </c>
      <c r="O5211" t="inlineStr"/>
    </row>
    <row r="5212">
      <c r="A5212">
        <f>HYPERLINK("https://mathstats.uncg.edu/sites/pauli/congruence/csg17.html#group126J17", "126J¹⁷")</f>
        <v/>
      </c>
      <c r="B5212" t="n">
        <v>17</v>
      </c>
      <c r="C5212" t="inlineStr">
        <is>
          <t>Γ₀(126)</t>
        </is>
      </c>
      <c r="D5212" t="inlineStr">
        <is>
          <t>288</t>
        </is>
      </c>
      <c r="E5212" t="inlineStr">
        <is>
          <t>1</t>
        </is>
      </c>
      <c r="F5212" t="inlineStr">
        <is>
          <t>96</t>
        </is>
      </c>
      <c r="G5212" t="inlineStr">
        <is>
          <t>0</t>
        </is>
      </c>
      <c r="H5212" t="inlineStr">
        <is>
          <t>0</t>
        </is>
      </c>
      <c r="I5212" t="inlineStr">
        <is>
          <t>1³, 2³, 7³, 9¹, 14³, 18¹, 63¹, 126¹</t>
        </is>
      </c>
      <c r="J5212" t="n">
        <v>16</v>
      </c>
      <c r="K5212" t="inlineStr">
        <is>
          <t>1¹², 2⁶, 6⁶, 12³</t>
        </is>
      </c>
      <c r="L5212" t="inlineStr">
        <is>
          <t>18E⁰, 42G⁵, 63A⁵</t>
        </is>
      </c>
      <c r="M5212" t="inlineStr"/>
      <c r="N5212" t="inlineStr">
        <is>
          <t>63A⁵, 3B⁰, 18E⁰, 21B¹, 7B⁰, 14C¹, 9B⁰, 1A⁰, 2B⁰, 42G⁵, 6F⁰</t>
        </is>
      </c>
      <c r="O5212" t="inlineStr"/>
    </row>
    <row r="5213">
      <c r="A5213">
        <f>HYPERLINK("https://mathstats.uncg.edu/sites/pauli/congruence/csg17.html#group126K17", "126K¹⁷")</f>
        <v/>
      </c>
      <c r="B5213" t="n">
        <v>17</v>
      </c>
      <c r="C5213" t="inlineStr"/>
      <c r="D5213" t="inlineStr">
        <is>
          <t>288</t>
        </is>
      </c>
      <c r="E5213" t="inlineStr">
        <is>
          <t>2</t>
        </is>
      </c>
      <c r="F5213" t="inlineStr">
        <is>
          <t>96</t>
        </is>
      </c>
      <c r="G5213" t="inlineStr">
        <is>
          <t>0</t>
        </is>
      </c>
      <c r="H5213" t="inlineStr">
        <is>
          <t>0</t>
        </is>
      </c>
      <c r="I5213" t="inlineStr">
        <is>
          <t>1³, 2³, 7³, 9¹, 14³, 18¹, 63¹, 126¹</t>
        </is>
      </c>
      <c r="J5213" t="n">
        <v>16</v>
      </c>
      <c r="K5213" t="inlineStr">
        <is>
          <t>2²⁴, 12¹²</t>
        </is>
      </c>
      <c r="L5213" t="inlineStr">
        <is>
          <t>63A⁴, 42G⁵</t>
        </is>
      </c>
      <c r="M5213" t="inlineStr"/>
      <c r="N5213" t="inlineStr">
        <is>
          <t>3B⁰, 21B¹, 7B⁰, 14C¹, 1A⁰, 2B⁰, 42G⁵, 6F⁰, 63A⁴</t>
        </is>
      </c>
      <c r="O5213" t="inlineStr"/>
    </row>
    <row r="5214">
      <c r="A5214">
        <f>HYPERLINK("https://mathstats.uncg.edu/sites/pauli/congruence/csg17.html#group128A17", "128A¹⁷")</f>
        <v/>
      </c>
      <c r="B5214" t="n">
        <v>17</v>
      </c>
      <c r="C5214" t="inlineStr"/>
      <c r="D5214" t="inlineStr">
        <is>
          <t>384</t>
        </is>
      </c>
      <c r="E5214" t="inlineStr">
        <is>
          <t>1</t>
        </is>
      </c>
      <c r="F5214" t="inlineStr">
        <is>
          <t>24</t>
        </is>
      </c>
      <c r="G5214" t="inlineStr">
        <is>
          <t>0</t>
        </is>
      </c>
      <c r="H5214" t="inlineStr">
        <is>
          <t>0</t>
        </is>
      </c>
      <c r="I5214" t="inlineStr">
        <is>
          <t>1¹⁶, 2⁸, 8⁴, 32², 128²</t>
        </is>
      </c>
      <c r="J5214" t="n">
        <v>32</v>
      </c>
      <c r="K5214" t="inlineStr">
        <is>
          <t>1⁴, 2², 4², 8¹</t>
        </is>
      </c>
      <c r="L5214" t="inlineStr">
        <is>
          <t>64C⁵, 128A⁹, 128B⁹</t>
        </is>
      </c>
      <c r="M5214" t="inlineStr"/>
      <c r="N5214" t="inlineStr">
        <is>
          <t>64C⁵, 64B³, 8C⁰, 2B⁰, 8I⁰, 4B⁰, 128B⁹, 1A⁰, 16H⁰, 32A¹, 16C⁰, 16D⁰, 32A⁰, 128A⁹, 64A³, 32E¹</t>
        </is>
      </c>
      <c r="O5214" t="inlineStr"/>
    </row>
    <row r="5215">
      <c r="A5215">
        <f>HYPERLINK("https://mathstats.uncg.edu/sites/pauli/congruence/csg17.html#group128B17", "128B¹⁷")</f>
        <v/>
      </c>
      <c r="B5215" t="n">
        <v>17</v>
      </c>
      <c r="C5215" t="inlineStr"/>
      <c r="D5215" t="inlineStr">
        <is>
          <t>384</t>
        </is>
      </c>
      <c r="E5215" t="inlineStr">
        <is>
          <t>2</t>
        </is>
      </c>
      <c r="F5215" t="inlineStr">
        <is>
          <t>48</t>
        </is>
      </c>
      <c r="G5215" t="inlineStr">
        <is>
          <t>0</t>
        </is>
      </c>
      <c r="H5215" t="inlineStr">
        <is>
          <t>0</t>
        </is>
      </c>
      <c r="I5215" t="inlineStr">
        <is>
          <t>1⁸, 2¹², 4⁸, 32², 128²</t>
        </is>
      </c>
      <c r="J5215" t="n">
        <v>32</v>
      </c>
      <c r="K5215" t="inlineStr">
        <is>
          <t>2⁸, 4⁴, 8⁴, 16²</t>
        </is>
      </c>
      <c r="L5215" t="inlineStr">
        <is>
          <t>64D⁵</t>
        </is>
      </c>
      <c r="M5215" t="inlineStr"/>
      <c r="N5215" t="inlineStr">
        <is>
          <t>32A¹, 32E¹, 16C⁰, 16D⁰, 32A⁰, 64A², 8C⁰, 64D⁵, 2B⁰, 8I⁰, 4B⁰, 1A⁰, 16H⁰</t>
        </is>
      </c>
      <c r="O5215" t="inlineStr"/>
    </row>
    <row r="5216">
      <c r="A5216">
        <f>HYPERLINK("https://mathstats.uncg.edu/sites/pauli/congruence/csg17.html#group130A17", "130A¹⁷")</f>
        <v/>
      </c>
      <c r="B5216" t="n">
        <v>17</v>
      </c>
      <c r="C5216" t="inlineStr">
        <is>
          <t>Γ₀(130)</t>
        </is>
      </c>
      <c r="D5216" t="inlineStr">
        <is>
          <t>252</t>
        </is>
      </c>
      <c r="E5216" t="inlineStr">
        <is>
          <t>1</t>
        </is>
      </c>
      <c r="F5216" t="inlineStr">
        <is>
          <t>252</t>
        </is>
      </c>
      <c r="G5216" t="inlineStr">
        <is>
          <t>4</t>
        </is>
      </c>
      <c r="H5216" t="inlineStr">
        <is>
          <t>0</t>
        </is>
      </c>
      <c r="I5216" t="inlineStr">
        <is>
          <t>1¹, 2¹, 5¹, 10¹, 13¹, 26¹, 65¹, 130¹</t>
        </is>
      </c>
      <c r="J5216" t="n">
        <v>8</v>
      </c>
      <c r="K5216" t="inlineStr">
        <is>
          <t>1¹², 4⁶, 12⁶, 48³</t>
        </is>
      </c>
      <c r="L5216" t="inlineStr">
        <is>
          <t>10C⁰, 26A², 65A⁵</t>
        </is>
      </c>
      <c r="M5216" t="inlineStr"/>
      <c r="N5216" t="inlineStr">
        <is>
          <t>5B⁰, 10C⁰, 13A⁰, 2B⁰, 65A⁵, 1A⁰, 26A²</t>
        </is>
      </c>
      <c r="O5216" t="inlineStr"/>
    </row>
    <row r="5217">
      <c r="A5217">
        <f>HYPERLINK("https://mathstats.uncg.edu/sites/pauli/congruence/csg17.html#group130B17", "130B¹⁷")</f>
        <v/>
      </c>
      <c r="B5217" t="n">
        <v>17</v>
      </c>
      <c r="C5217" t="inlineStr"/>
      <c r="D5217" t="inlineStr">
        <is>
          <t>280</t>
        </is>
      </c>
      <c r="E5217" t="inlineStr">
        <is>
          <t>1</t>
        </is>
      </c>
      <c r="F5217" t="inlineStr">
        <is>
          <t>70</t>
        </is>
      </c>
      <c r="G5217" t="inlineStr">
        <is>
          <t>0</t>
        </is>
      </c>
      <c r="H5217" t="inlineStr">
        <is>
          <t>16</t>
        </is>
      </c>
      <c r="I5217" t="inlineStr">
        <is>
          <t>10², 130²</t>
        </is>
      </c>
      <c r="J5217" t="n">
        <v>4</v>
      </c>
      <c r="K5217" t="inlineStr">
        <is>
          <t>1², 4², 12¹, 48¹</t>
        </is>
      </c>
      <c r="L5217" t="inlineStr">
        <is>
          <t>26B¹, 65A⁸, 130A⁸, 130A⁹</t>
        </is>
      </c>
      <c r="M5217" t="inlineStr"/>
      <c r="N5217" t="inlineStr">
        <is>
          <t>130A⁹, 2A⁰, 26B¹, 26A¹, 5A⁰, 10A⁰, 65A⁸, 130A⁸, 13A⁰, 26A⁰, 13B⁰, 1A⁰, 65A⁴</t>
        </is>
      </c>
      <c r="O5217" t="inlineStr"/>
    </row>
    <row r="5218">
      <c r="A5218">
        <f>HYPERLINK("https://mathstats.uncg.edu/sites/pauli/congruence/csg17.html#group132A17", "132A¹⁷")</f>
        <v/>
      </c>
      <c r="B5218" t="n">
        <v>17</v>
      </c>
      <c r="C5218" t="inlineStr"/>
      <c r="D5218" t="inlineStr">
        <is>
          <t>216</t>
        </is>
      </c>
      <c r="E5218" t="inlineStr">
        <is>
          <t>1</t>
        </is>
      </c>
      <c r="F5218" t="inlineStr">
        <is>
          <t>36</t>
        </is>
      </c>
      <c r="G5218" t="inlineStr">
        <is>
          <t>0</t>
        </is>
      </c>
      <c r="H5218" t="inlineStr">
        <is>
          <t>0</t>
        </is>
      </c>
      <c r="I5218" t="inlineStr">
        <is>
          <t>6¹, 12¹, 66¹, 132¹</t>
        </is>
      </c>
      <c r="J5218" t="n">
        <v>4</v>
      </c>
      <c r="K5218" t="inlineStr">
        <is>
          <t>1⁶, 10³</t>
        </is>
      </c>
      <c r="L5218" t="inlineStr">
        <is>
          <t>12C⁰, 44B⁵, 66A⁸</t>
        </is>
      </c>
      <c r="M5218" t="inlineStr"/>
      <c r="N5218" t="inlineStr">
        <is>
          <t>22C², 66A⁸, 12C⁰, 11A¹, 4C⁰, 44B⁵, 2B⁰, 3A⁰, 33A³, 1A⁰, 6D⁰</t>
        </is>
      </c>
      <c r="O5218" t="inlineStr"/>
    </row>
    <row r="5219">
      <c r="A5219">
        <f>HYPERLINK("https://mathstats.uncg.edu/sites/pauli/congruence/csg17.html#group132B17", "132B¹⁷")</f>
        <v/>
      </c>
      <c r="B5219" t="n">
        <v>17</v>
      </c>
      <c r="C5219" t="inlineStr"/>
      <c r="D5219" t="inlineStr">
        <is>
          <t>216</t>
        </is>
      </c>
      <c r="E5219" t="inlineStr">
        <is>
          <t>1</t>
        </is>
      </c>
      <c r="F5219" t="inlineStr">
        <is>
          <t>108</t>
        </is>
      </c>
      <c r="G5219" t="inlineStr">
        <is>
          <t>0</t>
        </is>
      </c>
      <c r="H5219" t="inlineStr">
        <is>
          <t>0</t>
        </is>
      </c>
      <c r="I5219" t="inlineStr">
        <is>
          <t>6¹, 12¹, 66¹, 132¹</t>
        </is>
      </c>
      <c r="J5219" t="n">
        <v>4</v>
      </c>
      <c r="K5219" t="inlineStr">
        <is>
          <t>1⁶, 2⁶, 10³, 20³</t>
        </is>
      </c>
      <c r="L5219" t="inlineStr">
        <is>
          <t>12C¹, 66A⁸</t>
        </is>
      </c>
      <c r="M5219" t="inlineStr"/>
      <c r="N5219" t="inlineStr">
        <is>
          <t>22C², 66A⁸, 12C¹, 11A¹, 2B⁰, 3A⁰, 33A³, 1A⁰, 6D⁰</t>
        </is>
      </c>
      <c r="O5219" t="inlineStr"/>
    </row>
    <row r="5220">
      <c r="A5220">
        <f>HYPERLINK("https://mathstats.uncg.edu/sites/pauli/congruence/csg17.html#group135A17", "135A¹⁷")</f>
        <v/>
      </c>
      <c r="B5220" t="n">
        <v>17</v>
      </c>
      <c r="C5220" t="inlineStr"/>
      <c r="D5220" t="inlineStr">
        <is>
          <t>216</t>
        </is>
      </c>
      <c r="E5220" t="inlineStr">
        <is>
          <t>1</t>
        </is>
      </c>
      <c r="F5220" t="inlineStr">
        <is>
          <t>72</t>
        </is>
      </c>
      <c r="G5220" t="inlineStr">
        <is>
          <t>0</t>
        </is>
      </c>
      <c r="H5220" t="inlineStr">
        <is>
          <t>0</t>
        </is>
      </c>
      <c r="I5220" t="inlineStr">
        <is>
          <t>9¹, 27¹, 45¹, 135¹</t>
        </is>
      </c>
      <c r="J5220" t="n">
        <v>4</v>
      </c>
      <c r="K5220" t="inlineStr">
        <is>
          <t>1⁴, 2⁴, 4², 6², 8², 24¹</t>
        </is>
      </c>
      <c r="L5220" t="inlineStr">
        <is>
          <t>27B¹, 45C⁵</t>
        </is>
      </c>
      <c r="M5220" t="inlineStr"/>
      <c r="N5220" t="inlineStr">
        <is>
          <t>45C⁵, 5B⁰, 15C¹, 27B¹, 3B⁰, 9C⁰, 1A⁰</t>
        </is>
      </c>
      <c r="O5220" t="inlineStr"/>
    </row>
    <row r="5221">
      <c r="A5221">
        <f>HYPERLINK("https://mathstats.uncg.edu/sites/pauli/congruence/csg17.html#group135B17", "135B¹⁷")</f>
        <v/>
      </c>
      <c r="B5221" t="n">
        <v>17</v>
      </c>
      <c r="C5221" t="inlineStr"/>
      <c r="D5221" t="inlineStr">
        <is>
          <t>216</t>
        </is>
      </c>
      <c r="E5221" t="inlineStr">
        <is>
          <t>1</t>
        </is>
      </c>
      <c r="F5221" t="inlineStr">
        <is>
          <t>72</t>
        </is>
      </c>
      <c r="G5221" t="inlineStr">
        <is>
          <t>0</t>
        </is>
      </c>
      <c r="H5221" t="inlineStr">
        <is>
          <t>0</t>
        </is>
      </c>
      <c r="I5221" t="inlineStr">
        <is>
          <t>9¹, 27¹, 45¹, 135¹</t>
        </is>
      </c>
      <c r="J5221" t="n">
        <v>4</v>
      </c>
      <c r="K5221" t="inlineStr">
        <is>
          <t>1⁴, 2⁴, 4², 6², 8², 24¹</t>
        </is>
      </c>
      <c r="L5221" t="inlineStr">
        <is>
          <t>27B², 45C⁵</t>
        </is>
      </c>
      <c r="M5221" t="inlineStr"/>
      <c r="N5221" t="inlineStr">
        <is>
          <t>45C⁵, 5B⁰, 15C¹, 3B⁰, 9C⁰, 27B², 1A⁰</t>
        </is>
      </c>
      <c r="O5221" t="inlineStr"/>
    </row>
    <row r="5222">
      <c r="A5222">
        <f>HYPERLINK("https://mathstats.uncg.edu/sites/pauli/congruence/csg17.html#group135C17", "135C¹⁷")</f>
        <v/>
      </c>
      <c r="B5222" t="n">
        <v>17</v>
      </c>
      <c r="C5222" t="inlineStr"/>
      <c r="D5222" t="inlineStr">
        <is>
          <t>216</t>
        </is>
      </c>
      <c r="E5222" t="inlineStr">
        <is>
          <t>1</t>
        </is>
      </c>
      <c r="F5222" t="inlineStr">
        <is>
          <t>72</t>
        </is>
      </c>
      <c r="G5222" t="inlineStr">
        <is>
          <t>0</t>
        </is>
      </c>
      <c r="H5222" t="inlineStr">
        <is>
          <t>0</t>
        </is>
      </c>
      <c r="I5222" t="inlineStr">
        <is>
          <t>9¹, 27¹, 45¹, 135¹</t>
        </is>
      </c>
      <c r="J5222" t="n">
        <v>4</v>
      </c>
      <c r="K5222" t="inlineStr">
        <is>
          <t>1⁴, 2⁴, 4², 6², 8², 24¹</t>
        </is>
      </c>
      <c r="L5222" t="inlineStr">
        <is>
          <t>27A³, 45C⁵</t>
        </is>
      </c>
      <c r="M5222" t="inlineStr"/>
      <c r="N5222" t="inlineStr">
        <is>
          <t>45C⁵, 5B⁰, 15C¹, 3B⁰, 9C⁰, 1A⁰, 27A³</t>
        </is>
      </c>
      <c r="O5222" t="inlineStr"/>
    </row>
    <row r="5223">
      <c r="A5223">
        <f>HYPERLINK("https://mathstats.uncg.edu/sites/pauli/congruence/csg17.html#group136A17", "136A¹⁷")</f>
        <v/>
      </c>
      <c r="B5223" t="n">
        <v>17</v>
      </c>
      <c r="C5223" t="inlineStr"/>
      <c r="D5223" t="inlineStr">
        <is>
          <t>216</t>
        </is>
      </c>
      <c r="E5223" t="inlineStr">
        <is>
          <t>1</t>
        </is>
      </c>
      <c r="F5223" t="inlineStr">
        <is>
          <t>54</t>
        </is>
      </c>
      <c r="G5223" t="inlineStr">
        <is>
          <t>0</t>
        </is>
      </c>
      <c r="H5223" t="inlineStr">
        <is>
          <t>0</t>
        </is>
      </c>
      <c r="I5223" t="inlineStr">
        <is>
          <t>4¹, 8¹, 68¹, 136¹</t>
        </is>
      </c>
      <c r="J5223" t="n">
        <v>4</v>
      </c>
      <c r="K5223" t="inlineStr">
        <is>
          <t>1⁶, 16³</t>
        </is>
      </c>
      <c r="L5223" t="inlineStr">
        <is>
          <t>68D⁷</t>
        </is>
      </c>
      <c r="M5223" t="inlineStr"/>
      <c r="N5223" t="inlineStr">
        <is>
          <t>17A¹, 2B⁰, 34C³, 1A⁰, 4C⁰, 68D⁷</t>
        </is>
      </c>
      <c r="O5223" t="inlineStr"/>
    </row>
    <row r="5224">
      <c r="A5224">
        <f>HYPERLINK("https://mathstats.uncg.edu/sites/pauli/congruence/csg17.html#group136B17", "136B¹⁷")</f>
        <v/>
      </c>
      <c r="B5224" t="n">
        <v>17</v>
      </c>
      <c r="C5224" t="inlineStr"/>
      <c r="D5224" t="inlineStr">
        <is>
          <t>216</t>
        </is>
      </c>
      <c r="E5224" t="inlineStr">
        <is>
          <t>1</t>
        </is>
      </c>
      <c r="F5224" t="inlineStr">
        <is>
          <t>54</t>
        </is>
      </c>
      <c r="G5224" t="inlineStr">
        <is>
          <t>0</t>
        </is>
      </c>
      <c r="H5224" t="inlineStr">
        <is>
          <t>0</t>
        </is>
      </c>
      <c r="I5224" t="inlineStr">
        <is>
          <t>4¹, 8¹, 68¹, 136¹</t>
        </is>
      </c>
      <c r="J5224" t="n">
        <v>4</v>
      </c>
      <c r="K5224" t="inlineStr">
        <is>
          <t>1⁶, 16³</t>
        </is>
      </c>
      <c r="L5224" t="inlineStr">
        <is>
          <t>8A¹, 68D⁷</t>
        </is>
      </c>
      <c r="M5224" t="inlineStr"/>
      <c r="N5224" t="inlineStr">
        <is>
          <t>8A¹, 34C³, 4C⁰, 17A¹, 2B⁰, 1A⁰, 68D⁷</t>
        </is>
      </c>
      <c r="O5224" t="inlineStr"/>
    </row>
    <row r="5225">
      <c r="A5225">
        <f>HYPERLINK("https://mathstats.uncg.edu/sites/pauli/congruence/csg17.html#group136C17", "136C¹⁷")</f>
        <v/>
      </c>
      <c r="B5225" t="n">
        <v>17</v>
      </c>
      <c r="C5225" t="inlineStr"/>
      <c r="D5225" t="inlineStr">
        <is>
          <t>216</t>
        </is>
      </c>
      <c r="E5225" t="inlineStr">
        <is>
          <t>2</t>
        </is>
      </c>
      <c r="F5225" t="inlineStr">
        <is>
          <t>54</t>
        </is>
      </c>
      <c r="G5225" t="inlineStr">
        <is>
          <t>0</t>
        </is>
      </c>
      <c r="H5225" t="inlineStr">
        <is>
          <t>0</t>
        </is>
      </c>
      <c r="I5225" t="inlineStr">
        <is>
          <t>4¹, 8¹, 68¹, 136¹</t>
        </is>
      </c>
      <c r="J5225" t="n">
        <v>4</v>
      </c>
      <c r="K5225" t="inlineStr">
        <is>
          <t>2⁶, 32³</t>
        </is>
      </c>
      <c r="L5225" t="inlineStr">
        <is>
          <t>68C⁷</t>
        </is>
      </c>
      <c r="M5225" t="inlineStr"/>
      <c r="N5225" t="inlineStr">
        <is>
          <t>68C⁷, 17A¹, 2B⁰, 34C³, 1A⁰</t>
        </is>
      </c>
      <c r="O5225" t="inlineStr"/>
    </row>
    <row r="5226">
      <c r="A5226">
        <f>HYPERLINK("https://mathstats.uncg.edu/sites/pauli/congruence/csg17.html#group138A17", "138A¹⁷")</f>
        <v/>
      </c>
      <c r="B5226" t="n">
        <v>17</v>
      </c>
      <c r="C5226" t="inlineStr"/>
      <c r="D5226" t="inlineStr">
        <is>
          <t>216</t>
        </is>
      </c>
      <c r="E5226" t="inlineStr">
        <is>
          <t>1</t>
        </is>
      </c>
      <c r="F5226" t="inlineStr">
        <is>
          <t>72</t>
        </is>
      </c>
      <c r="G5226" t="inlineStr">
        <is>
          <t>0</t>
        </is>
      </c>
      <c r="H5226" t="inlineStr">
        <is>
          <t>0</t>
        </is>
      </c>
      <c r="I5226" t="inlineStr">
        <is>
          <t>3¹, 6¹, 69¹, 138¹</t>
        </is>
      </c>
      <c r="J5226" t="n">
        <v>4</v>
      </c>
      <c r="K5226" t="inlineStr">
        <is>
          <t>1⁶, 22³</t>
        </is>
      </c>
      <c r="L5226" t="inlineStr">
        <is>
          <t>6D⁰, 46A⁵, 69A⁶</t>
        </is>
      </c>
      <c r="M5226" t="inlineStr"/>
      <c r="N5226" t="inlineStr">
        <is>
          <t>69A⁶, 46A⁵, 23A², 2B⁰, 3A⁰, 1A⁰, 6D⁰</t>
        </is>
      </c>
      <c r="O5226" t="inlineStr"/>
    </row>
    <row r="5227">
      <c r="A5227">
        <f>HYPERLINK("https://mathstats.uncg.edu/sites/pauli/congruence/csg17.html#group140A17", "140A¹⁷")</f>
        <v/>
      </c>
      <c r="B5227" t="n">
        <v>17</v>
      </c>
      <c r="C5227" t="inlineStr"/>
      <c r="D5227" t="inlineStr">
        <is>
          <t>210</t>
        </is>
      </c>
      <c r="E5227" t="inlineStr">
        <is>
          <t>2</t>
        </is>
      </c>
      <c r="F5227" t="inlineStr">
        <is>
          <t>105</t>
        </is>
      </c>
      <c r="G5227" t="inlineStr">
        <is>
          <t>0</t>
        </is>
      </c>
      <c r="H5227" t="inlineStr">
        <is>
          <t>0</t>
        </is>
      </c>
      <c r="I5227" t="inlineStr">
        <is>
          <t>35², 140¹</t>
        </is>
      </c>
      <c r="J5227" t="n">
        <v>3</v>
      </c>
      <c r="K5227" t="inlineStr">
        <is>
          <t>2³, 6⁶, 8³, 24⁶</t>
        </is>
      </c>
      <c r="L5227" t="inlineStr">
        <is>
          <t>20A², 28A³, 70A⁸</t>
        </is>
      </c>
      <c r="M5227" t="inlineStr"/>
      <c r="N5227" t="inlineStr">
        <is>
          <t>20A², 5A⁰, 14B¹, 10B¹, 70A⁸, 28A³, 2B⁰, 4B⁰, 1A⁰, 35A², 7A⁰</t>
        </is>
      </c>
      <c r="O5227" t="inlineStr"/>
    </row>
    <row r="5228">
      <c r="A5228">
        <f>HYPERLINK("https://mathstats.uncg.edu/sites/pauli/congruence/csg17.html#group140B17", "140B¹⁷")</f>
        <v/>
      </c>
      <c r="B5228" t="n">
        <v>17</v>
      </c>
      <c r="C5228" t="inlineStr"/>
      <c r="D5228" t="inlineStr">
        <is>
          <t>210</t>
        </is>
      </c>
      <c r="E5228" t="inlineStr">
        <is>
          <t>2</t>
        </is>
      </c>
      <c r="F5228" t="inlineStr">
        <is>
          <t>105</t>
        </is>
      </c>
      <c r="G5228" t="inlineStr">
        <is>
          <t>2</t>
        </is>
      </c>
      <c r="H5228" t="inlineStr">
        <is>
          <t>0</t>
        </is>
      </c>
      <c r="I5228" t="inlineStr">
        <is>
          <t>70¹, 140¹</t>
        </is>
      </c>
      <c r="J5228" t="n">
        <v>2</v>
      </c>
      <c r="K5228" t="inlineStr">
        <is>
          <t>2³, 6⁶, 8³, 24⁶</t>
        </is>
      </c>
      <c r="L5228" t="inlineStr">
        <is>
          <t>28B³, 70A⁸</t>
        </is>
      </c>
      <c r="M5228" t="inlineStr"/>
      <c r="N5228" t="inlineStr">
        <is>
          <t>5A⁰, 14B¹, 10B¹, 70A⁸, 2B⁰, 28B³, 1A⁰, 35A², 7A⁰</t>
        </is>
      </c>
      <c r="O5228" t="inlineStr"/>
    </row>
    <row r="5229">
      <c r="A5229">
        <f>HYPERLINK("https://mathstats.uncg.edu/sites/pauli/congruence/csg17.html#group140C17", "140C¹⁷")</f>
        <v/>
      </c>
      <c r="B5229" t="n">
        <v>17</v>
      </c>
      <c r="C5229" t="inlineStr"/>
      <c r="D5229" t="inlineStr">
        <is>
          <t>252</t>
        </is>
      </c>
      <c r="E5229" t="inlineStr">
        <is>
          <t>2</t>
        </is>
      </c>
      <c r="F5229" t="inlineStr">
        <is>
          <t>126</t>
        </is>
      </c>
      <c r="G5229" t="inlineStr">
        <is>
          <t>8</t>
        </is>
      </c>
      <c r="H5229" t="inlineStr">
        <is>
          <t>0</t>
        </is>
      </c>
      <c r="I5229" t="inlineStr">
        <is>
          <t>7², 28¹, 35², 140¹</t>
        </is>
      </c>
      <c r="J5229" t="n">
        <v>6</v>
      </c>
      <c r="K5229" t="inlineStr">
        <is>
          <t>2⁶, 6¹², 8³, 24⁶</t>
        </is>
      </c>
      <c r="L5229" t="inlineStr">
        <is>
          <t>28B², 70B⁸</t>
        </is>
      </c>
      <c r="M5229" t="inlineStr"/>
      <c r="N5229" t="inlineStr">
        <is>
          <t>35C², 14B¹, 5B⁰, 70B⁸, 10C⁰, 2B⁰, 1A⁰, 28B², 7A⁰</t>
        </is>
      </c>
      <c r="O5229" t="inlineStr"/>
    </row>
    <row r="5230">
      <c r="A5230">
        <f>HYPERLINK("https://mathstats.uncg.edu/sites/pauli/congruence/csg17.html#group140D17", "140D¹⁷")</f>
        <v/>
      </c>
      <c r="B5230" t="n">
        <v>17</v>
      </c>
      <c r="C5230" t="inlineStr"/>
      <c r="D5230" t="inlineStr">
        <is>
          <t>252</t>
        </is>
      </c>
      <c r="E5230" t="inlineStr">
        <is>
          <t>2</t>
        </is>
      </c>
      <c r="F5230" t="inlineStr">
        <is>
          <t>126</t>
        </is>
      </c>
      <c r="G5230" t="inlineStr">
        <is>
          <t>12</t>
        </is>
      </c>
      <c r="H5230" t="inlineStr">
        <is>
          <t>0</t>
        </is>
      </c>
      <c r="I5230" t="inlineStr">
        <is>
          <t>14¹, 28¹, 70¹, 140¹</t>
        </is>
      </c>
      <c r="J5230" t="n">
        <v>4</v>
      </c>
      <c r="K5230" t="inlineStr">
        <is>
          <t>2⁶, 6¹², 8³, 24⁶</t>
        </is>
      </c>
      <c r="L5230" t="inlineStr">
        <is>
          <t>20E¹, 28C², 70B⁸</t>
        </is>
      </c>
      <c r="M5230" t="inlineStr"/>
      <c r="N5230" t="inlineStr">
        <is>
          <t>35C², 20E¹, 28C², 14B¹, 4C⁰, 5B⁰, 70B⁸, 10C⁰, 2B⁰, 1A⁰, 7A⁰</t>
        </is>
      </c>
      <c r="O5230" t="inlineStr"/>
    </row>
    <row r="5231">
      <c r="A5231">
        <f>HYPERLINK("https://mathstats.uncg.edu/sites/pauli/congruence/csg17.html#group142A17", "142A¹⁷")</f>
        <v/>
      </c>
      <c r="B5231" t="n">
        <v>17</v>
      </c>
      <c r="C5231" t="inlineStr">
        <is>
          <t>Γ₀(142)</t>
        </is>
      </c>
      <c r="D5231" t="inlineStr">
        <is>
          <t>216</t>
        </is>
      </c>
      <c r="E5231" t="inlineStr">
        <is>
          <t>1</t>
        </is>
      </c>
      <c r="F5231" t="inlineStr">
        <is>
          <t>216</t>
        </is>
      </c>
      <c r="G5231" t="inlineStr">
        <is>
          <t>0</t>
        </is>
      </c>
      <c r="H5231" t="inlineStr">
        <is>
          <t>0</t>
        </is>
      </c>
      <c r="I5231" t="inlineStr">
        <is>
          <t>1¹, 2¹, 71¹, 142¹</t>
        </is>
      </c>
      <c r="J5231" t="n">
        <v>4</v>
      </c>
      <c r="K5231" t="inlineStr">
        <is>
          <t>1⁶, 70³</t>
        </is>
      </c>
      <c r="L5231" t="inlineStr">
        <is>
          <t>2B⁰, 71A⁶</t>
        </is>
      </c>
      <c r="M5231" t="inlineStr"/>
      <c r="N5231" t="inlineStr">
        <is>
          <t>1A⁰, 2B⁰, 71A⁶</t>
        </is>
      </c>
      <c r="O5231" t="inlineStr"/>
    </row>
    <row r="5232">
      <c r="A5232">
        <f>HYPERLINK("https://mathstats.uncg.edu/sites/pauli/congruence/csg17.html#group144A17", "144A¹⁷")</f>
        <v/>
      </c>
      <c r="B5232" t="n">
        <v>17</v>
      </c>
      <c r="C5232" t="inlineStr"/>
      <c r="D5232" t="inlineStr">
        <is>
          <t>216</t>
        </is>
      </c>
      <c r="E5232" t="inlineStr">
        <is>
          <t>1</t>
        </is>
      </c>
      <c r="F5232" t="inlineStr">
        <is>
          <t>54</t>
        </is>
      </c>
      <c r="G5232" t="inlineStr">
        <is>
          <t>0</t>
        </is>
      </c>
      <c r="H5232" t="inlineStr">
        <is>
          <t>0</t>
        </is>
      </c>
      <c r="I5232" t="inlineStr">
        <is>
          <t>18², 36¹, 144¹</t>
        </is>
      </c>
      <c r="J5232" t="n">
        <v>4</v>
      </c>
      <c r="K5232" t="inlineStr">
        <is>
          <t>1⁴, 2⁵, 4¹, 6⁴, 12¹</t>
        </is>
      </c>
      <c r="L5232" t="inlineStr">
        <is>
          <t>48A⁵, 72B⁸</t>
        </is>
      </c>
      <c r="M5232" t="inlineStr"/>
      <c r="N5232" t="inlineStr">
        <is>
          <t>48A⁵, 24B², 3A⁰, 9A⁰, 72B⁸, 36D⁴, 16A¹, 8C⁰, 12B¹, 2B⁰, 18E¹, 4B⁰, 1A⁰, 6D⁰</t>
        </is>
      </c>
      <c r="O5232" t="inlineStr"/>
    </row>
    <row r="5233">
      <c r="A5233">
        <f>HYPERLINK("https://mathstats.uncg.edu/sites/pauli/congruence/csg17.html#group144B17", "144B¹⁷")</f>
        <v/>
      </c>
      <c r="B5233" t="n">
        <v>17</v>
      </c>
      <c r="C5233" t="inlineStr"/>
      <c r="D5233" t="inlineStr">
        <is>
          <t>216</t>
        </is>
      </c>
      <c r="E5233" t="inlineStr">
        <is>
          <t>1</t>
        </is>
      </c>
      <c r="F5233" t="inlineStr">
        <is>
          <t>54</t>
        </is>
      </c>
      <c r="G5233" t="inlineStr">
        <is>
          <t>0</t>
        </is>
      </c>
      <c r="H5233" t="inlineStr">
        <is>
          <t>0</t>
        </is>
      </c>
      <c r="I5233" t="inlineStr">
        <is>
          <t>18², 36¹, 144¹</t>
        </is>
      </c>
      <c r="J5233" t="n">
        <v>4</v>
      </c>
      <c r="K5233" t="inlineStr">
        <is>
          <t>1⁴, 2⁵, 4¹, 6⁴, 12¹</t>
        </is>
      </c>
      <c r="L5233" t="inlineStr">
        <is>
          <t>48B⁵, 72B⁸</t>
        </is>
      </c>
      <c r="M5233" t="inlineStr"/>
      <c r="N5233" t="inlineStr">
        <is>
          <t>24B², 4B⁰, 9A⁰, 72B⁸, 36D⁴, 12B¹, 2B⁰, 8C⁰, 18E¹, 3A⁰, 1A⁰, 6D⁰, 48B⁵</t>
        </is>
      </c>
      <c r="O5233" t="inlineStr"/>
    </row>
    <row r="5234">
      <c r="A5234">
        <f>HYPERLINK("https://mathstats.uncg.edu/sites/pauli/congruence/csg17.html#group144C17", "144C¹⁷")</f>
        <v/>
      </c>
      <c r="B5234" t="n">
        <v>17</v>
      </c>
      <c r="C5234" t="inlineStr"/>
      <c r="D5234" t="inlineStr">
        <is>
          <t>216</t>
        </is>
      </c>
      <c r="E5234" t="inlineStr">
        <is>
          <t>2</t>
        </is>
      </c>
      <c r="F5234" t="inlineStr">
        <is>
          <t>54</t>
        </is>
      </c>
      <c r="G5234" t="inlineStr">
        <is>
          <t>0</t>
        </is>
      </c>
      <c r="H5234" t="inlineStr">
        <is>
          <t>0</t>
        </is>
      </c>
      <c r="I5234" t="inlineStr">
        <is>
          <t>18², 36¹, 144¹</t>
        </is>
      </c>
      <c r="J5234" t="n">
        <v>4</v>
      </c>
      <c r="K5234" t="inlineStr">
        <is>
          <t>2¹², 4³, 6⁸, 12²</t>
        </is>
      </c>
      <c r="L5234" t="inlineStr">
        <is>
          <t>48B⁵, 72B⁸</t>
        </is>
      </c>
      <c r="M5234" t="inlineStr"/>
      <c r="N5234" t="inlineStr">
        <is>
          <t>24B², 4B⁰, 9A⁰, 72B⁸, 36D⁴, 12B¹, 2B⁰, 8C⁰, 18E¹, 3A⁰, 1A⁰, 6D⁰, 48B⁵</t>
        </is>
      </c>
      <c r="O5234" t="inlineStr"/>
    </row>
    <row r="5235">
      <c r="A5235">
        <f>HYPERLINK("https://mathstats.uncg.edu/sites/pauli/congruence/csg17.html#group144D17", "144D¹⁷")</f>
        <v/>
      </c>
      <c r="B5235" t="n">
        <v>17</v>
      </c>
      <c r="C5235" t="inlineStr"/>
      <c r="D5235" t="inlineStr">
        <is>
          <t>288</t>
        </is>
      </c>
      <c r="E5235" t="inlineStr">
        <is>
          <t>1</t>
        </is>
      </c>
      <c r="F5235" t="inlineStr">
        <is>
          <t>24</t>
        </is>
      </c>
      <c r="G5235" t="inlineStr">
        <is>
          <t>0</t>
        </is>
      </c>
      <c r="H5235" t="inlineStr">
        <is>
          <t>0</t>
        </is>
      </c>
      <c r="I5235" t="inlineStr">
        <is>
          <t>2⁶, 4³, 16³, 18², 36¹, 144¹</t>
        </is>
      </c>
      <c r="J5235" t="n">
        <v>16</v>
      </c>
      <c r="K5235" t="inlineStr">
        <is>
          <t>1⁸, 2⁶, 4¹</t>
        </is>
      </c>
      <c r="L5235" t="inlineStr">
        <is>
          <t>48C⁵, 72B⁵</t>
        </is>
      </c>
      <c r="M5235" t="inlineStr"/>
      <c r="N5235" t="inlineStr">
        <is>
          <t>48C⁵, 3B⁰, 18E⁰, 72B⁵, 24G¹, 6F⁰, 9B⁰, 8C⁰, 2B⁰, 36C¹, 4B⁰, 1A⁰, 12E⁰</t>
        </is>
      </c>
      <c r="O5235" t="inlineStr"/>
    </row>
    <row r="5236">
      <c r="A5236">
        <f>HYPERLINK("https://mathstats.uncg.edu/sites/pauli/congruence/csg17.html#group144E17", "144E¹⁷")</f>
        <v/>
      </c>
      <c r="B5236" t="n">
        <v>17</v>
      </c>
      <c r="C5236" t="inlineStr"/>
      <c r="D5236" t="inlineStr">
        <is>
          <t>288</t>
        </is>
      </c>
      <c r="E5236" t="inlineStr">
        <is>
          <t>1</t>
        </is>
      </c>
      <c r="F5236" t="inlineStr">
        <is>
          <t>24</t>
        </is>
      </c>
      <c r="G5236" t="inlineStr">
        <is>
          <t>0</t>
        </is>
      </c>
      <c r="H5236" t="inlineStr">
        <is>
          <t>0</t>
        </is>
      </c>
      <c r="I5236" t="inlineStr">
        <is>
          <t>2⁶, 4³, 16³, 18², 36¹, 144¹</t>
        </is>
      </c>
      <c r="J5236" t="n">
        <v>16</v>
      </c>
      <c r="K5236" t="inlineStr">
        <is>
          <t>1⁸, 2⁶, 4¹</t>
        </is>
      </c>
      <c r="L5236" t="inlineStr">
        <is>
          <t>48D⁵, 72B⁵</t>
        </is>
      </c>
      <c r="M5236" t="inlineStr"/>
      <c r="N5236" t="inlineStr">
        <is>
          <t>3B⁰, 18E⁰, 72B⁵, 24G¹, 9B⁰, 16A¹, 8C⁰, 2B⁰, 1A⁰, 36C¹, 4B⁰, 48D⁵, 6F⁰, 12E⁰</t>
        </is>
      </c>
      <c r="O5236" t="inlineStr"/>
    </row>
    <row r="5237">
      <c r="A5237">
        <f>HYPERLINK("https://mathstats.uncg.edu/sites/pauli/congruence/csg17.html#group146A17", "146A¹⁷")</f>
        <v/>
      </c>
      <c r="B5237" t="n">
        <v>17</v>
      </c>
      <c r="C5237" t="inlineStr">
        <is>
          <t>Γ₀(146)</t>
        </is>
      </c>
      <c r="D5237" t="inlineStr">
        <is>
          <t>222</t>
        </is>
      </c>
      <c r="E5237" t="inlineStr">
        <is>
          <t>1</t>
        </is>
      </c>
      <c r="F5237" t="inlineStr">
        <is>
          <t>222</t>
        </is>
      </c>
      <c r="G5237" t="inlineStr">
        <is>
          <t>2</t>
        </is>
      </c>
      <c r="H5237" t="inlineStr">
        <is>
          <t>0</t>
        </is>
      </c>
      <c r="I5237" t="inlineStr">
        <is>
          <t>1¹, 2¹, 73¹, 146¹</t>
        </is>
      </c>
      <c r="J5237" t="n">
        <v>4</v>
      </c>
      <c r="K5237" t="inlineStr">
        <is>
          <t>1⁶, 72³</t>
        </is>
      </c>
      <c r="L5237" t="inlineStr">
        <is>
          <t>2B⁰, 73A⁵</t>
        </is>
      </c>
      <c r="M5237" t="inlineStr"/>
      <c r="N5237" t="inlineStr">
        <is>
          <t>1A⁰, 73A⁵, 2B⁰</t>
        </is>
      </c>
      <c r="O5237" t="inlineStr"/>
    </row>
    <row r="5238">
      <c r="A5238">
        <f>HYPERLINK("https://mathstats.uncg.edu/sites/pauli/congruence/csg17.html#group148A17", "148A¹⁷")</f>
        <v/>
      </c>
      <c r="B5238" t="n">
        <v>17</v>
      </c>
      <c r="C5238" t="inlineStr">
        <is>
          <t>Γ₀(148)</t>
        </is>
      </c>
      <c r="D5238" t="inlineStr">
        <is>
          <t>228</t>
        </is>
      </c>
      <c r="E5238" t="inlineStr">
        <is>
          <t>1</t>
        </is>
      </c>
      <c r="F5238" t="inlineStr">
        <is>
          <t>114</t>
        </is>
      </c>
      <c r="G5238" t="inlineStr">
        <is>
          <t>0</t>
        </is>
      </c>
      <c r="H5238" t="inlineStr">
        <is>
          <t>0</t>
        </is>
      </c>
      <c r="I5238" t="inlineStr">
        <is>
          <t>1², 4¹, 37², 148¹</t>
        </is>
      </c>
      <c r="J5238" t="n">
        <v>6</v>
      </c>
      <c r="K5238" t="inlineStr">
        <is>
          <t>1⁶, 36³</t>
        </is>
      </c>
      <c r="L5238" t="inlineStr">
        <is>
          <t>4B⁰, 74A⁸</t>
        </is>
      </c>
      <c r="M5238" t="inlineStr"/>
      <c r="N5238" t="inlineStr">
        <is>
          <t>37A², 2B⁰, 74A⁸, 4B⁰, 1A⁰</t>
        </is>
      </c>
      <c r="O5238" t="inlineStr"/>
    </row>
    <row r="5239">
      <c r="A5239">
        <f>HYPERLINK("https://mathstats.uncg.edu/sites/pauli/congruence/csg17.html#group148B17", "148B¹⁷")</f>
        <v/>
      </c>
      <c r="B5239" t="n">
        <v>17</v>
      </c>
      <c r="C5239" t="inlineStr"/>
      <c r="D5239" t="inlineStr">
        <is>
          <t>228</t>
        </is>
      </c>
      <c r="E5239" t="inlineStr">
        <is>
          <t>1</t>
        </is>
      </c>
      <c r="F5239" t="inlineStr">
        <is>
          <t>114</t>
        </is>
      </c>
      <c r="G5239" t="inlineStr">
        <is>
          <t>4</t>
        </is>
      </c>
      <c r="H5239" t="inlineStr">
        <is>
          <t>0</t>
        </is>
      </c>
      <c r="I5239" t="inlineStr">
        <is>
          <t>2¹, 4¹, 74¹, 148¹</t>
        </is>
      </c>
      <c r="J5239" t="n">
        <v>4</v>
      </c>
      <c r="K5239" t="inlineStr">
        <is>
          <t>1⁶, 36³</t>
        </is>
      </c>
      <c r="L5239" t="inlineStr">
        <is>
          <t>4C⁰, 74A⁸</t>
        </is>
      </c>
      <c r="M5239" t="inlineStr"/>
      <c r="N5239" t="inlineStr">
        <is>
          <t>37A², 2B⁰, 74A⁸, 1A⁰, 4C⁰</t>
        </is>
      </c>
      <c r="O5239" t="inlineStr"/>
    </row>
    <row r="5240">
      <c r="A5240">
        <f>HYPERLINK("https://mathstats.uncg.edu/sites/pauli/congruence/csg17.html#group152A17", "152A¹⁷")</f>
        <v/>
      </c>
      <c r="B5240" t="n">
        <v>17</v>
      </c>
      <c r="C5240" t="inlineStr">
        <is>
          <t>Γ₀(152)</t>
        </is>
      </c>
      <c r="D5240" t="inlineStr">
        <is>
          <t>240</t>
        </is>
      </c>
      <c r="E5240" t="inlineStr">
        <is>
          <t>1</t>
        </is>
      </c>
      <c r="F5240" t="inlineStr">
        <is>
          <t>120</t>
        </is>
      </c>
      <c r="G5240" t="inlineStr">
        <is>
          <t>0</t>
        </is>
      </c>
      <c r="H5240" t="inlineStr">
        <is>
          <t>0</t>
        </is>
      </c>
      <c r="I5240" t="inlineStr">
        <is>
          <t>1², 2¹, 8¹, 19², 38¹, 152¹</t>
        </is>
      </c>
      <c r="J5240" t="n">
        <v>8</v>
      </c>
      <c r="K5240" t="inlineStr">
        <is>
          <t>1⁸, 2², 18⁴, 36¹</t>
        </is>
      </c>
      <c r="L5240" t="inlineStr">
        <is>
          <t>8C⁰, 76A⁸</t>
        </is>
      </c>
      <c r="M5240" t="inlineStr"/>
      <c r="N5240" t="inlineStr">
        <is>
          <t>76A⁸, 19A¹, 8C⁰, 2B⁰, 4B⁰, 1A⁰, 38A⁴</t>
        </is>
      </c>
      <c r="O5240" t="inlineStr"/>
    </row>
    <row r="5241">
      <c r="A5241">
        <f>HYPERLINK("https://mathstats.uncg.edu/sites/pauli/congruence/csg17.html#group153A17", "153A¹⁷")</f>
        <v/>
      </c>
      <c r="B5241" t="n">
        <v>17</v>
      </c>
      <c r="C5241" t="inlineStr"/>
      <c r="D5241" t="inlineStr">
        <is>
          <t>216</t>
        </is>
      </c>
      <c r="E5241" t="inlineStr">
        <is>
          <t>1</t>
        </is>
      </c>
      <c r="F5241" t="inlineStr">
        <is>
          <t>72</t>
        </is>
      </c>
      <c r="G5241" t="inlineStr">
        <is>
          <t>0</t>
        </is>
      </c>
      <c r="H5241" t="inlineStr">
        <is>
          <t>0</t>
        </is>
      </c>
      <c r="I5241" t="inlineStr">
        <is>
          <t>3¹, 9¹, 51¹, 153¹</t>
        </is>
      </c>
      <c r="J5241" t="n">
        <v>4</v>
      </c>
      <c r="K5241" t="inlineStr">
        <is>
          <t>1⁴, 2², 16², 32¹</t>
        </is>
      </c>
      <c r="L5241" t="inlineStr">
        <is>
          <t>9C⁰, 51A⁵</t>
        </is>
      </c>
      <c r="M5241" t="inlineStr"/>
      <c r="N5241" t="inlineStr">
        <is>
          <t>3B⁰, 17A¹, 51A⁵, 9C⁰, 1A⁰</t>
        </is>
      </c>
      <c r="O5241" t="inlineStr"/>
    </row>
    <row r="5242">
      <c r="A5242">
        <f>HYPERLINK("https://mathstats.uncg.edu/sites/pauli/congruence/csg17.html#group153B17", "153B¹⁷")</f>
        <v/>
      </c>
      <c r="B5242" t="n">
        <v>17</v>
      </c>
      <c r="C5242" t="inlineStr"/>
      <c r="D5242" t="inlineStr">
        <is>
          <t>216</t>
        </is>
      </c>
      <c r="E5242" t="inlineStr">
        <is>
          <t>1</t>
        </is>
      </c>
      <c r="F5242" t="inlineStr">
        <is>
          <t>72</t>
        </is>
      </c>
      <c r="G5242" t="inlineStr">
        <is>
          <t>0</t>
        </is>
      </c>
      <c r="H5242" t="inlineStr">
        <is>
          <t>0</t>
        </is>
      </c>
      <c r="I5242" t="inlineStr">
        <is>
          <t>3¹, 9¹, 51¹, 153¹</t>
        </is>
      </c>
      <c r="J5242" t="n">
        <v>4</v>
      </c>
      <c r="K5242" t="inlineStr">
        <is>
          <t>1⁴, 2², 16², 32¹</t>
        </is>
      </c>
      <c r="L5242" t="inlineStr">
        <is>
          <t>9A¹, 51A⁵</t>
        </is>
      </c>
      <c r="M5242" t="inlineStr"/>
      <c r="N5242" t="inlineStr">
        <is>
          <t>3B⁰, 17A¹, 51A⁵, 1A⁰, 9A¹</t>
        </is>
      </c>
      <c r="O5242" t="inlineStr"/>
    </row>
    <row r="5243">
      <c r="A5243">
        <f>HYPERLINK("https://mathstats.uncg.edu/sites/pauli/congruence/csg17.html#group154A17", "154A¹⁷")</f>
        <v/>
      </c>
      <c r="B5243" t="n">
        <v>17</v>
      </c>
      <c r="C5243" t="inlineStr"/>
      <c r="D5243" t="inlineStr">
        <is>
          <t>231</t>
        </is>
      </c>
      <c r="E5243" t="inlineStr">
        <is>
          <t>2</t>
        </is>
      </c>
      <c r="F5243" t="inlineStr">
        <is>
          <t>231</t>
        </is>
      </c>
      <c r="G5243" t="inlineStr">
        <is>
          <t>9</t>
        </is>
      </c>
      <c r="H5243" t="inlineStr">
        <is>
          <t>0</t>
        </is>
      </c>
      <c r="I5243" t="inlineStr">
        <is>
          <t>77¹, 154¹</t>
        </is>
      </c>
      <c r="J5243" t="n">
        <v>2</v>
      </c>
      <c r="K5243" t="inlineStr">
        <is>
          <t>4³, 12⁶, 20⁶, 60¹²</t>
        </is>
      </c>
      <c r="L5243" t="inlineStr">
        <is>
          <t>22B², 77A⁴</t>
        </is>
      </c>
      <c r="M5243" t="inlineStr"/>
      <c r="N5243" t="inlineStr">
        <is>
          <t>11A⁰, 2B⁰, 22B², 1A⁰, 7A⁰, 77A⁴</t>
        </is>
      </c>
      <c r="O5243" t="inlineStr"/>
    </row>
    <row r="5244">
      <c r="A5244">
        <f>HYPERLINK("https://mathstats.uncg.edu/sites/pauli/congruence/csg17.html#group154B17", "154B¹⁷")</f>
        <v/>
      </c>
      <c r="B5244" t="n">
        <v>17</v>
      </c>
      <c r="C5244" t="inlineStr"/>
      <c r="D5244" t="inlineStr">
        <is>
          <t>231</t>
        </is>
      </c>
      <c r="E5244" t="inlineStr">
        <is>
          <t>2</t>
        </is>
      </c>
      <c r="F5244" t="inlineStr">
        <is>
          <t>231</t>
        </is>
      </c>
      <c r="G5244" t="inlineStr">
        <is>
          <t>9</t>
        </is>
      </c>
      <c r="H5244" t="inlineStr">
        <is>
          <t>0</t>
        </is>
      </c>
      <c r="I5244" t="inlineStr">
        <is>
          <t>77¹, 154¹</t>
        </is>
      </c>
      <c r="J5244" t="n">
        <v>2</v>
      </c>
      <c r="K5244" t="inlineStr">
        <is>
          <t>4³, 12⁶, 20⁶, 60¹²</t>
        </is>
      </c>
      <c r="L5244" t="inlineStr">
        <is>
          <t>22B², 77B⁴</t>
        </is>
      </c>
      <c r="M5244" t="inlineStr"/>
      <c r="N5244" t="inlineStr">
        <is>
          <t>11A⁰, 2B⁰, 22B², 77B⁴, 1A⁰, 7A⁰</t>
        </is>
      </c>
      <c r="O5244" t="inlineStr"/>
    </row>
    <row r="5245">
      <c r="A5245">
        <f>HYPERLINK("https://mathstats.uncg.edu/sites/pauli/congruence/csg17.html#group156A17", "156A¹⁷")</f>
        <v/>
      </c>
      <c r="B5245" t="n">
        <v>17</v>
      </c>
      <c r="C5245" t="inlineStr"/>
      <c r="D5245" t="inlineStr">
        <is>
          <t>224</t>
        </is>
      </c>
      <c r="E5245" t="inlineStr">
        <is>
          <t>1</t>
        </is>
      </c>
      <c r="F5245" t="inlineStr">
        <is>
          <t>224</t>
        </is>
      </c>
      <c r="G5245" t="inlineStr">
        <is>
          <t>0</t>
        </is>
      </c>
      <c r="H5245" t="inlineStr">
        <is>
          <t>2</t>
        </is>
      </c>
      <c r="I5245" t="inlineStr">
        <is>
          <t>4¹, 12¹, 52¹, 156¹</t>
        </is>
      </c>
      <c r="J5245" t="n">
        <v>4</v>
      </c>
      <c r="K5245" t="inlineStr">
        <is>
          <t>2⁸, 4⁴, 24⁴, 48²</t>
        </is>
      </c>
      <c r="L5245" t="inlineStr">
        <is>
          <t>12A¹, 39A³, 52A³</t>
        </is>
      </c>
      <c r="M5245" t="inlineStr"/>
      <c r="N5245" t="inlineStr">
        <is>
          <t>3B⁰, 39A³, 52A³, 4A⁰, 12A¹, 13A⁰, 1A⁰</t>
        </is>
      </c>
      <c r="O5245" t="inlineStr"/>
    </row>
    <row r="5246">
      <c r="A5246">
        <f>HYPERLINK("https://mathstats.uncg.edu/sites/pauli/congruence/csg17.html#group156B17", "156B¹⁷")</f>
        <v/>
      </c>
      <c r="B5246" t="n">
        <v>17</v>
      </c>
      <c r="C5246" t="inlineStr"/>
      <c r="D5246" t="inlineStr">
        <is>
          <t>252</t>
        </is>
      </c>
      <c r="E5246" t="inlineStr">
        <is>
          <t>1</t>
        </is>
      </c>
      <c r="F5246" t="inlineStr">
        <is>
          <t>42</t>
        </is>
      </c>
      <c r="G5246" t="inlineStr">
        <is>
          <t>12</t>
        </is>
      </c>
      <c r="H5246" t="inlineStr">
        <is>
          <t>0</t>
        </is>
      </c>
      <c r="I5246" t="inlineStr">
        <is>
          <t>6¹, 12¹, 78¹, 156¹</t>
        </is>
      </c>
      <c r="J5246" t="n">
        <v>4</v>
      </c>
      <c r="K5246" t="inlineStr">
        <is>
          <t>1⁶, 12³</t>
        </is>
      </c>
      <c r="L5246" t="inlineStr">
        <is>
          <t>12C⁰, 52B⁵, 78A⁸</t>
        </is>
      </c>
      <c r="M5246" t="inlineStr"/>
      <c r="N5246" t="inlineStr">
        <is>
          <t>78A⁸, 39A², 12C⁰, 4C⁰, 13A⁰, 52B⁵, 2B⁰, 3A⁰, 1A⁰, 26A², 6D⁰</t>
        </is>
      </c>
      <c r="O5246" t="inlineStr"/>
    </row>
    <row r="5247">
      <c r="A5247">
        <f>HYPERLINK("https://mathstats.uncg.edu/sites/pauli/congruence/csg17.html#group156C17", "156C¹⁷")</f>
        <v/>
      </c>
      <c r="B5247" t="n">
        <v>17</v>
      </c>
      <c r="C5247" t="inlineStr"/>
      <c r="D5247" t="inlineStr">
        <is>
          <t>252</t>
        </is>
      </c>
      <c r="E5247" t="inlineStr">
        <is>
          <t>1</t>
        </is>
      </c>
      <c r="F5247" t="inlineStr">
        <is>
          <t>126</t>
        </is>
      </c>
      <c r="G5247" t="inlineStr">
        <is>
          <t>8</t>
        </is>
      </c>
      <c r="H5247" t="inlineStr">
        <is>
          <t>0</t>
        </is>
      </c>
      <c r="I5247" t="inlineStr">
        <is>
          <t>3², 12¹, 39², 156¹</t>
        </is>
      </c>
      <c r="J5247" t="n">
        <v>6</v>
      </c>
      <c r="K5247" t="inlineStr">
        <is>
          <t>1⁶, 2⁶, 12³, 24³</t>
        </is>
      </c>
      <c r="L5247" t="inlineStr">
        <is>
          <t>12D⁰, 78A⁸</t>
        </is>
      </c>
      <c r="M5247" t="inlineStr"/>
      <c r="N5247" t="inlineStr">
        <is>
          <t>78A⁸, 39A², 13A⁰, 2B⁰, 12D⁰, 3A⁰, 1A⁰, 26A², 6D⁰</t>
        </is>
      </c>
      <c r="O5247" t="inlineStr"/>
    </row>
    <row r="5248">
      <c r="A5248">
        <f>HYPERLINK("https://mathstats.uncg.edu/sites/pauli/congruence/csg17.html#group156D17", "156D¹⁷")</f>
        <v/>
      </c>
      <c r="B5248" t="n">
        <v>17</v>
      </c>
      <c r="C5248" t="inlineStr"/>
      <c r="D5248" t="inlineStr">
        <is>
          <t>252</t>
        </is>
      </c>
      <c r="E5248" t="inlineStr">
        <is>
          <t>2</t>
        </is>
      </c>
      <c r="F5248" t="inlineStr">
        <is>
          <t>42</t>
        </is>
      </c>
      <c r="G5248" t="inlineStr">
        <is>
          <t>12</t>
        </is>
      </c>
      <c r="H5248" t="inlineStr">
        <is>
          <t>0</t>
        </is>
      </c>
      <c r="I5248" t="inlineStr">
        <is>
          <t>6¹, 12¹, 78¹, 156¹</t>
        </is>
      </c>
      <c r="J5248" t="n">
        <v>4</v>
      </c>
      <c r="K5248" t="inlineStr">
        <is>
          <t>2⁶, 24³</t>
        </is>
      </c>
      <c r="L5248" t="inlineStr">
        <is>
          <t>52B⁵, 78B⁸</t>
        </is>
      </c>
      <c r="M5248" t="inlineStr"/>
      <c r="N5248" t="inlineStr">
        <is>
          <t>78B⁸, 4C⁰, 13A⁰, 52B⁵, 2B⁰, 39A¹, 1A⁰, 26A²</t>
        </is>
      </c>
      <c r="O5248" t="inlineStr"/>
    </row>
    <row r="5249">
      <c r="A5249">
        <f>HYPERLINK("https://mathstats.uncg.edu/sites/pauli/congruence/csg17.html#group159A17", "159A¹⁷")</f>
        <v/>
      </c>
      <c r="B5249" t="n">
        <v>17</v>
      </c>
      <c r="C5249" t="inlineStr">
        <is>
          <t>Γ₀(159)</t>
        </is>
      </c>
      <c r="D5249" t="inlineStr">
        <is>
          <t>216</t>
        </is>
      </c>
      <c r="E5249" t="inlineStr">
        <is>
          <t>1</t>
        </is>
      </c>
      <c r="F5249" t="inlineStr">
        <is>
          <t>216</t>
        </is>
      </c>
      <c r="G5249" t="inlineStr">
        <is>
          <t>0</t>
        </is>
      </c>
      <c r="H5249" t="inlineStr">
        <is>
          <t>0</t>
        </is>
      </c>
      <c r="I5249" t="inlineStr">
        <is>
          <t>1¹, 3¹, 53¹, 159¹</t>
        </is>
      </c>
      <c r="J5249" t="n">
        <v>4</v>
      </c>
      <c r="K5249" t="inlineStr">
        <is>
          <t>1⁴, 2², 52², 104¹</t>
        </is>
      </c>
      <c r="L5249" t="inlineStr">
        <is>
          <t>3B⁰, 53A⁴</t>
        </is>
      </c>
      <c r="M5249" t="inlineStr"/>
      <c r="N5249" t="inlineStr">
        <is>
          <t>3B⁰, 1A⁰, 53A⁴</t>
        </is>
      </c>
      <c r="O5249" t="inlineStr"/>
    </row>
    <row r="5250">
      <c r="A5250">
        <f>HYPERLINK("https://mathstats.uncg.edu/sites/pauli/congruence/csg17.html#group160A17", "160A¹⁷")</f>
        <v/>
      </c>
      <c r="B5250" t="n">
        <v>17</v>
      </c>
      <c r="C5250" t="inlineStr"/>
      <c r="D5250" t="inlineStr">
        <is>
          <t>240</t>
        </is>
      </c>
      <c r="E5250" t="inlineStr">
        <is>
          <t>1</t>
        </is>
      </c>
      <c r="F5250" t="inlineStr">
        <is>
          <t>60</t>
        </is>
      </c>
      <c r="G5250" t="inlineStr">
        <is>
          <t>0</t>
        </is>
      </c>
      <c r="H5250" t="inlineStr">
        <is>
          <t>0</t>
        </is>
      </c>
      <c r="I5250" t="inlineStr">
        <is>
          <t>5⁴, 10², 40¹, 160¹</t>
        </is>
      </c>
      <c r="J5250" t="n">
        <v>8</v>
      </c>
      <c r="K5250" t="inlineStr">
        <is>
          <t>1⁴, 2², 4⁵, 8², 16¹</t>
        </is>
      </c>
      <c r="L5250" t="inlineStr">
        <is>
          <t>32A¹, 80B⁸</t>
        </is>
      </c>
      <c r="M5250" t="inlineStr"/>
      <c r="N5250" t="inlineStr">
        <is>
          <t>20A², 5A⁰, 32A¹, 80B⁸, 16C⁰, 10B¹, 8C⁰, 2B⁰, 4B⁰, 40B⁴, 1A⁰</t>
        </is>
      </c>
      <c r="O5250" t="inlineStr"/>
    </row>
    <row r="5251">
      <c r="A5251">
        <f>HYPERLINK("https://mathstats.uncg.edu/sites/pauli/congruence/csg17.html#group160B17", "160B¹⁷")</f>
        <v/>
      </c>
      <c r="B5251" t="n">
        <v>17</v>
      </c>
      <c r="C5251" t="inlineStr"/>
      <c r="D5251" t="inlineStr">
        <is>
          <t>240</t>
        </is>
      </c>
      <c r="E5251" t="inlineStr">
        <is>
          <t>1</t>
        </is>
      </c>
      <c r="F5251" t="inlineStr">
        <is>
          <t>60</t>
        </is>
      </c>
      <c r="G5251" t="inlineStr">
        <is>
          <t>12</t>
        </is>
      </c>
      <c r="H5251" t="inlineStr">
        <is>
          <t>0</t>
        </is>
      </c>
      <c r="I5251" t="inlineStr">
        <is>
          <t>80¹, 160¹</t>
        </is>
      </c>
      <c r="J5251" t="n">
        <v>2</v>
      </c>
      <c r="K5251" t="inlineStr">
        <is>
          <t>2⁶, 8⁶</t>
        </is>
      </c>
      <c r="L5251" t="inlineStr">
        <is>
          <t>32B¹, 80A⁸</t>
        </is>
      </c>
      <c r="M5251" t="inlineStr"/>
      <c r="N5251" t="inlineStr">
        <is>
          <t>5A⁰, 40A⁴, 10B¹, 20B², 4C⁰, 8B⁰, 2B⁰, 1A⁰, 16B⁰, 32B¹, 80A⁸</t>
        </is>
      </c>
      <c r="O5251" t="inlineStr"/>
    </row>
    <row r="5252">
      <c r="A5252">
        <f>HYPERLINK("https://mathstats.uncg.edu/sites/pauli/congruence/csg17.html#group160C17", "160C¹⁷")</f>
        <v/>
      </c>
      <c r="B5252" t="n">
        <v>17</v>
      </c>
      <c r="C5252" t="inlineStr"/>
      <c r="D5252" t="inlineStr">
        <is>
          <t>240</t>
        </is>
      </c>
      <c r="E5252" t="inlineStr">
        <is>
          <t>1</t>
        </is>
      </c>
      <c r="F5252" t="inlineStr">
        <is>
          <t>120</t>
        </is>
      </c>
      <c r="G5252" t="inlineStr">
        <is>
          <t>2</t>
        </is>
      </c>
      <c r="H5252" t="inlineStr">
        <is>
          <t>0</t>
        </is>
      </c>
      <c r="I5252" t="inlineStr">
        <is>
          <t>10⁴, 20², 160¹</t>
        </is>
      </c>
      <c r="J5252" t="n">
        <v>7</v>
      </c>
      <c r="K5252" t="inlineStr">
        <is>
          <t>2², 4³, 8⁶, 16³, 32⁴</t>
        </is>
      </c>
      <c r="L5252" t="inlineStr">
        <is>
          <t>32C¹, 80D⁸</t>
        </is>
      </c>
      <c r="M5252" t="inlineStr"/>
      <c r="N5252" t="inlineStr">
        <is>
          <t>40C⁴, 16E⁰, 5A⁰, 32C¹, 8D⁰, 10B¹, 20B², 4C⁰, 80D⁸, 2B⁰, 1A⁰</t>
        </is>
      </c>
      <c r="O5252" t="inlineStr"/>
    </row>
    <row r="5253">
      <c r="A5253">
        <f>HYPERLINK("https://mathstats.uncg.edu/sites/pauli/congruence/csg17.html#group160D17", "160D¹⁷")</f>
        <v/>
      </c>
      <c r="B5253" t="n">
        <v>17</v>
      </c>
      <c r="C5253" t="inlineStr"/>
      <c r="D5253" t="inlineStr">
        <is>
          <t>240</t>
        </is>
      </c>
      <c r="E5253" t="inlineStr">
        <is>
          <t>1</t>
        </is>
      </c>
      <c r="F5253" t="inlineStr">
        <is>
          <t>120</t>
        </is>
      </c>
      <c r="G5253" t="inlineStr">
        <is>
          <t>2</t>
        </is>
      </c>
      <c r="H5253" t="inlineStr">
        <is>
          <t>0</t>
        </is>
      </c>
      <c r="I5253" t="inlineStr">
        <is>
          <t>10⁴, 20², 160¹</t>
        </is>
      </c>
      <c r="J5253" t="n">
        <v>7</v>
      </c>
      <c r="K5253" t="inlineStr">
        <is>
          <t>2², 4³, 8⁶, 16³, 32⁴</t>
        </is>
      </c>
      <c r="L5253" t="inlineStr">
        <is>
          <t>32D¹, 80D⁸</t>
        </is>
      </c>
      <c r="M5253" t="inlineStr"/>
      <c r="N5253" t="inlineStr">
        <is>
          <t>5A⁰, 8D⁰, 10B¹, 20B², 4C⁰, 32D¹, 2B⁰, 1A⁰, 16E⁰, 40C⁴, 80D⁸</t>
        </is>
      </c>
      <c r="O5253" t="inlineStr"/>
    </row>
    <row r="5254">
      <c r="A5254">
        <f>HYPERLINK("https://mathstats.uncg.edu/sites/pauli/congruence/csg17.html#group160E17", "160E¹⁷")</f>
        <v/>
      </c>
      <c r="B5254" t="n">
        <v>17</v>
      </c>
      <c r="C5254" t="inlineStr"/>
      <c r="D5254" t="inlineStr">
        <is>
          <t>288</t>
        </is>
      </c>
      <c r="E5254" t="inlineStr">
        <is>
          <t>1</t>
        </is>
      </c>
      <c r="F5254" t="inlineStr">
        <is>
          <t>72</t>
        </is>
      </c>
      <c r="G5254" t="inlineStr">
        <is>
          <t>0</t>
        </is>
      </c>
      <c r="H5254" t="inlineStr">
        <is>
          <t>0</t>
        </is>
      </c>
      <c r="I5254" t="inlineStr">
        <is>
          <t>1⁴, 2², 5⁴, 8¹, 10², 32¹, 40¹, 160¹</t>
        </is>
      </c>
      <c r="J5254" t="n">
        <v>16</v>
      </c>
      <c r="K5254" t="inlineStr">
        <is>
          <t>1⁸, 2⁴, 4⁶, 8², 16¹</t>
        </is>
      </c>
      <c r="L5254" t="inlineStr">
        <is>
          <t>80F⁷</t>
        </is>
      </c>
      <c r="M5254" t="inlineStr"/>
      <c r="N5254" t="inlineStr">
        <is>
          <t>80F⁷, 40F³, 16C⁰, 5B⁰, 10C⁰, 20D¹, 8C⁰, 2B⁰, 4B⁰, 1A⁰</t>
        </is>
      </c>
      <c r="O5254" t="inlineStr"/>
    </row>
    <row r="5255">
      <c r="A5255">
        <f>HYPERLINK("https://mathstats.uncg.edu/sites/pauli/congruence/csg17.html#group160F17", "160F¹⁷")</f>
        <v/>
      </c>
      <c r="B5255" t="n">
        <v>17</v>
      </c>
      <c r="C5255" t="inlineStr">
        <is>
          <t>Γ₀(160)</t>
        </is>
      </c>
      <c r="D5255" t="inlineStr">
        <is>
          <t>288</t>
        </is>
      </c>
      <c r="E5255" t="inlineStr">
        <is>
          <t>1</t>
        </is>
      </c>
      <c r="F5255" t="inlineStr">
        <is>
          <t>72</t>
        </is>
      </c>
      <c r="G5255" t="inlineStr">
        <is>
          <t>0</t>
        </is>
      </c>
      <c r="H5255" t="inlineStr">
        <is>
          <t>0</t>
        </is>
      </c>
      <c r="I5255" t="inlineStr">
        <is>
          <t>1⁴, 2², 5⁴, 8¹, 10², 32¹, 40¹, 160¹</t>
        </is>
      </c>
      <c r="J5255" t="n">
        <v>16</v>
      </c>
      <c r="K5255" t="inlineStr">
        <is>
          <t>1⁸, 2⁴, 4⁶, 8², 16¹</t>
        </is>
      </c>
      <c r="L5255" t="inlineStr">
        <is>
          <t>32A¹, 80F⁷</t>
        </is>
      </c>
      <c r="M5255" t="inlineStr"/>
      <c r="N5255" t="inlineStr">
        <is>
          <t>32A¹, 80F⁷, 40F³, 16C⁰, 5B⁰, 10C⁰, 20D¹, 8C⁰, 2B⁰, 4B⁰, 1A⁰</t>
        </is>
      </c>
      <c r="O5255" t="inlineStr"/>
    </row>
    <row r="5256">
      <c r="A5256">
        <f>HYPERLINK("https://mathstats.uncg.edu/sites/pauli/congruence/csg17.html#group160G17", "160G¹⁷")</f>
        <v/>
      </c>
      <c r="B5256" t="n">
        <v>17</v>
      </c>
      <c r="C5256" t="inlineStr"/>
      <c r="D5256" t="inlineStr">
        <is>
          <t>288</t>
        </is>
      </c>
      <c r="E5256" t="inlineStr">
        <is>
          <t>1</t>
        </is>
      </c>
      <c r="F5256" t="inlineStr">
        <is>
          <t>72</t>
        </is>
      </c>
      <c r="G5256" t="inlineStr">
        <is>
          <t>24</t>
        </is>
      </c>
      <c r="H5256" t="inlineStr">
        <is>
          <t>0</t>
        </is>
      </c>
      <c r="I5256" t="inlineStr">
        <is>
          <t>16¹, 32¹, 80¹, 160¹</t>
        </is>
      </c>
      <c r="J5256" t="n">
        <v>4</v>
      </c>
      <c r="K5256" t="inlineStr">
        <is>
          <t>2¹², 8⁶</t>
        </is>
      </c>
      <c r="L5256" t="inlineStr">
        <is>
          <t>80D⁷</t>
        </is>
      </c>
      <c r="M5256" t="inlineStr"/>
      <c r="N5256" t="inlineStr">
        <is>
          <t>16B⁰, 20E¹, 80D⁷, 4C⁰, 8B⁰, 5B⁰, 10C⁰, 1A⁰, 2B⁰, 40D³</t>
        </is>
      </c>
      <c r="O5256" t="inlineStr"/>
    </row>
    <row r="5257">
      <c r="A5257">
        <f>HYPERLINK("https://mathstats.uncg.edu/sites/pauli/congruence/csg17.html#group160H17", "160H¹⁷")</f>
        <v/>
      </c>
      <c r="B5257" t="n">
        <v>17</v>
      </c>
      <c r="C5257" t="inlineStr"/>
      <c r="D5257" t="inlineStr">
        <is>
          <t>288</t>
        </is>
      </c>
      <c r="E5257" t="inlineStr">
        <is>
          <t>1</t>
        </is>
      </c>
      <c r="F5257" t="inlineStr">
        <is>
          <t>72</t>
        </is>
      </c>
      <c r="G5257" t="inlineStr">
        <is>
          <t>24</t>
        </is>
      </c>
      <c r="H5257" t="inlineStr">
        <is>
          <t>0</t>
        </is>
      </c>
      <c r="I5257" t="inlineStr">
        <is>
          <t>16¹, 32¹, 80¹, 160¹</t>
        </is>
      </c>
      <c r="J5257" t="n">
        <v>4</v>
      </c>
      <c r="K5257" t="inlineStr">
        <is>
          <t>2¹², 8⁶</t>
        </is>
      </c>
      <c r="L5257" t="inlineStr">
        <is>
          <t>32B¹, 80D⁷</t>
        </is>
      </c>
      <c r="M5257" t="inlineStr"/>
      <c r="N5257" t="inlineStr">
        <is>
          <t>16B⁰, 20E¹, 80D⁷, 4C⁰, 8B⁰, 5B⁰, 10C⁰, 1A⁰, 32B¹, 2B⁰, 40D³</t>
        </is>
      </c>
      <c r="O5257" t="inlineStr"/>
    </row>
    <row r="5258">
      <c r="A5258">
        <f>HYPERLINK("https://mathstats.uncg.edu/sites/pauli/congruence/csg17.html#group160I17", "160I¹⁷")</f>
        <v/>
      </c>
      <c r="B5258" t="n">
        <v>17</v>
      </c>
      <c r="C5258" t="inlineStr"/>
      <c r="D5258" t="inlineStr">
        <is>
          <t>288</t>
        </is>
      </c>
      <c r="E5258" t="inlineStr">
        <is>
          <t>1</t>
        </is>
      </c>
      <c r="F5258" t="inlineStr">
        <is>
          <t>144</t>
        </is>
      </c>
      <c r="G5258" t="inlineStr">
        <is>
          <t>4</t>
        </is>
      </c>
      <c r="H5258" t="inlineStr">
        <is>
          <t>0</t>
        </is>
      </c>
      <c r="I5258" t="inlineStr">
        <is>
          <t>2⁴, 4², 10⁴, 20², 32¹, 160¹</t>
        </is>
      </c>
      <c r="J5258" t="n">
        <v>14</v>
      </c>
      <c r="K5258" t="inlineStr">
        <is>
          <t>2⁴, 4⁶, 8¹⁰, 16³, 32⁴</t>
        </is>
      </c>
      <c r="L5258" t="inlineStr">
        <is>
          <t>80J⁷</t>
        </is>
      </c>
      <c r="M5258" t="inlineStr"/>
      <c r="N5258" t="inlineStr">
        <is>
          <t>20E¹, 16E⁰, 40H³, 8D⁰, 4C⁰, 5B⁰, 80J⁷, 10C⁰, 2B⁰, 1A⁰</t>
        </is>
      </c>
      <c r="O5258" t="inlineStr"/>
    </row>
    <row r="5259">
      <c r="A5259">
        <f>HYPERLINK("https://mathstats.uncg.edu/sites/pauli/congruence/csg17.html#group160J17", "160J¹⁷")</f>
        <v/>
      </c>
      <c r="B5259" t="n">
        <v>17</v>
      </c>
      <c r="C5259" t="inlineStr"/>
      <c r="D5259" t="inlineStr">
        <is>
          <t>288</t>
        </is>
      </c>
      <c r="E5259" t="inlineStr">
        <is>
          <t>1</t>
        </is>
      </c>
      <c r="F5259" t="inlineStr">
        <is>
          <t>144</t>
        </is>
      </c>
      <c r="G5259" t="inlineStr">
        <is>
          <t>4</t>
        </is>
      </c>
      <c r="H5259" t="inlineStr">
        <is>
          <t>0</t>
        </is>
      </c>
      <c r="I5259" t="inlineStr">
        <is>
          <t>2⁴, 4², 10⁴, 20², 32¹, 160¹</t>
        </is>
      </c>
      <c r="J5259" t="n">
        <v>14</v>
      </c>
      <c r="K5259" t="inlineStr">
        <is>
          <t>2⁴, 4⁶, 8¹⁰, 16³, 32⁴</t>
        </is>
      </c>
      <c r="L5259" t="inlineStr">
        <is>
          <t>80J⁷</t>
        </is>
      </c>
      <c r="M5259" t="inlineStr"/>
      <c r="N5259" t="inlineStr">
        <is>
          <t>20E¹, 16E⁰, 40H³, 8D⁰, 4C⁰, 5B⁰, 80J⁷, 10C⁰, 2B⁰, 1A⁰</t>
        </is>
      </c>
      <c r="O5259" t="inlineStr"/>
    </row>
    <row r="5260">
      <c r="A5260">
        <f>HYPERLINK("https://mathstats.uncg.edu/sites/pauli/congruence/csg17.html#group160K17", "160K¹⁷")</f>
        <v/>
      </c>
      <c r="B5260" t="n">
        <v>17</v>
      </c>
      <c r="C5260" t="inlineStr"/>
      <c r="D5260" t="inlineStr">
        <is>
          <t>288</t>
        </is>
      </c>
      <c r="E5260" t="inlineStr">
        <is>
          <t>1</t>
        </is>
      </c>
      <c r="F5260" t="inlineStr">
        <is>
          <t>144</t>
        </is>
      </c>
      <c r="G5260" t="inlineStr">
        <is>
          <t>4</t>
        </is>
      </c>
      <c r="H5260" t="inlineStr">
        <is>
          <t>0</t>
        </is>
      </c>
      <c r="I5260" t="inlineStr">
        <is>
          <t>2⁴, 4², 10⁴, 20², 32¹, 160¹</t>
        </is>
      </c>
      <c r="J5260" t="n">
        <v>14</v>
      </c>
      <c r="K5260" t="inlineStr">
        <is>
          <t>2⁴, 4⁶, 8¹⁰, 16³, 32⁴</t>
        </is>
      </c>
      <c r="L5260" t="inlineStr">
        <is>
          <t>32C¹, 80J⁷</t>
        </is>
      </c>
      <c r="M5260" t="inlineStr"/>
      <c r="N5260" t="inlineStr">
        <is>
          <t>20E¹, 16E⁰, 32C¹, 40H³, 8D⁰, 4C⁰, 5B⁰, 80J⁷, 10C⁰, 2B⁰, 1A⁰</t>
        </is>
      </c>
      <c r="O5260" t="inlineStr"/>
    </row>
    <row r="5261">
      <c r="A5261">
        <f>HYPERLINK("https://mathstats.uncg.edu/sites/pauli/congruence/csg17.html#group160L17", "160L¹⁷")</f>
        <v/>
      </c>
      <c r="B5261" t="n">
        <v>17</v>
      </c>
      <c r="C5261" t="inlineStr"/>
      <c r="D5261" t="inlineStr">
        <is>
          <t>288</t>
        </is>
      </c>
      <c r="E5261" t="inlineStr">
        <is>
          <t>1</t>
        </is>
      </c>
      <c r="F5261" t="inlineStr">
        <is>
          <t>144</t>
        </is>
      </c>
      <c r="G5261" t="inlineStr">
        <is>
          <t>4</t>
        </is>
      </c>
      <c r="H5261" t="inlineStr">
        <is>
          <t>0</t>
        </is>
      </c>
      <c r="I5261" t="inlineStr">
        <is>
          <t>2⁴, 4², 10⁴, 20², 32¹, 160¹</t>
        </is>
      </c>
      <c r="J5261" t="n">
        <v>14</v>
      </c>
      <c r="K5261" t="inlineStr">
        <is>
          <t>2⁴, 4⁶, 8¹⁰, 16³, 32⁴</t>
        </is>
      </c>
      <c r="L5261" t="inlineStr">
        <is>
          <t>32D¹, 80J⁷</t>
        </is>
      </c>
      <c r="M5261" t="inlineStr"/>
      <c r="N5261" t="inlineStr">
        <is>
          <t>20E¹, 16E⁰, 40H³, 8D⁰, 4C⁰, 5B⁰, 80J⁷, 10C⁰, 32D¹, 2B⁰, 1A⁰</t>
        </is>
      </c>
      <c r="O5261" t="inlineStr"/>
    </row>
    <row r="5262">
      <c r="A5262">
        <f>HYPERLINK("https://mathstats.uncg.edu/sites/pauli/congruence/csg17.html#group160M17", "160M¹⁷")</f>
        <v/>
      </c>
      <c r="B5262" t="n">
        <v>17</v>
      </c>
      <c r="C5262" t="inlineStr"/>
      <c r="D5262" t="inlineStr">
        <is>
          <t>288</t>
        </is>
      </c>
      <c r="E5262" t="inlineStr">
        <is>
          <t>2</t>
        </is>
      </c>
      <c r="F5262" t="inlineStr">
        <is>
          <t>72</t>
        </is>
      </c>
      <c r="G5262" t="inlineStr">
        <is>
          <t>0</t>
        </is>
      </c>
      <c r="H5262" t="inlineStr">
        <is>
          <t>0</t>
        </is>
      </c>
      <c r="I5262" t="inlineStr">
        <is>
          <t>1⁴, 2², 5⁴, 8¹, 10², 32¹, 40¹, 160¹</t>
        </is>
      </c>
      <c r="J5262" t="n">
        <v>16</v>
      </c>
      <c r="K5262" t="inlineStr">
        <is>
          <t>2¹⁶, 4⁴, 8⁸, 16²</t>
        </is>
      </c>
      <c r="L5262" t="inlineStr">
        <is>
          <t>80E⁷</t>
        </is>
      </c>
      <c r="M5262" t="inlineStr"/>
      <c r="N5262" t="inlineStr">
        <is>
          <t>40F³, 5B⁰, 80E⁷, 10C⁰, 20D¹, 8C⁰, 2B⁰, 4B⁰, 1A⁰</t>
        </is>
      </c>
      <c r="O5262" t="inlineStr"/>
    </row>
    <row r="5263">
      <c r="A5263">
        <f>HYPERLINK("https://mathstats.uncg.edu/sites/pauli/congruence/csg17.html#group165A17", "165A¹⁷")</f>
        <v/>
      </c>
      <c r="B5263" t="n">
        <v>17</v>
      </c>
      <c r="C5263" t="inlineStr"/>
      <c r="D5263" t="inlineStr">
        <is>
          <t>216</t>
        </is>
      </c>
      <c r="E5263" t="inlineStr">
        <is>
          <t>1</t>
        </is>
      </c>
      <c r="F5263" t="inlineStr">
        <is>
          <t>72</t>
        </is>
      </c>
      <c r="G5263" t="inlineStr">
        <is>
          <t>0</t>
        </is>
      </c>
      <c r="H5263" t="inlineStr">
        <is>
          <t>0</t>
        </is>
      </c>
      <c r="I5263" t="inlineStr">
        <is>
          <t>3¹, 15¹, 33¹, 165¹</t>
        </is>
      </c>
      <c r="J5263" t="n">
        <v>4</v>
      </c>
      <c r="K5263" t="inlineStr">
        <is>
          <t>1⁴, 4², 10², 40¹</t>
        </is>
      </c>
      <c r="L5263" t="inlineStr">
        <is>
          <t>15B⁰, 33A³, 55B⁵</t>
        </is>
      </c>
      <c r="M5263" t="inlineStr"/>
      <c r="N5263" t="inlineStr">
        <is>
          <t>15B⁰, 55B⁵, 11A¹, 5B⁰, 3A⁰, 33A³, 1A⁰</t>
        </is>
      </c>
      <c r="O5263" t="inlineStr"/>
    </row>
    <row r="5264">
      <c r="A5264">
        <f>HYPERLINK("https://mathstats.uncg.edu/sites/pauli/congruence/csg17.html#group165B17", "165B¹⁷")</f>
        <v/>
      </c>
      <c r="B5264" t="n">
        <v>17</v>
      </c>
      <c r="C5264" t="inlineStr"/>
      <c r="D5264" t="inlineStr">
        <is>
          <t>220</t>
        </is>
      </c>
      <c r="E5264" t="inlineStr">
        <is>
          <t>2</t>
        </is>
      </c>
      <c r="F5264" t="inlineStr">
        <is>
          <t>220</t>
        </is>
      </c>
      <c r="G5264" t="inlineStr">
        <is>
          <t>0</t>
        </is>
      </c>
      <c r="H5264" t="inlineStr">
        <is>
          <t>4</t>
        </is>
      </c>
      <c r="I5264" t="inlineStr">
        <is>
          <t>55¹, 165¹</t>
        </is>
      </c>
      <c r="J5264" t="n">
        <v>2</v>
      </c>
      <c r="K5264" t="inlineStr">
        <is>
          <t>2², 4¹, 8², 10⁴, 16¹, 20², 40⁴, 80²</t>
        </is>
      </c>
      <c r="L5264" t="inlineStr">
        <is>
          <t>15B¹, 33B³, 55A³</t>
        </is>
      </c>
      <c r="M5264" t="inlineStr"/>
      <c r="N5264" t="inlineStr">
        <is>
          <t>11A⁰, 3B⁰, 55A³, 5A⁰, 33B³, 15B¹, 1A⁰</t>
        </is>
      </c>
      <c r="O5264" t="inlineStr"/>
    </row>
    <row r="5265">
      <c r="A5265">
        <f>HYPERLINK("https://mathstats.uncg.edu/sites/pauli/congruence/csg17.html#group168A17", "168A¹⁷")</f>
        <v/>
      </c>
      <c r="B5265" t="n">
        <v>17</v>
      </c>
      <c r="C5265" t="inlineStr"/>
      <c r="D5265" t="inlineStr">
        <is>
          <t>252</t>
        </is>
      </c>
      <c r="E5265" t="inlineStr">
        <is>
          <t>2</t>
        </is>
      </c>
      <c r="F5265" t="inlineStr">
        <is>
          <t>63</t>
        </is>
      </c>
      <c r="G5265" t="inlineStr">
        <is>
          <t>16</t>
        </is>
      </c>
      <c r="H5265" t="inlineStr">
        <is>
          <t>0</t>
        </is>
      </c>
      <c r="I5265" t="inlineStr">
        <is>
          <t>84¹, 168¹</t>
        </is>
      </c>
      <c r="J5265" t="n">
        <v>2</v>
      </c>
      <c r="K5265" t="inlineStr">
        <is>
          <t>2³, 4³, 6⁶, 12⁶</t>
        </is>
      </c>
      <c r="L5265" t="inlineStr">
        <is>
          <t>84B⁶</t>
        </is>
      </c>
      <c r="M5265" t="inlineStr"/>
      <c r="N5265" t="inlineStr">
        <is>
          <t>28C², 12C⁰, 14B¹, 4C⁰, 21A⁰, 2B⁰, 3A⁰, 1A⁰, 42C³, 84B⁶, 6D⁰, 7A⁰</t>
        </is>
      </c>
      <c r="O5265" t="inlineStr"/>
    </row>
    <row r="5266">
      <c r="A5266">
        <f>HYPERLINK("https://mathstats.uncg.edu/sites/pauli/congruence/csg17.html#group170A17", "170A¹⁷")</f>
        <v/>
      </c>
      <c r="B5266" t="n">
        <v>17</v>
      </c>
      <c r="C5266" t="inlineStr"/>
      <c r="D5266" t="inlineStr">
        <is>
          <t>216</t>
        </is>
      </c>
      <c r="E5266" t="inlineStr">
        <is>
          <t>1</t>
        </is>
      </c>
      <c r="F5266" t="inlineStr">
        <is>
          <t>108</t>
        </is>
      </c>
      <c r="G5266" t="inlineStr">
        <is>
          <t>0</t>
        </is>
      </c>
      <c r="H5266" t="inlineStr">
        <is>
          <t>0</t>
        </is>
      </c>
      <c r="I5266" t="inlineStr">
        <is>
          <t>2¹, 10¹, 34¹, 170¹</t>
        </is>
      </c>
      <c r="J5266" t="n">
        <v>4</v>
      </c>
      <c r="K5266" t="inlineStr">
        <is>
          <t>1⁴, 4², 16², 64¹</t>
        </is>
      </c>
      <c r="L5266" t="inlineStr">
        <is>
          <t>34A³, 85B⁷</t>
        </is>
      </c>
      <c r="M5266" t="inlineStr"/>
      <c r="N5266" t="inlineStr">
        <is>
          <t>5B⁰, 17A¹, 85B⁷, 1A⁰, 34A³</t>
        </is>
      </c>
      <c r="O5266" t="inlineStr"/>
    </row>
    <row r="5267">
      <c r="A5267">
        <f>HYPERLINK("https://mathstats.uncg.edu/sites/pauli/congruence/csg17.html#group170B17", "170B¹⁷")</f>
        <v/>
      </c>
      <c r="B5267" t="n">
        <v>17</v>
      </c>
      <c r="C5267" t="inlineStr"/>
      <c r="D5267" t="inlineStr">
        <is>
          <t>216</t>
        </is>
      </c>
      <c r="E5267" t="inlineStr">
        <is>
          <t>1</t>
        </is>
      </c>
      <c r="F5267" t="inlineStr">
        <is>
          <t>108</t>
        </is>
      </c>
      <c r="G5267" t="inlineStr">
        <is>
          <t>0</t>
        </is>
      </c>
      <c r="H5267" t="inlineStr">
        <is>
          <t>0</t>
        </is>
      </c>
      <c r="I5267" t="inlineStr">
        <is>
          <t>2¹, 10¹, 34¹, 170¹</t>
        </is>
      </c>
      <c r="J5267" t="n">
        <v>4</v>
      </c>
      <c r="K5267" t="inlineStr">
        <is>
          <t>1⁴, 4², 16², 64¹</t>
        </is>
      </c>
      <c r="L5267" t="inlineStr">
        <is>
          <t>10A¹, 34B³, 85B⁷</t>
        </is>
      </c>
      <c r="M5267" t="inlineStr"/>
      <c r="N5267" t="inlineStr">
        <is>
          <t>2A⁰, 5B⁰, 10A¹, 17A¹, 85B⁷, 34B³, 1A⁰</t>
        </is>
      </c>
      <c r="O5267" t="inlineStr"/>
    </row>
    <row r="5268">
      <c r="A5268">
        <f>HYPERLINK("https://mathstats.uncg.edu/sites/pauli/congruence/csg17.html#group171A17", "171A¹⁷")</f>
        <v/>
      </c>
      <c r="B5268" t="n">
        <v>17</v>
      </c>
      <c r="C5268" t="inlineStr">
        <is>
          <t>Γ₀(171)</t>
        </is>
      </c>
      <c r="D5268" t="inlineStr">
        <is>
          <t>240</t>
        </is>
      </c>
      <c r="E5268" t="inlineStr">
        <is>
          <t>1</t>
        </is>
      </c>
      <c r="F5268" t="inlineStr">
        <is>
          <t>80</t>
        </is>
      </c>
      <c r="G5268" t="inlineStr">
        <is>
          <t>0</t>
        </is>
      </c>
      <c r="H5268" t="inlineStr">
        <is>
          <t>0</t>
        </is>
      </c>
      <c r="I5268" t="inlineStr">
        <is>
          <t>1³, 9¹, 19³, 171¹</t>
        </is>
      </c>
      <c r="J5268" t="n">
        <v>8</v>
      </c>
      <c r="K5268" t="inlineStr">
        <is>
          <t>1⁴, 2², 18², 36¹</t>
        </is>
      </c>
      <c r="L5268" t="inlineStr">
        <is>
          <t>9B⁰, 57C⁵</t>
        </is>
      </c>
      <c r="M5268" t="inlineStr"/>
      <c r="N5268" t="inlineStr">
        <is>
          <t>3B⁰, 9B⁰, 19A¹, 1A⁰, 57C⁵</t>
        </is>
      </c>
      <c r="O5268" t="inlineStr"/>
    </row>
    <row r="5269">
      <c r="A5269">
        <f>HYPERLINK("https://mathstats.uncg.edu/sites/pauli/congruence/csg17.html#group171B17", "171B¹⁷")</f>
        <v/>
      </c>
      <c r="B5269" t="n">
        <v>17</v>
      </c>
      <c r="C5269" t="inlineStr"/>
      <c r="D5269" t="inlineStr">
        <is>
          <t>240</t>
        </is>
      </c>
      <c r="E5269" t="inlineStr">
        <is>
          <t>1</t>
        </is>
      </c>
      <c r="F5269" t="inlineStr">
        <is>
          <t>80</t>
        </is>
      </c>
      <c r="G5269" t="inlineStr">
        <is>
          <t>0</t>
        </is>
      </c>
      <c r="H5269" t="inlineStr">
        <is>
          <t>6</t>
        </is>
      </c>
      <c r="I5269" t="inlineStr">
        <is>
          <t>3¹, 9¹, 57¹, 171¹</t>
        </is>
      </c>
      <c r="J5269" t="n">
        <v>4</v>
      </c>
      <c r="K5269" t="inlineStr">
        <is>
          <t>1⁴, 2², 18², 36¹</t>
        </is>
      </c>
      <c r="L5269" t="inlineStr">
        <is>
          <t>9C⁰, 57C⁵</t>
        </is>
      </c>
      <c r="M5269" t="inlineStr"/>
      <c r="N5269" t="inlineStr">
        <is>
          <t>3B⁰, 19A¹, 9C⁰, 1A⁰, 57C⁵</t>
        </is>
      </c>
      <c r="O5269" t="inlineStr"/>
    </row>
    <row r="5270">
      <c r="A5270">
        <f>HYPERLINK("https://mathstats.uncg.edu/sites/pauli/congruence/csg17.html#group171C17", "171C¹⁷")</f>
        <v/>
      </c>
      <c r="B5270" t="n">
        <v>17</v>
      </c>
      <c r="C5270" t="inlineStr"/>
      <c r="D5270" t="inlineStr">
        <is>
          <t>240</t>
        </is>
      </c>
      <c r="E5270" t="inlineStr">
        <is>
          <t>2</t>
        </is>
      </c>
      <c r="F5270" t="inlineStr">
        <is>
          <t>80</t>
        </is>
      </c>
      <c r="G5270" t="inlineStr">
        <is>
          <t>0</t>
        </is>
      </c>
      <c r="H5270" t="inlineStr">
        <is>
          <t>0</t>
        </is>
      </c>
      <c r="I5270" t="inlineStr">
        <is>
          <t>1³, 9¹, 19³, 171¹</t>
        </is>
      </c>
      <c r="J5270" t="n">
        <v>8</v>
      </c>
      <c r="K5270" t="inlineStr">
        <is>
          <t>2⁸, 36⁴</t>
        </is>
      </c>
      <c r="L5270" t="inlineStr">
        <is>
          <t>57C⁵</t>
        </is>
      </c>
      <c r="M5270" t="inlineStr"/>
      <c r="N5270" t="inlineStr">
        <is>
          <t>3B⁰, 1A⁰, 19A¹, 57C⁵</t>
        </is>
      </c>
      <c r="O5270" t="inlineStr"/>
    </row>
    <row r="5271">
      <c r="A5271">
        <f>HYPERLINK("https://mathstats.uncg.edu/sites/pauli/congruence/csg17.html#group171D17", "171D¹⁷")</f>
        <v/>
      </c>
      <c r="B5271" t="n">
        <v>17</v>
      </c>
      <c r="C5271" t="inlineStr"/>
      <c r="D5271" t="inlineStr">
        <is>
          <t>240</t>
        </is>
      </c>
      <c r="E5271" t="inlineStr">
        <is>
          <t>2</t>
        </is>
      </c>
      <c r="F5271" t="inlineStr">
        <is>
          <t>80</t>
        </is>
      </c>
      <c r="G5271" t="inlineStr">
        <is>
          <t>0</t>
        </is>
      </c>
      <c r="H5271" t="inlineStr">
        <is>
          <t>6</t>
        </is>
      </c>
      <c r="I5271" t="inlineStr">
        <is>
          <t>3¹, 9¹, 57¹, 171¹</t>
        </is>
      </c>
      <c r="J5271" t="n">
        <v>4</v>
      </c>
      <c r="K5271" t="inlineStr">
        <is>
          <t>2⁸, 36⁴</t>
        </is>
      </c>
      <c r="L5271" t="inlineStr">
        <is>
          <t>57C⁵</t>
        </is>
      </c>
      <c r="M5271" t="inlineStr"/>
      <c r="N5271" t="inlineStr">
        <is>
          <t>3B⁰, 1A⁰, 19A¹, 57C⁵</t>
        </is>
      </c>
      <c r="O5271" t="inlineStr"/>
    </row>
    <row r="5272">
      <c r="A5272">
        <f>HYPERLINK("https://mathstats.uncg.edu/sites/pauli/congruence/csg17.html#group180A17", "180A¹⁷")</f>
        <v/>
      </c>
      <c r="B5272" t="n">
        <v>17</v>
      </c>
      <c r="C5272" t="inlineStr"/>
      <c r="D5272" t="inlineStr">
        <is>
          <t>240</t>
        </is>
      </c>
      <c r="E5272" t="inlineStr">
        <is>
          <t>2</t>
        </is>
      </c>
      <c r="F5272" t="inlineStr">
        <is>
          <t>40</t>
        </is>
      </c>
      <c r="G5272" t="inlineStr">
        <is>
          <t>0</t>
        </is>
      </c>
      <c r="H5272" t="inlineStr">
        <is>
          <t>6</t>
        </is>
      </c>
      <c r="I5272" t="inlineStr">
        <is>
          <t>20³, 180¹</t>
        </is>
      </c>
      <c r="J5272" t="n">
        <v>4</v>
      </c>
      <c r="K5272" t="inlineStr">
        <is>
          <t>4⁴, 8⁸</t>
        </is>
      </c>
      <c r="L5272" t="inlineStr">
        <is>
          <t>60B⁴, 90E⁸</t>
        </is>
      </c>
      <c r="M5272" t="inlineStr"/>
      <c r="N5272" t="inlineStr">
        <is>
          <t>3B⁰, 2A⁰, 5A⁰, 10A⁰, 90E⁸, 30D², 60B⁴, 6C⁰, 15B¹, 1A⁰, 12B⁰</t>
        </is>
      </c>
      <c r="O5272" t="inlineStr"/>
    </row>
    <row r="5273">
      <c r="A5273">
        <f>HYPERLINK("https://mathstats.uncg.edu/sites/pauli/congruence/csg17.html#group185A17", "185A¹⁷")</f>
        <v/>
      </c>
      <c r="B5273" t="n">
        <v>17</v>
      </c>
      <c r="C5273" t="inlineStr">
        <is>
          <t>Γ₀(185)</t>
        </is>
      </c>
      <c r="D5273" t="inlineStr">
        <is>
          <t>228</t>
        </is>
      </c>
      <c r="E5273" t="inlineStr">
        <is>
          <t>1</t>
        </is>
      </c>
      <c r="F5273" t="inlineStr">
        <is>
          <t>228</t>
        </is>
      </c>
      <c r="G5273" t="inlineStr">
        <is>
          <t>4</t>
        </is>
      </c>
      <c r="H5273" t="inlineStr">
        <is>
          <t>0</t>
        </is>
      </c>
      <c r="I5273" t="inlineStr">
        <is>
          <t>1¹, 5¹, 37¹, 185¹</t>
        </is>
      </c>
      <c r="J5273" t="n">
        <v>4</v>
      </c>
      <c r="K5273" t="inlineStr">
        <is>
          <t>1⁴, 4², 36², 144¹</t>
        </is>
      </c>
      <c r="L5273" t="inlineStr">
        <is>
          <t>5B⁰, 37A²</t>
        </is>
      </c>
      <c r="M5273" t="inlineStr"/>
      <c r="N5273" t="inlineStr">
        <is>
          <t>5B⁰, 1A⁰, 37A²</t>
        </is>
      </c>
      <c r="O5273" t="inlineStr"/>
    </row>
    <row r="5274">
      <c r="A5274">
        <f>HYPERLINK("https://mathstats.uncg.edu/sites/pauli/congruence/csg17.html#group187A17", "187A¹⁷")</f>
        <v/>
      </c>
      <c r="B5274" t="n">
        <v>17</v>
      </c>
      <c r="C5274" t="inlineStr">
        <is>
          <t>Γ₀(187)</t>
        </is>
      </c>
      <c r="D5274" t="inlineStr">
        <is>
          <t>216</t>
        </is>
      </c>
      <c r="E5274" t="inlineStr">
        <is>
          <t>1</t>
        </is>
      </c>
      <c r="F5274" t="inlineStr">
        <is>
          <t>216</t>
        </is>
      </c>
      <c r="G5274" t="inlineStr">
        <is>
          <t>0</t>
        </is>
      </c>
      <c r="H5274" t="inlineStr">
        <is>
          <t>0</t>
        </is>
      </c>
      <c r="I5274" t="inlineStr">
        <is>
          <t>1¹, 11¹, 17¹, 187¹</t>
        </is>
      </c>
      <c r="J5274" t="n">
        <v>4</v>
      </c>
      <c r="K5274" t="inlineStr">
        <is>
          <t>1⁴, 10², 16², 160¹</t>
        </is>
      </c>
      <c r="L5274" t="inlineStr">
        <is>
          <t>11A¹, 17A¹</t>
        </is>
      </c>
      <c r="M5274" t="inlineStr"/>
      <c r="N5274" t="inlineStr">
        <is>
          <t>17A¹, 1A⁰, 11A¹</t>
        </is>
      </c>
      <c r="O5274" t="inlineStr"/>
    </row>
    <row r="5275">
      <c r="A5275">
        <f>HYPERLINK("https://mathstats.uncg.edu/sites/pauli/congruence/csg17.html#group189A17", "189A¹⁷")</f>
        <v/>
      </c>
      <c r="B5275" t="n">
        <v>17</v>
      </c>
      <c r="C5275" t="inlineStr"/>
      <c r="D5275" t="inlineStr">
        <is>
          <t>288</t>
        </is>
      </c>
      <c r="E5275" t="inlineStr">
        <is>
          <t>1</t>
        </is>
      </c>
      <c r="F5275" t="inlineStr">
        <is>
          <t>96</t>
        </is>
      </c>
      <c r="G5275" t="inlineStr">
        <is>
          <t>0</t>
        </is>
      </c>
      <c r="H5275" t="inlineStr">
        <is>
          <t>0</t>
        </is>
      </c>
      <c r="I5275" t="inlineStr">
        <is>
          <t>1⁶, 3¹, 7⁶, 21¹, 27¹, 189¹</t>
        </is>
      </c>
      <c r="J5275" t="n">
        <v>16</v>
      </c>
      <c r="K5275" t="inlineStr">
        <is>
          <t>1⁴, 2⁴, 6⁴, 12², 36¹</t>
        </is>
      </c>
      <c r="L5275" t="inlineStr">
        <is>
          <t>27A⁰, 63A⁵</t>
        </is>
      </c>
      <c r="M5275" t="inlineStr"/>
      <c r="N5275" t="inlineStr">
        <is>
          <t>63A⁵, 3B⁰, 21B¹, 7B⁰, 27A⁰, 9B⁰, 1A⁰</t>
        </is>
      </c>
      <c r="O5275" t="inlineStr"/>
    </row>
    <row r="5276">
      <c r="A5276">
        <f>HYPERLINK("https://mathstats.uncg.edu/sites/pauli/congruence/csg17.html#group189B17", "189B¹⁷")</f>
        <v/>
      </c>
      <c r="B5276" t="n">
        <v>17</v>
      </c>
      <c r="C5276" t="inlineStr"/>
      <c r="D5276" t="inlineStr">
        <is>
          <t>288</t>
        </is>
      </c>
      <c r="E5276" t="inlineStr">
        <is>
          <t>2</t>
        </is>
      </c>
      <c r="F5276" t="inlineStr">
        <is>
          <t>96</t>
        </is>
      </c>
      <c r="G5276" t="inlineStr">
        <is>
          <t>0</t>
        </is>
      </c>
      <c r="H5276" t="inlineStr">
        <is>
          <t>0</t>
        </is>
      </c>
      <c r="I5276" t="inlineStr">
        <is>
          <t>1⁶, 3¹, 7⁶, 21¹, 27¹, 189¹</t>
        </is>
      </c>
      <c r="J5276" t="n">
        <v>16</v>
      </c>
      <c r="K5276" t="inlineStr">
        <is>
          <t>2¹², 6⁴, 12⁶, 36²</t>
        </is>
      </c>
      <c r="L5276" t="inlineStr">
        <is>
          <t>63A⁵</t>
        </is>
      </c>
      <c r="M5276" t="inlineStr"/>
      <c r="N5276" t="inlineStr">
        <is>
          <t>63A⁵, 3B⁰, 9B⁰, 21B¹, 1A⁰, 7B⁰</t>
        </is>
      </c>
      <c r="O5276" t="inlineStr"/>
    </row>
    <row r="5277">
      <c r="A5277">
        <f>HYPERLINK("https://mathstats.uncg.edu/sites/pauli/congruence/csg17.html#group195A17", "195A¹⁷")</f>
        <v/>
      </c>
      <c r="B5277" t="n">
        <v>17</v>
      </c>
      <c r="C5277" t="inlineStr"/>
      <c r="D5277" t="inlineStr">
        <is>
          <t>252</t>
        </is>
      </c>
      <c r="E5277" t="inlineStr">
        <is>
          <t>1</t>
        </is>
      </c>
      <c r="F5277" t="inlineStr">
        <is>
          <t>84</t>
        </is>
      </c>
      <c r="G5277" t="inlineStr">
        <is>
          <t>12</t>
        </is>
      </c>
      <c r="H5277" t="inlineStr">
        <is>
          <t>0</t>
        </is>
      </c>
      <c r="I5277" t="inlineStr">
        <is>
          <t>3¹, 15¹, 39¹, 195¹</t>
        </is>
      </c>
      <c r="J5277" t="n">
        <v>4</v>
      </c>
      <c r="K5277" t="inlineStr">
        <is>
          <t>1⁴, 4², 12², 48¹</t>
        </is>
      </c>
      <c r="L5277" t="inlineStr">
        <is>
          <t>15B⁰, 39A², 65A⁵</t>
        </is>
      </c>
      <c r="M5277" t="inlineStr"/>
      <c r="N5277" t="inlineStr">
        <is>
          <t>39A², 15B⁰, 13A⁰, 5B⁰, 65A⁵, 3A⁰, 1A⁰</t>
        </is>
      </c>
      <c r="O5277" t="inlineStr"/>
    </row>
    <row r="5278">
      <c r="A5278">
        <f>HYPERLINK("https://mathstats.uncg.edu/sites/pauli/congruence/csg17.html#group195B17", "195B¹⁷")</f>
        <v/>
      </c>
      <c r="B5278" t="n">
        <v>17</v>
      </c>
      <c r="C5278" t="inlineStr"/>
      <c r="D5278" t="inlineStr">
        <is>
          <t>252</t>
        </is>
      </c>
      <c r="E5278" t="inlineStr">
        <is>
          <t>2</t>
        </is>
      </c>
      <c r="F5278" t="inlineStr">
        <is>
          <t>84</t>
        </is>
      </c>
      <c r="G5278" t="inlineStr">
        <is>
          <t>12</t>
        </is>
      </c>
      <c r="H5278" t="inlineStr">
        <is>
          <t>0</t>
        </is>
      </c>
      <c r="I5278" t="inlineStr">
        <is>
          <t>3¹, 15¹, 39¹, 195¹</t>
        </is>
      </c>
      <c r="J5278" t="n">
        <v>4</v>
      </c>
      <c r="K5278" t="inlineStr">
        <is>
          <t>2⁴, 8², 24², 96¹</t>
        </is>
      </c>
      <c r="L5278" t="inlineStr">
        <is>
          <t>39A¹, 65A⁵</t>
        </is>
      </c>
      <c r="M5278" t="inlineStr"/>
      <c r="N5278" t="inlineStr">
        <is>
          <t>5B⁰, 13A⁰, 65A⁵, 39A¹, 1A⁰</t>
        </is>
      </c>
      <c r="O5278" t="inlineStr"/>
    </row>
    <row r="5279">
      <c r="A5279">
        <f>HYPERLINK("https://mathstats.uncg.edu/sites/pauli/congruence/csg17.html#group196A17", "196A¹⁷")</f>
        <v/>
      </c>
      <c r="B5279" t="n">
        <v>17</v>
      </c>
      <c r="C5279" t="inlineStr">
        <is>
          <t>Γ₀(196)</t>
        </is>
      </c>
      <c r="D5279" t="inlineStr">
        <is>
          <t>336</t>
        </is>
      </c>
      <c r="E5279" t="inlineStr">
        <is>
          <t>1</t>
        </is>
      </c>
      <c r="F5279" t="inlineStr">
        <is>
          <t>168</t>
        </is>
      </c>
      <c r="G5279" t="inlineStr">
        <is>
          <t>0</t>
        </is>
      </c>
      <c r="H5279" t="inlineStr">
        <is>
          <t>0</t>
        </is>
      </c>
      <c r="I5279" t="inlineStr">
        <is>
          <t>1¹⁴, 4⁷, 49², 196¹</t>
        </is>
      </c>
      <c r="J5279" t="n">
        <v>24</v>
      </c>
      <c r="K5279" t="inlineStr">
        <is>
          <t>1⁶, 6⁶, 42³</t>
        </is>
      </c>
      <c r="L5279" t="inlineStr">
        <is>
          <t>28D², 98A⁷</t>
        </is>
      </c>
      <c r="M5279" t="inlineStr"/>
      <c r="N5279" t="inlineStr">
        <is>
          <t>98A⁷, 7B⁰, 28D², 14C¹, 49A¹, 2B⁰, 4B⁰, 1A⁰</t>
        </is>
      </c>
      <c r="O5279" t="inlineStr"/>
    </row>
    <row r="5280">
      <c r="A5280">
        <f>HYPERLINK("https://mathstats.uncg.edu/sites/pauli/congruence/csg17.html#group198A17", "198A¹⁷")</f>
        <v/>
      </c>
      <c r="B5280" t="n">
        <v>17</v>
      </c>
      <c r="C5280" t="inlineStr"/>
      <c r="D5280" t="inlineStr">
        <is>
          <t>198</t>
        </is>
      </c>
      <c r="E5280" t="inlineStr">
        <is>
          <t>2</t>
        </is>
      </c>
      <c r="F5280" t="inlineStr">
        <is>
          <t>99</t>
        </is>
      </c>
      <c r="G5280" t="inlineStr">
        <is>
          <t>0</t>
        </is>
      </c>
      <c r="H5280" t="inlineStr">
        <is>
          <t>0</t>
        </is>
      </c>
      <c r="I5280" t="inlineStr">
        <is>
          <t>198¹</t>
        </is>
      </c>
      <c r="J5280" t="n">
        <v>1</v>
      </c>
      <c r="K5280" t="inlineStr">
        <is>
          <t>2¹, 4¹, 10², 12¹, 20², 60²</t>
        </is>
      </c>
      <c r="L5280" t="inlineStr">
        <is>
          <t>18A², 99A⁵, 66A⁶</t>
        </is>
      </c>
      <c r="M5280" t="inlineStr"/>
      <c r="N5280" t="inlineStr">
        <is>
          <t>11A⁰, 2A⁰, 22A¹, 9A⁰, 33A¹, 99A⁵, 6A¹, 18A², 3A⁰, 1A⁰, 66A⁶</t>
        </is>
      </c>
      <c r="O5280" t="inlineStr"/>
    </row>
    <row r="5281">
      <c r="A5281">
        <f>HYPERLINK("https://mathstats.uncg.edu/sites/pauli/congruence/csg17.html#group200A17", "200A¹⁷")</f>
        <v/>
      </c>
      <c r="B5281" t="n">
        <v>17</v>
      </c>
      <c r="C5281" t="inlineStr"/>
      <c r="D5281" t="inlineStr">
        <is>
          <t>240</t>
        </is>
      </c>
      <c r="E5281" t="inlineStr">
        <is>
          <t>2</t>
        </is>
      </c>
      <c r="F5281" t="inlineStr">
        <is>
          <t>120</t>
        </is>
      </c>
      <c r="G5281" t="inlineStr">
        <is>
          <t>4</t>
        </is>
      </c>
      <c r="H5281" t="inlineStr">
        <is>
          <t>0</t>
        </is>
      </c>
      <c r="I5281" t="inlineStr">
        <is>
          <t>8⁵, 200¹</t>
        </is>
      </c>
      <c r="J5281" t="n">
        <v>6</v>
      </c>
      <c r="K5281" t="inlineStr">
        <is>
          <t>4⁴, 16⁴, 80²</t>
        </is>
      </c>
      <c r="L5281" t="inlineStr">
        <is>
          <t>40A³, 100A⁷</t>
        </is>
      </c>
      <c r="M5281" t="inlineStr"/>
      <c r="N5281" t="inlineStr">
        <is>
          <t>25A⁰, 5B⁰, 100A⁷, 40A³, 1A⁰, 4A⁰, 20B¹</t>
        </is>
      </c>
      <c r="O5281" t="inlineStr"/>
    </row>
    <row r="5282">
      <c r="A5282">
        <f>HYPERLINK("https://mathstats.uncg.edu/sites/pauli/congruence/csg17.html#group200B17", "200B¹⁷")</f>
        <v/>
      </c>
      <c r="B5282" t="n">
        <v>17</v>
      </c>
      <c r="C5282" t="inlineStr"/>
      <c r="D5282" t="inlineStr">
        <is>
          <t>240</t>
        </is>
      </c>
      <c r="E5282" t="inlineStr">
        <is>
          <t>2</t>
        </is>
      </c>
      <c r="F5282" t="inlineStr">
        <is>
          <t>120</t>
        </is>
      </c>
      <c r="G5282" t="inlineStr">
        <is>
          <t>4</t>
        </is>
      </c>
      <c r="H5282" t="inlineStr">
        <is>
          <t>0</t>
        </is>
      </c>
      <c r="I5282" t="inlineStr">
        <is>
          <t>8⁵, 200¹</t>
        </is>
      </c>
      <c r="J5282" t="n">
        <v>6</v>
      </c>
      <c r="K5282" t="inlineStr">
        <is>
          <t>4⁴, 16⁴, 80²</t>
        </is>
      </c>
      <c r="L5282" t="inlineStr">
        <is>
          <t>40B³, 100A⁷</t>
        </is>
      </c>
      <c r="M5282" t="inlineStr"/>
      <c r="N5282" t="inlineStr">
        <is>
          <t>100A⁷, 4A⁰, 40B³, 25A⁰, 5B⁰, 8A⁰, 1A⁰, 20B¹</t>
        </is>
      </c>
      <c r="O5282" t="inlineStr"/>
    </row>
    <row r="5283">
      <c r="A5283">
        <f>HYPERLINK("https://mathstats.uncg.edu/sites/pauli/congruence/csg17.html#group201A17", "201A¹⁷")</f>
        <v/>
      </c>
      <c r="B5283" t="n">
        <v>17</v>
      </c>
      <c r="C5283" t="inlineStr"/>
      <c r="D5283" t="inlineStr">
        <is>
          <t>204</t>
        </is>
      </c>
      <c r="E5283" t="inlineStr">
        <is>
          <t>1</t>
        </is>
      </c>
      <c r="F5283" t="inlineStr">
        <is>
          <t>68</t>
        </is>
      </c>
      <c r="G5283" t="inlineStr">
        <is>
          <t>0</t>
        </is>
      </c>
      <c r="H5283" t="inlineStr">
        <is>
          <t>0</t>
        </is>
      </c>
      <c r="I5283" t="inlineStr">
        <is>
          <t>3¹, 201¹</t>
        </is>
      </c>
      <c r="J5283" t="n">
        <v>2</v>
      </c>
      <c r="K5283" t="inlineStr">
        <is>
          <t>1², 66¹</t>
        </is>
      </c>
      <c r="L5283" t="inlineStr">
        <is>
          <t>3A⁰, 67A⁵</t>
        </is>
      </c>
      <c r="M5283" t="inlineStr"/>
      <c r="N5283" t="inlineStr">
        <is>
          <t>3A⁰, 1A⁰, 67A⁵</t>
        </is>
      </c>
      <c r="O5283" t="inlineStr"/>
    </row>
    <row r="5284">
      <c r="A5284">
        <f>HYPERLINK("https://mathstats.uncg.edu/sites/pauli/congruence/csg17.html#group202A17", "202A¹⁷")</f>
        <v/>
      </c>
      <c r="B5284" t="n">
        <v>17</v>
      </c>
      <c r="C5284" t="inlineStr"/>
      <c r="D5284" t="inlineStr">
        <is>
          <t>204</t>
        </is>
      </c>
      <c r="E5284" t="inlineStr">
        <is>
          <t>1</t>
        </is>
      </c>
      <c r="F5284" t="inlineStr">
        <is>
          <t>102</t>
        </is>
      </c>
      <c r="G5284" t="inlineStr">
        <is>
          <t>0</t>
        </is>
      </c>
      <c r="H5284" t="inlineStr">
        <is>
          <t>0</t>
        </is>
      </c>
      <c r="I5284" t="inlineStr">
        <is>
          <t>2¹, 202¹</t>
        </is>
      </c>
      <c r="J5284" t="n">
        <v>2</v>
      </c>
      <c r="K5284" t="inlineStr">
        <is>
          <t>1², 100¹</t>
        </is>
      </c>
      <c r="L5284" t="inlineStr">
        <is>
          <t>2A⁰, 101A⁸</t>
        </is>
      </c>
      <c r="M5284" t="inlineStr"/>
      <c r="N5284" t="inlineStr">
        <is>
          <t>2A⁰, 1A⁰, 101A⁸</t>
        </is>
      </c>
      <c r="O5284" t="inlineStr"/>
    </row>
    <row r="5285">
      <c r="A5285">
        <f>HYPERLINK("https://mathstats.uncg.edu/sites/pauli/congruence/csg17.html#group205A17", "205A¹⁷")</f>
        <v/>
      </c>
      <c r="B5285" t="n">
        <v>17</v>
      </c>
      <c r="C5285" t="inlineStr"/>
      <c r="D5285" t="inlineStr">
        <is>
          <t>210</t>
        </is>
      </c>
      <c r="E5285" t="inlineStr">
        <is>
          <t>1</t>
        </is>
      </c>
      <c r="F5285" t="inlineStr">
        <is>
          <t>210</t>
        </is>
      </c>
      <c r="G5285" t="inlineStr">
        <is>
          <t>2</t>
        </is>
      </c>
      <c r="H5285" t="inlineStr">
        <is>
          <t>0</t>
        </is>
      </c>
      <c r="I5285" t="inlineStr">
        <is>
          <t>5¹, 205¹</t>
        </is>
      </c>
      <c r="J5285" t="n">
        <v>2</v>
      </c>
      <c r="K5285" t="inlineStr">
        <is>
          <t>1², 4², 40¹, 160¹</t>
        </is>
      </c>
      <c r="L5285" t="inlineStr">
        <is>
          <t>5A⁰, 41A³</t>
        </is>
      </c>
      <c r="M5285" t="inlineStr"/>
      <c r="N5285" t="inlineStr">
        <is>
          <t>1A⁰, 5A⁰, 41A³</t>
        </is>
      </c>
      <c r="O5285" t="inlineStr"/>
    </row>
    <row r="5286">
      <c r="A5286">
        <f>HYPERLINK("https://mathstats.uncg.edu/sites/pauli/congruence/csg17.html#group209A17", "209A¹⁷")</f>
        <v/>
      </c>
      <c r="B5286" t="n">
        <v>17</v>
      </c>
      <c r="C5286" t="inlineStr"/>
      <c r="D5286" t="inlineStr">
        <is>
          <t>220</t>
        </is>
      </c>
      <c r="E5286" t="inlineStr">
        <is>
          <t>2</t>
        </is>
      </c>
      <c r="F5286" t="inlineStr">
        <is>
          <t>220</t>
        </is>
      </c>
      <c r="G5286" t="inlineStr">
        <is>
          <t>0</t>
        </is>
      </c>
      <c r="H5286" t="inlineStr">
        <is>
          <t>4</t>
        </is>
      </c>
      <c r="I5286" t="inlineStr">
        <is>
          <t>11¹, 209¹</t>
        </is>
      </c>
      <c r="J5286" t="n">
        <v>2</v>
      </c>
      <c r="K5286" t="inlineStr">
        <is>
          <t>2², 10⁴, 36¹, 180²</t>
        </is>
      </c>
      <c r="L5286" t="inlineStr">
        <is>
          <t>11A⁰, 19A¹</t>
        </is>
      </c>
      <c r="M5286" t="inlineStr"/>
      <c r="N5286" t="inlineStr">
        <is>
          <t>11A⁰, 19A¹, 1A⁰</t>
        </is>
      </c>
      <c r="O5286" t="inlineStr"/>
    </row>
    <row r="5287">
      <c r="A5287">
        <f>HYPERLINK("https://mathstats.uncg.edu/sites/pauli/congruence/csg17.html#group210A17", "210A¹⁷")</f>
        <v/>
      </c>
      <c r="B5287" t="n">
        <v>17</v>
      </c>
      <c r="C5287" t="inlineStr"/>
      <c r="D5287" t="inlineStr">
        <is>
          <t>210</t>
        </is>
      </c>
      <c r="E5287" t="inlineStr">
        <is>
          <t>2</t>
        </is>
      </c>
      <c r="F5287" t="inlineStr">
        <is>
          <t>70</t>
        </is>
      </c>
      <c r="G5287" t="inlineStr">
        <is>
          <t>0</t>
        </is>
      </c>
      <c r="H5287" t="inlineStr">
        <is>
          <t>3</t>
        </is>
      </c>
      <c r="I5287" t="inlineStr">
        <is>
          <t>210¹</t>
        </is>
      </c>
      <c r="J5287" t="n">
        <v>1</v>
      </c>
      <c r="K5287" t="inlineStr">
        <is>
          <t>8¹, 16², 24², 48⁴</t>
        </is>
      </c>
      <c r="L5287" t="inlineStr">
        <is>
          <t>30B², 70A⁵</t>
        </is>
      </c>
      <c r="M5287" t="inlineStr"/>
      <c r="N5287" t="inlineStr">
        <is>
          <t>2A⁰, 30B², 5A⁰, 10A⁰, 14A¹, 70A⁵, 1A⁰, 35A², 7A⁰</t>
        </is>
      </c>
      <c r="O5287" t="inlineStr"/>
    </row>
    <row r="5288">
      <c r="A5288">
        <f>HYPERLINK("https://mathstats.uncg.edu/sites/pauli/congruence/csg17.html#group210B17", "210B¹⁷")</f>
        <v/>
      </c>
      <c r="B5288" t="n">
        <v>17</v>
      </c>
      <c r="C5288" t="inlineStr"/>
      <c r="D5288" t="inlineStr">
        <is>
          <t>210</t>
        </is>
      </c>
      <c r="E5288" t="inlineStr">
        <is>
          <t>2</t>
        </is>
      </c>
      <c r="F5288" t="inlineStr">
        <is>
          <t>70</t>
        </is>
      </c>
      <c r="G5288" t="inlineStr">
        <is>
          <t>0</t>
        </is>
      </c>
      <c r="H5288" t="inlineStr">
        <is>
          <t>3</t>
        </is>
      </c>
      <c r="I5288" t="inlineStr">
        <is>
          <t>210¹</t>
        </is>
      </c>
      <c r="J5288" t="n">
        <v>1</v>
      </c>
      <c r="K5288" t="inlineStr">
        <is>
          <t>8¹, 16², 24², 48⁴</t>
        </is>
      </c>
      <c r="L5288" t="inlineStr">
        <is>
          <t>30B², 70A⁵</t>
        </is>
      </c>
      <c r="M5288" t="inlineStr"/>
      <c r="N5288" t="inlineStr">
        <is>
          <t>2A⁰, 30B², 5A⁰, 10A⁰, 14A¹, 70A⁵, 1A⁰, 35A², 7A⁰</t>
        </is>
      </c>
      <c r="O5288" t="inlineStr"/>
    </row>
    <row r="5289">
      <c r="A5289">
        <f>HYPERLINK("https://mathstats.uncg.edu/sites/pauli/congruence/csg17.html#group210C17", "210C¹⁷")</f>
        <v/>
      </c>
      <c r="B5289" t="n">
        <v>17</v>
      </c>
      <c r="C5289" t="inlineStr"/>
      <c r="D5289" t="inlineStr">
        <is>
          <t>240</t>
        </is>
      </c>
      <c r="E5289" t="inlineStr">
        <is>
          <t>2</t>
        </is>
      </c>
      <c r="F5289" t="inlineStr">
        <is>
          <t>80</t>
        </is>
      </c>
      <c r="G5289" t="inlineStr">
        <is>
          <t>0</t>
        </is>
      </c>
      <c r="H5289" t="inlineStr">
        <is>
          <t>9</t>
        </is>
      </c>
      <c r="I5289" t="inlineStr">
        <is>
          <t>30¹, 210¹</t>
        </is>
      </c>
      <c r="J5289" t="n">
        <v>2</v>
      </c>
      <c r="K5289" t="inlineStr">
        <is>
          <t>4⁴, 8⁸, 24², 48⁴</t>
        </is>
      </c>
      <c r="L5289" t="inlineStr">
        <is>
          <t>70B⁴</t>
        </is>
      </c>
      <c r="M5289" t="inlineStr"/>
      <c r="N5289" t="inlineStr">
        <is>
          <t>2A⁰, 5A⁰, 10A⁰, 70B⁴, 7B⁰, 14B⁰, 35B², 1A⁰</t>
        </is>
      </c>
      <c r="O5289" t="inlineStr"/>
    </row>
    <row r="5290">
      <c r="A5290">
        <f>HYPERLINK("https://mathstats.uncg.edu/sites/pauli/congruence/csg17.html#group210D17", "210D¹⁷")</f>
        <v/>
      </c>
      <c r="B5290" t="n">
        <v>17</v>
      </c>
      <c r="C5290" t="inlineStr"/>
      <c r="D5290" t="inlineStr">
        <is>
          <t>240</t>
        </is>
      </c>
      <c r="E5290" t="inlineStr">
        <is>
          <t>2</t>
        </is>
      </c>
      <c r="F5290" t="inlineStr">
        <is>
          <t>80</t>
        </is>
      </c>
      <c r="G5290" t="inlineStr">
        <is>
          <t>0</t>
        </is>
      </c>
      <c r="H5290" t="inlineStr">
        <is>
          <t>9</t>
        </is>
      </c>
      <c r="I5290" t="inlineStr">
        <is>
          <t>30¹, 210¹</t>
        </is>
      </c>
      <c r="J5290" t="n">
        <v>2</v>
      </c>
      <c r="K5290" t="inlineStr">
        <is>
          <t>4⁴, 8⁸, 24², 48⁴</t>
        </is>
      </c>
      <c r="L5290" t="inlineStr">
        <is>
          <t>70B⁴</t>
        </is>
      </c>
      <c r="M5290" t="inlineStr"/>
      <c r="N5290" t="inlineStr">
        <is>
          <t>2A⁰, 5A⁰, 10A⁰, 70B⁴, 7B⁰, 14B⁰, 35B², 1A⁰</t>
        </is>
      </c>
      <c r="O5290" t="inlineStr"/>
    </row>
    <row r="5291">
      <c r="A5291">
        <f>HYPERLINK("https://mathstats.uncg.edu/sites/pauli/congruence/csg17.html#group210E17", "210E¹⁷")</f>
        <v/>
      </c>
      <c r="B5291" t="n">
        <v>17</v>
      </c>
      <c r="C5291" t="inlineStr"/>
      <c r="D5291" t="inlineStr">
        <is>
          <t>252</t>
        </is>
      </c>
      <c r="E5291" t="inlineStr">
        <is>
          <t>2</t>
        </is>
      </c>
      <c r="F5291" t="inlineStr">
        <is>
          <t>126</t>
        </is>
      </c>
      <c r="G5291" t="inlineStr">
        <is>
          <t>16</t>
        </is>
      </c>
      <c r="H5291" t="inlineStr">
        <is>
          <t>0</t>
        </is>
      </c>
      <c r="I5291" t="inlineStr">
        <is>
          <t>42¹, 210¹</t>
        </is>
      </c>
      <c r="J5291" t="n">
        <v>2</v>
      </c>
      <c r="K5291" t="inlineStr">
        <is>
          <t>2², 4², 6⁴, 8¹, 12⁴, 16¹, 24², 48²</t>
        </is>
      </c>
      <c r="L5291" t="inlineStr">
        <is>
          <t>42A², 105C⁶</t>
        </is>
      </c>
      <c r="M5291" t="inlineStr"/>
      <c r="N5291" t="inlineStr">
        <is>
          <t>35C², 15B⁰, 42A², 105C⁶, 5B⁰, 21A⁰, 3A⁰, 1A⁰, 7A⁰</t>
        </is>
      </c>
      <c r="O5291" t="inlineStr"/>
    </row>
    <row r="5292">
      <c r="A5292">
        <f>HYPERLINK("https://mathstats.uncg.edu/sites/pauli/congruence/csg17.html#group211A17", "211A¹⁷")</f>
        <v/>
      </c>
      <c r="B5292" t="n">
        <v>17</v>
      </c>
      <c r="C5292" t="inlineStr">
        <is>
          <t>Γ₀(211)</t>
        </is>
      </c>
      <c r="D5292" t="inlineStr">
        <is>
          <t>212</t>
        </is>
      </c>
      <c r="E5292" t="inlineStr">
        <is>
          <t>1</t>
        </is>
      </c>
      <c r="F5292" t="inlineStr">
        <is>
          <t>212</t>
        </is>
      </c>
      <c r="G5292" t="inlineStr">
        <is>
          <t>0</t>
        </is>
      </c>
      <c r="H5292" t="inlineStr">
        <is>
          <t>2</t>
        </is>
      </c>
      <c r="I5292" t="inlineStr">
        <is>
          <t>1¹, 211¹</t>
        </is>
      </c>
      <c r="J5292" t="n">
        <v>2</v>
      </c>
      <c r="K5292" t="inlineStr">
        <is>
          <t>1², 210¹</t>
        </is>
      </c>
      <c r="L5292" t="inlineStr">
        <is>
          <t>1A⁰</t>
        </is>
      </c>
      <c r="M5292" t="inlineStr"/>
      <c r="N5292" t="inlineStr">
        <is>
          <t>1A⁰</t>
        </is>
      </c>
      <c r="O5292" t="inlineStr"/>
    </row>
    <row r="5293">
      <c r="A5293">
        <f>HYPERLINK("https://mathstats.uncg.edu/sites/pauli/congruence/csg17.html#group212A17", "212A¹⁷")</f>
        <v/>
      </c>
      <c r="B5293" t="n">
        <v>17</v>
      </c>
      <c r="C5293" t="inlineStr"/>
      <c r="D5293" t="inlineStr">
        <is>
          <t>216</t>
        </is>
      </c>
      <c r="E5293" t="inlineStr">
        <is>
          <t>1</t>
        </is>
      </c>
      <c r="F5293" t="inlineStr">
        <is>
          <t>216</t>
        </is>
      </c>
      <c r="G5293" t="inlineStr">
        <is>
          <t>4</t>
        </is>
      </c>
      <c r="H5293" t="inlineStr">
        <is>
          <t>0</t>
        </is>
      </c>
      <c r="I5293" t="inlineStr">
        <is>
          <t>4¹, 212¹</t>
        </is>
      </c>
      <c r="J5293" t="n">
        <v>2</v>
      </c>
      <c r="K5293" t="inlineStr">
        <is>
          <t>2⁴, 104²</t>
        </is>
      </c>
      <c r="L5293" t="inlineStr">
        <is>
          <t>4A⁰, 53A⁴</t>
        </is>
      </c>
      <c r="M5293" t="inlineStr"/>
      <c r="N5293" t="inlineStr">
        <is>
          <t>1A⁰, 4A⁰, 53A⁴</t>
        </is>
      </c>
      <c r="O5293" t="inlineStr"/>
    </row>
    <row r="5294">
      <c r="A5294">
        <f>HYPERLINK("https://mathstats.uncg.edu/sites/pauli/congruence/csg17.html#group212B17", "212B¹⁷")</f>
        <v/>
      </c>
      <c r="B5294" t="n">
        <v>17</v>
      </c>
      <c r="C5294" t="inlineStr"/>
      <c r="D5294" t="inlineStr">
        <is>
          <t>216</t>
        </is>
      </c>
      <c r="E5294" t="inlineStr">
        <is>
          <t>2</t>
        </is>
      </c>
      <c r="F5294" t="inlineStr">
        <is>
          <t>54</t>
        </is>
      </c>
      <c r="G5294" t="inlineStr">
        <is>
          <t>4</t>
        </is>
      </c>
      <c r="H5294" t="inlineStr">
        <is>
          <t>0</t>
        </is>
      </c>
      <c r="I5294" t="inlineStr">
        <is>
          <t>4¹, 212¹</t>
        </is>
      </c>
      <c r="J5294" t="n">
        <v>2</v>
      </c>
      <c r="K5294" t="inlineStr">
        <is>
          <t>2², 104¹</t>
        </is>
      </c>
      <c r="L5294" t="inlineStr">
        <is>
          <t>106A⁸</t>
        </is>
      </c>
      <c r="M5294" t="inlineStr"/>
      <c r="N5294" t="inlineStr">
        <is>
          <t>1A⁰, 53A⁴, 106A⁸</t>
        </is>
      </c>
      <c r="O5294" t="inlineStr"/>
    </row>
    <row r="5295">
      <c r="A5295">
        <f>HYPERLINK("https://mathstats.uncg.edu/sites/pauli/congruence/csg17.html#group215A17", "215A¹⁷")</f>
        <v/>
      </c>
      <c r="B5295" t="n">
        <v>17</v>
      </c>
      <c r="C5295" t="inlineStr"/>
      <c r="D5295" t="inlineStr">
        <is>
          <t>220</t>
        </is>
      </c>
      <c r="E5295" t="inlineStr">
        <is>
          <t>1</t>
        </is>
      </c>
      <c r="F5295" t="inlineStr">
        <is>
          <t>220</t>
        </is>
      </c>
      <c r="G5295" t="inlineStr">
        <is>
          <t>0</t>
        </is>
      </c>
      <c r="H5295" t="inlineStr">
        <is>
          <t>4</t>
        </is>
      </c>
      <c r="I5295" t="inlineStr">
        <is>
          <t>5¹, 215¹</t>
        </is>
      </c>
      <c r="J5295" t="n">
        <v>2</v>
      </c>
      <c r="K5295" t="inlineStr">
        <is>
          <t>1², 4², 42¹, 168¹</t>
        </is>
      </c>
      <c r="L5295" t="inlineStr">
        <is>
          <t>5A⁰, 43A³</t>
        </is>
      </c>
      <c r="M5295" t="inlineStr"/>
      <c r="N5295" t="inlineStr">
        <is>
          <t>43A³, 1A⁰, 5A⁰</t>
        </is>
      </c>
      <c r="O5295" t="inlineStr"/>
    </row>
    <row r="5296">
      <c r="A5296">
        <f>HYPERLINK("https://mathstats.uncg.edu/sites/pauli/congruence/csg17.html#group216A17", "216A¹⁷")</f>
        <v/>
      </c>
      <c r="B5296" t="n">
        <v>17</v>
      </c>
      <c r="C5296" t="inlineStr"/>
      <c r="D5296" t="inlineStr">
        <is>
          <t>432</t>
        </is>
      </c>
      <c r="E5296" t="inlineStr">
        <is>
          <t>1</t>
        </is>
      </c>
      <c r="F5296" t="inlineStr">
        <is>
          <t>36</t>
        </is>
      </c>
      <c r="G5296" t="inlineStr">
        <is>
          <t>0</t>
        </is>
      </c>
      <c r="H5296" t="inlineStr">
        <is>
          <t>0</t>
        </is>
      </c>
      <c r="I5296" t="inlineStr">
        <is>
          <t>1²⁴, 3⁴, 8⁶, 24¹, 27⁴, 216¹</t>
        </is>
      </c>
      <c r="J5296" t="n">
        <v>40</v>
      </c>
      <c r="K5296" t="inlineStr">
        <is>
          <t>1⁶, 2⁶, 6³</t>
        </is>
      </c>
      <c r="L5296" t="inlineStr">
        <is>
          <t>72A³, 108A⁷</t>
        </is>
      </c>
      <c r="M5296" t="inlineStr"/>
      <c r="N5296" t="inlineStr">
        <is>
          <t>72A³, 3B⁰, 18E⁰, 54B², 108A⁷, 24B⁰, 6F⁰, 9B⁰, 27A⁰, 2B⁰, 36C¹, 4B⁰, 1A⁰, 12E⁰</t>
        </is>
      </c>
      <c r="O5296" t="inlineStr"/>
    </row>
    <row r="5297">
      <c r="A5297">
        <f>HYPERLINK("https://mathstats.uncg.edu/sites/pauli/congruence/csg17.html#group218A17", "218A¹⁷")</f>
        <v/>
      </c>
      <c r="B5297" t="n">
        <v>17</v>
      </c>
      <c r="C5297" t="inlineStr"/>
      <c r="D5297" t="inlineStr">
        <is>
          <t>220</t>
        </is>
      </c>
      <c r="E5297" t="inlineStr">
        <is>
          <t>1</t>
        </is>
      </c>
      <c r="F5297" t="inlineStr">
        <is>
          <t>110</t>
        </is>
      </c>
      <c r="G5297" t="inlineStr">
        <is>
          <t>0</t>
        </is>
      </c>
      <c r="H5297" t="inlineStr">
        <is>
          <t>4</t>
        </is>
      </c>
      <c r="I5297" t="inlineStr">
        <is>
          <t>2¹, 218¹</t>
        </is>
      </c>
      <c r="J5297" t="n">
        <v>2</v>
      </c>
      <c r="K5297" t="inlineStr">
        <is>
          <t>1², 108¹</t>
        </is>
      </c>
      <c r="L5297" t="inlineStr">
        <is>
          <t>2A⁰, 109A⁸</t>
        </is>
      </c>
      <c r="M5297" t="inlineStr"/>
      <c r="N5297" t="inlineStr">
        <is>
          <t>2A⁰, 1A⁰, 109A⁸</t>
        </is>
      </c>
      <c r="O5297" t="inlineStr"/>
    </row>
    <row r="5298">
      <c r="A5298">
        <f>HYPERLINK("https://mathstats.uncg.edu/sites/pauli/congruence/csg17.html#group219A17", "219A¹⁷")</f>
        <v/>
      </c>
      <c r="B5298" t="n">
        <v>17</v>
      </c>
      <c r="C5298" t="inlineStr"/>
      <c r="D5298" t="inlineStr">
        <is>
          <t>222</t>
        </is>
      </c>
      <c r="E5298" t="inlineStr">
        <is>
          <t>1</t>
        </is>
      </c>
      <c r="F5298" t="inlineStr">
        <is>
          <t>74</t>
        </is>
      </c>
      <c r="G5298" t="inlineStr">
        <is>
          <t>6</t>
        </is>
      </c>
      <c r="H5298" t="inlineStr">
        <is>
          <t>0</t>
        </is>
      </c>
      <c r="I5298" t="inlineStr">
        <is>
          <t>3¹, 219¹</t>
        </is>
      </c>
      <c r="J5298" t="n">
        <v>2</v>
      </c>
      <c r="K5298" t="inlineStr">
        <is>
          <t>1², 72¹</t>
        </is>
      </c>
      <c r="L5298" t="inlineStr">
        <is>
          <t>3A⁰, 73A⁵</t>
        </is>
      </c>
      <c r="M5298" t="inlineStr"/>
      <c r="N5298" t="inlineStr">
        <is>
          <t>3A⁰, 1A⁰, 73A⁵</t>
        </is>
      </c>
      <c r="O5298" t="inlineStr"/>
    </row>
    <row r="5299">
      <c r="A5299">
        <f>HYPERLINK("https://mathstats.uncg.edu/sites/pauli/congruence/csg17.html#group219B17", "219B¹⁷")</f>
        <v/>
      </c>
      <c r="B5299" t="n">
        <v>17</v>
      </c>
      <c r="C5299" t="inlineStr"/>
      <c r="D5299" t="inlineStr">
        <is>
          <t>222</t>
        </is>
      </c>
      <c r="E5299" t="inlineStr">
        <is>
          <t>2</t>
        </is>
      </c>
      <c r="F5299" t="inlineStr">
        <is>
          <t>74</t>
        </is>
      </c>
      <c r="G5299" t="inlineStr">
        <is>
          <t>6</t>
        </is>
      </c>
      <c r="H5299" t="inlineStr">
        <is>
          <t>0</t>
        </is>
      </c>
      <c r="I5299" t="inlineStr">
        <is>
          <t>3¹, 219¹</t>
        </is>
      </c>
      <c r="J5299" t="n">
        <v>2</v>
      </c>
      <c r="K5299" t="inlineStr">
        <is>
          <t>2², 144¹</t>
        </is>
      </c>
      <c r="L5299" t="inlineStr">
        <is>
          <t>73A⁵</t>
        </is>
      </c>
      <c r="M5299" t="inlineStr"/>
      <c r="N5299" t="inlineStr">
        <is>
          <t>1A⁰, 73A⁵</t>
        </is>
      </c>
      <c r="O5299" t="inlineStr"/>
    </row>
    <row r="5300">
      <c r="A5300">
        <f>HYPERLINK("https://mathstats.uncg.edu/sites/pauli/congruence/csg17.html#group222A17", "222A¹⁷")</f>
        <v/>
      </c>
      <c r="B5300" t="n">
        <v>17</v>
      </c>
      <c r="C5300" t="inlineStr"/>
      <c r="D5300" t="inlineStr">
        <is>
          <t>228</t>
        </is>
      </c>
      <c r="E5300" t="inlineStr">
        <is>
          <t>1</t>
        </is>
      </c>
      <c r="F5300" t="inlineStr">
        <is>
          <t>76</t>
        </is>
      </c>
      <c r="G5300" t="inlineStr">
        <is>
          <t>0</t>
        </is>
      </c>
      <c r="H5300" t="inlineStr">
        <is>
          <t>6</t>
        </is>
      </c>
      <c r="I5300" t="inlineStr">
        <is>
          <t>6¹, 222¹</t>
        </is>
      </c>
      <c r="J5300" t="n">
        <v>2</v>
      </c>
      <c r="K5300" t="inlineStr">
        <is>
          <t>2², 72¹</t>
        </is>
      </c>
      <c r="L5300" t="inlineStr">
        <is>
          <t>6A⁰, 74A⁵</t>
        </is>
      </c>
      <c r="M5300" t="inlineStr"/>
      <c r="N5300" t="inlineStr">
        <is>
          <t>37A², 74A⁵, 2A⁰, 6A⁰, 1A⁰</t>
        </is>
      </c>
      <c r="O5300" t="inlineStr"/>
    </row>
    <row r="5301">
      <c r="A5301">
        <f>HYPERLINK("https://mathstats.uncg.edu/sites/pauli/congruence/csg17.html#group222B17", "222B¹⁷")</f>
        <v/>
      </c>
      <c r="B5301" t="n">
        <v>17</v>
      </c>
      <c r="C5301" t="inlineStr"/>
      <c r="D5301" t="inlineStr">
        <is>
          <t>228</t>
        </is>
      </c>
      <c r="E5301" t="inlineStr">
        <is>
          <t>1</t>
        </is>
      </c>
      <c r="F5301" t="inlineStr">
        <is>
          <t>114</t>
        </is>
      </c>
      <c r="G5301" t="inlineStr">
        <is>
          <t>8</t>
        </is>
      </c>
      <c r="H5301" t="inlineStr">
        <is>
          <t>0</t>
        </is>
      </c>
      <c r="I5301" t="inlineStr">
        <is>
          <t>6¹, 222¹</t>
        </is>
      </c>
      <c r="J5301" t="n">
        <v>2</v>
      </c>
      <c r="K5301" t="inlineStr">
        <is>
          <t>1², 2², 36¹, 72¹</t>
        </is>
      </c>
      <c r="L5301" t="inlineStr">
        <is>
          <t>6B⁰, 111A⁸</t>
        </is>
      </c>
      <c r="M5301" t="inlineStr"/>
      <c r="N5301" t="inlineStr">
        <is>
          <t>37A², 111A⁸, 6B⁰, 3A⁰, 1A⁰</t>
        </is>
      </c>
      <c r="O5301" t="inlineStr"/>
    </row>
    <row r="5302">
      <c r="A5302">
        <f>HYPERLINK("https://mathstats.uncg.edu/sites/pauli/congruence/csg17.html#group222C17", "222C¹⁷")</f>
        <v/>
      </c>
      <c r="B5302" t="n">
        <v>17</v>
      </c>
      <c r="C5302" t="inlineStr"/>
      <c r="D5302" t="inlineStr">
        <is>
          <t>228</t>
        </is>
      </c>
      <c r="E5302" t="inlineStr">
        <is>
          <t>2</t>
        </is>
      </c>
      <c r="F5302" t="inlineStr">
        <is>
          <t>76</t>
        </is>
      </c>
      <c r="G5302" t="inlineStr">
        <is>
          <t>0</t>
        </is>
      </c>
      <c r="H5302" t="inlineStr">
        <is>
          <t>6</t>
        </is>
      </c>
      <c r="I5302" t="inlineStr">
        <is>
          <t>6¹, 222¹</t>
        </is>
      </c>
      <c r="J5302" t="n">
        <v>2</v>
      </c>
      <c r="K5302" t="inlineStr">
        <is>
          <t>2⁴, 72²</t>
        </is>
      </c>
      <c r="L5302" t="inlineStr">
        <is>
          <t>74A⁵</t>
        </is>
      </c>
      <c r="M5302" t="inlineStr"/>
      <c r="N5302" t="inlineStr">
        <is>
          <t>37A², 74A⁵, 2A⁰, 1A⁰</t>
        </is>
      </c>
      <c r="O5302" t="inlineStr"/>
    </row>
    <row r="5303">
      <c r="A5303">
        <f>HYPERLINK("https://mathstats.uncg.edu/sites/pauli/congruence/csg17.html#group234A17", "234A¹⁷")</f>
        <v/>
      </c>
      <c r="B5303" t="n">
        <v>17</v>
      </c>
      <c r="C5303" t="inlineStr"/>
      <c r="D5303" t="inlineStr">
        <is>
          <t>252</t>
        </is>
      </c>
      <c r="E5303" t="inlineStr">
        <is>
          <t>2</t>
        </is>
      </c>
      <c r="F5303" t="inlineStr">
        <is>
          <t>126</t>
        </is>
      </c>
      <c r="G5303" t="inlineStr">
        <is>
          <t>16</t>
        </is>
      </c>
      <c r="H5303" t="inlineStr">
        <is>
          <t>0</t>
        </is>
      </c>
      <c r="I5303" t="inlineStr">
        <is>
          <t>18¹, 234¹</t>
        </is>
      </c>
      <c r="J5303" t="n">
        <v>2</v>
      </c>
      <c r="K5303" t="inlineStr">
        <is>
          <t>2⁶, 6⁴, 24³, 72²</t>
        </is>
      </c>
      <c r="L5303" t="inlineStr">
        <is>
          <t>18A⁰, 78B⁵, 117A⁸</t>
        </is>
      </c>
      <c r="M5303" t="inlineStr"/>
      <c r="N5303" t="inlineStr">
        <is>
          <t>117A⁸, 39A², 6B⁰, 78B⁵, 9A⁰, 13A⁰, 3A⁰, 1A⁰, 18A⁰</t>
        </is>
      </c>
      <c r="O5303" t="inlineStr"/>
    </row>
    <row r="5304">
      <c r="A5304">
        <f>HYPERLINK("https://mathstats.uncg.edu/sites/pauli/congruence/csg17.html#group242A17", "242A¹⁷")</f>
        <v/>
      </c>
      <c r="B5304" t="n">
        <v>17</v>
      </c>
      <c r="C5304" t="inlineStr"/>
      <c r="D5304" t="inlineStr">
        <is>
          <t>264</t>
        </is>
      </c>
      <c r="E5304" t="inlineStr">
        <is>
          <t>1</t>
        </is>
      </c>
      <c r="F5304" t="inlineStr">
        <is>
          <t>132</t>
        </is>
      </c>
      <c r="G5304" t="inlineStr">
        <is>
          <t>0</t>
        </is>
      </c>
      <c r="H5304" t="inlineStr">
        <is>
          <t>0</t>
        </is>
      </c>
      <c r="I5304" t="inlineStr">
        <is>
          <t>2¹¹, 242¹</t>
        </is>
      </c>
      <c r="J5304" t="n">
        <v>12</v>
      </c>
      <c r="K5304" t="inlineStr">
        <is>
          <t>1², 10², 110¹</t>
        </is>
      </c>
      <c r="L5304" t="inlineStr">
        <is>
          <t>22A², 121A⁶</t>
        </is>
      </c>
      <c r="M5304" t="inlineStr"/>
      <c r="N5304" t="inlineStr">
        <is>
          <t>2A⁰, 121A⁶, 1A⁰, 11A¹, 22A²</t>
        </is>
      </c>
      <c r="O5304" t="inlineStr"/>
    </row>
    <row r="5305">
      <c r="A5305">
        <f>HYPERLINK("https://mathstats.uncg.edu/sites/pauli/congruence/csg17.html#group244A17", "244A¹⁷")</f>
        <v/>
      </c>
      <c r="B5305" t="n">
        <v>17</v>
      </c>
      <c r="C5305" t="inlineStr"/>
      <c r="D5305" t="inlineStr">
        <is>
          <t>248</t>
        </is>
      </c>
      <c r="E5305" t="inlineStr">
        <is>
          <t>2</t>
        </is>
      </c>
      <c r="F5305" t="inlineStr">
        <is>
          <t>62</t>
        </is>
      </c>
      <c r="G5305" t="inlineStr">
        <is>
          <t>4</t>
        </is>
      </c>
      <c r="H5305" t="inlineStr">
        <is>
          <t>8</t>
        </is>
      </c>
      <c r="I5305" t="inlineStr">
        <is>
          <t>4¹, 244¹</t>
        </is>
      </c>
      <c r="J5305" t="n">
        <v>2</v>
      </c>
      <c r="K5305" t="inlineStr">
        <is>
          <t>2², 120¹</t>
        </is>
      </c>
      <c r="L5305" t="inlineStr">
        <is>
          <t>122A⁸</t>
        </is>
      </c>
      <c r="M5305" t="inlineStr"/>
      <c r="N5305" t="inlineStr">
        <is>
          <t>122A⁸, 1A⁰, 61A⁴</t>
        </is>
      </c>
      <c r="O5305" t="inlineStr"/>
    </row>
    <row r="5306">
      <c r="A5306">
        <f>HYPERLINK("https://mathstats.uncg.edu/sites/pauli/congruence/csg17.html#group260A17", "260A¹⁷")</f>
        <v/>
      </c>
      <c r="B5306" t="n">
        <v>17</v>
      </c>
      <c r="C5306" t="inlineStr"/>
      <c r="D5306" t="inlineStr">
        <is>
          <t>280</t>
        </is>
      </c>
      <c r="E5306" t="inlineStr">
        <is>
          <t>2</t>
        </is>
      </c>
      <c r="F5306" t="inlineStr">
        <is>
          <t>70</t>
        </is>
      </c>
      <c r="G5306" t="inlineStr">
        <is>
          <t>4</t>
        </is>
      </c>
      <c r="H5306" t="inlineStr">
        <is>
          <t>16</t>
        </is>
      </c>
      <c r="I5306" t="inlineStr">
        <is>
          <t>20¹, 260¹</t>
        </is>
      </c>
      <c r="J5306" t="n">
        <v>2</v>
      </c>
      <c r="K5306" t="inlineStr">
        <is>
          <t>2², 8², 24¹, 96¹</t>
        </is>
      </c>
      <c r="L5306" t="inlineStr">
        <is>
          <t>52A¹, 130A⁸</t>
        </is>
      </c>
      <c r="M5306" t="inlineStr"/>
      <c r="N5306" t="inlineStr">
        <is>
          <t>5A⁰, 130A⁸, 13A⁰, 26A⁰, 52A¹, 1A⁰, 65A⁴</t>
        </is>
      </c>
      <c r="O5306" t="inlineStr"/>
    </row>
    <row r="5307">
      <c r="A5307">
        <f>HYPERLINK("https://mathstats.uncg.edu/sites/pauli/congruence/csg17.html#group289A17", "289A¹⁷")</f>
        <v/>
      </c>
      <c r="B5307" t="n">
        <v>17</v>
      </c>
      <c r="C5307" t="inlineStr">
        <is>
          <t>Γ₀(289)</t>
        </is>
      </c>
      <c r="D5307" t="inlineStr">
        <is>
          <t>306</t>
        </is>
      </c>
      <c r="E5307" t="inlineStr">
        <is>
          <t>1</t>
        </is>
      </c>
      <c r="F5307" t="inlineStr">
        <is>
          <t>306</t>
        </is>
      </c>
      <c r="G5307" t="inlineStr">
        <is>
          <t>2</t>
        </is>
      </c>
      <c r="H5307" t="inlineStr">
        <is>
          <t>0</t>
        </is>
      </c>
      <c r="I5307" t="inlineStr">
        <is>
          <t>1¹⁷, 289¹</t>
        </is>
      </c>
      <c r="J5307" t="n">
        <v>18</v>
      </c>
      <c r="K5307" t="inlineStr">
        <is>
          <t>1², 16², 272¹</t>
        </is>
      </c>
      <c r="L5307" t="inlineStr">
        <is>
          <t>17A¹</t>
        </is>
      </c>
      <c r="M5307" t="inlineStr"/>
      <c r="N5307" t="inlineStr">
        <is>
          <t>1A⁰, 17A¹</t>
        </is>
      </c>
      <c r="O5307" t="inlineStr"/>
    </row>
    <row r="5308">
      <c r="A5308">
        <f>HYPERLINK("https://mathstats.uncg.edu/sites/pauli/congruence/csg18.html#group18A18", "18A¹⁸")</f>
        <v/>
      </c>
      <c r="B5308" t="n">
        <v>18</v>
      </c>
      <c r="C5308" t="inlineStr"/>
      <c r="D5308" t="inlineStr">
        <is>
          <t>324</t>
        </is>
      </c>
      <c r="E5308" t="inlineStr">
        <is>
          <t>1</t>
        </is>
      </c>
      <c r="F5308" t="inlineStr">
        <is>
          <t>81</t>
        </is>
      </c>
      <c r="G5308" t="inlineStr">
        <is>
          <t>4</t>
        </is>
      </c>
      <c r="H5308" t="inlineStr">
        <is>
          <t>0</t>
        </is>
      </c>
      <c r="I5308" t="inlineStr">
        <is>
          <t>18¹⁸</t>
        </is>
      </c>
      <c r="J5308" t="n">
        <v>18</v>
      </c>
      <c r="K5308" t="inlineStr">
        <is>
          <t>3³, 6¹²</t>
        </is>
      </c>
      <c r="L5308" t="inlineStr">
        <is>
          <t>18K³, 18B⁶, 18C⁶, 18D⁶, 18E⁶, 18A⁸, 18B⁸</t>
        </is>
      </c>
      <c r="M5308" t="inlineStr"/>
      <c r="N5308" t="inlineStr">
        <is>
          <t>18K², 18B¹, 6G⁰, 2B⁰, 9B², 9E⁰, 1A⁰, 9B¹, 18A⁰, 18L², 18D³, 3C⁰, 18K³, 18B⁸, 18G¹, 18E¹, 3A⁰, 6H⁰, 18E⁶, 6B⁰, 18I¹, 18B⁶, 9G⁰, 18M², 18E³, 18A⁸, 18C⁶, 18D⁶, 18H², 6E⁰, 6L⁰, 18J³, 9A⁰, 18F¹, 18G², 18A¹, 6D⁰</t>
        </is>
      </c>
      <c r="O5308" t="inlineStr"/>
    </row>
    <row r="5309">
      <c r="A5309">
        <f>HYPERLINK("https://mathstats.uncg.edu/sites/pauli/congruence/csg18.html#group19A18", "19A¹⁸")</f>
        <v/>
      </c>
      <c r="B5309" t="n">
        <v>18</v>
      </c>
      <c r="C5309" t="inlineStr"/>
      <c r="D5309" t="inlineStr">
        <is>
          <t>342</t>
        </is>
      </c>
      <c r="E5309" t="inlineStr">
        <is>
          <t>2</t>
        </is>
      </c>
      <c r="F5309" t="inlineStr">
        <is>
          <t>171</t>
        </is>
      </c>
      <c r="G5309" t="inlineStr">
        <is>
          <t>10</t>
        </is>
      </c>
      <c r="H5309" t="inlineStr">
        <is>
          <t>0</t>
        </is>
      </c>
      <c r="I5309" t="inlineStr">
        <is>
          <t>19¹⁸</t>
        </is>
      </c>
      <c r="J5309" t="n">
        <v>18</v>
      </c>
      <c r="K5309" t="inlineStr">
        <is>
          <t>18¹⁹</t>
        </is>
      </c>
      <c r="L5309" t="inlineStr">
        <is>
          <t>19A², 19A⁸</t>
        </is>
      </c>
      <c r="M5309" t="inlineStr"/>
      <c r="N5309" t="inlineStr">
        <is>
          <t>19A², 1A⁰, 19A⁸</t>
        </is>
      </c>
      <c r="O5309" t="inlineStr"/>
    </row>
    <row r="5310">
      <c r="A5310">
        <f>HYPERLINK("https://mathstats.uncg.edu/sites/pauli/congruence/csg18.html#group22A18", "22A¹⁸")</f>
        <v/>
      </c>
      <c r="B5310" t="n">
        <v>18</v>
      </c>
      <c r="C5310" t="inlineStr"/>
      <c r="D5310" t="inlineStr">
        <is>
          <t>330</t>
        </is>
      </c>
      <c r="E5310" t="inlineStr">
        <is>
          <t>1</t>
        </is>
      </c>
      <c r="F5310" t="inlineStr">
        <is>
          <t>165</t>
        </is>
      </c>
      <c r="G5310" t="inlineStr">
        <is>
          <t>2</t>
        </is>
      </c>
      <c r="H5310" t="inlineStr">
        <is>
          <t>0</t>
        </is>
      </c>
      <c r="I5310" t="inlineStr">
        <is>
          <t>11¹⁰, 22¹⁰</t>
        </is>
      </c>
      <c r="J5310" t="n">
        <v>20</v>
      </c>
      <c r="K5310" t="inlineStr">
        <is>
          <t>5³, 10¹⁵</t>
        </is>
      </c>
      <c r="L5310" t="inlineStr">
        <is>
          <t>11A⁴, 22A⁸</t>
        </is>
      </c>
      <c r="M5310" t="inlineStr"/>
      <c r="N5310" t="inlineStr">
        <is>
          <t>11C¹, 1A⁰, 2B⁰, 11A⁴, 22A⁸</t>
        </is>
      </c>
      <c r="O5310" t="inlineStr"/>
    </row>
    <row r="5311">
      <c r="A5311">
        <f>HYPERLINK("https://mathstats.uncg.edu/sites/pauli/congruence/csg18.html#group22B18", "22B¹⁸")</f>
        <v/>
      </c>
      <c r="B5311" t="n">
        <v>18</v>
      </c>
      <c r="C5311" t="inlineStr"/>
      <c r="D5311" t="inlineStr">
        <is>
          <t>330</t>
        </is>
      </c>
      <c r="E5311" t="inlineStr">
        <is>
          <t>1</t>
        </is>
      </c>
      <c r="F5311" t="inlineStr">
        <is>
          <t>165</t>
        </is>
      </c>
      <c r="G5311" t="inlineStr">
        <is>
          <t>12</t>
        </is>
      </c>
      <c r="H5311" t="inlineStr">
        <is>
          <t>0</t>
        </is>
      </c>
      <c r="I5311" t="inlineStr">
        <is>
          <t>22¹⁵</t>
        </is>
      </c>
      <c r="J5311" t="n">
        <v>15</v>
      </c>
      <c r="K5311" t="inlineStr">
        <is>
          <t>5¹, 10¹⁶</t>
        </is>
      </c>
      <c r="L5311" t="inlineStr">
        <is>
          <t>22B⁴, 11A⁵, 22C⁵</t>
        </is>
      </c>
      <c r="M5311" t="inlineStr"/>
      <c r="N5311" t="inlineStr">
        <is>
          <t>11A⁰, 11C¹, 22C⁵, 11A⁵, 22B⁴, 11B¹, 1A⁰</t>
        </is>
      </c>
      <c r="O5311" t="inlineStr"/>
    </row>
    <row r="5312">
      <c r="A5312">
        <f>HYPERLINK("https://mathstats.uncg.edu/sites/pauli/congruence/csg18.html#group22C18", "22C¹⁸")</f>
        <v/>
      </c>
      <c r="B5312" t="n">
        <v>18</v>
      </c>
      <c r="C5312" t="inlineStr"/>
      <c r="D5312" t="inlineStr">
        <is>
          <t>330</t>
        </is>
      </c>
      <c r="E5312" t="inlineStr">
        <is>
          <t>1</t>
        </is>
      </c>
      <c r="F5312" t="inlineStr">
        <is>
          <t>165</t>
        </is>
      </c>
      <c r="G5312" t="inlineStr">
        <is>
          <t>12</t>
        </is>
      </c>
      <c r="H5312" t="inlineStr">
        <is>
          <t>0</t>
        </is>
      </c>
      <c r="I5312" t="inlineStr">
        <is>
          <t>22¹⁵</t>
        </is>
      </c>
      <c r="J5312" t="n">
        <v>15</v>
      </c>
      <c r="K5312" t="inlineStr">
        <is>
          <t>5³, 10¹⁵</t>
        </is>
      </c>
      <c r="L5312" t="inlineStr">
        <is>
          <t>22B⁴, 22A⁸</t>
        </is>
      </c>
      <c r="M5312" t="inlineStr"/>
      <c r="N5312" t="inlineStr">
        <is>
          <t>11C¹, 2B⁰, 1A⁰, 22A⁸, 22B⁴</t>
        </is>
      </c>
      <c r="O5312" t="inlineStr"/>
    </row>
    <row r="5313">
      <c r="A5313">
        <f>HYPERLINK("https://mathstats.uncg.edu/sites/pauli/congruence/csg18.html#group27A18", "27A¹⁸")</f>
        <v/>
      </c>
      <c r="B5313" t="n">
        <v>18</v>
      </c>
      <c r="C5313" t="inlineStr"/>
      <c r="D5313" t="inlineStr">
        <is>
          <t>324</t>
        </is>
      </c>
      <c r="E5313" t="inlineStr">
        <is>
          <t>1</t>
        </is>
      </c>
      <c r="F5313" t="inlineStr">
        <is>
          <t>108</t>
        </is>
      </c>
      <c r="G5313" t="inlineStr">
        <is>
          <t>0</t>
        </is>
      </c>
      <c r="H5313" t="inlineStr">
        <is>
          <t>3</t>
        </is>
      </c>
      <c r="I5313" t="inlineStr">
        <is>
          <t>9⁹, 27⁹</t>
        </is>
      </c>
      <c r="J5313" t="n">
        <v>18</v>
      </c>
      <c r="K5313" t="inlineStr">
        <is>
          <t>3², 6⁸, 18³</t>
        </is>
      </c>
      <c r="L5313" t="inlineStr">
        <is>
          <t>27A⁶</t>
        </is>
      </c>
      <c r="M5313" t="inlineStr"/>
      <c r="N5313" t="inlineStr">
        <is>
          <t>3B⁰, 9J⁰, 9C⁰, 1A⁰, 27A⁶</t>
        </is>
      </c>
      <c r="O5313" t="inlineStr"/>
    </row>
    <row r="5314">
      <c r="A5314">
        <f>HYPERLINK("https://mathstats.uncg.edu/sites/pauli/congruence/csg18.html#group27B18", "27B¹⁸")</f>
        <v/>
      </c>
      <c r="B5314" t="n">
        <v>18</v>
      </c>
      <c r="C5314" t="inlineStr"/>
      <c r="D5314" t="inlineStr">
        <is>
          <t>324</t>
        </is>
      </c>
      <c r="E5314" t="inlineStr">
        <is>
          <t>2</t>
        </is>
      </c>
      <c r="F5314" t="inlineStr">
        <is>
          <t>108</t>
        </is>
      </c>
      <c r="G5314" t="inlineStr">
        <is>
          <t>0</t>
        </is>
      </c>
      <c r="H5314" t="inlineStr">
        <is>
          <t>3</t>
        </is>
      </c>
      <c r="I5314" t="inlineStr">
        <is>
          <t>9⁹, 27⁹</t>
        </is>
      </c>
      <c r="J5314" t="n">
        <v>18</v>
      </c>
      <c r="K5314" t="inlineStr">
        <is>
          <t>6¹⁸, 18⁶</t>
        </is>
      </c>
      <c r="L5314" t="inlineStr">
        <is>
          <t>27A⁶</t>
        </is>
      </c>
      <c r="M5314" t="inlineStr"/>
      <c r="N5314" t="inlineStr">
        <is>
          <t>3B⁰, 9J⁰, 9C⁰, 1A⁰, 27A⁶</t>
        </is>
      </c>
      <c r="O5314" t="inlineStr"/>
    </row>
    <row r="5315">
      <c r="A5315">
        <f>HYPERLINK("https://mathstats.uncg.edu/sites/pauli/congruence/csg18.html#group32A18", "32A¹⁸")</f>
        <v/>
      </c>
      <c r="B5315" t="n">
        <v>18</v>
      </c>
      <c r="C5315" t="inlineStr"/>
      <c r="D5315" t="inlineStr">
        <is>
          <t>384</t>
        </is>
      </c>
      <c r="E5315" t="inlineStr">
        <is>
          <t>1</t>
        </is>
      </c>
      <c r="F5315" t="inlineStr">
        <is>
          <t>96</t>
        </is>
      </c>
      <c r="G5315" t="inlineStr">
        <is>
          <t>4</t>
        </is>
      </c>
      <c r="H5315" t="inlineStr">
        <is>
          <t>0</t>
        </is>
      </c>
      <c r="I5315" t="inlineStr">
        <is>
          <t>8¹⁶, 16⁸, 32⁴</t>
        </is>
      </c>
      <c r="J5315" t="n">
        <v>28</v>
      </c>
      <c r="K5315" t="inlineStr">
        <is>
          <t>8⁴, 16¹⁰</t>
        </is>
      </c>
      <c r="L5315" t="inlineStr">
        <is>
          <t>16C⁶, 32Q⁹</t>
        </is>
      </c>
      <c r="M5315" t="inlineStr"/>
      <c r="N5315" t="inlineStr">
        <is>
          <t>16Q³, 8D⁰, 4C⁰, 8C², 8B⁰, 16P³, 8A⁰, 8L⁰, 2B⁰, 1A⁰, 8K⁰, 8D¹, 8H¹, 8H⁰, 16L¹, 8F⁰, 4A⁰, 8I¹, 32Q⁹, 4F⁰, 8M⁰, 16C⁶, 8P⁰, 16K¹</t>
        </is>
      </c>
      <c r="O5315" t="inlineStr"/>
    </row>
    <row r="5316">
      <c r="A5316">
        <f>HYPERLINK("https://mathstats.uncg.edu/sites/pauli/congruence/csg18.html#group32B18", "32B¹⁸")</f>
        <v/>
      </c>
      <c r="B5316" t="n">
        <v>18</v>
      </c>
      <c r="C5316" t="inlineStr"/>
      <c r="D5316" t="inlineStr">
        <is>
          <t>384</t>
        </is>
      </c>
      <c r="E5316" t="inlineStr">
        <is>
          <t>1</t>
        </is>
      </c>
      <c r="F5316" t="inlineStr">
        <is>
          <t>96</t>
        </is>
      </c>
      <c r="G5316" t="inlineStr">
        <is>
          <t>4</t>
        </is>
      </c>
      <c r="H5316" t="inlineStr">
        <is>
          <t>0</t>
        </is>
      </c>
      <c r="I5316" t="inlineStr">
        <is>
          <t>8¹⁶, 16⁸, 32⁴</t>
        </is>
      </c>
      <c r="J5316" t="n">
        <v>28</v>
      </c>
      <c r="K5316" t="inlineStr">
        <is>
          <t>8⁴, 16¹⁰</t>
        </is>
      </c>
      <c r="L5316" t="inlineStr">
        <is>
          <t>16C⁶, 32R⁹</t>
        </is>
      </c>
      <c r="M5316" t="inlineStr"/>
      <c r="N5316" t="inlineStr">
        <is>
          <t>16Q³, 8D⁰, 4C⁰, 8C², 8B⁰, 32R⁹, 16P³, 8A⁰, 8L⁰, 2B⁰, 1A⁰, 8K⁰, 8D¹, 8H¹, 8H⁰, 16L¹, 8F⁰, 4A⁰, 8I¹, 4F⁰, 8M⁰, 16C⁶, 8P⁰, 16K¹</t>
        </is>
      </c>
      <c r="O5316" t="inlineStr"/>
    </row>
    <row r="5317">
      <c r="A5317">
        <f>HYPERLINK("https://mathstats.uncg.edu/sites/pauli/congruence/csg18.html#group33A18", "33A¹⁸")</f>
        <v/>
      </c>
      <c r="B5317" t="n">
        <v>18</v>
      </c>
      <c r="C5317" t="inlineStr"/>
      <c r="D5317" t="inlineStr">
        <is>
          <t>330</t>
        </is>
      </c>
      <c r="E5317" t="inlineStr">
        <is>
          <t>2</t>
        </is>
      </c>
      <c r="F5317" t="inlineStr">
        <is>
          <t>165</t>
        </is>
      </c>
      <c r="G5317" t="inlineStr">
        <is>
          <t>22</t>
        </is>
      </c>
      <c r="H5317" t="inlineStr">
        <is>
          <t>0</t>
        </is>
      </c>
      <c r="I5317" t="inlineStr">
        <is>
          <t>33¹⁰</t>
        </is>
      </c>
      <c r="J5317" t="n">
        <v>10</v>
      </c>
      <c r="K5317" t="inlineStr">
        <is>
          <t>10¹¹, 20¹¹</t>
        </is>
      </c>
      <c r="L5317" t="inlineStr">
        <is>
          <t>33A⁷</t>
        </is>
      </c>
      <c r="M5317" t="inlineStr"/>
      <c r="N5317" t="inlineStr">
        <is>
          <t>3A⁰, 11C¹, 33A⁷, 1A⁰</t>
        </is>
      </c>
      <c r="O5317" t="inlineStr"/>
    </row>
    <row r="5318">
      <c r="A5318">
        <f>HYPERLINK("https://mathstats.uncg.edu/sites/pauli/congruence/csg18.html#group34A18", "34A¹⁸")</f>
        <v/>
      </c>
      <c r="B5318" t="n">
        <v>18</v>
      </c>
      <c r="C5318" t="inlineStr"/>
      <c r="D5318" t="inlineStr">
        <is>
          <t>306</t>
        </is>
      </c>
      <c r="E5318" t="inlineStr">
        <is>
          <t>1</t>
        </is>
      </c>
      <c r="F5318" t="inlineStr">
        <is>
          <t>153</t>
        </is>
      </c>
      <c r="G5318" t="inlineStr">
        <is>
          <t>16</t>
        </is>
      </c>
      <c r="H5318" t="inlineStr">
        <is>
          <t>0</t>
        </is>
      </c>
      <c r="I5318" t="inlineStr">
        <is>
          <t>34⁹</t>
        </is>
      </c>
      <c r="J5318" t="n">
        <v>9</v>
      </c>
      <c r="K5318" t="inlineStr">
        <is>
          <t>1¹, 8¹, 16⁹</t>
        </is>
      </c>
      <c r="L5318" t="inlineStr">
        <is>
          <t>17A⁷</t>
        </is>
      </c>
      <c r="M5318" t="inlineStr"/>
      <c r="N5318" t="inlineStr">
        <is>
          <t>1A⁰, 17A⁷</t>
        </is>
      </c>
      <c r="O5318" t="inlineStr"/>
    </row>
    <row r="5319">
      <c r="A5319">
        <f>HYPERLINK("https://mathstats.uncg.edu/sites/pauli/congruence/csg18.html#group35A18", "35A¹⁸")</f>
        <v/>
      </c>
      <c r="B5319" t="n">
        <v>18</v>
      </c>
      <c r="C5319" t="inlineStr"/>
      <c r="D5319" t="inlineStr">
        <is>
          <t>280</t>
        </is>
      </c>
      <c r="E5319" t="inlineStr">
        <is>
          <t>1</t>
        </is>
      </c>
      <c r="F5319" t="inlineStr">
        <is>
          <t>280</t>
        </is>
      </c>
      <c r="G5319" t="inlineStr">
        <is>
          <t>8</t>
        </is>
      </c>
      <c r="H5319" t="inlineStr">
        <is>
          <t>1</t>
        </is>
      </c>
      <c r="I5319" t="inlineStr">
        <is>
          <t>35⁸</t>
        </is>
      </c>
      <c r="J5319" t="n">
        <v>8</v>
      </c>
      <c r="K5319" t="inlineStr">
        <is>
          <t>2¹, 4², 6¹, 12⁶, 24⁸</t>
        </is>
      </c>
      <c r="L5319" t="inlineStr">
        <is>
          <t>7F⁰, 35B⁴</t>
        </is>
      </c>
      <c r="M5319" t="inlineStr"/>
      <c r="N5319" t="inlineStr">
        <is>
          <t>7F⁰, 5C⁰, 1A⁰, 35B⁴, 7A⁰</t>
        </is>
      </c>
      <c r="O5319" t="inlineStr"/>
    </row>
    <row r="5320">
      <c r="A5320">
        <f>HYPERLINK("https://mathstats.uncg.edu/sites/pauli/congruence/csg18.html#group36A18", "36A¹⁸")</f>
        <v/>
      </c>
      <c r="B5320" t="n">
        <v>18</v>
      </c>
      <c r="C5320" t="inlineStr"/>
      <c r="D5320" t="inlineStr">
        <is>
          <t>324</t>
        </is>
      </c>
      <c r="E5320" t="inlineStr">
        <is>
          <t>1</t>
        </is>
      </c>
      <c r="F5320" t="inlineStr">
        <is>
          <t>81</t>
        </is>
      </c>
      <c r="G5320" t="inlineStr">
        <is>
          <t>4</t>
        </is>
      </c>
      <c r="H5320" t="inlineStr">
        <is>
          <t>0</t>
        </is>
      </c>
      <c r="I5320" t="inlineStr">
        <is>
          <t>9¹², 36⁶</t>
        </is>
      </c>
      <c r="J5320" t="n">
        <v>18</v>
      </c>
      <c r="K5320" t="inlineStr">
        <is>
          <t>3³, 6¹²</t>
        </is>
      </c>
      <c r="L5320" t="inlineStr">
        <is>
          <t>36I³, 36H⁶, 18A⁸, 36M⁸</t>
        </is>
      </c>
      <c r="M5320" t="inlineStr"/>
      <c r="N5320" t="inlineStr">
        <is>
          <t>18I¹, 9G⁰, 6G⁰, 2B⁰, 9B², 9E⁰, 1A⁰, 9B¹, 18E³, 18A⁸, 36M⁸, 36H⁶, 12G⁰, 18J³, 9A⁰, 3C⁰, 12D⁰, 36I³, 18E¹, 3A⁰, 36D³, 6D⁰, 36C²</t>
        </is>
      </c>
      <c r="O5320" t="inlineStr"/>
    </row>
    <row r="5321">
      <c r="A5321">
        <f>HYPERLINK("https://mathstats.uncg.edu/sites/pauli/congruence/csg18.html#group36B18", "36B¹⁸")</f>
        <v/>
      </c>
      <c r="B5321" t="n">
        <v>18</v>
      </c>
      <c r="C5321" t="inlineStr"/>
      <c r="D5321" t="inlineStr">
        <is>
          <t>324</t>
        </is>
      </c>
      <c r="E5321" t="inlineStr">
        <is>
          <t>2</t>
        </is>
      </c>
      <c r="F5321" t="inlineStr">
        <is>
          <t>81</t>
        </is>
      </c>
      <c r="G5321" t="inlineStr">
        <is>
          <t>16</t>
        </is>
      </c>
      <c r="H5321" t="inlineStr">
        <is>
          <t>0</t>
        </is>
      </c>
      <c r="I5321" t="inlineStr">
        <is>
          <t>18⁶, 36⁶</t>
        </is>
      </c>
      <c r="J5321" t="n">
        <v>12</v>
      </c>
      <c r="K5321" t="inlineStr">
        <is>
          <t>6²⁷</t>
        </is>
      </c>
      <c r="L5321" t="inlineStr">
        <is>
          <t>36R⁴, 36C⁶, 18B⁸, 36L⁸, 36M⁸</t>
        </is>
      </c>
      <c r="M5321" t="inlineStr"/>
      <c r="N5321" t="inlineStr">
        <is>
          <t>6B⁰, 12C⁰, 36L⁸, 9G⁰, 36B², 4C⁰, 6H⁰, 36R⁴, 18B¹, 18K², 2B⁰, 12H⁰, 18M², 1A⁰, 18A⁰, 18L², 36M⁸, 18D³, 18J³, 36C⁶, 9A⁰, 18B⁸, 12D⁰, 18E¹, 3A⁰, 36D³, 18A¹, 6D⁰, 36C²</t>
        </is>
      </c>
      <c r="O5321" t="inlineStr"/>
    </row>
    <row r="5322">
      <c r="A5322">
        <f>HYPERLINK("https://mathstats.uncg.edu/sites/pauli/congruence/csg18.html#group39A18", "39A¹⁸")</f>
        <v/>
      </c>
      <c r="B5322" t="n">
        <v>18</v>
      </c>
      <c r="C5322" t="inlineStr"/>
      <c r="D5322" t="inlineStr">
        <is>
          <t>273</t>
        </is>
      </c>
      <c r="E5322" t="inlineStr">
        <is>
          <t>1</t>
        </is>
      </c>
      <c r="F5322" t="inlineStr">
        <is>
          <t>91</t>
        </is>
      </c>
      <c r="G5322" t="inlineStr">
        <is>
          <t>9</t>
        </is>
      </c>
      <c r="H5322" t="inlineStr">
        <is>
          <t>0</t>
        </is>
      </c>
      <c r="I5322" t="inlineStr">
        <is>
          <t>39⁷</t>
        </is>
      </c>
      <c r="J5322" t="n">
        <v>7</v>
      </c>
      <c r="K5322" t="inlineStr">
        <is>
          <t>3¹, 4¹, 12⁷</t>
        </is>
      </c>
      <c r="L5322" t="inlineStr">
        <is>
          <t>3A⁰, 13B³</t>
        </is>
      </c>
      <c r="M5322" t="inlineStr"/>
      <c r="N5322" t="inlineStr">
        <is>
          <t>3A⁰, 1A⁰, 13B³</t>
        </is>
      </c>
      <c r="O5322" t="inlineStr"/>
    </row>
    <row r="5323">
      <c r="A5323">
        <f>HYPERLINK("https://mathstats.uncg.edu/sites/pauli/congruence/csg18.html#group40A18", "40A¹⁸")</f>
        <v/>
      </c>
      <c r="B5323" t="n">
        <v>18</v>
      </c>
      <c r="C5323" t="inlineStr"/>
      <c r="D5323" t="inlineStr">
        <is>
          <t>240</t>
        </is>
      </c>
      <c r="E5323" t="inlineStr">
        <is>
          <t>1</t>
        </is>
      </c>
      <c r="F5323" t="inlineStr">
        <is>
          <t>5</t>
        </is>
      </c>
      <c r="G5323" t="inlineStr">
        <is>
          <t>0</t>
        </is>
      </c>
      <c r="H5323" t="inlineStr">
        <is>
          <t>0</t>
        </is>
      </c>
      <c r="I5323" t="inlineStr">
        <is>
          <t>40⁶</t>
        </is>
      </c>
      <c r="J5323" t="n">
        <v>6</v>
      </c>
      <c r="K5323" t="inlineStr">
        <is>
          <t>1¹, 4¹</t>
        </is>
      </c>
      <c r="L5323" t="inlineStr">
        <is>
          <t>8A², 40D⁴, 20A⁸, 40E⁹</t>
        </is>
      </c>
      <c r="M5323" t="inlineStr"/>
      <c r="N5323" t="inlineStr">
        <is>
          <t>2A⁰, 40D⁴, 5A⁰, 4C⁰, 8A⁰, 4G⁰, 2B⁰, 4E⁰, 20A¹, 4B⁰, 1A⁰, 10A⁰, 20D², 4D⁰, 40E⁹, 40A², 20A², 10B¹, 20B², 8E⁰, 20C⁴, 10B², 8D¹, 8A², 4A⁰, 20A⁴, 20A⁸, 4F⁰, 2C⁰</t>
        </is>
      </c>
      <c r="O5323" t="inlineStr"/>
    </row>
    <row r="5324">
      <c r="A5324">
        <f>HYPERLINK("https://mathstats.uncg.edu/sites/pauli/congruence/csg18.html#group40B18", "40B¹⁸")</f>
        <v/>
      </c>
      <c r="B5324" t="n">
        <v>18</v>
      </c>
      <c r="C5324" t="inlineStr"/>
      <c r="D5324" t="inlineStr">
        <is>
          <t>240</t>
        </is>
      </c>
      <c r="E5324" t="inlineStr">
        <is>
          <t>1</t>
        </is>
      </c>
      <c r="F5324" t="inlineStr">
        <is>
          <t>20</t>
        </is>
      </c>
      <c r="G5324" t="inlineStr">
        <is>
          <t>0</t>
        </is>
      </c>
      <c r="H5324" t="inlineStr">
        <is>
          <t>0</t>
        </is>
      </c>
      <c r="I5324" t="inlineStr">
        <is>
          <t>40⁶</t>
        </is>
      </c>
      <c r="J5324" t="n">
        <v>6</v>
      </c>
      <c r="K5324" t="inlineStr">
        <is>
          <t>2², 8²</t>
        </is>
      </c>
      <c r="L5324" t="inlineStr">
        <is>
          <t>40D⁴, 20B⁸, 40G⁸</t>
        </is>
      </c>
      <c r="M5324" t="inlineStr"/>
      <c r="N5324" t="inlineStr">
        <is>
          <t>2A⁰, 40D⁴, 5A⁰, 10A², 40G⁸, 8A⁰, 8E⁰, 20A¹, 1A⁰, 20B⁸, 10A⁰, 20D², 4A⁰, 4D⁰, 5E⁰, 40A², 20D³</t>
        </is>
      </c>
      <c r="O5324" t="inlineStr"/>
    </row>
    <row r="5325">
      <c r="A5325">
        <f>HYPERLINK("https://mathstats.uncg.edu/sites/pauli/congruence/csg18.html#group40C18", "40C¹⁸")</f>
        <v/>
      </c>
      <c r="B5325" t="n">
        <v>18</v>
      </c>
      <c r="C5325" t="inlineStr"/>
      <c r="D5325" t="inlineStr">
        <is>
          <t>240</t>
        </is>
      </c>
      <c r="E5325" t="inlineStr">
        <is>
          <t>1</t>
        </is>
      </c>
      <c r="F5325" t="inlineStr">
        <is>
          <t>60</t>
        </is>
      </c>
      <c r="G5325" t="inlineStr">
        <is>
          <t>0</t>
        </is>
      </c>
      <c r="H5325" t="inlineStr">
        <is>
          <t>0</t>
        </is>
      </c>
      <c r="I5325" t="inlineStr">
        <is>
          <t>40⁶</t>
        </is>
      </c>
      <c r="J5325" t="n">
        <v>6</v>
      </c>
      <c r="K5325" t="inlineStr">
        <is>
          <t>2², 4², 8², 16²</t>
        </is>
      </c>
      <c r="L5325" t="inlineStr">
        <is>
          <t>8B², 40E⁸, 40B⁹, 40E⁹</t>
        </is>
      </c>
      <c r="M5325" t="inlineStr"/>
      <c r="N5325" t="inlineStr">
        <is>
          <t>5A⁰, 8A¹, 40B⁹, 8D⁰, 10B¹, 20B², 4C⁰, 8B², 8A⁰, 20A¹, 20C⁴, 2B⁰, 8K⁰, 1A⁰, 8D¹, 40E⁸, 40C⁴, 8C¹, 4A⁰, 4F⁰, 40A⁵, 40E⁹, 40A²</t>
        </is>
      </c>
      <c r="O5325" t="inlineStr"/>
    </row>
    <row r="5326">
      <c r="A5326">
        <f>HYPERLINK("https://mathstats.uncg.edu/sites/pauli/congruence/csg18.html#group40D18", "40D¹⁸")</f>
        <v/>
      </c>
      <c r="B5326" t="n">
        <v>18</v>
      </c>
      <c r="C5326" t="inlineStr"/>
      <c r="D5326" t="inlineStr">
        <is>
          <t>240</t>
        </is>
      </c>
      <c r="E5326" t="inlineStr">
        <is>
          <t>1</t>
        </is>
      </c>
      <c r="F5326" t="inlineStr">
        <is>
          <t>60</t>
        </is>
      </c>
      <c r="G5326" t="inlineStr">
        <is>
          <t>0</t>
        </is>
      </c>
      <c r="H5326" t="inlineStr">
        <is>
          <t>0</t>
        </is>
      </c>
      <c r="I5326" t="inlineStr">
        <is>
          <t>40⁶</t>
        </is>
      </c>
      <c r="J5326" t="n">
        <v>6</v>
      </c>
      <c r="K5326" t="inlineStr">
        <is>
          <t>2², 4², 8⁶</t>
        </is>
      </c>
      <c r="L5326" t="inlineStr">
        <is>
          <t>20B⁸, 40H⁸</t>
        </is>
      </c>
      <c r="M5326" t="inlineStr"/>
      <c r="N5326" t="inlineStr">
        <is>
          <t>2A⁰, 5A⁰, 10A², 20D², 10A⁰, 4A⁰, 4D⁰, 40H⁸, 5E⁰, 20A¹, 1A⁰, 20B⁸, 20D³</t>
        </is>
      </c>
      <c r="O5326" t="inlineStr"/>
    </row>
    <row r="5327">
      <c r="A5327">
        <f>HYPERLINK("https://mathstats.uncg.edu/sites/pauli/congruence/csg18.html#group42A18", "42A¹⁸")</f>
        <v/>
      </c>
      <c r="B5327" t="n">
        <v>18</v>
      </c>
      <c r="C5327" t="inlineStr"/>
      <c r="D5327" t="inlineStr">
        <is>
          <t>252</t>
        </is>
      </c>
      <c r="E5327" t="inlineStr">
        <is>
          <t>1</t>
        </is>
      </c>
      <c r="F5327" t="inlineStr">
        <is>
          <t>63</t>
        </is>
      </c>
      <c r="G5327" t="inlineStr">
        <is>
          <t>4</t>
        </is>
      </c>
      <c r="H5327" t="inlineStr">
        <is>
          <t>0</t>
        </is>
      </c>
      <c r="I5327" t="inlineStr">
        <is>
          <t>42⁶</t>
        </is>
      </c>
      <c r="J5327" t="n">
        <v>6</v>
      </c>
      <c r="K5327" t="inlineStr">
        <is>
          <t>3¹, 6⁴, 12³</t>
        </is>
      </c>
      <c r="L5327" t="inlineStr">
        <is>
          <t>21C⁶, 42G⁷</t>
        </is>
      </c>
      <c r="M5327" t="inlineStr"/>
      <c r="N5327" t="inlineStr">
        <is>
          <t>21D², 21C⁶, 7D⁰, 21E¹, 42G⁷, 21A⁰, 3C⁰, 3A⁰, 1A⁰, 7A⁰</t>
        </is>
      </c>
      <c r="O5327" t="inlineStr"/>
    </row>
    <row r="5328">
      <c r="A5328">
        <f>HYPERLINK("https://mathstats.uncg.edu/sites/pauli/congruence/csg18.html#group42B18", "42B¹⁸")</f>
        <v/>
      </c>
      <c r="B5328" t="n">
        <v>18</v>
      </c>
      <c r="C5328" t="inlineStr"/>
      <c r="D5328" t="inlineStr">
        <is>
          <t>252</t>
        </is>
      </c>
      <c r="E5328" t="inlineStr">
        <is>
          <t>2</t>
        </is>
      </c>
      <c r="F5328" t="inlineStr">
        <is>
          <t>21</t>
        </is>
      </c>
      <c r="G5328" t="inlineStr">
        <is>
          <t>0</t>
        </is>
      </c>
      <c r="H5328" t="inlineStr">
        <is>
          <t>0</t>
        </is>
      </c>
      <c r="I5328" t="inlineStr">
        <is>
          <t>21⁴, 42⁴</t>
        </is>
      </c>
      <c r="J5328" t="n">
        <v>8</v>
      </c>
      <c r="K5328" t="inlineStr">
        <is>
          <t>2³, 6⁶</t>
        </is>
      </c>
      <c r="L5328" t="inlineStr">
        <is>
          <t>6K⁰, 21A⁶, 42C⁶, 42C⁸</t>
        </is>
      </c>
      <c r="M5328" t="inlineStr"/>
      <c r="N5328" t="inlineStr">
        <is>
          <t>3B⁰, 21D², 14B¹, 21A⁰, 6G⁰, 2B⁰, 1A⁰, 21A⁶, 21B², 42C⁶, 6F⁰, 3C⁰, 6K⁰, 42C⁸, 3A⁰, 3D⁰, 42C³, 6D⁰, 7A⁰</t>
        </is>
      </c>
      <c r="O5328" t="inlineStr"/>
    </row>
    <row r="5329">
      <c r="A5329">
        <f>HYPERLINK("https://mathstats.uncg.edu/sites/pauli/congruence/csg18.html#group42C18", "42C¹⁸")</f>
        <v/>
      </c>
      <c r="B5329" t="n">
        <v>18</v>
      </c>
      <c r="C5329" t="inlineStr"/>
      <c r="D5329" t="inlineStr">
        <is>
          <t>252</t>
        </is>
      </c>
      <c r="E5329" t="inlineStr">
        <is>
          <t>2</t>
        </is>
      </c>
      <c r="F5329" t="inlineStr">
        <is>
          <t>63</t>
        </is>
      </c>
      <c r="G5329" t="inlineStr">
        <is>
          <t>4</t>
        </is>
      </c>
      <c r="H5329" t="inlineStr">
        <is>
          <t>0</t>
        </is>
      </c>
      <c r="I5329" t="inlineStr">
        <is>
          <t>42⁶</t>
        </is>
      </c>
      <c r="J5329" t="n">
        <v>6</v>
      </c>
      <c r="K5329" t="inlineStr">
        <is>
          <t>2³, 4³, 6⁶, 12⁶</t>
        </is>
      </c>
      <c r="L5329" t="inlineStr">
        <is>
          <t>42A⁶, 42C⁸, 42D⁸</t>
        </is>
      </c>
      <c r="M5329" t="inlineStr"/>
      <c r="N5329" t="inlineStr">
        <is>
          <t>21D², 42D⁸, 14B¹, 21A⁰, 6G⁰, 2B⁰, 1A⁰, 42A², 42A⁶, 3C⁰, 42C⁸, 3A⁰, 42C³, 6D⁰, 7A⁰</t>
        </is>
      </c>
      <c r="O5329" t="inlineStr"/>
    </row>
    <row r="5330">
      <c r="A5330">
        <f>HYPERLINK("https://mathstats.uncg.edu/sites/pauli/congruence/csg18.html#group44A18", "44A¹⁸")</f>
        <v/>
      </c>
      <c r="B5330" t="n">
        <v>18</v>
      </c>
      <c r="C5330" t="inlineStr"/>
      <c r="D5330" t="inlineStr">
        <is>
          <t>330</t>
        </is>
      </c>
      <c r="E5330" t="inlineStr">
        <is>
          <t>1</t>
        </is>
      </c>
      <c r="F5330" t="inlineStr">
        <is>
          <t>165</t>
        </is>
      </c>
      <c r="G5330" t="inlineStr">
        <is>
          <t>12</t>
        </is>
      </c>
      <c r="H5330" t="inlineStr">
        <is>
          <t>0</t>
        </is>
      </c>
      <c r="I5330" t="inlineStr">
        <is>
          <t>11¹⁰, 44⁵</t>
        </is>
      </c>
      <c r="J5330" t="n">
        <v>15</v>
      </c>
      <c r="K5330" t="inlineStr">
        <is>
          <t>5³, 10¹⁵</t>
        </is>
      </c>
      <c r="L5330" t="inlineStr">
        <is>
          <t>22A⁸</t>
        </is>
      </c>
      <c r="M5330" t="inlineStr"/>
      <c r="N5330" t="inlineStr">
        <is>
          <t>11C¹, 1A⁰, 22A⁸, 2B⁰</t>
        </is>
      </c>
      <c r="O5330" t="inlineStr"/>
    </row>
    <row r="5331">
      <c r="A5331">
        <f>HYPERLINK("https://mathstats.uncg.edu/sites/pauli/congruence/csg18.html#group45A18", "45A¹⁸")</f>
        <v/>
      </c>
      <c r="B5331" t="n">
        <v>18</v>
      </c>
      <c r="C5331" t="inlineStr"/>
      <c r="D5331" t="inlineStr">
        <is>
          <t>270</t>
        </is>
      </c>
      <c r="E5331" t="inlineStr">
        <is>
          <t>1</t>
        </is>
      </c>
      <c r="F5331" t="inlineStr">
        <is>
          <t>135</t>
        </is>
      </c>
      <c r="G5331" t="inlineStr">
        <is>
          <t>10</t>
        </is>
      </c>
      <c r="H5331" t="inlineStr">
        <is>
          <t>0</t>
        </is>
      </c>
      <c r="I5331" t="inlineStr">
        <is>
          <t>45⁶</t>
        </is>
      </c>
      <c r="J5331" t="n">
        <v>6</v>
      </c>
      <c r="K5331" t="inlineStr">
        <is>
          <t>1¹, 2², 4⁴, 6¹, 8³, 12¹, 24³</t>
        </is>
      </c>
      <c r="L5331" t="inlineStr">
        <is>
          <t>45A², 15D⁴, 45E⁵, 45D⁷</t>
        </is>
      </c>
      <c r="M5331" t="inlineStr"/>
      <c r="N5331" t="inlineStr">
        <is>
          <t>45A², 15D⁴, 5A⁰, 45E⁵, 5B⁰, 15F¹, 1A⁰, 45D⁷, 15D¹, 15B⁰, 9A⁰, 5E⁰, 45A³, 3A⁰, 5C⁰, 5G⁰, 15A¹, 15A⁰</t>
        </is>
      </c>
      <c r="O5331" t="inlineStr"/>
    </row>
    <row r="5332">
      <c r="A5332">
        <f>HYPERLINK("https://mathstats.uncg.edu/sites/pauli/congruence/csg18.html#group45B18", "45B¹⁸")</f>
        <v/>
      </c>
      <c r="B5332" t="n">
        <v>18</v>
      </c>
      <c r="C5332" t="inlineStr"/>
      <c r="D5332" t="inlineStr">
        <is>
          <t>270</t>
        </is>
      </c>
      <c r="E5332" t="inlineStr">
        <is>
          <t>1</t>
        </is>
      </c>
      <c r="F5332" t="inlineStr">
        <is>
          <t>270</t>
        </is>
      </c>
      <c r="G5332" t="inlineStr">
        <is>
          <t>6</t>
        </is>
      </c>
      <c r="H5332" t="inlineStr">
        <is>
          <t>3</t>
        </is>
      </c>
      <c r="I5332" t="inlineStr">
        <is>
          <t>45⁶</t>
        </is>
      </c>
      <c r="J5332" t="n">
        <v>6</v>
      </c>
      <c r="K5332" t="inlineStr">
        <is>
          <t>6¹, 12⁶, 24⁸</t>
        </is>
      </c>
      <c r="L5332" t="inlineStr">
        <is>
          <t>5C⁰, 9F⁰</t>
        </is>
      </c>
      <c r="M5332" t="inlineStr"/>
      <c r="N5332" t="inlineStr">
        <is>
          <t>9F⁰, 5C⁰, 1A⁰</t>
        </is>
      </c>
      <c r="O5332" t="inlineStr"/>
    </row>
    <row r="5333">
      <c r="A5333">
        <f>HYPERLINK("https://mathstats.uncg.edu/sites/pauli/congruence/csg18.html#group45C18", "45C¹⁸")</f>
        <v/>
      </c>
      <c r="B5333" t="n">
        <v>18</v>
      </c>
      <c r="C5333" t="inlineStr"/>
      <c r="D5333" t="inlineStr">
        <is>
          <t>324</t>
        </is>
      </c>
      <c r="E5333" t="inlineStr">
        <is>
          <t>2</t>
        </is>
      </c>
      <c r="F5333" t="inlineStr">
        <is>
          <t>162</t>
        </is>
      </c>
      <c r="G5333" t="inlineStr">
        <is>
          <t>16</t>
        </is>
      </c>
      <c r="H5333" t="inlineStr">
        <is>
          <t>0</t>
        </is>
      </c>
      <c r="I5333" t="inlineStr">
        <is>
          <t>9⁶, 45⁶</t>
        </is>
      </c>
      <c r="J5333" t="n">
        <v>12</v>
      </c>
      <c r="K5333" t="inlineStr">
        <is>
          <t>6¹⁸, 24⁹</t>
        </is>
      </c>
      <c r="L5333" t="inlineStr">
        <is>
          <t>45C⁴, 45D⁶, 45D⁸</t>
        </is>
      </c>
      <c r="M5333" t="inlineStr"/>
      <c r="N5333" t="inlineStr">
        <is>
          <t>45A², 15B⁰, 45D⁶, 45D⁸, 9A⁰, 9G⁰, 45C⁴, 5B⁰, 3A⁰, 1A⁰, 15C⁰</t>
        </is>
      </c>
      <c r="O5333" t="inlineStr"/>
    </row>
    <row r="5334">
      <c r="A5334">
        <f>HYPERLINK("https://mathstats.uncg.edu/sites/pauli/congruence/csg18.html#group48A18", "48A¹⁸")</f>
        <v/>
      </c>
      <c r="B5334" t="n">
        <v>18</v>
      </c>
      <c r="C5334" t="inlineStr"/>
      <c r="D5334" t="inlineStr">
        <is>
          <t>256</t>
        </is>
      </c>
      <c r="E5334" t="inlineStr">
        <is>
          <t>1</t>
        </is>
      </c>
      <c r="F5334" t="inlineStr">
        <is>
          <t>256</t>
        </is>
      </c>
      <c r="G5334" t="inlineStr">
        <is>
          <t>0</t>
        </is>
      </c>
      <c r="H5334" t="inlineStr">
        <is>
          <t>1</t>
        </is>
      </c>
      <c r="I5334" t="inlineStr">
        <is>
          <t>16⁴, 48⁴</t>
        </is>
      </c>
      <c r="J5334" t="n">
        <v>8</v>
      </c>
      <c r="K5334" t="inlineStr">
        <is>
          <t>8¹⁶, 16⁸</t>
        </is>
      </c>
      <c r="L5334" t="inlineStr">
        <is>
          <t>16G², 24C⁴</t>
        </is>
      </c>
      <c r="M5334" t="inlineStr"/>
      <c r="N5334" t="inlineStr">
        <is>
          <t>24C⁴, 3B⁰, 16G², 8F⁰, 1A⁰, 4A⁰, 12A¹</t>
        </is>
      </c>
      <c r="O5334" t="inlineStr"/>
    </row>
    <row r="5335">
      <c r="A5335">
        <f>HYPERLINK("https://mathstats.uncg.edu/sites/pauli/congruence/csg18.html#group48B18", "48B¹⁸")</f>
        <v/>
      </c>
      <c r="B5335" t="n">
        <v>18</v>
      </c>
      <c r="C5335" t="inlineStr"/>
      <c r="D5335" t="inlineStr">
        <is>
          <t>288</t>
        </is>
      </c>
      <c r="E5335" t="inlineStr">
        <is>
          <t>1</t>
        </is>
      </c>
      <c r="F5335" t="inlineStr">
        <is>
          <t>12</t>
        </is>
      </c>
      <c r="G5335" t="inlineStr">
        <is>
          <t>0</t>
        </is>
      </c>
      <c r="H5335" t="inlineStr">
        <is>
          <t>0</t>
        </is>
      </c>
      <c r="I5335" t="inlineStr">
        <is>
          <t>12⁸, 24⁴, 48²</t>
        </is>
      </c>
      <c r="J5335" t="n">
        <v>14</v>
      </c>
      <c r="K5335" t="inlineStr">
        <is>
          <t>1⁴, 2⁴</t>
        </is>
      </c>
      <c r="L5335" t="inlineStr">
        <is>
          <t>16I², 24A⁸, 48G⁸, 48H⁸</t>
        </is>
      </c>
      <c r="M5335" t="inlineStr"/>
      <c r="N5335" t="inlineStr">
        <is>
          <t>2A⁰, 12C⁰, 6C¹, 4C⁰, 12B², 4G⁰, 2B⁰, 4E⁰, 4B⁰, 1A⁰, 8K⁰, 12A⁴, 4D⁰, 12A², 6A¹, 12B¹, 3A⁰, 16K¹, 8N⁰, 24A⁸, 16I², 12E¹, 48H⁸, 24J³, 16L¹, 12A⁰, 6A⁰, 4A⁰, 48G⁸, 12J¹, 4F⁰, 8J⁰, 2C⁰, 6D⁰, 24G⁴</t>
        </is>
      </c>
      <c r="O5335" t="inlineStr"/>
    </row>
    <row r="5336">
      <c r="A5336">
        <f>HYPERLINK("https://mathstats.uncg.edu/sites/pauli/congruence/csg18.html#group48C18", "48C¹⁸")</f>
        <v/>
      </c>
      <c r="B5336" t="n">
        <v>18</v>
      </c>
      <c r="C5336" t="inlineStr"/>
      <c r="D5336" t="inlineStr">
        <is>
          <t>288</t>
        </is>
      </c>
      <c r="E5336" t="inlineStr">
        <is>
          <t>1</t>
        </is>
      </c>
      <c r="F5336" t="inlineStr">
        <is>
          <t>24</t>
        </is>
      </c>
      <c r="G5336" t="inlineStr">
        <is>
          <t>0</t>
        </is>
      </c>
      <c r="H5336" t="inlineStr">
        <is>
          <t>0</t>
        </is>
      </c>
      <c r="I5336" t="inlineStr">
        <is>
          <t>3⁴, 6², 12², 24², 48⁴</t>
        </is>
      </c>
      <c r="J5336" t="n">
        <v>14</v>
      </c>
      <c r="K5336" t="inlineStr">
        <is>
          <t>1⁴, 2², 4², 8¹</t>
        </is>
      </c>
      <c r="L5336" t="inlineStr">
        <is>
          <t>16J², 48E⁸</t>
        </is>
      </c>
      <c r="M5336" t="inlineStr"/>
      <c r="N5336" t="inlineStr">
        <is>
          <t>24F⁴, 8C⁰, 2B⁰, 8I⁰, 4B⁰, 1A⁰, 16J², 48B⁴, 16H⁰, 24B², 48E⁸, 16C⁰, 16D⁰, 12B¹, 3A⁰, 6D⁰, 48D⁴</t>
        </is>
      </c>
      <c r="O5336" t="inlineStr"/>
    </row>
    <row r="5337">
      <c r="A5337">
        <f>HYPERLINK("https://mathstats.uncg.edu/sites/pauli/congruence/csg18.html#group48D18", "48D¹⁸")</f>
        <v/>
      </c>
      <c r="B5337" t="n">
        <v>18</v>
      </c>
      <c r="C5337" t="inlineStr"/>
      <c r="D5337" t="inlineStr">
        <is>
          <t>288</t>
        </is>
      </c>
      <c r="E5337" t="inlineStr">
        <is>
          <t>1</t>
        </is>
      </c>
      <c r="F5337" t="inlineStr">
        <is>
          <t>24</t>
        </is>
      </c>
      <c r="G5337" t="inlineStr">
        <is>
          <t>0</t>
        </is>
      </c>
      <c r="H5337" t="inlineStr">
        <is>
          <t>0</t>
        </is>
      </c>
      <c r="I5337" t="inlineStr">
        <is>
          <t>6⁴, 12², 24⁶, 48²</t>
        </is>
      </c>
      <c r="J5337" t="n">
        <v>14</v>
      </c>
      <c r="K5337" t="inlineStr">
        <is>
          <t>1⁸, 2⁴, 4²</t>
        </is>
      </c>
      <c r="L5337" t="inlineStr">
        <is>
          <t>16K², 24B⁸</t>
        </is>
      </c>
      <c r="M5337" t="inlineStr"/>
      <c r="N5337" t="inlineStr">
        <is>
          <t>2A⁰, 12C⁰, 4C⁰, 6C¹, 12B², 2B⁰, 4E⁰, 8C⁰, 4B⁰, 1A⁰, 24B², 8G⁰, 12B¹, 6A¹, 3A⁰, 24F⁴, 8D⁰, 24B⁸, 8I⁰, 16K², 24D⁴, 6A⁰, 24C¹, 8J⁰, 2C⁰, 6D⁰, 24G⁴, 8O⁰</t>
        </is>
      </c>
      <c r="O5337" t="inlineStr"/>
    </row>
    <row r="5338">
      <c r="A5338">
        <f>HYPERLINK("https://mathstats.uncg.edu/sites/pauli/congruence/csg18.html#group48E18", "48E¹⁸")</f>
        <v/>
      </c>
      <c r="B5338" t="n">
        <v>18</v>
      </c>
      <c r="C5338" t="inlineStr"/>
      <c r="D5338" t="inlineStr">
        <is>
          <t>288</t>
        </is>
      </c>
      <c r="E5338" t="inlineStr">
        <is>
          <t>1</t>
        </is>
      </c>
      <c r="F5338" t="inlineStr">
        <is>
          <t>24</t>
        </is>
      </c>
      <c r="G5338" t="inlineStr">
        <is>
          <t>12</t>
        </is>
      </c>
      <c r="H5338" t="inlineStr">
        <is>
          <t>0</t>
        </is>
      </c>
      <c r="I5338" t="inlineStr">
        <is>
          <t>24⁴, 48⁴</t>
        </is>
      </c>
      <c r="J5338" t="n">
        <v>8</v>
      </c>
      <c r="K5338" t="inlineStr">
        <is>
          <t>2², 4⁵</t>
        </is>
      </c>
      <c r="L5338" t="inlineStr">
        <is>
          <t>16B⁴, 24K⁷, 48P⁷, 48F⁸</t>
        </is>
      </c>
      <c r="M5338" t="inlineStr"/>
      <c r="N5338" t="inlineStr">
        <is>
          <t>48F⁸, 12C⁰, 16I¹, 4C⁰, 48P⁷, 8A⁰, 2B⁰, 8K⁰, 1A⁰, 8H¹, 16E², 16E⁰, 16B⁴, 24A¹, 16D¹, 48E⁴, 24A⁰, 48D³, 3A⁰, 24K⁷, 8D⁰, 8B⁰, 24L², 8D¹, 24J³, 8H⁰, 24H⁴, 12A⁰, 48E³, 4A⁰, 16C¹, 24C¹, 12J¹, 4F⁰, 6D⁰</t>
        </is>
      </c>
      <c r="O5338" t="inlineStr"/>
    </row>
    <row r="5339">
      <c r="A5339">
        <f>HYPERLINK("https://mathstats.uncg.edu/sites/pauli/congruence/csg18.html#group48F18", "48F¹⁸")</f>
        <v/>
      </c>
      <c r="B5339" t="n">
        <v>18</v>
      </c>
      <c r="C5339" t="inlineStr"/>
      <c r="D5339" t="inlineStr">
        <is>
          <t>288</t>
        </is>
      </c>
      <c r="E5339" t="inlineStr">
        <is>
          <t>1</t>
        </is>
      </c>
      <c r="F5339" t="inlineStr">
        <is>
          <t>24</t>
        </is>
      </c>
      <c r="G5339" t="inlineStr">
        <is>
          <t>12</t>
        </is>
      </c>
      <c r="H5339" t="inlineStr">
        <is>
          <t>0</t>
        </is>
      </c>
      <c r="I5339" t="inlineStr">
        <is>
          <t>24⁴, 48⁴</t>
        </is>
      </c>
      <c r="J5339" t="n">
        <v>8</v>
      </c>
      <c r="K5339" t="inlineStr">
        <is>
          <t>2², 4⁵</t>
        </is>
      </c>
      <c r="L5339" t="inlineStr">
        <is>
          <t>16C⁴, 24L⁷, 48O⁷, 48F⁸</t>
        </is>
      </c>
      <c r="M5339" t="inlineStr"/>
      <c r="N5339" t="inlineStr">
        <is>
          <t>48F⁸, 12C⁰, 8D⁰, 4C⁰, 8B⁰, 2B⁰, 24L², 1A⁰, 16E², 8H⁰, 24F¹, 8F⁰, 16D¹, 12A⁰, 24A⁰, 48E³, 4A⁰, 8I¹, 16C⁴, 24C¹, 24L⁷, 12J¹, 4F⁰, 3A⁰, 48O⁷, 16H¹, 6D⁰</t>
        </is>
      </c>
      <c r="O5339" t="inlineStr"/>
    </row>
    <row r="5340">
      <c r="A5340">
        <f>HYPERLINK("https://mathstats.uncg.edu/sites/pauli/congruence/csg18.html#group48G18", "48G¹⁸")</f>
        <v/>
      </c>
      <c r="B5340" t="n">
        <v>18</v>
      </c>
      <c r="C5340" t="inlineStr"/>
      <c r="D5340" t="inlineStr">
        <is>
          <t>288</t>
        </is>
      </c>
      <c r="E5340" t="inlineStr">
        <is>
          <t>1</t>
        </is>
      </c>
      <c r="F5340" t="inlineStr">
        <is>
          <t>36</t>
        </is>
      </c>
      <c r="G5340" t="inlineStr">
        <is>
          <t>0</t>
        </is>
      </c>
      <c r="H5340" t="inlineStr">
        <is>
          <t>0</t>
        </is>
      </c>
      <c r="I5340" t="inlineStr">
        <is>
          <t>12⁸, 24⁴, 48²</t>
        </is>
      </c>
      <c r="J5340" t="n">
        <v>14</v>
      </c>
      <c r="K5340" t="inlineStr">
        <is>
          <t>1⁴, 2⁸, 4⁴</t>
        </is>
      </c>
      <c r="L5340" t="inlineStr">
        <is>
          <t>24A⁸, 48U⁸, 48V⁸</t>
        </is>
      </c>
      <c r="M5340" t="inlineStr"/>
      <c r="N5340" t="inlineStr">
        <is>
          <t>2A⁰, 12C⁰, 4C⁰, 6C¹, 12B², 4G⁰, 2B⁰, 4E⁰, 4B⁰, 1A⁰, 8K⁰, 12A⁴, 4D⁰, 12A², 6A¹, 12B¹, 3A⁰, 8N⁰, 24A⁸, 12E¹, 48U⁸, 48V⁸, 24J³, 12A⁰, 6A⁰, 4A⁰, 12J¹, 4F⁰, 8J⁰, 2C⁰, 6D⁰, 24G⁴</t>
        </is>
      </c>
      <c r="O5340" t="inlineStr"/>
    </row>
    <row r="5341">
      <c r="A5341">
        <f>HYPERLINK("https://mathstats.uncg.edu/sites/pauli/congruence/csg18.html#group48H18", "48H¹⁸")</f>
        <v/>
      </c>
      <c r="B5341" t="n">
        <v>18</v>
      </c>
      <c r="C5341" t="inlineStr"/>
      <c r="D5341" t="inlineStr">
        <is>
          <t>288</t>
        </is>
      </c>
      <c r="E5341" t="inlineStr">
        <is>
          <t>1</t>
        </is>
      </c>
      <c r="F5341" t="inlineStr">
        <is>
          <t>72</t>
        </is>
      </c>
      <c r="G5341" t="inlineStr">
        <is>
          <t>0</t>
        </is>
      </c>
      <c r="H5341" t="inlineStr">
        <is>
          <t>0</t>
        </is>
      </c>
      <c r="I5341" t="inlineStr">
        <is>
          <t>3⁴, 6², 12², 24², 48⁴</t>
        </is>
      </c>
      <c r="J5341" t="n">
        <v>14</v>
      </c>
      <c r="K5341" t="inlineStr">
        <is>
          <t>1⁴, 2⁶, 4⁴, 8³, 16¹</t>
        </is>
      </c>
      <c r="L5341" t="inlineStr">
        <is>
          <t>48E⁸</t>
        </is>
      </c>
      <c r="M5341" t="inlineStr"/>
      <c r="N5341" t="inlineStr">
        <is>
          <t>24F⁴, 8C⁰, 2B⁰, 8I⁰, 4B⁰, 1A⁰, 48B⁴, 16H⁰, 24B², 48E⁸, 16C⁰, 16D⁰, 12B¹, 3A⁰, 6D⁰, 48D⁴</t>
        </is>
      </c>
      <c r="O5341" t="inlineStr"/>
    </row>
    <row r="5342">
      <c r="A5342">
        <f>HYPERLINK("https://mathstats.uncg.edu/sites/pauli/congruence/csg18.html#group48I18", "48I¹⁸")</f>
        <v/>
      </c>
      <c r="B5342" t="n">
        <v>18</v>
      </c>
      <c r="C5342" t="inlineStr"/>
      <c r="D5342" t="inlineStr">
        <is>
          <t>288</t>
        </is>
      </c>
      <c r="E5342" t="inlineStr">
        <is>
          <t>1</t>
        </is>
      </c>
      <c r="F5342" t="inlineStr">
        <is>
          <t>72</t>
        </is>
      </c>
      <c r="G5342" t="inlineStr">
        <is>
          <t>0</t>
        </is>
      </c>
      <c r="H5342" t="inlineStr">
        <is>
          <t>0</t>
        </is>
      </c>
      <c r="I5342" t="inlineStr">
        <is>
          <t>6⁴, 12², 24⁶, 48²</t>
        </is>
      </c>
      <c r="J5342" t="n">
        <v>14</v>
      </c>
      <c r="K5342" t="inlineStr">
        <is>
          <t>1⁸, 2¹², 4⁶, 8²</t>
        </is>
      </c>
      <c r="L5342" t="inlineStr">
        <is>
          <t>24B⁸</t>
        </is>
      </c>
      <c r="M5342" t="inlineStr"/>
      <c r="N5342" t="inlineStr">
        <is>
          <t>2A⁰, 24F⁴, 12C⁰, 8D⁰, 24B⁸, 6C¹, 4C⁰, 12B², 8C⁰, 2B⁰, 4E⁰, 8I⁰, 4B⁰, 1A⁰, 24D⁴, 24B², 6A⁰, 8G⁰, 24C¹, 12B¹, 6A¹, 3A⁰, 8J⁰, 2C⁰, 6D⁰, 24G⁴, 8O⁰</t>
        </is>
      </c>
      <c r="O5342" t="inlineStr"/>
    </row>
    <row r="5343">
      <c r="A5343">
        <f>HYPERLINK("https://mathstats.uncg.edu/sites/pauli/congruence/csg18.html#group48J18", "48J¹⁸")</f>
        <v/>
      </c>
      <c r="B5343" t="n">
        <v>18</v>
      </c>
      <c r="C5343" t="inlineStr"/>
      <c r="D5343" t="inlineStr">
        <is>
          <t>288</t>
        </is>
      </c>
      <c r="E5343" t="inlineStr">
        <is>
          <t>1</t>
        </is>
      </c>
      <c r="F5343" t="inlineStr">
        <is>
          <t>72</t>
        </is>
      </c>
      <c r="G5343" t="inlineStr">
        <is>
          <t>8</t>
        </is>
      </c>
      <c r="H5343" t="inlineStr">
        <is>
          <t>0</t>
        </is>
      </c>
      <c r="I5343" t="inlineStr">
        <is>
          <t>24⁸, 48²</t>
        </is>
      </c>
      <c r="J5343" t="n">
        <v>10</v>
      </c>
      <c r="K5343" t="inlineStr">
        <is>
          <t>4⁴, 8⁸, 16⁴</t>
        </is>
      </c>
      <c r="L5343" t="inlineStr">
        <is>
          <t>24K⁸, 48G⁸, 48V⁸</t>
        </is>
      </c>
      <c r="M5343" t="inlineStr"/>
      <c r="N5343" t="inlineStr">
        <is>
          <t>24O⁴, 24E¹, 12C⁰, 4C⁰, 24D¹, 2B⁰, 24P³, 24B¹, 48V⁸, 1A⁰, 8K⁰, 24J³, 12A⁰, 4A⁰, 24K⁸, 48G⁸, 12J¹, 4F⁰, 3A⁰, 16K¹, 6D⁰</t>
        </is>
      </c>
      <c r="O5343" t="inlineStr"/>
    </row>
    <row r="5344">
      <c r="A5344">
        <f>HYPERLINK("https://mathstats.uncg.edu/sites/pauli/congruence/csg18.html#group48K18", "48K¹⁸")</f>
        <v/>
      </c>
      <c r="B5344" t="n">
        <v>18</v>
      </c>
      <c r="C5344" t="inlineStr"/>
      <c r="D5344" t="inlineStr">
        <is>
          <t>288</t>
        </is>
      </c>
      <c r="E5344" t="inlineStr">
        <is>
          <t>1</t>
        </is>
      </c>
      <c r="F5344" t="inlineStr">
        <is>
          <t>72</t>
        </is>
      </c>
      <c r="G5344" t="inlineStr">
        <is>
          <t>8</t>
        </is>
      </c>
      <c r="H5344" t="inlineStr">
        <is>
          <t>0</t>
        </is>
      </c>
      <c r="I5344" t="inlineStr">
        <is>
          <t>24⁸, 48²</t>
        </is>
      </c>
      <c r="J5344" t="n">
        <v>10</v>
      </c>
      <c r="K5344" t="inlineStr">
        <is>
          <t>4⁴, 8⁸, 16⁴</t>
        </is>
      </c>
      <c r="L5344" t="inlineStr">
        <is>
          <t>24K⁸, 48H⁸, 48U⁸</t>
        </is>
      </c>
      <c r="M5344" t="inlineStr"/>
      <c r="N5344" t="inlineStr">
        <is>
          <t>24O⁴, 24E¹, 12C⁰, 4C⁰, 24D¹, 48U⁸, 2B⁰, 48H⁸, 24P³, 24B¹, 1A⁰, 8K⁰, 24J³, 16L¹, 12A⁰, 4A⁰, 24K⁸, 12J¹, 4F⁰, 3A⁰, 6D⁰</t>
        </is>
      </c>
      <c r="O5344" t="inlineStr"/>
    </row>
    <row r="5345">
      <c r="A5345">
        <f>HYPERLINK("https://mathstats.uncg.edu/sites/pauli/congruence/csg18.html#group48L18", "48L¹⁸")</f>
        <v/>
      </c>
      <c r="B5345" t="n">
        <v>18</v>
      </c>
      <c r="C5345" t="inlineStr"/>
      <c r="D5345" t="inlineStr">
        <is>
          <t>288</t>
        </is>
      </c>
      <c r="E5345" t="inlineStr">
        <is>
          <t>1</t>
        </is>
      </c>
      <c r="F5345" t="inlineStr">
        <is>
          <t>72</t>
        </is>
      </c>
      <c r="G5345" t="inlineStr">
        <is>
          <t>12</t>
        </is>
      </c>
      <c r="H5345" t="inlineStr">
        <is>
          <t>0</t>
        </is>
      </c>
      <c r="I5345" t="inlineStr">
        <is>
          <t>24⁴, 48⁴</t>
        </is>
      </c>
      <c r="J5345" t="n">
        <v>8</v>
      </c>
      <c r="K5345" t="inlineStr">
        <is>
          <t>2², 4⁷, 8⁵</t>
        </is>
      </c>
      <c r="L5345" t="inlineStr">
        <is>
          <t>24K⁷, 48AC⁷, 48R⁸</t>
        </is>
      </c>
      <c r="M5345" t="inlineStr"/>
      <c r="N5345" t="inlineStr">
        <is>
          <t>24K⁷, 12C⁰, 48G³, 48R⁸, 48AC⁷, 8D⁰, 48H⁴, 4C⁰, 8B⁰, 8A⁰, 2B⁰, 24L², 8K⁰, 1A⁰, 8D¹, 8H¹, 48H³, 24J³, 8H⁰, 24H⁴, 12A⁰, 24A¹, 24A⁰, 4A⁰, 24C¹, 12J¹, 4F⁰, 3A⁰, 6D⁰</t>
        </is>
      </c>
      <c r="O5345" t="inlineStr"/>
    </row>
    <row r="5346">
      <c r="A5346">
        <f>HYPERLINK("https://mathstats.uncg.edu/sites/pauli/congruence/csg18.html#group48M18", "48M¹⁸")</f>
        <v/>
      </c>
      <c r="B5346" t="n">
        <v>18</v>
      </c>
      <c r="C5346" t="inlineStr"/>
      <c r="D5346" t="inlineStr">
        <is>
          <t>288</t>
        </is>
      </c>
      <c r="E5346" t="inlineStr">
        <is>
          <t>1</t>
        </is>
      </c>
      <c r="F5346" t="inlineStr">
        <is>
          <t>72</t>
        </is>
      </c>
      <c r="G5346" t="inlineStr">
        <is>
          <t>12</t>
        </is>
      </c>
      <c r="H5346" t="inlineStr">
        <is>
          <t>0</t>
        </is>
      </c>
      <c r="I5346" t="inlineStr">
        <is>
          <t>24⁴, 48⁴</t>
        </is>
      </c>
      <c r="J5346" t="n">
        <v>8</v>
      </c>
      <c r="K5346" t="inlineStr">
        <is>
          <t>2², 4⁷, 8⁵</t>
        </is>
      </c>
      <c r="L5346" t="inlineStr">
        <is>
          <t>24L⁷, 48AB⁷, 48R⁸</t>
        </is>
      </c>
      <c r="M5346" t="inlineStr"/>
      <c r="N5346" t="inlineStr">
        <is>
          <t>12C⁰, 48R⁸, 8D⁰, 4C⁰, 8B⁰, 2B⁰, 24L², 1A⁰, 48H³, 8H⁰, 24F¹, 48AB⁷, 12A⁰, 8F⁰, 24A⁰, 4A⁰, 8I¹, 24C¹, 24L⁷, 12J¹, 4F⁰, 3A⁰, 6D⁰</t>
        </is>
      </c>
      <c r="O5346" t="inlineStr"/>
    </row>
    <row r="5347">
      <c r="A5347">
        <f>HYPERLINK("https://mathstats.uncg.edu/sites/pauli/congruence/csg18.html#group48N18", "48N¹⁸")</f>
        <v/>
      </c>
      <c r="B5347" t="n">
        <v>18</v>
      </c>
      <c r="C5347" t="inlineStr"/>
      <c r="D5347" t="inlineStr">
        <is>
          <t>288</t>
        </is>
      </c>
      <c r="E5347" t="inlineStr">
        <is>
          <t>1</t>
        </is>
      </c>
      <c r="F5347" t="inlineStr">
        <is>
          <t>72</t>
        </is>
      </c>
      <c r="G5347" t="inlineStr">
        <is>
          <t>12</t>
        </is>
      </c>
      <c r="H5347" t="inlineStr">
        <is>
          <t>0</t>
        </is>
      </c>
      <c r="I5347" t="inlineStr">
        <is>
          <t>24⁴, 48⁴</t>
        </is>
      </c>
      <c r="J5347" t="n">
        <v>8</v>
      </c>
      <c r="K5347" t="inlineStr">
        <is>
          <t>2², 4⁷, 8⁵</t>
        </is>
      </c>
      <c r="L5347" t="inlineStr">
        <is>
          <t>24AB⁷, 48P⁷, 48R⁸</t>
        </is>
      </c>
      <c r="M5347" t="inlineStr"/>
      <c r="N5347" t="inlineStr">
        <is>
          <t>24O⁴, 12C⁰, 16I¹, 48R⁸, 8D⁰, 4C⁰, 48P⁷, 8B⁰, 2B⁰, 24B¹, 24L², 1A⁰, 48H³, 8H⁰, 16E⁰, 12A⁰, 48E⁴, 24A⁰, 4A⁰, 16C¹, 24C¹, 24AB⁷, 12J¹, 4F⁰, 24R³, 3A⁰, 48D³, 6D⁰</t>
        </is>
      </c>
      <c r="O5347" t="inlineStr"/>
    </row>
    <row r="5348">
      <c r="A5348">
        <f>HYPERLINK("https://mathstats.uncg.edu/sites/pauli/congruence/csg18.html#group48O18", "48O¹⁸")</f>
        <v/>
      </c>
      <c r="B5348" t="n">
        <v>18</v>
      </c>
      <c r="C5348" t="inlineStr"/>
      <c r="D5348" t="inlineStr">
        <is>
          <t>288</t>
        </is>
      </c>
      <c r="E5348" t="inlineStr">
        <is>
          <t>1</t>
        </is>
      </c>
      <c r="F5348" t="inlineStr">
        <is>
          <t>72</t>
        </is>
      </c>
      <c r="G5348" t="inlineStr">
        <is>
          <t>12</t>
        </is>
      </c>
      <c r="H5348" t="inlineStr">
        <is>
          <t>0</t>
        </is>
      </c>
      <c r="I5348" t="inlineStr">
        <is>
          <t>24⁴, 48⁴</t>
        </is>
      </c>
      <c r="J5348" t="n">
        <v>8</v>
      </c>
      <c r="K5348" t="inlineStr">
        <is>
          <t>2², 4⁷, 8⁵</t>
        </is>
      </c>
      <c r="L5348" t="inlineStr">
        <is>
          <t>24AB⁷, 48AC⁷, 48F⁸</t>
        </is>
      </c>
      <c r="M5348" t="inlineStr"/>
      <c r="N5348" t="inlineStr">
        <is>
          <t>24O⁴, 48F⁸, 12C⁰, 48G³, 48AC⁷, 48H⁴, 8D⁰, 4C⁰, 8B⁰, 2B⁰, 24B¹, 24L², 1A⁰, 16E², 8H⁰, 12A⁰, 16D¹, 24A⁰, 48E³, 4A⁰, 24C¹, 24AB⁷, 12J¹, 4F⁰, 24R³, 3A⁰, 6D⁰</t>
        </is>
      </c>
      <c r="O5348" t="inlineStr"/>
    </row>
    <row r="5349">
      <c r="A5349">
        <f>HYPERLINK("https://mathstats.uncg.edu/sites/pauli/congruence/csg18.html#group48P18", "48P¹⁸")</f>
        <v/>
      </c>
      <c r="B5349" t="n">
        <v>18</v>
      </c>
      <c r="C5349" t="inlineStr"/>
      <c r="D5349" t="inlineStr">
        <is>
          <t>288</t>
        </is>
      </c>
      <c r="E5349" t="inlineStr">
        <is>
          <t>1</t>
        </is>
      </c>
      <c r="F5349" t="inlineStr">
        <is>
          <t>72</t>
        </is>
      </c>
      <c r="G5349" t="inlineStr">
        <is>
          <t>12</t>
        </is>
      </c>
      <c r="H5349" t="inlineStr">
        <is>
          <t>0</t>
        </is>
      </c>
      <c r="I5349" t="inlineStr">
        <is>
          <t>24⁴, 48⁴</t>
        </is>
      </c>
      <c r="J5349" t="n">
        <v>8</v>
      </c>
      <c r="K5349" t="inlineStr">
        <is>
          <t>2², 4⁷, 8⁵</t>
        </is>
      </c>
      <c r="L5349" t="inlineStr">
        <is>
          <t>24AC⁷, 48O⁷, 48R⁸</t>
        </is>
      </c>
      <c r="M5349" t="inlineStr"/>
      <c r="N5349" t="inlineStr">
        <is>
          <t>12C⁰, 24AC⁷, 48R⁸, 8D⁰, 4C⁰, 8B⁰, 2B⁰, 24L², 1A⁰, 48H³, 8H⁰, 12A⁰, 24A⁰, 4A⁰, 24C¹, 12J¹, 4F⁰, 3A⁰, 48O⁷, 16H¹, 6D⁰</t>
        </is>
      </c>
      <c r="O5349" t="inlineStr"/>
    </row>
    <row r="5350">
      <c r="A5350">
        <f>HYPERLINK("https://mathstats.uncg.edu/sites/pauli/congruence/csg18.html#group48Q18", "48Q¹⁸")</f>
        <v/>
      </c>
      <c r="B5350" t="n">
        <v>18</v>
      </c>
      <c r="C5350" t="inlineStr"/>
      <c r="D5350" t="inlineStr">
        <is>
          <t>288</t>
        </is>
      </c>
      <c r="E5350" t="inlineStr">
        <is>
          <t>1</t>
        </is>
      </c>
      <c r="F5350" t="inlineStr">
        <is>
          <t>72</t>
        </is>
      </c>
      <c r="G5350" t="inlineStr">
        <is>
          <t>12</t>
        </is>
      </c>
      <c r="H5350" t="inlineStr">
        <is>
          <t>0</t>
        </is>
      </c>
      <c r="I5350" t="inlineStr">
        <is>
          <t>24⁴, 48⁴</t>
        </is>
      </c>
      <c r="J5350" t="n">
        <v>8</v>
      </c>
      <c r="K5350" t="inlineStr">
        <is>
          <t>2², 4⁷, 8⁵</t>
        </is>
      </c>
      <c r="L5350" t="inlineStr">
        <is>
          <t>24AC⁷, 48AB⁷, 48F⁸</t>
        </is>
      </c>
      <c r="M5350" t="inlineStr"/>
      <c r="N5350" t="inlineStr">
        <is>
          <t>48F⁸, 12C⁰, 24AC⁷, 8D⁰, 4C⁰, 8B⁰, 2B⁰, 24L², 1A⁰, 16E², 8H⁰, 48AB⁷, 12A⁰, 16D¹, 24A⁰, 48E³, 4A⁰, 24C¹, 12J¹, 4F⁰, 3A⁰, 6D⁰</t>
        </is>
      </c>
      <c r="O5350" t="inlineStr"/>
    </row>
    <row r="5351">
      <c r="A5351">
        <f>HYPERLINK("https://mathstats.uncg.edu/sites/pauli/congruence/csg18.html#group48R18", "48R¹⁸")</f>
        <v/>
      </c>
      <c r="B5351" t="n">
        <v>18</v>
      </c>
      <c r="C5351" t="inlineStr"/>
      <c r="D5351" t="inlineStr">
        <is>
          <t>288</t>
        </is>
      </c>
      <c r="E5351" t="inlineStr">
        <is>
          <t>2</t>
        </is>
      </c>
      <c r="F5351" t="inlineStr">
        <is>
          <t>72</t>
        </is>
      </c>
      <c r="G5351" t="inlineStr">
        <is>
          <t>8</t>
        </is>
      </c>
      <c r="H5351" t="inlineStr">
        <is>
          <t>0</t>
        </is>
      </c>
      <c r="I5351" t="inlineStr">
        <is>
          <t>24⁸, 48²</t>
        </is>
      </c>
      <c r="J5351" t="n">
        <v>10</v>
      </c>
      <c r="K5351" t="inlineStr">
        <is>
          <t>8⁶, 16⁶</t>
        </is>
      </c>
      <c r="L5351" t="inlineStr">
        <is>
          <t>24K⁸, 48U⁸, 48V⁸</t>
        </is>
      </c>
      <c r="M5351" t="inlineStr"/>
      <c r="N5351" t="inlineStr">
        <is>
          <t>24O⁴, 24E¹, 12C⁰, 4C⁰, 24D¹, 48U⁸, 2B⁰, 24P³, 24B¹, 48V⁸, 1A⁰, 8K⁰, 24J³, 12A⁰, 4A⁰, 24K⁸, 12J¹, 4F⁰, 3A⁰, 6D⁰</t>
        </is>
      </c>
      <c r="O5351" t="inlineStr"/>
    </row>
    <row r="5352">
      <c r="A5352">
        <f>HYPERLINK("https://mathstats.uncg.edu/sites/pauli/congruence/csg18.html#group48S18", "48S¹⁸")</f>
        <v/>
      </c>
      <c r="B5352" t="n">
        <v>18</v>
      </c>
      <c r="C5352" t="inlineStr"/>
      <c r="D5352" t="inlineStr">
        <is>
          <t>288</t>
        </is>
      </c>
      <c r="E5352" t="inlineStr">
        <is>
          <t>2</t>
        </is>
      </c>
      <c r="F5352" t="inlineStr">
        <is>
          <t>72</t>
        </is>
      </c>
      <c r="G5352" t="inlineStr">
        <is>
          <t>12</t>
        </is>
      </c>
      <c r="H5352" t="inlineStr">
        <is>
          <t>0</t>
        </is>
      </c>
      <c r="I5352" t="inlineStr">
        <is>
          <t>24⁴, 48⁴</t>
        </is>
      </c>
      <c r="J5352" t="n">
        <v>8</v>
      </c>
      <c r="K5352" t="inlineStr">
        <is>
          <t>4⁶, 8¹⁵</t>
        </is>
      </c>
      <c r="L5352" t="inlineStr">
        <is>
          <t>24AB⁷, 48AC⁷, 48R⁸</t>
        </is>
      </c>
      <c r="M5352" t="inlineStr"/>
      <c r="N5352" t="inlineStr">
        <is>
          <t>24O⁴, 12C⁰, 48G³, 48R⁸, 48AC⁷, 8D⁰, 48H⁴, 4C⁰, 8B⁰, 2B⁰, 24B¹, 24L², 1A⁰, 48H³, 8H⁰, 12A⁰, 24A⁰, 4A⁰, 24C¹, 24AB⁷, 12J¹, 4F⁰, 24R³, 3A⁰, 6D⁰</t>
        </is>
      </c>
      <c r="O5352" t="inlineStr"/>
    </row>
    <row r="5353">
      <c r="A5353">
        <f>HYPERLINK("https://mathstats.uncg.edu/sites/pauli/congruence/csg18.html#group48T18", "48T¹⁸")</f>
        <v/>
      </c>
      <c r="B5353" t="n">
        <v>18</v>
      </c>
      <c r="C5353" t="inlineStr"/>
      <c r="D5353" t="inlineStr">
        <is>
          <t>288</t>
        </is>
      </c>
      <c r="E5353" t="inlineStr">
        <is>
          <t>2</t>
        </is>
      </c>
      <c r="F5353" t="inlineStr">
        <is>
          <t>72</t>
        </is>
      </c>
      <c r="G5353" t="inlineStr">
        <is>
          <t>12</t>
        </is>
      </c>
      <c r="H5353" t="inlineStr">
        <is>
          <t>0</t>
        </is>
      </c>
      <c r="I5353" t="inlineStr">
        <is>
          <t>24⁴, 48⁴</t>
        </is>
      </c>
      <c r="J5353" t="n">
        <v>8</v>
      </c>
      <c r="K5353" t="inlineStr">
        <is>
          <t>4⁶, 8¹⁵</t>
        </is>
      </c>
      <c r="L5353" t="inlineStr">
        <is>
          <t>24AC⁷, 48AB⁷, 48R⁸</t>
        </is>
      </c>
      <c r="M5353" t="inlineStr"/>
      <c r="N5353" t="inlineStr">
        <is>
          <t>12C⁰, 24AC⁷, 48R⁸, 8D⁰, 4C⁰, 8B⁰, 2B⁰, 24L², 1A⁰, 48H³, 8H⁰, 48AB⁷, 12A⁰, 24A⁰, 4A⁰, 24C¹, 12J¹, 4F⁰, 3A⁰, 6D⁰</t>
        </is>
      </c>
      <c r="O5353" t="inlineStr"/>
    </row>
    <row r="5354">
      <c r="A5354">
        <f>HYPERLINK("https://mathstats.uncg.edu/sites/pauli/congruence/csg18.html#group49A18", "49A¹⁸")</f>
        <v/>
      </c>
      <c r="B5354" t="n">
        <v>18</v>
      </c>
      <c r="C5354" t="inlineStr"/>
      <c r="D5354" t="inlineStr">
        <is>
          <t>294</t>
        </is>
      </c>
      <c r="E5354" t="inlineStr">
        <is>
          <t>2</t>
        </is>
      </c>
      <c r="F5354" t="inlineStr">
        <is>
          <t>147</t>
        </is>
      </c>
      <c r="G5354" t="inlineStr">
        <is>
          <t>18</t>
        </is>
      </c>
      <c r="H5354" t="inlineStr">
        <is>
          <t>0</t>
        </is>
      </c>
      <c r="I5354" t="inlineStr">
        <is>
          <t>49⁶</t>
        </is>
      </c>
      <c r="J5354" t="n">
        <v>6</v>
      </c>
      <c r="K5354" t="inlineStr">
        <is>
          <t>6⁷, 42⁶</t>
        </is>
      </c>
      <c r="L5354" t="inlineStr">
        <is>
          <t>7G⁰, 49A⁹</t>
        </is>
      </c>
      <c r="M5354" t="inlineStr"/>
      <c r="N5354" t="inlineStr">
        <is>
          <t>7G⁰, 7D⁰, 1A⁰, 49A⁹, 7C⁰, 7A⁰</t>
        </is>
      </c>
      <c r="O5354" t="inlineStr"/>
    </row>
    <row r="5355">
      <c r="A5355">
        <f>HYPERLINK("https://mathstats.uncg.edu/sites/pauli/congruence/csg18.html#group50A18", "50A¹⁸")</f>
        <v/>
      </c>
      <c r="B5355" t="n">
        <v>18</v>
      </c>
      <c r="C5355" t="inlineStr"/>
      <c r="D5355" t="inlineStr">
        <is>
          <t>300</t>
        </is>
      </c>
      <c r="E5355" t="inlineStr">
        <is>
          <t>1</t>
        </is>
      </c>
      <c r="F5355" t="inlineStr">
        <is>
          <t>75</t>
        </is>
      </c>
      <c r="G5355" t="inlineStr">
        <is>
          <t>4</t>
        </is>
      </c>
      <c r="H5355" t="inlineStr">
        <is>
          <t>0</t>
        </is>
      </c>
      <c r="I5355" t="inlineStr">
        <is>
          <t>10¹⁰, 50⁴</t>
        </is>
      </c>
      <c r="J5355" t="n">
        <v>14</v>
      </c>
      <c r="K5355" t="inlineStr">
        <is>
          <t>2², 4⁴, 10¹, 20⁶</t>
        </is>
      </c>
      <c r="L5355" t="inlineStr">
        <is>
          <t>10C², 25E⁶, 50A⁷, 50E⁹</t>
        </is>
      </c>
      <c r="M5355" t="inlineStr"/>
      <c r="N5355" t="inlineStr">
        <is>
          <t>25F², 5A⁰, 10D⁰, 10C², 5B⁰, 5E⁰, 1A⁰, 25E⁶, 50E⁹, 10E¹, 5C⁰, 50A⁷, 5G⁰, 10B⁰</t>
        </is>
      </c>
      <c r="O5355" t="inlineStr"/>
    </row>
    <row r="5356">
      <c r="A5356">
        <f>HYPERLINK("https://mathstats.uncg.edu/sites/pauli/congruence/csg18.html#group50B18", "50B¹⁸")</f>
        <v/>
      </c>
      <c r="B5356" t="n">
        <v>18</v>
      </c>
      <c r="C5356" t="inlineStr"/>
      <c r="D5356" t="inlineStr">
        <is>
          <t>300</t>
        </is>
      </c>
      <c r="E5356" t="inlineStr">
        <is>
          <t>1</t>
        </is>
      </c>
      <c r="F5356" t="inlineStr">
        <is>
          <t>75</t>
        </is>
      </c>
      <c r="G5356" t="inlineStr">
        <is>
          <t>4</t>
        </is>
      </c>
      <c r="H5356" t="inlineStr">
        <is>
          <t>0</t>
        </is>
      </c>
      <c r="I5356" t="inlineStr">
        <is>
          <t>10¹⁰, 50⁴</t>
        </is>
      </c>
      <c r="J5356" t="n">
        <v>14</v>
      </c>
      <c r="K5356" t="inlineStr">
        <is>
          <t>2², 4⁴, 10¹, 20⁶</t>
        </is>
      </c>
      <c r="L5356" t="inlineStr">
        <is>
          <t>10C², 25F⁶, 50B⁷, 50E⁹</t>
        </is>
      </c>
      <c r="M5356" t="inlineStr"/>
      <c r="N5356" t="inlineStr">
        <is>
          <t>25F², 50B⁷, 5A⁰, 10D⁰, 10C², 5B⁰, 5E⁰, 25F⁶, 1A⁰, 50E⁹, 10E¹, 5C⁰, 5G⁰, 10B⁰</t>
        </is>
      </c>
      <c r="O5356" t="inlineStr"/>
    </row>
    <row r="5357">
      <c r="A5357">
        <f>HYPERLINK("https://mathstats.uncg.edu/sites/pauli/congruence/csg18.html#group55A18", "55A¹⁸")</f>
        <v/>
      </c>
      <c r="B5357" t="n">
        <v>18</v>
      </c>
      <c r="C5357" t="inlineStr"/>
      <c r="D5357" t="inlineStr">
        <is>
          <t>275</t>
        </is>
      </c>
      <c r="E5357" t="inlineStr">
        <is>
          <t>1</t>
        </is>
      </c>
      <c r="F5357" t="inlineStr">
        <is>
          <t>275</t>
        </is>
      </c>
      <c r="G5357" t="inlineStr">
        <is>
          <t>3</t>
        </is>
      </c>
      <c r="H5357" t="inlineStr">
        <is>
          <t>8</t>
        </is>
      </c>
      <c r="I5357" t="inlineStr">
        <is>
          <t>55⁵</t>
        </is>
      </c>
      <c r="J5357" t="n">
        <v>5</v>
      </c>
      <c r="K5357" t="inlineStr">
        <is>
          <t>5¹, 10⁵, 20¹, 40⁵</t>
        </is>
      </c>
      <c r="L5357" t="inlineStr">
        <is>
          <t>11B¹, 55A³</t>
        </is>
      </c>
      <c r="M5357" t="inlineStr"/>
      <c r="N5357" t="inlineStr">
        <is>
          <t>11A⁰, 55A³, 5A⁰, 11B¹, 1A⁰</t>
        </is>
      </c>
      <c r="O5357" t="inlineStr"/>
    </row>
    <row r="5358">
      <c r="A5358">
        <f>HYPERLINK("https://mathstats.uncg.edu/sites/pauli/congruence/csg18.html#group56A18", "56A¹⁸")</f>
        <v/>
      </c>
      <c r="B5358" t="n">
        <v>18</v>
      </c>
      <c r="C5358" t="inlineStr"/>
      <c r="D5358" t="inlineStr">
        <is>
          <t>252</t>
        </is>
      </c>
      <c r="E5358" t="inlineStr">
        <is>
          <t>1</t>
        </is>
      </c>
      <c r="F5358" t="inlineStr">
        <is>
          <t>63</t>
        </is>
      </c>
      <c r="G5358" t="inlineStr">
        <is>
          <t>4</t>
        </is>
      </c>
      <c r="H5358" t="inlineStr">
        <is>
          <t>0</t>
        </is>
      </c>
      <c r="I5358" t="inlineStr">
        <is>
          <t>28³, 56³</t>
        </is>
      </c>
      <c r="J5358" t="n">
        <v>6</v>
      </c>
      <c r="K5358" t="inlineStr">
        <is>
          <t>3³, 6⁹</t>
        </is>
      </c>
      <c r="L5358" t="inlineStr">
        <is>
          <t>28I⁶</t>
        </is>
      </c>
      <c r="M5358" t="inlineStr"/>
      <c r="N5358" t="inlineStr">
        <is>
          <t>28C², 7D⁰, 14B¹, 4C⁰, 14F², 2B⁰, 28I⁶, 1A⁰, 7A⁰</t>
        </is>
      </c>
      <c r="O5358" t="inlineStr"/>
    </row>
    <row r="5359">
      <c r="A5359">
        <f>HYPERLINK("https://mathstats.uncg.edu/sites/pauli/congruence/csg18.html#group60A18", "60A¹⁸")</f>
        <v/>
      </c>
      <c r="B5359" t="n">
        <v>18</v>
      </c>
      <c r="C5359" t="inlineStr"/>
      <c r="D5359" t="inlineStr">
        <is>
          <t>240</t>
        </is>
      </c>
      <c r="E5359" t="inlineStr">
        <is>
          <t>1</t>
        </is>
      </c>
      <c r="F5359" t="inlineStr">
        <is>
          <t>20</t>
        </is>
      </c>
      <c r="G5359" t="inlineStr">
        <is>
          <t>0</t>
        </is>
      </c>
      <c r="H5359" t="inlineStr">
        <is>
          <t>0</t>
        </is>
      </c>
      <c r="I5359" t="inlineStr">
        <is>
          <t>20³, 60³</t>
        </is>
      </c>
      <c r="J5359" t="n">
        <v>6</v>
      </c>
      <c r="K5359" t="inlineStr">
        <is>
          <t>1², 2¹, 4², 8¹</t>
        </is>
      </c>
      <c r="L5359" t="inlineStr">
        <is>
          <t>60B⁴, 30A⁸</t>
        </is>
      </c>
      <c r="M5359" t="inlineStr"/>
      <c r="N5359" t="inlineStr">
        <is>
          <t>3B⁰, 15A³, 5A⁰, 30A⁸, 2A⁰, 10A², 10A⁰, 30D², 60B⁴, 6C⁰, 5E⁰, 15B¹, 1A⁰, 12B⁰</t>
        </is>
      </c>
      <c r="O5359" t="inlineStr"/>
    </row>
    <row r="5360">
      <c r="A5360">
        <f>HYPERLINK("https://mathstats.uncg.edu/sites/pauli/congruence/csg18.html#group60B18", "60B¹⁸")</f>
        <v/>
      </c>
      <c r="B5360" t="n">
        <v>18</v>
      </c>
      <c r="C5360" t="inlineStr"/>
      <c r="D5360" t="inlineStr">
        <is>
          <t>240</t>
        </is>
      </c>
      <c r="E5360" t="inlineStr">
        <is>
          <t>1</t>
        </is>
      </c>
      <c r="F5360" t="inlineStr">
        <is>
          <t>20</t>
        </is>
      </c>
      <c r="G5360" t="inlineStr">
        <is>
          <t>0</t>
        </is>
      </c>
      <c r="H5360" t="inlineStr">
        <is>
          <t>0</t>
        </is>
      </c>
      <c r="I5360" t="inlineStr">
        <is>
          <t>20³, 60³</t>
        </is>
      </c>
      <c r="J5360" t="n">
        <v>6</v>
      </c>
      <c r="K5360" t="inlineStr">
        <is>
          <t>1², 2¹, 4², 8¹</t>
        </is>
      </c>
      <c r="L5360" t="inlineStr">
        <is>
          <t>12F², 60B⁴, 30B⁸</t>
        </is>
      </c>
      <c r="M5360" t="inlineStr"/>
      <c r="N5360" t="inlineStr">
        <is>
          <t>3B⁰, 2A⁰, 5A⁰, 6I⁰, 10B¹, 6C⁰, 60B⁴, 30D², 2B⁰, 10B², 1A⁰, 12F², 10A⁰, 30B⁸, 30D⁴, 15B¹, 6F⁰, 2C⁰, 12B⁰</t>
        </is>
      </c>
      <c r="O5360" t="inlineStr"/>
    </row>
    <row r="5361">
      <c r="A5361">
        <f>HYPERLINK("https://mathstats.uncg.edu/sites/pauli/congruence/csg18.html#group60C18", "60C¹⁸")</f>
        <v/>
      </c>
      <c r="B5361" t="n">
        <v>18</v>
      </c>
      <c r="C5361" t="inlineStr"/>
      <c r="D5361" t="inlineStr">
        <is>
          <t>240</t>
        </is>
      </c>
      <c r="E5361" t="inlineStr">
        <is>
          <t>1</t>
        </is>
      </c>
      <c r="F5361" t="inlineStr">
        <is>
          <t>60</t>
        </is>
      </c>
      <c r="G5361" t="inlineStr">
        <is>
          <t>0</t>
        </is>
      </c>
      <c r="H5361" t="inlineStr">
        <is>
          <t>0</t>
        </is>
      </c>
      <c r="I5361" t="inlineStr">
        <is>
          <t>20³, 60³</t>
        </is>
      </c>
      <c r="J5361" t="n">
        <v>6</v>
      </c>
      <c r="K5361" t="inlineStr">
        <is>
          <t>1², 2³, 4⁷, 8³</t>
        </is>
      </c>
      <c r="L5361" t="inlineStr">
        <is>
          <t>30A⁸</t>
        </is>
      </c>
      <c r="M5361" t="inlineStr"/>
      <c r="N5361" t="inlineStr">
        <is>
          <t>3B⁰, 15A³, 5A⁰, 30A⁸, 2A⁰, 10A², 10A⁰, 30D², 6C⁰, 5E⁰, 15B¹, 1A⁰</t>
        </is>
      </c>
      <c r="O5361" t="inlineStr"/>
    </row>
    <row r="5362">
      <c r="A5362">
        <f>HYPERLINK("https://mathstats.uncg.edu/sites/pauli/congruence/csg18.html#group60D18", "60D¹⁸")</f>
        <v/>
      </c>
      <c r="B5362" t="n">
        <v>18</v>
      </c>
      <c r="C5362" t="inlineStr"/>
      <c r="D5362" t="inlineStr">
        <is>
          <t>240</t>
        </is>
      </c>
      <c r="E5362" t="inlineStr">
        <is>
          <t>1</t>
        </is>
      </c>
      <c r="F5362" t="inlineStr">
        <is>
          <t>80</t>
        </is>
      </c>
      <c r="G5362" t="inlineStr">
        <is>
          <t>0</t>
        </is>
      </c>
      <c r="H5362" t="inlineStr">
        <is>
          <t>0</t>
        </is>
      </c>
      <c r="I5362" t="inlineStr">
        <is>
          <t>20³, 60³</t>
        </is>
      </c>
      <c r="J5362" t="n">
        <v>6</v>
      </c>
      <c r="K5362" t="inlineStr">
        <is>
          <t>2⁴, 4², 8⁴, 16²</t>
        </is>
      </c>
      <c r="L5362" t="inlineStr">
        <is>
          <t>15A³, 20D³, 60A⁶</t>
        </is>
      </c>
      <c r="M5362" t="inlineStr"/>
      <c r="N5362" t="inlineStr">
        <is>
          <t>3B⁰, 15A³, 5A⁰, 4A⁰, 12A¹, 15B¹, 5E⁰, 20A¹, 60A⁶, 1A⁰, 20D³</t>
        </is>
      </c>
      <c r="O5362" t="inlineStr"/>
    </row>
    <row r="5363">
      <c r="A5363">
        <f>HYPERLINK("https://mathstats.uncg.edu/sites/pauli/congruence/csg18.html#group60E18", "60E¹⁸")</f>
        <v/>
      </c>
      <c r="B5363" t="n">
        <v>18</v>
      </c>
      <c r="C5363" t="inlineStr"/>
      <c r="D5363" t="inlineStr">
        <is>
          <t>240</t>
        </is>
      </c>
      <c r="E5363" t="inlineStr">
        <is>
          <t>1</t>
        </is>
      </c>
      <c r="F5363" t="inlineStr">
        <is>
          <t>80</t>
        </is>
      </c>
      <c r="G5363" t="inlineStr">
        <is>
          <t>0</t>
        </is>
      </c>
      <c r="H5363" t="inlineStr">
        <is>
          <t>3</t>
        </is>
      </c>
      <c r="I5363" t="inlineStr">
        <is>
          <t>60⁴</t>
        </is>
      </c>
      <c r="J5363" t="n">
        <v>4</v>
      </c>
      <c r="K5363" t="inlineStr">
        <is>
          <t>8², 16⁴</t>
        </is>
      </c>
      <c r="L5363" t="inlineStr">
        <is>
          <t>12E¹, 30B⁴, 20A⁵</t>
        </is>
      </c>
      <c r="M5363" t="inlineStr"/>
      <c r="N5363" t="inlineStr">
        <is>
          <t>2A⁰, 30B⁴, 6A⁰, 4A⁰, 4D⁰, 12E¹, 10C¹, 1A⁰, 20A⁵, 5C⁰, 20E²</t>
        </is>
      </c>
      <c r="O5363" t="inlineStr"/>
    </row>
    <row r="5364">
      <c r="A5364">
        <f>HYPERLINK("https://mathstats.uncg.edu/sites/pauli/congruence/csg18.html#group60F18", "60F¹⁸")</f>
        <v/>
      </c>
      <c r="B5364" t="n">
        <v>18</v>
      </c>
      <c r="C5364" t="inlineStr"/>
      <c r="D5364" t="inlineStr">
        <is>
          <t>240</t>
        </is>
      </c>
      <c r="E5364" t="inlineStr">
        <is>
          <t>1</t>
        </is>
      </c>
      <c r="F5364" t="inlineStr">
        <is>
          <t>80</t>
        </is>
      </c>
      <c r="G5364" t="inlineStr">
        <is>
          <t>0</t>
        </is>
      </c>
      <c r="H5364" t="inlineStr">
        <is>
          <t>3</t>
        </is>
      </c>
      <c r="I5364" t="inlineStr">
        <is>
          <t>60⁴</t>
        </is>
      </c>
      <c r="J5364" t="n">
        <v>4</v>
      </c>
      <c r="K5364" t="inlineStr">
        <is>
          <t>8², 16⁴</t>
        </is>
      </c>
      <c r="L5364" t="inlineStr">
        <is>
          <t>15B³, 60A³, 20B⁵</t>
        </is>
      </c>
      <c r="M5364" t="inlineStr"/>
      <c r="N5364" t="inlineStr">
        <is>
          <t>5A⁰, 4A⁰, 20B⁵, 5F⁰, 15B³, 20A¹, 1A⁰, 15A⁰, 5C⁰, 20E², 60A³</t>
        </is>
      </c>
      <c r="O5364" t="inlineStr"/>
    </row>
    <row r="5365">
      <c r="A5365">
        <f>HYPERLINK("https://mathstats.uncg.edu/sites/pauli/congruence/csg18.html#group60G18", "60G¹⁸")</f>
        <v/>
      </c>
      <c r="B5365" t="n">
        <v>18</v>
      </c>
      <c r="C5365" t="inlineStr"/>
      <c r="D5365" t="inlineStr">
        <is>
          <t>240</t>
        </is>
      </c>
      <c r="E5365" t="inlineStr">
        <is>
          <t>1</t>
        </is>
      </c>
      <c r="F5365" t="inlineStr">
        <is>
          <t>120</t>
        </is>
      </c>
      <c r="G5365" t="inlineStr">
        <is>
          <t>0</t>
        </is>
      </c>
      <c r="H5365" t="inlineStr">
        <is>
          <t>0</t>
        </is>
      </c>
      <c r="I5365" t="inlineStr">
        <is>
          <t>20³, 60³</t>
        </is>
      </c>
      <c r="J5365" t="n">
        <v>6</v>
      </c>
      <c r="K5365" t="inlineStr">
        <is>
          <t>1⁴, 2⁶, 4⁶, 8⁶, 16²</t>
        </is>
      </c>
      <c r="L5365" t="inlineStr">
        <is>
          <t>12G², 20C⁴, 60A⁶, 60B⁹</t>
        </is>
      </c>
      <c r="M5365" t="inlineStr"/>
      <c r="N5365" t="inlineStr">
        <is>
          <t>3B⁰, 5A⁰, 60B⁹, 12F¹, 10B¹, 20B², 4C⁰, 20A¹, 20C⁴, 2B⁰, 60A⁶, 1A⁰, 30D⁴, 4A⁰, 12A¹, 15B¹, 12G², 4F⁰, 6F⁰</t>
        </is>
      </c>
      <c r="O5365" t="inlineStr"/>
    </row>
    <row r="5366">
      <c r="A5366">
        <f>HYPERLINK("https://mathstats.uncg.edu/sites/pauli/congruence/csg18.html#group60H18", "60H¹⁸")</f>
        <v/>
      </c>
      <c r="B5366" t="n">
        <v>18</v>
      </c>
      <c r="C5366" t="inlineStr"/>
      <c r="D5366" t="inlineStr">
        <is>
          <t>240</t>
        </is>
      </c>
      <c r="E5366" t="inlineStr">
        <is>
          <t>1</t>
        </is>
      </c>
      <c r="F5366" t="inlineStr">
        <is>
          <t>240</t>
        </is>
      </c>
      <c r="G5366" t="inlineStr">
        <is>
          <t>0</t>
        </is>
      </c>
      <c r="H5366" t="inlineStr">
        <is>
          <t>3</t>
        </is>
      </c>
      <c r="I5366" t="inlineStr">
        <is>
          <t>60⁴</t>
        </is>
      </c>
      <c r="J5366" t="n">
        <v>4</v>
      </c>
      <c r="K5366" t="inlineStr">
        <is>
          <t>8⁶, 16¹²</t>
        </is>
      </c>
      <c r="L5366" t="inlineStr">
        <is>
          <t>12H¹, 30B⁴</t>
        </is>
      </c>
      <c r="M5366" t="inlineStr"/>
      <c r="N5366" t="inlineStr">
        <is>
          <t>2A⁰, 10C¹, 30B⁴, 12H¹, 6A⁰, 1A⁰, 5C⁰</t>
        </is>
      </c>
      <c r="O5366" t="inlineStr"/>
    </row>
    <row r="5367">
      <c r="A5367">
        <f>HYPERLINK("https://mathstats.uncg.edu/sites/pauli/congruence/csg18.html#group60I18", "60I¹⁸")</f>
        <v/>
      </c>
      <c r="B5367" t="n">
        <v>18</v>
      </c>
      <c r="C5367" t="inlineStr"/>
      <c r="D5367" t="inlineStr">
        <is>
          <t>240</t>
        </is>
      </c>
      <c r="E5367" t="inlineStr">
        <is>
          <t>2</t>
        </is>
      </c>
      <c r="F5367" t="inlineStr">
        <is>
          <t>80</t>
        </is>
      </c>
      <c r="G5367" t="inlineStr">
        <is>
          <t>0</t>
        </is>
      </c>
      <c r="H5367" t="inlineStr">
        <is>
          <t>3</t>
        </is>
      </c>
      <c r="I5367" t="inlineStr">
        <is>
          <t>60⁴</t>
        </is>
      </c>
      <c r="J5367" t="n">
        <v>4</v>
      </c>
      <c r="K5367" t="inlineStr">
        <is>
          <t>4⁴, 8², 16⁸</t>
        </is>
      </c>
      <c r="L5367" t="inlineStr">
        <is>
          <t>15D³, 60A³, 60A⁶</t>
        </is>
      </c>
      <c r="M5367" t="inlineStr"/>
      <c r="N5367" t="inlineStr">
        <is>
          <t>3B⁰, 5A⁰, 15D³, 4A⁰, 12A¹, 15B¹, 20A¹, 15A⁰, 60A⁶, 1A⁰, 60A³</t>
        </is>
      </c>
      <c r="O5367" t="inlineStr"/>
    </row>
    <row r="5368">
      <c r="A5368">
        <f>HYPERLINK("https://mathstats.uncg.edu/sites/pauli/congruence/csg18.html#group60J18", "60J¹⁸")</f>
        <v/>
      </c>
      <c r="B5368" t="n">
        <v>18</v>
      </c>
      <c r="C5368" t="inlineStr"/>
      <c r="D5368" t="inlineStr">
        <is>
          <t>270</t>
        </is>
      </c>
      <c r="E5368" t="inlineStr">
        <is>
          <t>1</t>
        </is>
      </c>
      <c r="F5368" t="inlineStr">
        <is>
          <t>135</t>
        </is>
      </c>
      <c r="G5368" t="inlineStr">
        <is>
          <t>10</t>
        </is>
      </c>
      <c r="H5368" t="inlineStr">
        <is>
          <t>0</t>
        </is>
      </c>
      <c r="I5368" t="inlineStr">
        <is>
          <t>30³, 60³</t>
        </is>
      </c>
      <c r="J5368" t="n">
        <v>6</v>
      </c>
      <c r="K5368" t="inlineStr">
        <is>
          <t>1³, 2⁶, 4¹², 8⁹</t>
        </is>
      </c>
      <c r="L5368" t="inlineStr">
        <is>
          <t>30P⁷</t>
        </is>
      </c>
      <c r="M5368" t="inlineStr"/>
      <c r="N5368" t="inlineStr">
        <is>
          <t>30P⁷, 30D³, 5A⁰, 10I¹, 30E³, 15A¹, 10B¹, 15F¹, 5E⁰, 2B⁰, 3A⁰, 1A⁰, 6D⁰, 15A⁰</t>
        </is>
      </c>
      <c r="O5368" t="inlineStr"/>
    </row>
    <row r="5369">
      <c r="A5369">
        <f>HYPERLINK("https://mathstats.uncg.edu/sites/pauli/congruence/csg18.html#group63A18", "63A¹⁸")</f>
        <v/>
      </c>
      <c r="B5369" t="n">
        <v>18</v>
      </c>
      <c r="C5369" t="inlineStr"/>
      <c r="D5369" t="inlineStr">
        <is>
          <t>252</t>
        </is>
      </c>
      <c r="E5369" t="inlineStr">
        <is>
          <t>2</t>
        </is>
      </c>
      <c r="F5369" t="inlineStr">
        <is>
          <t>42</t>
        </is>
      </c>
      <c r="G5369" t="inlineStr">
        <is>
          <t>0</t>
        </is>
      </c>
      <c r="H5369" t="inlineStr">
        <is>
          <t>0</t>
        </is>
      </c>
      <c r="I5369" t="inlineStr">
        <is>
          <t>21⁶, 63²</t>
        </is>
      </c>
      <c r="J5369" t="n">
        <v>8</v>
      </c>
      <c r="K5369" t="inlineStr">
        <is>
          <t>2², 4², 6⁴, 12⁴</t>
        </is>
      </c>
      <c r="L5369" t="inlineStr">
        <is>
          <t>9H⁰, 21A⁶, 63B⁸</t>
        </is>
      </c>
      <c r="M5369" t="inlineStr"/>
      <c r="N5369" t="inlineStr">
        <is>
          <t>3B⁰, 21D², 21B², 3D⁰, 21A⁰, 3C⁰, 1A⁰, 9H⁰, 9E⁰, 3A⁰, 21A⁶, 7A⁰, 63B⁸</t>
        </is>
      </c>
      <c r="O5369" t="inlineStr"/>
    </row>
    <row r="5370">
      <c r="A5370">
        <f>HYPERLINK("https://mathstats.uncg.edu/sites/pauli/congruence/csg18.html#group63B18", "63B¹⁸")</f>
        <v/>
      </c>
      <c r="B5370" t="n">
        <v>18</v>
      </c>
      <c r="C5370" t="inlineStr"/>
      <c r="D5370" t="inlineStr">
        <is>
          <t>252</t>
        </is>
      </c>
      <c r="E5370" t="inlineStr">
        <is>
          <t>2</t>
        </is>
      </c>
      <c r="F5370" t="inlineStr">
        <is>
          <t>63</t>
        </is>
      </c>
      <c r="G5370" t="inlineStr">
        <is>
          <t>8</t>
        </is>
      </c>
      <c r="H5370" t="inlineStr">
        <is>
          <t>0</t>
        </is>
      </c>
      <c r="I5370" t="inlineStr">
        <is>
          <t>63⁴</t>
        </is>
      </c>
      <c r="J5370" t="n">
        <v>4</v>
      </c>
      <c r="K5370" t="inlineStr">
        <is>
          <t>4³, 12⁸, 36⁴</t>
        </is>
      </c>
      <c r="L5370" t="inlineStr">
        <is>
          <t>21B⁴, 63F⁶, 63D⁷, 63A⁹</t>
        </is>
      </c>
      <c r="M5370" t="inlineStr"/>
      <c r="N5370" t="inlineStr">
        <is>
          <t>63A⁹, 21D², 63F⁶, 21D¹, 9A⁰, 63A², 21A⁰, 3C⁰, 7A⁰, 3A⁰, 1A⁰, 9B¹, 63D⁷, 21B⁴</t>
        </is>
      </c>
      <c r="O5370" t="inlineStr"/>
    </row>
    <row r="5371">
      <c r="A5371">
        <f>HYPERLINK("https://mathstats.uncg.edu/sites/pauli/congruence/csg18.html#group63C18", "63C¹⁸")</f>
        <v/>
      </c>
      <c r="B5371" t="n">
        <v>18</v>
      </c>
      <c r="C5371" t="inlineStr"/>
      <c r="D5371" t="inlineStr">
        <is>
          <t>252</t>
        </is>
      </c>
      <c r="E5371" t="inlineStr">
        <is>
          <t>2</t>
        </is>
      </c>
      <c r="F5371" t="inlineStr">
        <is>
          <t>63</t>
        </is>
      </c>
      <c r="G5371" t="inlineStr">
        <is>
          <t>8</t>
        </is>
      </c>
      <c r="H5371" t="inlineStr">
        <is>
          <t>0</t>
        </is>
      </c>
      <c r="I5371" t="inlineStr">
        <is>
          <t>63⁴</t>
        </is>
      </c>
      <c r="J5371" t="n">
        <v>4</v>
      </c>
      <c r="K5371" t="inlineStr">
        <is>
          <t>4³, 12⁸, 36⁴</t>
        </is>
      </c>
      <c r="L5371" t="inlineStr">
        <is>
          <t>21B⁴, 63G⁶, 63D⁷, 63B⁹</t>
        </is>
      </c>
      <c r="M5371" t="inlineStr"/>
      <c r="N5371" t="inlineStr">
        <is>
          <t>21D², 3A⁰, 21D¹, 9A⁰, 63A², 21A⁰, 3C⁰, 63G⁶, 7A⁰, 63B⁹, 1A⁰, 9B¹, 63D⁷, 21B⁴</t>
        </is>
      </c>
      <c r="O5371" t="inlineStr"/>
    </row>
    <row r="5372">
      <c r="A5372">
        <f>HYPERLINK("https://mathstats.uncg.edu/sites/pauli/congruence/csg18.html#group63D18", "63D¹⁸")</f>
        <v/>
      </c>
      <c r="B5372" t="n">
        <v>18</v>
      </c>
      <c r="C5372" t="inlineStr"/>
      <c r="D5372" t="inlineStr">
        <is>
          <t>252</t>
        </is>
      </c>
      <c r="E5372" t="inlineStr">
        <is>
          <t>2</t>
        </is>
      </c>
      <c r="F5372" t="inlineStr">
        <is>
          <t>84</t>
        </is>
      </c>
      <c r="G5372" t="inlineStr">
        <is>
          <t>0</t>
        </is>
      </c>
      <c r="H5372" t="inlineStr">
        <is>
          <t>0</t>
        </is>
      </c>
      <c r="I5372" t="inlineStr">
        <is>
          <t>7³, 21², 63³</t>
        </is>
      </c>
      <c r="J5372" t="n">
        <v>8</v>
      </c>
      <c r="K5372" t="inlineStr">
        <is>
          <t>2², 4², 6⁴, 12⁵, 36²</t>
        </is>
      </c>
      <c r="L5372" t="inlineStr">
        <is>
          <t>9I⁰, 63B⁶</t>
        </is>
      </c>
      <c r="M5372" t="inlineStr"/>
      <c r="N5372" t="inlineStr">
        <is>
          <t>3B⁰, 21B², 9I⁰, 63B⁶, 9B⁰, 1A⁰, 7A⁰</t>
        </is>
      </c>
      <c r="O5372" t="inlineStr"/>
    </row>
    <row r="5373">
      <c r="A5373">
        <f>HYPERLINK("https://mathstats.uncg.edu/sites/pauli/congruence/csg18.html#group63E18", "63E¹⁸")</f>
        <v/>
      </c>
      <c r="B5373" t="n">
        <v>18</v>
      </c>
      <c r="C5373" t="inlineStr"/>
      <c r="D5373" t="inlineStr">
        <is>
          <t>252</t>
        </is>
      </c>
      <c r="E5373" t="inlineStr">
        <is>
          <t>2</t>
        </is>
      </c>
      <c r="F5373" t="inlineStr">
        <is>
          <t>84</t>
        </is>
      </c>
      <c r="G5373" t="inlineStr">
        <is>
          <t>0</t>
        </is>
      </c>
      <c r="H5373" t="inlineStr">
        <is>
          <t>3</t>
        </is>
      </c>
      <c r="I5373" t="inlineStr">
        <is>
          <t>21³, 63³</t>
        </is>
      </c>
      <c r="J5373" t="n">
        <v>6</v>
      </c>
      <c r="K5373" t="inlineStr">
        <is>
          <t>2², 4², 6⁴, 12⁵, 36²</t>
        </is>
      </c>
      <c r="L5373" t="inlineStr">
        <is>
          <t>9J⁰, 63C⁶</t>
        </is>
      </c>
      <c r="M5373" t="inlineStr"/>
      <c r="N5373" t="inlineStr">
        <is>
          <t>3B⁰, 9J⁰, 21B², 9C⁰, 63C⁶, 1A⁰, 7A⁰</t>
        </is>
      </c>
      <c r="O5373" t="inlineStr"/>
    </row>
    <row r="5374">
      <c r="A5374">
        <f>HYPERLINK("https://mathstats.uncg.edu/sites/pauli/congruence/csg18.html#group63F18", "63F¹⁸")</f>
        <v/>
      </c>
      <c r="B5374" t="n">
        <v>18</v>
      </c>
      <c r="C5374" t="inlineStr"/>
      <c r="D5374" t="inlineStr">
        <is>
          <t>252</t>
        </is>
      </c>
      <c r="E5374" t="inlineStr">
        <is>
          <t>2</t>
        </is>
      </c>
      <c r="F5374" t="inlineStr">
        <is>
          <t>126</t>
        </is>
      </c>
      <c r="G5374" t="inlineStr">
        <is>
          <t>8</t>
        </is>
      </c>
      <c r="H5374" t="inlineStr">
        <is>
          <t>0</t>
        </is>
      </c>
      <c r="I5374" t="inlineStr">
        <is>
          <t>63⁴</t>
        </is>
      </c>
      <c r="J5374" t="n">
        <v>4</v>
      </c>
      <c r="K5374" t="inlineStr">
        <is>
          <t>12¹⁸, 36⁸</t>
        </is>
      </c>
      <c r="L5374" t="inlineStr">
        <is>
          <t>21B⁴, 63E⁷</t>
        </is>
      </c>
      <c r="M5374" t="inlineStr"/>
      <c r="N5374" t="inlineStr">
        <is>
          <t>21D², 63E⁷, 21D¹, 21A⁰, 3C⁰, 7A⁰, 3A⁰, 1A⁰, 21B⁴</t>
        </is>
      </c>
      <c r="O5374" t="inlineStr"/>
    </row>
    <row r="5375">
      <c r="A5375">
        <f>HYPERLINK("https://mathstats.uncg.edu/sites/pauli/congruence/csg18.html#group63G18", "63G¹⁸")</f>
        <v/>
      </c>
      <c r="B5375" t="n">
        <v>18</v>
      </c>
      <c r="C5375" t="inlineStr"/>
      <c r="D5375" t="inlineStr">
        <is>
          <t>252</t>
        </is>
      </c>
      <c r="E5375" t="inlineStr">
        <is>
          <t>2</t>
        </is>
      </c>
      <c r="F5375" t="inlineStr">
        <is>
          <t>126</t>
        </is>
      </c>
      <c r="G5375" t="inlineStr">
        <is>
          <t>8</t>
        </is>
      </c>
      <c r="H5375" t="inlineStr">
        <is>
          <t>0</t>
        </is>
      </c>
      <c r="I5375" t="inlineStr">
        <is>
          <t>63⁴</t>
        </is>
      </c>
      <c r="J5375" t="n">
        <v>4</v>
      </c>
      <c r="K5375" t="inlineStr">
        <is>
          <t>12¹⁸, 36⁸</t>
        </is>
      </c>
      <c r="L5375" t="inlineStr">
        <is>
          <t>21B⁴, 63E⁷</t>
        </is>
      </c>
      <c r="M5375" t="inlineStr"/>
      <c r="N5375" t="inlineStr">
        <is>
          <t>21D², 63E⁷, 21D¹, 21A⁰, 3C⁰, 7A⁰, 3A⁰, 1A⁰, 21B⁴</t>
        </is>
      </c>
      <c r="O5375" t="inlineStr"/>
    </row>
    <row r="5376">
      <c r="A5376">
        <f>HYPERLINK("https://mathstats.uncg.edu/sites/pauli/congruence/csg18.html#group64A18", "64A¹⁸")</f>
        <v/>
      </c>
      <c r="B5376" t="n">
        <v>18</v>
      </c>
      <c r="C5376" t="inlineStr"/>
      <c r="D5376" t="inlineStr">
        <is>
          <t>384</t>
        </is>
      </c>
      <c r="E5376" t="inlineStr">
        <is>
          <t>1</t>
        </is>
      </c>
      <c r="F5376" t="inlineStr">
        <is>
          <t>96</t>
        </is>
      </c>
      <c r="G5376" t="inlineStr">
        <is>
          <t>4</t>
        </is>
      </c>
      <c r="H5376" t="inlineStr">
        <is>
          <t>0</t>
        </is>
      </c>
      <c r="I5376" t="inlineStr">
        <is>
          <t>4¹⁶, 8⁸, 64⁴</t>
        </is>
      </c>
      <c r="J5376" t="n">
        <v>28</v>
      </c>
      <c r="K5376" t="inlineStr">
        <is>
          <t>2⁴, 4⁶, 8⁴, 16⁸</t>
        </is>
      </c>
      <c r="L5376" t="inlineStr">
        <is>
          <t>32H⁶, 64G⁹</t>
        </is>
      </c>
      <c r="M5376" t="inlineStr"/>
      <c r="N5376" t="inlineStr">
        <is>
          <t>64G⁹, 16I¹, 8D⁰, 4C⁰, 8B⁰, 8L⁰, 2B⁰, 32D¹, 32P³, 16L², 1A⁰, 32Q³, 8H⁰, 16E⁰, 32C¹, 4A⁰, 16C¹, 4F⁰, 8P⁰, 32H⁶, 16H¹</t>
        </is>
      </c>
      <c r="O5376" t="inlineStr"/>
    </row>
    <row r="5377">
      <c r="A5377">
        <f>HYPERLINK("https://mathstats.uncg.edu/sites/pauli/congruence/csg18.html#group64B18", "64B¹⁸")</f>
        <v/>
      </c>
      <c r="B5377" t="n">
        <v>18</v>
      </c>
      <c r="C5377" t="inlineStr"/>
      <c r="D5377" t="inlineStr">
        <is>
          <t>384</t>
        </is>
      </c>
      <c r="E5377" t="inlineStr">
        <is>
          <t>1</t>
        </is>
      </c>
      <c r="F5377" t="inlineStr">
        <is>
          <t>96</t>
        </is>
      </c>
      <c r="G5377" t="inlineStr">
        <is>
          <t>4</t>
        </is>
      </c>
      <c r="H5377" t="inlineStr">
        <is>
          <t>0</t>
        </is>
      </c>
      <c r="I5377" t="inlineStr">
        <is>
          <t>4¹⁶, 8⁸, 64⁴</t>
        </is>
      </c>
      <c r="J5377" t="n">
        <v>28</v>
      </c>
      <c r="K5377" t="inlineStr">
        <is>
          <t>2⁴, 4⁶, 8⁴, 16⁸</t>
        </is>
      </c>
      <c r="L5377" t="inlineStr">
        <is>
          <t>32H⁶, 64H⁹</t>
        </is>
      </c>
      <c r="M5377" t="inlineStr"/>
      <c r="N5377" t="inlineStr">
        <is>
          <t>16I¹, 8D⁰, 4C⁰, 8B⁰, 8L⁰, 2B⁰, 32D¹, 16H¹, 16L², 1A⁰, 8P⁰, 32Q³, 8H⁰, 16E⁰, 32C¹, 4A⁰, 16C¹, 4F⁰, 64H⁹, 32H⁶, 32P³</t>
        </is>
      </c>
      <c r="O5377" t="inlineStr"/>
    </row>
    <row r="5378">
      <c r="A5378">
        <f>HYPERLINK("https://mathstats.uncg.edu/sites/pauli/congruence/csg18.html#group70A18", "70A¹⁸")</f>
        <v/>
      </c>
      <c r="B5378" t="n">
        <v>18</v>
      </c>
      <c r="C5378" t="inlineStr"/>
      <c r="D5378" t="inlineStr">
        <is>
          <t>240</t>
        </is>
      </c>
      <c r="E5378" t="inlineStr">
        <is>
          <t>1</t>
        </is>
      </c>
      <c r="F5378" t="inlineStr">
        <is>
          <t>40</t>
        </is>
      </c>
      <c r="G5378" t="inlineStr">
        <is>
          <t>0</t>
        </is>
      </c>
      <c r="H5378" t="inlineStr">
        <is>
          <t>0</t>
        </is>
      </c>
      <c r="I5378" t="inlineStr">
        <is>
          <t>10³, 70³</t>
        </is>
      </c>
      <c r="J5378" t="n">
        <v>6</v>
      </c>
      <c r="K5378" t="inlineStr">
        <is>
          <t>1², 4², 6¹, 24¹</t>
        </is>
      </c>
      <c r="L5378" t="inlineStr">
        <is>
          <t>10A², 70B⁴, 35A⁸</t>
        </is>
      </c>
      <c r="M5378" t="inlineStr"/>
      <c r="N5378" t="inlineStr">
        <is>
          <t>2A⁰, 5A⁰, 10A², 10A⁰, 70B⁴, 7B⁰, 14B⁰, 5E⁰, 35B², 35A⁸, 1A⁰</t>
        </is>
      </c>
      <c r="O5378" t="inlineStr"/>
    </row>
    <row r="5379">
      <c r="A5379">
        <f>HYPERLINK("https://mathstats.uncg.edu/sites/pauli/congruence/csg18.html#group70B18", "70B¹⁸")</f>
        <v/>
      </c>
      <c r="B5379" t="n">
        <v>18</v>
      </c>
      <c r="C5379" t="inlineStr"/>
      <c r="D5379" t="inlineStr">
        <is>
          <t>240</t>
        </is>
      </c>
      <c r="E5379" t="inlineStr">
        <is>
          <t>1</t>
        </is>
      </c>
      <c r="F5379" t="inlineStr">
        <is>
          <t>40</t>
        </is>
      </c>
      <c r="G5379" t="inlineStr">
        <is>
          <t>0</t>
        </is>
      </c>
      <c r="H5379" t="inlineStr">
        <is>
          <t>0</t>
        </is>
      </c>
      <c r="I5379" t="inlineStr">
        <is>
          <t>10³, 70³</t>
        </is>
      </c>
      <c r="J5379" t="n">
        <v>6</v>
      </c>
      <c r="K5379" t="inlineStr">
        <is>
          <t>1², 4², 6¹, 24¹</t>
        </is>
      </c>
      <c r="L5379" t="inlineStr">
        <is>
          <t>14D², 70B⁴, 35B⁸</t>
        </is>
      </c>
      <c r="M5379" t="inlineStr"/>
      <c r="N5379" t="inlineStr">
        <is>
          <t>2A⁰, 5A⁰, 10A⁰, 35B⁸, 70B⁴, 7B⁰, 14D², 14B⁰, 7E⁰, 35B², 1A⁰</t>
        </is>
      </c>
      <c r="O5379" t="inlineStr"/>
    </row>
    <row r="5380">
      <c r="A5380">
        <f>HYPERLINK("https://mathstats.uncg.edu/sites/pauli/congruence/csg18.html#group70C18", "70C¹⁸")</f>
        <v/>
      </c>
      <c r="B5380" t="n">
        <v>18</v>
      </c>
      <c r="C5380" t="inlineStr"/>
      <c r="D5380" t="inlineStr">
        <is>
          <t>240</t>
        </is>
      </c>
      <c r="E5380" t="inlineStr">
        <is>
          <t>1</t>
        </is>
      </c>
      <c r="F5380" t="inlineStr">
        <is>
          <t>40</t>
        </is>
      </c>
      <c r="G5380" t="inlineStr">
        <is>
          <t>0</t>
        </is>
      </c>
      <c r="H5380" t="inlineStr">
        <is>
          <t>0</t>
        </is>
      </c>
      <c r="I5380" t="inlineStr">
        <is>
          <t>10³, 70³</t>
        </is>
      </c>
      <c r="J5380" t="n">
        <v>6</v>
      </c>
      <c r="K5380" t="inlineStr">
        <is>
          <t>1², 4², 6¹, 24¹</t>
        </is>
      </c>
      <c r="L5380" t="inlineStr">
        <is>
          <t>10B², 14E², 70B⁴, 70A⁹</t>
        </is>
      </c>
      <c r="M5380" t="inlineStr"/>
      <c r="N5380" t="inlineStr">
        <is>
          <t>2A⁰, 5A⁰, 70A⁹, 10B¹, 2B⁰, 14E², 10B², 1A⁰, 10A⁰, 70B⁴, 7B⁰, 14B⁰, 14C¹, 35B², 2C⁰</t>
        </is>
      </c>
      <c r="O5380" t="inlineStr"/>
    </row>
    <row r="5381">
      <c r="A5381">
        <f>HYPERLINK("https://mathstats.uncg.edu/sites/pauli/congruence/csg18.html#group70D18", "70D¹⁸")</f>
        <v/>
      </c>
      <c r="B5381" t="n">
        <v>18</v>
      </c>
      <c r="C5381" t="inlineStr"/>
      <c r="D5381" t="inlineStr">
        <is>
          <t>240</t>
        </is>
      </c>
      <c r="E5381" t="inlineStr">
        <is>
          <t>1</t>
        </is>
      </c>
      <c r="F5381" t="inlineStr">
        <is>
          <t>120</t>
        </is>
      </c>
      <c r="G5381" t="inlineStr">
        <is>
          <t>0</t>
        </is>
      </c>
      <c r="H5381" t="inlineStr">
        <is>
          <t>0</t>
        </is>
      </c>
      <c r="I5381" t="inlineStr">
        <is>
          <t>10³, 70³</t>
        </is>
      </c>
      <c r="J5381" t="n">
        <v>6</v>
      </c>
      <c r="K5381" t="inlineStr">
        <is>
          <t>1², 2², 4⁶, 6¹, 12¹, 24³</t>
        </is>
      </c>
      <c r="L5381" t="inlineStr">
        <is>
          <t>10E¹, 35A⁸</t>
        </is>
      </c>
      <c r="M5381" t="inlineStr"/>
      <c r="N5381" t="inlineStr">
        <is>
          <t>5A⁰, 7B⁰, 5E⁰, 35B², 35A⁸, 10E¹, 1A⁰</t>
        </is>
      </c>
      <c r="O5381" t="inlineStr"/>
    </row>
    <row r="5382">
      <c r="A5382">
        <f>HYPERLINK("https://mathstats.uncg.edu/sites/pauli/congruence/csg18.html#group70E18", "70E¹⁸")</f>
        <v/>
      </c>
      <c r="B5382" t="n">
        <v>18</v>
      </c>
      <c r="C5382" t="inlineStr"/>
      <c r="D5382" t="inlineStr">
        <is>
          <t>252</t>
        </is>
      </c>
      <c r="E5382" t="inlineStr">
        <is>
          <t>1</t>
        </is>
      </c>
      <c r="F5382" t="inlineStr">
        <is>
          <t>126</t>
        </is>
      </c>
      <c r="G5382" t="inlineStr">
        <is>
          <t>4</t>
        </is>
      </c>
      <c r="H5382" t="inlineStr">
        <is>
          <t>0</t>
        </is>
      </c>
      <c r="I5382" t="inlineStr">
        <is>
          <t>14³, 70³</t>
        </is>
      </c>
      <c r="J5382" t="n">
        <v>6</v>
      </c>
      <c r="K5382" t="inlineStr">
        <is>
          <t>3², 6⁶, 12¹, 24³</t>
        </is>
      </c>
      <c r="L5382" t="inlineStr">
        <is>
          <t>35E⁶</t>
        </is>
      </c>
      <c r="M5382" t="inlineStr"/>
      <c r="N5382" t="inlineStr">
        <is>
          <t>35C², 5B⁰, 7D⁰, 1A⁰, 35E⁶, 7A⁰</t>
        </is>
      </c>
      <c r="O5382" t="inlineStr"/>
    </row>
    <row r="5383">
      <c r="A5383">
        <f>HYPERLINK("https://mathstats.uncg.edu/sites/pauli/congruence/csg18.html#group70F18", "70F¹⁸")</f>
        <v/>
      </c>
      <c r="B5383" t="n">
        <v>18</v>
      </c>
      <c r="C5383" t="inlineStr"/>
      <c r="D5383" t="inlineStr">
        <is>
          <t>252</t>
        </is>
      </c>
      <c r="E5383" t="inlineStr">
        <is>
          <t>2</t>
        </is>
      </c>
      <c r="F5383" t="inlineStr">
        <is>
          <t>126</t>
        </is>
      </c>
      <c r="G5383" t="inlineStr">
        <is>
          <t>0</t>
        </is>
      </c>
      <c r="H5383" t="inlineStr">
        <is>
          <t>0</t>
        </is>
      </c>
      <c r="I5383" t="inlineStr">
        <is>
          <t>7², 14², 35², 70²</t>
        </is>
      </c>
      <c r="J5383" t="n">
        <v>8</v>
      </c>
      <c r="K5383" t="inlineStr">
        <is>
          <t>2⁶, 6¹², 8³, 24⁶</t>
        </is>
      </c>
      <c r="L5383" t="inlineStr">
        <is>
          <t>10F⁰, 35A⁶, 70B⁸</t>
        </is>
      </c>
      <c r="M5383" t="inlineStr"/>
      <c r="N5383" t="inlineStr">
        <is>
          <t>35C², 14B¹, 5B⁰, 70B⁸, 5D⁰, 10F⁰, 10C⁰, 2B⁰, 1A⁰, 35A⁶, 7A⁰</t>
        </is>
      </c>
      <c r="O5383" t="inlineStr"/>
    </row>
    <row r="5384">
      <c r="A5384">
        <f>HYPERLINK("https://mathstats.uncg.edu/sites/pauli/congruence/csg18.html#group70G18", "70G¹⁸")</f>
        <v/>
      </c>
      <c r="B5384" t="n">
        <v>18</v>
      </c>
      <c r="C5384" t="inlineStr"/>
      <c r="D5384" t="inlineStr">
        <is>
          <t>252</t>
        </is>
      </c>
      <c r="E5384" t="inlineStr">
        <is>
          <t>2</t>
        </is>
      </c>
      <c r="F5384" t="inlineStr">
        <is>
          <t>126</t>
        </is>
      </c>
      <c r="G5384" t="inlineStr">
        <is>
          <t>4</t>
        </is>
      </c>
      <c r="H5384" t="inlineStr">
        <is>
          <t>0</t>
        </is>
      </c>
      <c r="I5384" t="inlineStr">
        <is>
          <t>14³, 70³</t>
        </is>
      </c>
      <c r="J5384" t="n">
        <v>6</v>
      </c>
      <c r="K5384" t="inlineStr">
        <is>
          <t>2⁶, 6¹², 8³, 24⁶</t>
        </is>
      </c>
      <c r="L5384" t="inlineStr">
        <is>
          <t>70A⁶, 70B⁸</t>
        </is>
      </c>
      <c r="M5384" t="inlineStr"/>
      <c r="N5384" t="inlineStr">
        <is>
          <t>35C², 14B¹, 5B⁰, 70B⁸, 10C⁰, 2B⁰, 1A⁰, 70A⁶, 7A⁰</t>
        </is>
      </c>
      <c r="O5384" t="inlineStr"/>
    </row>
    <row r="5385">
      <c r="A5385">
        <f>HYPERLINK("https://mathstats.uncg.edu/sites/pauli/congruence/csg18.html#group72A18", "72A¹⁸")</f>
        <v/>
      </c>
      <c r="B5385" t="n">
        <v>18</v>
      </c>
      <c r="C5385" t="inlineStr"/>
      <c r="D5385" t="inlineStr">
        <is>
          <t>288</t>
        </is>
      </c>
      <c r="E5385" t="inlineStr">
        <is>
          <t>2</t>
        </is>
      </c>
      <c r="F5385" t="inlineStr">
        <is>
          <t>144</t>
        </is>
      </c>
      <c r="G5385" t="inlineStr">
        <is>
          <t>20</t>
        </is>
      </c>
      <c r="H5385" t="inlineStr">
        <is>
          <t>0</t>
        </is>
      </c>
      <c r="I5385" t="inlineStr">
        <is>
          <t>72⁴</t>
        </is>
      </c>
      <c r="J5385" t="n">
        <v>4</v>
      </c>
      <c r="K5385" t="inlineStr">
        <is>
          <t>4⁸, 8⁸, 24⁸</t>
        </is>
      </c>
      <c r="L5385" t="inlineStr">
        <is>
          <t>24S⁴, 72A⁴, 72E⁷</t>
        </is>
      </c>
      <c r="M5385" t="inlineStr"/>
      <c r="N5385" t="inlineStr">
        <is>
          <t>36A¹, 24F¹, 12A⁰, 24A¹, 24S⁴, 8F⁰, 4A⁰, 9A⁰, 8A⁰, 8M⁰, 3A⁰, 1A⁰, 72E⁷, 72A⁴</t>
        </is>
      </c>
      <c r="O5385" t="inlineStr"/>
    </row>
    <row r="5386">
      <c r="A5386">
        <f>HYPERLINK("https://mathstats.uncg.edu/sites/pauli/congruence/csg18.html#group72B18", "72B¹⁸")</f>
        <v/>
      </c>
      <c r="B5386" t="n">
        <v>18</v>
      </c>
      <c r="C5386" t="inlineStr"/>
      <c r="D5386" t="inlineStr">
        <is>
          <t>288</t>
        </is>
      </c>
      <c r="E5386" t="inlineStr">
        <is>
          <t>2</t>
        </is>
      </c>
      <c r="F5386" t="inlineStr">
        <is>
          <t>144</t>
        </is>
      </c>
      <c r="G5386" t="inlineStr">
        <is>
          <t>20</t>
        </is>
      </c>
      <c r="H5386" t="inlineStr">
        <is>
          <t>0</t>
        </is>
      </c>
      <c r="I5386" t="inlineStr">
        <is>
          <t>72⁴</t>
        </is>
      </c>
      <c r="J5386" t="n">
        <v>4</v>
      </c>
      <c r="K5386" t="inlineStr">
        <is>
          <t>4⁸, 8⁸, 24⁸</t>
        </is>
      </c>
      <c r="L5386" t="inlineStr">
        <is>
          <t>24T⁴, 72B⁴, 72E⁷</t>
        </is>
      </c>
      <c r="M5386" t="inlineStr"/>
      <c r="N5386" t="inlineStr">
        <is>
          <t>36A¹, 24F¹, 12A⁰, 8F⁰, 72B⁴, 4A⁰, 9A⁰, 24B¹, 3A⁰, 1A⁰, 24T⁴, 72E⁷</t>
        </is>
      </c>
      <c r="O5386" t="inlineStr"/>
    </row>
    <row r="5387">
      <c r="A5387">
        <f>HYPERLINK("https://mathstats.uncg.edu/sites/pauli/congruence/csg18.html#group72C18", "72C¹⁸")</f>
        <v/>
      </c>
      <c r="B5387" t="n">
        <v>18</v>
      </c>
      <c r="C5387" t="inlineStr"/>
      <c r="D5387" t="inlineStr">
        <is>
          <t>288</t>
        </is>
      </c>
      <c r="E5387" t="inlineStr">
        <is>
          <t>2</t>
        </is>
      </c>
      <c r="F5387" t="inlineStr">
        <is>
          <t>144</t>
        </is>
      </c>
      <c r="G5387" t="inlineStr">
        <is>
          <t>20</t>
        </is>
      </c>
      <c r="H5387" t="inlineStr">
        <is>
          <t>0</t>
        </is>
      </c>
      <c r="I5387" t="inlineStr">
        <is>
          <t>72⁴</t>
        </is>
      </c>
      <c r="J5387" t="n">
        <v>4</v>
      </c>
      <c r="K5387" t="inlineStr">
        <is>
          <t>8²⁴, 24¹⁶</t>
        </is>
      </c>
      <c r="L5387" t="inlineStr">
        <is>
          <t>24T⁴, 72C⁴, 72E⁷</t>
        </is>
      </c>
      <c r="M5387" t="inlineStr"/>
      <c r="N5387" t="inlineStr">
        <is>
          <t>36A¹, 24F¹, 12A⁰, 8F⁰, 4A⁰, 9A⁰, 72C⁴, 24B¹, 3A⁰, 1A⁰, 24T⁴, 72E⁷</t>
        </is>
      </c>
      <c r="O5387" t="inlineStr"/>
    </row>
    <row r="5388">
      <c r="A5388">
        <f>HYPERLINK("https://mathstats.uncg.edu/sites/pauli/congruence/csg18.html#group72D18", "72D¹⁸")</f>
        <v/>
      </c>
      <c r="B5388" t="n">
        <v>18</v>
      </c>
      <c r="C5388" t="inlineStr"/>
      <c r="D5388" t="inlineStr">
        <is>
          <t>288</t>
        </is>
      </c>
      <c r="E5388" t="inlineStr">
        <is>
          <t>2</t>
        </is>
      </c>
      <c r="F5388" t="inlineStr">
        <is>
          <t>144</t>
        </is>
      </c>
      <c r="G5388" t="inlineStr">
        <is>
          <t>20</t>
        </is>
      </c>
      <c r="H5388" t="inlineStr">
        <is>
          <t>0</t>
        </is>
      </c>
      <c r="I5388" t="inlineStr">
        <is>
          <t>72⁴</t>
        </is>
      </c>
      <c r="J5388" t="n">
        <v>4</v>
      </c>
      <c r="K5388" t="inlineStr">
        <is>
          <t>8²⁴, 24¹⁶</t>
        </is>
      </c>
      <c r="L5388" t="inlineStr">
        <is>
          <t>24T⁴, 72D⁴, 72E⁷</t>
        </is>
      </c>
      <c r="M5388" t="inlineStr"/>
      <c r="N5388" t="inlineStr">
        <is>
          <t>24F¹, 36A¹, 12A⁰, 8F⁰, 4A⁰, 9A⁰, 24B¹, 72D⁴, 3A⁰, 1A⁰, 24T⁴, 72E⁷</t>
        </is>
      </c>
      <c r="O5388" t="inlineStr"/>
    </row>
    <row r="5389">
      <c r="A5389">
        <f>HYPERLINK("https://mathstats.uncg.edu/sites/pauli/congruence/csg18.html#group72E18", "72E¹⁸")</f>
        <v/>
      </c>
      <c r="B5389" t="n">
        <v>18</v>
      </c>
      <c r="C5389" t="inlineStr"/>
      <c r="D5389" t="inlineStr">
        <is>
          <t>324</t>
        </is>
      </c>
      <c r="E5389" t="inlineStr">
        <is>
          <t>1</t>
        </is>
      </c>
      <c r="F5389" t="inlineStr">
        <is>
          <t>81</t>
        </is>
      </c>
      <c r="G5389" t="inlineStr">
        <is>
          <t>28</t>
        </is>
      </c>
      <c r="H5389" t="inlineStr">
        <is>
          <t>0</t>
        </is>
      </c>
      <c r="I5389" t="inlineStr">
        <is>
          <t>36³, 72³</t>
        </is>
      </c>
      <c r="J5389" t="n">
        <v>6</v>
      </c>
      <c r="K5389" t="inlineStr">
        <is>
          <t>3³, 6¹²</t>
        </is>
      </c>
      <c r="L5389" t="inlineStr">
        <is>
          <t>72E⁴, 36L⁸</t>
        </is>
      </c>
      <c r="M5389" t="inlineStr"/>
      <c r="N5389" t="inlineStr">
        <is>
          <t>12C⁰, 24A⁰, 72E⁴, 36L⁸, 9A⁰, 36B², 4C⁰, 8B⁰, 18J³, 9G⁰, 2B⁰, 18E¹, 3A⁰, 1A⁰, 6D⁰</t>
        </is>
      </c>
      <c r="O5389" t="inlineStr"/>
    </row>
    <row r="5390">
      <c r="A5390">
        <f>HYPERLINK("https://mathstats.uncg.edu/sites/pauli/congruence/csg18.html#group76A18", "76A¹⁸")</f>
        <v/>
      </c>
      <c r="B5390" t="n">
        <v>18</v>
      </c>
      <c r="C5390" t="inlineStr"/>
      <c r="D5390" t="inlineStr">
        <is>
          <t>240</t>
        </is>
      </c>
      <c r="E5390" t="inlineStr">
        <is>
          <t>1</t>
        </is>
      </c>
      <c r="F5390" t="inlineStr">
        <is>
          <t>20</t>
        </is>
      </c>
      <c r="G5390" t="inlineStr">
        <is>
          <t>0</t>
        </is>
      </c>
      <c r="H5390" t="inlineStr">
        <is>
          <t>0</t>
        </is>
      </c>
      <c r="I5390" t="inlineStr">
        <is>
          <t>4³, 76³</t>
        </is>
      </c>
      <c r="J5390" t="n">
        <v>6</v>
      </c>
      <c r="K5390" t="inlineStr">
        <is>
          <t>1², 18¹</t>
        </is>
      </c>
      <c r="L5390" t="inlineStr">
        <is>
          <t>76A⁴, 38A⁸</t>
        </is>
      </c>
      <c r="M5390" t="inlineStr"/>
      <c r="N5390" t="inlineStr">
        <is>
          <t>2A⁰, 19A¹, 38A⁸, 38A², 38A⁴, 76A⁴, 2B⁰, 1A⁰, 2C⁰</t>
        </is>
      </c>
      <c r="O5390" t="inlineStr"/>
    </row>
    <row r="5391">
      <c r="A5391">
        <f>HYPERLINK("https://mathstats.uncg.edu/sites/pauli/congruence/csg18.html#group76B18", "76B¹⁸")</f>
        <v/>
      </c>
      <c r="B5391" t="n">
        <v>18</v>
      </c>
      <c r="C5391" t="inlineStr"/>
      <c r="D5391" t="inlineStr">
        <is>
          <t>240</t>
        </is>
      </c>
      <c r="E5391" t="inlineStr">
        <is>
          <t>1</t>
        </is>
      </c>
      <c r="F5391" t="inlineStr">
        <is>
          <t>40</t>
        </is>
      </c>
      <c r="G5391" t="inlineStr">
        <is>
          <t>0</t>
        </is>
      </c>
      <c r="H5391" t="inlineStr">
        <is>
          <t>0</t>
        </is>
      </c>
      <c r="I5391" t="inlineStr">
        <is>
          <t>4³, 76³</t>
        </is>
      </c>
      <c r="J5391" t="n">
        <v>6</v>
      </c>
      <c r="K5391" t="inlineStr">
        <is>
          <t>1⁴, 18²</t>
        </is>
      </c>
      <c r="L5391" t="inlineStr">
        <is>
          <t>76A⁴, 38B⁸</t>
        </is>
      </c>
      <c r="M5391" t="inlineStr"/>
      <c r="N5391" t="inlineStr">
        <is>
          <t>2A⁰, 19A¹, 76A⁴, 38A², 38B⁸, 1A⁰</t>
        </is>
      </c>
      <c r="O5391" t="inlineStr"/>
    </row>
    <row r="5392">
      <c r="A5392">
        <f>HYPERLINK("https://mathstats.uncg.edu/sites/pauli/congruence/csg18.html#group76C18", "76C¹⁸")</f>
        <v/>
      </c>
      <c r="B5392" t="n">
        <v>18</v>
      </c>
      <c r="C5392" t="inlineStr"/>
      <c r="D5392" t="inlineStr">
        <is>
          <t>240</t>
        </is>
      </c>
      <c r="E5392" t="inlineStr">
        <is>
          <t>1</t>
        </is>
      </c>
      <c r="F5392" t="inlineStr">
        <is>
          <t>120</t>
        </is>
      </c>
      <c r="G5392" t="inlineStr">
        <is>
          <t>0</t>
        </is>
      </c>
      <c r="H5392" t="inlineStr">
        <is>
          <t>0</t>
        </is>
      </c>
      <c r="I5392" t="inlineStr">
        <is>
          <t>4³, 76³</t>
        </is>
      </c>
      <c r="J5392" t="n">
        <v>6</v>
      </c>
      <c r="K5392" t="inlineStr">
        <is>
          <t>1⁴, 2⁴, 18², 36²</t>
        </is>
      </c>
      <c r="L5392" t="inlineStr">
        <is>
          <t>4F⁰, 76A⁶, 76A⁹</t>
        </is>
      </c>
      <c r="M5392" t="inlineStr"/>
      <c r="N5392" t="inlineStr">
        <is>
          <t>19A¹, 4A⁰, 4C⁰, 38A⁴, 76A⁶, 2B⁰, 4F⁰, 76A⁹, 1A⁰</t>
        </is>
      </c>
      <c r="O5392" t="inlineStr"/>
    </row>
    <row r="5393">
      <c r="A5393">
        <f>HYPERLINK("https://mathstats.uncg.edu/sites/pauli/congruence/csg18.html#group78A18", "78A¹⁸")</f>
        <v/>
      </c>
      <c r="B5393" t="n">
        <v>18</v>
      </c>
      <c r="C5393" t="inlineStr"/>
      <c r="D5393" t="inlineStr">
        <is>
          <t>252</t>
        </is>
      </c>
      <c r="E5393" t="inlineStr">
        <is>
          <t>1</t>
        </is>
      </c>
      <c r="F5393" t="inlineStr">
        <is>
          <t>42</t>
        </is>
      </c>
      <c r="G5393" t="inlineStr">
        <is>
          <t>0</t>
        </is>
      </c>
      <c r="H5393" t="inlineStr">
        <is>
          <t>0</t>
        </is>
      </c>
      <c r="I5393" t="inlineStr">
        <is>
          <t>3², 6², 39², 78²</t>
        </is>
      </c>
      <c r="J5393" t="n">
        <v>8</v>
      </c>
      <c r="K5393" t="inlineStr">
        <is>
          <t>1⁶, 12³</t>
        </is>
      </c>
      <c r="L5393" t="inlineStr">
        <is>
          <t>26A⁴, 39A⁶, 78A⁸</t>
        </is>
      </c>
      <c r="M5393" t="inlineStr"/>
      <c r="N5393" t="inlineStr">
        <is>
          <t>78A⁸, 39A², 6D⁰, 13A⁰, 2B⁰, 13B⁰, 39A⁶, 3A⁰, 1A⁰, 26A², 26A⁴</t>
        </is>
      </c>
      <c r="O5393" t="inlineStr"/>
    </row>
    <row r="5394">
      <c r="A5394">
        <f>HYPERLINK("https://mathstats.uncg.edu/sites/pauli/congruence/csg18.html#group78B18", "78B¹⁸")</f>
        <v/>
      </c>
      <c r="B5394" t="n">
        <v>18</v>
      </c>
      <c r="C5394" t="inlineStr"/>
      <c r="D5394" t="inlineStr">
        <is>
          <t>252</t>
        </is>
      </c>
      <c r="E5394" t="inlineStr">
        <is>
          <t>1</t>
        </is>
      </c>
      <c r="F5394" t="inlineStr">
        <is>
          <t>126</t>
        </is>
      </c>
      <c r="G5394" t="inlineStr">
        <is>
          <t>4</t>
        </is>
      </c>
      <c r="H5394" t="inlineStr">
        <is>
          <t>0</t>
        </is>
      </c>
      <c r="I5394" t="inlineStr">
        <is>
          <t>6³, 78³</t>
        </is>
      </c>
      <c r="J5394" t="n">
        <v>6</v>
      </c>
      <c r="K5394" t="inlineStr">
        <is>
          <t>1⁶, 2⁶, 12³, 24³</t>
        </is>
      </c>
      <c r="L5394" t="inlineStr">
        <is>
          <t>78A⁶, 78A⁸</t>
        </is>
      </c>
      <c r="M5394" t="inlineStr"/>
      <c r="N5394" t="inlineStr">
        <is>
          <t>78A⁸, 39A², 13A⁰, 2B⁰, 78A⁶, 3A⁰, 1A⁰, 26A², 6D⁰</t>
        </is>
      </c>
      <c r="O5394" t="inlineStr"/>
    </row>
    <row r="5395">
      <c r="A5395">
        <f>HYPERLINK("https://mathstats.uncg.edu/sites/pauli/congruence/csg18.html#group78C18", "78C¹⁸")</f>
        <v/>
      </c>
      <c r="B5395" t="n">
        <v>18</v>
      </c>
      <c r="C5395" t="inlineStr"/>
      <c r="D5395" t="inlineStr">
        <is>
          <t>252</t>
        </is>
      </c>
      <c r="E5395" t="inlineStr">
        <is>
          <t>2</t>
        </is>
      </c>
      <c r="F5395" t="inlineStr">
        <is>
          <t>42</t>
        </is>
      </c>
      <c r="G5395" t="inlineStr">
        <is>
          <t>0</t>
        </is>
      </c>
      <c r="H5395" t="inlineStr">
        <is>
          <t>0</t>
        </is>
      </c>
      <c r="I5395" t="inlineStr">
        <is>
          <t>3², 6², 39², 78²</t>
        </is>
      </c>
      <c r="J5395" t="n">
        <v>8</v>
      </c>
      <c r="K5395" t="inlineStr">
        <is>
          <t>2⁶, 24³</t>
        </is>
      </c>
      <c r="L5395" t="inlineStr">
        <is>
          <t>26A⁴, 39B⁴, 78B⁸</t>
        </is>
      </c>
      <c r="M5395" t="inlineStr"/>
      <c r="N5395" t="inlineStr">
        <is>
          <t>39B⁴, 26A², 13A⁰, 2B⁰, 13B⁰, 39A¹, 1A⁰, 78B⁸, 26A⁴</t>
        </is>
      </c>
      <c r="O5395" t="inlineStr"/>
    </row>
    <row r="5396">
      <c r="A5396">
        <f>HYPERLINK("https://mathstats.uncg.edu/sites/pauli/congruence/csg18.html#group79A18", "79A¹⁸")</f>
        <v/>
      </c>
      <c r="B5396" t="n">
        <v>18</v>
      </c>
      <c r="C5396" t="inlineStr"/>
      <c r="D5396" t="inlineStr">
        <is>
          <t>240</t>
        </is>
      </c>
      <c r="E5396" t="inlineStr">
        <is>
          <t>1</t>
        </is>
      </c>
      <c r="F5396" t="inlineStr">
        <is>
          <t>80</t>
        </is>
      </c>
      <c r="G5396" t="inlineStr">
        <is>
          <t>0</t>
        </is>
      </c>
      <c r="H5396" t="inlineStr">
        <is>
          <t>0</t>
        </is>
      </c>
      <c r="I5396" t="inlineStr">
        <is>
          <t>1³, 79³</t>
        </is>
      </c>
      <c r="J5396" t="n">
        <v>6</v>
      </c>
      <c r="K5396" t="inlineStr">
        <is>
          <t>1², 78¹</t>
        </is>
      </c>
      <c r="L5396" t="inlineStr">
        <is>
          <t>79A⁶</t>
        </is>
      </c>
      <c r="M5396" t="inlineStr"/>
      <c r="N5396" t="inlineStr">
        <is>
          <t>79A⁶, 1A⁰</t>
        </is>
      </c>
      <c r="O5396" t="inlineStr"/>
    </row>
    <row r="5397">
      <c r="A5397">
        <f>HYPERLINK("https://mathstats.uncg.edu/sites/pauli/congruence/csg18.html#group80A18", "80A¹⁸")</f>
        <v/>
      </c>
      <c r="B5397" t="n">
        <v>18</v>
      </c>
      <c r="C5397" t="inlineStr"/>
      <c r="D5397" t="inlineStr">
        <is>
          <t>240</t>
        </is>
      </c>
      <c r="E5397" t="inlineStr">
        <is>
          <t>1</t>
        </is>
      </c>
      <c r="F5397" t="inlineStr">
        <is>
          <t>15</t>
        </is>
      </c>
      <c r="G5397" t="inlineStr">
        <is>
          <t>0</t>
        </is>
      </c>
      <c r="H5397" t="inlineStr">
        <is>
          <t>0</t>
        </is>
      </c>
      <c r="I5397" t="inlineStr">
        <is>
          <t>20⁴, 80²</t>
        </is>
      </c>
      <c r="J5397" t="n">
        <v>6</v>
      </c>
      <c r="K5397" t="inlineStr">
        <is>
          <t>1³, 4³</t>
        </is>
      </c>
      <c r="L5397" t="inlineStr">
        <is>
          <t>16C², 40A⁸, 80C⁹</t>
        </is>
      </c>
      <c r="M5397" t="inlineStr"/>
      <c r="N5397" t="inlineStr">
        <is>
          <t>20A², 2A⁰, 5A⁰, 16C², 8D⁰, 10B¹, 20B², 4C⁰, 40A⁸, 2B⁰, 8C⁰, 4E⁰, 10B², 4B⁰, 40B⁴, 1A⁰, 40C⁴, 10A⁰, 8G⁰, 16C¹, 20A⁴, 2C⁰, 80C⁹</t>
        </is>
      </c>
      <c r="O5397" t="inlineStr"/>
    </row>
    <row r="5398">
      <c r="A5398">
        <f>HYPERLINK("https://mathstats.uncg.edu/sites/pauli/congruence/csg18.html#group80B18", "80B¹⁸")</f>
        <v/>
      </c>
      <c r="B5398" t="n">
        <v>18</v>
      </c>
      <c r="C5398" t="inlineStr"/>
      <c r="D5398" t="inlineStr">
        <is>
          <t>240</t>
        </is>
      </c>
      <c r="E5398" t="inlineStr">
        <is>
          <t>1</t>
        </is>
      </c>
      <c r="F5398" t="inlineStr">
        <is>
          <t>60</t>
        </is>
      </c>
      <c r="G5398" t="inlineStr">
        <is>
          <t>0</t>
        </is>
      </c>
      <c r="H5398" t="inlineStr">
        <is>
          <t>0</t>
        </is>
      </c>
      <c r="I5398" t="inlineStr">
        <is>
          <t>20⁴, 80²</t>
        </is>
      </c>
      <c r="J5398" t="n">
        <v>6</v>
      </c>
      <c r="K5398" t="inlineStr">
        <is>
          <t>1², 2¹, 4⁴, 8¹, 16²</t>
        </is>
      </c>
      <c r="L5398" t="inlineStr">
        <is>
          <t>16D², 80D⁸, 40B⁹, 80C⁹</t>
        </is>
      </c>
      <c r="M5398" t="inlineStr"/>
      <c r="N5398" t="inlineStr">
        <is>
          <t>16D², 5A⁰, 8A¹, 40B⁹, 8D⁰, 10B¹, 20B², 4C⁰, 20A¹, 2B⁰, 20C⁴, 1A⁰, 16E⁰, 40C⁴, 8C¹, 4A⁰, 16C¹, 80D⁸, 4F⁰, 40A⁵, 80C⁹</t>
        </is>
      </c>
      <c r="O5398" t="inlineStr"/>
    </row>
    <row r="5399">
      <c r="A5399">
        <f>HYPERLINK("https://mathstats.uncg.edu/sites/pauli/congruence/csg18.html#group80C18", "80C¹⁸")</f>
        <v/>
      </c>
      <c r="B5399" t="n">
        <v>18</v>
      </c>
      <c r="C5399" t="inlineStr"/>
      <c r="D5399" t="inlineStr">
        <is>
          <t>240</t>
        </is>
      </c>
      <c r="E5399" t="inlineStr">
        <is>
          <t>1</t>
        </is>
      </c>
      <c r="F5399" t="inlineStr">
        <is>
          <t>60</t>
        </is>
      </c>
      <c r="G5399" t="inlineStr">
        <is>
          <t>4</t>
        </is>
      </c>
      <c r="H5399" t="inlineStr">
        <is>
          <t>0</t>
        </is>
      </c>
      <c r="I5399" t="inlineStr">
        <is>
          <t>40², 80²</t>
        </is>
      </c>
      <c r="J5399" t="n">
        <v>4</v>
      </c>
      <c r="K5399" t="inlineStr">
        <is>
          <t>2⁶, 8⁶</t>
        </is>
      </c>
      <c r="L5399" t="inlineStr">
        <is>
          <t>16E², 40B⁸, 80D⁹</t>
        </is>
      </c>
      <c r="M5399" t="inlineStr"/>
      <c r="N5399" t="inlineStr">
        <is>
          <t>40B⁸, 5A⁰, 40A⁴, 8D⁰, 10B¹, 80D⁹, 20B², 4C⁰, 8B⁰, 20A¹, 20C⁴, 2B⁰, 1A⁰, 16E², 8H⁰, 40C⁴, 16D¹, 4A⁰, 4F⁰</t>
        </is>
      </c>
      <c r="O5399" t="inlineStr"/>
    </row>
    <row r="5400">
      <c r="A5400">
        <f>HYPERLINK("https://mathstats.uncg.edu/sites/pauli/congruence/csg18.html#group80D18", "80D¹⁸")</f>
        <v/>
      </c>
      <c r="B5400" t="n">
        <v>18</v>
      </c>
      <c r="C5400" t="inlineStr"/>
      <c r="D5400" t="inlineStr">
        <is>
          <t>240</t>
        </is>
      </c>
      <c r="E5400" t="inlineStr">
        <is>
          <t>2</t>
        </is>
      </c>
      <c r="F5400" t="inlineStr">
        <is>
          <t>40</t>
        </is>
      </c>
      <c r="G5400" t="inlineStr">
        <is>
          <t>6</t>
        </is>
      </c>
      <c r="H5400" t="inlineStr">
        <is>
          <t>0</t>
        </is>
      </c>
      <c r="I5400" t="inlineStr">
        <is>
          <t>80³</t>
        </is>
      </c>
      <c r="J5400" t="n">
        <v>3</v>
      </c>
      <c r="K5400" t="inlineStr">
        <is>
          <t>8², 32²</t>
        </is>
      </c>
      <c r="L5400" t="inlineStr">
        <is>
          <t>80A⁴, 40G⁸</t>
        </is>
      </c>
      <c r="M5400" t="inlineStr"/>
      <c r="N5400" t="inlineStr">
        <is>
          <t>5A⁰, 80A⁴, 16A⁰, 40G⁸, 4A⁰, 8A⁰, 5E⁰, 20A¹, 1A⁰, 40A², 20D³</t>
        </is>
      </c>
      <c r="O5400" t="inlineStr"/>
    </row>
    <row r="5401">
      <c r="A5401">
        <f>HYPERLINK("https://mathstats.uncg.edu/sites/pauli/congruence/csg18.html#group80E18", "80E¹⁸")</f>
        <v/>
      </c>
      <c r="B5401" t="n">
        <v>18</v>
      </c>
      <c r="C5401" t="inlineStr"/>
      <c r="D5401" t="inlineStr">
        <is>
          <t>240</t>
        </is>
      </c>
      <c r="E5401" t="inlineStr">
        <is>
          <t>2</t>
        </is>
      </c>
      <c r="F5401" t="inlineStr">
        <is>
          <t>60</t>
        </is>
      </c>
      <c r="G5401" t="inlineStr">
        <is>
          <t>4</t>
        </is>
      </c>
      <c r="H5401" t="inlineStr">
        <is>
          <t>0</t>
        </is>
      </c>
      <c r="I5401" t="inlineStr">
        <is>
          <t>40², 80²</t>
        </is>
      </c>
      <c r="J5401" t="n">
        <v>4</v>
      </c>
      <c r="K5401" t="inlineStr">
        <is>
          <t>2⁸, 4², 8⁸, 16²</t>
        </is>
      </c>
      <c r="L5401" t="inlineStr">
        <is>
          <t>16F², 40F⁸, 80B⁹, 80D⁹</t>
        </is>
      </c>
      <c r="M5401" t="inlineStr"/>
      <c r="N5401" t="inlineStr">
        <is>
          <t>5A⁰, 16D¹, 40A⁴, 16F², 10B¹, 80D⁹, 20B², 4C⁰, 8B⁰, 16B¹, 8L⁰, 2B⁰, 80B⁹, 1A⁰, 40F⁸</t>
        </is>
      </c>
      <c r="O5401" t="inlineStr"/>
    </row>
    <row r="5402">
      <c r="A5402">
        <f>HYPERLINK("https://mathstats.uncg.edu/sites/pauli/congruence/csg18.html#group80F18", "80F¹⁸")</f>
        <v/>
      </c>
      <c r="B5402" t="n">
        <v>18</v>
      </c>
      <c r="C5402" t="inlineStr"/>
      <c r="D5402" t="inlineStr">
        <is>
          <t>240</t>
        </is>
      </c>
      <c r="E5402" t="inlineStr">
        <is>
          <t>2</t>
        </is>
      </c>
      <c r="F5402" t="inlineStr">
        <is>
          <t>120</t>
        </is>
      </c>
      <c r="G5402" t="inlineStr">
        <is>
          <t>6</t>
        </is>
      </c>
      <c r="H5402" t="inlineStr">
        <is>
          <t>0</t>
        </is>
      </c>
      <c r="I5402" t="inlineStr">
        <is>
          <t>80³</t>
        </is>
      </c>
      <c r="J5402" t="n">
        <v>3</v>
      </c>
      <c r="K5402" t="inlineStr">
        <is>
          <t>8², 16², 32⁶</t>
        </is>
      </c>
      <c r="L5402" t="inlineStr">
        <is>
          <t>40G⁸</t>
        </is>
      </c>
      <c r="M5402" t="inlineStr"/>
      <c r="N5402" t="inlineStr">
        <is>
          <t>5A⁰, 40G⁸, 4A⁰, 8A⁰, 5E⁰, 20A¹, 1A⁰, 40A², 20D³</t>
        </is>
      </c>
      <c r="O5402" t="inlineStr"/>
    </row>
    <row r="5403">
      <c r="A5403">
        <f>HYPERLINK("https://mathstats.uncg.edu/sites/pauli/congruence/csg18.html#group84A18", "84A¹⁸")</f>
        <v/>
      </c>
      <c r="B5403" t="n">
        <v>18</v>
      </c>
      <c r="C5403" t="inlineStr"/>
      <c r="D5403" t="inlineStr">
        <is>
          <t>252</t>
        </is>
      </c>
      <c r="E5403" t="inlineStr">
        <is>
          <t>2</t>
        </is>
      </c>
      <c r="F5403" t="inlineStr">
        <is>
          <t>63</t>
        </is>
      </c>
      <c r="G5403" t="inlineStr">
        <is>
          <t>4</t>
        </is>
      </c>
      <c r="H5403" t="inlineStr">
        <is>
          <t>0</t>
        </is>
      </c>
      <c r="I5403" t="inlineStr">
        <is>
          <t>21⁴, 84²</t>
        </is>
      </c>
      <c r="J5403" t="n">
        <v>6</v>
      </c>
      <c r="K5403" t="inlineStr">
        <is>
          <t>2³, 4³, 6⁶, 12⁶</t>
        </is>
      </c>
      <c r="L5403" t="inlineStr">
        <is>
          <t>42C⁸, 84F⁸</t>
        </is>
      </c>
      <c r="M5403" t="inlineStr"/>
      <c r="N5403" t="inlineStr">
        <is>
          <t>21D², 14B¹, 6G⁰, 3C⁰, 42C⁸, 21A⁰, 2B⁰, 84F⁸, 3A⁰, 1A⁰, 42C³, 6D⁰, 7A⁰</t>
        </is>
      </c>
      <c r="O5403" t="inlineStr"/>
    </row>
    <row r="5404">
      <c r="A5404">
        <f>HYPERLINK("https://mathstats.uncg.edu/sites/pauli/congruence/csg18.html#group84B18", "84B¹⁸")</f>
        <v/>
      </c>
      <c r="B5404" t="n">
        <v>18</v>
      </c>
      <c r="C5404" t="inlineStr"/>
      <c r="D5404" t="inlineStr">
        <is>
          <t>252</t>
        </is>
      </c>
      <c r="E5404" t="inlineStr">
        <is>
          <t>2</t>
        </is>
      </c>
      <c r="F5404" t="inlineStr">
        <is>
          <t>63</t>
        </is>
      </c>
      <c r="G5404" t="inlineStr">
        <is>
          <t>8</t>
        </is>
      </c>
      <c r="H5404" t="inlineStr">
        <is>
          <t>0</t>
        </is>
      </c>
      <c r="I5404" t="inlineStr">
        <is>
          <t>42², 84²</t>
        </is>
      </c>
      <c r="J5404" t="n">
        <v>4</v>
      </c>
      <c r="K5404" t="inlineStr">
        <is>
          <t>2³, 4³, 6⁶, 12⁶</t>
        </is>
      </c>
      <c r="L5404" t="inlineStr">
        <is>
          <t>42C⁸, 84G⁸</t>
        </is>
      </c>
      <c r="M5404" t="inlineStr"/>
      <c r="N5404" t="inlineStr">
        <is>
          <t>21D², 14B¹, 84G⁸, 6G⁰, 3C⁰, 42C⁸, 21A⁰, 2B⁰, 3A⁰, 1A⁰, 42C³, 6D⁰, 7A⁰</t>
        </is>
      </c>
      <c r="O5404" t="inlineStr"/>
    </row>
    <row r="5405">
      <c r="A5405">
        <f>HYPERLINK("https://mathstats.uncg.edu/sites/pauli/congruence/csg18.html#group84C18", "84C¹⁸")</f>
        <v/>
      </c>
      <c r="B5405" t="n">
        <v>18</v>
      </c>
      <c r="C5405" t="inlineStr"/>
      <c r="D5405" t="inlineStr">
        <is>
          <t>252</t>
        </is>
      </c>
      <c r="E5405" t="inlineStr">
        <is>
          <t>2</t>
        </is>
      </c>
      <c r="F5405" t="inlineStr">
        <is>
          <t>63</t>
        </is>
      </c>
      <c r="G5405" t="inlineStr">
        <is>
          <t>8</t>
        </is>
      </c>
      <c r="H5405" t="inlineStr">
        <is>
          <t>0</t>
        </is>
      </c>
      <c r="I5405" t="inlineStr">
        <is>
          <t>42², 84²</t>
        </is>
      </c>
      <c r="J5405" t="n">
        <v>4</v>
      </c>
      <c r="K5405" t="inlineStr">
        <is>
          <t>2³, 4³, 6⁶, 12⁶</t>
        </is>
      </c>
      <c r="L5405" t="inlineStr">
        <is>
          <t>42I⁷, 84F⁸, 84C⁹</t>
        </is>
      </c>
      <c r="M5405" t="inlineStr"/>
      <c r="N5405" t="inlineStr">
        <is>
          <t>14A⁰, 42A¹, 14B¹, 14C², 21A⁰, 2B⁰, 84F⁸, 1A⁰, 84C⁹, 42I⁷, 12C¹, 3A⁰, 42C³, 6D⁰, 7A⁰</t>
        </is>
      </c>
      <c r="O5405" t="inlineStr"/>
    </row>
    <row r="5406">
      <c r="A5406">
        <f>HYPERLINK("https://mathstats.uncg.edu/sites/pauli/congruence/csg18.html#group84D18", "84D¹⁸")</f>
        <v/>
      </c>
      <c r="B5406" t="n">
        <v>18</v>
      </c>
      <c r="C5406" t="inlineStr"/>
      <c r="D5406" t="inlineStr">
        <is>
          <t>252</t>
        </is>
      </c>
      <c r="E5406" t="inlineStr">
        <is>
          <t>2</t>
        </is>
      </c>
      <c r="F5406" t="inlineStr">
        <is>
          <t>63</t>
        </is>
      </c>
      <c r="G5406" t="inlineStr">
        <is>
          <t>8</t>
        </is>
      </c>
      <c r="H5406" t="inlineStr">
        <is>
          <t>0</t>
        </is>
      </c>
      <c r="I5406" t="inlineStr">
        <is>
          <t>42², 84²</t>
        </is>
      </c>
      <c r="J5406" t="n">
        <v>4</v>
      </c>
      <c r="K5406" t="inlineStr">
        <is>
          <t>2³, 4³, 6⁶, 12⁶</t>
        </is>
      </c>
      <c r="L5406" t="inlineStr">
        <is>
          <t>42L⁷, 84F⁸, 84B⁹</t>
        </is>
      </c>
      <c r="M5406" t="inlineStr"/>
      <c r="N5406" t="inlineStr">
        <is>
          <t>6B⁰, 42B¹, 14B¹, 6H⁰, 21A⁰, 2B⁰, 84F⁸, 1A⁰, 42L⁷, 84B⁹, 28B³, 3A⁰, 42C³, 6D⁰, 7A⁰</t>
        </is>
      </c>
      <c r="O5406" t="inlineStr"/>
    </row>
    <row r="5407">
      <c r="A5407">
        <f>HYPERLINK("https://mathstats.uncg.edu/sites/pauli/congruence/csg18.html#group84E18", "84E¹⁸")</f>
        <v/>
      </c>
      <c r="B5407" t="n">
        <v>18</v>
      </c>
      <c r="C5407" t="inlineStr"/>
      <c r="D5407" t="inlineStr">
        <is>
          <t>252</t>
        </is>
      </c>
      <c r="E5407" t="inlineStr">
        <is>
          <t>2</t>
        </is>
      </c>
      <c r="F5407" t="inlineStr">
        <is>
          <t>63</t>
        </is>
      </c>
      <c r="G5407" t="inlineStr">
        <is>
          <t>8</t>
        </is>
      </c>
      <c r="H5407" t="inlineStr">
        <is>
          <t>0</t>
        </is>
      </c>
      <c r="I5407" t="inlineStr">
        <is>
          <t>42², 84²</t>
        </is>
      </c>
      <c r="J5407" t="n">
        <v>4</v>
      </c>
      <c r="K5407" t="inlineStr">
        <is>
          <t>2³, 4³, 6⁶, 12⁶</t>
        </is>
      </c>
      <c r="L5407" t="inlineStr">
        <is>
          <t>84B⁷, 42D⁸, 84C⁹</t>
        </is>
      </c>
      <c r="M5407" t="inlineStr"/>
      <c r="N5407" t="inlineStr">
        <is>
          <t>84B⁷, 28B², 42A², 12C¹, 42D⁸, 14B¹, 21A⁰, 2B⁰, 3A⁰, 1A⁰, 84C⁹, 6D⁰, 7A⁰, 42C³</t>
        </is>
      </c>
      <c r="O5407" t="inlineStr"/>
    </row>
    <row r="5408">
      <c r="A5408">
        <f>HYPERLINK("https://mathstats.uncg.edu/sites/pauli/congruence/csg18.html#group84F18", "84F¹⁸")</f>
        <v/>
      </c>
      <c r="B5408" t="n">
        <v>18</v>
      </c>
      <c r="C5408" t="inlineStr"/>
      <c r="D5408" t="inlineStr">
        <is>
          <t>252</t>
        </is>
      </c>
      <c r="E5408" t="inlineStr">
        <is>
          <t>2</t>
        </is>
      </c>
      <c r="F5408" t="inlineStr">
        <is>
          <t>63</t>
        </is>
      </c>
      <c r="G5408" t="inlineStr">
        <is>
          <t>8</t>
        </is>
      </c>
      <c r="H5408" t="inlineStr">
        <is>
          <t>0</t>
        </is>
      </c>
      <c r="I5408" t="inlineStr">
        <is>
          <t>42², 84²</t>
        </is>
      </c>
      <c r="J5408" t="n">
        <v>4</v>
      </c>
      <c r="K5408" t="inlineStr">
        <is>
          <t>2³, 4³, 6⁶, 12⁶</t>
        </is>
      </c>
      <c r="L5408" t="inlineStr">
        <is>
          <t>84C⁷, 42D⁸, 84B⁹</t>
        </is>
      </c>
      <c r="M5408" t="inlineStr"/>
      <c r="N5408" t="inlineStr">
        <is>
          <t>42A², 42D⁸, 14B¹, 84C⁷, 21A⁰, 84B⁹, 2B⁰, 12D⁰, 28B³, 3A⁰, 1A⁰, 42C³, 6D⁰, 7A⁰</t>
        </is>
      </c>
      <c r="O5408" t="inlineStr"/>
    </row>
    <row r="5409">
      <c r="A5409">
        <f>HYPERLINK("https://mathstats.uncg.edu/sites/pauli/congruence/csg18.html#group84G18", "84G¹⁸")</f>
        <v/>
      </c>
      <c r="B5409" t="n">
        <v>18</v>
      </c>
      <c r="C5409" t="inlineStr"/>
      <c r="D5409" t="inlineStr">
        <is>
          <t>252</t>
        </is>
      </c>
      <c r="E5409" t="inlineStr">
        <is>
          <t>2</t>
        </is>
      </c>
      <c r="F5409" t="inlineStr">
        <is>
          <t>63</t>
        </is>
      </c>
      <c r="G5409" t="inlineStr">
        <is>
          <t>8</t>
        </is>
      </c>
      <c r="H5409" t="inlineStr">
        <is>
          <t>0</t>
        </is>
      </c>
      <c r="I5409" t="inlineStr">
        <is>
          <t>42², 84²</t>
        </is>
      </c>
      <c r="J5409" t="n">
        <v>4</v>
      </c>
      <c r="K5409" t="inlineStr">
        <is>
          <t>4⁹, 12¹⁸</t>
        </is>
      </c>
      <c r="L5409" t="inlineStr">
        <is>
          <t>42K⁷, 84G⁸, 84C⁹</t>
        </is>
      </c>
      <c r="M5409" t="inlineStr"/>
      <c r="N5409" t="inlineStr">
        <is>
          <t>12C¹, 14B¹, 21D¹, 84G⁸, 21A⁰, 42K⁷, 2B⁰, 3A⁰, 1A⁰, 84C⁹, 6D⁰, 7A⁰, 42C³</t>
        </is>
      </c>
      <c r="O5409" t="inlineStr"/>
    </row>
    <row r="5410">
      <c r="A5410">
        <f>HYPERLINK("https://mathstats.uncg.edu/sites/pauli/congruence/csg18.html#group84H18", "84H¹⁸")</f>
        <v/>
      </c>
      <c r="B5410" t="n">
        <v>18</v>
      </c>
      <c r="C5410" t="inlineStr"/>
      <c r="D5410" t="inlineStr">
        <is>
          <t>252</t>
        </is>
      </c>
      <c r="E5410" t="inlineStr">
        <is>
          <t>2</t>
        </is>
      </c>
      <c r="F5410" t="inlineStr">
        <is>
          <t>63</t>
        </is>
      </c>
      <c r="G5410" t="inlineStr">
        <is>
          <t>8</t>
        </is>
      </c>
      <c r="H5410" t="inlineStr">
        <is>
          <t>0</t>
        </is>
      </c>
      <c r="I5410" t="inlineStr">
        <is>
          <t>42², 84²</t>
        </is>
      </c>
      <c r="J5410" t="n">
        <v>4</v>
      </c>
      <c r="K5410" t="inlineStr">
        <is>
          <t>4⁹, 12¹⁸</t>
        </is>
      </c>
      <c r="L5410" t="inlineStr">
        <is>
          <t>42K⁷, 84G⁸, 84C⁹</t>
        </is>
      </c>
      <c r="M5410" t="inlineStr"/>
      <c r="N5410" t="inlineStr">
        <is>
          <t>12C¹, 14B¹, 21D¹, 84G⁸, 21A⁰, 42K⁷, 2B⁰, 3A⁰, 1A⁰, 84C⁹, 6D⁰, 7A⁰, 42C³</t>
        </is>
      </c>
      <c r="O5410" t="inlineStr"/>
    </row>
    <row r="5411">
      <c r="A5411">
        <f>HYPERLINK("https://mathstats.uncg.edu/sites/pauli/congruence/csg18.html#group86A18", "86A¹⁸")</f>
        <v/>
      </c>
      <c r="B5411" t="n">
        <v>18</v>
      </c>
      <c r="C5411" t="inlineStr"/>
      <c r="D5411" t="inlineStr">
        <is>
          <t>264</t>
        </is>
      </c>
      <c r="E5411" t="inlineStr">
        <is>
          <t>1</t>
        </is>
      </c>
      <c r="F5411" t="inlineStr">
        <is>
          <t>88</t>
        </is>
      </c>
      <c r="G5411" t="inlineStr">
        <is>
          <t>0</t>
        </is>
      </c>
      <c r="H5411" t="inlineStr">
        <is>
          <t>6</t>
        </is>
      </c>
      <c r="I5411" t="inlineStr">
        <is>
          <t>2³, 86³</t>
        </is>
      </c>
      <c r="J5411" t="n">
        <v>6</v>
      </c>
      <c r="K5411" t="inlineStr">
        <is>
          <t>1⁴, 42²</t>
        </is>
      </c>
      <c r="L5411" t="inlineStr">
        <is>
          <t>86A⁶</t>
        </is>
      </c>
      <c r="M5411" t="inlineStr"/>
      <c r="N5411" t="inlineStr">
        <is>
          <t>43A³, 2A⁰, 86A⁶, 1A⁰</t>
        </is>
      </c>
      <c r="O5411" t="inlineStr"/>
    </row>
    <row r="5412">
      <c r="A5412">
        <f>HYPERLINK("https://mathstats.uncg.edu/sites/pauli/congruence/csg18.html#group88A18", "88A¹⁸")</f>
        <v/>
      </c>
      <c r="B5412" t="n">
        <v>18</v>
      </c>
      <c r="C5412" t="inlineStr"/>
      <c r="D5412" t="inlineStr">
        <is>
          <t>264</t>
        </is>
      </c>
      <c r="E5412" t="inlineStr">
        <is>
          <t>2</t>
        </is>
      </c>
      <c r="F5412" t="inlineStr">
        <is>
          <t>66</t>
        </is>
      </c>
      <c r="G5412" t="inlineStr">
        <is>
          <t>12</t>
        </is>
      </c>
      <c r="H5412" t="inlineStr">
        <is>
          <t>0</t>
        </is>
      </c>
      <c r="I5412" t="inlineStr">
        <is>
          <t>44², 88²</t>
        </is>
      </c>
      <c r="J5412" t="n">
        <v>4</v>
      </c>
      <c r="K5412" t="inlineStr">
        <is>
          <t>2², 4², 10⁴, 20⁴</t>
        </is>
      </c>
      <c r="L5412" t="inlineStr">
        <is>
          <t>8H⁰, 88B⁸, 44A⁹, 88A⁹</t>
        </is>
      </c>
      <c r="M5412" t="inlineStr"/>
      <c r="N5412" t="inlineStr">
        <is>
          <t>44A², 8D⁰, 44C⁴, 4C⁰, 8B⁰, 2B⁰, 22B², 1A⁰, 88B⁸, 8H⁰, 88A⁹, 11A⁰, 4A⁰, 4F⁰, 44A⁹</t>
        </is>
      </c>
      <c r="O5412" t="inlineStr"/>
    </row>
    <row r="5413">
      <c r="A5413">
        <f>HYPERLINK("https://mathstats.uncg.edu/sites/pauli/congruence/csg18.html#group88B18", "88B¹⁸")</f>
        <v/>
      </c>
      <c r="B5413" t="n">
        <v>18</v>
      </c>
      <c r="C5413" t="inlineStr"/>
      <c r="D5413" t="inlineStr">
        <is>
          <t>264</t>
        </is>
      </c>
      <c r="E5413" t="inlineStr">
        <is>
          <t>2</t>
        </is>
      </c>
      <c r="F5413" t="inlineStr">
        <is>
          <t>132</t>
        </is>
      </c>
      <c r="G5413" t="inlineStr">
        <is>
          <t>12</t>
        </is>
      </c>
      <c r="H5413" t="inlineStr">
        <is>
          <t>0</t>
        </is>
      </c>
      <c r="I5413" t="inlineStr">
        <is>
          <t>44², 88²</t>
        </is>
      </c>
      <c r="J5413" t="n">
        <v>4</v>
      </c>
      <c r="K5413" t="inlineStr">
        <is>
          <t>2⁴, 4², 8¹, 10⁸, 20⁴, 40²</t>
        </is>
      </c>
      <c r="L5413" t="inlineStr">
        <is>
          <t>8L⁰, 88B⁸</t>
        </is>
      </c>
      <c r="M5413" t="inlineStr"/>
      <c r="N5413" t="inlineStr">
        <is>
          <t>11A⁰, 44C⁴, 4C⁰, 8B⁰, 8L⁰, 2B⁰, 22B², 1A⁰, 88B⁸</t>
        </is>
      </c>
      <c r="O5413" t="inlineStr"/>
    </row>
    <row r="5414">
      <c r="A5414">
        <f>HYPERLINK("https://mathstats.uncg.edu/sites/pauli/congruence/csg18.html#group90A18", "90A¹⁸")</f>
        <v/>
      </c>
      <c r="B5414" t="n">
        <v>18</v>
      </c>
      <c r="C5414" t="inlineStr"/>
      <c r="D5414" t="inlineStr">
        <is>
          <t>240</t>
        </is>
      </c>
      <c r="E5414" t="inlineStr">
        <is>
          <t>1</t>
        </is>
      </c>
      <c r="F5414" t="inlineStr">
        <is>
          <t>80</t>
        </is>
      </c>
      <c r="G5414" t="inlineStr">
        <is>
          <t>0</t>
        </is>
      </c>
      <c r="H5414" t="inlineStr">
        <is>
          <t>3</t>
        </is>
      </c>
      <c r="I5414" t="inlineStr">
        <is>
          <t>30², 90²</t>
        </is>
      </c>
      <c r="J5414" t="n">
        <v>4</v>
      </c>
      <c r="K5414" t="inlineStr">
        <is>
          <t>4⁴, 8⁸</t>
        </is>
      </c>
      <c r="L5414" t="inlineStr">
        <is>
          <t>18D¹, 30J⁵</t>
        </is>
      </c>
      <c r="M5414" t="inlineStr"/>
      <c r="N5414" t="inlineStr">
        <is>
          <t>30J⁵, 2A⁰, 3B⁰, 6C⁰, 10C¹, 1A⁰, 15C², 5C⁰, 18D¹</t>
        </is>
      </c>
      <c r="O5414" t="inlineStr"/>
    </row>
    <row r="5415">
      <c r="A5415">
        <f>HYPERLINK("https://mathstats.uncg.edu/sites/pauli/congruence/csg18.html#group90B18", "90B¹⁸")</f>
        <v/>
      </c>
      <c r="B5415" t="n">
        <v>18</v>
      </c>
      <c r="C5415" t="inlineStr"/>
      <c r="D5415" t="inlineStr">
        <is>
          <t>270</t>
        </is>
      </c>
      <c r="E5415" t="inlineStr">
        <is>
          <t>1</t>
        </is>
      </c>
      <c r="F5415" t="inlineStr">
        <is>
          <t>135</t>
        </is>
      </c>
      <c r="G5415" t="inlineStr">
        <is>
          <t>0</t>
        </is>
      </c>
      <c r="H5415" t="inlineStr">
        <is>
          <t>12</t>
        </is>
      </c>
      <c r="I5415" t="inlineStr">
        <is>
          <t>90³</t>
        </is>
      </c>
      <c r="J5415" t="n">
        <v>3</v>
      </c>
      <c r="K5415" t="inlineStr">
        <is>
          <t>3¹, 6⁴, 12¹, 24⁴</t>
        </is>
      </c>
      <c r="L5415" t="inlineStr">
        <is>
          <t>10A⁰, 18J², 45C⁸</t>
        </is>
      </c>
      <c r="M5415" t="inlineStr"/>
      <c r="N5415" t="inlineStr">
        <is>
          <t>2A⁰, 5A⁰, 10A⁰, 18J², 45C⁸, 9F⁰, 1A⁰</t>
        </is>
      </c>
      <c r="O5415" t="inlineStr"/>
    </row>
    <row r="5416">
      <c r="A5416">
        <f>HYPERLINK("https://mathstats.uncg.edu/sites/pauli/congruence/csg18.html#group90C18", "90C¹⁸")</f>
        <v/>
      </c>
      <c r="B5416" t="n">
        <v>18</v>
      </c>
      <c r="C5416" t="inlineStr"/>
      <c r="D5416" t="inlineStr">
        <is>
          <t>270</t>
        </is>
      </c>
      <c r="E5416" t="inlineStr">
        <is>
          <t>1</t>
        </is>
      </c>
      <c r="F5416" t="inlineStr">
        <is>
          <t>135</t>
        </is>
      </c>
      <c r="G5416" t="inlineStr">
        <is>
          <t>16</t>
        </is>
      </c>
      <c r="H5416" t="inlineStr">
        <is>
          <t>0</t>
        </is>
      </c>
      <c r="I5416" t="inlineStr">
        <is>
          <t>90³</t>
        </is>
      </c>
      <c r="J5416" t="n">
        <v>3</v>
      </c>
      <c r="K5416" t="inlineStr">
        <is>
          <t>1¹, 2², 4⁴, 6¹, 8³, 12¹, 24³</t>
        </is>
      </c>
      <c r="L5416" t="inlineStr">
        <is>
          <t>30L⁵, 45D⁷</t>
        </is>
      </c>
      <c r="M5416" t="inlineStr"/>
      <c r="N5416" t="inlineStr">
        <is>
          <t>5A⁰, 30L⁵, 15A¹, 9A⁰, 15F¹, 5E⁰, 45A³, 3A⁰, 1A⁰, 45D⁷, 15A⁰</t>
        </is>
      </c>
      <c r="O5416" t="inlineStr"/>
    </row>
    <row r="5417">
      <c r="A5417">
        <f>HYPERLINK("https://mathstats.uncg.edu/sites/pauli/congruence/csg18.html#group90D18", "90D¹⁸")</f>
        <v/>
      </c>
      <c r="B5417" t="n">
        <v>18</v>
      </c>
      <c r="C5417" t="inlineStr"/>
      <c r="D5417" t="inlineStr">
        <is>
          <t>324</t>
        </is>
      </c>
      <c r="E5417" t="inlineStr">
        <is>
          <t>1</t>
        </is>
      </c>
      <c r="F5417" t="inlineStr">
        <is>
          <t>162</t>
        </is>
      </c>
      <c r="G5417" t="inlineStr">
        <is>
          <t>28</t>
        </is>
      </c>
      <c r="H5417" t="inlineStr">
        <is>
          <t>0</t>
        </is>
      </c>
      <c r="I5417" t="inlineStr">
        <is>
          <t>18³, 90³</t>
        </is>
      </c>
      <c r="J5417" t="n">
        <v>6</v>
      </c>
      <c r="K5417" t="inlineStr">
        <is>
          <t>3², 6⁸, 12¹, 24⁴</t>
        </is>
      </c>
      <c r="L5417" t="inlineStr">
        <is>
          <t>90A⁴, 45D⁸</t>
        </is>
      </c>
      <c r="M5417" t="inlineStr"/>
      <c r="N5417" t="inlineStr">
        <is>
          <t>30A⁰, 45A², 15B⁰, 90A⁴, 45D⁸, 9A⁰, 9G⁰, 5B⁰, 3A⁰, 1A⁰, 10B⁰</t>
        </is>
      </c>
      <c r="O5417" t="inlineStr"/>
    </row>
    <row r="5418">
      <c r="A5418">
        <f>HYPERLINK("https://mathstats.uncg.edu/sites/pauli/congruence/csg18.html#group91A18", "91A¹⁸")</f>
        <v/>
      </c>
      <c r="B5418" t="n">
        <v>18</v>
      </c>
      <c r="C5418" t="inlineStr"/>
      <c r="D5418" t="inlineStr">
        <is>
          <t>294</t>
        </is>
      </c>
      <c r="E5418" t="inlineStr">
        <is>
          <t>2</t>
        </is>
      </c>
      <c r="F5418" t="inlineStr">
        <is>
          <t>98</t>
        </is>
      </c>
      <c r="G5418" t="inlineStr">
        <is>
          <t>18</t>
        </is>
      </c>
      <c r="H5418" t="inlineStr">
        <is>
          <t>0</t>
        </is>
      </c>
      <c r="I5418" t="inlineStr">
        <is>
          <t>7³, 91³</t>
        </is>
      </c>
      <c r="J5418" t="n">
        <v>6</v>
      </c>
      <c r="K5418" t="inlineStr">
        <is>
          <t>2², 6⁴, 24¹, 72²</t>
        </is>
      </c>
      <c r="L5418" t="inlineStr">
        <is>
          <t>13C⁰, 91A⁶</t>
        </is>
      </c>
      <c r="M5418" t="inlineStr"/>
      <c r="N5418" t="inlineStr">
        <is>
          <t>13A⁰, 13C⁰, 91A⁶, 1A⁰, 7A⁰</t>
        </is>
      </c>
      <c r="O5418" t="inlineStr"/>
    </row>
    <row r="5419">
      <c r="A5419">
        <f>HYPERLINK("https://mathstats.uncg.edu/sites/pauli/congruence/csg18.html#group96A18", "96A¹⁸")</f>
        <v/>
      </c>
      <c r="B5419" t="n">
        <v>18</v>
      </c>
      <c r="C5419" t="inlineStr"/>
      <c r="D5419" t="inlineStr">
        <is>
          <t>288</t>
        </is>
      </c>
      <c r="E5419" t="inlineStr">
        <is>
          <t>1</t>
        </is>
      </c>
      <c r="F5419" t="inlineStr">
        <is>
          <t>12</t>
        </is>
      </c>
      <c r="G5419" t="inlineStr">
        <is>
          <t>0</t>
        </is>
      </c>
      <c r="H5419" t="inlineStr">
        <is>
          <t>0</t>
        </is>
      </c>
      <c r="I5419" t="inlineStr">
        <is>
          <t>6⁸, 12⁴, 96²</t>
        </is>
      </c>
      <c r="J5419" t="n">
        <v>14</v>
      </c>
      <c r="K5419" t="inlineStr">
        <is>
          <t>2⁶</t>
        </is>
      </c>
      <c r="L5419" t="inlineStr">
        <is>
          <t>32B², 48C⁸, 96C⁸, 96D⁸</t>
        </is>
      </c>
      <c r="M5419" t="inlineStr"/>
      <c r="N5419" t="inlineStr">
        <is>
          <t>16G⁰, 2A⁰, 12C⁰, 8D⁰, 4C⁰, 6C¹, 12B², 96D⁸, 32D¹, 8C⁰, 2B⁰, 4E⁰, 4B⁰, 1A⁰, 24D⁴, 24B², 16E⁰, 32B², 6A⁰, 32C¹, 8G⁰, 96C⁸, 16D⁰, 48C⁸, 24C¹, 12B¹, 6A¹, 48D³, 3A⁰, 2C⁰, 6D⁰, 48D⁴</t>
        </is>
      </c>
      <c r="O5419" t="inlineStr"/>
    </row>
    <row r="5420">
      <c r="A5420">
        <f>HYPERLINK("https://mathstats.uncg.edu/sites/pauli/congruence/csg18.html#group96B18", "96B¹⁸")</f>
        <v/>
      </c>
      <c r="B5420" t="n">
        <v>18</v>
      </c>
      <c r="C5420" t="inlineStr"/>
      <c r="D5420" t="inlineStr">
        <is>
          <t>288</t>
        </is>
      </c>
      <c r="E5420" t="inlineStr">
        <is>
          <t>1</t>
        </is>
      </c>
      <c r="F5420" t="inlineStr">
        <is>
          <t>24</t>
        </is>
      </c>
      <c r="G5420" t="inlineStr">
        <is>
          <t>0</t>
        </is>
      </c>
      <c r="H5420" t="inlineStr">
        <is>
          <t>0</t>
        </is>
      </c>
      <c r="I5420" t="inlineStr">
        <is>
          <t>3⁴, 6², 12⁶, 96²</t>
        </is>
      </c>
      <c r="J5420" t="n">
        <v>14</v>
      </c>
      <c r="K5420" t="inlineStr">
        <is>
          <t>1⁴, 2², 4², 8¹</t>
        </is>
      </c>
      <c r="L5420" t="inlineStr">
        <is>
          <t>32C², 48E⁸</t>
        </is>
      </c>
      <c r="M5420" t="inlineStr"/>
      <c r="N5420" t="inlineStr">
        <is>
          <t>24F⁴, 32C², 8C⁰, 2B⁰, 8I⁰, 4B⁰, 1A⁰, 48B⁴, 16H⁰, 24B², 48E⁸, 16C⁰, 16D⁰, 12B¹, 3A⁰, 6D⁰, 48D⁴</t>
        </is>
      </c>
      <c r="O5420" t="inlineStr"/>
    </row>
    <row r="5421">
      <c r="A5421">
        <f>HYPERLINK("https://mathstats.uncg.edu/sites/pauli/congruence/csg18.html#group96C18", "96C¹⁸")</f>
        <v/>
      </c>
      <c r="B5421" t="n">
        <v>18</v>
      </c>
      <c r="C5421" t="inlineStr"/>
      <c r="D5421" t="inlineStr">
        <is>
          <t>288</t>
        </is>
      </c>
      <c r="E5421" t="inlineStr">
        <is>
          <t>1</t>
        </is>
      </c>
      <c r="F5421" t="inlineStr">
        <is>
          <t>36</t>
        </is>
      </c>
      <c r="G5421" t="inlineStr">
        <is>
          <t>0</t>
        </is>
      </c>
      <c r="H5421" t="inlineStr">
        <is>
          <t>0</t>
        </is>
      </c>
      <c r="I5421" t="inlineStr">
        <is>
          <t>6⁸, 12⁴, 96²</t>
        </is>
      </c>
      <c r="J5421" t="n">
        <v>14</v>
      </c>
      <c r="K5421" t="inlineStr">
        <is>
          <t>2⁶, 4⁶</t>
        </is>
      </c>
      <c r="L5421" t="inlineStr">
        <is>
          <t>48C⁸, 96E⁸, 96F⁸</t>
        </is>
      </c>
      <c r="M5421" t="inlineStr"/>
      <c r="N5421" t="inlineStr">
        <is>
          <t>16G⁰, 2A⁰, 12C⁰, 4C⁰, 6C¹, 12B², 2B⁰, 8C⁰, 4E⁰, 4B⁰, 1A⁰, 16E⁰, 24B², 8G⁰, 12B¹, 6A¹, 48D³, 3A⁰, 48D⁴, 8D⁰, 96E⁸, 24D⁴, 96F⁸, 6A⁰, 16D⁰, 48C⁸, 24C¹, 2C⁰, 6D⁰</t>
        </is>
      </c>
      <c r="O5421" t="inlineStr"/>
    </row>
    <row r="5422">
      <c r="A5422">
        <f>HYPERLINK("https://mathstats.uncg.edu/sites/pauli/congruence/csg18.html#group96D18", "96D¹⁸")</f>
        <v/>
      </c>
      <c r="B5422" t="n">
        <v>18</v>
      </c>
      <c r="C5422" t="inlineStr"/>
      <c r="D5422" t="inlineStr">
        <is>
          <t>288</t>
        </is>
      </c>
      <c r="E5422" t="inlineStr">
        <is>
          <t>1</t>
        </is>
      </c>
      <c r="F5422" t="inlineStr">
        <is>
          <t>72</t>
        </is>
      </c>
      <c r="G5422" t="inlineStr">
        <is>
          <t>0</t>
        </is>
      </c>
      <c r="H5422" t="inlineStr">
        <is>
          <t>0</t>
        </is>
      </c>
      <c r="I5422" t="inlineStr">
        <is>
          <t>3⁴, 6², 12⁶, 96²</t>
        </is>
      </c>
      <c r="J5422" t="n">
        <v>14</v>
      </c>
      <c r="K5422" t="inlineStr">
        <is>
          <t>1⁴, 2⁶, 4⁴, 8³, 16¹</t>
        </is>
      </c>
      <c r="L5422" t="inlineStr">
        <is>
          <t>48E⁸</t>
        </is>
      </c>
      <c r="M5422" t="inlineStr"/>
      <c r="N5422" t="inlineStr">
        <is>
          <t>24F⁴, 8C⁰, 2B⁰, 8I⁰, 4B⁰, 1A⁰, 48B⁴, 16H⁰, 24B², 48E⁸, 16C⁰, 16D⁰, 12B¹, 3A⁰, 6D⁰, 48D⁴</t>
        </is>
      </c>
      <c r="O5422" t="inlineStr"/>
    </row>
    <row r="5423">
      <c r="A5423">
        <f>HYPERLINK("https://mathstats.uncg.edu/sites/pauli/congruence/csg18.html#group96E18", "96E¹⁸")</f>
        <v/>
      </c>
      <c r="B5423" t="n">
        <v>18</v>
      </c>
      <c r="C5423" t="inlineStr"/>
      <c r="D5423" t="inlineStr">
        <is>
          <t>288</t>
        </is>
      </c>
      <c r="E5423" t="inlineStr">
        <is>
          <t>1</t>
        </is>
      </c>
      <c r="F5423" t="inlineStr">
        <is>
          <t>72</t>
        </is>
      </c>
      <c r="G5423" t="inlineStr">
        <is>
          <t>8</t>
        </is>
      </c>
      <c r="H5423" t="inlineStr">
        <is>
          <t>0</t>
        </is>
      </c>
      <c r="I5423" t="inlineStr">
        <is>
          <t>12⁸, 96²</t>
        </is>
      </c>
      <c r="J5423" t="n">
        <v>10</v>
      </c>
      <c r="K5423" t="inlineStr">
        <is>
          <t>2², 4⁵, 8⁷, 16⁴</t>
        </is>
      </c>
      <c r="L5423" t="inlineStr">
        <is>
          <t>48P⁸, 96C⁸, 96F⁸</t>
        </is>
      </c>
      <c r="M5423" t="inlineStr"/>
      <c r="N5423" t="inlineStr">
        <is>
          <t>24Q³, 12C⁰, 8D⁰, 48H⁴, 4C⁰, 24D¹, 2B⁰, 12M¹, 48P⁸, 1A⁰, 16E⁰, 96F⁸, 32C¹, 96C⁸, 24C¹, 48D³, 3A⁰, 6D⁰</t>
        </is>
      </c>
      <c r="O5423" t="inlineStr"/>
    </row>
    <row r="5424">
      <c r="A5424">
        <f>HYPERLINK("https://mathstats.uncg.edu/sites/pauli/congruence/csg18.html#group96F18", "96F¹⁸")</f>
        <v/>
      </c>
      <c r="B5424" t="n">
        <v>18</v>
      </c>
      <c r="C5424" t="inlineStr"/>
      <c r="D5424" t="inlineStr">
        <is>
          <t>288</t>
        </is>
      </c>
      <c r="E5424" t="inlineStr">
        <is>
          <t>1</t>
        </is>
      </c>
      <c r="F5424" t="inlineStr">
        <is>
          <t>72</t>
        </is>
      </c>
      <c r="G5424" t="inlineStr">
        <is>
          <t>8</t>
        </is>
      </c>
      <c r="H5424" t="inlineStr">
        <is>
          <t>0</t>
        </is>
      </c>
      <c r="I5424" t="inlineStr">
        <is>
          <t>12⁸, 96²</t>
        </is>
      </c>
      <c r="J5424" t="n">
        <v>10</v>
      </c>
      <c r="K5424" t="inlineStr">
        <is>
          <t>2², 4⁵, 8⁷, 16⁴</t>
        </is>
      </c>
      <c r="L5424" t="inlineStr">
        <is>
          <t>48P⁸, 96D⁸, 96E⁸</t>
        </is>
      </c>
      <c r="M5424" t="inlineStr"/>
      <c r="N5424" t="inlineStr">
        <is>
          <t>24Q³, 12C⁰, 8D⁰, 48H⁴, 4C⁰, 24D¹, 96D⁸, 32D¹, 2B⁰, 12M¹, 48P⁸, 96E⁸, 1A⁰, 16E⁰, 24C¹, 48D³, 3A⁰, 6D⁰</t>
        </is>
      </c>
      <c r="O5424" t="inlineStr"/>
    </row>
    <row r="5425">
      <c r="A5425">
        <f>HYPERLINK("https://mathstats.uncg.edu/sites/pauli/congruence/csg18.html#group96G18", "96G¹⁸")</f>
        <v/>
      </c>
      <c r="B5425" t="n">
        <v>18</v>
      </c>
      <c r="C5425" t="inlineStr"/>
      <c r="D5425" t="inlineStr">
        <is>
          <t>288</t>
        </is>
      </c>
      <c r="E5425" t="inlineStr">
        <is>
          <t>2</t>
        </is>
      </c>
      <c r="F5425" t="inlineStr">
        <is>
          <t>72</t>
        </is>
      </c>
      <c r="G5425" t="inlineStr">
        <is>
          <t>8</t>
        </is>
      </c>
      <c r="H5425" t="inlineStr">
        <is>
          <t>0</t>
        </is>
      </c>
      <c r="I5425" t="inlineStr">
        <is>
          <t>12⁸, 96²</t>
        </is>
      </c>
      <c r="J5425" t="n">
        <v>10</v>
      </c>
      <c r="K5425" t="inlineStr">
        <is>
          <t>2², 4³, 8⁴, 16⁶</t>
        </is>
      </c>
      <c r="L5425" t="inlineStr">
        <is>
          <t>48P⁸, 96E⁸, 96F⁸</t>
        </is>
      </c>
      <c r="M5425" t="inlineStr"/>
      <c r="N5425" t="inlineStr">
        <is>
          <t>24Q³, 12C⁰, 8D⁰, 48H⁴, 4C⁰, 24D¹, 2B⁰, 12M¹, 48P⁸, 96E⁸, 1A⁰, 16E⁰, 96F⁸, 24C¹, 48D³, 3A⁰, 6D⁰</t>
        </is>
      </c>
      <c r="O5425" t="inlineStr"/>
    </row>
    <row r="5426">
      <c r="A5426">
        <f>HYPERLINK("https://mathstats.uncg.edu/sites/pauli/congruence/csg18.html#group105A18", "105A¹⁸")</f>
        <v/>
      </c>
      <c r="B5426" t="n">
        <v>18</v>
      </c>
      <c r="C5426" t="inlineStr"/>
      <c r="D5426" t="inlineStr">
        <is>
          <t>240</t>
        </is>
      </c>
      <c r="E5426" t="inlineStr">
        <is>
          <t>2</t>
        </is>
      </c>
      <c r="F5426" t="inlineStr">
        <is>
          <t>80</t>
        </is>
      </c>
      <c r="G5426" t="inlineStr">
        <is>
          <t>0</t>
        </is>
      </c>
      <c r="H5426" t="inlineStr">
        <is>
          <t>3</t>
        </is>
      </c>
      <c r="I5426" t="inlineStr">
        <is>
          <t>15², 105²</t>
        </is>
      </c>
      <c r="J5426" t="n">
        <v>4</v>
      </c>
      <c r="K5426" t="inlineStr">
        <is>
          <t>4², 8⁴, 24¹, 48²</t>
        </is>
      </c>
      <c r="L5426" t="inlineStr">
        <is>
          <t>21A¹, 35A⁵</t>
        </is>
      </c>
      <c r="M5426" t="inlineStr"/>
      <c r="N5426" t="inlineStr">
        <is>
          <t>35A⁵, 1A⁰, 5C⁰, 7B⁰, 21A¹</t>
        </is>
      </c>
      <c r="O5426" t="inlineStr"/>
    </row>
    <row r="5427">
      <c r="A5427">
        <f>HYPERLINK("https://mathstats.uncg.edu/sites/pauli/congruence/csg18.html#group111A18", "111A¹⁸")</f>
        <v/>
      </c>
      <c r="B5427" t="n">
        <v>18</v>
      </c>
      <c r="C5427" t="inlineStr"/>
      <c r="D5427" t="inlineStr">
        <is>
          <t>228</t>
        </is>
      </c>
      <c r="E5427" t="inlineStr">
        <is>
          <t>1</t>
        </is>
      </c>
      <c r="F5427" t="inlineStr">
        <is>
          <t>38</t>
        </is>
      </c>
      <c r="G5427" t="inlineStr">
        <is>
          <t>0</t>
        </is>
      </c>
      <c r="H5427" t="inlineStr">
        <is>
          <t>0</t>
        </is>
      </c>
      <c r="I5427" t="inlineStr">
        <is>
          <t>3², 111²</t>
        </is>
      </c>
      <c r="J5427" t="n">
        <v>4</v>
      </c>
      <c r="K5427" t="inlineStr">
        <is>
          <t>1², 36¹</t>
        </is>
      </c>
      <c r="L5427" t="inlineStr">
        <is>
          <t>37A⁴, 111A⁸</t>
        </is>
      </c>
      <c r="M5427" t="inlineStr"/>
      <c r="N5427" t="inlineStr">
        <is>
          <t>37A², 111A⁸, 3A⁰, 37A⁴, 1A⁰</t>
        </is>
      </c>
      <c r="O5427" t="inlineStr"/>
    </row>
    <row r="5428">
      <c r="A5428">
        <f>HYPERLINK("https://mathstats.uncg.edu/sites/pauli/congruence/csg18.html#group111B18", "111B¹⁸")</f>
        <v/>
      </c>
      <c r="B5428" t="n">
        <v>18</v>
      </c>
      <c r="C5428" t="inlineStr"/>
      <c r="D5428" t="inlineStr">
        <is>
          <t>228</t>
        </is>
      </c>
      <c r="E5428" t="inlineStr">
        <is>
          <t>2</t>
        </is>
      </c>
      <c r="F5428" t="inlineStr">
        <is>
          <t>38</t>
        </is>
      </c>
      <c r="G5428" t="inlineStr">
        <is>
          <t>0</t>
        </is>
      </c>
      <c r="H5428" t="inlineStr">
        <is>
          <t>0</t>
        </is>
      </c>
      <c r="I5428" t="inlineStr">
        <is>
          <t>3², 111²</t>
        </is>
      </c>
      <c r="J5428" t="n">
        <v>4</v>
      </c>
      <c r="K5428" t="inlineStr">
        <is>
          <t>2², 72¹</t>
        </is>
      </c>
      <c r="L5428" t="inlineStr">
        <is>
          <t>37A⁴, 111B⁸</t>
        </is>
      </c>
      <c r="M5428" t="inlineStr"/>
      <c r="N5428" t="inlineStr">
        <is>
          <t>37A², 111B⁸, 37A⁴, 1A⁰</t>
        </is>
      </c>
      <c r="O5428" t="inlineStr"/>
    </row>
    <row r="5429">
      <c r="A5429">
        <f>HYPERLINK("https://mathstats.uncg.edu/sites/pauli/congruence/csg18.html#group117A18", "117A¹⁸")</f>
        <v/>
      </c>
      <c r="B5429" t="n">
        <v>18</v>
      </c>
      <c r="C5429" t="inlineStr"/>
      <c r="D5429" t="inlineStr">
        <is>
          <t>252</t>
        </is>
      </c>
      <c r="E5429" t="inlineStr">
        <is>
          <t>1</t>
        </is>
      </c>
      <c r="F5429" t="inlineStr">
        <is>
          <t>126</t>
        </is>
      </c>
      <c r="G5429" t="inlineStr">
        <is>
          <t>8</t>
        </is>
      </c>
      <c r="H5429" t="inlineStr">
        <is>
          <t>0</t>
        </is>
      </c>
      <c r="I5429" t="inlineStr">
        <is>
          <t>9², 117²</t>
        </is>
      </c>
      <c r="J5429" t="n">
        <v>4</v>
      </c>
      <c r="K5429" t="inlineStr">
        <is>
          <t>1², 2², 6², 12¹, 24¹, 72¹</t>
        </is>
      </c>
      <c r="L5429" t="inlineStr">
        <is>
          <t>39A⁴, 117A⁸</t>
        </is>
      </c>
      <c r="M5429" t="inlineStr"/>
      <c r="N5429" t="inlineStr">
        <is>
          <t>117A⁸, 13A⁰, 39A², 39A⁴, 3A⁰, 1A⁰, 9A⁰</t>
        </is>
      </c>
      <c r="O5429" t="inlineStr"/>
    </row>
    <row r="5430">
      <c r="A5430">
        <f>HYPERLINK("https://mathstats.uncg.edu/sites/pauli/congruence/csg18.html#group120A18", "120A¹⁸")</f>
        <v/>
      </c>
      <c r="B5430" t="n">
        <v>18</v>
      </c>
      <c r="C5430" t="inlineStr"/>
      <c r="D5430" t="inlineStr">
        <is>
          <t>240</t>
        </is>
      </c>
      <c r="E5430" t="inlineStr">
        <is>
          <t>1</t>
        </is>
      </c>
      <c r="F5430" t="inlineStr">
        <is>
          <t>60</t>
        </is>
      </c>
      <c r="G5430" t="inlineStr">
        <is>
          <t>0</t>
        </is>
      </c>
      <c r="H5430" t="inlineStr">
        <is>
          <t>0</t>
        </is>
      </c>
      <c r="I5430" t="inlineStr">
        <is>
          <t>10², 30², 40¹, 120¹</t>
        </is>
      </c>
      <c r="J5430" t="n">
        <v>6</v>
      </c>
      <c r="K5430" t="inlineStr">
        <is>
          <t>1⁶, 2³, 4⁶, 8³</t>
        </is>
      </c>
      <c r="L5430" t="inlineStr">
        <is>
          <t>24F², 60C⁸</t>
        </is>
      </c>
      <c r="M5430" t="inlineStr"/>
      <c r="N5430" t="inlineStr">
        <is>
          <t>20A², 3B⁰, 5A⁰, 10B¹, 2B⁰, 4B⁰, 1A⁰, 30D⁴, 60C⁸, 15B¹, 24F², 6F⁰, 12E⁰</t>
        </is>
      </c>
      <c r="O5430" t="inlineStr"/>
    </row>
    <row r="5431">
      <c r="A5431">
        <f>HYPERLINK("https://mathstats.uncg.edu/sites/pauli/congruence/csg18.html#group120B18", "120B¹⁸")</f>
        <v/>
      </c>
      <c r="B5431" t="n">
        <v>18</v>
      </c>
      <c r="C5431" t="inlineStr"/>
      <c r="D5431" t="inlineStr">
        <is>
          <t>240</t>
        </is>
      </c>
      <c r="E5431" t="inlineStr">
        <is>
          <t>1</t>
        </is>
      </c>
      <c r="F5431" t="inlineStr">
        <is>
          <t>60</t>
        </is>
      </c>
      <c r="G5431" t="inlineStr">
        <is>
          <t>8</t>
        </is>
      </c>
      <c r="H5431" t="inlineStr">
        <is>
          <t>0</t>
        </is>
      </c>
      <c r="I5431" t="inlineStr">
        <is>
          <t>120²</t>
        </is>
      </c>
      <c r="J5431" t="n">
        <v>2</v>
      </c>
      <c r="K5431" t="inlineStr">
        <is>
          <t>4², 8², 16², 32²</t>
        </is>
      </c>
      <c r="L5431" t="inlineStr">
        <is>
          <t>24G², 60D⁸, 120B⁹</t>
        </is>
      </c>
      <c r="M5431" t="inlineStr"/>
      <c r="N5431" t="inlineStr">
        <is>
          <t>5A⁰, 30A², 12A⁰, 6B⁰, 60D⁸, 4A⁰, 60A⁴, 12F⁰, 120B⁹, 20A¹, 24B¹, 3A⁰, 1A⁰, 24G², 15A¹</t>
        </is>
      </c>
      <c r="O5431" t="inlineStr"/>
    </row>
    <row r="5432">
      <c r="A5432">
        <f>HYPERLINK("https://mathstats.uncg.edu/sites/pauli/congruence/csg18.html#group120C18", "120C¹⁸")</f>
        <v/>
      </c>
      <c r="B5432" t="n">
        <v>18</v>
      </c>
      <c r="C5432" t="inlineStr"/>
      <c r="D5432" t="inlineStr">
        <is>
          <t>240</t>
        </is>
      </c>
      <c r="E5432" t="inlineStr">
        <is>
          <t>1</t>
        </is>
      </c>
      <c r="F5432" t="inlineStr">
        <is>
          <t>60</t>
        </is>
      </c>
      <c r="G5432" t="inlineStr">
        <is>
          <t>8</t>
        </is>
      </c>
      <c r="H5432" t="inlineStr">
        <is>
          <t>0</t>
        </is>
      </c>
      <c r="I5432" t="inlineStr">
        <is>
          <t>120²</t>
        </is>
      </c>
      <c r="J5432" t="n">
        <v>2</v>
      </c>
      <c r="K5432" t="inlineStr">
        <is>
          <t>4², 8², 16², 32²</t>
        </is>
      </c>
      <c r="L5432" t="inlineStr">
        <is>
          <t>24H², 60D⁸, 120B⁹</t>
        </is>
      </c>
      <c r="M5432" t="inlineStr"/>
      <c r="N5432" t="inlineStr">
        <is>
          <t>5A⁰, 30A², 12A⁰, 6B⁰, 60D⁸, 4A⁰, 15A¹, 60A⁴, 12F⁰, 120B⁹, 20A¹, 24B¹, 3A⁰, 1A⁰, 24H²</t>
        </is>
      </c>
      <c r="O5432" t="inlineStr"/>
    </row>
    <row r="5433">
      <c r="A5433">
        <f>HYPERLINK("https://mathstats.uncg.edu/sites/pauli/congruence/csg18.html#group120D18", "120D¹⁸")</f>
        <v/>
      </c>
      <c r="B5433" t="n">
        <v>18</v>
      </c>
      <c r="C5433" t="inlineStr"/>
      <c r="D5433" t="inlineStr">
        <is>
          <t>240</t>
        </is>
      </c>
      <c r="E5433" t="inlineStr">
        <is>
          <t>1</t>
        </is>
      </c>
      <c r="F5433" t="inlineStr">
        <is>
          <t>120</t>
        </is>
      </c>
      <c r="G5433" t="inlineStr">
        <is>
          <t>0</t>
        </is>
      </c>
      <c r="H5433" t="inlineStr">
        <is>
          <t>0</t>
        </is>
      </c>
      <c r="I5433" t="inlineStr">
        <is>
          <t>10², 30², 40¹, 120¹</t>
        </is>
      </c>
      <c r="J5433" t="n">
        <v>6</v>
      </c>
      <c r="K5433" t="inlineStr">
        <is>
          <t>1⁴, 2⁶, 4⁶, 8⁶, 16²</t>
        </is>
      </c>
      <c r="L5433" t="inlineStr">
        <is>
          <t>24I², 40C⁴, 60B⁹</t>
        </is>
      </c>
      <c r="M5433" t="inlineStr"/>
      <c r="N5433" t="inlineStr">
        <is>
          <t>3B⁰, 5A⁰, 60B⁹, 8D⁰, 12F¹, 10B¹, 20B², 4C⁰, 2B⁰, 1A⁰, 40C⁴, 24I², 30D⁴, 15B¹, 6F⁰</t>
        </is>
      </c>
      <c r="O5433" t="inlineStr"/>
    </row>
    <row r="5434">
      <c r="A5434">
        <f>HYPERLINK("https://mathstats.uncg.edu/sites/pauli/congruence/csg18.html#group120E18", "120E¹⁸")</f>
        <v/>
      </c>
      <c r="B5434" t="n">
        <v>18</v>
      </c>
      <c r="C5434" t="inlineStr"/>
      <c r="D5434" t="inlineStr">
        <is>
          <t>240</t>
        </is>
      </c>
      <c r="E5434" t="inlineStr">
        <is>
          <t>2</t>
        </is>
      </c>
      <c r="F5434" t="inlineStr">
        <is>
          <t>40</t>
        </is>
      </c>
      <c r="G5434" t="inlineStr">
        <is>
          <t>0</t>
        </is>
      </c>
      <c r="H5434" t="inlineStr">
        <is>
          <t>6</t>
        </is>
      </c>
      <c r="I5434" t="inlineStr">
        <is>
          <t>120²</t>
        </is>
      </c>
      <c r="J5434" t="n">
        <v>2</v>
      </c>
      <c r="K5434" t="inlineStr">
        <is>
          <t>8², 16⁴</t>
        </is>
      </c>
      <c r="L5434" t="inlineStr">
        <is>
          <t>40D⁴, 60D⁹</t>
        </is>
      </c>
      <c r="M5434" t="inlineStr"/>
      <c r="N5434" t="inlineStr">
        <is>
          <t>2A⁰, 30B², 40D⁴, 5A⁰, 10A⁰, 20D², 4A⁰, 4D⁰, 8A⁰, 8E⁰, 20A¹, 60D⁹, 1A⁰, 40A²</t>
        </is>
      </c>
      <c r="O5434" t="inlineStr"/>
    </row>
    <row r="5435">
      <c r="A5435">
        <f>HYPERLINK("https://mathstats.uncg.edu/sites/pauli/congruence/csg18.html#group120F18", "120F¹⁸")</f>
        <v/>
      </c>
      <c r="B5435" t="n">
        <v>18</v>
      </c>
      <c r="C5435" t="inlineStr"/>
      <c r="D5435" t="inlineStr">
        <is>
          <t>240</t>
        </is>
      </c>
      <c r="E5435" t="inlineStr">
        <is>
          <t>2</t>
        </is>
      </c>
      <c r="F5435" t="inlineStr">
        <is>
          <t>60</t>
        </is>
      </c>
      <c r="G5435" t="inlineStr">
        <is>
          <t>8</t>
        </is>
      </c>
      <c r="H5435" t="inlineStr">
        <is>
          <t>0</t>
        </is>
      </c>
      <c r="I5435" t="inlineStr">
        <is>
          <t>120²</t>
        </is>
      </c>
      <c r="J5435" t="n">
        <v>2</v>
      </c>
      <c r="K5435" t="inlineStr">
        <is>
          <t>4², 8², 16², 32²</t>
        </is>
      </c>
      <c r="L5435" t="inlineStr">
        <is>
          <t>24K², 60D⁸, 120A⁹, 120B⁹</t>
        </is>
      </c>
      <c r="M5435" t="inlineStr"/>
      <c r="N5435" t="inlineStr">
        <is>
          <t>120A⁹, 5A⁰, 6B⁰, 60D⁸, 12F⁰, 8A⁰, 120B⁹, 20A¹, 24B¹, 1A⁰, 30A², 24K², 12A⁰, 24A¹, 4A⁰, 60A⁴, 3A⁰, 40A², 15A¹</t>
        </is>
      </c>
      <c r="O5435" t="inlineStr"/>
    </row>
    <row r="5436">
      <c r="A5436">
        <f>HYPERLINK("https://mathstats.uncg.edu/sites/pauli/congruence/csg18.html#group126A18", "126A¹⁸")</f>
        <v/>
      </c>
      <c r="B5436" t="n">
        <v>18</v>
      </c>
      <c r="C5436" t="inlineStr"/>
      <c r="D5436" t="inlineStr">
        <is>
          <t>252</t>
        </is>
      </c>
      <c r="E5436" t="inlineStr">
        <is>
          <t>2</t>
        </is>
      </c>
      <c r="F5436" t="inlineStr">
        <is>
          <t>21</t>
        </is>
      </c>
      <c r="G5436" t="inlineStr">
        <is>
          <t>12</t>
        </is>
      </c>
      <c r="H5436" t="inlineStr">
        <is>
          <t>0</t>
        </is>
      </c>
      <c r="I5436" t="inlineStr">
        <is>
          <t>126²</t>
        </is>
      </c>
      <c r="J5436" t="n">
        <v>2</v>
      </c>
      <c r="K5436" t="inlineStr">
        <is>
          <t>2¹, 4¹, 6², 12²</t>
        </is>
      </c>
      <c r="L5436" t="inlineStr">
        <is>
          <t>42A⁶, 63E⁶, 126B⁸, 126C⁸</t>
        </is>
      </c>
      <c r="M5436" t="inlineStr"/>
      <c r="N5436" t="inlineStr">
        <is>
          <t>126C⁸, 21D², 42A², 9D⁰, 42A⁶, 9A⁰, 63E⁶, 21A⁰, 1A⁰, 3C⁰, 7A⁰, 3A⁰, 126B⁸, 63A²</t>
        </is>
      </c>
      <c r="O5436" t="inlineStr"/>
    </row>
    <row r="5437">
      <c r="A5437">
        <f>HYPERLINK("https://mathstats.uncg.edu/sites/pauli/congruence/csg18.html#group126B18", "126B¹⁸")</f>
        <v/>
      </c>
      <c r="B5437" t="n">
        <v>18</v>
      </c>
      <c r="C5437" t="inlineStr"/>
      <c r="D5437" t="inlineStr">
        <is>
          <t>252</t>
        </is>
      </c>
      <c r="E5437" t="inlineStr">
        <is>
          <t>2</t>
        </is>
      </c>
      <c r="F5437" t="inlineStr">
        <is>
          <t>63</t>
        </is>
      </c>
      <c r="G5437" t="inlineStr">
        <is>
          <t>12</t>
        </is>
      </c>
      <c r="H5437" t="inlineStr">
        <is>
          <t>0</t>
        </is>
      </c>
      <c r="I5437" t="inlineStr">
        <is>
          <t>126²</t>
        </is>
      </c>
      <c r="J5437" t="n">
        <v>2</v>
      </c>
      <c r="K5437" t="inlineStr">
        <is>
          <t>4³, 12⁸, 36⁴</t>
        </is>
      </c>
      <c r="L5437" t="inlineStr">
        <is>
          <t>42G⁴, 63G⁶, 126A⁸, 126C⁸</t>
        </is>
      </c>
      <c r="M5437" t="inlineStr"/>
      <c r="N5437" t="inlineStr">
        <is>
          <t>6B⁰, 21D¹, 21A⁰, 63G⁶, 1A⁰, 63A², 126A⁸, 126C⁸, 42A², 42G⁴, 9A⁰, 42B¹, 3A⁰, 18A¹, 7A⁰</t>
        </is>
      </c>
      <c r="O5437" t="inlineStr"/>
    </row>
    <row r="5438">
      <c r="A5438">
        <f>HYPERLINK("https://mathstats.uncg.edu/sites/pauli/congruence/csg18.html#group126C18", "126C¹⁸")</f>
        <v/>
      </c>
      <c r="B5438" t="n">
        <v>18</v>
      </c>
      <c r="C5438" t="inlineStr"/>
      <c r="D5438" t="inlineStr">
        <is>
          <t>252</t>
        </is>
      </c>
      <c r="E5438" t="inlineStr">
        <is>
          <t>2</t>
        </is>
      </c>
      <c r="F5438" t="inlineStr">
        <is>
          <t>63</t>
        </is>
      </c>
      <c r="G5438" t="inlineStr">
        <is>
          <t>12</t>
        </is>
      </c>
      <c r="H5438" t="inlineStr">
        <is>
          <t>0</t>
        </is>
      </c>
      <c r="I5438" t="inlineStr">
        <is>
          <t>126²</t>
        </is>
      </c>
      <c r="J5438" t="n">
        <v>2</v>
      </c>
      <c r="K5438" t="inlineStr">
        <is>
          <t>4³, 12⁸, 36⁴</t>
        </is>
      </c>
      <c r="L5438" t="inlineStr">
        <is>
          <t>42H⁴, 63F⁶, 126A⁸, 126B⁸</t>
        </is>
      </c>
      <c r="M5438" t="inlineStr"/>
      <c r="N5438" t="inlineStr">
        <is>
          <t>6B⁰, 63F⁶, 42H⁴, 21D¹, 21A⁰, 1A⁰, 63A², 126A⁸, 42A², 9A⁰, 42B¹, 3A⁰, 126B⁸, 18A¹, 7A⁰</t>
        </is>
      </c>
      <c r="O5438" t="inlineStr"/>
    </row>
    <row r="5439">
      <c r="A5439">
        <f>HYPERLINK("https://mathstats.uncg.edu/sites/pauli/congruence/csg18.html#group126D18", "126D¹⁸")</f>
        <v/>
      </c>
      <c r="B5439" t="n">
        <v>18</v>
      </c>
      <c r="C5439" t="inlineStr"/>
      <c r="D5439" t="inlineStr">
        <is>
          <t>252</t>
        </is>
      </c>
      <c r="E5439" t="inlineStr">
        <is>
          <t>2</t>
        </is>
      </c>
      <c r="F5439" t="inlineStr">
        <is>
          <t>63</t>
        </is>
      </c>
      <c r="G5439" t="inlineStr">
        <is>
          <t>12</t>
        </is>
      </c>
      <c r="H5439" t="inlineStr">
        <is>
          <t>0</t>
        </is>
      </c>
      <c r="I5439" t="inlineStr">
        <is>
          <t>126²</t>
        </is>
      </c>
      <c r="J5439" t="n">
        <v>2</v>
      </c>
      <c r="K5439" t="inlineStr">
        <is>
          <t>4³, 12⁸, 36⁴</t>
        </is>
      </c>
      <c r="L5439" t="inlineStr">
        <is>
          <t>18G², 42F⁴, 126A⁵, 126A⁸, 63A⁹</t>
        </is>
      </c>
      <c r="M5439" t="inlineStr"/>
      <c r="N5439" t="inlineStr">
        <is>
          <t>63A⁹, 21D², 6B⁰, 42F⁴, 21A⁰, 126A⁵, 1A⁰, 9B¹, 18A⁰, 63A², 126A⁸, 6E⁰, 9A⁰, 3C⁰, 18G², 42B¹, 3A⁰, 18A¹, 7A⁰</t>
        </is>
      </c>
      <c r="O5439" t="inlineStr"/>
    </row>
    <row r="5440">
      <c r="A5440">
        <f>HYPERLINK("https://mathstats.uncg.edu/sites/pauli/congruence/csg18.html#group126E18", "126E¹⁸")</f>
        <v/>
      </c>
      <c r="B5440" t="n">
        <v>18</v>
      </c>
      <c r="C5440" t="inlineStr"/>
      <c r="D5440" t="inlineStr">
        <is>
          <t>252</t>
        </is>
      </c>
      <c r="E5440" t="inlineStr">
        <is>
          <t>2</t>
        </is>
      </c>
      <c r="F5440" t="inlineStr">
        <is>
          <t>63</t>
        </is>
      </c>
      <c r="G5440" t="inlineStr">
        <is>
          <t>12</t>
        </is>
      </c>
      <c r="H5440" t="inlineStr">
        <is>
          <t>0</t>
        </is>
      </c>
      <c r="I5440" t="inlineStr">
        <is>
          <t>126²</t>
        </is>
      </c>
      <c r="J5440" t="n">
        <v>2</v>
      </c>
      <c r="K5440" t="inlineStr">
        <is>
          <t>4³, 12⁸, 36⁴</t>
        </is>
      </c>
      <c r="L5440" t="inlineStr">
        <is>
          <t>18G², 42F⁴, 126B⁵, 126A⁸, 63B⁹</t>
        </is>
      </c>
      <c r="M5440" t="inlineStr"/>
      <c r="N5440" t="inlineStr">
        <is>
          <t>21D², 6B⁰, 42F⁴, 21A⁰, 63B⁹, 1A⁰, 18A⁰, 9B¹, 126A⁸, 63A², 6E⁰, 9A⁰, 126B⁵, 3C⁰, 18G², 42B¹, 3A⁰, 18A¹, 7A⁰</t>
        </is>
      </c>
      <c r="O5440" t="inlineStr"/>
    </row>
    <row r="5441">
      <c r="A5441">
        <f>HYPERLINK("https://mathstats.uncg.edu/sites/pauli/congruence/csg18.html#group126F18", "126F¹⁸")</f>
        <v/>
      </c>
      <c r="B5441" t="n">
        <v>18</v>
      </c>
      <c r="C5441" t="inlineStr"/>
      <c r="D5441" t="inlineStr">
        <is>
          <t>252</t>
        </is>
      </c>
      <c r="E5441" t="inlineStr">
        <is>
          <t>2</t>
        </is>
      </c>
      <c r="F5441" t="inlineStr">
        <is>
          <t>84</t>
        </is>
      </c>
      <c r="G5441" t="inlineStr">
        <is>
          <t>0</t>
        </is>
      </c>
      <c r="H5441" t="inlineStr">
        <is>
          <t>0</t>
        </is>
      </c>
      <c r="I5441" t="inlineStr">
        <is>
          <t>7³, 14³, 63¹, 126¹</t>
        </is>
      </c>
      <c r="J5441" t="n">
        <v>8</v>
      </c>
      <c r="K5441" t="inlineStr">
        <is>
          <t>2⁶, 4³, 6¹², 12⁶</t>
        </is>
      </c>
      <c r="L5441" t="inlineStr">
        <is>
          <t>18E⁰, 42C⁶, 63B⁶</t>
        </is>
      </c>
      <c r="M5441" t="inlineStr"/>
      <c r="N5441" t="inlineStr">
        <is>
          <t>3B⁰, 18E⁰, 21B², 14B¹, 42C⁶, 6F⁰, 63B⁶, 9B⁰, 2B⁰, 1A⁰, 7A⁰</t>
        </is>
      </c>
      <c r="O5441" t="inlineStr"/>
    </row>
    <row r="5442">
      <c r="A5442">
        <f>HYPERLINK("https://mathstats.uncg.edu/sites/pauli/congruence/csg18.html#group126G18", "126G¹⁸")</f>
        <v/>
      </c>
      <c r="B5442" t="n">
        <v>18</v>
      </c>
      <c r="C5442" t="inlineStr"/>
      <c r="D5442" t="inlineStr">
        <is>
          <t>252</t>
        </is>
      </c>
      <c r="E5442" t="inlineStr">
        <is>
          <t>2</t>
        </is>
      </c>
      <c r="F5442" t="inlineStr">
        <is>
          <t>126</t>
        </is>
      </c>
      <c r="G5442" t="inlineStr">
        <is>
          <t>8</t>
        </is>
      </c>
      <c r="H5442" t="inlineStr">
        <is>
          <t>0</t>
        </is>
      </c>
      <c r="I5442" t="inlineStr">
        <is>
          <t>42³, 126¹</t>
        </is>
      </c>
      <c r="J5442" t="n">
        <v>4</v>
      </c>
      <c r="K5442" t="inlineStr">
        <is>
          <t>2¹, 4¹, 6³, 12⁴, 18², 36⁴</t>
        </is>
      </c>
      <c r="L5442" t="inlineStr">
        <is>
          <t>42E⁵, 63B⁸</t>
        </is>
      </c>
      <c r="M5442" t="inlineStr"/>
      <c r="N5442" t="inlineStr">
        <is>
          <t>14A⁰, 21D², 42A², 42A¹, 42E⁵, 21A⁰, 3C⁰, 9E⁰, 3A⁰, 1A⁰, 7A⁰, 63B⁸</t>
        </is>
      </c>
      <c r="O5442" t="inlineStr"/>
    </row>
    <row r="5443">
      <c r="A5443">
        <f>HYPERLINK("https://mathstats.uncg.edu/sites/pauli/congruence/csg18.html#group126H18", "126H¹⁸")</f>
        <v/>
      </c>
      <c r="B5443" t="n">
        <v>18</v>
      </c>
      <c r="C5443" t="inlineStr"/>
      <c r="D5443" t="inlineStr">
        <is>
          <t>252</t>
        </is>
      </c>
      <c r="E5443" t="inlineStr">
        <is>
          <t>2</t>
        </is>
      </c>
      <c r="F5443" t="inlineStr">
        <is>
          <t>126</t>
        </is>
      </c>
      <c r="G5443" t="inlineStr">
        <is>
          <t>12</t>
        </is>
      </c>
      <c r="H5443" t="inlineStr">
        <is>
          <t>0</t>
        </is>
      </c>
      <c r="I5443" t="inlineStr">
        <is>
          <t>126²</t>
        </is>
      </c>
      <c r="J5443" t="n">
        <v>2</v>
      </c>
      <c r="K5443" t="inlineStr">
        <is>
          <t>4⁶, 12¹⁶, 36⁸</t>
        </is>
      </c>
      <c r="L5443" t="inlineStr">
        <is>
          <t>42G⁴, 126D⁸</t>
        </is>
      </c>
      <c r="M5443" t="inlineStr"/>
      <c r="N5443" t="inlineStr">
        <is>
          <t>6B⁰, 42A², 42G⁴, 21D¹, 21A⁰, 18B¹, 42B¹, 3A⁰, 1A⁰, 126D⁸, 7A⁰</t>
        </is>
      </c>
      <c r="O5443" t="inlineStr"/>
    </row>
    <row r="5444">
      <c r="A5444">
        <f>HYPERLINK("https://mathstats.uncg.edu/sites/pauli/congruence/csg18.html#group126I18", "126I¹⁸")</f>
        <v/>
      </c>
      <c r="B5444" t="n">
        <v>18</v>
      </c>
      <c r="C5444" t="inlineStr"/>
      <c r="D5444" t="inlineStr">
        <is>
          <t>252</t>
        </is>
      </c>
      <c r="E5444" t="inlineStr">
        <is>
          <t>2</t>
        </is>
      </c>
      <c r="F5444" t="inlineStr">
        <is>
          <t>126</t>
        </is>
      </c>
      <c r="G5444" t="inlineStr">
        <is>
          <t>12</t>
        </is>
      </c>
      <c r="H5444" t="inlineStr">
        <is>
          <t>0</t>
        </is>
      </c>
      <c r="I5444" t="inlineStr">
        <is>
          <t>126²</t>
        </is>
      </c>
      <c r="J5444" t="n">
        <v>2</v>
      </c>
      <c r="K5444" t="inlineStr">
        <is>
          <t>4⁶, 12¹⁶, 36⁸</t>
        </is>
      </c>
      <c r="L5444" t="inlineStr">
        <is>
          <t>42H⁴, 126D⁸</t>
        </is>
      </c>
      <c r="M5444" t="inlineStr"/>
      <c r="N5444" t="inlineStr">
        <is>
          <t>6B⁰, 42A², 42H⁴, 21D¹, 21A⁰, 18B¹, 42B¹, 3A⁰, 1A⁰, 126D⁸, 7A⁰</t>
        </is>
      </c>
      <c r="O5444" t="inlineStr"/>
    </row>
    <row r="5445">
      <c r="A5445">
        <f>HYPERLINK("https://mathstats.uncg.edu/sites/pauli/congruence/csg18.html#group126J18", "126J¹⁸")</f>
        <v/>
      </c>
      <c r="B5445" t="n">
        <v>18</v>
      </c>
      <c r="C5445" t="inlineStr"/>
      <c r="D5445" t="inlineStr">
        <is>
          <t>252</t>
        </is>
      </c>
      <c r="E5445" t="inlineStr">
        <is>
          <t>2</t>
        </is>
      </c>
      <c r="F5445" t="inlineStr">
        <is>
          <t>126</t>
        </is>
      </c>
      <c r="G5445" t="inlineStr">
        <is>
          <t>12</t>
        </is>
      </c>
      <c r="H5445" t="inlineStr">
        <is>
          <t>0</t>
        </is>
      </c>
      <c r="I5445" t="inlineStr">
        <is>
          <t>126²</t>
        </is>
      </c>
      <c r="J5445" t="n">
        <v>2</v>
      </c>
      <c r="K5445" t="inlineStr">
        <is>
          <t>4⁶, 12¹⁶, 36⁸</t>
        </is>
      </c>
      <c r="L5445" t="inlineStr">
        <is>
          <t>18H², 42F⁴, 126D⁸</t>
        </is>
      </c>
      <c r="M5445" t="inlineStr"/>
      <c r="N5445" t="inlineStr">
        <is>
          <t>21D², 6B⁰, 42F⁴, 18H², 6E⁰, 18B¹, 3C⁰, 21A⁰, 42B¹, 3A⁰, 1A⁰, 126D⁸, 7A⁰</t>
        </is>
      </c>
      <c r="O5445" t="inlineStr"/>
    </row>
    <row r="5446">
      <c r="A5446">
        <f>HYPERLINK("https://mathstats.uncg.edu/sites/pauli/congruence/csg18.html#group126K18", "126K¹⁸")</f>
        <v/>
      </c>
      <c r="B5446" t="n">
        <v>18</v>
      </c>
      <c r="C5446" t="inlineStr"/>
      <c r="D5446" t="inlineStr">
        <is>
          <t>252</t>
        </is>
      </c>
      <c r="E5446" t="inlineStr">
        <is>
          <t>2</t>
        </is>
      </c>
      <c r="F5446" t="inlineStr">
        <is>
          <t>126</t>
        </is>
      </c>
      <c r="G5446" t="inlineStr">
        <is>
          <t>12</t>
        </is>
      </c>
      <c r="H5446" t="inlineStr">
        <is>
          <t>0</t>
        </is>
      </c>
      <c r="I5446" t="inlineStr">
        <is>
          <t>126²</t>
        </is>
      </c>
      <c r="J5446" t="n">
        <v>2</v>
      </c>
      <c r="K5446" t="inlineStr">
        <is>
          <t>4⁶, 12¹⁶, 36⁸</t>
        </is>
      </c>
      <c r="L5446" t="inlineStr">
        <is>
          <t>18H², 42F⁴, 126D⁸</t>
        </is>
      </c>
      <c r="M5446" t="inlineStr"/>
      <c r="N5446" t="inlineStr">
        <is>
          <t>21D², 6B⁰, 42F⁴, 18H², 6E⁰, 18B¹, 3C⁰, 21A⁰, 42B¹, 3A⁰, 1A⁰, 126D⁸, 7A⁰</t>
        </is>
      </c>
      <c r="O5446" t="inlineStr"/>
    </row>
    <row r="5447">
      <c r="A5447">
        <f>HYPERLINK("https://mathstats.uncg.edu/sites/pauli/congruence/csg18.html#group140A18", "140A¹⁸")</f>
        <v/>
      </c>
      <c r="B5447" t="n">
        <v>18</v>
      </c>
      <c r="C5447" t="inlineStr"/>
      <c r="D5447" t="inlineStr">
        <is>
          <t>240</t>
        </is>
      </c>
      <c r="E5447" t="inlineStr">
        <is>
          <t>1</t>
        </is>
      </c>
      <c r="F5447" t="inlineStr">
        <is>
          <t>120</t>
        </is>
      </c>
      <c r="G5447" t="inlineStr">
        <is>
          <t>0</t>
        </is>
      </c>
      <c r="H5447" t="inlineStr">
        <is>
          <t>0</t>
        </is>
      </c>
      <c r="I5447" t="inlineStr">
        <is>
          <t>5², 20¹, 35², 140¹</t>
        </is>
      </c>
      <c r="J5447" t="n">
        <v>6</v>
      </c>
      <c r="K5447" t="inlineStr">
        <is>
          <t>1⁶, 4⁶, 6³, 24³</t>
        </is>
      </c>
      <c r="L5447" t="inlineStr">
        <is>
          <t>20A², 28D², 70A⁹</t>
        </is>
      </c>
      <c r="M5447" t="inlineStr"/>
      <c r="N5447" t="inlineStr">
        <is>
          <t>20A², 5A⁰, 70A⁹, 10B¹, 7B⁰, 28D², 14C¹, 2B⁰, 35B², 4B⁰, 1A⁰</t>
        </is>
      </c>
      <c r="O5447" t="inlineStr"/>
    </row>
    <row r="5448">
      <c r="A5448">
        <f>HYPERLINK("https://mathstats.uncg.edu/sites/pauli/congruence/csg18.html#group140B18", "140B¹⁸")</f>
        <v/>
      </c>
      <c r="B5448" t="n">
        <v>18</v>
      </c>
      <c r="C5448" t="inlineStr"/>
      <c r="D5448" t="inlineStr">
        <is>
          <t>252</t>
        </is>
      </c>
      <c r="E5448" t="inlineStr">
        <is>
          <t>2</t>
        </is>
      </c>
      <c r="F5448" t="inlineStr">
        <is>
          <t>126</t>
        </is>
      </c>
      <c r="G5448" t="inlineStr">
        <is>
          <t>4</t>
        </is>
      </c>
      <c r="H5448" t="inlineStr">
        <is>
          <t>0</t>
        </is>
      </c>
      <c r="I5448" t="inlineStr">
        <is>
          <t>7², 28¹, 35², 140¹</t>
        </is>
      </c>
      <c r="J5448" t="n">
        <v>6</v>
      </c>
      <c r="K5448" t="inlineStr">
        <is>
          <t>2⁶, 6¹², 8³, 24⁶</t>
        </is>
      </c>
      <c r="L5448" t="inlineStr">
        <is>
          <t>70B⁸</t>
        </is>
      </c>
      <c r="M5448" t="inlineStr"/>
      <c r="N5448" t="inlineStr">
        <is>
          <t>35C², 14B¹, 5B⁰, 70B⁸, 10C⁰, 2B⁰, 1A⁰, 7A⁰</t>
        </is>
      </c>
      <c r="O5448" t="inlineStr"/>
    </row>
    <row r="5449">
      <c r="A5449">
        <f>HYPERLINK("https://mathstats.uncg.edu/sites/pauli/congruence/csg18.html#group140C18", "140C¹⁸")</f>
        <v/>
      </c>
      <c r="B5449" t="n">
        <v>18</v>
      </c>
      <c r="C5449" t="inlineStr"/>
      <c r="D5449" t="inlineStr">
        <is>
          <t>252</t>
        </is>
      </c>
      <c r="E5449" t="inlineStr">
        <is>
          <t>2</t>
        </is>
      </c>
      <c r="F5449" t="inlineStr">
        <is>
          <t>126</t>
        </is>
      </c>
      <c r="G5449" t="inlineStr">
        <is>
          <t>8</t>
        </is>
      </c>
      <c r="H5449" t="inlineStr">
        <is>
          <t>0</t>
        </is>
      </c>
      <c r="I5449" t="inlineStr">
        <is>
          <t>14¹, 28¹, 70¹, 140¹</t>
        </is>
      </c>
      <c r="J5449" t="n">
        <v>4</v>
      </c>
      <c r="K5449" t="inlineStr">
        <is>
          <t>2⁶, 6¹², 8³, 24⁶</t>
        </is>
      </c>
      <c r="L5449" t="inlineStr">
        <is>
          <t>70B⁸</t>
        </is>
      </c>
      <c r="M5449" t="inlineStr"/>
      <c r="N5449" t="inlineStr">
        <is>
          <t>35C², 14B¹, 5B⁰, 70B⁸, 10C⁰, 2B⁰, 1A⁰, 7A⁰</t>
        </is>
      </c>
      <c r="O5449" t="inlineStr"/>
    </row>
    <row r="5450">
      <c r="A5450">
        <f>HYPERLINK("https://mathstats.uncg.edu/sites/pauli/congruence/csg18.html#group144A18", "144A¹⁸")</f>
        <v/>
      </c>
      <c r="B5450" t="n">
        <v>18</v>
      </c>
      <c r="C5450" t="inlineStr"/>
      <c r="D5450" t="inlineStr">
        <is>
          <t>216</t>
        </is>
      </c>
      <c r="E5450" t="inlineStr">
        <is>
          <t>1</t>
        </is>
      </c>
      <c r="F5450" t="inlineStr">
        <is>
          <t>27</t>
        </is>
      </c>
      <c r="G5450" t="inlineStr">
        <is>
          <t>0</t>
        </is>
      </c>
      <c r="H5450" t="inlineStr">
        <is>
          <t>0</t>
        </is>
      </c>
      <c r="I5450" t="inlineStr">
        <is>
          <t>72¹, 144¹</t>
        </is>
      </c>
      <c r="J5450" t="n">
        <v>2</v>
      </c>
      <c r="K5450" t="inlineStr">
        <is>
          <t>1³, 2³, 6³</t>
        </is>
      </c>
      <c r="L5450" t="inlineStr">
        <is>
          <t>72E⁴, 48A⁶</t>
        </is>
      </c>
      <c r="M5450" t="inlineStr"/>
      <c r="N5450" t="inlineStr">
        <is>
          <t>12C⁰, 24A⁰, 72E⁴, 9A⁰, 36B², 4C⁰, 8B⁰, 18E¹, 2B⁰, 48A⁶, 3A⁰, 1A⁰, 6D⁰, 16A²</t>
        </is>
      </c>
      <c r="O5450" t="inlineStr"/>
    </row>
    <row r="5451">
      <c r="A5451">
        <f>HYPERLINK("https://mathstats.uncg.edu/sites/pauli/congruence/csg18.html#group144B18", "144B¹⁸")</f>
        <v/>
      </c>
      <c r="B5451" t="n">
        <v>18</v>
      </c>
      <c r="C5451" t="inlineStr"/>
      <c r="D5451" t="inlineStr">
        <is>
          <t>216</t>
        </is>
      </c>
      <c r="E5451" t="inlineStr">
        <is>
          <t>1</t>
        </is>
      </c>
      <c r="F5451" t="inlineStr">
        <is>
          <t>108</t>
        </is>
      </c>
      <c r="G5451" t="inlineStr">
        <is>
          <t>0</t>
        </is>
      </c>
      <c r="H5451" t="inlineStr">
        <is>
          <t>0</t>
        </is>
      </c>
      <c r="I5451" t="inlineStr">
        <is>
          <t>72¹, 144¹</t>
        </is>
      </c>
      <c r="J5451" t="n">
        <v>2</v>
      </c>
      <c r="K5451" t="inlineStr">
        <is>
          <t>1⁴, 2⁶, 4³, 6⁴, 8¹, 12², 24¹</t>
        </is>
      </c>
      <c r="L5451" t="inlineStr">
        <is>
          <t>48B⁶, 72A⁹</t>
        </is>
      </c>
      <c r="M5451" t="inlineStr"/>
      <c r="N5451" t="inlineStr">
        <is>
          <t>24A³, 16B², 8A¹, 48B⁶, 72A⁹, 12C⁰, 9A⁰, 4C⁰, 36B², 2B⁰, 18E¹, 3A⁰, 1A⁰, 6D⁰</t>
        </is>
      </c>
      <c r="O5451" t="inlineStr"/>
    </row>
    <row r="5452">
      <c r="A5452">
        <f>HYPERLINK("https://mathstats.uncg.edu/sites/pauli/congruence/csg18.html#group144C18", "144C¹⁸")</f>
        <v/>
      </c>
      <c r="B5452" t="n">
        <v>18</v>
      </c>
      <c r="C5452" t="inlineStr"/>
      <c r="D5452" t="inlineStr">
        <is>
          <t>216</t>
        </is>
      </c>
      <c r="E5452" t="inlineStr">
        <is>
          <t>1</t>
        </is>
      </c>
      <c r="F5452" t="inlineStr">
        <is>
          <t>108</t>
        </is>
      </c>
      <c r="G5452" t="inlineStr">
        <is>
          <t>0</t>
        </is>
      </c>
      <c r="H5452" t="inlineStr">
        <is>
          <t>0</t>
        </is>
      </c>
      <c r="I5452" t="inlineStr">
        <is>
          <t>72¹, 144¹</t>
        </is>
      </c>
      <c r="J5452" t="n">
        <v>2</v>
      </c>
      <c r="K5452" t="inlineStr">
        <is>
          <t>1⁴, 2⁶, 4³, 6⁴, 8¹, 12², 24¹</t>
        </is>
      </c>
      <c r="L5452" t="inlineStr">
        <is>
          <t>48C⁶, 72A⁹</t>
        </is>
      </c>
      <c r="M5452" t="inlineStr"/>
      <c r="N5452" t="inlineStr">
        <is>
          <t>24A³, 8A¹, 12C⁰, 72A⁹, 48C⁶, 9A⁰, 36B², 4C⁰, 2B⁰, 18E¹, 3A⁰, 1A⁰, 6D⁰</t>
        </is>
      </c>
      <c r="O5452" t="inlineStr"/>
    </row>
    <row r="5453">
      <c r="A5453">
        <f>HYPERLINK("https://mathstats.uncg.edu/sites/pauli/congruence/csg18.html#group144D18", "144D¹⁸")</f>
        <v/>
      </c>
      <c r="B5453" t="n">
        <v>18</v>
      </c>
      <c r="C5453" t="inlineStr"/>
      <c r="D5453" t="inlineStr">
        <is>
          <t>216</t>
        </is>
      </c>
      <c r="E5453" t="inlineStr">
        <is>
          <t>2</t>
        </is>
      </c>
      <c r="F5453" t="inlineStr">
        <is>
          <t>108</t>
        </is>
      </c>
      <c r="G5453" t="inlineStr">
        <is>
          <t>0</t>
        </is>
      </c>
      <c r="H5453" t="inlineStr">
        <is>
          <t>0</t>
        </is>
      </c>
      <c r="I5453" t="inlineStr">
        <is>
          <t>72¹, 144¹</t>
        </is>
      </c>
      <c r="J5453" t="n">
        <v>2</v>
      </c>
      <c r="K5453" t="inlineStr">
        <is>
          <t>2¹², 4⁶, 6⁸, 8³, 12⁴, 24²</t>
        </is>
      </c>
      <c r="L5453" t="inlineStr">
        <is>
          <t>48C⁶, 72A⁹</t>
        </is>
      </c>
      <c r="M5453" t="inlineStr"/>
      <c r="N5453" t="inlineStr">
        <is>
          <t>24A³, 8A¹, 12C⁰, 72A⁹, 48C⁶, 9A⁰, 36B², 4C⁰, 2B⁰, 18E¹, 3A⁰, 1A⁰, 6D⁰</t>
        </is>
      </c>
      <c r="O5453" t="inlineStr"/>
    </row>
    <row r="5454">
      <c r="A5454">
        <f>HYPERLINK("https://mathstats.uncg.edu/sites/pauli/congruence/csg18.html#group148A18", "148A¹⁸")</f>
        <v/>
      </c>
      <c r="B5454" t="n">
        <v>18</v>
      </c>
      <c r="C5454" t="inlineStr"/>
      <c r="D5454" t="inlineStr">
        <is>
          <t>228</t>
        </is>
      </c>
      <c r="E5454" t="inlineStr">
        <is>
          <t>1</t>
        </is>
      </c>
      <c r="F5454" t="inlineStr">
        <is>
          <t>114</t>
        </is>
      </c>
      <c r="G5454" t="inlineStr">
        <is>
          <t>0</t>
        </is>
      </c>
      <c r="H5454" t="inlineStr">
        <is>
          <t>0</t>
        </is>
      </c>
      <c r="I5454" t="inlineStr">
        <is>
          <t>2¹, 4¹, 74¹, 148¹</t>
        </is>
      </c>
      <c r="J5454" t="n">
        <v>4</v>
      </c>
      <c r="K5454" t="inlineStr">
        <is>
          <t>1⁶, 36³</t>
        </is>
      </c>
      <c r="L5454" t="inlineStr">
        <is>
          <t>74A⁸</t>
        </is>
      </c>
      <c r="M5454" t="inlineStr"/>
      <c r="N5454" t="inlineStr">
        <is>
          <t>37A², 1A⁰, 2B⁰, 74A⁸</t>
        </is>
      </c>
      <c r="O5454" t="inlineStr"/>
    </row>
    <row r="5455">
      <c r="A5455">
        <f>HYPERLINK("https://mathstats.uncg.edu/sites/pauli/congruence/csg18.html#group152A18", "152A¹⁸")</f>
        <v/>
      </c>
      <c r="B5455" t="n">
        <v>18</v>
      </c>
      <c r="C5455" t="inlineStr"/>
      <c r="D5455" t="inlineStr">
        <is>
          <t>240</t>
        </is>
      </c>
      <c r="E5455" t="inlineStr">
        <is>
          <t>1</t>
        </is>
      </c>
      <c r="F5455" t="inlineStr">
        <is>
          <t>60</t>
        </is>
      </c>
      <c r="G5455" t="inlineStr">
        <is>
          <t>0</t>
        </is>
      </c>
      <c r="H5455" t="inlineStr">
        <is>
          <t>0</t>
        </is>
      </c>
      <c r="I5455" t="inlineStr">
        <is>
          <t>2², 8¹, 38², 152¹</t>
        </is>
      </c>
      <c r="J5455" t="n">
        <v>6</v>
      </c>
      <c r="K5455" t="inlineStr">
        <is>
          <t>1⁶, 18³</t>
        </is>
      </c>
      <c r="L5455" t="inlineStr">
        <is>
          <t>76A⁸</t>
        </is>
      </c>
      <c r="M5455" t="inlineStr"/>
      <c r="N5455" t="inlineStr">
        <is>
          <t>76A⁸, 19A¹, 2B⁰, 4B⁰, 1A⁰, 38A⁴</t>
        </is>
      </c>
      <c r="O5455" t="inlineStr"/>
    </row>
    <row r="5456">
      <c r="A5456">
        <f>HYPERLINK("https://mathstats.uncg.edu/sites/pauli/congruence/csg18.html#group152B18", "152B¹⁸")</f>
        <v/>
      </c>
      <c r="B5456" t="n">
        <v>18</v>
      </c>
      <c r="C5456" t="inlineStr"/>
      <c r="D5456" t="inlineStr">
        <is>
          <t>240</t>
        </is>
      </c>
      <c r="E5456" t="inlineStr">
        <is>
          <t>1</t>
        </is>
      </c>
      <c r="F5456" t="inlineStr">
        <is>
          <t>120</t>
        </is>
      </c>
      <c r="G5456" t="inlineStr">
        <is>
          <t>0</t>
        </is>
      </c>
      <c r="H5456" t="inlineStr">
        <is>
          <t>0</t>
        </is>
      </c>
      <c r="I5456" t="inlineStr">
        <is>
          <t>2², 8¹, 38², 152¹</t>
        </is>
      </c>
      <c r="J5456" t="n">
        <v>6</v>
      </c>
      <c r="K5456" t="inlineStr">
        <is>
          <t>1⁴, 2⁴, 18², 36²</t>
        </is>
      </c>
      <c r="L5456" t="inlineStr">
        <is>
          <t>8D⁰, 76A⁹</t>
        </is>
      </c>
      <c r="M5456" t="inlineStr"/>
      <c r="N5456" t="inlineStr">
        <is>
          <t>19A¹, 1A⁰, 2B⁰, 76A⁹, 8D⁰, 4C⁰, 38A⁴</t>
        </is>
      </c>
      <c r="O5456" t="inlineStr"/>
    </row>
    <row r="5457">
      <c r="A5457">
        <f>HYPERLINK("https://mathstats.uncg.edu/sites/pauli/congruence/csg18.html#group156A18", "156A¹⁸")</f>
        <v/>
      </c>
      <c r="B5457" t="n">
        <v>18</v>
      </c>
      <c r="C5457" t="inlineStr"/>
      <c r="D5457" t="inlineStr">
        <is>
          <t>252</t>
        </is>
      </c>
      <c r="E5457" t="inlineStr">
        <is>
          <t>1</t>
        </is>
      </c>
      <c r="F5457" t="inlineStr">
        <is>
          <t>126</t>
        </is>
      </c>
      <c r="G5457" t="inlineStr">
        <is>
          <t>4</t>
        </is>
      </c>
      <c r="H5457" t="inlineStr">
        <is>
          <t>0</t>
        </is>
      </c>
      <c r="I5457" t="inlineStr">
        <is>
          <t>3², 12¹, 39², 156¹</t>
        </is>
      </c>
      <c r="J5457" t="n">
        <v>6</v>
      </c>
      <c r="K5457" t="inlineStr">
        <is>
          <t>1⁶, 2⁶, 12³, 24³</t>
        </is>
      </c>
      <c r="L5457" t="inlineStr">
        <is>
          <t>78A⁸</t>
        </is>
      </c>
      <c r="M5457" t="inlineStr"/>
      <c r="N5457" t="inlineStr">
        <is>
          <t>78A⁸, 39A², 13A⁰, 2B⁰, 3A⁰, 1A⁰, 26A², 6D⁰</t>
        </is>
      </c>
      <c r="O5457" t="inlineStr"/>
    </row>
    <row r="5458">
      <c r="A5458">
        <f>HYPERLINK("https://mathstats.uncg.edu/sites/pauli/congruence/csg18.html#group156B18", "156B¹⁸")</f>
        <v/>
      </c>
      <c r="B5458" t="n">
        <v>18</v>
      </c>
      <c r="C5458" t="inlineStr"/>
      <c r="D5458" t="inlineStr">
        <is>
          <t>252</t>
        </is>
      </c>
      <c r="E5458" t="inlineStr">
        <is>
          <t>1</t>
        </is>
      </c>
      <c r="F5458" t="inlineStr">
        <is>
          <t>126</t>
        </is>
      </c>
      <c r="G5458" t="inlineStr">
        <is>
          <t>8</t>
        </is>
      </c>
      <c r="H5458" t="inlineStr">
        <is>
          <t>0</t>
        </is>
      </c>
      <c r="I5458" t="inlineStr">
        <is>
          <t>6¹, 12¹, 78¹, 156¹</t>
        </is>
      </c>
      <c r="J5458" t="n">
        <v>4</v>
      </c>
      <c r="K5458" t="inlineStr">
        <is>
          <t>1⁶, 2⁶, 12³, 24³</t>
        </is>
      </c>
      <c r="L5458" t="inlineStr">
        <is>
          <t>78A⁸</t>
        </is>
      </c>
      <c r="M5458" t="inlineStr"/>
      <c r="N5458" t="inlineStr">
        <is>
          <t>78A⁸, 39A², 13A⁰, 2B⁰, 3A⁰, 1A⁰, 26A², 6D⁰</t>
        </is>
      </c>
      <c r="O5458" t="inlineStr"/>
    </row>
    <row r="5459">
      <c r="A5459">
        <f>HYPERLINK("https://mathstats.uncg.edu/sites/pauli/congruence/csg18.html#group160A18", "160A¹⁸")</f>
        <v/>
      </c>
      <c r="B5459" t="n">
        <v>18</v>
      </c>
      <c r="C5459" t="inlineStr"/>
      <c r="D5459" t="inlineStr">
        <is>
          <t>240</t>
        </is>
      </c>
      <c r="E5459" t="inlineStr">
        <is>
          <t>1</t>
        </is>
      </c>
      <c r="F5459" t="inlineStr">
        <is>
          <t>30</t>
        </is>
      </c>
      <c r="G5459" t="inlineStr">
        <is>
          <t>0</t>
        </is>
      </c>
      <c r="H5459" t="inlineStr">
        <is>
          <t>0</t>
        </is>
      </c>
      <c r="I5459" t="inlineStr">
        <is>
          <t>10⁴, 40¹, 160¹</t>
        </is>
      </c>
      <c r="J5459" t="n">
        <v>6</v>
      </c>
      <c r="K5459" t="inlineStr">
        <is>
          <t>1⁴, 2¹, 4⁴, 8¹</t>
        </is>
      </c>
      <c r="L5459" t="inlineStr">
        <is>
          <t>32A², 80B⁸</t>
        </is>
      </c>
      <c r="M5459" t="inlineStr"/>
      <c r="N5459" t="inlineStr">
        <is>
          <t>20A², 5A⁰, 80B⁸, 16C⁰, 10B¹, 32A², 8C⁰, 2B⁰, 4B⁰, 40B⁴, 1A⁰</t>
        </is>
      </c>
      <c r="O5459" t="inlineStr"/>
    </row>
    <row r="5460">
      <c r="A5460">
        <f>HYPERLINK("https://mathstats.uncg.edu/sites/pauli/congruence/csg18.html#group168A18", "168A¹⁸")</f>
        <v/>
      </c>
      <c r="B5460" t="n">
        <v>18</v>
      </c>
      <c r="C5460" t="inlineStr"/>
      <c r="D5460" t="inlineStr">
        <is>
          <t>224</t>
        </is>
      </c>
      <c r="E5460" t="inlineStr">
        <is>
          <t>2</t>
        </is>
      </c>
      <c r="F5460" t="inlineStr">
        <is>
          <t>112</t>
        </is>
      </c>
      <c r="G5460" t="inlineStr">
        <is>
          <t>0</t>
        </is>
      </c>
      <c r="H5460" t="inlineStr">
        <is>
          <t>2</t>
        </is>
      </c>
      <c r="I5460" t="inlineStr">
        <is>
          <t>56¹, 168¹</t>
        </is>
      </c>
      <c r="J5460" t="n">
        <v>2</v>
      </c>
      <c r="K5460" t="inlineStr">
        <is>
          <t>8⁴, 16², 24⁸, 48⁴</t>
        </is>
      </c>
      <c r="L5460" t="inlineStr">
        <is>
          <t>56A³, 84A⁹</t>
        </is>
      </c>
      <c r="M5460" t="inlineStr"/>
      <c r="N5460" t="inlineStr">
        <is>
          <t>3B⁰, 84A⁹, 21B², 4A⁰, 12A¹, 28A¹, 1A⁰, 7A⁰, 56A³</t>
        </is>
      </c>
      <c r="O5460" t="inlineStr"/>
    </row>
    <row r="5461">
      <c r="A5461">
        <f>HYPERLINK("https://mathstats.uncg.edu/sites/pauli/congruence/csg18.html#group168B18", "168B¹⁸")</f>
        <v/>
      </c>
      <c r="B5461" t="n">
        <v>18</v>
      </c>
      <c r="C5461" t="inlineStr"/>
      <c r="D5461" t="inlineStr">
        <is>
          <t>224</t>
        </is>
      </c>
      <c r="E5461" t="inlineStr">
        <is>
          <t>2</t>
        </is>
      </c>
      <c r="F5461" t="inlineStr">
        <is>
          <t>112</t>
        </is>
      </c>
      <c r="G5461" t="inlineStr">
        <is>
          <t>0</t>
        </is>
      </c>
      <c r="H5461" t="inlineStr">
        <is>
          <t>2</t>
        </is>
      </c>
      <c r="I5461" t="inlineStr">
        <is>
          <t>56¹, 168¹</t>
        </is>
      </c>
      <c r="J5461" t="n">
        <v>2</v>
      </c>
      <c r="K5461" t="inlineStr">
        <is>
          <t>8⁴, 16², 24⁸, 48⁴</t>
        </is>
      </c>
      <c r="L5461" t="inlineStr">
        <is>
          <t>56B³, 84A⁹</t>
        </is>
      </c>
      <c r="M5461" t="inlineStr"/>
      <c r="N5461" t="inlineStr">
        <is>
          <t>3B⁰, 56B³, 84A⁹, 21B², 4A⁰, 12A¹, 28A¹, 1A⁰, 7A⁰</t>
        </is>
      </c>
      <c r="O5461" t="inlineStr"/>
    </row>
    <row r="5462">
      <c r="A5462">
        <f>HYPERLINK("https://mathstats.uncg.edu/sites/pauli/congruence/csg18.html#group168C18", "168C¹⁸")</f>
        <v/>
      </c>
      <c r="B5462" t="n">
        <v>18</v>
      </c>
      <c r="C5462" t="inlineStr"/>
      <c r="D5462" t="inlineStr">
        <is>
          <t>224</t>
        </is>
      </c>
      <c r="E5462" t="inlineStr">
        <is>
          <t>2</t>
        </is>
      </c>
      <c r="F5462" t="inlineStr">
        <is>
          <t>112</t>
        </is>
      </c>
      <c r="G5462" t="inlineStr">
        <is>
          <t>0</t>
        </is>
      </c>
      <c r="H5462" t="inlineStr">
        <is>
          <t>2</t>
        </is>
      </c>
      <c r="I5462" t="inlineStr">
        <is>
          <t>56¹, 168¹</t>
        </is>
      </c>
      <c r="J5462" t="n">
        <v>2</v>
      </c>
      <c r="K5462" t="inlineStr">
        <is>
          <t>8⁴, 16², 24⁸, 48⁴</t>
        </is>
      </c>
      <c r="L5462" t="inlineStr">
        <is>
          <t>24A², 56C³, 84A⁹</t>
        </is>
      </c>
      <c r="M5462" t="inlineStr"/>
      <c r="N5462" t="inlineStr">
        <is>
          <t>3B⁰, 84A⁹, 21B², 24A², 4A⁰, 12A¹, 8A⁰, 56C³, 28A¹, 1A⁰, 7A⁰</t>
        </is>
      </c>
      <c r="O5462" t="inlineStr"/>
    </row>
    <row r="5463">
      <c r="A5463">
        <f>HYPERLINK("https://mathstats.uncg.edu/sites/pauli/congruence/csg18.html#group168D18", "168D¹⁸")</f>
        <v/>
      </c>
      <c r="B5463" t="n">
        <v>18</v>
      </c>
      <c r="C5463" t="inlineStr"/>
      <c r="D5463" t="inlineStr">
        <is>
          <t>224</t>
        </is>
      </c>
      <c r="E5463" t="inlineStr">
        <is>
          <t>2</t>
        </is>
      </c>
      <c r="F5463" t="inlineStr">
        <is>
          <t>112</t>
        </is>
      </c>
      <c r="G5463" t="inlineStr">
        <is>
          <t>0</t>
        </is>
      </c>
      <c r="H5463" t="inlineStr">
        <is>
          <t>2</t>
        </is>
      </c>
      <c r="I5463" t="inlineStr">
        <is>
          <t>56¹, 168¹</t>
        </is>
      </c>
      <c r="J5463" t="n">
        <v>2</v>
      </c>
      <c r="K5463" t="inlineStr">
        <is>
          <t>8⁴, 16², 24⁸, 48⁴</t>
        </is>
      </c>
      <c r="L5463" t="inlineStr">
        <is>
          <t>24A², 56D³, 84A⁹</t>
        </is>
      </c>
      <c r="M5463" t="inlineStr"/>
      <c r="N5463" t="inlineStr">
        <is>
          <t>3B⁰, 56D³, 84A⁹, 21B², 24A², 4A⁰, 12A¹, 8A⁰, 28A¹, 1A⁰, 7A⁰</t>
        </is>
      </c>
      <c r="O5463" t="inlineStr"/>
    </row>
    <row r="5464">
      <c r="A5464">
        <f>HYPERLINK("https://mathstats.uncg.edu/sites/pauli/congruence/csg18.html#group168E18", "168E¹⁸")</f>
        <v/>
      </c>
      <c r="B5464" t="n">
        <v>18</v>
      </c>
      <c r="C5464" t="inlineStr"/>
      <c r="D5464" t="inlineStr">
        <is>
          <t>252</t>
        </is>
      </c>
      <c r="E5464" t="inlineStr">
        <is>
          <t>2</t>
        </is>
      </c>
      <c r="F5464" t="inlineStr">
        <is>
          <t>21</t>
        </is>
      </c>
      <c r="G5464" t="inlineStr">
        <is>
          <t>12</t>
        </is>
      </c>
      <c r="H5464" t="inlineStr">
        <is>
          <t>0</t>
        </is>
      </c>
      <c r="I5464" t="inlineStr">
        <is>
          <t>84¹, 168¹</t>
        </is>
      </c>
      <c r="J5464" t="n">
        <v>2</v>
      </c>
      <c r="K5464" t="inlineStr">
        <is>
          <t>2³, 6⁶</t>
        </is>
      </c>
      <c r="L5464" t="inlineStr">
        <is>
          <t>56A⁶, 84B⁶</t>
        </is>
      </c>
      <c r="M5464" t="inlineStr"/>
      <c r="N5464" t="inlineStr">
        <is>
          <t>56A⁶, 28C², 12C⁰, 14B¹, 4C⁰, 21A⁰, 2B⁰, 3A⁰, 1A⁰, 42C³, 84B⁶, 6D⁰, 7A⁰</t>
        </is>
      </c>
      <c r="O5464" t="inlineStr"/>
    </row>
    <row r="5465">
      <c r="A5465">
        <f>HYPERLINK("https://mathstats.uncg.edu/sites/pauli/congruence/csg18.html#group168F18", "168F¹⁸")</f>
        <v/>
      </c>
      <c r="B5465" t="n">
        <v>18</v>
      </c>
      <c r="C5465" t="inlineStr"/>
      <c r="D5465" t="inlineStr">
        <is>
          <t>252</t>
        </is>
      </c>
      <c r="E5465" t="inlineStr">
        <is>
          <t>2</t>
        </is>
      </c>
      <c r="F5465" t="inlineStr">
        <is>
          <t>63</t>
        </is>
      </c>
      <c r="G5465" t="inlineStr">
        <is>
          <t>12</t>
        </is>
      </c>
      <c r="H5465" t="inlineStr">
        <is>
          <t>0</t>
        </is>
      </c>
      <c r="I5465" t="inlineStr">
        <is>
          <t>84¹, 168¹</t>
        </is>
      </c>
      <c r="J5465" t="n">
        <v>2</v>
      </c>
      <c r="K5465" t="inlineStr">
        <is>
          <t>2³, 4³, 6⁶, 12⁶</t>
        </is>
      </c>
      <c r="L5465" t="inlineStr">
        <is>
          <t>24C², 84B⁶</t>
        </is>
      </c>
      <c r="M5465" t="inlineStr"/>
      <c r="N5465" t="inlineStr">
        <is>
          <t>28C², 12C⁰, 14B¹, 4C⁰, 21A⁰, 2B⁰, 24C², 3A⁰, 1A⁰, 42C³, 84B⁶, 6D⁰, 7A⁰</t>
        </is>
      </c>
      <c r="O5465" t="inlineStr"/>
    </row>
    <row r="5466">
      <c r="A5466">
        <f>HYPERLINK("https://mathstats.uncg.edu/sites/pauli/congruence/csg18.html#group180A18", "180A¹⁸")</f>
        <v/>
      </c>
      <c r="B5466" t="n">
        <v>18</v>
      </c>
      <c r="C5466" t="inlineStr"/>
      <c r="D5466" t="inlineStr">
        <is>
          <t>240</t>
        </is>
      </c>
      <c r="E5466" t="inlineStr">
        <is>
          <t>1</t>
        </is>
      </c>
      <c r="F5466" t="inlineStr">
        <is>
          <t>80</t>
        </is>
      </c>
      <c r="G5466" t="inlineStr">
        <is>
          <t>0</t>
        </is>
      </c>
      <c r="H5466" t="inlineStr">
        <is>
          <t>6</t>
        </is>
      </c>
      <c r="I5466" t="inlineStr">
        <is>
          <t>60¹, 180¹</t>
        </is>
      </c>
      <c r="J5466" t="n">
        <v>2</v>
      </c>
      <c r="K5466" t="inlineStr">
        <is>
          <t>2⁴, 4², 8⁴, 16²</t>
        </is>
      </c>
      <c r="L5466" t="inlineStr">
        <is>
          <t>36C³, 45B³, 60A⁶</t>
        </is>
      </c>
      <c r="M5466" t="inlineStr"/>
      <c r="N5466" t="inlineStr">
        <is>
          <t>3B⁰, 5A⁰, 45B³, 4A⁰, 12A¹, 15B¹, 20A¹, 9C⁰, 60A⁶, 1A⁰, 36C³</t>
        </is>
      </c>
      <c r="O5466" t="inlineStr"/>
    </row>
    <row r="5467">
      <c r="A5467">
        <f>HYPERLINK("https://mathstats.uncg.edu/sites/pauli/congruence/csg18.html#group180B18", "180B¹⁸")</f>
        <v/>
      </c>
      <c r="B5467" t="n">
        <v>18</v>
      </c>
      <c r="C5467" t="inlineStr"/>
      <c r="D5467" t="inlineStr">
        <is>
          <t>240</t>
        </is>
      </c>
      <c r="E5467" t="inlineStr">
        <is>
          <t>2</t>
        </is>
      </c>
      <c r="F5467" t="inlineStr">
        <is>
          <t>40</t>
        </is>
      </c>
      <c r="G5467" t="inlineStr">
        <is>
          <t>0</t>
        </is>
      </c>
      <c r="H5467" t="inlineStr">
        <is>
          <t>6</t>
        </is>
      </c>
      <c r="I5467" t="inlineStr">
        <is>
          <t>60¹, 180¹</t>
        </is>
      </c>
      <c r="J5467" t="n">
        <v>2</v>
      </c>
      <c r="K5467" t="inlineStr">
        <is>
          <t>4⁴, 8⁸</t>
        </is>
      </c>
      <c r="L5467" t="inlineStr">
        <is>
          <t>60B⁴, 90C⁹</t>
        </is>
      </c>
      <c r="M5467" t="inlineStr"/>
      <c r="N5467" t="inlineStr">
        <is>
          <t>3B⁰, 2A⁰, 5A⁰, 10A⁰, 90C⁹, 30D², 60B⁴, 6C⁰, 15B¹, 1A⁰, 12B⁰</t>
        </is>
      </c>
      <c r="O5467" t="inlineStr"/>
    </row>
    <row r="5468">
      <c r="A5468">
        <f>HYPERLINK("https://mathstats.uncg.edu/sites/pauli/congruence/csg18.html#group180C18", "180C¹⁸")</f>
        <v/>
      </c>
      <c r="B5468" t="n">
        <v>18</v>
      </c>
      <c r="C5468" t="inlineStr"/>
      <c r="D5468" t="inlineStr">
        <is>
          <t>240</t>
        </is>
      </c>
      <c r="E5468" t="inlineStr">
        <is>
          <t>2</t>
        </is>
      </c>
      <c r="F5468" t="inlineStr">
        <is>
          <t>80</t>
        </is>
      </c>
      <c r="G5468" t="inlineStr">
        <is>
          <t>0</t>
        </is>
      </c>
      <c r="H5468" t="inlineStr">
        <is>
          <t>3</t>
        </is>
      </c>
      <c r="I5468" t="inlineStr">
        <is>
          <t>20³, 180¹</t>
        </is>
      </c>
      <c r="J5468" t="n">
        <v>4</v>
      </c>
      <c r="K5468" t="inlineStr">
        <is>
          <t>4⁴, 8², 16⁸</t>
        </is>
      </c>
      <c r="L5468" t="inlineStr">
        <is>
          <t>45C³, 60A⁶</t>
        </is>
      </c>
      <c r="M5468" t="inlineStr"/>
      <c r="N5468" t="inlineStr">
        <is>
          <t>3B⁰, 45C³, 5A⁰, 4A⁰, 12A¹, 15B¹, 20A¹, 60A⁶, 1A⁰</t>
        </is>
      </c>
      <c r="O5468" t="inlineStr"/>
    </row>
    <row r="5469">
      <c r="A5469">
        <f>HYPERLINK("https://mathstats.uncg.edu/sites/pauli/congruence/csg18.html#group189A18", "189A¹⁸")</f>
        <v/>
      </c>
      <c r="B5469" t="n">
        <v>18</v>
      </c>
      <c r="C5469" t="inlineStr"/>
      <c r="D5469" t="inlineStr">
        <is>
          <t>252</t>
        </is>
      </c>
      <c r="E5469" t="inlineStr">
        <is>
          <t>2</t>
        </is>
      </c>
      <c r="F5469" t="inlineStr">
        <is>
          <t>84</t>
        </is>
      </c>
      <c r="G5469" t="inlineStr">
        <is>
          <t>0</t>
        </is>
      </c>
      <c r="H5469" t="inlineStr">
        <is>
          <t>0</t>
        </is>
      </c>
      <c r="I5469" t="inlineStr">
        <is>
          <t>7⁶, 21¹, 189¹</t>
        </is>
      </c>
      <c r="J5469" t="n">
        <v>8</v>
      </c>
      <c r="K5469" t="inlineStr">
        <is>
          <t>2², 4², 6⁴, 12⁵, 36²</t>
        </is>
      </c>
      <c r="L5469" t="inlineStr">
        <is>
          <t>27A⁰, 63B⁶</t>
        </is>
      </c>
      <c r="M5469" t="inlineStr"/>
      <c r="N5469" t="inlineStr">
        <is>
          <t>3B⁰, 21B², 27A⁰, 63B⁶, 9B⁰, 1A⁰, 7A⁰</t>
        </is>
      </c>
      <c r="O5469" t="inlineStr"/>
    </row>
    <row r="5470">
      <c r="A5470">
        <f>HYPERLINK("https://mathstats.uncg.edu/sites/pauli/congruence/csg18.html#group192A18", "192A¹⁸")</f>
        <v/>
      </c>
      <c r="B5470" t="n">
        <v>18</v>
      </c>
      <c r="C5470" t="inlineStr"/>
      <c r="D5470" t="inlineStr">
        <is>
          <t>288</t>
        </is>
      </c>
      <c r="E5470" t="inlineStr">
        <is>
          <t>1</t>
        </is>
      </c>
      <c r="F5470" t="inlineStr">
        <is>
          <t>24</t>
        </is>
      </c>
      <c r="G5470" t="inlineStr">
        <is>
          <t>0</t>
        </is>
      </c>
      <c r="H5470" t="inlineStr">
        <is>
          <t>0</t>
        </is>
      </c>
      <c r="I5470" t="inlineStr">
        <is>
          <t>3⁸, 6⁴, 48¹, 192¹</t>
        </is>
      </c>
      <c r="J5470" t="n">
        <v>14</v>
      </c>
      <c r="K5470" t="inlineStr">
        <is>
          <t>2⁸, 8¹</t>
        </is>
      </c>
      <c r="L5470" t="inlineStr">
        <is>
          <t>64A², 96A⁸</t>
        </is>
      </c>
      <c r="M5470" t="inlineStr"/>
      <c r="N5470" t="inlineStr">
        <is>
          <t>24B², 4B⁰, 16C⁰, 32A⁰, 8C⁰, 12B¹, 96A⁸, 64A², 3A⁰, 2B⁰, 1A⁰, 6D⁰, 48B⁴</t>
        </is>
      </c>
      <c r="O5470" t="inlineStr"/>
    </row>
    <row r="5471">
      <c r="A5471">
        <f>HYPERLINK("https://mathstats.uncg.edu/sites/pauli/congruence/csg18.html#group192B18", "192B¹⁸")</f>
        <v/>
      </c>
      <c r="B5471" t="n">
        <v>18</v>
      </c>
      <c r="C5471" t="inlineStr"/>
      <c r="D5471" t="inlineStr">
        <is>
          <t>288</t>
        </is>
      </c>
      <c r="E5471" t="inlineStr">
        <is>
          <t>1</t>
        </is>
      </c>
      <c r="F5471" t="inlineStr">
        <is>
          <t>72</t>
        </is>
      </c>
      <c r="G5471" t="inlineStr">
        <is>
          <t>0</t>
        </is>
      </c>
      <c r="H5471" t="inlineStr">
        <is>
          <t>0</t>
        </is>
      </c>
      <c r="I5471" t="inlineStr">
        <is>
          <t>3⁸, 6⁴, 48¹, 192¹</t>
        </is>
      </c>
      <c r="J5471" t="n">
        <v>14</v>
      </c>
      <c r="K5471" t="inlineStr">
        <is>
          <t>2⁸, 4⁸, 8¹, 16¹</t>
        </is>
      </c>
      <c r="L5471" t="inlineStr">
        <is>
          <t>96A⁸</t>
        </is>
      </c>
      <c r="M5471" t="inlineStr"/>
      <c r="N5471" t="inlineStr">
        <is>
          <t>24B², 4B⁰, 16C⁰, 32A⁰, 8C⁰, 12B¹, 96A⁸, 2B⁰, 3A⁰, 1A⁰, 6D⁰, 48B⁴</t>
        </is>
      </c>
      <c r="O5471" t="inlineStr"/>
    </row>
    <row r="5472">
      <c r="A5472">
        <f>HYPERLINK("https://mathstats.uncg.edu/sites/pauli/congruence/csg18.html#group198A18", "198A¹⁸")</f>
        <v/>
      </c>
      <c r="B5472" t="n">
        <v>18</v>
      </c>
      <c r="C5472" t="inlineStr"/>
      <c r="D5472" t="inlineStr">
        <is>
          <t>216</t>
        </is>
      </c>
      <c r="E5472" t="inlineStr">
        <is>
          <t>1</t>
        </is>
      </c>
      <c r="F5472" t="inlineStr">
        <is>
          <t>108</t>
        </is>
      </c>
      <c r="G5472" t="inlineStr">
        <is>
          <t>0</t>
        </is>
      </c>
      <c r="H5472" t="inlineStr">
        <is>
          <t>0</t>
        </is>
      </c>
      <c r="I5472" t="inlineStr">
        <is>
          <t>18¹, 198¹</t>
        </is>
      </c>
      <c r="J5472" t="n">
        <v>2</v>
      </c>
      <c r="K5472" t="inlineStr">
        <is>
          <t>1², 2², 6², 10¹, 20¹, 60¹</t>
        </is>
      </c>
      <c r="L5472" t="inlineStr">
        <is>
          <t>18A¹, 66D⁶, 99A⁹</t>
        </is>
      </c>
      <c r="M5472" t="inlineStr"/>
      <c r="N5472" t="inlineStr">
        <is>
          <t>6B⁰, 66D⁶, 11A¹, 9A⁰, 99A⁹, 3A⁰, 33A³, 1A⁰, 18A¹</t>
        </is>
      </c>
      <c r="O5472" t="inlineStr"/>
    </row>
    <row r="5473">
      <c r="A5473">
        <f>HYPERLINK("https://mathstats.uncg.edu/sites/pauli/congruence/csg18.html#group198B18", "198B¹⁸")</f>
        <v/>
      </c>
      <c r="B5473" t="n">
        <v>18</v>
      </c>
      <c r="C5473" t="inlineStr"/>
      <c r="D5473" t="inlineStr">
        <is>
          <t>216</t>
        </is>
      </c>
      <c r="E5473" t="inlineStr">
        <is>
          <t>1</t>
        </is>
      </c>
      <c r="F5473" t="inlineStr">
        <is>
          <t>108</t>
        </is>
      </c>
      <c r="G5473" t="inlineStr">
        <is>
          <t>0</t>
        </is>
      </c>
      <c r="H5473" t="inlineStr">
        <is>
          <t>0</t>
        </is>
      </c>
      <c r="I5473" t="inlineStr">
        <is>
          <t>18¹, 198¹</t>
        </is>
      </c>
      <c r="J5473" t="n">
        <v>2</v>
      </c>
      <c r="K5473" t="inlineStr">
        <is>
          <t>1², 2², 6², 10¹, 20¹, 60¹</t>
        </is>
      </c>
      <c r="L5473" t="inlineStr">
        <is>
          <t>18A², 66B⁶, 99A⁹</t>
        </is>
      </c>
      <c r="M5473" t="inlineStr"/>
      <c r="N5473" t="inlineStr">
        <is>
          <t>2A⁰, 11A¹, 22A², 9A⁰, 66B⁶, 6A¹, 18A², 99A⁹, 3A⁰, 33A³, 1A⁰</t>
        </is>
      </c>
      <c r="O5473" t="inlineStr"/>
    </row>
    <row r="5474">
      <c r="A5474">
        <f>HYPERLINK("https://mathstats.uncg.edu/sites/pauli/congruence/csg18.html#group198C18", "198C¹⁸")</f>
        <v/>
      </c>
      <c r="B5474" t="n">
        <v>18</v>
      </c>
      <c r="C5474" t="inlineStr"/>
      <c r="D5474" t="inlineStr">
        <is>
          <t>216</t>
        </is>
      </c>
      <c r="E5474" t="inlineStr">
        <is>
          <t>1</t>
        </is>
      </c>
      <c r="F5474" t="inlineStr">
        <is>
          <t>216</t>
        </is>
      </c>
      <c r="G5474" t="inlineStr">
        <is>
          <t>0</t>
        </is>
      </c>
      <c r="H5474" t="inlineStr">
        <is>
          <t>0</t>
        </is>
      </c>
      <c r="I5474" t="inlineStr">
        <is>
          <t>18¹, 198¹</t>
        </is>
      </c>
      <c r="J5474" t="n">
        <v>2</v>
      </c>
      <c r="K5474" t="inlineStr">
        <is>
          <t>2⁶, 6⁴, 20³, 60²</t>
        </is>
      </c>
      <c r="L5474" t="inlineStr">
        <is>
          <t>18B¹, 66D⁶</t>
        </is>
      </c>
      <c r="M5474" t="inlineStr"/>
      <c r="N5474" t="inlineStr">
        <is>
          <t>6B⁰, 66D⁶, 11A¹, 18B¹, 3A⁰, 33A³, 1A⁰</t>
        </is>
      </c>
      <c r="O5474" t="inlineStr"/>
    </row>
    <row r="5475">
      <c r="A5475">
        <f>HYPERLINK("https://mathstats.uncg.edu/sites/pauli/congruence/csg18.html#group198D18", "198D¹⁸")</f>
        <v/>
      </c>
      <c r="B5475" t="n">
        <v>18</v>
      </c>
      <c r="C5475" t="inlineStr"/>
      <c r="D5475" t="inlineStr">
        <is>
          <t>216</t>
        </is>
      </c>
      <c r="E5475" t="inlineStr">
        <is>
          <t>2</t>
        </is>
      </c>
      <c r="F5475" t="inlineStr">
        <is>
          <t>108</t>
        </is>
      </c>
      <c r="G5475" t="inlineStr">
        <is>
          <t>0</t>
        </is>
      </c>
      <c r="H5475" t="inlineStr">
        <is>
          <t>0</t>
        </is>
      </c>
      <c r="I5475" t="inlineStr">
        <is>
          <t>18¹, 198¹</t>
        </is>
      </c>
      <c r="J5475" t="n">
        <v>2</v>
      </c>
      <c r="K5475" t="inlineStr">
        <is>
          <t>2⁶, 6⁴, 20³, 60²</t>
        </is>
      </c>
      <c r="L5475" t="inlineStr">
        <is>
          <t>18A⁰, 66D⁶, 99A⁹</t>
        </is>
      </c>
      <c r="M5475" t="inlineStr"/>
      <c r="N5475" t="inlineStr">
        <is>
          <t>6B⁰, 66D⁶, 11A¹, 9A⁰, 99A⁹, 3A⁰, 33A³, 1A⁰, 18A⁰</t>
        </is>
      </c>
      <c r="O5475" t="inlineStr"/>
    </row>
    <row r="5476">
      <c r="A5476">
        <f>HYPERLINK("https://mathstats.uncg.edu/sites/pauli/congruence/csg18.html#group198E18", "198E¹⁸")</f>
        <v/>
      </c>
      <c r="B5476" t="n">
        <v>18</v>
      </c>
      <c r="C5476" t="inlineStr"/>
      <c r="D5476" t="inlineStr">
        <is>
          <t>264</t>
        </is>
      </c>
      <c r="E5476" t="inlineStr">
        <is>
          <t>2</t>
        </is>
      </c>
      <c r="F5476" t="inlineStr">
        <is>
          <t>44</t>
        </is>
      </c>
      <c r="G5476" t="inlineStr">
        <is>
          <t>0</t>
        </is>
      </c>
      <c r="H5476" t="inlineStr">
        <is>
          <t>12</t>
        </is>
      </c>
      <c r="I5476" t="inlineStr">
        <is>
          <t>66¹, 198¹</t>
        </is>
      </c>
      <c r="J5476" t="n">
        <v>2</v>
      </c>
      <c r="K5476" t="inlineStr">
        <is>
          <t>2², 4¹, 10⁴, 20²</t>
        </is>
      </c>
      <c r="L5476" t="inlineStr">
        <is>
          <t>18B⁰, 66E⁶, 99B⁹</t>
        </is>
      </c>
      <c r="M5476" t="inlineStr"/>
      <c r="N5476" t="inlineStr">
        <is>
          <t>11A⁰, 3B⁰, 2A⁰, 22A¹, 33B³, 18B⁰, 99B⁹, 6C⁰, 66E⁶, 9C⁰, 1A⁰</t>
        </is>
      </c>
      <c r="O5476" t="inlineStr"/>
    </row>
    <row r="5477">
      <c r="A5477">
        <f>HYPERLINK("https://mathstats.uncg.edu/sites/pauli/congruence/csg18.html#group207A18", "207A¹⁸")</f>
        <v/>
      </c>
      <c r="B5477" t="n">
        <v>18</v>
      </c>
      <c r="C5477" t="inlineStr"/>
      <c r="D5477" t="inlineStr">
        <is>
          <t>216</t>
        </is>
      </c>
      <c r="E5477" t="inlineStr">
        <is>
          <t>1</t>
        </is>
      </c>
      <c r="F5477" t="inlineStr">
        <is>
          <t>216</t>
        </is>
      </c>
      <c r="G5477" t="inlineStr">
        <is>
          <t>0</t>
        </is>
      </c>
      <c r="H5477" t="inlineStr">
        <is>
          <t>0</t>
        </is>
      </c>
      <c r="I5477" t="inlineStr">
        <is>
          <t>9¹, 207¹</t>
        </is>
      </c>
      <c r="J5477" t="n">
        <v>2</v>
      </c>
      <c r="K5477" t="inlineStr">
        <is>
          <t>1², 2², 6², 22¹, 44¹, 132¹</t>
        </is>
      </c>
      <c r="L5477" t="inlineStr">
        <is>
          <t>9A⁰, 69A⁶</t>
        </is>
      </c>
      <c r="M5477" t="inlineStr"/>
      <c r="N5477" t="inlineStr">
        <is>
          <t>23A², 69A⁶, 3A⁰, 1A⁰, 9A⁰</t>
        </is>
      </c>
      <c r="O5477" t="inlineStr"/>
    </row>
    <row r="5478">
      <c r="A5478">
        <f>HYPERLINK("https://mathstats.uncg.edu/sites/pauli/congruence/csg18.html#group210A18", "210A¹⁸")</f>
        <v/>
      </c>
      <c r="B5478" t="n">
        <v>18</v>
      </c>
      <c r="C5478" t="inlineStr"/>
      <c r="D5478" t="inlineStr">
        <is>
          <t>210</t>
        </is>
      </c>
      <c r="E5478" t="inlineStr">
        <is>
          <t>2</t>
        </is>
      </c>
      <c r="F5478" t="inlineStr">
        <is>
          <t>35</t>
        </is>
      </c>
      <c r="G5478" t="inlineStr">
        <is>
          <t>0</t>
        </is>
      </c>
      <c r="H5478" t="inlineStr">
        <is>
          <t>0</t>
        </is>
      </c>
      <c r="I5478" t="inlineStr">
        <is>
          <t>210¹</t>
        </is>
      </c>
      <c r="J5478" t="n">
        <v>1</v>
      </c>
      <c r="K5478" t="inlineStr">
        <is>
          <t>2¹, 6², 8¹, 24²</t>
        </is>
      </c>
      <c r="L5478" t="inlineStr">
        <is>
          <t>30A³, 42A⁴, 70A⁵, 105A⁷</t>
        </is>
      </c>
      <c r="M5478" t="inlineStr"/>
      <c r="N5478" t="inlineStr">
        <is>
          <t>2A⁰, 30A³, 5A⁰, 14A¹, 21A⁰, 42A⁴, 1A⁰, 35A², 105A⁷, 10A⁰, 70A⁵, 6A¹, 3A⁰, 15A¹, 7A⁰</t>
        </is>
      </c>
      <c r="O5478" t="inlineStr"/>
    </row>
    <row r="5479">
      <c r="A5479">
        <f>HYPERLINK("https://mathstats.uncg.edu/sites/pauli/congruence/csg18.html#group210B18", "210B¹⁸")</f>
        <v/>
      </c>
      <c r="B5479" t="n">
        <v>18</v>
      </c>
      <c r="C5479" t="inlineStr"/>
      <c r="D5479" t="inlineStr">
        <is>
          <t>240</t>
        </is>
      </c>
      <c r="E5479" t="inlineStr">
        <is>
          <t>2</t>
        </is>
      </c>
      <c r="F5479" t="inlineStr">
        <is>
          <t>40</t>
        </is>
      </c>
      <c r="G5479" t="inlineStr">
        <is>
          <t>0</t>
        </is>
      </c>
      <c r="H5479" t="inlineStr">
        <is>
          <t>6</t>
        </is>
      </c>
      <c r="I5479" t="inlineStr">
        <is>
          <t>30¹, 210¹</t>
        </is>
      </c>
      <c r="J5479" t="n">
        <v>2</v>
      </c>
      <c r="K5479" t="inlineStr">
        <is>
          <t>4², 8⁴, 24¹, 48²</t>
        </is>
      </c>
      <c r="L5479" t="inlineStr">
        <is>
          <t>70B⁴, 105A⁹</t>
        </is>
      </c>
      <c r="M5479" t="inlineStr"/>
      <c r="N5479" t="inlineStr">
        <is>
          <t>2A⁰, 5A⁰, 10A⁰, 70B⁴, 7B⁰, 14B⁰, 105A⁹, 35B², 1A⁰</t>
        </is>
      </c>
      <c r="O5479" t="inlineStr"/>
    </row>
    <row r="5480">
      <c r="A5480">
        <f>HYPERLINK("https://mathstats.uncg.edu/sites/pauli/congruence/csg18.html#group210C18", "210C¹⁸")</f>
        <v/>
      </c>
      <c r="B5480" t="n">
        <v>18</v>
      </c>
      <c r="C5480" t="inlineStr"/>
      <c r="D5480" t="inlineStr">
        <is>
          <t>240</t>
        </is>
      </c>
      <c r="E5480" t="inlineStr">
        <is>
          <t>2</t>
        </is>
      </c>
      <c r="F5480" t="inlineStr">
        <is>
          <t>40</t>
        </is>
      </c>
      <c r="G5480" t="inlineStr">
        <is>
          <t>0</t>
        </is>
      </c>
      <c r="H5480" t="inlineStr">
        <is>
          <t>6</t>
        </is>
      </c>
      <c r="I5480" t="inlineStr">
        <is>
          <t>30¹, 210¹</t>
        </is>
      </c>
      <c r="J5480" t="n">
        <v>2</v>
      </c>
      <c r="K5480" t="inlineStr">
        <is>
          <t>4², 8⁴, 24¹, 48²</t>
        </is>
      </c>
      <c r="L5480" t="inlineStr">
        <is>
          <t>70B⁴, 105B⁹</t>
        </is>
      </c>
      <c r="M5480" t="inlineStr"/>
      <c r="N5480" t="inlineStr">
        <is>
          <t>105B⁹, 2A⁰, 5A⁰, 10A⁰, 70B⁴, 7B⁰, 14B⁰, 35B², 1A⁰</t>
        </is>
      </c>
      <c r="O5480" t="inlineStr"/>
    </row>
    <row r="5481">
      <c r="A5481">
        <f>HYPERLINK("https://mathstats.uncg.edu/sites/pauli/congruence/csg18.html#group210D18", "210D¹⁸")</f>
        <v/>
      </c>
      <c r="B5481" t="n">
        <v>18</v>
      </c>
      <c r="C5481" t="inlineStr"/>
      <c r="D5481" t="inlineStr">
        <is>
          <t>240</t>
        </is>
      </c>
      <c r="E5481" t="inlineStr">
        <is>
          <t>2</t>
        </is>
      </c>
      <c r="F5481" t="inlineStr">
        <is>
          <t>80</t>
        </is>
      </c>
      <c r="G5481" t="inlineStr">
        <is>
          <t>0</t>
        </is>
      </c>
      <c r="H5481" t="inlineStr">
        <is>
          <t>6</t>
        </is>
      </c>
      <c r="I5481" t="inlineStr">
        <is>
          <t>30¹, 210¹</t>
        </is>
      </c>
      <c r="J5481" t="n">
        <v>2</v>
      </c>
      <c r="K5481" t="inlineStr">
        <is>
          <t>4², 8⁴, 24¹, 48²</t>
        </is>
      </c>
      <c r="L5481" t="inlineStr">
        <is>
          <t>30B², 70B⁴</t>
        </is>
      </c>
      <c r="M5481" t="inlineStr"/>
      <c r="N5481" t="inlineStr">
        <is>
          <t>2A⁰, 30B², 5A⁰, 10A⁰, 70B⁴, 7B⁰, 14B⁰, 35B², 1A⁰</t>
        </is>
      </c>
      <c r="O5481" t="inlineStr"/>
    </row>
    <row r="5482">
      <c r="A5482">
        <f>HYPERLINK("https://mathstats.uncg.edu/sites/pauli/congruence/csg18.html#group210E18", "210E¹⁸")</f>
        <v/>
      </c>
      <c r="B5482" t="n">
        <v>18</v>
      </c>
      <c r="C5482" t="inlineStr"/>
      <c r="D5482" t="inlineStr">
        <is>
          <t>240</t>
        </is>
      </c>
      <c r="E5482" t="inlineStr">
        <is>
          <t>2</t>
        </is>
      </c>
      <c r="F5482" t="inlineStr">
        <is>
          <t>80</t>
        </is>
      </c>
      <c r="G5482" t="inlineStr">
        <is>
          <t>0</t>
        </is>
      </c>
      <c r="H5482" t="inlineStr">
        <is>
          <t>6</t>
        </is>
      </c>
      <c r="I5482" t="inlineStr">
        <is>
          <t>30¹, 210¹</t>
        </is>
      </c>
      <c r="J5482" t="n">
        <v>2</v>
      </c>
      <c r="K5482" t="inlineStr">
        <is>
          <t>2⁴, 8⁴, 12², 48²</t>
        </is>
      </c>
      <c r="L5482" t="inlineStr">
        <is>
          <t>42B³, 70B⁴</t>
        </is>
      </c>
      <c r="M5482" t="inlineStr"/>
      <c r="N5482" t="inlineStr">
        <is>
          <t>2A⁰, 5A⁰, 10A⁰, 70B⁴, 7B⁰, 14B⁰, 35B², 1A⁰, 42B³</t>
        </is>
      </c>
      <c r="O5482" t="inlineStr"/>
    </row>
    <row r="5483">
      <c r="A5483">
        <f>HYPERLINK("https://mathstats.uncg.edu/sites/pauli/congruence/csg18.html#group210F18", "210F¹⁸")</f>
        <v/>
      </c>
      <c r="B5483" t="n">
        <v>18</v>
      </c>
      <c r="C5483" t="inlineStr"/>
      <c r="D5483" t="inlineStr">
        <is>
          <t>252</t>
        </is>
      </c>
      <c r="E5483" t="inlineStr">
        <is>
          <t>2</t>
        </is>
      </c>
      <c r="F5483" t="inlineStr">
        <is>
          <t>42</t>
        </is>
      </c>
      <c r="G5483" t="inlineStr">
        <is>
          <t>12</t>
        </is>
      </c>
      <c r="H5483" t="inlineStr">
        <is>
          <t>0</t>
        </is>
      </c>
      <c r="I5483" t="inlineStr">
        <is>
          <t>42¹, 210¹</t>
        </is>
      </c>
      <c r="J5483" t="n">
        <v>2</v>
      </c>
      <c r="K5483" t="inlineStr">
        <is>
          <t>2², 6⁴, 8¹, 24²</t>
        </is>
      </c>
      <c r="L5483" t="inlineStr">
        <is>
          <t>70A⁶, 105C⁶</t>
        </is>
      </c>
      <c r="M5483" t="inlineStr"/>
      <c r="N5483" t="inlineStr">
        <is>
          <t>35C², 15B⁰, 105C⁶, 5B⁰, 21A⁰, 3A⁰, 1A⁰, 70A⁶, 7A⁰</t>
        </is>
      </c>
      <c r="O5483" t="inlineStr"/>
    </row>
    <row r="5484">
      <c r="A5484">
        <f>HYPERLINK("https://mathstats.uncg.edu/sites/pauli/congruence/csg18.html#group210G18", "210G¹⁸")</f>
        <v/>
      </c>
      <c r="B5484" t="n">
        <v>18</v>
      </c>
      <c r="C5484" t="inlineStr"/>
      <c r="D5484" t="inlineStr">
        <is>
          <t>252</t>
        </is>
      </c>
      <c r="E5484" t="inlineStr">
        <is>
          <t>2</t>
        </is>
      </c>
      <c r="F5484" t="inlineStr">
        <is>
          <t>126</t>
        </is>
      </c>
      <c r="G5484" t="inlineStr">
        <is>
          <t>12</t>
        </is>
      </c>
      <c r="H5484" t="inlineStr">
        <is>
          <t>0</t>
        </is>
      </c>
      <c r="I5484" t="inlineStr">
        <is>
          <t>42¹, 210¹</t>
        </is>
      </c>
      <c r="J5484" t="n">
        <v>2</v>
      </c>
      <c r="K5484" t="inlineStr">
        <is>
          <t>2², 4², 6⁴, 8¹, 12⁴, 16¹, 24², 48²</t>
        </is>
      </c>
      <c r="L5484" t="inlineStr">
        <is>
          <t>30C², 105C⁶</t>
        </is>
      </c>
      <c r="M5484" t="inlineStr"/>
      <c r="N5484" t="inlineStr">
        <is>
          <t>35C², 15B⁰, 105C⁶, 5B⁰, 21A⁰, 3A⁰, 1A⁰, 7A⁰, 30C²</t>
        </is>
      </c>
      <c r="O5484" t="inlineStr"/>
    </row>
    <row r="5485">
      <c r="A5485">
        <f>HYPERLINK("https://mathstats.uncg.edu/sites/pauli/congruence/csg18.html#group213A18", "213A¹⁸")</f>
        <v/>
      </c>
      <c r="B5485" t="n">
        <v>18</v>
      </c>
      <c r="C5485" t="inlineStr"/>
      <c r="D5485" t="inlineStr">
        <is>
          <t>216</t>
        </is>
      </c>
      <c r="E5485" t="inlineStr">
        <is>
          <t>1</t>
        </is>
      </c>
      <c r="F5485" t="inlineStr">
        <is>
          <t>72</t>
        </is>
      </c>
      <c r="G5485" t="inlineStr">
        <is>
          <t>0</t>
        </is>
      </c>
      <c r="H5485" t="inlineStr">
        <is>
          <t>0</t>
        </is>
      </c>
      <c r="I5485" t="inlineStr">
        <is>
          <t>3¹, 213¹</t>
        </is>
      </c>
      <c r="J5485" t="n">
        <v>2</v>
      </c>
      <c r="K5485" t="inlineStr">
        <is>
          <t>1², 70¹</t>
        </is>
      </c>
      <c r="L5485" t="inlineStr">
        <is>
          <t>3A⁰, 71A⁶</t>
        </is>
      </c>
      <c r="M5485" t="inlineStr"/>
      <c r="N5485" t="inlineStr">
        <is>
          <t>3A⁰, 1A⁰, 71A⁶</t>
        </is>
      </c>
      <c r="O5485" t="inlineStr"/>
    </row>
    <row r="5486">
      <c r="A5486">
        <f>HYPERLINK("https://mathstats.uncg.edu/sites/pauli/congruence/csg18.html#group214A18", "214A¹⁸")</f>
        <v/>
      </c>
      <c r="B5486" t="n">
        <v>18</v>
      </c>
      <c r="C5486" t="inlineStr"/>
      <c r="D5486" t="inlineStr">
        <is>
          <t>216</t>
        </is>
      </c>
      <c r="E5486" t="inlineStr">
        <is>
          <t>1</t>
        </is>
      </c>
      <c r="F5486" t="inlineStr">
        <is>
          <t>108</t>
        </is>
      </c>
      <c r="G5486" t="inlineStr">
        <is>
          <t>0</t>
        </is>
      </c>
      <c r="H5486" t="inlineStr">
        <is>
          <t>0</t>
        </is>
      </c>
      <c r="I5486" t="inlineStr">
        <is>
          <t>2¹, 214¹</t>
        </is>
      </c>
      <c r="J5486" t="n">
        <v>2</v>
      </c>
      <c r="K5486" t="inlineStr">
        <is>
          <t>1², 106¹</t>
        </is>
      </c>
      <c r="L5486" t="inlineStr">
        <is>
          <t>2A⁰, 107A⁹</t>
        </is>
      </c>
      <c r="M5486" t="inlineStr"/>
      <c r="N5486" t="inlineStr">
        <is>
          <t>2A⁰, 1A⁰, 107A⁹</t>
        </is>
      </c>
      <c r="O5486" t="inlineStr"/>
    </row>
    <row r="5487">
      <c r="A5487">
        <f>HYPERLINK("https://mathstats.uncg.edu/sites/pauli/congruence/csg18.html#group217A18", "217A¹⁸")</f>
        <v/>
      </c>
      <c r="B5487" t="n">
        <v>18</v>
      </c>
      <c r="C5487" t="inlineStr"/>
      <c r="D5487" t="inlineStr">
        <is>
          <t>224</t>
        </is>
      </c>
      <c r="E5487" t="inlineStr">
        <is>
          <t>2</t>
        </is>
      </c>
      <c r="F5487" t="inlineStr">
        <is>
          <t>224</t>
        </is>
      </c>
      <c r="G5487" t="inlineStr">
        <is>
          <t>0</t>
        </is>
      </c>
      <c r="H5487" t="inlineStr">
        <is>
          <t>2</t>
        </is>
      </c>
      <c r="I5487" t="inlineStr">
        <is>
          <t>7¹, 217¹</t>
        </is>
      </c>
      <c r="J5487" t="n">
        <v>2</v>
      </c>
      <c r="K5487" t="inlineStr">
        <is>
          <t>2², 6⁴, 60¹, 180²</t>
        </is>
      </c>
      <c r="L5487" t="inlineStr">
        <is>
          <t>7A⁰, 31A²</t>
        </is>
      </c>
      <c r="M5487" t="inlineStr"/>
      <c r="N5487" t="inlineStr">
        <is>
          <t>31A², 1A⁰, 7A⁰</t>
        </is>
      </c>
      <c r="O5487" t="inlineStr"/>
    </row>
    <row r="5488">
      <c r="A5488">
        <f>HYPERLINK("https://mathstats.uncg.edu/sites/pauli/congruence/csg18.html#group222A18", "222A¹⁸")</f>
        <v/>
      </c>
      <c r="B5488" t="n">
        <v>18</v>
      </c>
      <c r="C5488" t="inlineStr"/>
      <c r="D5488" t="inlineStr">
        <is>
          <t>228</t>
        </is>
      </c>
      <c r="E5488" t="inlineStr">
        <is>
          <t>1</t>
        </is>
      </c>
      <c r="F5488" t="inlineStr">
        <is>
          <t>114</t>
        </is>
      </c>
      <c r="G5488" t="inlineStr">
        <is>
          <t>4</t>
        </is>
      </c>
      <c r="H5488" t="inlineStr">
        <is>
          <t>0</t>
        </is>
      </c>
      <c r="I5488" t="inlineStr">
        <is>
          <t>6¹, 222¹</t>
        </is>
      </c>
      <c r="J5488" t="n">
        <v>2</v>
      </c>
      <c r="K5488" t="inlineStr">
        <is>
          <t>1², 2², 36¹, 72¹</t>
        </is>
      </c>
      <c r="L5488" t="inlineStr">
        <is>
          <t>111A⁸</t>
        </is>
      </c>
      <c r="M5488" t="inlineStr"/>
      <c r="N5488" t="inlineStr">
        <is>
          <t>3A⁰, 1A⁰, 111A⁸, 37A²</t>
        </is>
      </c>
      <c r="O5488" t="inlineStr"/>
    </row>
    <row r="5489">
      <c r="A5489">
        <f>HYPERLINK("https://mathstats.uncg.edu/sites/pauli/congruence/csg18.html#group223A18", "223A¹⁸")</f>
        <v/>
      </c>
      <c r="B5489" t="n">
        <v>18</v>
      </c>
      <c r="C5489" t="inlineStr">
        <is>
          <t>Γ₀(223)</t>
        </is>
      </c>
      <c r="D5489" t="inlineStr">
        <is>
          <t>224</t>
        </is>
      </c>
      <c r="E5489" t="inlineStr">
        <is>
          <t>1</t>
        </is>
      </c>
      <c r="F5489" t="inlineStr">
        <is>
          <t>224</t>
        </is>
      </c>
      <c r="G5489" t="inlineStr">
        <is>
          <t>0</t>
        </is>
      </c>
      <c r="H5489" t="inlineStr">
        <is>
          <t>2</t>
        </is>
      </c>
      <c r="I5489" t="inlineStr">
        <is>
          <t>1¹, 223¹</t>
        </is>
      </c>
      <c r="J5489" t="n">
        <v>2</v>
      </c>
      <c r="K5489" t="inlineStr">
        <is>
          <t>1², 222¹</t>
        </is>
      </c>
      <c r="L5489" t="inlineStr">
        <is>
          <t>1A⁰</t>
        </is>
      </c>
      <c r="M5489" t="inlineStr"/>
      <c r="N5489" t="inlineStr">
        <is>
          <t>1A⁰</t>
        </is>
      </c>
      <c r="O5489" t="inlineStr"/>
    </row>
    <row r="5490">
      <c r="A5490">
        <f>HYPERLINK("https://mathstats.uncg.edu/sites/pauli/congruence/csg18.html#group225A18", "225A¹⁸")</f>
        <v/>
      </c>
      <c r="B5490" t="n">
        <v>18</v>
      </c>
      <c r="C5490" t="inlineStr"/>
      <c r="D5490" t="inlineStr">
        <is>
          <t>270</t>
        </is>
      </c>
      <c r="E5490" t="inlineStr">
        <is>
          <t>1</t>
        </is>
      </c>
      <c r="F5490" t="inlineStr">
        <is>
          <t>270</t>
        </is>
      </c>
      <c r="G5490" t="inlineStr">
        <is>
          <t>10</t>
        </is>
      </c>
      <c r="H5490" t="inlineStr">
        <is>
          <t>0</t>
        </is>
      </c>
      <c r="I5490" t="inlineStr">
        <is>
          <t>9⁵, 225¹</t>
        </is>
      </c>
      <c r="J5490" t="n">
        <v>6</v>
      </c>
      <c r="K5490" t="inlineStr">
        <is>
          <t>1², 2², 4², 6², 8², 20¹, 24², 40¹, 120¹</t>
        </is>
      </c>
      <c r="L5490" t="inlineStr">
        <is>
          <t>45A², 75A⁴</t>
        </is>
      </c>
      <c r="M5490" t="inlineStr"/>
      <c r="N5490" t="inlineStr">
        <is>
          <t>45A², 15B⁰, 9A⁰, 5B⁰, 25A⁰, 75A⁴, 3A⁰, 1A⁰</t>
        </is>
      </c>
      <c r="O5490" t="inlineStr"/>
    </row>
    <row r="5491">
      <c r="A5491">
        <f>HYPERLINK("https://mathstats.uncg.edu/sites/pauli/congruence/csg18.html#group229A18", "229A¹⁸")</f>
        <v/>
      </c>
      <c r="B5491" t="n">
        <v>18</v>
      </c>
      <c r="C5491" t="inlineStr">
        <is>
          <t>Γ₀(229)</t>
        </is>
      </c>
      <c r="D5491" t="inlineStr">
        <is>
          <t>230</t>
        </is>
      </c>
      <c r="E5491" t="inlineStr">
        <is>
          <t>1</t>
        </is>
      </c>
      <c r="F5491" t="inlineStr">
        <is>
          <t>230</t>
        </is>
      </c>
      <c r="G5491" t="inlineStr">
        <is>
          <t>2</t>
        </is>
      </c>
      <c r="H5491" t="inlineStr">
        <is>
          <t>2</t>
        </is>
      </c>
      <c r="I5491" t="inlineStr">
        <is>
          <t>1¹, 229¹</t>
        </is>
      </c>
      <c r="J5491" t="n">
        <v>2</v>
      </c>
      <c r="K5491" t="inlineStr">
        <is>
          <t>1², 228¹</t>
        </is>
      </c>
      <c r="L5491" t="inlineStr">
        <is>
          <t>1A⁰</t>
        </is>
      </c>
      <c r="M5491" t="inlineStr"/>
      <c r="N5491" t="inlineStr">
        <is>
          <t>1A⁰</t>
        </is>
      </c>
      <c r="O5491" t="inlineStr"/>
    </row>
    <row r="5492">
      <c r="A5492">
        <f>HYPERLINK("https://mathstats.uncg.edu/sites/pauli/congruence/csg18.html#group234A18", "234A¹⁸")</f>
        <v/>
      </c>
      <c r="B5492" t="n">
        <v>18</v>
      </c>
      <c r="C5492" t="inlineStr"/>
      <c r="D5492" t="inlineStr">
        <is>
          <t>252</t>
        </is>
      </c>
      <c r="E5492" t="inlineStr">
        <is>
          <t>1</t>
        </is>
      </c>
      <c r="F5492" t="inlineStr">
        <is>
          <t>126</t>
        </is>
      </c>
      <c r="G5492" t="inlineStr">
        <is>
          <t>12</t>
        </is>
      </c>
      <c r="H5492" t="inlineStr">
        <is>
          <t>0</t>
        </is>
      </c>
      <c r="I5492" t="inlineStr">
        <is>
          <t>18¹, 234¹</t>
        </is>
      </c>
      <c r="J5492" t="n">
        <v>2</v>
      </c>
      <c r="K5492" t="inlineStr">
        <is>
          <t>1², 2², 6², 12¹, 24¹, 72¹</t>
        </is>
      </c>
      <c r="L5492" t="inlineStr">
        <is>
          <t>78A⁶, 117A⁸</t>
        </is>
      </c>
      <c r="M5492" t="inlineStr"/>
      <c r="N5492" t="inlineStr">
        <is>
          <t>117A⁸, 13A⁰, 39A², 78A⁶, 3A⁰, 1A⁰, 9A⁰</t>
        </is>
      </c>
      <c r="O5492" t="inlineStr"/>
    </row>
    <row r="5493">
      <c r="A5493">
        <f>HYPERLINK("https://mathstats.uncg.edu/sites/pauli/congruence/csg18.html#group250A18", "250A¹⁸")</f>
        <v/>
      </c>
      <c r="B5493" t="n">
        <v>18</v>
      </c>
      <c r="C5493" t="inlineStr"/>
      <c r="D5493" t="inlineStr">
        <is>
          <t>300</t>
        </is>
      </c>
      <c r="E5493" t="inlineStr">
        <is>
          <t>1</t>
        </is>
      </c>
      <c r="F5493" t="inlineStr">
        <is>
          <t>150</t>
        </is>
      </c>
      <c r="G5493" t="inlineStr">
        <is>
          <t>4</t>
        </is>
      </c>
      <c r="H5493" t="inlineStr">
        <is>
          <t>0</t>
        </is>
      </c>
      <c r="I5493" t="inlineStr">
        <is>
          <t>2¹⁰, 10³, 250¹</t>
        </is>
      </c>
      <c r="J5493" t="n">
        <v>14</v>
      </c>
      <c r="K5493" t="inlineStr">
        <is>
          <t>2², 4⁴, 20⁴, 100²</t>
        </is>
      </c>
      <c r="L5493" t="inlineStr">
        <is>
          <t>50A², 125A⁶</t>
        </is>
      </c>
      <c r="M5493" t="inlineStr"/>
      <c r="N5493" t="inlineStr">
        <is>
          <t>25A⁰, 5B⁰, 1A⁰, 125A⁶, 50A², 10B⁰</t>
        </is>
      </c>
      <c r="O5493" t="inlineStr"/>
    </row>
    <row r="5494">
      <c r="A5494">
        <f>HYPERLINK("https://mathstats.uncg.edu/sites/pauli/congruence/csg18.html#group250B18", "250B¹⁸")</f>
        <v/>
      </c>
      <c r="B5494" t="n">
        <v>18</v>
      </c>
      <c r="C5494" t="inlineStr"/>
      <c r="D5494" t="inlineStr">
        <is>
          <t>300</t>
        </is>
      </c>
      <c r="E5494" t="inlineStr">
        <is>
          <t>1</t>
        </is>
      </c>
      <c r="F5494" t="inlineStr">
        <is>
          <t>150</t>
        </is>
      </c>
      <c r="G5494" t="inlineStr">
        <is>
          <t>4</t>
        </is>
      </c>
      <c r="H5494" t="inlineStr">
        <is>
          <t>0</t>
        </is>
      </c>
      <c r="I5494" t="inlineStr">
        <is>
          <t>2¹⁰, 10³, 250¹</t>
        </is>
      </c>
      <c r="J5494" t="n">
        <v>14</v>
      </c>
      <c r="K5494" t="inlineStr">
        <is>
          <t>2², 4⁴, 20⁴, 100²</t>
        </is>
      </c>
      <c r="L5494" t="inlineStr">
        <is>
          <t>50A², 125B⁶</t>
        </is>
      </c>
      <c r="M5494" t="inlineStr"/>
      <c r="N5494" t="inlineStr">
        <is>
          <t>25A⁰, 5B⁰, 125B⁶, 1A⁰, 50A², 10B⁰</t>
        </is>
      </c>
      <c r="O5494" t="inlineStr"/>
    </row>
    <row r="5495">
      <c r="A5495">
        <f>HYPERLINK("https://mathstats.uncg.edu/sites/pauli/congruence/csg18.html#group264A18", "264A¹⁸")</f>
        <v/>
      </c>
      <c r="B5495" t="n">
        <v>18</v>
      </c>
      <c r="C5495" t="inlineStr"/>
      <c r="D5495" t="inlineStr">
        <is>
          <t>264</t>
        </is>
      </c>
      <c r="E5495" t="inlineStr">
        <is>
          <t>2</t>
        </is>
      </c>
      <c r="F5495" t="inlineStr">
        <is>
          <t>44</t>
        </is>
      </c>
      <c r="G5495" t="inlineStr">
        <is>
          <t>18</t>
        </is>
      </c>
      <c r="H5495" t="inlineStr">
        <is>
          <t>0</t>
        </is>
      </c>
      <c r="I5495" t="inlineStr">
        <is>
          <t>264¹</t>
        </is>
      </c>
      <c r="J5495" t="n">
        <v>1</v>
      </c>
      <c r="K5495" t="inlineStr">
        <is>
          <t>8², 40⁴</t>
        </is>
      </c>
      <c r="L5495" t="inlineStr">
        <is>
          <t>24A¹, 88A⁵, 132A⁷</t>
        </is>
      </c>
      <c r="M5495" t="inlineStr"/>
      <c r="N5495" t="inlineStr">
        <is>
          <t>11A⁰, 132A⁷, 12A⁰, 24A¹, 44A², 4A⁰, 33A¹, 8A⁰, 88A⁵, 3A⁰, 1A⁰</t>
        </is>
      </c>
      <c r="O5495" t="inlineStr"/>
    </row>
    <row r="5496">
      <c r="A5496">
        <f>HYPERLINK("https://mathstats.uncg.edu/sites/pauli/congruence/csg18.html#group264B18", "264B¹⁸")</f>
        <v/>
      </c>
      <c r="B5496" t="n">
        <v>18</v>
      </c>
      <c r="C5496" t="inlineStr"/>
      <c r="D5496" t="inlineStr">
        <is>
          <t>264</t>
        </is>
      </c>
      <c r="E5496" t="inlineStr">
        <is>
          <t>2</t>
        </is>
      </c>
      <c r="F5496" t="inlineStr">
        <is>
          <t>44</t>
        </is>
      </c>
      <c r="G5496" t="inlineStr">
        <is>
          <t>18</t>
        </is>
      </c>
      <c r="H5496" t="inlineStr">
        <is>
          <t>0</t>
        </is>
      </c>
      <c r="I5496" t="inlineStr">
        <is>
          <t>264¹</t>
        </is>
      </c>
      <c r="J5496" t="n">
        <v>1</v>
      </c>
      <c r="K5496" t="inlineStr">
        <is>
          <t>8², 40⁴</t>
        </is>
      </c>
      <c r="L5496" t="inlineStr">
        <is>
          <t>24A¹, 88B⁵, 132A⁷</t>
        </is>
      </c>
      <c r="M5496" t="inlineStr"/>
      <c r="N5496" t="inlineStr">
        <is>
          <t>11A⁰, 132A⁷, 12A⁰, 24A¹, 44A², 4A⁰, 33A¹, 8A⁰, 88B⁵, 3A⁰, 1A⁰</t>
        </is>
      </c>
      <c r="O5496" t="inlineStr"/>
    </row>
    <row r="5497">
      <c r="A5497">
        <f>HYPERLINK("https://mathstats.uncg.edu/sites/pauli/congruence/csg18.html#group264C18", "264C¹⁸")</f>
        <v/>
      </c>
      <c r="B5497" t="n">
        <v>18</v>
      </c>
      <c r="C5497" t="inlineStr"/>
      <c r="D5497" t="inlineStr">
        <is>
          <t>264</t>
        </is>
      </c>
      <c r="E5497" t="inlineStr">
        <is>
          <t>2</t>
        </is>
      </c>
      <c r="F5497" t="inlineStr">
        <is>
          <t>132</t>
        </is>
      </c>
      <c r="G5497" t="inlineStr">
        <is>
          <t>18</t>
        </is>
      </c>
      <c r="H5497" t="inlineStr">
        <is>
          <t>0</t>
        </is>
      </c>
      <c r="I5497" t="inlineStr">
        <is>
          <t>264¹</t>
        </is>
      </c>
      <c r="J5497" t="n">
        <v>1</v>
      </c>
      <c r="K5497" t="inlineStr">
        <is>
          <t>8², 16², 40⁴, 80⁴</t>
        </is>
      </c>
      <c r="L5497" t="inlineStr">
        <is>
          <t>24B¹, 132A⁷</t>
        </is>
      </c>
      <c r="M5497" t="inlineStr"/>
      <c r="N5497" t="inlineStr">
        <is>
          <t>11A⁰, 132A⁷, 12A⁰, 44A², 4A⁰, 33A¹, 24B¹, 3A⁰, 1A⁰</t>
        </is>
      </c>
      <c r="O5497" t="inlineStr"/>
    </row>
    <row r="5498">
      <c r="A5498">
        <f>HYPERLINK("https://mathstats.uncg.edu/sites/pauli/congruence/csg18.html#group264D18", "264D¹⁸")</f>
        <v/>
      </c>
      <c r="B5498" t="n">
        <v>18</v>
      </c>
      <c r="C5498" t="inlineStr"/>
      <c r="D5498" t="inlineStr">
        <is>
          <t>264</t>
        </is>
      </c>
      <c r="E5498" t="inlineStr">
        <is>
          <t>2</t>
        </is>
      </c>
      <c r="F5498" t="inlineStr">
        <is>
          <t>132</t>
        </is>
      </c>
      <c r="G5498" t="inlineStr">
        <is>
          <t>18</t>
        </is>
      </c>
      <c r="H5498" t="inlineStr">
        <is>
          <t>0</t>
        </is>
      </c>
      <c r="I5498" t="inlineStr">
        <is>
          <t>264¹</t>
        </is>
      </c>
      <c r="J5498" t="n">
        <v>1</v>
      </c>
      <c r="K5498" t="inlineStr">
        <is>
          <t>8², 16², 40⁴, 80⁴</t>
        </is>
      </c>
      <c r="L5498" t="inlineStr">
        <is>
          <t>24B¹, 132A⁷</t>
        </is>
      </c>
      <c r="M5498" t="inlineStr"/>
      <c r="N5498" t="inlineStr">
        <is>
          <t>11A⁰, 132A⁷, 12A⁰, 44A², 4A⁰, 33A¹, 24B¹, 3A⁰, 1A⁰</t>
        </is>
      </c>
      <c r="O5498" t="inlineStr"/>
    </row>
    <row r="5499">
      <c r="A5499">
        <f>HYPERLINK("https://mathstats.uncg.edu/sites/pauli/congruence/csg19.html#group14A19", "14A¹⁹")</f>
        <v/>
      </c>
      <c r="B5499" t="n">
        <v>19</v>
      </c>
      <c r="C5499" t="inlineStr"/>
      <c r="D5499" t="inlineStr">
        <is>
          <t>504</t>
        </is>
      </c>
      <c r="E5499" t="inlineStr">
        <is>
          <t>1</t>
        </is>
      </c>
      <c r="F5499" t="inlineStr">
        <is>
          <t>3</t>
        </is>
      </c>
      <c r="G5499" t="inlineStr">
        <is>
          <t>0</t>
        </is>
      </c>
      <c r="H5499" t="inlineStr">
        <is>
          <t>0</t>
        </is>
      </c>
      <c r="I5499" t="inlineStr">
        <is>
          <t>7²⁴, 14²⁴</t>
        </is>
      </c>
      <c r="J5499" t="n">
        <v>48</v>
      </c>
      <c r="K5499" t="inlineStr">
        <is>
          <t>1³</t>
        </is>
      </c>
      <c r="L5499" t="inlineStr">
        <is>
          <t>14H¹, 7A³, 14C⁷, 14C⁹</t>
        </is>
      </c>
      <c r="M5499" t="inlineStr"/>
      <c r="N5499" t="inlineStr">
        <is>
          <t>14A⁴, 7D⁰, 14B¹, 14C⁹, 14C⁷, 2B⁰, 7E⁰, 7G⁰, 7C¹, 14F⁵, 1A⁰, 7A³, 14D³, 14A², 7B⁰, 7C⁰, 14H¹, 14C¹, 7F⁰, 7A¹, 14F², 7B¹, 7A⁰</t>
        </is>
      </c>
      <c r="O5499" t="inlineStr"/>
    </row>
    <row r="5500">
      <c r="A5500">
        <f>HYPERLINK("https://mathstats.uncg.edu/sites/pauli/congruence/csg19.html#group15A19", "15A¹⁹")</f>
        <v/>
      </c>
      <c r="B5500" t="n">
        <v>19</v>
      </c>
      <c r="C5500" t="inlineStr"/>
      <c r="D5500" t="inlineStr">
        <is>
          <t>360</t>
        </is>
      </c>
      <c r="E5500" t="inlineStr">
        <is>
          <t>1</t>
        </is>
      </c>
      <c r="F5500" t="inlineStr">
        <is>
          <t>3</t>
        </is>
      </c>
      <c r="G5500" t="inlineStr">
        <is>
          <t>0</t>
        </is>
      </c>
      <c r="H5500" t="inlineStr">
        <is>
          <t>0</t>
        </is>
      </c>
      <c r="I5500" t="inlineStr">
        <is>
          <t>15²⁴</t>
        </is>
      </c>
      <c r="J5500" t="n">
        <v>24</v>
      </c>
      <c r="K5500" t="inlineStr">
        <is>
          <t>1¹, 2¹</t>
        </is>
      </c>
      <c r="L5500" t="inlineStr">
        <is>
          <t>15F³, 15B⁷, 15B⁸, 15A⁹, 15A¹⁰</t>
        </is>
      </c>
      <c r="M5500" t="inlineStr"/>
      <c r="N5500" t="inlineStr">
        <is>
          <t>5A⁰, 15B⁷, 15B⁴, 15F¹, 5B⁰, 5F⁰, 5D⁰, 15D², 15C³, 1A⁰, 15A⁹, 15A¹⁰, 15B², 3C⁰, 15B³, 3A⁰, 5G⁰, 15H³, 15A¹, 15C⁰, 15D⁴, 15F³, 5H⁰, 15C⁴, 15D¹, 15B⁰, 15A², 5E⁰, 15B⁸, 5C⁰, 15E¹, 15A⁰</t>
        </is>
      </c>
      <c r="O5500" t="inlineStr"/>
    </row>
    <row r="5501">
      <c r="A5501">
        <f>HYPERLINK("https://mathstats.uncg.edu/sites/pauli/congruence/csg19.html#group15B19", "15B¹⁹")</f>
        <v/>
      </c>
      <c r="B5501" t="n">
        <v>19</v>
      </c>
      <c r="C5501" t="inlineStr"/>
      <c r="D5501" t="inlineStr">
        <is>
          <t>360</t>
        </is>
      </c>
      <c r="E5501" t="inlineStr">
        <is>
          <t>1</t>
        </is>
      </c>
      <c r="F5501" t="inlineStr">
        <is>
          <t>15</t>
        </is>
      </c>
      <c r="G5501" t="inlineStr">
        <is>
          <t>0</t>
        </is>
      </c>
      <c r="H5501" t="inlineStr">
        <is>
          <t>0</t>
        </is>
      </c>
      <c r="I5501" t="inlineStr">
        <is>
          <t>15²⁴</t>
        </is>
      </c>
      <c r="J5501" t="n">
        <v>24</v>
      </c>
      <c r="K5501" t="inlineStr">
        <is>
          <t>1¹, 2¹, 4³</t>
        </is>
      </c>
      <c r="L5501" t="inlineStr">
        <is>
          <t>15E³, 15B⁵, 15A⁷, 15A⁸, 15A⁹, 15B¹⁰</t>
        </is>
      </c>
      <c r="M5501" t="inlineStr"/>
      <c r="N5501" t="inlineStr">
        <is>
          <t>5A⁰, 15A⁴, 15F¹, 5B⁰, 15C³, 1A⁰, 15A⁹, 3C⁰, 15C², 3A⁰, 5G⁰, 15H³, 15A¹, 15A⁸, 3B⁰, 15D⁴, 15D³, 15A⁷, 15B¹⁰, 3D⁰, 15C⁴, 15C¹, 15A³, 15D¹, 15B⁰, 15A², 15E³, 5E⁰, 15B¹, 5C⁰, 15B⁵, 15E¹, 15A⁰</t>
        </is>
      </c>
      <c r="O5501" t="inlineStr"/>
    </row>
    <row r="5502">
      <c r="A5502">
        <f>HYPERLINK("https://mathstats.uncg.edu/sites/pauli/congruence/csg19.html#group16A19", "16A¹⁹")</f>
        <v/>
      </c>
      <c r="B5502" t="n">
        <v>19</v>
      </c>
      <c r="C5502" t="inlineStr"/>
      <c r="D5502" t="inlineStr">
        <is>
          <t>384</t>
        </is>
      </c>
      <c r="E5502" t="inlineStr">
        <is>
          <t>1</t>
        </is>
      </c>
      <c r="F5502" t="inlineStr">
        <is>
          <t>48</t>
        </is>
      </c>
      <c r="G5502" t="inlineStr">
        <is>
          <t>8</t>
        </is>
      </c>
      <c r="H5502" t="inlineStr">
        <is>
          <t>0</t>
        </is>
      </c>
      <c r="I5502" t="inlineStr">
        <is>
          <t>16²⁴</t>
        </is>
      </c>
      <c r="J5502" t="n">
        <v>24</v>
      </c>
      <c r="K5502" t="inlineStr">
        <is>
          <t>4², 8⁵</t>
        </is>
      </c>
      <c r="L5502" t="inlineStr">
        <is>
          <t>16C⁶, 16D⁷, 16I⁹, 16J⁹, 16A¹⁰, 16B¹⁰, 16C¹⁰</t>
        </is>
      </c>
      <c r="M5502" t="inlineStr"/>
      <c r="N5502" t="inlineStr">
        <is>
          <t>16I¹, 4C⁰, 8C², 8A⁰, 16P³, 8L⁰, 2B⁰, 8K⁰, 1A⁰, 8H¹, 16E², 16A¹⁰, 16B⁰, 16E⁰, 16B⁴, 16D¹, 16B¹⁰, 16H², 16D⁷, 16F¹, 8M⁰, 16Q³, 16C⁶, 8P⁰, 16K¹, 16I⁹, 16H¹, 16A⁰, 8D⁰, 16M³, 8B⁰, 16B¹, 16G³, 16C¹⁰, 16L², 16J¹, 16J⁹, 8D¹, 8H⁰, 16L¹, 16K³, 8F⁰, 16L³, 16F², 4A⁰, 8I¹, 16C¹, 16I⁵, 16C⁴, 4F⁰, 16J⁵</t>
        </is>
      </c>
      <c r="O5502" t="inlineStr"/>
    </row>
    <row r="5503">
      <c r="A5503">
        <f>HYPERLINK("https://mathstats.uncg.edu/sites/pauli/congruence/csg19.html#group16B19", "16B¹⁹")</f>
        <v/>
      </c>
      <c r="B5503" t="n">
        <v>19</v>
      </c>
      <c r="C5503" t="inlineStr"/>
      <c r="D5503" t="inlineStr">
        <is>
          <t>384</t>
        </is>
      </c>
      <c r="E5503" t="inlineStr">
        <is>
          <t>1</t>
        </is>
      </c>
      <c r="F5503" t="inlineStr">
        <is>
          <t>48</t>
        </is>
      </c>
      <c r="G5503" t="inlineStr">
        <is>
          <t>8</t>
        </is>
      </c>
      <c r="H5503" t="inlineStr">
        <is>
          <t>0</t>
        </is>
      </c>
      <c r="I5503" t="inlineStr">
        <is>
          <t>16²⁴</t>
        </is>
      </c>
      <c r="J5503" t="n">
        <v>24</v>
      </c>
      <c r="K5503" t="inlineStr">
        <is>
          <t>2², 4³, 8⁴</t>
        </is>
      </c>
      <c r="L5503" t="inlineStr">
        <is>
          <t>16L⁵, 16D⁷, 16K⁹, 16L⁹</t>
        </is>
      </c>
      <c r="M5503" t="inlineStr"/>
      <c r="N5503" t="inlineStr">
        <is>
          <t>16I¹, 4C⁰, 8C², 8A⁰, 8L⁰, 2B⁰, 16K⁹, 8K⁰, 16L⁹, 1A⁰, 8H¹, 16E², 16B⁰, 16E⁰, 16B⁴, 16D¹, 16L⁵, 16D⁷, 16F¹, 8P⁰, 8M⁰, 16H¹, 8D⁰, 16M³, 8B⁰, 16B¹, 16L², 16J¹, 8D¹, 8H⁰, 16K³, 8F⁰, 16L³, 16F², 4A⁰, 8I¹, 16C¹, 16C⁴, 16G², 4F⁰</t>
        </is>
      </c>
      <c r="O5503" t="inlineStr"/>
    </row>
    <row r="5504">
      <c r="A5504">
        <f>HYPERLINK("https://mathstats.uncg.edu/sites/pauli/congruence/csg19.html#group18A19", "18A¹⁹")</f>
        <v/>
      </c>
      <c r="B5504" t="n">
        <v>19</v>
      </c>
      <c r="C5504" t="inlineStr"/>
      <c r="D5504" t="inlineStr">
        <is>
          <t>324</t>
        </is>
      </c>
      <c r="E5504" t="inlineStr">
        <is>
          <t>1</t>
        </is>
      </c>
      <c r="F5504" t="inlineStr">
        <is>
          <t>18</t>
        </is>
      </c>
      <c r="G5504" t="inlineStr">
        <is>
          <t>0</t>
        </is>
      </c>
      <c r="H5504" t="inlineStr">
        <is>
          <t>0</t>
        </is>
      </c>
      <c r="I5504" t="inlineStr">
        <is>
          <t>18¹⁸</t>
        </is>
      </c>
      <c r="J5504" t="n">
        <v>18</v>
      </c>
      <c r="K5504" t="inlineStr">
        <is>
          <t>1¹, 2¹, 3¹, 6²</t>
        </is>
      </c>
      <c r="L5504" t="inlineStr">
        <is>
          <t>18N⁴, 18A⁷, 18B⁷, 18D⁷, 18I⁷</t>
        </is>
      </c>
      <c r="M5504" t="inlineStr"/>
      <c r="N5504" t="inlineStr">
        <is>
          <t>2A⁰, 18A⁷, 6C¹, 18A³, 6G⁰, 18B¹, 18I⁷, 2B⁰, 9E⁰, 1A⁰, 18D³, 18N⁴, 6B¹, 18A⁴, 18B³, 3C⁰, 6A¹, 6H⁰, 18E¹, 3A⁰, 18A¹, 6E¹, 18F², 6B⁰, 18I¹, 18B⁷, 9E¹, 18A², 18D⁷, 9D⁰, 6A⁰, 9A⁰, 2C⁰, 18I², 6D⁰</t>
        </is>
      </c>
      <c r="O5504" t="inlineStr"/>
    </row>
    <row r="5505">
      <c r="A5505">
        <f>HYPERLINK("https://mathstats.uncg.edu/sites/pauli/congruence/csg19.html#group18B19", "18B¹⁹")</f>
        <v/>
      </c>
      <c r="B5505" t="n">
        <v>19</v>
      </c>
      <c r="C5505" t="inlineStr"/>
      <c r="D5505" t="inlineStr">
        <is>
          <t>324</t>
        </is>
      </c>
      <c r="E5505" t="inlineStr">
        <is>
          <t>1</t>
        </is>
      </c>
      <c r="F5505" t="inlineStr">
        <is>
          <t>27</t>
        </is>
      </c>
      <c r="G5505" t="inlineStr">
        <is>
          <t>0</t>
        </is>
      </c>
      <c r="H5505" t="inlineStr">
        <is>
          <t>0</t>
        </is>
      </c>
      <c r="I5505" t="inlineStr">
        <is>
          <t>18¹⁸</t>
        </is>
      </c>
      <c r="J5505" t="n">
        <v>18</v>
      </c>
      <c r="K5505" t="inlineStr">
        <is>
          <t>3¹, 6⁴</t>
        </is>
      </c>
      <c r="L5505" t="inlineStr">
        <is>
          <t>9C⁴, 18B⁷, 18C⁷, 18F⁷, 18J⁷, 18B¹⁰</t>
        </is>
      </c>
      <c r="M5505" t="inlineStr"/>
      <c r="N5505" t="inlineStr">
        <is>
          <t>2A⁰, 18K², 18A³, 18J², 9B², 9E⁰, 18C⁷, 18B¹⁰, 1A⁰, 9B¹, 18A⁰, 6B¹, 3C⁰, 9G¹, 6A¹, 3A⁰, 18J⁷, 9F¹, 18F², 6B⁰, 18B⁴, 18H¹, 9G⁰, 18B⁷, 9E¹, 18A², 9D⁰, 9C⁴, 9A⁰, 18C³, 18F⁷, 9F⁰, 18A¹</t>
        </is>
      </c>
      <c r="O5505" t="inlineStr"/>
    </row>
    <row r="5506">
      <c r="A5506">
        <f>HYPERLINK("https://mathstats.uncg.edu/sites/pauli/congruence/csg19.html#group18C19", "18C¹⁹")</f>
        <v/>
      </c>
      <c r="B5506" t="n">
        <v>19</v>
      </c>
      <c r="C5506" t="inlineStr"/>
      <c r="D5506" t="inlineStr">
        <is>
          <t>324</t>
        </is>
      </c>
      <c r="E5506" t="inlineStr">
        <is>
          <t>1</t>
        </is>
      </c>
      <c r="F5506" t="inlineStr">
        <is>
          <t>27</t>
        </is>
      </c>
      <c r="G5506" t="inlineStr">
        <is>
          <t>0</t>
        </is>
      </c>
      <c r="H5506" t="inlineStr">
        <is>
          <t>0</t>
        </is>
      </c>
      <c r="I5506" t="inlineStr">
        <is>
          <t>18¹⁸</t>
        </is>
      </c>
      <c r="J5506" t="n">
        <v>18</v>
      </c>
      <c r="K5506" t="inlineStr">
        <is>
          <t>3¹, 6⁴</t>
        </is>
      </c>
      <c r="L5506" t="inlineStr">
        <is>
          <t>18N⁴, 18C⁷, 18E⁷, 18K⁷, 18A⁸, 18C¹⁰</t>
        </is>
      </c>
      <c r="M5506" t="inlineStr"/>
      <c r="N5506" t="inlineStr">
        <is>
          <t>2A⁰, 18E⁷, 6C¹, 6G⁰, 2B⁰, 9B², 9E⁰, 18C⁷, 1A⁰, 18A⁰, 9B¹, 18L², 18N⁴, 6B¹, 18A⁴, 3C⁰, 6A¹, 6H⁰, 3A⁰, 18E¹, 6E¹, 18F², 6B⁰, 18B⁴, 18K⁷, 18H¹, 18I¹, 9G⁰, 18A², 18E³, 18A⁸, 6A⁰, 18J³, 9A⁰, 18C³, 2C⁰, 6D⁰, 18C¹⁰</t>
        </is>
      </c>
      <c r="O5506" t="inlineStr"/>
    </row>
    <row r="5507">
      <c r="A5507">
        <f>HYPERLINK("https://mathstats.uncg.edu/sites/pauli/congruence/csg19.html#group18D19", "18D¹⁹")</f>
        <v/>
      </c>
      <c r="B5507" t="n">
        <v>19</v>
      </c>
      <c r="C5507" t="inlineStr"/>
      <c r="D5507" t="inlineStr">
        <is>
          <t>324</t>
        </is>
      </c>
      <c r="E5507" t="inlineStr">
        <is>
          <t>1</t>
        </is>
      </c>
      <c r="F5507" t="inlineStr">
        <is>
          <t>54</t>
        </is>
      </c>
      <c r="G5507" t="inlineStr">
        <is>
          <t>0</t>
        </is>
      </c>
      <c r="H5507" t="inlineStr">
        <is>
          <t>0</t>
        </is>
      </c>
      <c r="I5507" t="inlineStr">
        <is>
          <t>18¹⁸</t>
        </is>
      </c>
      <c r="J5507" t="n">
        <v>18</v>
      </c>
      <c r="K5507" t="inlineStr">
        <is>
          <t>6⁹</t>
        </is>
      </c>
      <c r="L5507" t="inlineStr">
        <is>
          <t>18C⁷, 18D⁷, 18G⁷, 18L⁷</t>
        </is>
      </c>
      <c r="M5507" t="inlineStr"/>
      <c r="N5507" t="inlineStr">
        <is>
          <t>18F², 2A⁰, 6B⁰, 18B⁴, 18G⁷, 18H¹, 9G⁰, 18B¹, 18A², 9B², 9E⁰, 18M², 18C⁷, 1A⁰, 18A⁰, 18L⁷, 9B¹, 18D⁷, 6B¹, 18B³, 9A⁰, 18C³, 3C⁰, 6A¹, 3A⁰</t>
        </is>
      </c>
      <c r="O5507" t="inlineStr"/>
    </row>
    <row r="5508">
      <c r="A5508">
        <f>HYPERLINK("https://mathstats.uncg.edu/sites/pauli/congruence/csg19.html#group18E19", "18E¹⁹")</f>
        <v/>
      </c>
      <c r="B5508" t="n">
        <v>19</v>
      </c>
      <c r="C5508" t="inlineStr"/>
      <c r="D5508" t="inlineStr">
        <is>
          <t>324</t>
        </is>
      </c>
      <c r="E5508" t="inlineStr">
        <is>
          <t>2</t>
        </is>
      </c>
      <c r="F5508" t="inlineStr">
        <is>
          <t>9</t>
        </is>
      </c>
      <c r="G5508" t="inlineStr">
        <is>
          <t>0</t>
        </is>
      </c>
      <c r="H5508" t="inlineStr">
        <is>
          <t>0</t>
        </is>
      </c>
      <c r="I5508" t="inlineStr">
        <is>
          <t>18¹⁸</t>
        </is>
      </c>
      <c r="J5508" t="n">
        <v>18</v>
      </c>
      <c r="K5508" t="inlineStr">
        <is>
          <t>2³, 6²</t>
        </is>
      </c>
      <c r="L5508" t="inlineStr">
        <is>
          <t>18A⁷, 18E⁷, 18F⁷, 18G⁷, 18M⁷, 18B⁸, 18C¹⁰</t>
        </is>
      </c>
      <c r="M5508" t="inlineStr"/>
      <c r="N5508" t="inlineStr">
        <is>
          <t>2A⁰, 18A⁷, 18E⁷, 6C¹, 18K², 18A³, 6G⁰, 18B¹, 2B⁰, 18I², 1A⁰, 9B¹, 18A⁰, 18L², 18D³, 6B¹, 18A⁴, 18B³, 3C⁰, 18B⁸, 6A¹, 18E¹, 6H⁰, 3A⁰, 9F¹, 6E¹, 6B⁰, 18B⁴, 18G⁷, 9G⁰, 18M⁷, 18A², 18M², 18E³, 9D⁰, 6A⁰, 18J³, 9A⁰, 18C³, 18F⁷, 2C⁰, 18A¹, 6D⁰, 18C¹⁰</t>
        </is>
      </c>
      <c r="O5508" t="inlineStr"/>
    </row>
    <row r="5509">
      <c r="A5509">
        <f>HYPERLINK("https://mathstats.uncg.edu/sites/pauli/congruence/csg19.html#group20A19", "20A¹⁹")</f>
        <v/>
      </c>
      <c r="B5509" t="n">
        <v>19</v>
      </c>
      <c r="C5509" t="inlineStr"/>
      <c r="D5509" t="inlineStr">
        <is>
          <t>360</t>
        </is>
      </c>
      <c r="E5509" t="inlineStr">
        <is>
          <t>1</t>
        </is>
      </c>
      <c r="F5509" t="inlineStr">
        <is>
          <t>3</t>
        </is>
      </c>
      <c r="G5509" t="inlineStr">
        <is>
          <t>0</t>
        </is>
      </c>
      <c r="H5509" t="inlineStr">
        <is>
          <t>0</t>
        </is>
      </c>
      <c r="I5509" t="inlineStr">
        <is>
          <t>10¹², 20¹²</t>
        </is>
      </c>
      <c r="J5509" t="n">
        <v>24</v>
      </c>
      <c r="K5509" t="inlineStr">
        <is>
          <t>1³</t>
        </is>
      </c>
      <c r="L5509" t="inlineStr">
        <is>
          <t>20G³, 10B⁴, 20D⁷, 20B⁹, 20E¹⁰</t>
        </is>
      </c>
      <c r="M5509" t="inlineStr"/>
      <c r="N5509" t="inlineStr">
        <is>
          <t>20D⁷, 20E¹, 5A⁰, 20E⁴, 20E¹⁰, 10B¹, 20B², 20G³, 4C⁰, 20B⁹, 5B⁰, 5F⁰, 5D⁰, 2B⁰, 1A⁰, 10D², 20F³, 20C², 10F⁰, 10F¹, 5H⁰, 10I¹, 10F², 20C⁵, 10C⁰, 5E⁰, 20B⁴, 10B⁴, 5C⁰, 5G⁰</t>
        </is>
      </c>
      <c r="O5509" t="inlineStr"/>
    </row>
    <row r="5510">
      <c r="A5510">
        <f>HYPERLINK("https://mathstats.uncg.edu/sites/pauli/congruence/csg19.html#group20B19", "20B¹⁹")</f>
        <v/>
      </c>
      <c r="B5510" t="n">
        <v>19</v>
      </c>
      <c r="C5510" t="inlineStr"/>
      <c r="D5510" t="inlineStr">
        <is>
          <t>360</t>
        </is>
      </c>
      <c r="E5510" t="inlineStr">
        <is>
          <t>1</t>
        </is>
      </c>
      <c r="F5510" t="inlineStr">
        <is>
          <t>45</t>
        </is>
      </c>
      <c r="G5510" t="inlineStr">
        <is>
          <t>0</t>
        </is>
      </c>
      <c r="H5510" t="inlineStr">
        <is>
          <t>0</t>
        </is>
      </c>
      <c r="I5510" t="inlineStr">
        <is>
          <t>10¹², 20¹²</t>
        </is>
      </c>
      <c r="J5510" t="n">
        <v>24</v>
      </c>
      <c r="K5510" t="inlineStr">
        <is>
          <t>1³, 2³, 4⁹</t>
        </is>
      </c>
      <c r="L5510" t="inlineStr">
        <is>
          <t>20H³, 10A⁶, 20A⁷, 20P⁷, 20C⁹, 20D⁹, 20C¹⁰, 20E¹⁰</t>
        </is>
      </c>
      <c r="M5510" t="inlineStr"/>
      <c r="N5510" t="inlineStr">
        <is>
          <t>20D⁴, 5A⁰, 10G⁰, 20E¹⁰, 10D⁰, 20E³, 5B⁰, 2B⁰, 4B⁰, 1A⁰, 20H³, 10J¹, 10I¹, 10F², 20C¹⁰, 20C⁵, 10C², 10C⁰, 20P³, 20P⁷, 20C², 5G⁰, 10A⁶, 20D⁹, 20A², 10B¹, 20D¹, 10E¹, 20C⁹, 10F¹, 10B⁰, 10C³, 10E², 20A⁷, 5E⁰, 20B⁴, 5C⁰</t>
        </is>
      </c>
      <c r="O5510" t="inlineStr"/>
    </row>
    <row r="5511">
      <c r="A5511">
        <f>HYPERLINK("https://mathstats.uncg.edu/sites/pauli/congruence/csg19.html#group20C19", "20C¹⁹")</f>
        <v/>
      </c>
      <c r="B5511" t="n">
        <v>19</v>
      </c>
      <c r="C5511" t="inlineStr"/>
      <c r="D5511" t="inlineStr">
        <is>
          <t>360</t>
        </is>
      </c>
      <c r="E5511" t="inlineStr">
        <is>
          <t>1</t>
        </is>
      </c>
      <c r="F5511" t="inlineStr">
        <is>
          <t>45</t>
        </is>
      </c>
      <c r="G5511" t="inlineStr">
        <is>
          <t>0</t>
        </is>
      </c>
      <c r="H5511" t="inlineStr">
        <is>
          <t>0</t>
        </is>
      </c>
      <c r="I5511" t="inlineStr">
        <is>
          <t>10¹², 20¹²</t>
        </is>
      </c>
      <c r="J5511" t="n">
        <v>24</v>
      </c>
      <c r="K5511" t="inlineStr">
        <is>
          <t>1³, 2³, 4⁹</t>
        </is>
      </c>
      <c r="L5511" t="inlineStr">
        <is>
          <t>20I³, 20D⁶, 10A⁷, 20B⁷, 20C⁹, 20D⁹, 20D¹⁰, 20E¹⁰</t>
        </is>
      </c>
      <c r="M5511" t="inlineStr"/>
      <c r="N5511" t="inlineStr">
        <is>
          <t>2A⁰, 5A⁰, 10A², 20E¹⁰, 5B⁰, 10A¹, 10A³, 2B⁰, 1A⁰, 20D⁶, 10A⁰, 10I¹, 10F², 20D¹⁰, 20C⁵, 10C⁰, 20P³, 5G⁰, 20C², 20D⁹, 10A⁴, 20B⁷, 10A⁷, 10B¹, 10B², 20F², 10E¹, 20C⁹, 10F¹, 10C³, 20A⁰, 10E⁰, 10B³, 5E⁰, 20B⁴, 10C¹, 20I³, 5C⁰, 2C⁰, 10G¹</t>
        </is>
      </c>
      <c r="O5511" t="inlineStr"/>
    </row>
    <row r="5512">
      <c r="A5512">
        <f>HYPERLINK("https://mathstats.uncg.edu/sites/pauli/congruence/csg19.html#group20D19", "20D¹⁹")</f>
        <v/>
      </c>
      <c r="B5512" t="n">
        <v>19</v>
      </c>
      <c r="C5512" t="inlineStr"/>
      <c r="D5512" t="inlineStr">
        <is>
          <t>360</t>
        </is>
      </c>
      <c r="E5512" t="inlineStr">
        <is>
          <t>1</t>
        </is>
      </c>
      <c r="F5512" t="inlineStr">
        <is>
          <t>45</t>
        </is>
      </c>
      <c r="G5512" t="inlineStr">
        <is>
          <t>0</t>
        </is>
      </c>
      <c r="H5512" t="inlineStr">
        <is>
          <t>0</t>
        </is>
      </c>
      <c r="I5512" t="inlineStr">
        <is>
          <t>10¹², 20¹²</t>
        </is>
      </c>
      <c r="J5512" t="n">
        <v>24</v>
      </c>
      <c r="K5512" t="inlineStr">
        <is>
          <t>1³, 2³, 4⁹</t>
        </is>
      </c>
      <c r="L5512" t="inlineStr">
        <is>
          <t>20J³, 10A⁷, 20C⁷, 20P⁷, 20C⁸, 20B⁹, 20A¹⁰, 20C¹⁰, 20D¹⁰</t>
        </is>
      </c>
      <c r="M5512" t="inlineStr"/>
      <c r="N5512" t="inlineStr">
        <is>
          <t>20D⁴, 2A⁰, 5A⁰, 20E¹, 10A², 20E⁴, 20E³, 4C⁰, 5B⁰, 10A¹, 10A³, 2B⁰, 4E⁰, 4B⁰, 1A⁰, 20A¹⁰, 10A⁰, 10I¹, 10F², 20C¹⁰, 20D¹⁰, 20C⁵, 10C⁰, 20P³, 20P⁷, 20J³, 5G⁰, 20A², 10A⁴, 10A⁷, 10B¹, 20B², 20B⁹, 20D¹, 10B², 10E¹, 20F³, 20C⁸, 10F¹, 10C³, 10E⁰, 10B³, 20A⁴, 5E⁰, 20C⁷, 10C¹, 5C⁰, 2C⁰, 10G¹</t>
        </is>
      </c>
      <c r="O5512" t="inlineStr"/>
    </row>
    <row r="5513">
      <c r="A5513">
        <f>HYPERLINK("https://mathstats.uncg.edu/sites/pauli/congruence/csg19.html#group22A19", "22A¹⁹")</f>
        <v/>
      </c>
      <c r="B5513" t="n">
        <v>19</v>
      </c>
      <c r="C5513" t="inlineStr"/>
      <c r="D5513" t="inlineStr">
        <is>
          <t>330</t>
        </is>
      </c>
      <c r="E5513" t="inlineStr">
        <is>
          <t>2</t>
        </is>
      </c>
      <c r="F5513" t="inlineStr">
        <is>
          <t>165</t>
        </is>
      </c>
      <c r="G5513" t="inlineStr">
        <is>
          <t>8</t>
        </is>
      </c>
      <c r="H5513" t="inlineStr">
        <is>
          <t>0</t>
        </is>
      </c>
      <c r="I5513" t="inlineStr">
        <is>
          <t>22¹⁵</t>
        </is>
      </c>
      <c r="J5513" t="n">
        <v>15</v>
      </c>
      <c r="K5513" t="inlineStr">
        <is>
          <t>10³³</t>
        </is>
      </c>
      <c r="L5513" t="inlineStr">
        <is>
          <t>22C⁵, 22A⁸</t>
        </is>
      </c>
      <c r="M5513" t="inlineStr"/>
      <c r="N5513" t="inlineStr">
        <is>
          <t>11C¹, 22C⁵, 2B⁰, 1A⁰, 22A⁸</t>
        </is>
      </c>
      <c r="O5513" t="inlineStr"/>
    </row>
    <row r="5514">
      <c r="A5514">
        <f>HYPERLINK("https://mathstats.uncg.edu/sites/pauli/congruence/csg19.html#group24A19", "24A¹⁹")</f>
        <v/>
      </c>
      <c r="B5514" t="n">
        <v>19</v>
      </c>
      <c r="C5514" t="inlineStr"/>
      <c r="D5514" t="inlineStr">
        <is>
          <t>288</t>
        </is>
      </c>
      <c r="E5514" t="inlineStr">
        <is>
          <t>1</t>
        </is>
      </c>
      <c r="F5514" t="inlineStr">
        <is>
          <t>1</t>
        </is>
      </c>
      <c r="G5514" t="inlineStr">
        <is>
          <t>0</t>
        </is>
      </c>
      <c r="H5514" t="inlineStr">
        <is>
          <t>0</t>
        </is>
      </c>
      <c r="I5514" t="inlineStr">
        <is>
          <t>24¹²</t>
        </is>
      </c>
      <c r="J5514" t="n">
        <v>12</v>
      </c>
      <c r="K5514" t="inlineStr">
        <is>
          <t>1¹</t>
        </is>
      </c>
      <c r="L5514" t="inlineStr">
        <is>
          <t>8A³, 24A⁶, 24C⁷, 24L⁷, 24C⁹</t>
        </is>
      </c>
      <c r="M5514" t="inlineStr"/>
      <c r="N5514" t="inlineStr">
        <is>
          <t>2A⁰, 24A³, 12C⁰, 24A⁶, 4C⁰, 6C¹, 24A⁵, 12B², 4G⁰, 2B⁰, 8C⁰, 4E⁰, 8E¹, 4B⁰, 8F¹, 1A⁰, 12A⁴, 24B², 24C⁷, 24A⁰, 8G⁰, 4D⁰, 12A², 24L⁷, 6A¹, 12B¹, 3A⁰, 8A¹, 8A³, 8D⁰, 12E¹, 8B⁰, 8B¹, 24L², 24D⁴, 24F¹, 8H⁰, 12A⁰, 8F⁰, 8C¹, 6A⁰, 4A⁰, 8I¹, 24C¹, 12J¹, 4F⁰, 24C⁹, 2C⁰, 6D⁰, 24B⁵</t>
        </is>
      </c>
      <c r="O5514" t="inlineStr"/>
    </row>
    <row r="5515">
      <c r="A5515">
        <f>HYPERLINK("https://mathstats.uncg.edu/sites/pauli/congruence/csg19.html#group24B19", "24B¹⁹")</f>
        <v/>
      </c>
      <c r="B5515" t="n">
        <v>19</v>
      </c>
      <c r="C5515" t="inlineStr"/>
      <c r="D5515" t="inlineStr">
        <is>
          <t>288</t>
        </is>
      </c>
      <c r="E5515" t="inlineStr">
        <is>
          <t>1</t>
        </is>
      </c>
      <c r="F5515" t="inlineStr">
        <is>
          <t>3</t>
        </is>
      </c>
      <c r="G5515" t="inlineStr">
        <is>
          <t>0</t>
        </is>
      </c>
      <c r="H5515" t="inlineStr">
        <is>
          <t>0</t>
        </is>
      </c>
      <c r="I5515" t="inlineStr">
        <is>
          <t>24¹²</t>
        </is>
      </c>
      <c r="J5515" t="n">
        <v>12</v>
      </c>
      <c r="K5515" t="inlineStr">
        <is>
          <t>1¹, 2¹</t>
        </is>
      </c>
      <c r="L5515" t="inlineStr">
        <is>
          <t>12B⁷, 24A⁷, 24M⁸, 24V⁹, 24B¹⁰</t>
        </is>
      </c>
      <c r="M5515" t="inlineStr"/>
      <c r="N5515" t="inlineStr">
        <is>
          <t>12C⁰, 6C¹, 12B², 12E², 2B⁰, 12M¹, 4B⁰, 12G³, 24M⁸, 1A⁰, 12A⁴, 4D⁰, 3C⁰, 12B¹, 6H⁰, 12G¹, 6E¹, 24D³, 12C³, 12F⁰, 12L¹, 12J³, 12C¹, 6A⁰, 24V⁹, 12J¹, 4F⁰, 2C⁰, 6D⁰, 24H², 24O⁴, 12I², 2A⁰, 12K¹, 12D², 4C⁰, 6G⁰, 4G⁰, 4E⁰, 6B¹, 24B⁴, 12B⁷, 12A², 6A¹, 24B¹⁰, 3A⁰, 24G², 6B⁰, 12E¹, 24B¹, 24A⁷, 12A⁰, 4A⁰, 12D⁰, 12C⁴, 12H⁰</t>
        </is>
      </c>
      <c r="O5515" t="inlineStr"/>
    </row>
    <row r="5516">
      <c r="A5516">
        <f>HYPERLINK("https://mathstats.uncg.edu/sites/pauli/congruence/csg19.html#group24C19", "24C¹⁹")</f>
        <v/>
      </c>
      <c r="B5516" t="n">
        <v>19</v>
      </c>
      <c r="C5516" t="inlineStr"/>
      <c r="D5516" t="inlineStr">
        <is>
          <t>288</t>
        </is>
      </c>
      <c r="E5516" t="inlineStr">
        <is>
          <t>1</t>
        </is>
      </c>
      <c r="F5516" t="inlineStr">
        <is>
          <t>3</t>
        </is>
      </c>
      <c r="G5516" t="inlineStr">
        <is>
          <t>0</t>
        </is>
      </c>
      <c r="H5516" t="inlineStr">
        <is>
          <t>0</t>
        </is>
      </c>
      <c r="I5516" t="inlineStr">
        <is>
          <t>24¹²</t>
        </is>
      </c>
      <c r="J5516" t="n">
        <v>12</v>
      </c>
      <c r="K5516" t="inlineStr">
        <is>
          <t>1¹, 2¹</t>
        </is>
      </c>
      <c r="L5516" t="inlineStr">
        <is>
          <t>12B⁷, 24B⁷, 24N⁸, 24Y⁹, 24A¹⁰, 24B¹⁰</t>
        </is>
      </c>
      <c r="M5516" t="inlineStr"/>
      <c r="N5516" t="inlineStr">
        <is>
          <t>12C⁰, 6C¹, 12B², 8A⁰, 12E², 2B⁰, 12M¹, 4B⁰, 12G³, 1A⁰, 12A⁴, 24A¹, 4D⁰, 24Y⁹, 3C⁰, 12B¹, 6H⁰, 12G¹, 6E¹, 24E², 12F⁰, 12C³, 8E⁰, 12L¹, 8D¹, 12J³, 24E³, 24H⁴, 24K², 6A⁰, 12C¹, 12J¹, 4F⁰, 2C⁰, 6D⁰, 24A¹⁰, 2A⁰, 24O⁴, 12I², 12K¹, 12D², 4C⁰, 6G⁰, 4G⁰, 4E⁰, 6B¹, 24N⁸, 24B⁴, 12B⁷, 12A², 6A¹, 24B¹⁰, 3A⁰, 6B⁰, 12E¹, 24A⁴, 24B¹, 8A², 12A⁰, 4A⁰, 12D⁰, 12C⁴, 12H⁰, 24B⁷</t>
        </is>
      </c>
      <c r="O5516" t="inlineStr"/>
    </row>
    <row r="5517">
      <c r="A5517">
        <f>HYPERLINK("https://mathstats.uncg.edu/sites/pauli/congruence/csg19.html#group24D19", "24D¹⁹")</f>
        <v/>
      </c>
      <c r="B5517" t="n">
        <v>19</v>
      </c>
      <c r="C5517" t="inlineStr"/>
      <c r="D5517" t="inlineStr">
        <is>
          <t>288</t>
        </is>
      </c>
      <c r="E5517" t="inlineStr">
        <is>
          <t>1</t>
        </is>
      </c>
      <c r="F5517" t="inlineStr">
        <is>
          <t>3</t>
        </is>
      </c>
      <c r="G5517" t="inlineStr">
        <is>
          <t>0</t>
        </is>
      </c>
      <c r="H5517" t="inlineStr">
        <is>
          <t>0</t>
        </is>
      </c>
      <c r="I5517" t="inlineStr">
        <is>
          <t>24¹²</t>
        </is>
      </c>
      <c r="J5517" t="n">
        <v>12</v>
      </c>
      <c r="K5517" t="inlineStr">
        <is>
          <t>1³</t>
        </is>
      </c>
      <c r="L5517" t="inlineStr">
        <is>
          <t>8B³, 24K⁷, 24A⁸, 24C⁹, 24A¹⁰, 24C¹⁰</t>
        </is>
      </c>
      <c r="M5517" t="inlineStr"/>
      <c r="N5517" t="inlineStr">
        <is>
          <t>24A¹⁰, 24C¹⁰, 2A⁰, 8B³, 24A³, 12C⁰, 4C⁰, 6C¹, 8A⁰, 12B², 24A⁵, 4G⁰, 2B⁰, 4E⁰, 8C⁰, 4B⁰, 8F¹, 8K⁰, 1A⁰, 8H¹, 12A⁴, 24B², 24A¹, 24A⁰, 8G⁰, 4D⁰, 24G⁴, 12A², 6A¹, 12B¹, 3A⁰, 24K⁷, 8N⁰, 8A¹, 24A⁸, 8D⁰, 24E², 12E¹, 8B⁰, 24A⁴, 8E⁰, 8B², 8B¹, 24L², 8D¹, 24D⁴, 24J³, 8H⁰, 8A², 24H⁴, 12A⁰, 6A⁰, 8C¹, 4A⁰, 24C¹, 12J¹, 4F⁰, 24C⁹, 8J⁰, 2C⁰, 6D⁰, 24B⁵</t>
        </is>
      </c>
      <c r="O5517" t="inlineStr"/>
    </row>
    <row r="5518">
      <c r="A5518">
        <f>HYPERLINK("https://mathstats.uncg.edu/sites/pauli/congruence/csg19.html#group24E19", "24E¹⁹")</f>
        <v/>
      </c>
      <c r="B5518" t="n">
        <v>19</v>
      </c>
      <c r="C5518" t="inlineStr"/>
      <c r="D5518" t="inlineStr">
        <is>
          <t>288</t>
        </is>
      </c>
      <c r="E5518" t="inlineStr">
        <is>
          <t>1</t>
        </is>
      </c>
      <c r="F5518" t="inlineStr">
        <is>
          <t>6</t>
        </is>
      </c>
      <c r="G5518" t="inlineStr">
        <is>
          <t>0</t>
        </is>
      </c>
      <c r="H5518" t="inlineStr">
        <is>
          <t>0</t>
        </is>
      </c>
      <c r="I5518" t="inlineStr">
        <is>
          <t>24¹²</t>
        </is>
      </c>
      <c r="J5518" t="n">
        <v>12</v>
      </c>
      <c r="K5518" t="inlineStr">
        <is>
          <t>2³</t>
        </is>
      </c>
      <c r="L5518" t="inlineStr">
        <is>
          <t>24C⁶, 24H⁹</t>
        </is>
      </c>
      <c r="M5518" t="inlineStr"/>
      <c r="N5518" t="inlineStr">
        <is>
          <t>2A⁰, 24E¹, 12C⁰, 6C¹, 4C⁰, 12B², 4G⁰, 2B⁰, 24P³, 4E⁰, 24C², 4B⁰, 1A⁰, 24F⁵, 12A⁴, 4D⁰, 12A², 24D², 6A¹, 12B¹, 3A⁰, 24H⁹, 12E¹, 24D¹, 24C⁶, 12A⁰, 6A⁰, 4A⁰, 24K⁴, 24E⁴, 12J¹, 4F⁰, 2C⁰, 6D⁰</t>
        </is>
      </c>
      <c r="O5518" t="inlineStr"/>
    </row>
    <row r="5519">
      <c r="A5519">
        <f>HYPERLINK("https://mathstats.uncg.edu/sites/pauli/congruence/csg19.html#group24F19", "24F¹⁹")</f>
        <v/>
      </c>
      <c r="B5519" t="n">
        <v>19</v>
      </c>
      <c r="C5519" t="inlineStr"/>
      <c r="D5519" t="inlineStr">
        <is>
          <t>288</t>
        </is>
      </c>
      <c r="E5519" t="inlineStr">
        <is>
          <t>1</t>
        </is>
      </c>
      <c r="F5519" t="inlineStr">
        <is>
          <t>9</t>
        </is>
      </c>
      <c r="G5519" t="inlineStr">
        <is>
          <t>0</t>
        </is>
      </c>
      <c r="H5519" t="inlineStr">
        <is>
          <t>0</t>
        </is>
      </c>
      <c r="I5519" t="inlineStr">
        <is>
          <t>24¹²</t>
        </is>
      </c>
      <c r="J5519" t="n">
        <v>12</v>
      </c>
      <c r="K5519" t="inlineStr">
        <is>
          <t>1³, 2³</t>
        </is>
      </c>
      <c r="L5519" t="inlineStr">
        <is>
          <t>24AC⁷, 24C⁹, 24H⁹</t>
        </is>
      </c>
      <c r="M5519" t="inlineStr"/>
      <c r="N5519" t="inlineStr">
        <is>
          <t>2A⁰, 24A³, 24E¹, 12C⁰, 24AC⁷, 6C¹, 24A⁵, 12B², 4C⁰, 4G⁰, 2B⁰, 4E⁰, 8C⁰, 24P³, 4B⁰, 8F¹, 1A⁰, 24C², 24F⁵, 12A⁴, 24B², 24A⁰, 8G⁰, 4D⁰, 12A², 24D², 6A¹, 12B¹, 3A⁰, 24H⁹, 8A¹, 8D⁰, 12E¹, 8B⁰, 24D¹, 8B¹, 24L², 24D⁴, 8H⁰, 12A⁰, 8C¹, 6A⁰, 4A⁰, 24K⁴, 24C¹, 24E⁴, 12J¹, 4F⁰, 24C⁹, 2C⁰, 6D⁰, 24B⁵</t>
        </is>
      </c>
      <c r="O5519" t="inlineStr"/>
    </row>
    <row r="5520">
      <c r="A5520">
        <f>HYPERLINK("https://mathstats.uncg.edu/sites/pauli/congruence/csg19.html#group24G19", "24G¹⁹")</f>
        <v/>
      </c>
      <c r="B5520" t="n">
        <v>19</v>
      </c>
      <c r="C5520" t="inlineStr"/>
      <c r="D5520" t="inlineStr">
        <is>
          <t>288</t>
        </is>
      </c>
      <c r="E5520" t="inlineStr">
        <is>
          <t>1</t>
        </is>
      </c>
      <c r="F5520" t="inlineStr">
        <is>
          <t>9</t>
        </is>
      </c>
      <c r="G5520" t="inlineStr">
        <is>
          <t>0</t>
        </is>
      </c>
      <c r="H5520" t="inlineStr">
        <is>
          <t>0</t>
        </is>
      </c>
      <c r="I5520" t="inlineStr">
        <is>
          <t>24¹²</t>
        </is>
      </c>
      <c r="J5520" t="n">
        <v>12</v>
      </c>
      <c r="K5520" t="inlineStr">
        <is>
          <t>1³, 2³</t>
        </is>
      </c>
      <c r="L5520" t="inlineStr">
        <is>
          <t>24AB⁷, 24C⁸, 24C⁹, 24B¹⁰, 24E¹⁰</t>
        </is>
      </c>
      <c r="M5520" t="inlineStr"/>
      <c r="N5520" t="inlineStr">
        <is>
          <t>24O⁴, 2A⁰, 24A³, 12C⁰, 4C⁰, 6C¹, 12B², 24A⁵, 4G⁰, 2B⁰, 4E⁰, 8C⁰, 4B⁰, 8F¹, 1A⁰, 12A⁴, 24B², 24A⁰, 8G⁰, 24N⁴, 4D⁰, 24B⁴, 12A², 24AB⁷, 24B¹⁰, 24R³, 6A¹, 3A⁰, 12B¹, 24E¹⁰, 8A¹, 8D⁰, 12E¹, 8B⁰, 24B¹, 8B¹, 24L², 24D⁴, 8H⁰, 12A⁰, 8C¹, 6A⁰, 24C⁸, 4A⁰, 24C¹, 12J¹, 4F⁰, 24C⁹, 2C⁰, 6D⁰, 24B⁵</t>
        </is>
      </c>
      <c r="O5520" t="inlineStr"/>
    </row>
    <row r="5521">
      <c r="A5521">
        <f>HYPERLINK("https://mathstats.uncg.edu/sites/pauli/congruence/csg19.html#group24H19", "24H¹⁹")</f>
        <v/>
      </c>
      <c r="B5521" t="n">
        <v>19</v>
      </c>
      <c r="C5521" t="inlineStr"/>
      <c r="D5521" t="inlineStr">
        <is>
          <t>288</t>
        </is>
      </c>
      <c r="E5521" t="inlineStr">
        <is>
          <t>1</t>
        </is>
      </c>
      <c r="F5521" t="inlineStr">
        <is>
          <t>9</t>
        </is>
      </c>
      <c r="G5521" t="inlineStr">
        <is>
          <t>0</t>
        </is>
      </c>
      <c r="H5521" t="inlineStr">
        <is>
          <t>0</t>
        </is>
      </c>
      <c r="I5521" t="inlineStr">
        <is>
          <t>24¹²</t>
        </is>
      </c>
      <c r="J5521" t="n">
        <v>12</v>
      </c>
      <c r="K5521" t="inlineStr">
        <is>
          <t>1³, 2³</t>
        </is>
      </c>
      <c r="L5521" t="inlineStr">
        <is>
          <t>24A⁸, 24K⁸, 24H⁹, 24W⁹, 24B¹⁰</t>
        </is>
      </c>
      <c r="M5521" t="inlineStr"/>
      <c r="N5521" t="inlineStr">
        <is>
          <t>24O⁴, 2A⁰, 24E¹, 12C⁰, 6C¹, 4C⁰, 12B², 4G⁰, 2B⁰, 24P³, 4E⁰, 24C², 4B⁰, 1A⁰, 8K⁰, 24F⁵, 12A⁴, 4D⁰, 24B⁴, 12A², 24D², 6A¹, 24B¹⁰, 12B¹, 3A⁰, 24H⁹, 8N⁰, 24A⁸, 12E¹, 24D¹, 24W⁹, 24B¹, 24J³, 12A⁰, 6A⁰, 4A⁰, 24K⁸, 24K⁴, 24E⁴, 12J¹, 4F⁰, 8J⁰, 2C⁰, 6D⁰, 24G⁴</t>
        </is>
      </c>
      <c r="O5521" t="inlineStr"/>
    </row>
    <row r="5522">
      <c r="A5522">
        <f>HYPERLINK("https://mathstats.uncg.edu/sites/pauli/congruence/csg19.html#group24I19", "24I¹⁹")</f>
        <v/>
      </c>
      <c r="B5522" t="n">
        <v>19</v>
      </c>
      <c r="C5522" t="inlineStr"/>
      <c r="D5522" t="inlineStr">
        <is>
          <t>288</t>
        </is>
      </c>
      <c r="E5522" t="inlineStr">
        <is>
          <t>1</t>
        </is>
      </c>
      <c r="F5522" t="inlineStr">
        <is>
          <t>9</t>
        </is>
      </c>
      <c r="G5522" t="inlineStr">
        <is>
          <t>0</t>
        </is>
      </c>
      <c r="H5522" t="inlineStr">
        <is>
          <t>0</t>
        </is>
      </c>
      <c r="I5522" t="inlineStr">
        <is>
          <t>24¹²</t>
        </is>
      </c>
      <c r="J5522" t="n">
        <v>12</v>
      </c>
      <c r="K5522" t="inlineStr">
        <is>
          <t>1³, 2³</t>
        </is>
      </c>
      <c r="L5522" t="inlineStr">
        <is>
          <t>24C⁸, 24L⁸, 24H⁹, 24X⁹, 24A¹⁰</t>
        </is>
      </c>
      <c r="M5522" t="inlineStr"/>
      <c r="N5522" t="inlineStr">
        <is>
          <t>24A¹⁰, 2A⁰, 24E¹, 12C⁰, 6C¹, 4C⁰, 12B², 8A⁰, 4G⁰, 2B⁰, 4E⁰, 24P³, 24C², 4B⁰, 1A⁰, 24F⁵, 12A⁴, 24A¹, 24N⁴, 4D⁰, 12A², 24D², 6A¹, 12B¹, 24R³, 3A⁰, 24H⁹, 24E², 12E¹, 24D¹, 24A⁴, 8E⁰, 8D¹, 8A², 24H⁴, 12A⁰, 6A⁰, 24C⁸, 4A⁰, 24L⁸, 24X⁹, 24K⁴, 24E⁴, 12J¹, 4F⁰, 2C⁰, 6D⁰</t>
        </is>
      </c>
      <c r="O5522" t="inlineStr"/>
    </row>
    <row r="5523">
      <c r="A5523">
        <f>HYPERLINK("https://mathstats.uncg.edu/sites/pauli/congruence/csg19.html#group24J19", "24J¹⁹")</f>
        <v/>
      </c>
      <c r="B5523" t="n">
        <v>19</v>
      </c>
      <c r="C5523" t="inlineStr"/>
      <c r="D5523" t="inlineStr">
        <is>
          <t>288</t>
        </is>
      </c>
      <c r="E5523" t="inlineStr">
        <is>
          <t>1</t>
        </is>
      </c>
      <c r="F5523" t="inlineStr">
        <is>
          <t>12</t>
        </is>
      </c>
      <c r="G5523" t="inlineStr">
        <is>
          <t>0</t>
        </is>
      </c>
      <c r="H5523" t="inlineStr">
        <is>
          <t>0</t>
        </is>
      </c>
      <c r="I5523" t="inlineStr">
        <is>
          <t>24¹²</t>
        </is>
      </c>
      <c r="J5523" t="n">
        <v>12</v>
      </c>
      <c r="K5523" t="inlineStr">
        <is>
          <t>2², 4²</t>
        </is>
      </c>
      <c r="L5523" t="inlineStr">
        <is>
          <t>24B⁶, 12C⁷, 24D⁷, 24V⁹, 24Y⁹</t>
        </is>
      </c>
      <c r="M5523" t="inlineStr"/>
      <c r="N5523" t="inlineStr">
        <is>
          <t>24O⁴, 12C⁰, 24A², 4C⁰, 12C², 8A⁰, 6G⁰, 24D⁷, 2B⁰, 12M¹, 1A⁰, 24A¹, 12A¹, 24Y⁹, 3C⁰, 6K⁰, 24B⁶, 3A⁰, 6F⁰, 12G¹, 3B⁰, 24D³, 12B³, 12F¹, 24B¹, 12L¹, 8D¹, 12J³, 24E³, 12A⁰, 24H⁴, 12C¹, 12D³, 12I³, 4A⁰, 24V⁹, 12C⁷, 12J¹, 4F⁰, 12G², 3D⁰, 6D⁰</t>
        </is>
      </c>
      <c r="O5523" t="inlineStr"/>
    </row>
    <row r="5524">
      <c r="A5524">
        <f>HYPERLINK("https://mathstats.uncg.edu/sites/pauli/congruence/csg19.html#group24K19", "24K¹⁹")</f>
        <v/>
      </c>
      <c r="B5524" t="n">
        <v>19</v>
      </c>
      <c r="C5524" t="inlineStr"/>
      <c r="D5524" t="inlineStr">
        <is>
          <t>288</t>
        </is>
      </c>
      <c r="E5524" t="inlineStr">
        <is>
          <t>1</t>
        </is>
      </c>
      <c r="F5524" t="inlineStr">
        <is>
          <t>18</t>
        </is>
      </c>
      <c r="G5524" t="inlineStr">
        <is>
          <t>0</t>
        </is>
      </c>
      <c r="H5524" t="inlineStr">
        <is>
          <t>0</t>
        </is>
      </c>
      <c r="I5524" t="inlineStr">
        <is>
          <t>24¹²</t>
        </is>
      </c>
      <c r="J5524" t="n">
        <v>12</v>
      </c>
      <c r="K5524" t="inlineStr">
        <is>
          <t>2⁵, 4²</t>
        </is>
      </c>
      <c r="L5524" t="inlineStr">
        <is>
          <t>12D⁷, 24O⁸, 24D¹⁰</t>
        </is>
      </c>
      <c r="M5524" t="inlineStr"/>
      <c r="N5524" t="inlineStr">
        <is>
          <t>2A⁰, 12C⁰, 12K¹, 24D¹⁰, 12D², 6C¹, 12F³, 4C⁰, 12E², 6G⁰, 12B⁴, 2B⁰, 12M¹, 12B², 12N¹, 4E⁰, 12G³, 1A⁰, 4B⁰, 12H², 6B¹, 3C⁰, 6A¹, 12B¹, 6H⁰, 3A⁰, 6E¹, 6B⁰, 12H¹, 12L¹, 12G⁰, 12D⁷, 12C¹, 6A⁰, 12I³, 24O⁸, 12D⁰, 12C⁴, 12H⁰, 12C², 2C⁰, 24J², 6D⁰</t>
        </is>
      </c>
      <c r="O5524" t="inlineStr"/>
    </row>
    <row r="5525">
      <c r="A5525">
        <f>HYPERLINK("https://mathstats.uncg.edu/sites/pauli/congruence/csg19.html#group24L19", "24L¹⁹")</f>
        <v/>
      </c>
      <c r="B5525" t="n">
        <v>19</v>
      </c>
      <c r="C5525" t="inlineStr"/>
      <c r="D5525" t="inlineStr">
        <is>
          <t>288</t>
        </is>
      </c>
      <c r="E5525" t="inlineStr">
        <is>
          <t>1</t>
        </is>
      </c>
      <c r="F5525" t="inlineStr">
        <is>
          <t>36</t>
        </is>
      </c>
      <c r="G5525" t="inlineStr">
        <is>
          <t>0</t>
        </is>
      </c>
      <c r="H5525" t="inlineStr">
        <is>
          <t>0</t>
        </is>
      </c>
      <c r="I5525" t="inlineStr">
        <is>
          <t>24¹²</t>
        </is>
      </c>
      <c r="J5525" t="n">
        <v>12</v>
      </c>
      <c r="K5525" t="inlineStr">
        <is>
          <t>2², 4⁴, 8²</t>
        </is>
      </c>
      <c r="L5525" t="inlineStr">
        <is>
          <t>24E⁶, 24M⁸, 24Q⁹, 24AA⁹, 24E¹⁰</t>
        </is>
      </c>
      <c r="M5525" t="inlineStr"/>
      <c r="N5525" t="inlineStr">
        <is>
          <t>24O⁴, 12I², 24O², 24E¹, 24A³, 12C⁰, 4C⁰, 12M¹, 2B⁰, 24C², 24M⁸, 1A⁰, 24Q⁹, 24AA⁹, 24R³, 6H⁰, 3A⁰, 24G², 24H², 24G⁵, 24E¹⁰, 6B⁰, 8A¹, 24E⁶, 8D⁰, 12F⁰, 24B¹, 24D⁵, 12A⁰, 8C¹, 4A⁰, 24K⁴, 24C¹, 12J¹, 12D⁰, 4F⁰, 12H⁰, 24L⁴, 6D⁰, 24B⁵</t>
        </is>
      </c>
      <c r="O5525" t="inlineStr"/>
    </row>
    <row r="5526">
      <c r="A5526">
        <f>HYPERLINK("https://mathstats.uncg.edu/sites/pauli/congruence/csg19.html#group24M19", "24M¹⁹")</f>
        <v/>
      </c>
      <c r="B5526" t="n">
        <v>19</v>
      </c>
      <c r="C5526" t="inlineStr"/>
      <c r="D5526" t="inlineStr">
        <is>
          <t>288</t>
        </is>
      </c>
      <c r="E5526" t="inlineStr">
        <is>
          <t>1</t>
        </is>
      </c>
      <c r="F5526" t="inlineStr">
        <is>
          <t>36</t>
        </is>
      </c>
      <c r="G5526" t="inlineStr">
        <is>
          <t>0</t>
        </is>
      </c>
      <c r="H5526" t="inlineStr">
        <is>
          <t>0</t>
        </is>
      </c>
      <c r="I5526" t="inlineStr">
        <is>
          <t>24¹²</t>
        </is>
      </c>
      <c r="J5526" t="n">
        <v>12</v>
      </c>
      <c r="K5526" t="inlineStr">
        <is>
          <t>2², 4⁴, 8²</t>
        </is>
      </c>
      <c r="L5526" t="inlineStr">
        <is>
          <t>24X⁷, 24P⁸, 24R⁹, 24V⁹, 24E¹⁰</t>
        </is>
      </c>
      <c r="M5526" t="inlineStr"/>
      <c r="N5526" t="inlineStr">
        <is>
          <t>24O⁴, 24Q³, 24A³, 24E¹, 12C⁰, 4C⁰, 24X⁷, 6G⁰, 2B⁰, 12M¹, 24P³, 24E⁵, 1A⁰, 24O³, 3C⁰, 24R³, 3A⁰, 12G¹, 24G⁵, 24E¹⁰, 8A¹, 24D³, 8D⁰, 24D¹, 24B¹, 24P⁸, 12L¹, 12J³, 24R⁹, 12A⁰, 8C¹, 12C¹, 4A⁰, 24V⁹, 24C¹, 12J¹, 4F⁰, 6D⁰, 24B⁵</t>
        </is>
      </c>
      <c r="O5526" t="inlineStr"/>
    </row>
    <row r="5527">
      <c r="A5527">
        <f>HYPERLINK("https://mathstats.uncg.edu/sites/pauli/congruence/csg19.html#group24N19", "24N¹⁹")</f>
        <v/>
      </c>
      <c r="B5527" t="n">
        <v>19</v>
      </c>
      <c r="C5527" t="inlineStr"/>
      <c r="D5527" t="inlineStr">
        <is>
          <t>288</t>
        </is>
      </c>
      <c r="E5527" t="inlineStr">
        <is>
          <t>1</t>
        </is>
      </c>
      <c r="F5527" t="inlineStr">
        <is>
          <t>36</t>
        </is>
      </c>
      <c r="G5527" t="inlineStr">
        <is>
          <t>0</t>
        </is>
      </c>
      <c r="H5527" t="inlineStr">
        <is>
          <t>0</t>
        </is>
      </c>
      <c r="I5527" t="inlineStr">
        <is>
          <t>24¹²</t>
        </is>
      </c>
      <c r="J5527" t="n">
        <v>12</v>
      </c>
      <c r="K5527" t="inlineStr">
        <is>
          <t>2², 4⁴, 8²</t>
        </is>
      </c>
      <c r="L5527" t="inlineStr">
        <is>
          <t>24X⁷, 24P⁹, 24X⁹, 24Y⁹, 24AA⁹</t>
        </is>
      </c>
      <c r="M5527" t="inlineStr"/>
      <c r="N5527" t="inlineStr">
        <is>
          <t>24O⁴, 24E¹, 12C⁰, 24P⁴, 4C⁰, 24X⁷, 6G⁰, 8A⁰, 12M¹, 2B⁰, 24C², 1A⁰, 24A¹, 24N³, 24Y⁹, 3C⁰, 24AA⁹, 24R³, 3A⁰, 24P⁹, 12G¹, 24B¹, 12L¹, 8D¹, 12J³, 24E³, 12A⁰, 24H⁴, 12C¹, 4A⁰, 24C⁵, 24X⁹, 24K⁴, 12J¹, 4F⁰, 6D⁰</t>
        </is>
      </c>
      <c r="O5527" t="inlineStr"/>
    </row>
    <row r="5528">
      <c r="A5528">
        <f>HYPERLINK("https://mathstats.uncg.edu/sites/pauli/congruence/csg19.html#group24O19", "24O¹⁹")</f>
        <v/>
      </c>
      <c r="B5528" t="n">
        <v>19</v>
      </c>
      <c r="C5528" t="inlineStr"/>
      <c r="D5528" t="inlineStr">
        <is>
          <t>288</t>
        </is>
      </c>
      <c r="E5528" t="inlineStr">
        <is>
          <t>1</t>
        </is>
      </c>
      <c r="F5528" t="inlineStr">
        <is>
          <t>36</t>
        </is>
      </c>
      <c r="G5528" t="inlineStr">
        <is>
          <t>0</t>
        </is>
      </c>
      <c r="H5528" t="inlineStr">
        <is>
          <t>0</t>
        </is>
      </c>
      <c r="I5528" t="inlineStr">
        <is>
          <t>24¹²</t>
        </is>
      </c>
      <c r="J5528" t="n">
        <v>12</v>
      </c>
      <c r="K5528" t="inlineStr">
        <is>
          <t>2², 4⁴, 8²</t>
        </is>
      </c>
      <c r="L5528" t="inlineStr">
        <is>
          <t>24Y⁷, 24P⁹, 24V⁹, 24W⁹, 24AA⁹</t>
        </is>
      </c>
      <c r="M5528" t="inlineStr"/>
      <c r="N5528" t="inlineStr">
        <is>
          <t>24O⁴, 24E¹, 12C⁰, 24P⁴, 4C⁰, 6G⁰, 2B⁰, 12M¹, 24C², 1A⁰, 8K⁰, 24N³, 3C⁰, 24AA⁹, 24R³, 3A⁰, 24P⁹, 12G¹, 24D³, 24W⁹, 24B¹, 12L¹, 12J³, 24J³, 12A⁰, 12C¹, 4A⁰, 24C⁵, 24V⁹, 24K⁴, 12J¹, 4F⁰, 24Y⁷, 6D⁰</t>
        </is>
      </c>
      <c r="O5528" t="inlineStr"/>
    </row>
    <row r="5529">
      <c r="A5529">
        <f>HYPERLINK("https://mathstats.uncg.edu/sites/pauli/congruence/csg19.html#group24P19", "24P¹⁹")</f>
        <v/>
      </c>
      <c r="B5529" t="n">
        <v>19</v>
      </c>
      <c r="C5529" t="inlineStr"/>
      <c r="D5529" t="inlineStr">
        <is>
          <t>288</t>
        </is>
      </c>
      <c r="E5529" t="inlineStr">
        <is>
          <t>1</t>
        </is>
      </c>
      <c r="F5529" t="inlineStr">
        <is>
          <t>36</t>
        </is>
      </c>
      <c r="G5529" t="inlineStr">
        <is>
          <t>0</t>
        </is>
      </c>
      <c r="H5529" t="inlineStr">
        <is>
          <t>0</t>
        </is>
      </c>
      <c r="I5529" t="inlineStr">
        <is>
          <t>24¹²</t>
        </is>
      </c>
      <c r="J5529" t="n">
        <v>12</v>
      </c>
      <c r="K5529" t="inlineStr">
        <is>
          <t>2², 4⁴, 8²</t>
        </is>
      </c>
      <c r="L5529" t="inlineStr">
        <is>
          <t>24F⁶, 24N⁸, 24Q⁹, 24W⁹, 24X⁹, 24C¹⁰, 24E¹⁰</t>
        </is>
      </c>
      <c r="M5529" t="inlineStr"/>
      <c r="N5529" t="inlineStr">
        <is>
          <t>24C¹⁰, 12I², 24A³, 24O², 24E¹, 24O⁴, 12C⁰, 4C⁰, 8A⁰, 24F⁶, 2B⁰, 12M¹, 24C², 1A⁰, 8K⁰, 24Q⁹, 24A¹, 24N⁸, 24R³, 6H⁰, 3A⁰, 24G⁵, 24E¹⁰, 6B⁰, 8A¹, 8D⁰, 8B², 12F⁰, 24W⁹, 24B¹, 8D¹, 24J³, 24D⁵, 24H⁴, 12A⁰, 8C¹, 24K², 4A⁰, 24X⁹, 24C¹, 24K⁴, 12J¹, 12D⁰, 4F⁰, 12H⁰, 24L⁴, 6D⁰, 24B⁵</t>
        </is>
      </c>
      <c r="O5529" t="inlineStr"/>
    </row>
    <row r="5530">
      <c r="A5530">
        <f>HYPERLINK("https://mathstats.uncg.edu/sites/pauli/congruence/csg19.html#group24Q19", "24Q¹⁹")</f>
        <v/>
      </c>
      <c r="B5530" t="n">
        <v>19</v>
      </c>
      <c r="C5530" t="inlineStr"/>
      <c r="D5530" t="inlineStr">
        <is>
          <t>288</t>
        </is>
      </c>
      <c r="E5530" t="inlineStr">
        <is>
          <t>1</t>
        </is>
      </c>
      <c r="F5530" t="inlineStr">
        <is>
          <t>36</t>
        </is>
      </c>
      <c r="G5530" t="inlineStr">
        <is>
          <t>0</t>
        </is>
      </c>
      <c r="H5530" t="inlineStr">
        <is>
          <t>0</t>
        </is>
      </c>
      <c r="I5530" t="inlineStr">
        <is>
          <t>24¹²</t>
        </is>
      </c>
      <c r="J5530" t="n">
        <v>12</v>
      </c>
      <c r="K5530" t="inlineStr">
        <is>
          <t>2², 4⁴, 8²</t>
        </is>
      </c>
      <c r="L5530" t="inlineStr">
        <is>
          <t>24Y⁷, 24K⁸, 24L⁸, 24R⁹, 24Y⁹, 24C¹⁰, 24E¹⁰</t>
        </is>
      </c>
      <c r="M5530" t="inlineStr"/>
      <c r="N5530" t="inlineStr">
        <is>
          <t>24C¹⁰, 24O⁴, 24A³, 24E¹, 24Q³, 12C⁰, 4C⁰, 8A⁰, 6G⁰, 2B⁰, 24P³, 12M¹, 24E⁵, 1A⁰, 8K⁰, 24O³, 24A¹, 24Y⁹, 3C⁰, 24R³, 3A⁰, 12G¹, 24G⁵, 24E¹⁰, 8A¹, 8D⁰, 8B², 24D¹, 24B¹, 12L¹, 8D¹, 12J³, 24R⁹, 24J³, 24E³, 24H⁴, 12A⁰, 8C¹, 12C¹, 4A⁰, 24K⁸, 24L⁸, 24C¹, 12J¹, 4F⁰, 24Y⁷, 6D⁰, 24B⁵</t>
        </is>
      </c>
      <c r="O5530" t="inlineStr"/>
    </row>
    <row r="5531">
      <c r="A5531">
        <f>HYPERLINK("https://mathstats.uncg.edu/sites/pauli/congruence/csg19.html#group24R19", "24R¹⁹")</f>
        <v/>
      </c>
      <c r="B5531" t="n">
        <v>19</v>
      </c>
      <c r="C5531" t="inlineStr"/>
      <c r="D5531" t="inlineStr">
        <is>
          <t>288</t>
        </is>
      </c>
      <c r="E5531" t="inlineStr">
        <is>
          <t>1</t>
        </is>
      </c>
      <c r="F5531" t="inlineStr">
        <is>
          <t>72</t>
        </is>
      </c>
      <c r="G5531" t="inlineStr">
        <is>
          <t>0</t>
        </is>
      </c>
      <c r="H5531" t="inlineStr">
        <is>
          <t>0</t>
        </is>
      </c>
      <c r="I5531" t="inlineStr">
        <is>
          <t>24¹²</t>
        </is>
      </c>
      <c r="J5531" t="n">
        <v>12</v>
      </c>
      <c r="K5531" t="inlineStr">
        <is>
          <t>4¹⁰, 8⁴</t>
        </is>
      </c>
      <c r="L5531" t="inlineStr">
        <is>
          <t>24J⁶, 24O⁸, 24M⁹</t>
        </is>
      </c>
      <c r="M5531" t="inlineStr"/>
      <c r="N5531" t="inlineStr">
        <is>
          <t>24G⁵, 24E¹, 24A³, 6B⁰, 12C⁰, 8A¹, 24P⁴, 24N², 4C⁰, 12M¹, 24M⁹, 24J⁶, 2B⁰, 12H⁰, 24C², 1A⁰, 12H², 24D⁵, 24O⁸, 12D⁰, 6H⁰, 3A⁰, 6D⁰</t>
        </is>
      </c>
      <c r="O5531" t="inlineStr"/>
    </row>
    <row r="5532">
      <c r="A5532">
        <f>HYPERLINK("https://mathstats.uncg.edu/sites/pauli/congruence/csg19.html#group24S19", "24S¹⁹")</f>
        <v/>
      </c>
      <c r="B5532" t="n">
        <v>19</v>
      </c>
      <c r="C5532" t="inlineStr"/>
      <c r="D5532" t="inlineStr">
        <is>
          <t>288</t>
        </is>
      </c>
      <c r="E5532" t="inlineStr">
        <is>
          <t>2</t>
        </is>
      </c>
      <c r="F5532" t="inlineStr">
        <is>
          <t>9</t>
        </is>
      </c>
      <c r="G5532" t="inlineStr">
        <is>
          <t>0</t>
        </is>
      </c>
      <c r="H5532" t="inlineStr">
        <is>
          <t>0</t>
        </is>
      </c>
      <c r="I5532" t="inlineStr">
        <is>
          <t>24¹²</t>
        </is>
      </c>
      <c r="J5532" t="n">
        <v>12</v>
      </c>
      <c r="K5532" t="inlineStr">
        <is>
          <t>2⁹</t>
        </is>
      </c>
      <c r="L5532" t="inlineStr">
        <is>
          <t>24C⁸, 24P⁸, 24H⁹, 24AA⁹, 24B¹⁰</t>
        </is>
      </c>
      <c r="M5532" t="inlineStr"/>
      <c r="N5532" t="inlineStr">
        <is>
          <t>24O⁴, 2A⁰, 24E¹, 12C⁰, 6C¹, 4C⁰, 12B², 4G⁰, 2B⁰, 24P³, 4E⁰, 24C², 4B⁰, 1A⁰, 24F⁵, 12A⁴, 24N⁴, 4D⁰, 24B⁴, 12A², 24D², 24AA⁹, 6A¹, 24B¹⁰, 12B¹, 24R³, 3A⁰, 24H⁹, 12E¹, 24D¹, 24B¹, 24P⁸, 12A⁰, 6A⁰, 24C⁸, 4A⁰, 24K⁴, 24E⁴, 12J¹, 4F⁰, 2C⁰, 6D⁰</t>
        </is>
      </c>
      <c r="O5532" t="inlineStr"/>
    </row>
    <row r="5533">
      <c r="A5533">
        <f>HYPERLINK("https://mathstats.uncg.edu/sites/pauli/congruence/csg19.html#group27A19", "27A¹⁹")</f>
        <v/>
      </c>
      <c r="B5533" t="n">
        <v>19</v>
      </c>
      <c r="C5533" t="inlineStr"/>
      <c r="D5533" t="inlineStr">
        <is>
          <t>324</t>
        </is>
      </c>
      <c r="E5533" t="inlineStr">
        <is>
          <t>1</t>
        </is>
      </c>
      <c r="F5533" t="inlineStr">
        <is>
          <t>4</t>
        </is>
      </c>
      <c r="G5533" t="inlineStr">
        <is>
          <t>0</t>
        </is>
      </c>
      <c r="H5533" t="inlineStr">
        <is>
          <t>0</t>
        </is>
      </c>
      <c r="I5533" t="inlineStr">
        <is>
          <t>9⁹, 27⁹</t>
        </is>
      </c>
      <c r="J5533" t="n">
        <v>18</v>
      </c>
      <c r="K5533" t="inlineStr">
        <is>
          <t>1², 2¹</t>
        </is>
      </c>
      <c r="L5533" t="inlineStr">
        <is>
          <t>9H¹, 27A⁶, 27A⁷</t>
        </is>
      </c>
      <c r="M5533" t="inlineStr"/>
      <c r="N5533" t="inlineStr">
        <is>
          <t>27A⁷, 3B⁰, 9J⁰, 27A⁶, 9H¹, 9B⁰, 9E⁰, 9C⁰, 1A⁰, 9A¹, 9I⁰, 3C⁰, 9C¹, 9H⁰, 3A⁰, 9D¹, 3D⁰</t>
        </is>
      </c>
      <c r="O5533" t="inlineStr"/>
    </row>
    <row r="5534">
      <c r="A5534">
        <f>HYPERLINK("https://mathstats.uncg.edu/sites/pauli/congruence/csg19.html#group27B19", "27B¹⁹")</f>
        <v/>
      </c>
      <c r="B5534" t="n">
        <v>19</v>
      </c>
      <c r="C5534" t="inlineStr"/>
      <c r="D5534" t="inlineStr">
        <is>
          <t>324</t>
        </is>
      </c>
      <c r="E5534" t="inlineStr">
        <is>
          <t>1</t>
        </is>
      </c>
      <c r="F5534" t="inlineStr">
        <is>
          <t>4</t>
        </is>
      </c>
      <c r="G5534" t="inlineStr">
        <is>
          <t>0</t>
        </is>
      </c>
      <c r="H5534" t="inlineStr">
        <is>
          <t>0</t>
        </is>
      </c>
      <c r="I5534" t="inlineStr">
        <is>
          <t>9⁹, 27⁹</t>
        </is>
      </c>
      <c r="J5534" t="n">
        <v>18</v>
      </c>
      <c r="K5534" t="inlineStr">
        <is>
          <t>1², 2¹</t>
        </is>
      </c>
      <c r="L5534" t="inlineStr">
        <is>
          <t>9H¹, 27D⁴, 27B⁷, 27C⁷, 27D⁷, 27E⁷</t>
        </is>
      </c>
      <c r="M5534" t="inlineStr"/>
      <c r="N5534" t="inlineStr">
        <is>
          <t>3B⁰, 27B⁷, 9J⁰, 9H¹, 27C⁷, 9B⁰, 27B¹, 9C⁰, 9E⁰, 1A⁰, 27E⁷, 27D⁴, 27B², 9A¹, 9I⁰, 27D⁷, 9C¹, 3C⁰, 9H⁰, 3A⁰, 9D¹, 3D⁰, 27A³</t>
        </is>
      </c>
      <c r="O5534" t="inlineStr"/>
    </row>
    <row r="5535">
      <c r="A5535">
        <f>HYPERLINK("https://mathstats.uncg.edu/sites/pauli/congruence/csg19.html#group27C19", "27C¹⁹")</f>
        <v/>
      </c>
      <c r="B5535" t="n">
        <v>19</v>
      </c>
      <c r="C5535" t="inlineStr"/>
      <c r="D5535" t="inlineStr">
        <is>
          <t>324</t>
        </is>
      </c>
      <c r="E5535" t="inlineStr">
        <is>
          <t>1</t>
        </is>
      </c>
      <c r="F5535" t="inlineStr">
        <is>
          <t>36</t>
        </is>
      </c>
      <c r="G5535" t="inlineStr">
        <is>
          <t>0</t>
        </is>
      </c>
      <c r="H5535" t="inlineStr">
        <is>
          <t>0</t>
        </is>
      </c>
      <c r="I5535" t="inlineStr">
        <is>
          <t>9⁹, 27⁹</t>
        </is>
      </c>
      <c r="J5535" t="n">
        <v>18</v>
      </c>
      <c r="K5535" t="inlineStr">
        <is>
          <t>3², 6⁵</t>
        </is>
      </c>
      <c r="L5535" t="inlineStr">
        <is>
          <t>9A³, 27C³, 27A⁶, 27B⁷</t>
        </is>
      </c>
      <c r="M5535" t="inlineStr"/>
      <c r="N5535" t="inlineStr">
        <is>
          <t>3B⁰, 27B⁷, 27C³, 9J⁰, 27A⁶, 9A³, 27B¹, 9C⁰, 9F⁰, 1A⁰, 27A³</t>
        </is>
      </c>
      <c r="O5535" t="inlineStr"/>
    </row>
    <row r="5536">
      <c r="A5536">
        <f>HYPERLINK("https://mathstats.uncg.edu/sites/pauli/congruence/csg19.html#group27D19", "27D¹⁹")</f>
        <v/>
      </c>
      <c r="B5536" t="n">
        <v>19</v>
      </c>
      <c r="C5536" t="inlineStr"/>
      <c r="D5536" t="inlineStr">
        <is>
          <t>324</t>
        </is>
      </c>
      <c r="E5536" t="inlineStr">
        <is>
          <t>1</t>
        </is>
      </c>
      <c r="F5536" t="inlineStr">
        <is>
          <t>36</t>
        </is>
      </c>
      <c r="G5536" t="inlineStr">
        <is>
          <t>0</t>
        </is>
      </c>
      <c r="H5536" t="inlineStr">
        <is>
          <t>0</t>
        </is>
      </c>
      <c r="I5536" t="inlineStr">
        <is>
          <t>9⁹, 27⁹</t>
        </is>
      </c>
      <c r="J5536" t="n">
        <v>18</v>
      </c>
      <c r="K5536" t="inlineStr">
        <is>
          <t>3², 6⁵</t>
        </is>
      </c>
      <c r="L5536" t="inlineStr">
        <is>
          <t>9A³, 27C³, 27A⁶, 27C⁷</t>
        </is>
      </c>
      <c r="M5536" t="inlineStr"/>
      <c r="N5536" t="inlineStr">
        <is>
          <t>3B⁰, 27C³, 9J⁰, 27B², 27A⁶, 9A³, 27C⁷, 9C⁰, 9F⁰, 1A⁰, 27A³</t>
        </is>
      </c>
      <c r="O5536" t="inlineStr"/>
    </row>
    <row r="5537">
      <c r="A5537">
        <f>HYPERLINK("https://mathstats.uncg.edu/sites/pauli/congruence/csg19.html#group27E19", "27E¹⁹")</f>
        <v/>
      </c>
      <c r="B5537" t="n">
        <v>19</v>
      </c>
      <c r="C5537" t="inlineStr"/>
      <c r="D5537" t="inlineStr">
        <is>
          <t>324</t>
        </is>
      </c>
      <c r="E5537" t="inlineStr">
        <is>
          <t>1</t>
        </is>
      </c>
      <c r="F5537" t="inlineStr">
        <is>
          <t>36</t>
        </is>
      </c>
      <c r="G5537" t="inlineStr">
        <is>
          <t>0</t>
        </is>
      </c>
      <c r="H5537" t="inlineStr">
        <is>
          <t>0</t>
        </is>
      </c>
      <c r="I5537" t="inlineStr">
        <is>
          <t>9⁹, 27⁹</t>
        </is>
      </c>
      <c r="J5537" t="n">
        <v>18</v>
      </c>
      <c r="K5537" t="inlineStr">
        <is>
          <t>1², 2⁸, 6³</t>
        </is>
      </c>
      <c r="L5537" t="inlineStr">
        <is>
          <t>9B⁴, 27C⁴, 27A⁷, 27D⁷</t>
        </is>
      </c>
      <c r="M5537" t="inlineStr"/>
      <c r="N5537" t="inlineStr">
        <is>
          <t>27A⁷, 3B⁰, 27A², 27C⁴, 9B⁰, 9E¹, 27B¹, 9C⁰, 9E⁰, 1A⁰, 9B¹, 9D⁰, 27A¹, 9B⁴, 9A², 27B², 9A⁰, 9A¹, 27A⁰, 27D⁷, 3C⁰, 9C¹, 9H⁰, 3A⁰, 3D⁰, 27A³</t>
        </is>
      </c>
      <c r="O5537" t="inlineStr"/>
    </row>
    <row r="5538">
      <c r="A5538">
        <f>HYPERLINK("https://mathstats.uncg.edu/sites/pauli/congruence/csg19.html#group27F19", "27F¹⁹")</f>
        <v/>
      </c>
      <c r="B5538" t="n">
        <v>19</v>
      </c>
      <c r="C5538" t="inlineStr"/>
      <c r="D5538" t="inlineStr">
        <is>
          <t>324</t>
        </is>
      </c>
      <c r="E5538" t="inlineStr">
        <is>
          <t>1</t>
        </is>
      </c>
      <c r="F5538" t="inlineStr">
        <is>
          <t>108</t>
        </is>
      </c>
      <c r="G5538" t="inlineStr">
        <is>
          <t>0</t>
        </is>
      </c>
      <c r="H5538" t="inlineStr">
        <is>
          <t>0</t>
        </is>
      </c>
      <c r="I5538" t="inlineStr">
        <is>
          <t>9⁹, 27⁹</t>
        </is>
      </c>
      <c r="J5538" t="n">
        <v>18</v>
      </c>
      <c r="K5538" t="inlineStr">
        <is>
          <t>3², 6⁸, 18³</t>
        </is>
      </c>
      <c r="L5538" t="inlineStr">
        <is>
          <t>27E⁷</t>
        </is>
      </c>
      <c r="M5538" t="inlineStr"/>
      <c r="N5538" t="inlineStr">
        <is>
          <t>3B⁰, 27E⁷, 9D¹, 1A⁰, 9A¹</t>
        </is>
      </c>
      <c r="O5538" t="inlineStr"/>
    </row>
    <row r="5539">
      <c r="A5539">
        <f>HYPERLINK("https://mathstats.uncg.edu/sites/pauli/congruence/csg19.html#group28A19", "28A¹⁹")</f>
        <v/>
      </c>
      <c r="B5539" t="n">
        <v>19</v>
      </c>
      <c r="C5539" t="inlineStr"/>
      <c r="D5539" t="inlineStr">
        <is>
          <t>336</t>
        </is>
      </c>
      <c r="E5539" t="inlineStr">
        <is>
          <t>1</t>
        </is>
      </c>
      <c r="F5539" t="inlineStr">
        <is>
          <t>168</t>
        </is>
      </c>
      <c r="G5539" t="inlineStr">
        <is>
          <t>8</t>
        </is>
      </c>
      <c r="H5539" t="inlineStr">
        <is>
          <t>6</t>
        </is>
      </c>
      <c r="I5539" t="inlineStr">
        <is>
          <t>28¹²</t>
        </is>
      </c>
      <c r="J5539" t="n">
        <v>12</v>
      </c>
      <c r="K5539" t="inlineStr">
        <is>
          <t>6², 12²⁷</t>
        </is>
      </c>
      <c r="L5539" t="inlineStr">
        <is>
          <t>28F⁵, 14B⁶</t>
        </is>
      </c>
      <c r="M5539" t="inlineStr"/>
      <c r="N5539" t="inlineStr">
        <is>
          <t>28F⁵, 14A⁰, 14F¹, 7F⁰, 14G¹, 14B⁶, 1A⁰, 7A⁰</t>
        </is>
      </c>
      <c r="O5539" t="inlineStr"/>
    </row>
    <row r="5540">
      <c r="A5540">
        <f>HYPERLINK("https://mathstats.uncg.edu/sites/pauli/congruence/csg19.html#group28B19", "28B¹⁹")</f>
        <v/>
      </c>
      <c r="B5540" t="n">
        <v>19</v>
      </c>
      <c r="C5540" t="inlineStr"/>
      <c r="D5540" t="inlineStr">
        <is>
          <t>336</t>
        </is>
      </c>
      <c r="E5540" t="inlineStr">
        <is>
          <t>1</t>
        </is>
      </c>
      <c r="F5540" t="inlineStr">
        <is>
          <t>168</t>
        </is>
      </c>
      <c r="G5540" t="inlineStr">
        <is>
          <t>8</t>
        </is>
      </c>
      <c r="H5540" t="inlineStr">
        <is>
          <t>6</t>
        </is>
      </c>
      <c r="I5540" t="inlineStr">
        <is>
          <t>28¹²</t>
        </is>
      </c>
      <c r="J5540" t="n">
        <v>12</v>
      </c>
      <c r="K5540" t="inlineStr">
        <is>
          <t>6², 12²⁷</t>
        </is>
      </c>
      <c r="L5540" t="inlineStr">
        <is>
          <t>28G⁵, 14B⁶</t>
        </is>
      </c>
      <c r="M5540" t="inlineStr"/>
      <c r="N5540" t="inlineStr">
        <is>
          <t>14A⁰, 14F¹, 28G⁵, 7F⁰, 14G¹, 14B⁶, 1A⁰, 7A⁰</t>
        </is>
      </c>
      <c r="O5540" t="inlineStr"/>
    </row>
    <row r="5541">
      <c r="A5541">
        <f>HYPERLINK("https://mathstats.uncg.edu/sites/pauli/congruence/csg19.html#group28C19", "28C¹⁹")</f>
        <v/>
      </c>
      <c r="B5541" t="n">
        <v>19</v>
      </c>
      <c r="C5541" t="inlineStr"/>
      <c r="D5541" t="inlineStr">
        <is>
          <t>336</t>
        </is>
      </c>
      <c r="E5541" t="inlineStr">
        <is>
          <t>2</t>
        </is>
      </c>
      <c r="F5541" t="inlineStr">
        <is>
          <t>84</t>
        </is>
      </c>
      <c r="G5541" t="inlineStr">
        <is>
          <t>16</t>
        </is>
      </c>
      <c r="H5541" t="inlineStr">
        <is>
          <t>0</t>
        </is>
      </c>
      <c r="I5541" t="inlineStr">
        <is>
          <t>28¹²</t>
        </is>
      </c>
      <c r="J5541" t="n">
        <v>12</v>
      </c>
      <c r="K5541" t="inlineStr">
        <is>
          <t>12¹⁴</t>
        </is>
      </c>
      <c r="L5541" t="inlineStr">
        <is>
          <t>14F³, 28B⁸, 28C⁹, 28B¹⁰</t>
        </is>
      </c>
      <c r="M5541" t="inlineStr"/>
      <c r="N5541" t="inlineStr">
        <is>
          <t>28D³, 14A⁰, 28E², 28B¹⁰, 14B², 7D⁰, 7G⁰, 28B⁴, 1A⁰, 4A⁰, 28B⁸, 7C⁰, 14F³, 28A¹, 14E¹, 28C⁹, 7A⁰</t>
        </is>
      </c>
      <c r="O5541" t="inlineStr"/>
    </row>
    <row r="5542">
      <c r="A5542">
        <f>HYPERLINK("https://mathstats.uncg.edu/sites/pauli/congruence/csg19.html#group30A19", "30A¹⁹")</f>
        <v/>
      </c>
      <c r="B5542" t="n">
        <v>19</v>
      </c>
      <c r="C5542" t="inlineStr"/>
      <c r="D5542" t="inlineStr">
        <is>
          <t>270</t>
        </is>
      </c>
      <c r="E5542" t="inlineStr">
        <is>
          <t>1</t>
        </is>
      </c>
      <c r="F5542" t="inlineStr">
        <is>
          <t>5</t>
        </is>
      </c>
      <c r="G5542" t="inlineStr">
        <is>
          <t>0</t>
        </is>
      </c>
      <c r="H5542" t="inlineStr">
        <is>
          <t>0</t>
        </is>
      </c>
      <c r="I5542" t="inlineStr">
        <is>
          <t>30⁹</t>
        </is>
      </c>
      <c r="J5542" t="n">
        <v>9</v>
      </c>
      <c r="K5542" t="inlineStr">
        <is>
          <t>1¹, 4¹</t>
        </is>
      </c>
      <c r="L5542" t="inlineStr">
        <is>
          <t>10A⁴, 30G⁴, 30A⁷, 30B⁷, 30C⁷, 30D⁷, 30E⁷, 30P⁷</t>
        </is>
      </c>
      <c r="M5542" t="inlineStr"/>
      <c r="N5542" t="inlineStr">
        <is>
          <t>2A⁰, 30A³, 5A⁰, 10A², 6C¹, 15F¹, 30B⁷, 2B⁰, 1A⁰, 30C⁷, 30P⁷, 30B², 30A¹, 10A⁰, 10I¹, 6A¹, 3A⁰, 15A¹, 10A⁴, 30A⁷, 10B¹, 10B², 30D³, 6A⁰, 30E³, 30E⁷, 30B¹, 10E⁰, 30D⁷, 5E⁰, 30G⁴, 2C⁰, 6D⁰, 15A⁰</t>
        </is>
      </c>
      <c r="O5542" t="inlineStr"/>
    </row>
    <row r="5543">
      <c r="A5543">
        <f>HYPERLINK("https://mathstats.uncg.edu/sites/pauli/congruence/csg19.html#group30B19", "30B¹⁹")</f>
        <v/>
      </c>
      <c r="B5543" t="n">
        <v>19</v>
      </c>
      <c r="C5543" t="inlineStr"/>
      <c r="D5543" t="inlineStr">
        <is>
          <t>360</t>
        </is>
      </c>
      <c r="E5543" t="inlineStr">
        <is>
          <t>1</t>
        </is>
      </c>
      <c r="F5543" t="inlineStr">
        <is>
          <t>180</t>
        </is>
      </c>
      <c r="G5543" t="inlineStr">
        <is>
          <t>0</t>
        </is>
      </c>
      <c r="H5543" t="inlineStr">
        <is>
          <t>0</t>
        </is>
      </c>
      <c r="I5543" t="inlineStr">
        <is>
          <t>5⁶, 10⁶, 15⁶, 30⁶</t>
        </is>
      </c>
      <c r="J5543" t="n">
        <v>24</v>
      </c>
      <c r="K5543" t="inlineStr">
        <is>
          <t>1⁶, 2⁹, 4²¹, 8⁹</t>
        </is>
      </c>
      <c r="L5543" t="inlineStr">
        <is>
          <t>10F², 30K³, 15B⁵, 30L⁷, 30F¹⁰</t>
        </is>
      </c>
      <c r="M5543" t="inlineStr"/>
      <c r="N5543" t="inlineStr">
        <is>
          <t>3B⁰, 5A⁰, 30F¹⁰, 10B¹, 5B⁰, 2B⁰, 30L⁷, 1A⁰, 10F¹, 15C¹, 15A³, 10I¹, 30D⁴, 10F², 6F⁰, 10C⁰, 5E⁰, 15B¹, 30K³, 15C², 5C⁰, 15B⁵, 5G⁰</t>
        </is>
      </c>
      <c r="O5543" t="inlineStr"/>
    </row>
    <row r="5544">
      <c r="A5544">
        <f>HYPERLINK("https://mathstats.uncg.edu/sites/pauli/congruence/csg19.html#group30C19", "30C¹⁹")</f>
        <v/>
      </c>
      <c r="B5544" t="n">
        <v>19</v>
      </c>
      <c r="C5544" t="inlineStr"/>
      <c r="D5544" t="inlineStr">
        <is>
          <t>432</t>
        </is>
      </c>
      <c r="E5544" t="inlineStr">
        <is>
          <t>1</t>
        </is>
      </c>
      <c r="F5544" t="inlineStr">
        <is>
          <t>108</t>
        </is>
      </c>
      <c r="G5544" t="inlineStr">
        <is>
          <t>8</t>
        </is>
      </c>
      <c r="H5544" t="inlineStr">
        <is>
          <t>0</t>
        </is>
      </c>
      <c r="I5544" t="inlineStr">
        <is>
          <t>3⁸, 6⁸, 15⁸, 30⁸</t>
        </is>
      </c>
      <c r="J5544" t="n">
        <v>32</v>
      </c>
      <c r="K5544" t="inlineStr">
        <is>
          <t>2¹⁸, 8⁹</t>
        </is>
      </c>
      <c r="L5544" t="inlineStr">
        <is>
          <t>15I³, 30Q⁹</t>
        </is>
      </c>
      <c r="M5544" t="inlineStr"/>
      <c r="N5544" t="inlineStr">
        <is>
          <t>5B⁰, 6G⁰, 2B⁰, 30O⁵, 15H¹, 1A⁰, 15I³, 15B⁰, 30E², 15E¹, 30Q⁹, 30I⁴, 10C⁰, 3C⁰, 3A⁰, 6D⁰, 15C⁰</t>
        </is>
      </c>
      <c r="O5544" t="inlineStr"/>
    </row>
    <row r="5545">
      <c r="A5545">
        <f>HYPERLINK("https://mathstats.uncg.edu/sites/pauli/congruence/csg19.html#group32A19", "32A¹⁹")</f>
        <v/>
      </c>
      <c r="B5545" t="n">
        <v>19</v>
      </c>
      <c r="C5545" t="inlineStr"/>
      <c r="D5545" t="inlineStr">
        <is>
          <t>384</t>
        </is>
      </c>
      <c r="E5545" t="inlineStr">
        <is>
          <t>1</t>
        </is>
      </c>
      <c r="F5545" t="inlineStr">
        <is>
          <t>24</t>
        </is>
      </c>
      <c r="G5545" t="inlineStr">
        <is>
          <t>0</t>
        </is>
      </c>
      <c r="H5545" t="inlineStr">
        <is>
          <t>0</t>
        </is>
      </c>
      <c r="I5545" t="inlineStr">
        <is>
          <t>8¹⁶, 16⁸, 32⁴</t>
        </is>
      </c>
      <c r="J5545" t="n">
        <v>28</v>
      </c>
      <c r="K5545" t="inlineStr">
        <is>
          <t>1⁴, 2², 4⁴</t>
        </is>
      </c>
      <c r="L5545" t="inlineStr">
        <is>
          <t>16B⁷, 32Q⁹, 32R⁹</t>
        </is>
      </c>
      <c r="M5545" t="inlineStr"/>
      <c r="N5545" t="inlineStr">
        <is>
          <t>2A⁰, 8B³, 16A⁴, 4C⁰, 8A⁰, 16B⁷, 32R⁹, 16P³, 4G⁰, 2B⁰, 4E⁰, 8C⁰, 4B⁰, 8F¹, 1A⁰, 8K⁰, 8H¹, 8G⁰, 4D⁰, 32Q⁹, 16Q³, 16K¹, 8N⁰, 8A¹, 8D⁰, 16I², 8B², 8B⁰, 8E⁰, 8B¹, 8D¹, 8H⁰, 8A², 16L¹, 8C¹, 4A⁰, 4F⁰, 8J⁰, 2C⁰</t>
        </is>
      </c>
      <c r="O5545" t="inlineStr"/>
    </row>
    <row r="5546">
      <c r="A5546">
        <f>HYPERLINK("https://mathstats.uncg.edu/sites/pauli/congruence/csg19.html#group32B19", "32B¹⁹")</f>
        <v/>
      </c>
      <c r="B5546" t="n">
        <v>19</v>
      </c>
      <c r="C5546" t="inlineStr"/>
      <c r="D5546" t="inlineStr">
        <is>
          <t>384</t>
        </is>
      </c>
      <c r="E5546" t="inlineStr">
        <is>
          <t>1</t>
        </is>
      </c>
      <c r="F5546" t="inlineStr">
        <is>
          <t>48</t>
        </is>
      </c>
      <c r="G5546" t="inlineStr">
        <is>
          <t>0</t>
        </is>
      </c>
      <c r="H5546" t="inlineStr">
        <is>
          <t>0</t>
        </is>
      </c>
      <c r="I5546" t="inlineStr">
        <is>
          <t>2⁸, 4⁴, 8⁴, 16⁴, 32⁸</t>
        </is>
      </c>
      <c r="J5546" t="n">
        <v>28</v>
      </c>
      <c r="K5546" t="inlineStr">
        <is>
          <t>1⁴, 2², 4², 8², 16¹</t>
        </is>
      </c>
      <c r="L5546" t="inlineStr">
        <is>
          <t>32M⁷</t>
        </is>
      </c>
      <c r="M5546" t="inlineStr"/>
      <c r="N5546" t="inlineStr">
        <is>
          <t>32A¹, 32C², 4B⁰, 16C⁰, 16D⁰, 32M³, 8C⁰, 32M⁷, 2B⁰, 8I⁰, 32A², 1A⁰, 16J², 16H⁰</t>
        </is>
      </c>
      <c r="O5546" t="inlineStr"/>
    </row>
    <row r="5547">
      <c r="A5547">
        <f>HYPERLINK("https://mathstats.uncg.edu/sites/pauli/congruence/csg19.html#group32C19", "32C¹⁹")</f>
        <v/>
      </c>
      <c r="B5547" t="n">
        <v>19</v>
      </c>
      <c r="C5547" t="inlineStr"/>
      <c r="D5547" t="inlineStr">
        <is>
          <t>384</t>
        </is>
      </c>
      <c r="E5547" t="inlineStr">
        <is>
          <t>1</t>
        </is>
      </c>
      <c r="F5547" t="inlineStr">
        <is>
          <t>48</t>
        </is>
      </c>
      <c r="G5547" t="inlineStr">
        <is>
          <t>0</t>
        </is>
      </c>
      <c r="H5547" t="inlineStr">
        <is>
          <t>0</t>
        </is>
      </c>
      <c r="I5547" t="inlineStr">
        <is>
          <t>4⁸, 8⁴, 16¹², 32⁴</t>
        </is>
      </c>
      <c r="J5547" t="n">
        <v>28</v>
      </c>
      <c r="K5547" t="inlineStr">
        <is>
          <t>1⁸, 2⁴, 4⁴, 8²</t>
        </is>
      </c>
      <c r="L5547" t="inlineStr">
        <is>
          <t>16C⁷</t>
        </is>
      </c>
      <c r="M5547" t="inlineStr"/>
      <c r="N5547" t="inlineStr">
        <is>
          <t>2A⁰, 16C², 8D⁰, 16E¹, 4C⁰, 16A¹, 8C⁰, 4E⁰, 16C⁷, 2B⁰, 8I⁰, 16J³, 4B⁰, 1A⁰, 16K², 8G⁰, 16C⁰, 16C¹, 8J⁰, 2C⁰, 8O⁰</t>
        </is>
      </c>
      <c r="O5547" t="inlineStr"/>
    </row>
    <row r="5548">
      <c r="A5548">
        <f>HYPERLINK("https://mathstats.uncg.edu/sites/pauli/congruence/csg19.html#group32D19", "32D¹⁹")</f>
        <v/>
      </c>
      <c r="B5548" t="n">
        <v>19</v>
      </c>
      <c r="C5548" t="inlineStr"/>
      <c r="D5548" t="inlineStr">
        <is>
          <t>384</t>
        </is>
      </c>
      <c r="E5548" t="inlineStr">
        <is>
          <t>1</t>
        </is>
      </c>
      <c r="F5548" t="inlineStr">
        <is>
          <t>48</t>
        </is>
      </c>
      <c r="G5548" t="inlineStr">
        <is>
          <t>8</t>
        </is>
      </c>
      <c r="H5548" t="inlineStr">
        <is>
          <t>0</t>
        </is>
      </c>
      <c r="I5548" t="inlineStr">
        <is>
          <t>8¹⁶, 32⁸</t>
        </is>
      </c>
      <c r="J5548" t="n">
        <v>24</v>
      </c>
      <c r="K5548" t="inlineStr">
        <is>
          <t>4², 8⁵</t>
        </is>
      </c>
      <c r="L5548" t="inlineStr">
        <is>
          <t>16D⁷, 32K⁹, 32L⁹</t>
        </is>
      </c>
      <c r="M5548" t="inlineStr"/>
      <c r="N5548" t="inlineStr">
        <is>
          <t>16I¹, 4C⁰, 8C², 8A⁰, 8L⁰, 2B⁰, 8K⁰, 1A⁰, 8H¹, 16E², 16B⁰, 16E⁰, 16B⁴, 16D¹, 16D⁷, 32L⁹, 16F¹, 8P⁰, 8M⁰, 16H¹, 8D⁰, 16M³, 8B⁰, 16B¹, 16L², 16J¹, 8D¹, 8H⁰, 32K⁹, 16K³, 8F⁰, 16L³, 16F², 4A⁰, 8I¹, 16C¹, 16C⁴, 4F⁰</t>
        </is>
      </c>
      <c r="O5548" t="inlineStr"/>
    </row>
    <row r="5549">
      <c r="A5549">
        <f>HYPERLINK("https://mathstats.uncg.edu/sites/pauli/congruence/csg19.html#group32E19", "32E¹⁹")</f>
        <v/>
      </c>
      <c r="B5549" t="n">
        <v>19</v>
      </c>
      <c r="C5549" t="inlineStr"/>
      <c r="D5549" t="inlineStr">
        <is>
          <t>384</t>
        </is>
      </c>
      <c r="E5549" t="inlineStr">
        <is>
          <t>1</t>
        </is>
      </c>
      <c r="F5549" t="inlineStr">
        <is>
          <t>48</t>
        </is>
      </c>
      <c r="G5549" t="inlineStr">
        <is>
          <t>8</t>
        </is>
      </c>
      <c r="H5549" t="inlineStr">
        <is>
          <t>0</t>
        </is>
      </c>
      <c r="I5549" t="inlineStr">
        <is>
          <t>8¹⁶, 32⁸</t>
        </is>
      </c>
      <c r="J5549" t="n">
        <v>24</v>
      </c>
      <c r="K5549" t="inlineStr">
        <is>
          <t>2², 4³, 8⁴</t>
        </is>
      </c>
      <c r="L5549" t="inlineStr">
        <is>
          <t>32H⁶, 16D⁷, 32M⁹, 32N⁹, 32A¹⁰, 32B¹⁰, 32C¹⁰</t>
        </is>
      </c>
      <c r="M5549" t="inlineStr"/>
      <c r="N5549" t="inlineStr">
        <is>
          <t>16I¹, 32M⁹, 4C⁰, 8C², 8A⁰, 32D¹, 2B⁰, 8L⁰, 1A⁰, 8K⁰, 32Q³, 8H¹, 16E², 16B⁰, 16E⁰, 16B⁴, 16D¹, 32A¹⁰, 16D⁷, 16F¹, 8P⁰, 8M⁰, 32N⁹, 16H¹, 32I⁵, 8D⁰, 16M³, 32H⁵, 8B⁰, 16B¹, 32I³, 16L², 16J¹, 8D¹, 8H⁰, 16K³, 8F⁰, 32C¹⁰, 32C¹, 16L³, 16F², 4A⁰, 32B¹⁰, 16C¹, 8I¹, 16C⁴, 4F⁰, 32H⁶, 32P³</t>
        </is>
      </c>
      <c r="O5549" t="inlineStr"/>
    </row>
    <row r="5550">
      <c r="A5550">
        <f>HYPERLINK("https://mathstats.uncg.edu/sites/pauli/congruence/csg19.html#group33A19", "33A¹⁹")</f>
        <v/>
      </c>
      <c r="B5550" t="n">
        <v>19</v>
      </c>
      <c r="C5550" t="inlineStr"/>
      <c r="D5550" t="inlineStr">
        <is>
          <t>330</t>
        </is>
      </c>
      <c r="E5550" t="inlineStr">
        <is>
          <t>2</t>
        </is>
      </c>
      <c r="F5550" t="inlineStr">
        <is>
          <t>55</t>
        </is>
      </c>
      <c r="G5550" t="inlineStr">
        <is>
          <t>18</t>
        </is>
      </c>
      <c r="H5550" t="inlineStr">
        <is>
          <t>0</t>
        </is>
      </c>
      <c r="I5550" t="inlineStr">
        <is>
          <t>33¹⁰</t>
        </is>
      </c>
      <c r="J5550" t="n">
        <v>10</v>
      </c>
      <c r="K5550" t="inlineStr">
        <is>
          <t>10¹¹</t>
        </is>
      </c>
      <c r="L5550" t="inlineStr">
        <is>
          <t>33A¹, 11A³, 33A⁷</t>
        </is>
      </c>
      <c r="M5550" t="inlineStr"/>
      <c r="N5550" t="inlineStr">
        <is>
          <t>11A⁰, 11C¹, 33A⁷, 11A³, 33A¹, 3A⁰, 1A⁰</t>
        </is>
      </c>
      <c r="O5550" t="inlineStr"/>
    </row>
    <row r="5551">
      <c r="A5551">
        <f>HYPERLINK("https://mathstats.uncg.edu/sites/pauli/congruence/csg19.html#group34A19", "34A¹⁹")</f>
        <v/>
      </c>
      <c r="B5551" t="n">
        <v>19</v>
      </c>
      <c r="C5551" t="inlineStr"/>
      <c r="D5551" t="inlineStr">
        <is>
          <t>272</t>
        </is>
      </c>
      <c r="E5551" t="inlineStr">
        <is>
          <t>1</t>
        </is>
      </c>
      <c r="F5551" t="inlineStr">
        <is>
          <t>136</t>
        </is>
      </c>
      <c r="G5551" t="inlineStr">
        <is>
          <t>0</t>
        </is>
      </c>
      <c r="H5551" t="inlineStr">
        <is>
          <t>2</t>
        </is>
      </c>
      <c r="I5551" t="inlineStr">
        <is>
          <t>34⁸</t>
        </is>
      </c>
      <c r="J5551" t="n">
        <v>8</v>
      </c>
      <c r="K5551" t="inlineStr">
        <is>
          <t>8¹, 16⁸</t>
        </is>
      </c>
      <c r="L5551" t="inlineStr">
        <is>
          <t>2A⁰, 17A⁶</t>
        </is>
      </c>
      <c r="M5551" t="inlineStr"/>
      <c r="N5551" t="inlineStr">
        <is>
          <t>2A⁰, 1A⁰, 17A⁶</t>
        </is>
      </c>
      <c r="O5551" t="inlineStr"/>
    </row>
    <row r="5552">
      <c r="A5552">
        <f>HYPERLINK("https://mathstats.uncg.edu/sites/pauli/congruence/csg19.html#group34B19", "34B¹⁹")</f>
        <v/>
      </c>
      <c r="B5552" t="n">
        <v>19</v>
      </c>
      <c r="C5552" t="inlineStr"/>
      <c r="D5552" t="inlineStr">
        <is>
          <t>306</t>
        </is>
      </c>
      <c r="E5552" t="inlineStr">
        <is>
          <t>1</t>
        </is>
      </c>
      <c r="F5552" t="inlineStr">
        <is>
          <t>306</t>
        </is>
      </c>
      <c r="G5552" t="inlineStr">
        <is>
          <t>6</t>
        </is>
      </c>
      <c r="H5552" t="inlineStr">
        <is>
          <t>0</t>
        </is>
      </c>
      <c r="I5552" t="inlineStr">
        <is>
          <t>17⁶, 34⁶</t>
        </is>
      </c>
      <c r="J5552" t="n">
        <v>12</v>
      </c>
      <c r="K5552" t="inlineStr">
        <is>
          <t>4³, 8³, 16³⁶</t>
        </is>
      </c>
      <c r="L5552" t="inlineStr">
        <is>
          <t>2B⁰, 17A⁴</t>
        </is>
      </c>
      <c r="M5552" t="inlineStr"/>
      <c r="N5552" t="inlineStr">
        <is>
          <t>1A⁰, 2B⁰, 17A⁴</t>
        </is>
      </c>
      <c r="O5552" t="inlineStr"/>
    </row>
    <row r="5553">
      <c r="A5553">
        <f>HYPERLINK("https://mathstats.uncg.edu/sites/pauli/congruence/csg19.html#group34C19", "34C¹⁹")</f>
        <v/>
      </c>
      <c r="B5553" t="n">
        <v>19</v>
      </c>
      <c r="C5553" t="inlineStr"/>
      <c r="D5553" t="inlineStr">
        <is>
          <t>306</t>
        </is>
      </c>
      <c r="E5553" t="inlineStr">
        <is>
          <t>1</t>
        </is>
      </c>
      <c r="F5553" t="inlineStr">
        <is>
          <t>306</t>
        </is>
      </c>
      <c r="G5553" t="inlineStr">
        <is>
          <t>6</t>
        </is>
      </c>
      <c r="H5553" t="inlineStr">
        <is>
          <t>0</t>
        </is>
      </c>
      <c r="I5553" t="inlineStr">
        <is>
          <t>17⁶, 34⁶</t>
        </is>
      </c>
      <c r="J5553" t="n">
        <v>12</v>
      </c>
      <c r="K5553" t="inlineStr">
        <is>
          <t>4³, 8³, 16³⁶</t>
        </is>
      </c>
      <c r="L5553" t="inlineStr">
        <is>
          <t>2B⁰, 17B⁴</t>
        </is>
      </c>
      <c r="M5553" t="inlineStr"/>
      <c r="N5553" t="inlineStr">
        <is>
          <t>1A⁰, 2B⁰, 17B⁴</t>
        </is>
      </c>
      <c r="O5553" t="inlineStr"/>
    </row>
    <row r="5554">
      <c r="A5554">
        <f>HYPERLINK("https://mathstats.uncg.edu/sites/pauli/congruence/csg19.html#group35A19", "35A¹⁹")</f>
        <v/>
      </c>
      <c r="B5554" t="n">
        <v>19</v>
      </c>
      <c r="C5554" t="inlineStr"/>
      <c r="D5554" t="inlineStr">
        <is>
          <t>280</t>
        </is>
      </c>
      <c r="E5554" t="inlineStr">
        <is>
          <t>1</t>
        </is>
      </c>
      <c r="F5554" t="inlineStr">
        <is>
          <t>140</t>
        </is>
      </c>
      <c r="G5554" t="inlineStr">
        <is>
          <t>0</t>
        </is>
      </c>
      <c r="H5554" t="inlineStr">
        <is>
          <t>4</t>
        </is>
      </c>
      <c r="I5554" t="inlineStr">
        <is>
          <t>35⁸</t>
        </is>
      </c>
      <c r="J5554" t="n">
        <v>8</v>
      </c>
      <c r="K5554" t="inlineStr">
        <is>
          <t>1¹, 3¹, 4¹, 6⁴, 12¹, 24⁴</t>
        </is>
      </c>
      <c r="L5554" t="inlineStr">
        <is>
          <t>7B¹, 35B², 35A⁴, 35A⁹</t>
        </is>
      </c>
      <c r="M5554" t="inlineStr"/>
      <c r="N5554" t="inlineStr">
        <is>
          <t>5A⁰, 35A⁹, 7B⁰, 35A⁴, 7C⁰, 7F⁰, 35A², 35B², 1A⁰, 7B¹, 7A⁰</t>
        </is>
      </c>
      <c r="O5554" t="inlineStr"/>
    </row>
    <row r="5555">
      <c r="A5555">
        <f>HYPERLINK("https://mathstats.uncg.edu/sites/pauli/congruence/csg19.html#group35B19", "35B¹⁹")</f>
        <v/>
      </c>
      <c r="B5555" t="n">
        <v>19</v>
      </c>
      <c r="C5555" t="inlineStr"/>
      <c r="D5555" t="inlineStr">
        <is>
          <t>280</t>
        </is>
      </c>
      <c r="E5555" t="inlineStr">
        <is>
          <t>2</t>
        </is>
      </c>
      <c r="F5555" t="inlineStr">
        <is>
          <t>70</t>
        </is>
      </c>
      <c r="G5555" t="inlineStr">
        <is>
          <t>0</t>
        </is>
      </c>
      <c r="H5555" t="inlineStr">
        <is>
          <t>4</t>
        </is>
      </c>
      <c r="I5555" t="inlineStr">
        <is>
          <t>35⁸</t>
        </is>
      </c>
      <c r="J5555" t="n">
        <v>8</v>
      </c>
      <c r="K5555" t="inlineStr">
        <is>
          <t>4¹, 8², 12², 24⁴</t>
        </is>
      </c>
      <c r="L5555" t="inlineStr">
        <is>
          <t>35A⁴, 35C⁸, 35B⁹, 35A¹⁰</t>
        </is>
      </c>
      <c r="M5555" t="inlineStr"/>
      <c r="N5555" t="inlineStr">
        <is>
          <t>35B⁹, 35A¹⁰, 5A⁰, 35A⁴, 5C⁰, 35B⁴, 7C⁰, 5F⁰, 35C⁸, 1A⁰, 35A², 7A⁰</t>
        </is>
      </c>
      <c r="O5555" t="inlineStr"/>
    </row>
    <row r="5556">
      <c r="A5556">
        <f>HYPERLINK("https://mathstats.uncg.edu/sites/pauli/congruence/csg19.html#group35C19", "35C¹⁹")</f>
        <v/>
      </c>
      <c r="B5556" t="n">
        <v>19</v>
      </c>
      <c r="C5556" t="inlineStr"/>
      <c r="D5556" t="inlineStr">
        <is>
          <t>315</t>
        </is>
      </c>
      <c r="E5556" t="inlineStr">
        <is>
          <t>1</t>
        </is>
      </c>
      <c r="F5556" t="inlineStr">
        <is>
          <t>105</t>
        </is>
      </c>
      <c r="G5556" t="inlineStr">
        <is>
          <t>15</t>
        </is>
      </c>
      <c r="H5556" t="inlineStr">
        <is>
          <t>0</t>
        </is>
      </c>
      <c r="I5556" t="inlineStr">
        <is>
          <t>35⁹</t>
        </is>
      </c>
      <c r="J5556" t="n">
        <v>9</v>
      </c>
      <c r="K5556" t="inlineStr">
        <is>
          <t>3¹, 6³, 12¹, 24³</t>
        </is>
      </c>
      <c r="L5556" t="inlineStr">
        <is>
          <t>35B⁶, 35A⁷</t>
        </is>
      </c>
      <c r="M5556" t="inlineStr"/>
      <c r="N5556" t="inlineStr">
        <is>
          <t>5A⁰, 7D⁰, 35A⁷, 5E⁰, 35B⁶, 1A⁰, 35A², 7A⁰</t>
        </is>
      </c>
      <c r="O5556" t="inlineStr"/>
    </row>
    <row r="5557">
      <c r="A5557">
        <f>HYPERLINK("https://mathstats.uncg.edu/sites/pauli/congruence/csg19.html#group36A19", "36A¹⁹")</f>
        <v/>
      </c>
      <c r="B5557" t="n">
        <v>19</v>
      </c>
      <c r="C5557" t="inlineStr"/>
      <c r="D5557" t="inlineStr">
        <is>
          <t>288</t>
        </is>
      </c>
      <c r="E5557" t="inlineStr">
        <is>
          <t>1</t>
        </is>
      </c>
      <c r="F5557" t="inlineStr">
        <is>
          <t>4</t>
        </is>
      </c>
      <c r="G5557" t="inlineStr">
        <is>
          <t>0</t>
        </is>
      </c>
      <c r="H5557" t="inlineStr">
        <is>
          <t>0</t>
        </is>
      </c>
      <c r="I5557" t="inlineStr">
        <is>
          <t>12⁶, 36⁶</t>
        </is>
      </c>
      <c r="J5557" t="n">
        <v>12</v>
      </c>
      <c r="K5557" t="inlineStr">
        <is>
          <t>1², 2¹</t>
        </is>
      </c>
      <c r="L5557" t="inlineStr">
        <is>
          <t>12K³, 36G⁵, 36B⁷, 36C⁹, 36J¹⁰</t>
        </is>
      </c>
      <c r="M5557" t="inlineStr"/>
      <c r="N5557" t="inlineStr">
        <is>
          <t>2A⁰, 36J¹⁰, 36B⁷, 4C⁰, 18D², 4G⁰, 2B⁰, 4E⁰, 9C⁰, 36A⁵, 4B⁰, 1A⁰, 36G⁵, 18C², 4D⁰, 12A¹, 6F⁰, 3B⁰, 12I¹, 12F¹, 18B⁰, 6I⁰, 6C⁰, 36F⁴, 12P¹, 36C³, 36C⁹, 4A⁰, 12G², 12K³, 4F⁰, 2C⁰, 12E⁰, 18C⁴</t>
        </is>
      </c>
      <c r="O5557" t="inlineStr"/>
    </row>
    <row r="5558">
      <c r="A5558">
        <f>HYPERLINK("https://mathstats.uncg.edu/sites/pauli/congruence/csg19.html#group36B19", "36B¹⁹")</f>
        <v/>
      </c>
      <c r="B5558" t="n">
        <v>19</v>
      </c>
      <c r="C5558" t="inlineStr"/>
      <c r="D5558" t="inlineStr">
        <is>
          <t>288</t>
        </is>
      </c>
      <c r="E5558" t="inlineStr">
        <is>
          <t>1</t>
        </is>
      </c>
      <c r="F5558" t="inlineStr">
        <is>
          <t>4</t>
        </is>
      </c>
      <c r="G5558" t="inlineStr">
        <is>
          <t>0</t>
        </is>
      </c>
      <c r="H5558" t="inlineStr">
        <is>
          <t>0</t>
        </is>
      </c>
      <c r="I5558" t="inlineStr">
        <is>
          <t>12⁶, 36⁶</t>
        </is>
      </c>
      <c r="J5558" t="n">
        <v>12</v>
      </c>
      <c r="K5558" t="inlineStr">
        <is>
          <t>1², 2¹</t>
        </is>
      </c>
      <c r="L5558" t="inlineStr">
        <is>
          <t>12K³, 36B⁶, 36A⁷, 36D⁹, 36K¹⁰</t>
        </is>
      </c>
      <c r="M5558" t="inlineStr"/>
      <c r="N5558" t="inlineStr">
        <is>
          <t>2A⁰, 18D¹, 4C⁰, 18E², 4G⁰, 2B⁰, 4E⁰, 4B⁰, 1A⁰, 36A⁷, 4D⁰, 12A¹, 6F⁰, 3B⁰, 12I¹, 36B⁶, 12F¹, 6I⁰, 6C⁰, 36G⁴, 36B⁵, 12P¹, 36K¹⁰, 18B², 4A⁰, 9A¹, 36C⁴, 12G², 12K³, 4F⁰, 18D⁴, 2C⁰, 12E⁰, 36D⁹</t>
        </is>
      </c>
      <c r="O5558" t="inlineStr"/>
    </row>
    <row r="5559">
      <c r="A5559">
        <f>HYPERLINK("https://mathstats.uncg.edu/sites/pauli/congruence/csg19.html#group36C19", "36C¹⁹")</f>
        <v/>
      </c>
      <c r="B5559" t="n">
        <v>19</v>
      </c>
      <c r="C5559" t="inlineStr"/>
      <c r="D5559" t="inlineStr">
        <is>
          <t>288</t>
        </is>
      </c>
      <c r="E5559" t="inlineStr">
        <is>
          <t>1</t>
        </is>
      </c>
      <c r="F5559" t="inlineStr">
        <is>
          <t>12</t>
        </is>
      </c>
      <c r="G5559" t="inlineStr">
        <is>
          <t>0</t>
        </is>
      </c>
      <c r="H5559" t="inlineStr">
        <is>
          <t>0</t>
        </is>
      </c>
      <c r="I5559" t="inlineStr">
        <is>
          <t>12⁶, 36⁶</t>
        </is>
      </c>
      <c r="J5559" t="n">
        <v>12</v>
      </c>
      <c r="K5559" t="inlineStr">
        <is>
          <t>1⁶, 2³</t>
        </is>
      </c>
      <c r="L5559" t="inlineStr">
        <is>
          <t>12L³, 36H⁸, 36C⁹, 36A¹⁰</t>
        </is>
      </c>
      <c r="M5559" t="inlineStr"/>
      <c r="N5559" t="inlineStr">
        <is>
          <t>3B⁰, 2A⁰, 18C⁴, 18B⁰, 6I⁰, 12F¹, 6C⁰, 12I⁰, 4C⁰, 18D², 36F⁴, 2B⁰, 4E⁰, 9C⁰, 12B⁰, 36A⁵, 1A⁰, 4B⁰, 12P¹, 12F², 36C⁹, 36H⁸, 36A¹⁰, 12L³, 36B⁴, 6F⁰, 2C⁰, 12E⁰, 36A⁰, 18C²</t>
        </is>
      </c>
      <c r="O5559" t="inlineStr"/>
    </row>
    <row r="5560">
      <c r="A5560">
        <f>HYPERLINK("https://mathstats.uncg.edu/sites/pauli/congruence/csg19.html#group36D19", "36D¹⁹")</f>
        <v/>
      </c>
      <c r="B5560" t="n">
        <v>19</v>
      </c>
      <c r="C5560" t="inlineStr"/>
      <c r="D5560" t="inlineStr">
        <is>
          <t>288</t>
        </is>
      </c>
      <c r="E5560" t="inlineStr">
        <is>
          <t>1</t>
        </is>
      </c>
      <c r="F5560" t="inlineStr">
        <is>
          <t>12</t>
        </is>
      </c>
      <c r="G5560" t="inlineStr">
        <is>
          <t>0</t>
        </is>
      </c>
      <c r="H5560" t="inlineStr">
        <is>
          <t>0</t>
        </is>
      </c>
      <c r="I5560" t="inlineStr">
        <is>
          <t>12⁶, 36⁶</t>
        </is>
      </c>
      <c r="J5560" t="n">
        <v>12</v>
      </c>
      <c r="K5560" t="inlineStr">
        <is>
          <t>1⁶, 2³</t>
        </is>
      </c>
      <c r="L5560" t="inlineStr">
        <is>
          <t>12L³, 36I⁸, 36D⁹, 36B¹⁰</t>
        </is>
      </c>
      <c r="M5560" t="inlineStr"/>
      <c r="N5560" t="inlineStr">
        <is>
          <t>3B⁰, 2A⁰, 6I⁰, 18D¹, 12F¹, 6C⁰, 18E², 12I⁰, 4C⁰, 36G⁴, 36I⁸, 2B⁰, 4E⁰, 36B⁵, 12B⁰, 12P¹, 4B⁰, 1A⁰, 36B¹⁰, 12F², 18B², 12L³, 9A¹, 36A⁴, 18D⁴, 36A², 6F⁰, 2C⁰, 12E⁰, 36D⁹</t>
        </is>
      </c>
      <c r="O5560" t="inlineStr"/>
    </row>
    <row r="5561">
      <c r="A5561">
        <f>HYPERLINK("https://mathstats.uncg.edu/sites/pauli/congruence/csg19.html#group36E19", "36E¹⁹")</f>
        <v/>
      </c>
      <c r="B5561" t="n">
        <v>19</v>
      </c>
      <c r="C5561" t="inlineStr"/>
      <c r="D5561" t="inlineStr">
        <is>
          <t>288</t>
        </is>
      </c>
      <c r="E5561" t="inlineStr">
        <is>
          <t>1</t>
        </is>
      </c>
      <c r="F5561" t="inlineStr">
        <is>
          <t>16</t>
        </is>
      </c>
      <c r="G5561" t="inlineStr">
        <is>
          <t>0</t>
        </is>
      </c>
      <c r="H5561" t="inlineStr">
        <is>
          <t>0</t>
        </is>
      </c>
      <c r="I5561" t="inlineStr">
        <is>
          <t>12⁶, 36⁶</t>
        </is>
      </c>
      <c r="J5561" t="n">
        <v>12</v>
      </c>
      <c r="K5561" t="inlineStr">
        <is>
          <t>2⁴, 4²</t>
        </is>
      </c>
      <c r="L5561" t="inlineStr">
        <is>
          <t>18E⁴, 12A⁵, 36F⁵, 36G⁵, 36A⁷, 36H¹⁰</t>
        </is>
      </c>
      <c r="M5561" t="inlineStr"/>
      <c r="N5561" t="inlineStr">
        <is>
          <t>2A⁰, 36H¹⁰, 9C⁰, 12A⁵, 1A⁰, 36G⁵, 36A⁷, 6B¹, 18C¹, 12A¹, 4D⁰, 12A², 3C⁰, 12Q¹, 6A¹, 18E⁴, 3A⁰, 36B³, 36F⁵, 12G¹, 3B⁰, 6B⁰, 12I¹, 12B³, 18B⁰, 6C⁰, 12C³, 9B⁰, 12F⁰, 36C³, 18B², 12A⁰, 6D¹, 6E⁰, 4A⁰, 9A¹, 9C¹, 36C⁴, 3D⁰</t>
        </is>
      </c>
      <c r="O5561" t="inlineStr"/>
    </row>
    <row r="5562">
      <c r="A5562">
        <f>HYPERLINK("https://mathstats.uncg.edu/sites/pauli/congruence/csg19.html#group36F19", "36F¹⁹")</f>
        <v/>
      </c>
      <c r="B5562" t="n">
        <v>19</v>
      </c>
      <c r="C5562" t="inlineStr"/>
      <c r="D5562" t="inlineStr">
        <is>
          <t>288</t>
        </is>
      </c>
      <c r="E5562" t="inlineStr">
        <is>
          <t>1</t>
        </is>
      </c>
      <c r="F5562" t="inlineStr">
        <is>
          <t>32</t>
        </is>
      </c>
      <c r="G5562" t="inlineStr">
        <is>
          <t>0</t>
        </is>
      </c>
      <c r="H5562" t="inlineStr">
        <is>
          <t>0</t>
        </is>
      </c>
      <c r="I5562" t="inlineStr">
        <is>
          <t>12⁶, 36⁶</t>
        </is>
      </c>
      <c r="J5562" t="n">
        <v>12</v>
      </c>
      <c r="K5562" t="inlineStr">
        <is>
          <t>4⁸</t>
        </is>
      </c>
      <c r="L5562" t="inlineStr">
        <is>
          <t>12D⁴, 18F⁴, 36O⁴, 36A⁷, 36B⁷</t>
        </is>
      </c>
      <c r="M5562" t="inlineStr"/>
      <c r="N5562" t="inlineStr">
        <is>
          <t>3B⁰, 2A⁰, 12I¹, 12H¹, 36B⁷, 6C⁰, 12E¹, 18F⁴, 36O⁴, 1A⁰, 36A⁷, 18C⁰, 18B², 12D⁴, 6A⁰, 4A⁰, 4D⁰, 12A¹, 9A¹, 6J⁰, 36C⁴, 18C²</t>
        </is>
      </c>
      <c r="O5562" t="inlineStr"/>
    </row>
    <row r="5563">
      <c r="A5563">
        <f>HYPERLINK("https://mathstats.uncg.edu/sites/pauli/congruence/csg19.html#group36G19", "36G¹⁹")</f>
        <v/>
      </c>
      <c r="B5563" t="n">
        <v>19</v>
      </c>
      <c r="C5563" t="inlineStr"/>
      <c r="D5563" t="inlineStr">
        <is>
          <t>288</t>
        </is>
      </c>
      <c r="E5563" t="inlineStr">
        <is>
          <t>1</t>
        </is>
      </c>
      <c r="F5563" t="inlineStr">
        <is>
          <t>32</t>
        </is>
      </c>
      <c r="G5563" t="inlineStr">
        <is>
          <t>0</t>
        </is>
      </c>
      <c r="H5563" t="inlineStr">
        <is>
          <t>0</t>
        </is>
      </c>
      <c r="I5563" t="inlineStr">
        <is>
          <t>12⁶, 36⁶</t>
        </is>
      </c>
      <c r="J5563" t="n">
        <v>12</v>
      </c>
      <c r="K5563" t="inlineStr">
        <is>
          <t>4⁸</t>
        </is>
      </c>
      <c r="L5563" t="inlineStr">
        <is>
          <t>12D⁴, 18G⁴, 36F⁵, 36B⁶, 36B⁷</t>
        </is>
      </c>
      <c r="M5563" t="inlineStr"/>
      <c r="N5563" t="inlineStr">
        <is>
          <t>3B⁰, 2A⁰, 12I¹, 12H¹, 36B⁶, 18D¹, 36B⁷, 6C⁰, 12E¹, 9B⁰, 1A⁰, 12D⁴, 6A⁰, 4A⁰, 4D⁰, 12A¹, 18C², 18C¹, 6J⁰, 36B³, 36F⁵, 18G⁴</t>
        </is>
      </c>
      <c r="O5563" t="inlineStr"/>
    </row>
    <row r="5564">
      <c r="A5564">
        <f>HYPERLINK("https://mathstats.uncg.edu/sites/pauli/congruence/csg19.html#group36H19", "36H¹⁹")</f>
        <v/>
      </c>
      <c r="B5564" t="n">
        <v>19</v>
      </c>
      <c r="C5564" t="inlineStr"/>
      <c r="D5564" t="inlineStr">
        <is>
          <t>288</t>
        </is>
      </c>
      <c r="E5564" t="inlineStr">
        <is>
          <t>1</t>
        </is>
      </c>
      <c r="F5564" t="inlineStr">
        <is>
          <t>32</t>
        </is>
      </c>
      <c r="G5564" t="inlineStr">
        <is>
          <t>0</t>
        </is>
      </c>
      <c r="H5564" t="inlineStr">
        <is>
          <t>0</t>
        </is>
      </c>
      <c r="I5564" t="inlineStr">
        <is>
          <t>12⁶, 36⁶</t>
        </is>
      </c>
      <c r="J5564" t="n">
        <v>12</v>
      </c>
      <c r="K5564" t="inlineStr">
        <is>
          <t>4⁸</t>
        </is>
      </c>
      <c r="L5564" t="inlineStr">
        <is>
          <t>18H⁴, 36O⁴, 12A⁵, 36B⁶, 36B⁷</t>
        </is>
      </c>
      <c r="M5564" t="inlineStr"/>
      <c r="N5564" t="inlineStr">
        <is>
          <t>2A⁰, 18D¹, 36B⁷, 12A⁵, 36O⁴, 1A⁰, 18C⁰, 6B¹, 4D⁰, 12A¹, 12A², 12Q¹, 3C⁰, 6A¹, 3A⁰, 12G¹, 3B⁰, 6B⁰, 12I¹, 36B⁶, 12B³, 6C⁰, 12C³, 12F⁰, 18H⁴, 12A⁰, 6D¹, 6E⁰, 4A⁰, 3D⁰, 18C²</t>
        </is>
      </c>
      <c r="O5564" t="inlineStr"/>
    </row>
    <row r="5565">
      <c r="A5565">
        <f>HYPERLINK("https://mathstats.uncg.edu/sites/pauli/congruence/csg19.html#group36I19", "36I¹⁹")</f>
        <v/>
      </c>
      <c r="B5565" t="n">
        <v>19</v>
      </c>
      <c r="C5565" t="inlineStr"/>
      <c r="D5565" t="inlineStr">
        <is>
          <t>288</t>
        </is>
      </c>
      <c r="E5565" t="inlineStr">
        <is>
          <t>1</t>
        </is>
      </c>
      <c r="F5565" t="inlineStr">
        <is>
          <t>48</t>
        </is>
      </c>
      <c r="G5565" t="inlineStr">
        <is>
          <t>0</t>
        </is>
      </c>
      <c r="H5565" t="inlineStr">
        <is>
          <t>0</t>
        </is>
      </c>
      <c r="I5565" t="inlineStr">
        <is>
          <t>12⁶, 36⁶</t>
        </is>
      </c>
      <c r="J5565" t="n">
        <v>12</v>
      </c>
      <c r="K5565" t="inlineStr">
        <is>
          <t>2⁴, 4⁴, 12²</t>
        </is>
      </c>
      <c r="L5565" t="inlineStr">
        <is>
          <t>18I⁴, 36A⁷, 36L¹⁰</t>
        </is>
      </c>
      <c r="M5565" t="inlineStr"/>
      <c r="N5565" t="inlineStr">
        <is>
          <t>3B⁰, 2A⁰, 18B², 12I¹, 4A⁰, 4D⁰, 12A¹, 6C⁰, 36L¹⁰, 9A¹, 36C⁴, 18I⁴, 9D¹, 1A⁰, 36A⁷</t>
        </is>
      </c>
      <c r="O5565" t="inlineStr"/>
    </row>
    <row r="5566">
      <c r="A5566">
        <f>HYPERLINK("https://mathstats.uncg.edu/sites/pauli/congruence/csg19.html#group36J19", "36J¹⁹")</f>
        <v/>
      </c>
      <c r="B5566" t="n">
        <v>19</v>
      </c>
      <c r="C5566" t="inlineStr"/>
      <c r="D5566" t="inlineStr">
        <is>
          <t>288</t>
        </is>
      </c>
      <c r="E5566" t="inlineStr">
        <is>
          <t>1</t>
        </is>
      </c>
      <c r="F5566" t="inlineStr">
        <is>
          <t>96</t>
        </is>
      </c>
      <c r="G5566" t="inlineStr">
        <is>
          <t>0</t>
        </is>
      </c>
      <c r="H5566" t="inlineStr">
        <is>
          <t>0</t>
        </is>
      </c>
      <c r="I5566" t="inlineStr">
        <is>
          <t>12⁶, 36⁶</t>
        </is>
      </c>
      <c r="J5566" t="n">
        <v>12</v>
      </c>
      <c r="K5566" t="inlineStr">
        <is>
          <t>2⁸, 4⁸, 12⁴</t>
        </is>
      </c>
      <c r="L5566" t="inlineStr">
        <is>
          <t>18J⁴, 36A⁷</t>
        </is>
      </c>
      <c r="M5566" t="inlineStr"/>
      <c r="N5566" t="inlineStr">
        <is>
          <t>3B⁰, 2A⁰, 18B², 12I¹, 18J⁴, 4A⁰, 4D⁰, 12A¹, 6C⁰, 9A¹, 36C⁴, 1A⁰, 36A⁷</t>
        </is>
      </c>
      <c r="O5566" t="inlineStr"/>
    </row>
    <row r="5567">
      <c r="A5567">
        <f>HYPERLINK("https://mathstats.uncg.edu/sites/pauli/congruence/csg19.html#group36K19", "36K¹⁹")</f>
        <v/>
      </c>
      <c r="B5567" t="n">
        <v>19</v>
      </c>
      <c r="C5567" t="inlineStr"/>
      <c r="D5567" t="inlineStr">
        <is>
          <t>288</t>
        </is>
      </c>
      <c r="E5567" t="inlineStr">
        <is>
          <t>2</t>
        </is>
      </c>
      <c r="F5567" t="inlineStr">
        <is>
          <t>72</t>
        </is>
      </c>
      <c r="G5567" t="inlineStr">
        <is>
          <t>8</t>
        </is>
      </c>
      <c r="H5567" t="inlineStr">
        <is>
          <t>0</t>
        </is>
      </c>
      <c r="I5567" t="inlineStr">
        <is>
          <t>36⁸</t>
        </is>
      </c>
      <c r="J5567" t="n">
        <v>8</v>
      </c>
      <c r="K5567" t="inlineStr">
        <is>
          <t>4¹², 12⁸</t>
        </is>
      </c>
      <c r="L5567" t="inlineStr">
        <is>
          <t>12M³, 36C⁵, 36K⁹</t>
        </is>
      </c>
      <c r="M5567" t="inlineStr"/>
      <c r="N5567" t="inlineStr">
        <is>
          <t>12G¹, 12D¹, 6B⁰, 36D², 12F⁰, 36K⁹, 1A⁰, 9B¹, 18A⁰, 36A¹, 36C⁵, 12A⁰, 6E⁰, 4A⁰, 9A⁰, 36E⁵, 12M³, 12Q¹, 3C⁰, 18G², 3A⁰, 18A¹, 36L⁴</t>
        </is>
      </c>
      <c r="O5567" t="inlineStr"/>
    </row>
    <row r="5568">
      <c r="A5568">
        <f>HYPERLINK("https://mathstats.uncg.edu/sites/pauli/congruence/csg19.html#group36L19", "36L¹⁹")</f>
        <v/>
      </c>
      <c r="B5568" t="n">
        <v>19</v>
      </c>
      <c r="C5568" t="inlineStr"/>
      <c r="D5568" t="inlineStr">
        <is>
          <t>288</t>
        </is>
      </c>
      <c r="E5568" t="inlineStr">
        <is>
          <t>2</t>
        </is>
      </c>
      <c r="F5568" t="inlineStr">
        <is>
          <t>144</t>
        </is>
      </c>
      <c r="G5568" t="inlineStr">
        <is>
          <t>8</t>
        </is>
      </c>
      <c r="H5568" t="inlineStr">
        <is>
          <t>0</t>
        </is>
      </c>
      <c r="I5568" t="inlineStr">
        <is>
          <t>36⁸</t>
        </is>
      </c>
      <c r="J5568" t="n">
        <v>8</v>
      </c>
      <c r="K5568" t="inlineStr">
        <is>
          <t>4²⁴, 12¹⁶</t>
        </is>
      </c>
      <c r="L5568" t="inlineStr">
        <is>
          <t>12M³, 36D⁵, 36L⁹</t>
        </is>
      </c>
      <c r="M5568" t="inlineStr"/>
      <c r="N5568" t="inlineStr">
        <is>
          <t>12G¹, 12D¹, 6B⁰, 12F⁰, 18B¹, 1A⁰, 36N⁴, 12A⁰, 18H², 6E⁰, 36D⁵, 4A⁰, 12M³, 12Q¹, 3C⁰, 3A⁰, 36L⁹</t>
        </is>
      </c>
      <c r="O5568" t="inlineStr"/>
    </row>
    <row r="5569">
      <c r="A5569">
        <f>HYPERLINK("https://mathstats.uncg.edu/sites/pauli/congruence/csg19.html#group36M19", "36M¹⁹")</f>
        <v/>
      </c>
      <c r="B5569" t="n">
        <v>19</v>
      </c>
      <c r="C5569" t="inlineStr"/>
      <c r="D5569" t="inlineStr">
        <is>
          <t>324</t>
        </is>
      </c>
      <c r="E5569" t="inlineStr">
        <is>
          <t>1</t>
        </is>
      </c>
      <c r="F5569" t="inlineStr">
        <is>
          <t>54</t>
        </is>
      </c>
      <c r="G5569" t="inlineStr">
        <is>
          <t>0</t>
        </is>
      </c>
      <c r="H5569" t="inlineStr">
        <is>
          <t>0</t>
        </is>
      </c>
      <c r="I5569" t="inlineStr">
        <is>
          <t>9¹², 36⁶</t>
        </is>
      </c>
      <c r="J5569" t="n">
        <v>18</v>
      </c>
      <c r="K5569" t="inlineStr">
        <is>
          <t>1³, 2³, 3³, 6⁶</t>
        </is>
      </c>
      <c r="L5569" t="inlineStr">
        <is>
          <t>36Q⁴, 18I⁷, 36C⁷</t>
        </is>
      </c>
      <c r="M5569" t="inlineStr"/>
      <c r="N5569" t="inlineStr">
        <is>
          <t>12K¹, 18I¹, 6G⁰, 9E¹, 18I⁷, 2B⁰, 9E⁰, 4B⁰, 1A⁰, 36C⁷, 9D⁰, 9A⁰, 36D⁴, 36Q⁴, 3C⁰, 12B¹, 12D⁰, 18E¹, 3A⁰, 36D³, 18I², 6D⁰</t>
        </is>
      </c>
      <c r="O5569" t="inlineStr"/>
    </row>
    <row r="5570">
      <c r="A5570">
        <f>HYPERLINK("https://mathstats.uncg.edu/sites/pauli/congruence/csg19.html#group36N19", "36N¹⁹")</f>
        <v/>
      </c>
      <c r="B5570" t="n">
        <v>19</v>
      </c>
      <c r="C5570" t="inlineStr"/>
      <c r="D5570" t="inlineStr">
        <is>
          <t>324</t>
        </is>
      </c>
      <c r="E5570" t="inlineStr">
        <is>
          <t>1</t>
        </is>
      </c>
      <c r="F5570" t="inlineStr">
        <is>
          <t>54</t>
        </is>
      </c>
      <c r="G5570" t="inlineStr">
        <is>
          <t>12</t>
        </is>
      </c>
      <c r="H5570" t="inlineStr">
        <is>
          <t>0</t>
        </is>
      </c>
      <c r="I5570" t="inlineStr">
        <is>
          <t>18⁶, 36⁶</t>
        </is>
      </c>
      <c r="J5570" t="n">
        <v>12</v>
      </c>
      <c r="K5570" t="inlineStr">
        <is>
          <t>1³, 2³, 3³, 6⁶</t>
        </is>
      </c>
      <c r="L5570" t="inlineStr">
        <is>
          <t>36H⁵, 36I⁵, 18I⁷</t>
        </is>
      </c>
      <c r="M5570" t="inlineStr"/>
      <c r="N5570" t="inlineStr">
        <is>
          <t>36I⁵, 12C⁰, 36E³, 18I¹, 4C⁰, 36B², 6G⁰, 9E¹, 18I⁷, 36H⁵, 2B⁰, 9E⁰, 12L¹, 1A⁰, 9D⁰, 12C¹, 9A⁰, 3C⁰, 18E¹, 3A⁰, 18I², 6D⁰</t>
        </is>
      </c>
      <c r="O5570" t="inlineStr"/>
    </row>
    <row r="5571">
      <c r="A5571">
        <f>HYPERLINK("https://mathstats.uncg.edu/sites/pauli/congruence/csg19.html#group36O19", "36O¹⁹")</f>
        <v/>
      </c>
      <c r="B5571" t="n">
        <v>19</v>
      </c>
      <c r="C5571" t="inlineStr"/>
      <c r="D5571" t="inlineStr">
        <is>
          <t>324</t>
        </is>
      </c>
      <c r="E5571" t="inlineStr">
        <is>
          <t>1</t>
        </is>
      </c>
      <c r="F5571" t="inlineStr">
        <is>
          <t>81</t>
        </is>
      </c>
      <c r="G5571" t="inlineStr">
        <is>
          <t>0</t>
        </is>
      </c>
      <c r="H5571" t="inlineStr">
        <is>
          <t>0</t>
        </is>
      </c>
      <c r="I5571" t="inlineStr">
        <is>
          <t>9¹², 36⁶</t>
        </is>
      </c>
      <c r="J5571" t="n">
        <v>18</v>
      </c>
      <c r="K5571" t="inlineStr">
        <is>
          <t>3³, 6¹²</t>
        </is>
      </c>
      <c r="L5571" t="inlineStr">
        <is>
          <t>36Q⁴, 36D⁷, 36L⁷, 18A⁸, 36N¹⁰</t>
        </is>
      </c>
      <c r="M5571" t="inlineStr"/>
      <c r="N5571" t="inlineStr">
        <is>
          <t>12K¹, 36N¹⁰, 18I¹, 9G⁰, 6G⁰, 2B⁰, 9B², 9E⁰, 4B⁰, 36D⁷, 1A⁰, 9B¹, 18E³, 18A⁸, 36L⁷, 18J³, 9A⁰, 36D⁴, 36Q⁴, 3C⁰, 12B¹, 12D⁰, 18E¹, 3A⁰, 6D⁰, 36C²</t>
        </is>
      </c>
      <c r="O5571" t="inlineStr"/>
    </row>
    <row r="5572">
      <c r="A5572">
        <f>HYPERLINK("https://mathstats.uncg.edu/sites/pauli/congruence/csg19.html#group36P19", "36P¹⁹")</f>
        <v/>
      </c>
      <c r="B5572" t="n">
        <v>19</v>
      </c>
      <c r="C5572" t="inlineStr"/>
      <c r="D5572" t="inlineStr">
        <is>
          <t>324</t>
        </is>
      </c>
      <c r="E5572" t="inlineStr">
        <is>
          <t>1</t>
        </is>
      </c>
      <c r="F5572" t="inlineStr">
        <is>
          <t>108</t>
        </is>
      </c>
      <c r="G5572" t="inlineStr">
        <is>
          <t>18</t>
        </is>
      </c>
      <c r="H5572" t="inlineStr">
        <is>
          <t>0</t>
        </is>
      </c>
      <c r="I5572" t="inlineStr">
        <is>
          <t>36⁹</t>
        </is>
      </c>
      <c r="J5572" t="n">
        <v>9</v>
      </c>
      <c r="K5572" t="inlineStr">
        <is>
          <t>6², 12⁸</t>
        </is>
      </c>
      <c r="L5572" t="inlineStr">
        <is>
          <t>9G¹, 36J⁵, 36G⁶</t>
        </is>
      </c>
      <c r="M5572" t="inlineStr"/>
      <c r="N5572" t="inlineStr">
        <is>
          <t>36A¹, 36J⁵, 12A⁰, 4A⁰, 9A⁰, 9G⁰, 9G¹, 3A⁰, 9F⁰, 1A⁰, 36G⁶</t>
        </is>
      </c>
      <c r="O5572" t="inlineStr"/>
    </row>
    <row r="5573">
      <c r="A5573">
        <f>HYPERLINK("https://mathstats.uncg.edu/sites/pauli/congruence/csg19.html#group36Q19", "36Q¹⁹")</f>
        <v/>
      </c>
      <c r="B5573" t="n">
        <v>19</v>
      </c>
      <c r="C5573" t="inlineStr"/>
      <c r="D5573" t="inlineStr">
        <is>
          <t>324</t>
        </is>
      </c>
      <c r="E5573" t="inlineStr">
        <is>
          <t>2</t>
        </is>
      </c>
      <c r="F5573" t="inlineStr">
        <is>
          <t>27</t>
        </is>
      </c>
      <c r="G5573" t="inlineStr">
        <is>
          <t>0</t>
        </is>
      </c>
      <c r="H5573" t="inlineStr">
        <is>
          <t>0</t>
        </is>
      </c>
      <c r="I5573" t="inlineStr">
        <is>
          <t>9¹², 36⁶</t>
        </is>
      </c>
      <c r="J5573" t="n">
        <v>18</v>
      </c>
      <c r="K5573" t="inlineStr">
        <is>
          <t>2⁹, 6⁶</t>
        </is>
      </c>
      <c r="L5573" t="inlineStr">
        <is>
          <t>18M⁷, 36C⁷, 36D⁷, 36M⁸, 36N¹⁰</t>
        </is>
      </c>
      <c r="M5573" t="inlineStr"/>
      <c r="N5573" t="inlineStr">
        <is>
          <t>12K¹, 36N¹⁰, 9G⁰, 18M⁷, 6G⁰, 2B⁰, 4B⁰, 36D⁷, 1A⁰, 9B¹, 18E³, 36M⁸, 36C⁷, 9D⁰, 18J³, 9A⁰, 36D⁴, 3C⁰, 12B¹, 12D⁰, 18E¹, 3A⁰, 36D³, 18I², 6D⁰, 36C², 9F¹</t>
        </is>
      </c>
      <c r="O5573" t="inlineStr"/>
    </row>
    <row r="5574">
      <c r="A5574">
        <f>HYPERLINK("https://mathstats.uncg.edu/sites/pauli/congruence/csg19.html#group36R19", "36R¹⁹")</f>
        <v/>
      </c>
      <c r="B5574" t="n">
        <v>19</v>
      </c>
      <c r="C5574" t="inlineStr"/>
      <c r="D5574" t="inlineStr">
        <is>
          <t>324</t>
        </is>
      </c>
      <c r="E5574" t="inlineStr">
        <is>
          <t>2</t>
        </is>
      </c>
      <c r="F5574" t="inlineStr">
        <is>
          <t>27</t>
        </is>
      </c>
      <c r="G5574" t="inlineStr">
        <is>
          <t>12</t>
        </is>
      </c>
      <c r="H5574" t="inlineStr">
        <is>
          <t>0</t>
        </is>
      </c>
      <c r="I5574" t="inlineStr">
        <is>
          <t>18⁶, 36⁶</t>
        </is>
      </c>
      <c r="J5574" t="n">
        <v>12</v>
      </c>
      <c r="K5574" t="inlineStr">
        <is>
          <t>2⁹, 6⁶</t>
        </is>
      </c>
      <c r="L5574" t="inlineStr">
        <is>
          <t>36H⁵, 18M⁷, 36E⁷, 36L⁸, 36P¹⁰</t>
        </is>
      </c>
      <c r="M5574" t="inlineStr"/>
      <c r="N5574" t="inlineStr">
        <is>
          <t>12C⁰, 36E³, 36L⁸, 9G⁰, 4C⁰, 36B², 18M⁷, 6G⁰, 36E⁴, 2B⁰, 36H⁵, 1A⁰, 9B¹, 12L¹, 18E³, 36P¹⁰, 9D⁰, 12C¹, 18J³, 9A⁰, 36E⁷, 3C⁰, 18E¹, 3A⁰, 18I², 6D⁰, 9F¹</t>
        </is>
      </c>
      <c r="O5574" t="inlineStr"/>
    </row>
    <row r="5575">
      <c r="A5575">
        <f>HYPERLINK("https://mathstats.uncg.edu/sites/pauli/congruence/csg19.html#group36S19", "36S¹⁹")</f>
        <v/>
      </c>
      <c r="B5575" t="n">
        <v>19</v>
      </c>
      <c r="C5575" t="inlineStr"/>
      <c r="D5575" t="inlineStr">
        <is>
          <t>324</t>
        </is>
      </c>
      <c r="E5575" t="inlineStr">
        <is>
          <t>2</t>
        </is>
      </c>
      <c r="F5575" t="inlineStr">
        <is>
          <t>81</t>
        </is>
      </c>
      <c r="G5575" t="inlineStr">
        <is>
          <t>12</t>
        </is>
      </c>
      <c r="H5575" t="inlineStr">
        <is>
          <t>0</t>
        </is>
      </c>
      <c r="I5575" t="inlineStr">
        <is>
          <t>18⁶, 36⁶</t>
        </is>
      </c>
      <c r="J5575" t="n">
        <v>12</v>
      </c>
      <c r="K5575" t="inlineStr">
        <is>
          <t>6²⁷</t>
        </is>
      </c>
      <c r="L5575" t="inlineStr">
        <is>
          <t>36K⁵, 18K⁷, 36F⁷, 36M⁸, 36P¹⁰</t>
        </is>
      </c>
      <c r="M5575" t="inlineStr"/>
      <c r="N5575" t="inlineStr">
        <is>
          <t>6B⁰, 36E³, 18K⁷, 18H¹, 36K⁵, 9G⁰, 6H⁰, 36E⁴, 2B⁰, 12N¹, 1A⁰, 36F⁷, 18A⁰, 18L², 36M⁸, 36P¹⁰, 12C¹, 18J³, 9A⁰, 12D⁰, 18E¹, 3A⁰, 36D³, 6D⁰, 36C²</t>
        </is>
      </c>
      <c r="O5575" t="inlineStr"/>
    </row>
    <row r="5576">
      <c r="A5576">
        <f>HYPERLINK("https://mathstats.uncg.edu/sites/pauli/congruence/csg19.html#group36T19", "36T¹⁹")</f>
        <v/>
      </c>
      <c r="B5576" t="n">
        <v>19</v>
      </c>
      <c r="C5576" t="inlineStr"/>
      <c r="D5576" t="inlineStr">
        <is>
          <t>324</t>
        </is>
      </c>
      <c r="E5576" t="inlineStr">
        <is>
          <t>2</t>
        </is>
      </c>
      <c r="F5576" t="inlineStr">
        <is>
          <t>81</t>
        </is>
      </c>
      <c r="G5576" t="inlineStr">
        <is>
          <t>12</t>
        </is>
      </c>
      <c r="H5576" t="inlineStr">
        <is>
          <t>0</t>
        </is>
      </c>
      <c r="I5576" t="inlineStr">
        <is>
          <t>18⁶, 36⁶</t>
        </is>
      </c>
      <c r="J5576" t="n">
        <v>12</v>
      </c>
      <c r="K5576" t="inlineStr">
        <is>
          <t>6²⁷</t>
        </is>
      </c>
      <c r="L5576" t="inlineStr">
        <is>
          <t>36K⁵, 36G⁷, 36L⁷, 18B⁸, 36P¹⁰</t>
        </is>
      </c>
      <c r="M5576" t="inlineStr"/>
      <c r="N5576" t="inlineStr">
        <is>
          <t>6B⁰, 36E³, 36K⁵, 9G⁰, 6H⁰, 18K², 18B¹, 36E⁴, 2B⁰, 12N¹, 18M², 1A⁰, 18A⁰, 18L², 36L⁷, 18D³, 36P¹⁰, 12C¹, 18J³, 9A⁰, 18B⁸, 12D⁰, 18E¹, 3A⁰, 36G⁷, 18A¹, 6D⁰, 36C²</t>
        </is>
      </c>
      <c r="O5576" t="inlineStr"/>
    </row>
    <row r="5577">
      <c r="A5577">
        <f>HYPERLINK("https://mathstats.uncg.edu/sites/pauli/congruence/csg19.html#group36U19", "36U¹⁹")</f>
        <v/>
      </c>
      <c r="B5577" t="n">
        <v>19</v>
      </c>
      <c r="C5577" t="inlineStr"/>
      <c r="D5577" t="inlineStr">
        <is>
          <t>432</t>
        </is>
      </c>
      <c r="E5577" t="inlineStr">
        <is>
          <t>1</t>
        </is>
      </c>
      <c r="F5577" t="inlineStr">
        <is>
          <t>108</t>
        </is>
      </c>
      <c r="G5577" t="inlineStr">
        <is>
          <t>8</t>
        </is>
      </c>
      <c r="H5577" t="inlineStr">
        <is>
          <t>0</t>
        </is>
      </c>
      <c r="I5577" t="inlineStr">
        <is>
          <t>6¹², 12¹², 18⁴, 36⁴</t>
        </is>
      </c>
      <c r="J5577" t="n">
        <v>32</v>
      </c>
      <c r="K5577" t="inlineStr">
        <is>
          <t>2⁷, 4¹, 6¹¹, 12²</t>
        </is>
      </c>
      <c r="L5577" t="inlineStr">
        <is>
          <t>12P³, 36P⁹</t>
        </is>
      </c>
      <c r="M5577" t="inlineStr"/>
      <c r="N5577" t="inlineStr">
        <is>
          <t>12T¹, 36I⁵, 6B⁰, 12C⁰, 18I¹, 4C⁰, 6G⁰, 2B⁰, 12N¹, 12H⁰, 9E⁰, 1A⁰, 12L¹, 36P⁹, 12G⁰, 12C¹, 6E⁰, 6L⁰, 12P³, 3C⁰, 18K³, 12D⁰, 18G¹, 6H⁰, 3A⁰, 36I³, 18F¹, 6D⁰</t>
        </is>
      </c>
      <c r="O5577" t="inlineStr"/>
    </row>
    <row r="5578">
      <c r="A5578">
        <f>HYPERLINK("https://mathstats.uncg.edu/sites/pauli/congruence/csg19.html#group39A19", "39A¹⁹")</f>
        <v/>
      </c>
      <c r="B5578" t="n">
        <v>19</v>
      </c>
      <c r="C5578" t="inlineStr"/>
      <c r="D5578" t="inlineStr">
        <is>
          <t>336</t>
        </is>
      </c>
      <c r="E5578" t="inlineStr">
        <is>
          <t>1</t>
        </is>
      </c>
      <c r="F5578" t="inlineStr">
        <is>
          <t>84</t>
        </is>
      </c>
      <c r="G5578" t="inlineStr">
        <is>
          <t>8</t>
        </is>
      </c>
      <c r="H5578" t="inlineStr">
        <is>
          <t>0</t>
        </is>
      </c>
      <c r="I5578" t="inlineStr">
        <is>
          <t>3⁸, 39⁸</t>
        </is>
      </c>
      <c r="J5578" t="n">
        <v>16</v>
      </c>
      <c r="K5578" t="inlineStr">
        <is>
          <t>2⁶, 24³</t>
        </is>
      </c>
      <c r="L5578" t="inlineStr">
        <is>
          <t>39A⁹</t>
        </is>
      </c>
      <c r="M5578" t="inlineStr"/>
      <c r="N5578" t="inlineStr">
        <is>
          <t>39A², 39A⁵, 39A⁹, 13A⁰, 3C⁰, 39A⁴, 3A⁰, 1A⁰</t>
        </is>
      </c>
      <c r="O5578" t="inlineStr"/>
    </row>
    <row r="5579">
      <c r="A5579">
        <f>HYPERLINK("https://mathstats.uncg.edu/sites/pauli/congruence/csg19.html#group39B19", "39B¹⁹")</f>
        <v/>
      </c>
      <c r="B5579" t="n">
        <v>19</v>
      </c>
      <c r="C5579" t="inlineStr"/>
      <c r="D5579" t="inlineStr">
        <is>
          <t>336</t>
        </is>
      </c>
      <c r="E5579" t="inlineStr">
        <is>
          <t>2</t>
        </is>
      </c>
      <c r="F5579" t="inlineStr">
        <is>
          <t>56</t>
        </is>
      </c>
      <c r="G5579" t="inlineStr">
        <is>
          <t>0</t>
        </is>
      </c>
      <c r="H5579" t="inlineStr">
        <is>
          <t>6</t>
        </is>
      </c>
      <c r="I5579" t="inlineStr">
        <is>
          <t>3⁸, 39⁸</t>
        </is>
      </c>
      <c r="J5579" t="n">
        <v>16</v>
      </c>
      <c r="K5579" t="inlineStr">
        <is>
          <t>2⁸, 24⁴</t>
        </is>
      </c>
      <c r="L5579" t="inlineStr">
        <is>
          <t>39B⁴, 39B⁵, 39A¹⁰</t>
        </is>
      </c>
      <c r="M5579" t="inlineStr"/>
      <c r="N5579" t="inlineStr">
        <is>
          <t>39B⁴, 3B⁰, 39A³, 39A¹⁰, 13A⁰, 13B⁰, 39A¹, 1A⁰, 39B⁵</t>
        </is>
      </c>
      <c r="O5579" t="inlineStr"/>
    </row>
    <row r="5580">
      <c r="A5580">
        <f>HYPERLINK("https://mathstats.uncg.edu/sites/pauli/congruence/csg19.html#group40A19", "40A¹⁹")</f>
        <v/>
      </c>
      <c r="B5580" t="n">
        <v>19</v>
      </c>
      <c r="C5580" t="inlineStr"/>
      <c r="D5580" t="inlineStr">
        <is>
          <t>288</t>
        </is>
      </c>
      <c r="E5580" t="inlineStr">
        <is>
          <t>1</t>
        </is>
      </c>
      <c r="F5580" t="inlineStr">
        <is>
          <t>6</t>
        </is>
      </c>
      <c r="G5580" t="inlineStr">
        <is>
          <t>0</t>
        </is>
      </c>
      <c r="H5580" t="inlineStr">
        <is>
          <t>0</t>
        </is>
      </c>
      <c r="I5580" t="inlineStr">
        <is>
          <t>8⁶, 40⁶</t>
        </is>
      </c>
      <c r="J5580" t="n">
        <v>12</v>
      </c>
      <c r="K5580" t="inlineStr">
        <is>
          <t>1², 4¹</t>
        </is>
      </c>
      <c r="L5580" t="inlineStr">
        <is>
          <t>20K⁷, 40A⁷, 40Q⁹</t>
        </is>
      </c>
      <c r="M5580" t="inlineStr"/>
      <c r="N5580" t="inlineStr">
        <is>
          <t>2A⁰, 20E¹, 40A³, 4C⁰, 5B⁰, 10A¹, 4G⁰, 2B⁰, 4E⁰, 4B⁰, 1A⁰, 20B¹, 20K⁷, 4D⁰, 10C⁰, 20J³, 20C³, 20D¹, 40A⁷, 4A⁰, 40Q⁹, 4F⁰, 20L³, 2C⁰, 10G¹</t>
        </is>
      </c>
      <c r="O5580" t="inlineStr"/>
    </row>
    <row r="5581">
      <c r="A5581">
        <f>HYPERLINK("https://mathstats.uncg.edu/sites/pauli/congruence/csg19.html#group40B19", "40B¹⁹")</f>
        <v/>
      </c>
      <c r="B5581" t="n">
        <v>19</v>
      </c>
      <c r="C5581" t="inlineStr"/>
      <c r="D5581" t="inlineStr">
        <is>
          <t>288</t>
        </is>
      </c>
      <c r="E5581" t="inlineStr">
        <is>
          <t>1</t>
        </is>
      </c>
      <c r="F5581" t="inlineStr">
        <is>
          <t>6</t>
        </is>
      </c>
      <c r="G5581" t="inlineStr">
        <is>
          <t>0</t>
        </is>
      </c>
      <c r="H5581" t="inlineStr">
        <is>
          <t>0</t>
        </is>
      </c>
      <c r="I5581" t="inlineStr">
        <is>
          <t>8⁶, 40⁶</t>
        </is>
      </c>
      <c r="J5581" t="n">
        <v>12</v>
      </c>
      <c r="K5581" t="inlineStr">
        <is>
          <t>1², 4¹</t>
        </is>
      </c>
      <c r="L5581" t="inlineStr">
        <is>
          <t>8A², 20K⁷, 40B⁷, 40R⁹</t>
        </is>
      </c>
      <c r="M5581" t="inlineStr"/>
      <c r="N5581" t="inlineStr">
        <is>
          <t>2A⁰, 20E¹, 4C⁰, 8A⁰, 5B⁰, 10A¹, 4G⁰, 2B⁰, 4E⁰, 4B⁰, 1A⁰, 20B¹, 20K⁷, 4D⁰, 10C⁰, 20J³, 20L³, 20C³, 8E⁰, 20D¹, 8D¹, 8A², 4A⁰, 40B⁷, 40B³, 4F⁰, 40R⁹, 2C⁰, 10G¹</t>
        </is>
      </c>
      <c r="O5581" t="inlineStr"/>
    </row>
    <row r="5582">
      <c r="A5582">
        <f>HYPERLINK("https://mathstats.uncg.edu/sites/pauli/congruence/csg19.html#group40C19", "40C¹⁹")</f>
        <v/>
      </c>
      <c r="B5582" t="n">
        <v>19</v>
      </c>
      <c r="C5582" t="inlineStr"/>
      <c r="D5582" t="inlineStr">
        <is>
          <t>288</t>
        </is>
      </c>
      <c r="E5582" t="inlineStr">
        <is>
          <t>1</t>
        </is>
      </c>
      <c r="F5582" t="inlineStr">
        <is>
          <t>36</t>
        </is>
      </c>
      <c r="G5582" t="inlineStr">
        <is>
          <t>0</t>
        </is>
      </c>
      <c r="H5582" t="inlineStr">
        <is>
          <t>0</t>
        </is>
      </c>
      <c r="I5582" t="inlineStr">
        <is>
          <t>8⁶, 40⁶</t>
        </is>
      </c>
      <c r="J5582" t="n">
        <v>12</v>
      </c>
      <c r="K5582" t="inlineStr">
        <is>
          <t>1⁴, 2⁴, 4², 8²</t>
        </is>
      </c>
      <c r="L5582" t="inlineStr">
        <is>
          <t>20L⁷</t>
        </is>
      </c>
      <c r="M5582" t="inlineStr"/>
      <c r="N5582" t="inlineStr">
        <is>
          <t>2A⁰, 20E¹, 20L⁷, 4C⁰, 5B⁰, 10A¹, 2B⁰, 20D¹, 4E⁰, 20K³, 4B⁰, 1A⁰, 20A⁰, 10C⁰, 20I³, 20J³, 2C⁰, 20C², 10G¹</t>
        </is>
      </c>
      <c r="O5582" t="inlineStr"/>
    </row>
    <row r="5583">
      <c r="A5583">
        <f>HYPERLINK("https://mathstats.uncg.edu/sites/pauli/congruence/csg19.html#group40D19", "40D¹⁹")</f>
        <v/>
      </c>
      <c r="B5583" t="n">
        <v>19</v>
      </c>
      <c r="C5583" t="inlineStr"/>
      <c r="D5583" t="inlineStr">
        <is>
          <t>288</t>
        </is>
      </c>
      <c r="E5583" t="inlineStr">
        <is>
          <t>1</t>
        </is>
      </c>
      <c r="F5583" t="inlineStr">
        <is>
          <t>72</t>
        </is>
      </c>
      <c r="G5583" t="inlineStr">
        <is>
          <t>0</t>
        </is>
      </c>
      <c r="H5583" t="inlineStr">
        <is>
          <t>0</t>
        </is>
      </c>
      <c r="I5583" t="inlineStr">
        <is>
          <t>8⁶, 40⁶</t>
        </is>
      </c>
      <c r="J5583" t="n">
        <v>12</v>
      </c>
      <c r="K5583" t="inlineStr">
        <is>
          <t>2⁴, 4⁴, 8², 16²</t>
        </is>
      </c>
      <c r="L5583" t="inlineStr">
        <is>
          <t>40Y⁷, 40O⁹, 40R⁹</t>
        </is>
      </c>
      <c r="M5583" t="inlineStr"/>
      <c r="N5583" t="inlineStr">
        <is>
          <t>20E¹, 40O⁹, 4C⁰, 5B⁰, 8A⁰, 40B⁵, 2B⁰, 1A⁰, 8D¹, 20B¹, 4A⁰, 40B³, 10C⁰, 40Y⁷, 4F⁰, 40R⁹, 20L³, 40G³</t>
        </is>
      </c>
      <c r="O5583" t="inlineStr"/>
    </row>
    <row r="5584">
      <c r="A5584">
        <f>HYPERLINK("https://mathstats.uncg.edu/sites/pauli/congruence/csg19.html#group40E19", "40E¹⁹")</f>
        <v/>
      </c>
      <c r="B5584" t="n">
        <v>19</v>
      </c>
      <c r="C5584" t="inlineStr"/>
      <c r="D5584" t="inlineStr">
        <is>
          <t>288</t>
        </is>
      </c>
      <c r="E5584" t="inlineStr">
        <is>
          <t>1</t>
        </is>
      </c>
      <c r="F5584" t="inlineStr">
        <is>
          <t>72</t>
        </is>
      </c>
      <c r="G5584" t="inlineStr">
        <is>
          <t>0</t>
        </is>
      </c>
      <c r="H5584" t="inlineStr">
        <is>
          <t>0</t>
        </is>
      </c>
      <c r="I5584" t="inlineStr">
        <is>
          <t>8⁶, 40⁶</t>
        </is>
      </c>
      <c r="J5584" t="n">
        <v>12</v>
      </c>
      <c r="K5584" t="inlineStr">
        <is>
          <t>2⁴, 4⁴, 8², 16²</t>
        </is>
      </c>
      <c r="L5584" t="inlineStr">
        <is>
          <t>40Y⁷, 40P⁹, 40Q⁹</t>
        </is>
      </c>
      <c r="M5584" t="inlineStr"/>
      <c r="N5584" t="inlineStr">
        <is>
          <t>20E¹, 40A³, 8A¹, 40H³, 8D⁰, 4C⁰, 5B⁰, 40C⁵, 2B⁰, 1A⁰, 20B¹, 40P⁹, 8C¹, 4A⁰, 40Q⁹, 10C⁰, 40Y⁷, 4F⁰, 20L³</t>
        </is>
      </c>
      <c r="O5584" t="inlineStr"/>
    </row>
    <row r="5585">
      <c r="A5585">
        <f>HYPERLINK("https://mathstats.uncg.edu/sites/pauli/congruence/csg19.html#group40F19", "40F¹⁹")</f>
        <v/>
      </c>
      <c r="B5585" t="n">
        <v>19</v>
      </c>
      <c r="C5585" t="inlineStr"/>
      <c r="D5585" t="inlineStr">
        <is>
          <t>288</t>
        </is>
      </c>
      <c r="E5585" t="inlineStr">
        <is>
          <t>1</t>
        </is>
      </c>
      <c r="F5585" t="inlineStr">
        <is>
          <t>72</t>
        </is>
      </c>
      <c r="G5585" t="inlineStr">
        <is>
          <t>0</t>
        </is>
      </c>
      <c r="H5585" t="inlineStr">
        <is>
          <t>0</t>
        </is>
      </c>
      <c r="I5585" t="inlineStr">
        <is>
          <t>8⁶, 40⁶</t>
        </is>
      </c>
      <c r="J5585" t="n">
        <v>12</v>
      </c>
      <c r="K5585" t="inlineStr">
        <is>
          <t>2⁴, 4⁴, 8², 16²</t>
        </is>
      </c>
      <c r="L5585" t="inlineStr">
        <is>
          <t>40Z⁷, 40O⁹, 40Q⁹</t>
        </is>
      </c>
      <c r="M5585" t="inlineStr"/>
      <c r="N5585" t="inlineStr">
        <is>
          <t>20E¹, 40A³, 40O⁹, 4C⁰, 5B⁰, 2B⁰, 40B⁵, 8K⁰, 1A⁰, 20B¹, 4A⁰, 40Q⁹, 10C⁰, 4F⁰, 40Z⁷, 20L³, 40G³</t>
        </is>
      </c>
      <c r="O5585" t="inlineStr"/>
    </row>
    <row r="5586">
      <c r="A5586">
        <f>HYPERLINK("https://mathstats.uncg.edu/sites/pauli/congruence/csg19.html#group40G19", "40G¹⁹")</f>
        <v/>
      </c>
      <c r="B5586" t="n">
        <v>19</v>
      </c>
      <c r="C5586" t="inlineStr"/>
      <c r="D5586" t="inlineStr">
        <is>
          <t>288</t>
        </is>
      </c>
      <c r="E5586" t="inlineStr">
        <is>
          <t>1</t>
        </is>
      </c>
      <c r="F5586" t="inlineStr">
        <is>
          <t>72</t>
        </is>
      </c>
      <c r="G5586" t="inlineStr">
        <is>
          <t>0</t>
        </is>
      </c>
      <c r="H5586" t="inlineStr">
        <is>
          <t>0</t>
        </is>
      </c>
      <c r="I5586" t="inlineStr">
        <is>
          <t>8⁶, 40⁶</t>
        </is>
      </c>
      <c r="J5586" t="n">
        <v>12</v>
      </c>
      <c r="K5586" t="inlineStr">
        <is>
          <t>2⁴, 4⁴, 8², 16²</t>
        </is>
      </c>
      <c r="L5586" t="inlineStr">
        <is>
          <t>8B², 40Z⁷, 40P⁹, 40R⁹</t>
        </is>
      </c>
      <c r="M5586" t="inlineStr"/>
      <c r="N5586" t="inlineStr">
        <is>
          <t>20E¹, 8A¹, 40H³, 8D⁰, 4C⁰, 8B², 5B⁰, 8A⁰, 40C⁵, 2B⁰, 8K⁰, 1A⁰, 8D¹, 20B¹, 40P⁹, 8C¹, 4A⁰, 40B³, 10C⁰, 4F⁰, 40Z⁷, 40R⁹, 20L³</t>
        </is>
      </c>
      <c r="O5586" t="inlineStr"/>
    </row>
    <row r="5587">
      <c r="A5587">
        <f>HYPERLINK("https://mathstats.uncg.edu/sites/pauli/congruence/csg19.html#group40H19", "40H¹⁹")</f>
        <v/>
      </c>
      <c r="B5587" t="n">
        <v>19</v>
      </c>
      <c r="C5587" t="inlineStr"/>
      <c r="D5587" t="inlineStr">
        <is>
          <t>288</t>
        </is>
      </c>
      <c r="E5587" t="inlineStr">
        <is>
          <t>1</t>
        </is>
      </c>
      <c r="F5587" t="inlineStr">
        <is>
          <t>72</t>
        </is>
      </c>
      <c r="G5587" t="inlineStr">
        <is>
          <t>0</t>
        </is>
      </c>
      <c r="H5587" t="inlineStr">
        <is>
          <t>0</t>
        </is>
      </c>
      <c r="I5587" t="inlineStr">
        <is>
          <t>8⁶, 40⁶</t>
        </is>
      </c>
      <c r="J5587" t="n">
        <v>12</v>
      </c>
      <c r="K5587" t="inlineStr">
        <is>
          <t>2⁴, 4⁴, 8², 16²</t>
        </is>
      </c>
      <c r="L5587" t="inlineStr">
        <is>
          <t>20M⁷, 40C⁷, 40Q⁹, 40R⁹</t>
        </is>
      </c>
      <c r="M5587" t="inlineStr"/>
      <c r="N5587" t="inlineStr">
        <is>
          <t>20E¹, 20M⁷, 40A³, 40C⁷, 4C⁰, 20G³, 5B⁰, 8A⁰, 5D⁰, 2B⁰, 20K³, 1A⁰, 20B³, 8D¹, 20B¹, 10F⁰, 4A⁰, 40B³, 40Q⁹, 10C⁰, 4F⁰, 40R⁹, 20C², 20L³</t>
        </is>
      </c>
      <c r="O5587" t="inlineStr"/>
    </row>
    <row r="5588">
      <c r="A5588">
        <f>HYPERLINK("https://mathstats.uncg.edu/sites/pauli/congruence/csg19.html#group40I19", "40I¹⁹")</f>
        <v/>
      </c>
      <c r="B5588" t="n">
        <v>19</v>
      </c>
      <c r="C5588" t="inlineStr"/>
      <c r="D5588" t="inlineStr">
        <is>
          <t>320</t>
        </is>
      </c>
      <c r="E5588" t="inlineStr">
        <is>
          <t>1</t>
        </is>
      </c>
      <c r="F5588" t="inlineStr">
        <is>
          <t>160</t>
        </is>
      </c>
      <c r="G5588" t="inlineStr">
        <is>
          <t>16</t>
        </is>
      </c>
      <c r="H5588" t="inlineStr">
        <is>
          <t>2</t>
        </is>
      </c>
      <c r="I5588" t="inlineStr">
        <is>
          <t>40⁸</t>
        </is>
      </c>
      <c r="J5588" t="n">
        <v>8</v>
      </c>
      <c r="K5588" t="inlineStr">
        <is>
          <t>8⁴, 16⁸</t>
        </is>
      </c>
      <c r="L5588" t="inlineStr">
        <is>
          <t>20O³, 40A¹⁰</t>
        </is>
      </c>
      <c r="M5588" t="inlineStr"/>
      <c r="N5588" t="inlineStr">
        <is>
          <t>8F⁰, 20O³, 4A⁰, 10D⁰, 5C⁰, 40A¹⁰, 1A⁰, 20E²</t>
        </is>
      </c>
      <c r="O5588" t="inlineStr"/>
    </row>
    <row r="5589">
      <c r="A5589">
        <f>HYPERLINK("https://mathstats.uncg.edu/sites/pauli/congruence/csg19.html#group40J19", "40J¹⁹")</f>
        <v/>
      </c>
      <c r="B5589" t="n">
        <v>19</v>
      </c>
      <c r="C5589" t="inlineStr"/>
      <c r="D5589" t="inlineStr">
        <is>
          <t>320</t>
        </is>
      </c>
      <c r="E5589" t="inlineStr">
        <is>
          <t>2</t>
        </is>
      </c>
      <c r="F5589" t="inlineStr">
        <is>
          <t>40</t>
        </is>
      </c>
      <c r="G5589" t="inlineStr">
        <is>
          <t>8</t>
        </is>
      </c>
      <c r="H5589" t="inlineStr">
        <is>
          <t>8</t>
        </is>
      </c>
      <c r="I5589" t="inlineStr">
        <is>
          <t>40⁸</t>
        </is>
      </c>
      <c r="J5589" t="n">
        <v>8</v>
      </c>
      <c r="K5589" t="inlineStr">
        <is>
          <t>8⁴, 16⁸</t>
        </is>
      </c>
      <c r="L5589" t="inlineStr">
        <is>
          <t>20O⁷, 40S⁹, 40U⁹</t>
        </is>
      </c>
      <c r="M5589" t="inlineStr"/>
      <c r="N5589" t="inlineStr">
        <is>
          <t>40F⁵, 40E⁵, 40S⁹, 20O³, 4A⁰, 10D⁰, 40U⁹, 8A⁰, 1A⁰, 20O⁷, 5C⁰, 20E², 20F¹</t>
        </is>
      </c>
      <c r="O5589" t="inlineStr"/>
    </row>
    <row r="5590">
      <c r="A5590">
        <f>HYPERLINK("https://mathstats.uncg.edu/sites/pauli/congruence/csg19.html#group40K19", "40K¹⁹")</f>
        <v/>
      </c>
      <c r="B5590" t="n">
        <v>19</v>
      </c>
      <c r="C5590" t="inlineStr"/>
      <c r="D5590" t="inlineStr">
        <is>
          <t>320</t>
        </is>
      </c>
      <c r="E5590" t="inlineStr">
        <is>
          <t>2</t>
        </is>
      </c>
      <c r="F5590" t="inlineStr">
        <is>
          <t>40</t>
        </is>
      </c>
      <c r="G5590" t="inlineStr">
        <is>
          <t>8</t>
        </is>
      </c>
      <c r="H5590" t="inlineStr">
        <is>
          <t>8</t>
        </is>
      </c>
      <c r="I5590" t="inlineStr">
        <is>
          <t>40⁸</t>
        </is>
      </c>
      <c r="J5590" t="n">
        <v>8</v>
      </c>
      <c r="K5590" t="inlineStr">
        <is>
          <t>8⁴, 16⁸</t>
        </is>
      </c>
      <c r="L5590" t="inlineStr">
        <is>
          <t>20O⁷, 40T⁹, 40U⁹</t>
        </is>
      </c>
      <c r="M5590" t="inlineStr"/>
      <c r="N5590" t="inlineStr">
        <is>
          <t>40F⁵, 40E⁵, 20O³, 4A⁰, 10D⁰, 40U⁹, 8A⁰, 1A⁰, 20O⁷, 40T⁹, 5C⁰, 20E², 20F¹</t>
        </is>
      </c>
      <c r="O5590" t="inlineStr"/>
    </row>
    <row r="5591">
      <c r="A5591">
        <f>HYPERLINK("https://mathstats.uncg.edu/sites/pauli/congruence/csg19.html#group40L19", "40L¹⁹")</f>
        <v/>
      </c>
      <c r="B5591" t="n">
        <v>19</v>
      </c>
      <c r="C5591" t="inlineStr"/>
      <c r="D5591" t="inlineStr">
        <is>
          <t>360</t>
        </is>
      </c>
      <c r="E5591" t="inlineStr">
        <is>
          <t>1</t>
        </is>
      </c>
      <c r="F5591" t="inlineStr">
        <is>
          <t>90</t>
        </is>
      </c>
      <c r="G5591" t="inlineStr">
        <is>
          <t>0</t>
        </is>
      </c>
      <c r="H5591" t="inlineStr">
        <is>
          <t>0</t>
        </is>
      </c>
      <c r="I5591" t="inlineStr">
        <is>
          <t>5¹², 10⁶, 40⁶</t>
        </is>
      </c>
      <c r="J5591" t="n">
        <v>24</v>
      </c>
      <c r="K5591" t="inlineStr">
        <is>
          <t>1⁴, 2⁵, 4¹³, 8³</t>
        </is>
      </c>
      <c r="L5591" t="inlineStr">
        <is>
          <t>40E³, 20P⁷, 40F⁷, 40F¹⁰</t>
        </is>
      </c>
      <c r="M5591" t="inlineStr"/>
      <c r="N5591" t="inlineStr">
        <is>
          <t>20A², 20D⁴, 5A⁰, 10B¹, 20E³, 5B⁰, 2B⁰, 20D¹, 4B⁰, 1A⁰, 40F⁷, 10F¹, 10I¹, 10F², 5E⁰, 10C⁰, 40E³, 20P³, 20P⁷, 40F¹⁰, 5C⁰, 5G⁰</t>
        </is>
      </c>
      <c r="O5591" t="inlineStr"/>
    </row>
    <row r="5592">
      <c r="A5592">
        <f>HYPERLINK("https://mathstats.uncg.edu/sites/pauli/congruence/csg19.html#group40M19", "40M¹⁹")</f>
        <v/>
      </c>
      <c r="B5592" t="n">
        <v>19</v>
      </c>
      <c r="C5592" t="inlineStr"/>
      <c r="D5592" t="inlineStr">
        <is>
          <t>360</t>
        </is>
      </c>
      <c r="E5592" t="inlineStr">
        <is>
          <t>1</t>
        </is>
      </c>
      <c r="F5592" t="inlineStr">
        <is>
          <t>90</t>
        </is>
      </c>
      <c r="G5592" t="inlineStr">
        <is>
          <t>0</t>
        </is>
      </c>
      <c r="H5592" t="inlineStr">
        <is>
          <t>0</t>
        </is>
      </c>
      <c r="I5592" t="inlineStr">
        <is>
          <t>5¹², 10⁶, 40⁶</t>
        </is>
      </c>
      <c r="J5592" t="n">
        <v>24</v>
      </c>
      <c r="K5592" t="inlineStr">
        <is>
          <t>1⁴, 2⁵, 4¹³, 8³</t>
        </is>
      </c>
      <c r="L5592" t="inlineStr">
        <is>
          <t>40F³, 20P⁷, 40G⁷, 40D¹⁰, 40F¹⁰</t>
        </is>
      </c>
      <c r="M5592" t="inlineStr"/>
      <c r="N5592" t="inlineStr">
        <is>
          <t>20A², 20D⁴, 40G⁷, 5A⁰, 20E³, 10B¹, 5B⁰, 8C⁰, 2B⁰, 20D¹, 4B⁰, 40B⁴, 1A⁰, 10F¹, 40D¹⁰, 10I¹, 40F³, 10F², 10C⁰, 5E⁰, 20P³, 20P⁷, 40F¹⁰, 5C⁰, 5G⁰</t>
        </is>
      </c>
      <c r="O5592" t="inlineStr"/>
    </row>
    <row r="5593">
      <c r="A5593">
        <f>HYPERLINK("https://mathstats.uncg.edu/sites/pauli/congruence/csg19.html#group42A19", "42A¹⁹")</f>
        <v/>
      </c>
      <c r="B5593" t="n">
        <v>19</v>
      </c>
      <c r="C5593" t="inlineStr"/>
      <c r="D5593" t="inlineStr">
        <is>
          <t>252</t>
        </is>
      </c>
      <c r="E5593" t="inlineStr">
        <is>
          <t>1</t>
        </is>
      </c>
      <c r="F5593" t="inlineStr">
        <is>
          <t>21</t>
        </is>
      </c>
      <c r="G5593" t="inlineStr">
        <is>
          <t>0</t>
        </is>
      </c>
      <c r="H5593" t="inlineStr">
        <is>
          <t>0</t>
        </is>
      </c>
      <c r="I5593" t="inlineStr">
        <is>
          <t>42⁶</t>
        </is>
      </c>
      <c r="J5593" t="n">
        <v>6</v>
      </c>
      <c r="K5593" t="inlineStr">
        <is>
          <t>3¹, 6³</t>
        </is>
      </c>
      <c r="L5593" t="inlineStr">
        <is>
          <t>14A⁵, 21A⁷, 42H⁷</t>
        </is>
      </c>
      <c r="M5593" t="inlineStr"/>
      <c r="N5593" t="inlineStr">
        <is>
          <t>14A⁰, 14B², 42A¹, 14A⁵, 7D⁰, 42H⁷, 21E¹, 7A¹, 21A⁰, 21A⁷, 3A⁰, 1A⁰, 7A⁰</t>
        </is>
      </c>
      <c r="O5593" t="inlineStr"/>
    </row>
    <row r="5594">
      <c r="A5594">
        <f>HYPERLINK("https://mathstats.uncg.edu/sites/pauli/congruence/csg19.html#group42B19", "42B¹⁹")</f>
        <v/>
      </c>
      <c r="B5594" t="n">
        <v>19</v>
      </c>
      <c r="C5594" t="inlineStr"/>
      <c r="D5594" t="inlineStr">
        <is>
          <t>252</t>
        </is>
      </c>
      <c r="E5594" t="inlineStr">
        <is>
          <t>1</t>
        </is>
      </c>
      <c r="F5594" t="inlineStr">
        <is>
          <t>21</t>
        </is>
      </c>
      <c r="G5594" t="inlineStr">
        <is>
          <t>0</t>
        </is>
      </c>
      <c r="H5594" t="inlineStr">
        <is>
          <t>0</t>
        </is>
      </c>
      <c r="I5594" t="inlineStr">
        <is>
          <t>42⁶</t>
        </is>
      </c>
      <c r="J5594" t="n">
        <v>6</v>
      </c>
      <c r="K5594" t="inlineStr">
        <is>
          <t>3¹, 6³</t>
        </is>
      </c>
      <c r="L5594" t="inlineStr">
        <is>
          <t>42I⁴, 14B⁵, 21A⁷, 42A¹⁰</t>
        </is>
      </c>
      <c r="M5594" t="inlineStr"/>
      <c r="N5594" t="inlineStr">
        <is>
          <t>2A⁰, 42I⁴, 7D⁰, 14A¹, 21A⁰, 14B⁵, 42A⁴, 1A⁰, 42A¹⁰, 21E¹, 14A³, 7A¹, 21A⁷, 6A¹, 3A⁰, 14E¹, 7A⁰</t>
        </is>
      </c>
      <c r="O5594" t="inlineStr"/>
    </row>
    <row r="5595">
      <c r="A5595">
        <f>HYPERLINK("https://mathstats.uncg.edu/sites/pauli/congruence/csg19.html#group42C19", "42C¹⁹")</f>
        <v/>
      </c>
      <c r="B5595" t="n">
        <v>19</v>
      </c>
      <c r="C5595" t="inlineStr"/>
      <c r="D5595" t="inlineStr">
        <is>
          <t>252</t>
        </is>
      </c>
      <c r="E5595" t="inlineStr">
        <is>
          <t>1</t>
        </is>
      </c>
      <c r="F5595" t="inlineStr">
        <is>
          <t>42</t>
        </is>
      </c>
      <c r="G5595" t="inlineStr">
        <is>
          <t>0</t>
        </is>
      </c>
      <c r="H5595" t="inlineStr">
        <is>
          <t>0</t>
        </is>
      </c>
      <c r="I5595" t="inlineStr">
        <is>
          <t>42⁶</t>
        </is>
      </c>
      <c r="J5595" t="n">
        <v>6</v>
      </c>
      <c r="K5595" t="inlineStr">
        <is>
          <t>6¹, 12³</t>
        </is>
      </c>
      <c r="L5595" t="inlineStr">
        <is>
          <t>14B⁵, 42B¹⁰</t>
        </is>
      </c>
      <c r="M5595" t="inlineStr"/>
      <c r="N5595" t="inlineStr">
        <is>
          <t>2A⁰, 6A⁰, 7D⁰, 14A³, 42A³, 14A¹, 7A¹, 1A⁰, 14B⁵, 14E¹, 7A⁰, 42B¹⁰</t>
        </is>
      </c>
      <c r="O5595" t="inlineStr"/>
    </row>
    <row r="5596">
      <c r="A5596">
        <f>HYPERLINK("https://mathstats.uncg.edu/sites/pauli/congruence/csg19.html#group42D19", "42D¹⁹")</f>
        <v/>
      </c>
      <c r="B5596" t="n">
        <v>19</v>
      </c>
      <c r="C5596" t="inlineStr"/>
      <c r="D5596" t="inlineStr">
        <is>
          <t>252</t>
        </is>
      </c>
      <c r="E5596" t="inlineStr">
        <is>
          <t>1</t>
        </is>
      </c>
      <c r="F5596" t="inlineStr">
        <is>
          <t>63</t>
        </is>
      </c>
      <c r="G5596" t="inlineStr">
        <is>
          <t>0</t>
        </is>
      </c>
      <c r="H5596" t="inlineStr">
        <is>
          <t>0</t>
        </is>
      </c>
      <c r="I5596" t="inlineStr">
        <is>
          <t>42⁶</t>
        </is>
      </c>
      <c r="J5596" t="n">
        <v>6</v>
      </c>
      <c r="K5596" t="inlineStr">
        <is>
          <t>3¹, 6⁴, 12³</t>
        </is>
      </c>
      <c r="L5596" t="inlineStr">
        <is>
          <t>21D⁴, 42G⁷, 42A¹⁰</t>
        </is>
      </c>
      <c r="M5596" t="inlineStr"/>
      <c r="N5596" t="inlineStr">
        <is>
          <t>2A⁰, 21D⁴, 7D⁰, 14A¹, 42G⁷, 21A⁰, 42A⁴, 1A⁰, 42A¹⁰, 21E¹, 14A³, 6A¹, 3A⁰, 7A⁰</t>
        </is>
      </c>
      <c r="O5596" t="inlineStr"/>
    </row>
    <row r="5597">
      <c r="A5597">
        <f>HYPERLINK("https://mathstats.uncg.edu/sites/pauli/congruence/csg19.html#group42E19", "42E¹⁹")</f>
        <v/>
      </c>
      <c r="B5597" t="n">
        <v>19</v>
      </c>
      <c r="C5597" t="inlineStr"/>
      <c r="D5597" t="inlineStr">
        <is>
          <t>252</t>
        </is>
      </c>
      <c r="E5597" t="inlineStr">
        <is>
          <t>1</t>
        </is>
      </c>
      <c r="F5597" t="inlineStr">
        <is>
          <t>63</t>
        </is>
      </c>
      <c r="G5597" t="inlineStr">
        <is>
          <t>0</t>
        </is>
      </c>
      <c r="H5597" t="inlineStr">
        <is>
          <t>0</t>
        </is>
      </c>
      <c r="I5597" t="inlineStr">
        <is>
          <t>42⁶</t>
        </is>
      </c>
      <c r="J5597" t="n">
        <v>6</v>
      </c>
      <c r="K5597" t="inlineStr">
        <is>
          <t>3¹, 6⁴, 12³</t>
        </is>
      </c>
      <c r="L5597" t="inlineStr">
        <is>
          <t>42H⁵, 21C⁶, 42C⁷, 42A¹⁰</t>
        </is>
      </c>
      <c r="M5597" t="inlineStr"/>
      <c r="N5597" t="inlineStr">
        <is>
          <t>2A⁰, 21D², 6B⁰, 3A⁰, 7D⁰, 14A¹, 21A⁰, 42A⁴, 1A⁰, 21C⁶, 42A¹⁰, 6B¹, 21E¹, 14A³, 42H⁵, 3C⁰, 6A¹, 42B¹, 42C⁷, 7A⁰</t>
        </is>
      </c>
      <c r="O5597" t="inlineStr"/>
    </row>
    <row r="5598">
      <c r="A5598">
        <f>HYPERLINK("https://mathstats.uncg.edu/sites/pauli/congruence/csg19.html#group42F19", "42F¹⁹")</f>
        <v/>
      </c>
      <c r="B5598" t="n">
        <v>19</v>
      </c>
      <c r="C5598" t="inlineStr"/>
      <c r="D5598" t="inlineStr">
        <is>
          <t>252</t>
        </is>
      </c>
      <c r="E5598" t="inlineStr">
        <is>
          <t>2</t>
        </is>
      </c>
      <c r="F5598" t="inlineStr">
        <is>
          <t>7</t>
        </is>
      </c>
      <c r="G5598" t="inlineStr">
        <is>
          <t>0</t>
        </is>
      </c>
      <c r="H5598" t="inlineStr">
        <is>
          <t>0</t>
        </is>
      </c>
      <c r="I5598" t="inlineStr">
        <is>
          <t>42⁶</t>
        </is>
      </c>
      <c r="J5598" t="n">
        <v>6</v>
      </c>
      <c r="K5598" t="inlineStr">
        <is>
          <t>2¹, 6²</t>
        </is>
      </c>
      <c r="L5598" t="inlineStr">
        <is>
          <t>21E⁴, 14C⁵, 42C⁵, 42A⁷, 42H⁷, 42A¹⁰</t>
        </is>
      </c>
      <c r="M5598" t="inlineStr"/>
      <c r="N5598" t="inlineStr">
        <is>
          <t>2A⁰, 14A⁰, 14B², 42A¹, 7D⁰, 42H⁷, 14A¹, 21C², 21A⁰, 14C⁵, 42A⁴, 7G⁰, 1A⁰, 14D¹, 42C⁵, 42A¹⁰, 21E¹, 14A³, 7C⁰, 42A⁷, 21C¹, 6A¹, 3A⁰, 21E⁴, 7A⁰</t>
        </is>
      </c>
      <c r="O5598" t="inlineStr"/>
    </row>
    <row r="5599">
      <c r="A5599">
        <f>HYPERLINK("https://mathstats.uncg.edu/sites/pauli/congruence/csg19.html#group42G19", "42G¹⁹")</f>
        <v/>
      </c>
      <c r="B5599" t="n">
        <v>19</v>
      </c>
      <c r="C5599" t="inlineStr"/>
      <c r="D5599" t="inlineStr">
        <is>
          <t>252</t>
        </is>
      </c>
      <c r="E5599" t="inlineStr">
        <is>
          <t>2</t>
        </is>
      </c>
      <c r="F5599" t="inlineStr">
        <is>
          <t>7</t>
        </is>
      </c>
      <c r="G5599" t="inlineStr">
        <is>
          <t>0</t>
        </is>
      </c>
      <c r="H5599" t="inlineStr">
        <is>
          <t>0</t>
        </is>
      </c>
      <c r="I5599" t="inlineStr">
        <is>
          <t>42⁶</t>
        </is>
      </c>
      <c r="J5599" t="n">
        <v>6</v>
      </c>
      <c r="K5599" t="inlineStr">
        <is>
          <t>2¹, 6²</t>
        </is>
      </c>
      <c r="L5599" t="inlineStr">
        <is>
          <t>14D⁵, 42D⁵, 42A⁷, 42I⁷, 42A⁸, 42C¹⁰</t>
        </is>
      </c>
      <c r="M5599" t="inlineStr"/>
      <c r="N5599" t="inlineStr">
        <is>
          <t>2A⁰, 14A⁰, 42A¹, 14B³, 14B¹, 14D⁵, 6C¹, 14A¹, 14C², 21A⁰, 21C², 2B⁰, 42A⁴, 42A⁸, 1A⁰, 14D¹, 42C¹⁰, 42I⁷, 14A², 6A⁰, 42A³, 7C⁰, 42A⁷, 42D⁵, 6A¹, 3A⁰, 2C⁰, 6D⁰, 7A⁰, 42C³</t>
        </is>
      </c>
      <c r="O5599" t="inlineStr"/>
    </row>
    <row r="5600">
      <c r="A5600">
        <f>HYPERLINK("https://mathstats.uncg.edu/sites/pauli/congruence/csg19.html#group42H19", "42H¹⁹")</f>
        <v/>
      </c>
      <c r="B5600" t="n">
        <v>19</v>
      </c>
      <c r="C5600" t="inlineStr"/>
      <c r="D5600" t="inlineStr">
        <is>
          <t>252</t>
        </is>
      </c>
      <c r="E5600" t="inlineStr">
        <is>
          <t>2</t>
        </is>
      </c>
      <c r="F5600" t="inlineStr">
        <is>
          <t>14</t>
        </is>
      </c>
      <c r="G5600" t="inlineStr">
        <is>
          <t>0</t>
        </is>
      </c>
      <c r="H5600" t="inlineStr">
        <is>
          <t>0</t>
        </is>
      </c>
      <c r="I5600" t="inlineStr">
        <is>
          <t>42⁶</t>
        </is>
      </c>
      <c r="J5600" t="n">
        <v>6</v>
      </c>
      <c r="K5600" t="inlineStr">
        <is>
          <t>4¹, 12²</t>
        </is>
      </c>
      <c r="L5600" t="inlineStr">
        <is>
          <t>14C⁵, 42D⁵, 42B⁶, 42B¹⁰</t>
        </is>
      </c>
      <c r="M5600" t="inlineStr"/>
      <c r="N5600" t="inlineStr">
        <is>
          <t>2A⁰, 14A⁰, 14B², 7D⁰, 14A¹, 14C⁵, 7G⁰, 14D¹, 1A⁰, 42B¹⁰, 6A⁰, 14A³, 42A³, 7C⁰, 42B⁶, 42D⁵, 7A⁰</t>
        </is>
      </c>
      <c r="O5600" t="inlineStr"/>
    </row>
    <row r="5601">
      <c r="A5601">
        <f>HYPERLINK("https://mathstats.uncg.edu/sites/pauli/congruence/csg19.html#group42I19", "42I¹⁹")</f>
        <v/>
      </c>
      <c r="B5601" t="n">
        <v>19</v>
      </c>
      <c r="C5601" t="inlineStr"/>
      <c r="D5601" t="inlineStr">
        <is>
          <t>252</t>
        </is>
      </c>
      <c r="E5601" t="inlineStr">
        <is>
          <t>2</t>
        </is>
      </c>
      <c r="F5601" t="inlineStr">
        <is>
          <t>14</t>
        </is>
      </c>
      <c r="G5601" t="inlineStr">
        <is>
          <t>0</t>
        </is>
      </c>
      <c r="H5601" t="inlineStr">
        <is>
          <t>0</t>
        </is>
      </c>
      <c r="I5601" t="inlineStr">
        <is>
          <t>42⁶</t>
        </is>
      </c>
      <c r="J5601" t="n">
        <v>6</v>
      </c>
      <c r="K5601" t="inlineStr">
        <is>
          <t>4¹, 12²</t>
        </is>
      </c>
      <c r="L5601" t="inlineStr">
        <is>
          <t>14D⁵, 42C⁵, 42B⁶, 42B⁸</t>
        </is>
      </c>
      <c r="M5601" t="inlineStr"/>
      <c r="N5601" t="inlineStr">
        <is>
          <t>2A⁰, 14A⁰, 42B⁸, 14B¹, 14B³, 14D⁵, 14A¹, 14C², 2B⁰, 1A⁰, 14D¹, 42C⁵, 14A², 7C⁰, 42B⁶, 21C¹, 2C⁰, 7A⁰</t>
        </is>
      </c>
      <c r="O5601" t="inlineStr"/>
    </row>
    <row r="5602">
      <c r="A5602">
        <f>HYPERLINK("https://mathstats.uncg.edu/sites/pauli/congruence/csg19.html#group42J19", "42J¹⁹")</f>
        <v/>
      </c>
      <c r="B5602" t="n">
        <v>19</v>
      </c>
      <c r="C5602" t="inlineStr"/>
      <c r="D5602" t="inlineStr">
        <is>
          <t>252</t>
        </is>
      </c>
      <c r="E5602" t="inlineStr">
        <is>
          <t>2</t>
        </is>
      </c>
      <c r="F5602" t="inlineStr">
        <is>
          <t>14</t>
        </is>
      </c>
      <c r="G5602" t="inlineStr">
        <is>
          <t>0</t>
        </is>
      </c>
      <c r="H5602" t="inlineStr">
        <is>
          <t>0</t>
        </is>
      </c>
      <c r="I5602" t="inlineStr">
        <is>
          <t>42⁶</t>
        </is>
      </c>
      <c r="J5602" t="n">
        <v>6</v>
      </c>
      <c r="K5602" t="inlineStr">
        <is>
          <t>2², 6⁴</t>
        </is>
      </c>
      <c r="L5602" t="inlineStr">
        <is>
          <t>14E³, 42B⁶, 42A⁷, 42J⁷</t>
        </is>
      </c>
      <c r="M5602" t="inlineStr"/>
      <c r="N5602" t="inlineStr">
        <is>
          <t>2A⁰, 14A⁰, 42J⁷, 42A¹, 14A¹, 21C², 21A⁰, 42A⁴, 14D¹, 1A⁰, 14F¹, 14E³, 7C⁰, 42A⁷, 42B⁶, 6A¹, 3A⁰, 7A⁰</t>
        </is>
      </c>
      <c r="O5602" t="inlineStr"/>
    </row>
    <row r="5603">
      <c r="A5603">
        <f>HYPERLINK("https://mathstats.uncg.edu/sites/pauli/congruence/csg19.html#group42K19", "42K¹⁹")</f>
        <v/>
      </c>
      <c r="B5603" t="n">
        <v>19</v>
      </c>
      <c r="C5603" t="inlineStr"/>
      <c r="D5603" t="inlineStr">
        <is>
          <t>252</t>
        </is>
      </c>
      <c r="E5603" t="inlineStr">
        <is>
          <t>2</t>
        </is>
      </c>
      <c r="F5603" t="inlineStr">
        <is>
          <t>21</t>
        </is>
      </c>
      <c r="G5603" t="inlineStr">
        <is>
          <t>0</t>
        </is>
      </c>
      <c r="H5603" t="inlineStr">
        <is>
          <t>0</t>
        </is>
      </c>
      <c r="I5603" t="inlineStr">
        <is>
          <t>42⁶</t>
        </is>
      </c>
      <c r="J5603" t="n">
        <v>6</v>
      </c>
      <c r="K5603" t="inlineStr">
        <is>
          <t>2¹, 4¹, 6², 12²</t>
        </is>
      </c>
      <c r="L5603" t="inlineStr">
        <is>
          <t>42B⁷, 42K⁷, 42D⁸, 42C¹⁰</t>
        </is>
      </c>
      <c r="M5603" t="inlineStr"/>
      <c r="N5603" t="inlineStr">
        <is>
          <t>2A⁰, 42D⁸, 14B¹, 14B³, 2C⁰, 21D¹, 14A¹, 6C¹, 21A⁰, 42K⁷, 2B⁰, 42B⁷, 42A⁴, 1A⁰, 42C¹⁰, 42A², 6A⁰, 42A³, 6A¹, 3A⁰, 42C³, 6D⁰, 7A⁰</t>
        </is>
      </c>
      <c r="O5603" t="inlineStr"/>
    </row>
    <row r="5604">
      <c r="A5604">
        <f>HYPERLINK("https://mathstats.uncg.edu/sites/pauli/congruence/csg19.html#group42L19", "42L¹⁹")</f>
        <v/>
      </c>
      <c r="B5604" t="n">
        <v>19</v>
      </c>
      <c r="C5604" t="inlineStr"/>
      <c r="D5604" t="inlineStr">
        <is>
          <t>252</t>
        </is>
      </c>
      <c r="E5604" t="inlineStr">
        <is>
          <t>2</t>
        </is>
      </c>
      <c r="F5604" t="inlineStr">
        <is>
          <t>21</t>
        </is>
      </c>
      <c r="G5604" t="inlineStr">
        <is>
          <t>0</t>
        </is>
      </c>
      <c r="H5604" t="inlineStr">
        <is>
          <t>0</t>
        </is>
      </c>
      <c r="I5604" t="inlineStr">
        <is>
          <t>42⁶</t>
        </is>
      </c>
      <c r="J5604" t="n">
        <v>6</v>
      </c>
      <c r="K5604" t="inlineStr">
        <is>
          <t>2¹, 4¹, 6², 12²</t>
        </is>
      </c>
      <c r="L5604" t="inlineStr">
        <is>
          <t>6E¹, 42C⁷, 42L⁷, 42C⁸, 42C¹⁰</t>
        </is>
      </c>
      <c r="M5604" t="inlineStr"/>
      <c r="N5604" t="inlineStr">
        <is>
          <t>6E¹, 2A⁰, 21D², 6B⁰, 3A⁰, 42B¹, 14B¹, 14B³, 6C¹, 14A¹, 6G⁰, 21A⁰, 2B⁰, 42A⁴, 1A⁰, 42C¹⁰, 6A⁰, 6B¹, 42A³, 42L⁷, 3C⁰, 42C⁸, 6A¹, 6H⁰, 42C⁷, 2C⁰, 6D⁰, 7A⁰, 42C³</t>
        </is>
      </c>
      <c r="O5604" t="inlineStr"/>
    </row>
    <row r="5605">
      <c r="A5605">
        <f>HYPERLINK("https://mathstats.uncg.edu/sites/pauli/congruence/csg19.html#group42M19", "42M¹⁹")</f>
        <v/>
      </c>
      <c r="B5605" t="n">
        <v>19</v>
      </c>
      <c r="C5605" t="inlineStr"/>
      <c r="D5605" t="inlineStr">
        <is>
          <t>252</t>
        </is>
      </c>
      <c r="E5605" t="inlineStr">
        <is>
          <t>2</t>
        </is>
      </c>
      <c r="F5605" t="inlineStr">
        <is>
          <t>63</t>
        </is>
      </c>
      <c r="G5605" t="inlineStr">
        <is>
          <t>0</t>
        </is>
      </c>
      <c r="H5605" t="inlineStr">
        <is>
          <t>0</t>
        </is>
      </c>
      <c r="I5605" t="inlineStr">
        <is>
          <t>42⁶</t>
        </is>
      </c>
      <c r="J5605" t="n">
        <v>6</v>
      </c>
      <c r="K5605" t="inlineStr">
        <is>
          <t>6⁷, 12⁷</t>
        </is>
      </c>
      <c r="L5605" t="inlineStr">
        <is>
          <t>21D⁵, 42D⁶, 42B⁷, 42A¹⁰</t>
        </is>
      </c>
      <c r="M5605" t="inlineStr"/>
      <c r="N5605" t="inlineStr">
        <is>
          <t>2A⁰, 7D⁰, 21D¹, 14A¹, 21A⁰, 42D⁶, 42B⁷, 42A⁴, 1A⁰, 21D⁵, 42A², 42A¹⁰, 21E¹, 14A³, 6A¹, 3A⁰, 7A⁰</t>
        </is>
      </c>
      <c r="O5605" t="inlineStr"/>
    </row>
    <row r="5606">
      <c r="A5606">
        <f>HYPERLINK("https://mathstats.uncg.edu/sites/pauli/congruence/csg19.html#group42N19", "42N¹⁹")</f>
        <v/>
      </c>
      <c r="B5606" t="n">
        <v>19</v>
      </c>
      <c r="C5606" t="inlineStr"/>
      <c r="D5606" t="inlineStr">
        <is>
          <t>288</t>
        </is>
      </c>
      <c r="E5606" t="inlineStr">
        <is>
          <t>1</t>
        </is>
      </c>
      <c r="F5606" t="inlineStr">
        <is>
          <t>24</t>
        </is>
      </c>
      <c r="G5606" t="inlineStr">
        <is>
          <t>0</t>
        </is>
      </c>
      <c r="H5606" t="inlineStr">
        <is>
          <t>0</t>
        </is>
      </c>
      <c r="I5606" t="inlineStr">
        <is>
          <t>6⁶, 42⁶</t>
        </is>
      </c>
      <c r="J5606" t="n">
        <v>12</v>
      </c>
      <c r="K5606" t="inlineStr">
        <is>
          <t>1², 2², 6¹, 12¹</t>
        </is>
      </c>
      <c r="L5606" t="inlineStr">
        <is>
          <t>21B⁷, 42D⁷, 42H¹⁰</t>
        </is>
      </c>
      <c r="M5606" t="inlineStr"/>
      <c r="N5606" t="inlineStr">
        <is>
          <t>42D⁷, 6B⁰, 21A⁴, 7E⁰, 42C⁴, 1A⁰, 21A³, 21B⁷, 21A², 6E⁰, 42H¹⁰, 7B⁰, 3C⁰, 3A⁰, 21A¹</t>
        </is>
      </c>
      <c r="O5606" t="inlineStr"/>
    </row>
    <row r="5607">
      <c r="A5607">
        <f>HYPERLINK("https://mathstats.uncg.edu/sites/pauli/congruence/csg19.html#group42O19", "42O¹⁹")</f>
        <v/>
      </c>
      <c r="B5607" t="n">
        <v>19</v>
      </c>
      <c r="C5607" t="inlineStr"/>
      <c r="D5607" t="inlineStr">
        <is>
          <t>288</t>
        </is>
      </c>
      <c r="E5607" t="inlineStr">
        <is>
          <t>1</t>
        </is>
      </c>
      <c r="F5607" t="inlineStr">
        <is>
          <t>24</t>
        </is>
      </c>
      <c r="G5607" t="inlineStr">
        <is>
          <t>0</t>
        </is>
      </c>
      <c r="H5607" t="inlineStr">
        <is>
          <t>0</t>
        </is>
      </c>
      <c r="I5607" t="inlineStr">
        <is>
          <t>6⁶, 42⁶</t>
        </is>
      </c>
      <c r="J5607" t="n">
        <v>12</v>
      </c>
      <c r="K5607" t="inlineStr">
        <is>
          <t>1², 2², 6¹, 12¹</t>
        </is>
      </c>
      <c r="L5607" t="inlineStr">
        <is>
          <t>21B⁷, 42E⁷, 42D¹⁰, 42H¹⁰</t>
        </is>
      </c>
      <c r="M5607" t="inlineStr"/>
      <c r="N5607" t="inlineStr">
        <is>
          <t>42E⁷, 2A⁰, 6B⁰, 14D², 21A⁴, 7E⁰, 42C⁴, 1A⁰, 21A³, 21B⁷, 21A², 42B⁴, 6B¹, 42H¹⁰, 42D¹⁰, 7B⁰, 14B⁰, 42C², 3C⁰, 6A¹, 3A⁰, 21A¹</t>
        </is>
      </c>
      <c r="O5607" t="inlineStr"/>
    </row>
    <row r="5608">
      <c r="A5608">
        <f>HYPERLINK("https://mathstats.uncg.edu/sites/pauli/congruence/csg19.html#group42P19", "42P¹⁹")</f>
        <v/>
      </c>
      <c r="B5608" t="n">
        <v>19</v>
      </c>
      <c r="C5608" t="inlineStr"/>
      <c r="D5608" t="inlineStr">
        <is>
          <t>288</t>
        </is>
      </c>
      <c r="E5608" t="inlineStr">
        <is>
          <t>1</t>
        </is>
      </c>
      <c r="F5608" t="inlineStr">
        <is>
          <t>24</t>
        </is>
      </c>
      <c r="G5608" t="inlineStr">
        <is>
          <t>0</t>
        </is>
      </c>
      <c r="H5608" t="inlineStr">
        <is>
          <t>0</t>
        </is>
      </c>
      <c r="I5608" t="inlineStr">
        <is>
          <t>6⁶, 42⁶</t>
        </is>
      </c>
      <c r="J5608" t="n">
        <v>12</v>
      </c>
      <c r="K5608" t="inlineStr">
        <is>
          <t>1², 2², 6¹, 12¹</t>
        </is>
      </c>
      <c r="L5608" t="inlineStr">
        <is>
          <t>6E¹, 42E⁷, 42A⁹, 42E¹⁰, 42I¹⁰</t>
        </is>
      </c>
      <c r="M5608" t="inlineStr"/>
      <c r="N5608" t="inlineStr">
        <is>
          <t>6E¹, 42E⁷, 2A⁰, 6B⁰, 6C¹, 42I¹⁰, 6G⁰, 42E¹⁰, 2B⁰, 14E², 42C⁴, 1A⁰, 42A⁹, 21A³, 42B², 6A⁰, 21A², 6B¹, 42B⁴, 7B⁰, 42A⁵, 14B⁰, 14C¹, 3C⁰, 6A¹, 6H⁰, 3A⁰, 2C⁰, 6D⁰</t>
        </is>
      </c>
      <c r="O5608" t="inlineStr"/>
    </row>
    <row r="5609">
      <c r="A5609">
        <f>HYPERLINK("https://mathstats.uncg.edu/sites/pauli/congruence/csg19.html#group42Q19", "42Q¹⁹")</f>
        <v/>
      </c>
      <c r="B5609" t="n">
        <v>19</v>
      </c>
      <c r="C5609" t="inlineStr"/>
      <c r="D5609" t="inlineStr">
        <is>
          <t>288</t>
        </is>
      </c>
      <c r="E5609" t="inlineStr">
        <is>
          <t>1</t>
        </is>
      </c>
      <c r="F5609" t="inlineStr">
        <is>
          <t>48</t>
        </is>
      </c>
      <c r="G5609" t="inlineStr">
        <is>
          <t>0</t>
        </is>
      </c>
      <c r="H5609" t="inlineStr">
        <is>
          <t>0</t>
        </is>
      </c>
      <c r="I5609" t="inlineStr">
        <is>
          <t>6⁶, 42⁶</t>
        </is>
      </c>
      <c r="J5609" t="n">
        <v>12</v>
      </c>
      <c r="K5609" t="inlineStr">
        <is>
          <t>1⁴, 2⁴, 6², 12²</t>
        </is>
      </c>
      <c r="L5609" t="inlineStr">
        <is>
          <t>42E⁷, 42G¹⁰</t>
        </is>
      </c>
      <c r="M5609" t="inlineStr"/>
      <c r="N5609" t="inlineStr">
        <is>
          <t>42E⁷, 2A⁰, 14C⁰, 6B⁰, 42G¹⁰, 42C⁴, 1A⁰, 21A³, 21A², 42B⁴, 6B¹, 7B⁰, 14B⁰, 3C⁰, 6A¹, 3A⁰, 42B³</t>
        </is>
      </c>
      <c r="O5609" t="inlineStr"/>
    </row>
    <row r="5610">
      <c r="A5610">
        <f>HYPERLINK("https://mathstats.uncg.edu/sites/pauli/congruence/csg19.html#group42R19", "42R¹⁹")</f>
        <v/>
      </c>
      <c r="B5610" t="n">
        <v>19</v>
      </c>
      <c r="C5610" t="inlineStr"/>
      <c r="D5610" t="inlineStr">
        <is>
          <t>288</t>
        </is>
      </c>
      <c r="E5610" t="inlineStr">
        <is>
          <t>1</t>
        </is>
      </c>
      <c r="F5610" t="inlineStr">
        <is>
          <t>72</t>
        </is>
      </c>
      <c r="G5610" t="inlineStr">
        <is>
          <t>0</t>
        </is>
      </c>
      <c r="H5610" t="inlineStr">
        <is>
          <t>0</t>
        </is>
      </c>
      <c r="I5610" t="inlineStr">
        <is>
          <t>6⁶, 42⁶</t>
        </is>
      </c>
      <c r="J5610" t="n">
        <v>12</v>
      </c>
      <c r="K5610" t="inlineStr">
        <is>
          <t>1⁶, 2⁶, 6³, 12³</t>
        </is>
      </c>
      <c r="L5610" t="inlineStr">
        <is>
          <t>6L⁰, 42D⁷, 42A⁹, 42I¹⁰</t>
        </is>
      </c>
      <c r="M5610" t="inlineStr"/>
      <c r="N5610" t="inlineStr">
        <is>
          <t>42D⁷, 6B⁰, 42I¹⁰, 6G⁰, 2B⁰, 42C⁴, 1A⁰, 42A⁹, 21A³, 21A², 6E⁰, 6L⁰, 42A⁵, 7B⁰, 14C¹, 3C⁰, 6H⁰, 3A⁰, 6D⁰</t>
        </is>
      </c>
      <c r="O5610" t="inlineStr"/>
    </row>
    <row r="5611">
      <c r="A5611">
        <f>HYPERLINK("https://mathstats.uncg.edu/sites/pauli/congruence/csg19.html#group44A19", "44A¹⁹")</f>
        <v/>
      </c>
      <c r="B5611" t="n">
        <v>19</v>
      </c>
      <c r="C5611" t="inlineStr"/>
      <c r="D5611" t="inlineStr">
        <is>
          <t>288</t>
        </is>
      </c>
      <c r="E5611" t="inlineStr">
        <is>
          <t>1</t>
        </is>
      </c>
      <c r="F5611" t="inlineStr">
        <is>
          <t>12</t>
        </is>
      </c>
      <c r="G5611" t="inlineStr">
        <is>
          <t>0</t>
        </is>
      </c>
      <c r="H5611" t="inlineStr">
        <is>
          <t>0</t>
        </is>
      </c>
      <c r="I5611" t="inlineStr">
        <is>
          <t>4⁶, 44⁶</t>
        </is>
      </c>
      <c r="J5611" t="n">
        <v>12</v>
      </c>
      <c r="K5611" t="inlineStr">
        <is>
          <t>1², 10¹</t>
        </is>
      </c>
      <c r="L5611" t="inlineStr">
        <is>
          <t>4G⁰, 44A⁷, 44B⁹, 44C¹⁰</t>
        </is>
      </c>
      <c r="M5611" t="inlineStr"/>
      <c r="N5611" t="inlineStr">
        <is>
          <t>2A⁰, 44C¹⁰, 44B⁴, 4C⁰, 44B⁵, 4G⁰, 2B⁰, 4E⁰, 4B⁰, 22C², 44B⁹, 1A⁰, 22A⁴, 44D⁴, 11A¹, 22A², 4A⁰, 4D⁰, 44A⁷, 4F⁰, 2C⁰</t>
        </is>
      </c>
      <c r="O5611" t="inlineStr"/>
    </row>
    <row r="5612">
      <c r="A5612">
        <f>HYPERLINK("https://mathstats.uncg.edu/sites/pauli/congruence/csg19.html#group44B19", "44B¹⁹")</f>
        <v/>
      </c>
      <c r="B5612" t="n">
        <v>19</v>
      </c>
      <c r="C5612" t="inlineStr"/>
      <c r="D5612" t="inlineStr">
        <is>
          <t>288</t>
        </is>
      </c>
      <c r="E5612" t="inlineStr">
        <is>
          <t>1</t>
        </is>
      </c>
      <c r="F5612" t="inlineStr">
        <is>
          <t>36</t>
        </is>
      </c>
      <c r="G5612" t="inlineStr">
        <is>
          <t>0</t>
        </is>
      </c>
      <c r="H5612" t="inlineStr">
        <is>
          <t>0</t>
        </is>
      </c>
      <c r="I5612" t="inlineStr">
        <is>
          <t>4⁶, 44⁶</t>
        </is>
      </c>
      <c r="J5612" t="n">
        <v>12</v>
      </c>
      <c r="K5612" t="inlineStr">
        <is>
          <t>1⁶, 10³</t>
        </is>
      </c>
      <c r="L5612" t="inlineStr">
        <is>
          <t>44A⁸, 44B⁹, 44B¹⁰</t>
        </is>
      </c>
      <c r="M5612" t="inlineStr"/>
      <c r="N5612" t="inlineStr">
        <is>
          <t>2A⁰, 4C⁰, 44B⁵, 2B⁰, 4E⁰, 4B⁰, 22C², 1A⁰, 22A⁴, 44B⁹, 44D⁴, 44B¹⁰, 44A⁸, 44A⁴, 11A¹, 22A², 2C⁰</t>
        </is>
      </c>
      <c r="O5612" t="inlineStr"/>
    </row>
    <row r="5613">
      <c r="A5613">
        <f>HYPERLINK("https://mathstats.uncg.edu/sites/pauli/congruence/csg19.html#group44C19", "44C¹⁹")</f>
        <v/>
      </c>
      <c r="B5613" t="n">
        <v>19</v>
      </c>
      <c r="C5613" t="inlineStr"/>
      <c r="D5613" t="inlineStr">
        <is>
          <t>330</t>
        </is>
      </c>
      <c r="E5613" t="inlineStr">
        <is>
          <t>2</t>
        </is>
      </c>
      <c r="F5613" t="inlineStr">
        <is>
          <t>165</t>
        </is>
      </c>
      <c r="G5613" t="inlineStr">
        <is>
          <t>8</t>
        </is>
      </c>
      <c r="H5613" t="inlineStr">
        <is>
          <t>0</t>
        </is>
      </c>
      <c r="I5613" t="inlineStr">
        <is>
          <t>11¹⁰, 44⁵</t>
        </is>
      </c>
      <c r="J5613" t="n">
        <v>15</v>
      </c>
      <c r="K5613" t="inlineStr">
        <is>
          <t>10³³</t>
        </is>
      </c>
      <c r="L5613" t="inlineStr">
        <is>
          <t>22A⁸</t>
        </is>
      </c>
      <c r="M5613" t="inlineStr"/>
      <c r="N5613" t="inlineStr">
        <is>
          <t>11C¹, 1A⁰, 22A⁸, 2B⁰</t>
        </is>
      </c>
      <c r="O5613" t="inlineStr"/>
    </row>
    <row r="5614">
      <c r="A5614">
        <f>HYPERLINK("https://mathstats.uncg.edu/sites/pauli/congruence/csg19.html#group45A19", "45A¹⁹")</f>
        <v/>
      </c>
      <c r="B5614" t="n">
        <v>19</v>
      </c>
      <c r="C5614" t="inlineStr"/>
      <c r="D5614" t="inlineStr">
        <is>
          <t>270</t>
        </is>
      </c>
      <c r="E5614" t="inlineStr">
        <is>
          <t>1</t>
        </is>
      </c>
      <c r="F5614" t="inlineStr">
        <is>
          <t>90</t>
        </is>
      </c>
      <c r="G5614" t="inlineStr">
        <is>
          <t>6</t>
        </is>
      </c>
      <c r="H5614" t="inlineStr">
        <is>
          <t>0</t>
        </is>
      </c>
      <c r="I5614" t="inlineStr">
        <is>
          <t>45⁶</t>
        </is>
      </c>
      <c r="J5614" t="n">
        <v>6</v>
      </c>
      <c r="K5614" t="inlineStr">
        <is>
          <t>1¹, 2¹, 3¹, 4¹, 6², 8¹, 12¹, 24²</t>
        </is>
      </c>
      <c r="L5614" t="inlineStr">
        <is>
          <t>9E¹, 45A⁶, 45C⁶</t>
        </is>
      </c>
      <c r="M5614" t="inlineStr"/>
      <c r="N5614" t="inlineStr">
        <is>
          <t>45C⁶, 5A⁰, 9D⁰, 15A², 45A⁶, 9A⁰, 3C⁰, 9E¹, 9E⁰, 3A⁰, 1A⁰, 15A¹, 45A³</t>
        </is>
      </c>
      <c r="O5614" t="inlineStr"/>
    </row>
    <row r="5615">
      <c r="A5615">
        <f>HYPERLINK("https://mathstats.uncg.edu/sites/pauli/congruence/csg19.html#group45B19", "45B¹⁹")</f>
        <v/>
      </c>
      <c r="B5615" t="n">
        <v>19</v>
      </c>
      <c r="C5615" t="inlineStr"/>
      <c r="D5615" t="inlineStr">
        <is>
          <t>270</t>
        </is>
      </c>
      <c r="E5615" t="inlineStr">
        <is>
          <t>2</t>
        </is>
      </c>
      <c r="F5615" t="inlineStr">
        <is>
          <t>45</t>
        </is>
      </c>
      <c r="G5615" t="inlineStr">
        <is>
          <t>6</t>
        </is>
      </c>
      <c r="H5615" t="inlineStr">
        <is>
          <t>0</t>
        </is>
      </c>
      <c r="I5615" t="inlineStr">
        <is>
          <t>45⁶</t>
        </is>
      </c>
      <c r="J5615" t="n">
        <v>6</v>
      </c>
      <c r="K5615" t="inlineStr">
        <is>
          <t>2³, 6², 8³, 24²</t>
        </is>
      </c>
      <c r="L5615" t="inlineStr">
        <is>
          <t>15C⁴, 45A⁷, 45D⁷</t>
        </is>
      </c>
      <c r="M5615" t="inlineStr"/>
      <c r="N5615" t="inlineStr">
        <is>
          <t>5A⁰, 45A⁷, 15F¹, 1A⁰, 9B¹, 45D⁷, 15C⁴, 15A², 9A⁰, 5E⁰, 3C⁰, 45A³, 3A⁰, 15A¹, 15A⁰</t>
        </is>
      </c>
      <c r="O5615" t="inlineStr"/>
    </row>
    <row r="5616">
      <c r="A5616">
        <f>HYPERLINK("https://mathstats.uncg.edu/sites/pauli/congruence/csg19.html#group45C19", "45C¹⁹")</f>
        <v/>
      </c>
      <c r="B5616" t="n">
        <v>19</v>
      </c>
      <c r="C5616" t="inlineStr"/>
      <c r="D5616" t="inlineStr">
        <is>
          <t>270</t>
        </is>
      </c>
      <c r="E5616" t="inlineStr">
        <is>
          <t>2</t>
        </is>
      </c>
      <c r="F5616" t="inlineStr">
        <is>
          <t>45</t>
        </is>
      </c>
      <c r="G5616" t="inlineStr">
        <is>
          <t>6</t>
        </is>
      </c>
      <c r="H5616" t="inlineStr">
        <is>
          <t>0</t>
        </is>
      </c>
      <c r="I5616" t="inlineStr">
        <is>
          <t>45⁶</t>
        </is>
      </c>
      <c r="J5616" t="n">
        <v>6</v>
      </c>
      <c r="K5616" t="inlineStr">
        <is>
          <t>2³, 6², 8³, 24²</t>
        </is>
      </c>
      <c r="L5616" t="inlineStr">
        <is>
          <t>9F¹, 45A⁶, 45A⁷, 45B⁹</t>
        </is>
      </c>
      <c r="M5616" t="inlineStr"/>
      <c r="N5616" t="inlineStr">
        <is>
          <t>5A⁰, 45A⁶, 45A⁷, 9G⁰, 9F¹, 1A⁰, 9B¹, 45B⁹, 9D⁰, 15A², 9A⁰, 3C⁰, 3A⁰, 15A¹, 45A³</t>
        </is>
      </c>
      <c r="O5616" t="inlineStr"/>
    </row>
    <row r="5617">
      <c r="A5617">
        <f>HYPERLINK("https://mathstats.uncg.edu/sites/pauli/congruence/csg19.html#group45D19", "45D¹⁹")</f>
        <v/>
      </c>
      <c r="B5617" t="n">
        <v>19</v>
      </c>
      <c r="C5617" t="inlineStr"/>
      <c r="D5617" t="inlineStr">
        <is>
          <t>270</t>
        </is>
      </c>
      <c r="E5617" t="inlineStr">
        <is>
          <t>2</t>
        </is>
      </c>
      <c r="F5617" t="inlineStr">
        <is>
          <t>90</t>
        </is>
      </c>
      <c r="G5617" t="inlineStr">
        <is>
          <t>6</t>
        </is>
      </c>
      <c r="H5617" t="inlineStr">
        <is>
          <t>0</t>
        </is>
      </c>
      <c r="I5617" t="inlineStr">
        <is>
          <t>45⁶</t>
        </is>
      </c>
      <c r="J5617" t="n">
        <v>6</v>
      </c>
      <c r="K5617" t="inlineStr">
        <is>
          <t>2¹, 4¹, 6¹, 8³, 12², 24⁵</t>
        </is>
      </c>
      <c r="L5617" t="inlineStr">
        <is>
          <t>45B⁶, 45C⁶</t>
        </is>
      </c>
      <c r="M5617" t="inlineStr"/>
      <c r="N5617" t="inlineStr">
        <is>
          <t>45B⁶, 45C⁶, 5A⁰, 15A², 3C⁰, 9E⁰, 3A⁰, 1A⁰, 15A¹</t>
        </is>
      </c>
      <c r="O5617" t="inlineStr"/>
    </row>
    <row r="5618">
      <c r="A5618">
        <f>HYPERLINK("https://mathstats.uncg.edu/sites/pauli/congruence/csg19.html#group45E19", "45E¹⁹")</f>
        <v/>
      </c>
      <c r="B5618" t="n">
        <v>19</v>
      </c>
      <c r="C5618" t="inlineStr"/>
      <c r="D5618" t="inlineStr">
        <is>
          <t>270</t>
        </is>
      </c>
      <c r="E5618" t="inlineStr">
        <is>
          <t>2</t>
        </is>
      </c>
      <c r="F5618" t="inlineStr">
        <is>
          <t>90</t>
        </is>
      </c>
      <c r="G5618" t="inlineStr">
        <is>
          <t>6</t>
        </is>
      </c>
      <c r="H5618" t="inlineStr">
        <is>
          <t>0</t>
        </is>
      </c>
      <c r="I5618" t="inlineStr">
        <is>
          <t>45⁶</t>
        </is>
      </c>
      <c r="J5618" t="n">
        <v>6</v>
      </c>
      <c r="K5618" t="inlineStr">
        <is>
          <t>4³, 8⁶, 12², 24⁴</t>
        </is>
      </c>
      <c r="L5618" t="inlineStr">
        <is>
          <t>45B⁶, 45A⁷</t>
        </is>
      </c>
      <c r="M5618" t="inlineStr"/>
      <c r="N5618" t="inlineStr">
        <is>
          <t>45B⁶, 5A⁰, 15A², 45A⁷, 9A⁰, 3C⁰, 3A⁰, 1A⁰, 9B¹, 15A¹, 45A³</t>
        </is>
      </c>
      <c r="O5618" t="inlineStr"/>
    </row>
    <row r="5619">
      <c r="A5619">
        <f>HYPERLINK("https://mathstats.uncg.edu/sites/pauli/congruence/csg19.html#group45F19", "45F¹⁹")</f>
        <v/>
      </c>
      <c r="B5619" t="n">
        <v>19</v>
      </c>
      <c r="C5619" t="inlineStr"/>
      <c r="D5619" t="inlineStr">
        <is>
          <t>324</t>
        </is>
      </c>
      <c r="E5619" t="inlineStr">
        <is>
          <t>1</t>
        </is>
      </c>
      <c r="F5619" t="inlineStr">
        <is>
          <t>108</t>
        </is>
      </c>
      <c r="G5619" t="inlineStr">
        <is>
          <t>12</t>
        </is>
      </c>
      <c r="H5619" t="inlineStr">
        <is>
          <t>0</t>
        </is>
      </c>
      <c r="I5619" t="inlineStr">
        <is>
          <t>9⁶, 45⁶</t>
        </is>
      </c>
      <c r="J5619" t="n">
        <v>12</v>
      </c>
      <c r="K5619" t="inlineStr">
        <is>
          <t>1², 2², 3², 4¹, 6⁴, 8¹, 12¹, 24²</t>
        </is>
      </c>
      <c r="L5619" t="inlineStr">
        <is>
          <t>9E¹, 45F⁵, 45G⁵</t>
        </is>
      </c>
      <c r="M5619" t="inlineStr"/>
      <c r="N5619" t="inlineStr">
        <is>
          <t>45A², 15B⁰, 45F⁵, 9D⁰, 45G⁵, 9A⁰, 5B⁰, 3C⁰, 9E¹, 9E⁰, 3A⁰, 1A⁰, 15E¹</t>
        </is>
      </c>
      <c r="O5619" t="inlineStr"/>
    </row>
    <row r="5620">
      <c r="A5620">
        <f>HYPERLINK("https://mathstats.uncg.edu/sites/pauli/congruence/csg19.html#group45G19", "45G¹⁹")</f>
        <v/>
      </c>
      <c r="B5620" t="n">
        <v>19</v>
      </c>
      <c r="C5620" t="inlineStr"/>
      <c r="D5620" t="inlineStr">
        <is>
          <t>324</t>
        </is>
      </c>
      <c r="E5620" t="inlineStr">
        <is>
          <t>2</t>
        </is>
      </c>
      <c r="F5620" t="inlineStr">
        <is>
          <t>54</t>
        </is>
      </c>
      <c r="G5620" t="inlineStr">
        <is>
          <t>12</t>
        </is>
      </c>
      <c r="H5620" t="inlineStr">
        <is>
          <t>0</t>
        </is>
      </c>
      <c r="I5620" t="inlineStr">
        <is>
          <t>9⁶, 45⁶</t>
        </is>
      </c>
      <c r="J5620" t="n">
        <v>12</v>
      </c>
      <c r="K5620" t="inlineStr">
        <is>
          <t>2⁶, 6⁴, 8³, 24²</t>
        </is>
      </c>
      <c r="L5620" t="inlineStr">
        <is>
          <t>9F¹, 45F⁵, 45B⁷, 45D⁸</t>
        </is>
      </c>
      <c r="M5620" t="inlineStr"/>
      <c r="N5620" t="inlineStr">
        <is>
          <t>45A², 45F⁵, 9G⁰, 5B⁰, 1A⁰, 9B¹, 15B⁰, 9D⁰, 45D⁸, 9A⁰, 45B⁷, 3C⁰, 3A⁰, 15E¹, 9F¹</t>
        </is>
      </c>
      <c r="O5620" t="inlineStr"/>
    </row>
    <row r="5621">
      <c r="A5621">
        <f>HYPERLINK("https://mathstats.uncg.edu/sites/pauli/congruence/csg19.html#group45H19", "45H¹⁹")</f>
        <v/>
      </c>
      <c r="B5621" t="n">
        <v>19</v>
      </c>
      <c r="C5621" t="inlineStr"/>
      <c r="D5621" t="inlineStr">
        <is>
          <t>360</t>
        </is>
      </c>
      <c r="E5621" t="inlineStr">
        <is>
          <t>1</t>
        </is>
      </c>
      <c r="F5621" t="inlineStr">
        <is>
          <t>60</t>
        </is>
      </c>
      <c r="G5621" t="inlineStr">
        <is>
          <t>0</t>
        </is>
      </c>
      <c r="H5621" t="inlineStr">
        <is>
          <t>0</t>
        </is>
      </c>
      <c r="I5621" t="inlineStr">
        <is>
          <t>5¹⁸, 45⁶</t>
        </is>
      </c>
      <c r="J5621" t="n">
        <v>24</v>
      </c>
      <c r="K5621" t="inlineStr">
        <is>
          <t>1², 2³, 4⁷, 8³</t>
        </is>
      </c>
      <c r="L5621" t="inlineStr">
        <is>
          <t>45D³, 15B⁵, 45C⁷, 45B¹⁰</t>
        </is>
      </c>
      <c r="M5621" t="inlineStr"/>
      <c r="N5621" t="inlineStr">
        <is>
          <t>3B⁰, 45C³, 5A⁰, 45B¹⁰, 5B⁰, 9B⁰, 45D³, 45C⁷, 1A⁰, 15C¹, 15A³, 15B¹, 5E⁰, 15C², 45A⁴, 5C⁰, 15B⁵, 5G⁰</t>
        </is>
      </c>
      <c r="O5621" t="inlineStr"/>
    </row>
    <row r="5622">
      <c r="A5622">
        <f>HYPERLINK("https://mathstats.uncg.edu/sites/pauli/congruence/csg19.html#group45I19", "45I¹⁹")</f>
        <v/>
      </c>
      <c r="B5622" t="n">
        <v>19</v>
      </c>
      <c r="C5622" t="inlineStr"/>
      <c r="D5622" t="inlineStr">
        <is>
          <t>432</t>
        </is>
      </c>
      <c r="E5622" t="inlineStr">
        <is>
          <t>2</t>
        </is>
      </c>
      <c r="F5622" t="inlineStr">
        <is>
          <t>108</t>
        </is>
      </c>
      <c r="G5622" t="inlineStr">
        <is>
          <t>8</t>
        </is>
      </c>
      <c r="H5622" t="inlineStr">
        <is>
          <t>0</t>
        </is>
      </c>
      <c r="I5622" t="inlineStr">
        <is>
          <t>3¹², 9⁴, 15¹², 45⁴</t>
        </is>
      </c>
      <c r="J5622" t="n">
        <v>32</v>
      </c>
      <c r="K5622" t="inlineStr">
        <is>
          <t>2⁶, 6¹⁰, 8³, 24⁵</t>
        </is>
      </c>
      <c r="L5622" t="inlineStr">
        <is>
          <t>15I³, 45F⁹</t>
        </is>
      </c>
      <c r="M5622" t="inlineStr"/>
      <c r="N5622" t="inlineStr">
        <is>
          <t>15B⁰, 45F⁹, 45G⁵, 5B⁰, 3C⁰, 15C⁰, 9E⁰, 3A⁰, 15H¹, 1A⁰, 15I³, 15E¹</t>
        </is>
      </c>
      <c r="O5622" t="inlineStr"/>
    </row>
    <row r="5623">
      <c r="A5623">
        <f>HYPERLINK("https://mathstats.uncg.edu/sites/pauli/congruence/csg19.html#group48A19", "48A¹⁹")</f>
        <v/>
      </c>
      <c r="B5623" t="n">
        <v>19</v>
      </c>
      <c r="C5623" t="inlineStr"/>
      <c r="D5623" t="inlineStr">
        <is>
          <t>288</t>
        </is>
      </c>
      <c r="E5623" t="inlineStr">
        <is>
          <t>1</t>
        </is>
      </c>
      <c r="F5623" t="inlineStr">
        <is>
          <t>3</t>
        </is>
      </c>
      <c r="G5623" t="inlineStr">
        <is>
          <t>0</t>
        </is>
      </c>
      <c r="H5623" t="inlineStr">
        <is>
          <t>0</t>
        </is>
      </c>
      <c r="I5623" t="inlineStr">
        <is>
          <t>12⁸, 48⁴</t>
        </is>
      </c>
      <c r="J5623" t="n">
        <v>12</v>
      </c>
      <c r="K5623" t="inlineStr">
        <is>
          <t>1³</t>
        </is>
      </c>
      <c r="L5623" t="inlineStr">
        <is>
          <t>16H³, 48O⁷, 24C⁹, 48A⁹</t>
        </is>
      </c>
      <c r="M5623" t="inlineStr"/>
      <c r="N5623" t="inlineStr">
        <is>
          <t>2A⁰, 24A³, 12C⁰, 4C⁰, 6C¹, 12B², 24A⁵, 16A¹, 2B⁰, 8C⁰, 4E⁰, 4G⁰, 4B⁰, 8F¹, 1A⁰, 12A⁴, 24B², 24A⁰, 8G⁰, 16C⁰, 4D⁰, 12A², 12B¹, 6A¹, 3A⁰, 16H¹, 48A⁵, 8A¹, 8D⁰, 16E¹, 12E¹, 8B⁰, 8B¹, 24L², 24D⁴, 16H³, 48B⁴, 8H⁰, 48A⁹, 12A⁰, 8C¹, 6A⁰, 4A⁰, 24C¹, 12J¹, 4F⁰, 24C⁹, 48O⁷, 2C⁰, 6D⁰, 24B⁵</t>
        </is>
      </c>
      <c r="O5623" t="inlineStr"/>
    </row>
    <row r="5624">
      <c r="A5624">
        <f>HYPERLINK("https://mathstats.uncg.edu/sites/pauli/congruence/csg19.html#group48B19", "48B¹⁹")</f>
        <v/>
      </c>
      <c r="B5624" t="n">
        <v>19</v>
      </c>
      <c r="C5624" t="inlineStr"/>
      <c r="D5624" t="inlineStr">
        <is>
          <t>288</t>
        </is>
      </c>
      <c r="E5624" t="inlineStr">
        <is>
          <t>1</t>
        </is>
      </c>
      <c r="F5624" t="inlineStr">
        <is>
          <t>3</t>
        </is>
      </c>
      <c r="G5624" t="inlineStr">
        <is>
          <t>0</t>
        </is>
      </c>
      <c r="H5624" t="inlineStr">
        <is>
          <t>0</t>
        </is>
      </c>
      <c r="I5624" t="inlineStr">
        <is>
          <t>12⁸, 48⁴</t>
        </is>
      </c>
      <c r="J5624" t="n">
        <v>12</v>
      </c>
      <c r="K5624" t="inlineStr">
        <is>
          <t>1³</t>
        </is>
      </c>
      <c r="L5624" t="inlineStr">
        <is>
          <t>16I³, 48P⁷, 48C⁸, 24C⁹, 48A¹⁰, 48C¹⁰</t>
        </is>
      </c>
      <c r="M5624" t="inlineStr"/>
      <c r="N5624" t="inlineStr">
        <is>
          <t>2A⁰, 16G⁰, 48A¹⁰, 24A³, 12C⁰, 16I¹, 6C¹, 48P⁷, 4C⁰, 12B², 24A⁵, 4G⁰, 2B⁰, 4E⁰, 8C⁰, 4B⁰, 8F¹, 1A⁰, 12A⁴, 24B², 16E⁰, 48E⁴, 24A⁰, 8G⁰, 4D⁰, 12A², 12B¹, 6A¹, 48D³, 3A⁰, 48D⁴, 16D², 8A¹, 16C², 8D⁰, 12E¹, 8B⁰, 8B¹, 24L², 16I³, 24D⁴, 8H⁰, 12A⁰, 8C¹, 6A⁰, 24C⁹, 4A⁰, 16C¹, 16D⁰, 48C⁸, 24C¹, 12J¹, 4F⁰, 48C¹⁰, 2C⁰, 6D⁰, 24B⁵</t>
        </is>
      </c>
      <c r="O5624" t="inlineStr"/>
    </row>
    <row r="5625">
      <c r="A5625">
        <f>HYPERLINK("https://mathstats.uncg.edu/sites/pauli/congruence/csg19.html#group48C19", "48C¹⁹")</f>
        <v/>
      </c>
      <c r="B5625" t="n">
        <v>19</v>
      </c>
      <c r="C5625" t="inlineStr"/>
      <c r="D5625" t="inlineStr">
        <is>
          <t>288</t>
        </is>
      </c>
      <c r="E5625" t="inlineStr">
        <is>
          <t>1</t>
        </is>
      </c>
      <c r="F5625" t="inlineStr">
        <is>
          <t>6</t>
        </is>
      </c>
      <c r="G5625" t="inlineStr">
        <is>
          <t>0</t>
        </is>
      </c>
      <c r="H5625" t="inlineStr">
        <is>
          <t>0</t>
        </is>
      </c>
      <c r="I5625" t="inlineStr">
        <is>
          <t>12⁸, 48⁴</t>
        </is>
      </c>
      <c r="J5625" t="n">
        <v>12</v>
      </c>
      <c r="K5625" t="inlineStr">
        <is>
          <t>1⁴, 2¹</t>
        </is>
      </c>
      <c r="L5625" t="inlineStr">
        <is>
          <t>16J³, 24B⁸, 48A⁹, 48A¹⁰</t>
        </is>
      </c>
      <c r="M5625" t="inlineStr"/>
      <c r="N5625" t="inlineStr">
        <is>
          <t>2A⁰, 48A¹⁰, 12C⁰, 4C⁰, 6C¹, 12B², 16A¹, 8C⁰, 4E⁰, 2B⁰, 16J³, 4B⁰, 1A⁰, 24B², 48E⁴, 8G⁰, 16C⁰, 12B¹, 6A¹, 3A⁰, 48A⁵, 24F⁴, 16C², 8D⁰, 16E¹, 24B⁸, 8I⁰, 24D⁴, 48B⁴, 48A⁹, 6A⁰, 16C¹, 24C¹, 8J⁰, 2C⁰, 6D⁰, 24G⁴, 8O⁰</t>
        </is>
      </c>
      <c r="O5625" t="inlineStr"/>
    </row>
    <row r="5626">
      <c r="A5626">
        <f>HYPERLINK("https://mathstats.uncg.edu/sites/pauli/congruence/csg19.html#group48D19", "48D¹⁹")</f>
        <v/>
      </c>
      <c r="B5626" t="n">
        <v>19</v>
      </c>
      <c r="C5626" t="inlineStr"/>
      <c r="D5626" t="inlineStr">
        <is>
          <t>288</t>
        </is>
      </c>
      <c r="E5626" t="inlineStr">
        <is>
          <t>1</t>
        </is>
      </c>
      <c r="F5626" t="inlineStr">
        <is>
          <t>9</t>
        </is>
      </c>
      <c r="G5626" t="inlineStr">
        <is>
          <t>0</t>
        </is>
      </c>
      <c r="H5626" t="inlineStr">
        <is>
          <t>0</t>
        </is>
      </c>
      <c r="I5626" t="inlineStr">
        <is>
          <t>12⁸, 48⁴</t>
        </is>
      </c>
      <c r="J5626" t="n">
        <v>12</v>
      </c>
      <c r="K5626" t="inlineStr">
        <is>
          <t>1³, 2³</t>
        </is>
      </c>
      <c r="L5626" t="inlineStr">
        <is>
          <t>48AB⁷, 24C⁹, 48E⁹</t>
        </is>
      </c>
      <c r="M5626" t="inlineStr"/>
      <c r="N5626" t="inlineStr">
        <is>
          <t>2A⁰, 24A³, 12C⁰, 4C⁰, 6C¹, 48F⁴, 12B², 24A⁵, 4G⁰, 2B⁰, 8C⁰, 4E⁰, 4B⁰, 8F¹, 1A⁰, 12A⁴, 24B², 24A⁰, 8G⁰, 4D⁰, 12A², 12B¹, 6A¹, 3A⁰, 48B⁵, 48E⁹, 8A¹, 8D⁰, 12E¹, 8B⁰, 8B¹, 24L², 24D⁴, 8H⁰, 48AB⁷, 12A⁰, 8C¹, 6A⁰, 4A⁰, 24C¹, 12J¹, 4F⁰, 24C⁹, 2C⁰, 6D⁰, 24B⁵</t>
        </is>
      </c>
      <c r="O5626" t="inlineStr"/>
    </row>
    <row r="5627">
      <c r="A5627">
        <f>HYPERLINK("https://mathstats.uncg.edu/sites/pauli/congruence/csg19.html#group48E19", "48E¹⁹")</f>
        <v/>
      </c>
      <c r="B5627" t="n">
        <v>19</v>
      </c>
      <c r="C5627" t="inlineStr"/>
      <c r="D5627" t="inlineStr">
        <is>
          <t>288</t>
        </is>
      </c>
      <c r="E5627" t="inlineStr">
        <is>
          <t>1</t>
        </is>
      </c>
      <c r="F5627" t="inlineStr">
        <is>
          <t>9</t>
        </is>
      </c>
      <c r="G5627" t="inlineStr">
        <is>
          <t>0</t>
        </is>
      </c>
      <c r="H5627" t="inlineStr">
        <is>
          <t>0</t>
        </is>
      </c>
      <c r="I5627" t="inlineStr">
        <is>
          <t>12⁸, 48⁴</t>
        </is>
      </c>
      <c r="J5627" t="n">
        <v>12</v>
      </c>
      <c r="K5627" t="inlineStr">
        <is>
          <t>1³, 2³</t>
        </is>
      </c>
      <c r="L5627" t="inlineStr">
        <is>
          <t>24J⁷, 48N⁸, 48R⁹, 48B¹⁰</t>
        </is>
      </c>
      <c r="M5627" t="inlineStr"/>
      <c r="N5627" t="inlineStr">
        <is>
          <t>2A⁰, 24O², 24E¹, 12C⁰, 12K¹, 12D², 4C⁰, 6C¹, 12B², 6G⁰, 12E², 24J⁷, 2B⁰, 4E⁰, 8C⁰, 4B⁰, 12G³, 1A⁰, 24O³, 24B², 6B¹, 8G⁰, 24D², 3C⁰, 12B¹, 48N⁸, 6A¹, 6H⁰, 3A⁰, 48R⁹, 6E¹, 6B⁰, 48H⁴, 8D⁰, 24J⁴, 48B¹⁰, 12L¹, 24D⁴, 6A⁰, 12C¹, 24C¹, 24E⁴, 12D⁰, 12H⁰, 24L³, 2C⁰, 6D⁰</t>
        </is>
      </c>
      <c r="O5627" t="inlineStr"/>
    </row>
    <row r="5628">
      <c r="A5628">
        <f>HYPERLINK("https://mathstats.uncg.edu/sites/pauli/congruence/csg19.html#group48F19", "48F¹⁹")</f>
        <v/>
      </c>
      <c r="B5628" t="n">
        <v>19</v>
      </c>
      <c r="C5628" t="inlineStr"/>
      <c r="D5628" t="inlineStr">
        <is>
          <t>288</t>
        </is>
      </c>
      <c r="E5628" t="inlineStr">
        <is>
          <t>1</t>
        </is>
      </c>
      <c r="F5628" t="inlineStr">
        <is>
          <t>9</t>
        </is>
      </c>
      <c r="G5628" t="inlineStr">
        <is>
          <t>0</t>
        </is>
      </c>
      <c r="H5628" t="inlineStr">
        <is>
          <t>0</t>
        </is>
      </c>
      <c r="I5628" t="inlineStr">
        <is>
          <t>12⁸, 48⁴</t>
        </is>
      </c>
      <c r="J5628" t="n">
        <v>12</v>
      </c>
      <c r="K5628" t="inlineStr">
        <is>
          <t>1³, 2³</t>
        </is>
      </c>
      <c r="L5628" t="inlineStr">
        <is>
          <t>24J⁷, 48O⁸, 48S⁹, 48A¹⁰, 48B¹⁰</t>
        </is>
      </c>
      <c r="M5628" t="inlineStr"/>
      <c r="N5628" t="inlineStr">
        <is>
          <t>2A⁰, 24E¹, 48A¹⁰, 24O², 12C⁰, 12K¹, 12D², 48O⁸, 6C¹, 4C⁰, 12B², 6G⁰, 24J⁷, 2B⁰, 4E⁰, 8C⁰, 12E², 4B⁰, 12G³, 1A⁰, 24O³, 24B², 48E⁴, 6B¹, 8G⁰, 48S⁹, 24D², 3C⁰, 12B¹, 6A¹, 6H⁰, 3A⁰, 6E¹, 6B⁰, 16C², 8D⁰, 48H⁴, 24J⁴, 48B¹⁰, 12L¹, 24D⁴, 6A⁰, 12C¹, 16C¹, 24C¹, 24E⁴, 12D⁰, 12H⁰, 24L³, 2C⁰, 6D⁰</t>
        </is>
      </c>
      <c r="O5628" t="inlineStr"/>
    </row>
    <row r="5629">
      <c r="A5629">
        <f>HYPERLINK("https://mathstats.uncg.edu/sites/pauli/congruence/csg19.html#group48G19", "48G¹⁹")</f>
        <v/>
      </c>
      <c r="B5629" t="n">
        <v>19</v>
      </c>
      <c r="C5629" t="inlineStr"/>
      <c r="D5629" t="inlineStr">
        <is>
          <t>288</t>
        </is>
      </c>
      <c r="E5629" t="inlineStr">
        <is>
          <t>1</t>
        </is>
      </c>
      <c r="F5629" t="inlineStr">
        <is>
          <t>9</t>
        </is>
      </c>
      <c r="G5629" t="inlineStr">
        <is>
          <t>0</t>
        </is>
      </c>
      <c r="H5629" t="inlineStr">
        <is>
          <t>0</t>
        </is>
      </c>
      <c r="I5629" t="inlineStr">
        <is>
          <t>12⁸, 48⁴</t>
        </is>
      </c>
      <c r="J5629" t="n">
        <v>12</v>
      </c>
      <c r="K5629" t="inlineStr">
        <is>
          <t>1³, 2³</t>
        </is>
      </c>
      <c r="L5629" t="inlineStr">
        <is>
          <t>48AC⁷, 48D⁸, 24C⁹, 48B¹⁰, 48D¹⁰</t>
        </is>
      </c>
      <c r="M5629" t="inlineStr"/>
      <c r="N5629" t="inlineStr">
        <is>
          <t>2A⁰, 24A³, 12C⁰, 48G³, 48AC⁷, 4C⁰, 6C¹, 12B², 48D¹⁰, 24A⁵, 4G⁰, 2B⁰, 8C⁰, 4E⁰, 4B⁰, 8F¹, 1A⁰, 12A⁴, 24B², 24A⁰, 8G⁰, 4D⁰, 12A², 12B¹, 6A¹, 3A⁰, 8A¹, 48H⁴, 8D⁰, 12E¹, 8B⁰, 8B¹, 24L², 48B¹⁰, 24D⁴, 48G⁴, 8H⁰, 12A⁰, 8C¹, 6A⁰, 4A⁰, 48D⁸, 24C¹, 12J¹, 4F⁰, 24C⁹, 2C⁰, 6D⁰, 24B⁵</t>
        </is>
      </c>
      <c r="O5629" t="inlineStr"/>
    </row>
    <row r="5630">
      <c r="A5630">
        <f>HYPERLINK("https://mathstats.uncg.edu/sites/pauli/congruence/csg19.html#group48H19", "48H¹⁹")</f>
        <v/>
      </c>
      <c r="B5630" t="n">
        <v>19</v>
      </c>
      <c r="C5630" t="inlineStr"/>
      <c r="D5630" t="inlineStr">
        <is>
          <t>288</t>
        </is>
      </c>
      <c r="E5630" t="inlineStr">
        <is>
          <t>1</t>
        </is>
      </c>
      <c r="F5630" t="inlineStr">
        <is>
          <t>9</t>
        </is>
      </c>
      <c r="G5630" t="inlineStr">
        <is>
          <t>0</t>
        </is>
      </c>
      <c r="H5630" t="inlineStr">
        <is>
          <t>0</t>
        </is>
      </c>
      <c r="I5630" t="inlineStr">
        <is>
          <t>12⁸, 48⁴</t>
        </is>
      </c>
      <c r="J5630" t="n">
        <v>12</v>
      </c>
      <c r="K5630" t="inlineStr">
        <is>
          <t>1³, 2³</t>
        </is>
      </c>
      <c r="L5630" t="inlineStr">
        <is>
          <t>48C⁸, 48P⁸, 24I⁹, 48T⁹, 48B¹⁰</t>
        </is>
      </c>
      <c r="M5630" t="inlineStr"/>
      <c r="N5630" t="inlineStr">
        <is>
          <t>24Q³, 2A⁰, 16G⁰, 12C⁰, 4C⁰, 6C¹, 12B², 12E², 2B⁰, 12M¹, 24C², 4E⁰, 8C⁰, 4B⁰, 1A⁰, 24F⁵, 16E⁰, 24B², 8G⁰, 12B¹, 6A¹, 48D³, 3A⁰, 48D⁴, 48T⁹, 48H⁴, 8D⁰, 2C⁰, 24D¹, 48P⁸, 48B¹⁰, 24D⁴, 6A⁰, 12C¹, 24I⁹, 16D⁰, 48C⁸, 24C¹, 12D⁰, 12C⁴, 24L⁴, 6D⁰</t>
        </is>
      </c>
      <c r="O5630" t="inlineStr"/>
    </row>
    <row r="5631">
      <c r="A5631">
        <f>HYPERLINK("https://mathstats.uncg.edu/sites/pauli/congruence/csg19.html#group48I19", "48I¹⁹")</f>
        <v/>
      </c>
      <c r="B5631" t="n">
        <v>19</v>
      </c>
      <c r="C5631" t="inlineStr"/>
      <c r="D5631" t="inlineStr">
        <is>
          <t>288</t>
        </is>
      </c>
      <c r="E5631" t="inlineStr">
        <is>
          <t>1</t>
        </is>
      </c>
      <c r="F5631" t="inlineStr">
        <is>
          <t>9</t>
        </is>
      </c>
      <c r="G5631" t="inlineStr">
        <is>
          <t>0</t>
        </is>
      </c>
      <c r="H5631" t="inlineStr">
        <is>
          <t>0</t>
        </is>
      </c>
      <c r="I5631" t="inlineStr">
        <is>
          <t>12⁸, 48⁴</t>
        </is>
      </c>
      <c r="J5631" t="n">
        <v>12</v>
      </c>
      <c r="K5631" t="inlineStr">
        <is>
          <t>1³, 2³</t>
        </is>
      </c>
      <c r="L5631" t="inlineStr">
        <is>
          <t>48D⁸, 48Q⁸, 24I⁹, 48U⁹, 48A¹⁰</t>
        </is>
      </c>
      <c r="M5631" t="inlineStr"/>
      <c r="N5631" t="inlineStr">
        <is>
          <t>2A⁰, 24Q³, 48A¹⁰, 12C⁰, 48G³, 6C¹, 4C⁰, 12B², 12E², 24L⁴, 2B⁰, 4E⁰, 8C⁰, 12M¹, 4B⁰, 24C², 1A⁰, 24F⁵, 24B², 48E⁴, 8G⁰, 12B¹, 6A¹, 3A⁰, 16C², 8D⁰, 24D¹, 48U⁹, 48Q⁸, 24D⁴, 48G⁴, 6A⁰, 12C¹, 24I⁹, 16C¹, 48D⁸, 24C¹, 12D⁰, 12C⁴, 2C⁰, 6D⁰</t>
        </is>
      </c>
      <c r="O5631" t="inlineStr"/>
    </row>
    <row r="5632">
      <c r="A5632">
        <f>HYPERLINK("https://mathstats.uncg.edu/sites/pauli/congruence/csg19.html#group48J19", "48J¹⁹")</f>
        <v/>
      </c>
      <c r="B5632" t="n">
        <v>19</v>
      </c>
      <c r="C5632" t="inlineStr"/>
      <c r="D5632" t="inlineStr">
        <is>
          <t>288</t>
        </is>
      </c>
      <c r="E5632" t="inlineStr">
        <is>
          <t>1</t>
        </is>
      </c>
      <c r="F5632" t="inlineStr">
        <is>
          <t>12</t>
        </is>
      </c>
      <c r="G5632" t="inlineStr">
        <is>
          <t>0</t>
        </is>
      </c>
      <c r="H5632" t="inlineStr">
        <is>
          <t>0</t>
        </is>
      </c>
      <c r="I5632" t="inlineStr">
        <is>
          <t>12⁸, 48⁴</t>
        </is>
      </c>
      <c r="J5632" t="n">
        <v>12</v>
      </c>
      <c r="K5632" t="inlineStr">
        <is>
          <t>1², 2¹, 4²</t>
        </is>
      </c>
      <c r="L5632" t="inlineStr">
        <is>
          <t>48D⁶, 24H⁷, 48R⁹, 48S⁹</t>
        </is>
      </c>
      <c r="M5632" t="inlineStr"/>
      <c r="N5632" t="inlineStr">
        <is>
          <t>3B⁰, 24E¹, 12C⁰, 8D⁰, 12F¹, 48D⁶, 48H⁴, 4C⁰, 12C², 6G⁰, 2B⁰, 1A⁰, 24O³, 12L¹, 48E⁴, 12D³, 24I², 12C¹, 24N³, 48S⁹, 6D⁰, 16C¹, 6F⁰, 24C¹, 3C⁰, 6K⁰, 3A⁰, 24H⁷, 3D⁰, 48R⁹</t>
        </is>
      </c>
      <c r="O5632" t="inlineStr"/>
    </row>
    <row r="5633">
      <c r="A5633">
        <f>HYPERLINK("https://mathstats.uncg.edu/sites/pauli/congruence/csg19.html#group48K19", "48K¹⁹")</f>
        <v/>
      </c>
      <c r="B5633" t="n">
        <v>19</v>
      </c>
      <c r="C5633" t="inlineStr"/>
      <c r="D5633" t="inlineStr">
        <is>
          <t>288</t>
        </is>
      </c>
      <c r="E5633" t="inlineStr">
        <is>
          <t>1</t>
        </is>
      </c>
      <c r="F5633" t="inlineStr">
        <is>
          <t>18</t>
        </is>
      </c>
      <c r="G5633" t="inlineStr">
        <is>
          <t>0</t>
        </is>
      </c>
      <c r="H5633" t="inlineStr">
        <is>
          <t>0</t>
        </is>
      </c>
      <c r="I5633" t="inlineStr">
        <is>
          <t>12⁸, 48⁴</t>
        </is>
      </c>
      <c r="J5633" t="n">
        <v>12</v>
      </c>
      <c r="K5633" t="inlineStr">
        <is>
          <t>2³, 4³</t>
        </is>
      </c>
      <c r="L5633" t="inlineStr">
        <is>
          <t>24I⁷, 48W⁸, 48E¹⁰</t>
        </is>
      </c>
      <c r="M5633" t="inlineStr"/>
      <c r="N5633" t="inlineStr">
        <is>
          <t>24I⁴, 2A⁰, 24E¹, 12C⁰, 12K¹, 12D², 4C⁰, 6C¹, 12B², 6G⁰, 12E², 2B⁰, 4E⁰, 4B⁰, 12G³, 1A⁰, 6B¹, 24N³, 24D², 24I⁷, 3C⁰, 12B¹, 24K³, 6A¹, 6H⁰, 3A⁰, 48E¹⁰, 6E¹, 6B⁰, 24N², 48W⁸, 12L¹, 12C¹, 6A⁰, 24E⁴, 12D⁰, 12H⁰, 2C⁰, 6D⁰</t>
        </is>
      </c>
      <c r="O5633" t="inlineStr"/>
    </row>
    <row r="5634">
      <c r="A5634">
        <f>HYPERLINK("https://mathstats.uncg.edu/sites/pauli/congruence/csg19.html#group48L19", "48L¹⁹")</f>
        <v/>
      </c>
      <c r="B5634" t="n">
        <v>19</v>
      </c>
      <c r="C5634" t="inlineStr"/>
      <c r="D5634" t="inlineStr">
        <is>
          <t>288</t>
        </is>
      </c>
      <c r="E5634" t="inlineStr">
        <is>
          <t>1</t>
        </is>
      </c>
      <c r="F5634" t="inlineStr">
        <is>
          <t>18</t>
        </is>
      </c>
      <c r="G5634" t="inlineStr">
        <is>
          <t>0</t>
        </is>
      </c>
      <c r="H5634" t="inlineStr">
        <is>
          <t>0</t>
        </is>
      </c>
      <c r="I5634" t="inlineStr">
        <is>
          <t>12⁸, 48⁴</t>
        </is>
      </c>
      <c r="J5634" t="n">
        <v>12</v>
      </c>
      <c r="K5634" t="inlineStr">
        <is>
          <t>2⁷, 4¹</t>
        </is>
      </c>
      <c r="L5634" t="inlineStr">
        <is>
          <t>24I⁹, 48E⁹</t>
        </is>
      </c>
      <c r="M5634" t="inlineStr"/>
      <c r="N5634" t="inlineStr">
        <is>
          <t>24Q³, 2A⁰, 12C⁰, 4C⁰, 6C¹, 12B², 12E², 24L⁴, 48F⁴, 12M¹, 2B⁰, 4E⁰, 24C², 4B⁰, 8C⁰, 1A⁰, 24F⁵, 24B², 8G⁰, 12B¹, 6A¹, 3A⁰, 48B⁵, 48E⁹, 8D⁰, 24D¹, 24D⁴, 6A⁰, 12C¹, 24I⁹, 24C¹, 12D⁰, 12C⁴, 2C⁰, 6D⁰</t>
        </is>
      </c>
      <c r="O5634" t="inlineStr"/>
    </row>
    <row r="5635">
      <c r="A5635">
        <f>HYPERLINK("https://mathstats.uncg.edu/sites/pauli/congruence/csg19.html#group48M19", "48M¹⁹")</f>
        <v/>
      </c>
      <c r="B5635" t="n">
        <v>19</v>
      </c>
      <c r="C5635" t="inlineStr"/>
      <c r="D5635" t="inlineStr">
        <is>
          <t>288</t>
        </is>
      </c>
      <c r="E5635" t="inlineStr">
        <is>
          <t>1</t>
        </is>
      </c>
      <c r="F5635" t="inlineStr">
        <is>
          <t>18</t>
        </is>
      </c>
      <c r="G5635" t="inlineStr">
        <is>
          <t>0</t>
        </is>
      </c>
      <c r="H5635" t="inlineStr">
        <is>
          <t>0</t>
        </is>
      </c>
      <c r="I5635" t="inlineStr">
        <is>
          <t>12⁸, 48⁴</t>
        </is>
      </c>
      <c r="J5635" t="n">
        <v>12</v>
      </c>
      <c r="K5635" t="inlineStr">
        <is>
          <t>1⁴, 2⁵, 4¹</t>
        </is>
      </c>
      <c r="L5635" t="inlineStr">
        <is>
          <t>24B⁸, 48E⁹, 48B¹⁰</t>
        </is>
      </c>
      <c r="M5635" t="inlineStr"/>
      <c r="N5635" t="inlineStr">
        <is>
          <t>2A⁰, 12C⁰, 4C⁰, 6C¹, 12B², 48F⁴, 2B⁰, 4E⁰, 8C⁰, 4B⁰, 1A⁰, 24B², 8G⁰, 12B¹, 6A¹, 3A⁰, 48B⁵, 24F⁴, 48E⁹, 48H⁴, 8D⁰, 24B⁸, 8I⁰, 48B¹⁰, 24D⁴, 6A⁰, 24C¹, 8J⁰, 2C⁰, 6D⁰, 24G⁴, 8O⁰</t>
        </is>
      </c>
      <c r="O5635" t="inlineStr"/>
    </row>
    <row r="5636">
      <c r="A5636">
        <f>HYPERLINK("https://mathstats.uncg.edu/sites/pauli/congruence/csg19.html#group48N19", "48N¹⁹")</f>
        <v/>
      </c>
      <c r="B5636" t="n">
        <v>19</v>
      </c>
      <c r="C5636" t="inlineStr"/>
      <c r="D5636" t="inlineStr">
        <is>
          <t>288</t>
        </is>
      </c>
      <c r="E5636" t="inlineStr">
        <is>
          <t>1</t>
        </is>
      </c>
      <c r="F5636" t="inlineStr">
        <is>
          <t>18</t>
        </is>
      </c>
      <c r="G5636" t="inlineStr">
        <is>
          <t>0</t>
        </is>
      </c>
      <c r="H5636" t="inlineStr">
        <is>
          <t>0</t>
        </is>
      </c>
      <c r="I5636" t="inlineStr">
        <is>
          <t>12⁸, 48⁴</t>
        </is>
      </c>
      <c r="J5636" t="n">
        <v>12</v>
      </c>
      <c r="K5636" t="inlineStr">
        <is>
          <t>1⁴, 2⁵, 4¹</t>
        </is>
      </c>
      <c r="L5636" t="inlineStr">
        <is>
          <t>24D⁸, 48A⁹, 48B¹⁰</t>
        </is>
      </c>
      <c r="M5636" t="inlineStr"/>
      <c r="N5636" t="inlineStr">
        <is>
          <t>2A⁰, 48A⁵, 12C⁰, 24D⁸, 48H⁴, 8D⁰, 16E¹, 4C⁰, 6C¹, 12B², 16A¹, 2B⁰, 4E⁰, 8C⁰, 4B⁰, 48B¹⁰, 1A⁰, 24D⁴, 48B⁴, 24B², 48A⁹, 6A⁰, 8G⁰, 24N⁴, 16C⁰, 24M⁴, 24C¹, 12B¹, 6A¹, 3A⁰, 2C⁰, 6D⁰</t>
        </is>
      </c>
      <c r="O5636" t="inlineStr"/>
    </row>
    <row r="5637">
      <c r="A5637">
        <f>HYPERLINK("https://mathstats.uncg.edu/sites/pauli/congruence/csg19.html#group48O19", "48O¹⁹")</f>
        <v/>
      </c>
      <c r="B5637" t="n">
        <v>19</v>
      </c>
      <c r="C5637" t="inlineStr"/>
      <c r="D5637" t="inlineStr">
        <is>
          <t>288</t>
        </is>
      </c>
      <c r="E5637" t="inlineStr">
        <is>
          <t>1</t>
        </is>
      </c>
      <c r="F5637" t="inlineStr">
        <is>
          <t>18</t>
        </is>
      </c>
      <c r="G5637" t="inlineStr">
        <is>
          <t>0</t>
        </is>
      </c>
      <c r="H5637" t="inlineStr">
        <is>
          <t>0</t>
        </is>
      </c>
      <c r="I5637" t="inlineStr">
        <is>
          <t>12⁸, 48⁴</t>
        </is>
      </c>
      <c r="J5637" t="n">
        <v>12</v>
      </c>
      <c r="K5637" t="inlineStr">
        <is>
          <t>1⁴, 2⁵, 4¹</t>
        </is>
      </c>
      <c r="L5637" t="inlineStr">
        <is>
          <t>24D⁸, 48E⁹, 48A¹⁰</t>
        </is>
      </c>
      <c r="M5637" t="inlineStr"/>
      <c r="N5637" t="inlineStr">
        <is>
          <t>2A⁰, 48A¹⁰, 48E⁹, 12C⁰, 24D⁸, 16C², 8D⁰, 6C¹, 4C⁰, 12B², 48F⁴, 2B⁰, 4E⁰, 8C⁰, 4B⁰, 1A⁰, 24D⁴, 24B², 48E⁴, 6A⁰, 8G⁰, 24N⁴, 16C¹, 24M⁴, 24C¹, 12B¹, 6A¹, 3A⁰, 2C⁰, 6D⁰, 48B⁵</t>
        </is>
      </c>
      <c r="O5637" t="inlineStr"/>
    </row>
    <row r="5638">
      <c r="A5638">
        <f>HYPERLINK("https://mathstats.uncg.edu/sites/pauli/congruence/csg19.html#group48P19", "48P¹⁹")</f>
        <v/>
      </c>
      <c r="B5638" t="n">
        <v>19</v>
      </c>
      <c r="C5638" t="inlineStr"/>
      <c r="D5638" t="inlineStr">
        <is>
          <t>288</t>
        </is>
      </c>
      <c r="E5638" t="inlineStr">
        <is>
          <t>1</t>
        </is>
      </c>
      <c r="F5638" t="inlineStr">
        <is>
          <t>18</t>
        </is>
      </c>
      <c r="G5638" t="inlineStr">
        <is>
          <t>0</t>
        </is>
      </c>
      <c r="H5638" t="inlineStr">
        <is>
          <t>0</t>
        </is>
      </c>
      <c r="I5638" t="inlineStr">
        <is>
          <t>12⁸, 48⁴</t>
        </is>
      </c>
      <c r="J5638" t="n">
        <v>12</v>
      </c>
      <c r="K5638" t="inlineStr">
        <is>
          <t>1⁴, 2⁵, 4¹</t>
        </is>
      </c>
      <c r="L5638" t="inlineStr">
        <is>
          <t>24I⁹, 48A⁹, 48E⁹</t>
        </is>
      </c>
      <c r="M5638" t="inlineStr"/>
      <c r="N5638" t="inlineStr">
        <is>
          <t>2A⁰, 24Q³, 12C⁰, 4C⁰, 6C¹, 12B², 12E², 24L⁴, 16A¹, 8C⁰, 2B⁰, 4E⁰, 12M¹, 4B⁰, 24C², 1A⁰, 24F⁵, 24B², 8G⁰, 16C⁰, 12B¹, 6A¹, 3A⁰, 48B⁵, 48A⁵, 48E⁹, 8D⁰, 16E¹, 24D¹, 48F⁴, 24D⁴, 48B⁴, 48A⁹, 6A⁰, 12C¹, 24I⁹, 24C¹, 12D⁰, 12C⁴, 2C⁰, 6D⁰</t>
        </is>
      </c>
      <c r="O5638" t="inlineStr"/>
    </row>
    <row r="5639">
      <c r="A5639">
        <f>HYPERLINK("https://mathstats.uncg.edu/sites/pauli/congruence/csg19.html#group48Q19", "48Q¹⁹")</f>
        <v/>
      </c>
      <c r="B5639" t="n">
        <v>19</v>
      </c>
      <c r="C5639" t="inlineStr"/>
      <c r="D5639" t="inlineStr">
        <is>
          <t>288</t>
        </is>
      </c>
      <c r="E5639" t="inlineStr">
        <is>
          <t>1</t>
        </is>
      </c>
      <c r="F5639" t="inlineStr">
        <is>
          <t>24</t>
        </is>
      </c>
      <c r="G5639" t="inlineStr">
        <is>
          <t>0</t>
        </is>
      </c>
      <c r="H5639" t="inlineStr">
        <is>
          <t>0</t>
        </is>
      </c>
      <c r="I5639" t="inlineStr">
        <is>
          <t>6⁴, 12², 24², 48⁴</t>
        </is>
      </c>
      <c r="J5639" t="n">
        <v>12</v>
      </c>
      <c r="K5639" t="inlineStr">
        <is>
          <t>1⁴, 2², 4², 8¹</t>
        </is>
      </c>
      <c r="L5639" t="inlineStr">
        <is>
          <t>16N³, 48B⁹</t>
        </is>
      </c>
      <c r="M5639" t="inlineStr"/>
      <c r="N5639" t="inlineStr">
        <is>
          <t>48A⁵, 24F⁴, 48B⁹, 16A¹, 8C⁰, 2B⁰, 8I⁰, 4B⁰, 1A⁰, 16N³, 24B², 16G¹, 16D⁰, 12B¹, 3A⁰, 6D⁰, 48D⁴</t>
        </is>
      </c>
      <c r="O5639" t="inlineStr"/>
    </row>
    <row r="5640">
      <c r="A5640">
        <f>HYPERLINK("https://mathstats.uncg.edu/sites/pauli/congruence/csg19.html#group48R19", "48R¹⁹")</f>
        <v/>
      </c>
      <c r="B5640" t="n">
        <v>19</v>
      </c>
      <c r="C5640" t="inlineStr"/>
      <c r="D5640" t="inlineStr">
        <is>
          <t>288</t>
        </is>
      </c>
      <c r="E5640" t="inlineStr">
        <is>
          <t>1</t>
        </is>
      </c>
      <c r="F5640" t="inlineStr">
        <is>
          <t>24</t>
        </is>
      </c>
      <c r="G5640" t="inlineStr">
        <is>
          <t>0</t>
        </is>
      </c>
      <c r="H5640" t="inlineStr">
        <is>
          <t>0</t>
        </is>
      </c>
      <c r="I5640" t="inlineStr">
        <is>
          <t>12⁴, 24⁶, 48²</t>
        </is>
      </c>
      <c r="J5640" t="n">
        <v>12</v>
      </c>
      <c r="K5640" t="inlineStr">
        <is>
          <t>1⁸, 2⁴, 4²</t>
        </is>
      </c>
      <c r="L5640" t="inlineStr">
        <is>
          <t>16O³, 24D⁹</t>
        </is>
      </c>
      <c r="M5640" t="inlineStr"/>
      <c r="N5640" t="inlineStr">
        <is>
          <t>2A⁰, 24A³, 8A¹, 12C⁰, 16O³, 4C⁰, 24A⁵, 8B⁰, 6C¹, 12B², 8L⁰, 2B⁰, 8B¹, 4E⁰, 4B⁰, 1A⁰, 24D⁹, 6A⁰, 24A⁰, 8G¹, 24M², 12B¹, 6A¹, 3A⁰, 8J⁰, 2C⁰, 6D⁰, 24G⁴</t>
        </is>
      </c>
      <c r="O5640" t="inlineStr"/>
    </row>
    <row r="5641">
      <c r="A5641">
        <f>HYPERLINK("https://mathstats.uncg.edu/sites/pauli/congruence/csg19.html#group48S19", "48S¹⁹")</f>
        <v/>
      </c>
      <c r="B5641" t="n">
        <v>19</v>
      </c>
      <c r="C5641" t="inlineStr"/>
      <c r="D5641" t="inlineStr">
        <is>
          <t>288</t>
        </is>
      </c>
      <c r="E5641" t="inlineStr">
        <is>
          <t>1</t>
        </is>
      </c>
      <c r="F5641" t="inlineStr">
        <is>
          <t>24</t>
        </is>
      </c>
      <c r="G5641" t="inlineStr">
        <is>
          <t>12</t>
        </is>
      </c>
      <c r="H5641" t="inlineStr">
        <is>
          <t>0</t>
        </is>
      </c>
      <c r="I5641" t="inlineStr">
        <is>
          <t>48⁶</t>
        </is>
      </c>
      <c r="J5641" t="n">
        <v>6</v>
      </c>
      <c r="K5641" t="inlineStr">
        <is>
          <t>4², 8²</t>
        </is>
      </c>
      <c r="L5641" t="inlineStr">
        <is>
          <t>16I⁵, 24K⁷</t>
        </is>
      </c>
      <c r="M5641" t="inlineStr"/>
      <c r="N5641" t="inlineStr">
        <is>
          <t>24K⁷, 12C⁰, 8D⁰, 4C⁰, 8B⁰, 8A⁰, 2B⁰, 24L², 8K⁰, 1A⁰, 8D¹, 8H¹, 24J³, 8H⁰, 24H⁴, 12A⁰, 24A¹, 24A⁰, 4A⁰, 16I⁵, 24C¹, 12J¹, 4F⁰, 3A⁰, 6D⁰</t>
        </is>
      </c>
      <c r="O5641" t="inlineStr"/>
    </row>
    <row r="5642">
      <c r="A5642">
        <f>HYPERLINK("https://mathstats.uncg.edu/sites/pauli/congruence/csg19.html#group48T19", "48T¹⁹")</f>
        <v/>
      </c>
      <c r="B5642" t="n">
        <v>19</v>
      </c>
      <c r="C5642" t="inlineStr"/>
      <c r="D5642" t="inlineStr">
        <is>
          <t>288</t>
        </is>
      </c>
      <c r="E5642" t="inlineStr">
        <is>
          <t>1</t>
        </is>
      </c>
      <c r="F5642" t="inlineStr">
        <is>
          <t>24</t>
        </is>
      </c>
      <c r="G5642" t="inlineStr">
        <is>
          <t>12</t>
        </is>
      </c>
      <c r="H5642" t="inlineStr">
        <is>
          <t>0</t>
        </is>
      </c>
      <c r="I5642" t="inlineStr">
        <is>
          <t>48⁶</t>
        </is>
      </c>
      <c r="J5642" t="n">
        <v>6</v>
      </c>
      <c r="K5642" t="inlineStr">
        <is>
          <t>4², 8²</t>
        </is>
      </c>
      <c r="L5642" t="inlineStr">
        <is>
          <t>16J⁵, 24K⁷, 48F¹⁰</t>
        </is>
      </c>
      <c r="M5642" t="inlineStr"/>
      <c r="N5642" t="inlineStr">
        <is>
          <t>24K⁷, 12C⁰, 16A⁰, 8D⁰, 4C⁰, 8B⁰, 8A⁰, 16G³, 2B⁰, 48F¹⁰, 24L², 8K⁰, 1A⁰, 8D¹, 8H¹, 24J³, 8H⁰, 24H⁴, 12A⁰, 24A¹, 48A³, 24A⁰, 4A⁰, 24C¹, 12J¹, 4F⁰, 3A⁰, 16J⁵, 6D⁰</t>
        </is>
      </c>
      <c r="O5642" t="inlineStr"/>
    </row>
    <row r="5643">
      <c r="A5643">
        <f>HYPERLINK("https://mathstats.uncg.edu/sites/pauli/congruence/csg19.html#group48U19", "48U¹⁹")</f>
        <v/>
      </c>
      <c r="B5643" t="n">
        <v>19</v>
      </c>
      <c r="C5643" t="inlineStr"/>
      <c r="D5643" t="inlineStr">
        <is>
          <t>288</t>
        </is>
      </c>
      <c r="E5643" t="inlineStr">
        <is>
          <t>1</t>
        </is>
      </c>
      <c r="F5643" t="inlineStr">
        <is>
          <t>36</t>
        </is>
      </c>
      <c r="G5643" t="inlineStr">
        <is>
          <t>0</t>
        </is>
      </c>
      <c r="H5643" t="inlineStr">
        <is>
          <t>0</t>
        </is>
      </c>
      <c r="I5643" t="inlineStr">
        <is>
          <t>12⁸, 48⁴</t>
        </is>
      </c>
      <c r="J5643" t="n">
        <v>12</v>
      </c>
      <c r="K5643" t="inlineStr">
        <is>
          <t>2⁴, 4³, 8²</t>
        </is>
      </c>
      <c r="L5643" t="inlineStr">
        <is>
          <t>48I⁶, 48N⁸, 24Q⁹, 48AD⁹, 48D¹⁰</t>
        </is>
      </c>
      <c r="M5643" t="inlineStr"/>
      <c r="N5643" t="inlineStr">
        <is>
          <t>12I², 48AD⁹, 24O², 24E¹, 24A³, 12C⁰, 48G³, 4C⁰, 48D¹⁰, 12M¹, 2B⁰, 24C², 1A⁰, 24Q⁹, 48N⁸, 6H⁰, 3A⁰, 24G⁵, 6B⁰, 8A¹, 48I⁶, 8D⁰, 48H⁴, 12F⁰, 24D⁵, 12A⁰, 8C¹, 4A⁰, 24K⁴, 24C¹, 12J¹, 12D⁰, 4F⁰, 12H⁰, 24L⁴, 6D⁰, 24B⁵</t>
        </is>
      </c>
      <c r="O5643" t="inlineStr"/>
    </row>
    <row r="5644">
      <c r="A5644">
        <f>HYPERLINK("https://mathstats.uncg.edu/sites/pauli/congruence/csg19.html#group48V19", "48V¹⁹")</f>
        <v/>
      </c>
      <c r="B5644" t="n">
        <v>19</v>
      </c>
      <c r="C5644" t="inlineStr"/>
      <c r="D5644" t="inlineStr">
        <is>
          <t>288</t>
        </is>
      </c>
      <c r="E5644" t="inlineStr">
        <is>
          <t>1</t>
        </is>
      </c>
      <c r="F5644" t="inlineStr">
        <is>
          <t>36</t>
        </is>
      </c>
      <c r="G5644" t="inlineStr">
        <is>
          <t>0</t>
        </is>
      </c>
      <c r="H5644" t="inlineStr">
        <is>
          <t>0</t>
        </is>
      </c>
      <c r="I5644" t="inlineStr">
        <is>
          <t>12⁸, 48⁴</t>
        </is>
      </c>
      <c r="J5644" t="n">
        <v>12</v>
      </c>
      <c r="K5644" t="inlineStr">
        <is>
          <t>1², 2³, 4³, 8²</t>
        </is>
      </c>
      <c r="L5644" t="inlineStr">
        <is>
          <t>48Z⁷, 48Z⁸, 24R⁹, 48R⁹, 48D¹⁰</t>
        </is>
      </c>
      <c r="M5644" t="inlineStr"/>
      <c r="N5644" t="inlineStr">
        <is>
          <t>24Q³, 24E¹, 24A³, 12C⁰, 48G³, 48Z⁸, 4C⁰, 48D¹⁰, 6G⁰, 12M¹, 2B⁰, 24P³, 24E⁵, 1A⁰, 24O³, 3C⁰, 3A⁰, 48R⁹, 24G⁵, 12G¹, 8A¹, 48H⁴, 8D⁰, 24D¹, 48Z⁷, 12L¹, 12J³, 24R⁹, 12A⁰, 8C¹, 12C¹, 4A⁰, 24C¹, 12J¹, 4F⁰, 6D⁰, 24B⁵</t>
        </is>
      </c>
      <c r="O5644" t="inlineStr"/>
    </row>
    <row r="5645">
      <c r="A5645">
        <f>HYPERLINK("https://mathstats.uncg.edu/sites/pauli/congruence/csg19.html#group48W19", "48W¹⁹")</f>
        <v/>
      </c>
      <c r="B5645" t="n">
        <v>19</v>
      </c>
      <c r="C5645" t="inlineStr"/>
      <c r="D5645" t="inlineStr">
        <is>
          <t>288</t>
        </is>
      </c>
      <c r="E5645" t="inlineStr">
        <is>
          <t>1</t>
        </is>
      </c>
      <c r="F5645" t="inlineStr">
        <is>
          <t>36</t>
        </is>
      </c>
      <c r="G5645" t="inlineStr">
        <is>
          <t>0</t>
        </is>
      </c>
      <c r="H5645" t="inlineStr">
        <is>
          <t>0</t>
        </is>
      </c>
      <c r="I5645" t="inlineStr">
        <is>
          <t>12⁸, 48⁴</t>
        </is>
      </c>
      <c r="J5645" t="n">
        <v>12</v>
      </c>
      <c r="K5645" t="inlineStr">
        <is>
          <t>1², 2³, 4³, 8²</t>
        </is>
      </c>
      <c r="L5645" t="inlineStr">
        <is>
          <t>48Z⁷, 24O⁹, 48S⁹, 48U⁹, 48AD⁹</t>
        </is>
      </c>
      <c r="M5645" t="inlineStr"/>
      <c r="N5645" t="inlineStr">
        <is>
          <t>48AD⁹, 24E¹, 12C⁰, 48G³, 24P⁴, 48H⁴, 8D⁰, 4C⁰, 48U⁹, 6G⁰, 2B⁰, 12M¹, 24C², 48Z⁷, 1A⁰, 12L¹, 24O³, 24O⁹, 48E⁴, 12C¹, 12I³, 24C⁵, 48S⁹, 16C¹, 24C¹, 3C⁰, 3A⁰, 24L⁴, 6D⁰</t>
        </is>
      </c>
      <c r="O5645" t="inlineStr"/>
    </row>
    <row r="5646">
      <c r="A5646">
        <f>HYPERLINK("https://mathstats.uncg.edu/sites/pauli/congruence/csg19.html#group48X19", "48X¹⁹")</f>
        <v/>
      </c>
      <c r="B5646" t="n">
        <v>19</v>
      </c>
      <c r="C5646" t="inlineStr"/>
      <c r="D5646" t="inlineStr">
        <is>
          <t>288</t>
        </is>
      </c>
      <c r="E5646" t="inlineStr">
        <is>
          <t>1</t>
        </is>
      </c>
      <c r="F5646" t="inlineStr">
        <is>
          <t>36</t>
        </is>
      </c>
      <c r="G5646" t="inlineStr">
        <is>
          <t>0</t>
        </is>
      </c>
      <c r="H5646" t="inlineStr">
        <is>
          <t>0</t>
        </is>
      </c>
      <c r="I5646" t="inlineStr">
        <is>
          <t>12⁸, 48⁴</t>
        </is>
      </c>
      <c r="J5646" t="n">
        <v>12</v>
      </c>
      <c r="K5646" t="inlineStr">
        <is>
          <t>1², 2³, 4³, 8²</t>
        </is>
      </c>
      <c r="L5646" t="inlineStr">
        <is>
          <t>48AA⁷, 24O⁹, 48R⁹, 48T⁹, 48AD⁹</t>
        </is>
      </c>
      <c r="M5646" t="inlineStr"/>
      <c r="N5646" t="inlineStr">
        <is>
          <t>48AD⁹, 24E¹, 48T⁹, 12C⁰, 48G³, 3A⁰, 24P⁴, 48H⁴, 8D⁰, 4C⁰, 6G⁰, 2B⁰, 12M¹, 24C², 1A⁰, 12L¹, 24O³, 24O⁹, 16E⁰, 12C¹, 12I³, 24C⁵, 6D⁰, 24C¹, 3C⁰, 48D³, 48AA⁷, 24L⁴, 48R⁹</t>
        </is>
      </c>
      <c r="O5646" t="inlineStr"/>
    </row>
    <row r="5647">
      <c r="A5647">
        <f>HYPERLINK("https://mathstats.uncg.edu/sites/pauli/congruence/csg19.html#group48Y19", "48Y¹⁹")</f>
        <v/>
      </c>
      <c r="B5647" t="n">
        <v>19</v>
      </c>
      <c r="C5647" t="inlineStr"/>
      <c r="D5647" t="inlineStr">
        <is>
          <t>288</t>
        </is>
      </c>
      <c r="E5647" t="inlineStr">
        <is>
          <t>1</t>
        </is>
      </c>
      <c r="F5647" t="inlineStr">
        <is>
          <t>36</t>
        </is>
      </c>
      <c r="G5647" t="inlineStr">
        <is>
          <t>0</t>
        </is>
      </c>
      <c r="H5647" t="inlineStr">
        <is>
          <t>0</t>
        </is>
      </c>
      <c r="I5647" t="inlineStr">
        <is>
          <t>12⁸, 48⁴</t>
        </is>
      </c>
      <c r="J5647" t="n">
        <v>12</v>
      </c>
      <c r="K5647" t="inlineStr">
        <is>
          <t>1², 2³, 4³, 8²</t>
        </is>
      </c>
      <c r="L5647" t="inlineStr">
        <is>
          <t>48J⁶, 48O⁸, 24Q⁹, 48T⁹, 48U⁹, 48C¹⁰, 48D¹⁰</t>
        </is>
      </c>
      <c r="M5647" t="inlineStr"/>
      <c r="N5647" t="inlineStr">
        <is>
          <t>12I², 24O², 24E¹, 24A³, 12C⁰, 48G³, 48O⁸, 4C⁰, 48D¹⁰, 12M¹, 2B⁰, 24C², 1A⁰, 24Q⁹, 16E⁰, 48E⁴, 48D³, 6H⁰, 3A⁰, 24G⁵, 16D², 48T⁹, 6B⁰, 8A¹, 8D⁰, 48H⁴, 12F⁰, 48U⁹, 24D⁵, 12A⁰, 8C¹, 4A⁰, 48J⁶, 16C¹, 24K⁴, 24C¹, 12J¹, 12D⁰, 4F⁰, 48C¹⁰, 12H⁰, 24L⁴, 6D⁰, 24B⁵</t>
        </is>
      </c>
      <c r="O5647" t="inlineStr"/>
    </row>
    <row r="5648">
      <c r="A5648">
        <f>HYPERLINK("https://mathstats.uncg.edu/sites/pauli/congruence/csg19.html#group48Z19", "48Z¹⁹")</f>
        <v/>
      </c>
      <c r="B5648" t="n">
        <v>19</v>
      </c>
      <c r="C5648" t="inlineStr"/>
      <c r="D5648" t="inlineStr">
        <is>
          <t>288</t>
        </is>
      </c>
      <c r="E5648" t="inlineStr">
        <is>
          <t>1</t>
        </is>
      </c>
      <c r="F5648" t="inlineStr">
        <is>
          <t>36</t>
        </is>
      </c>
      <c r="G5648" t="inlineStr">
        <is>
          <t>0</t>
        </is>
      </c>
      <c r="H5648" t="inlineStr">
        <is>
          <t>0</t>
        </is>
      </c>
      <c r="I5648" t="inlineStr">
        <is>
          <t>12⁸, 48⁴</t>
        </is>
      </c>
      <c r="J5648" t="n">
        <v>12</v>
      </c>
      <c r="K5648" t="inlineStr">
        <is>
          <t>1², 2³, 4³, 8²</t>
        </is>
      </c>
      <c r="L5648" t="inlineStr">
        <is>
          <t>48AA⁷, 48P⁸, 48Q⁸, 24R⁹, 48S⁹, 48C¹⁰, 48D¹⁰</t>
        </is>
      </c>
      <c r="M5648" t="inlineStr"/>
      <c r="N5648" t="inlineStr">
        <is>
          <t>24Q³, 24E¹, 24A³, 12C⁰, 48G³, 4C⁰, 48D¹⁰, 6G⁰, 2B⁰, 12M¹, 24P³, 24E⁵, 1A⁰, 24O³, 16E⁰, 48E⁴, 48S⁹, 3C⁰, 48D³, 3A⁰, 16D², 24G⁵, 12G¹, 8A¹, 48H⁴, 8D⁰, 24D¹, 48P⁸, 48Q⁸, 12L¹, 12J³, 24R⁹, 12A⁰, 8C¹, 12C¹, 4A⁰, 16C¹, 24C¹, 12J¹, 4F⁰, 48C¹⁰, 48AA⁷, 6D⁰, 24B⁵</t>
        </is>
      </c>
      <c r="O5648" t="inlineStr"/>
    </row>
    <row r="5649">
      <c r="A5649">
        <f>HYPERLINK("https://mathstats.uncg.edu/sites/pauli/congruence/csg19.html#group48AA19", "48AA¹⁹")</f>
        <v/>
      </c>
      <c r="B5649" t="n">
        <v>19</v>
      </c>
      <c r="C5649" t="inlineStr"/>
      <c r="D5649" t="inlineStr">
        <is>
          <t>288</t>
        </is>
      </c>
      <c r="E5649" t="inlineStr">
        <is>
          <t>1</t>
        </is>
      </c>
      <c r="F5649" t="inlineStr">
        <is>
          <t>36</t>
        </is>
      </c>
      <c r="G5649" t="inlineStr">
        <is>
          <t>0</t>
        </is>
      </c>
      <c r="H5649" t="inlineStr">
        <is>
          <t>0</t>
        </is>
      </c>
      <c r="I5649" t="inlineStr">
        <is>
          <t>12⁸, 48⁴</t>
        </is>
      </c>
      <c r="J5649" t="n">
        <v>12</v>
      </c>
      <c r="K5649" t="inlineStr">
        <is>
          <t>2⁸, 4³, 8¹</t>
        </is>
      </c>
      <c r="L5649" t="inlineStr">
        <is>
          <t>24N⁷, 48E¹⁰</t>
        </is>
      </c>
      <c r="M5649" t="inlineStr"/>
      <c r="N5649" t="inlineStr">
        <is>
          <t>24I⁴, 12K¹, 12D², 6G⁰, 2B⁰, 8C⁰, 12N¹, 4B⁰, 1A⁰, 24B², 24D², 3C⁰, 12B¹, 24K³, 6H⁰, 3A⁰, 48E¹⁰, 6B⁰, 24N⁷, 24J⁴, 12C¹, 6E⁰, 6L⁰, 12E³, 12D⁰, 24L³, 12C², 6D⁰</t>
        </is>
      </c>
      <c r="O5649" t="inlineStr"/>
    </row>
    <row r="5650">
      <c r="A5650">
        <f>HYPERLINK("https://mathstats.uncg.edu/sites/pauli/congruence/csg19.html#group48AB19", "48AB¹⁹")</f>
        <v/>
      </c>
      <c r="B5650" t="n">
        <v>19</v>
      </c>
      <c r="C5650" t="inlineStr"/>
      <c r="D5650" t="inlineStr">
        <is>
          <t>288</t>
        </is>
      </c>
      <c r="E5650" t="inlineStr">
        <is>
          <t>1</t>
        </is>
      </c>
      <c r="F5650" t="inlineStr">
        <is>
          <t>36</t>
        </is>
      </c>
      <c r="G5650" t="inlineStr">
        <is>
          <t>8</t>
        </is>
      </c>
      <c r="H5650" t="inlineStr">
        <is>
          <t>0</t>
        </is>
      </c>
      <c r="I5650" t="inlineStr">
        <is>
          <t>24⁴, 48⁴</t>
        </is>
      </c>
      <c r="J5650" t="n">
        <v>8</v>
      </c>
      <c r="K5650" t="inlineStr">
        <is>
          <t>2², 4⁴, 8²</t>
        </is>
      </c>
      <c r="L5650" t="inlineStr">
        <is>
          <t>24K⁷, 48AB⁷, 48K⁹</t>
        </is>
      </c>
      <c r="M5650" t="inlineStr"/>
      <c r="N5650" t="inlineStr">
        <is>
          <t>24K⁷, 12C⁰, 8D⁰, 48K⁹, 4C⁰, 8B⁰, 8A⁰, 2B⁰, 24L², 8K⁰, 1A⁰, 8D¹, 8H¹, 24J³, 8H⁰, 48C⁴, 48AB⁷, 24H⁴, 12A⁰, 24A¹, 24A⁰, 4A⁰, 24C¹, 12J¹, 4F⁰, 48F³, 3A⁰, 6D⁰</t>
        </is>
      </c>
      <c r="O5650" t="inlineStr"/>
    </row>
    <row r="5651">
      <c r="A5651">
        <f>HYPERLINK("https://mathstats.uncg.edu/sites/pauli/congruence/csg19.html#group48AC19", "48AC¹⁹")</f>
        <v/>
      </c>
      <c r="B5651" t="n">
        <v>19</v>
      </c>
      <c r="C5651" t="inlineStr"/>
      <c r="D5651" t="inlineStr">
        <is>
          <t>288</t>
        </is>
      </c>
      <c r="E5651" t="inlineStr">
        <is>
          <t>1</t>
        </is>
      </c>
      <c r="F5651" t="inlineStr">
        <is>
          <t>36</t>
        </is>
      </c>
      <c r="G5651" t="inlineStr">
        <is>
          <t>8</t>
        </is>
      </c>
      <c r="H5651" t="inlineStr">
        <is>
          <t>0</t>
        </is>
      </c>
      <c r="I5651" t="inlineStr">
        <is>
          <t>24⁴, 48⁴</t>
        </is>
      </c>
      <c r="J5651" t="n">
        <v>8</v>
      </c>
      <c r="K5651" t="inlineStr">
        <is>
          <t>2², 4⁴, 8²</t>
        </is>
      </c>
      <c r="L5651" t="inlineStr">
        <is>
          <t>24AB⁷, 48O⁷, 48K⁹</t>
        </is>
      </c>
      <c r="M5651" t="inlineStr"/>
      <c r="N5651" t="inlineStr">
        <is>
          <t>24O⁴, 12C⁰, 8D⁰, 48K⁹, 4C⁰, 8B⁰, 2B⁰, 24B¹, 24L², 1A⁰, 48C⁴, 8H⁰, 12A⁰, 24A⁰, 4A⁰, 24C¹, 48F³, 24AB⁷, 12J¹, 4F⁰, 24R³, 3A⁰, 48O⁷, 16H¹, 6D⁰</t>
        </is>
      </c>
      <c r="O5651" t="inlineStr"/>
    </row>
    <row r="5652">
      <c r="A5652">
        <f>HYPERLINK("https://mathstats.uncg.edu/sites/pauli/congruence/csg19.html#group48AD19", "48AD¹⁹")</f>
        <v/>
      </c>
      <c r="B5652" t="n">
        <v>19</v>
      </c>
      <c r="C5652" t="inlineStr"/>
      <c r="D5652" t="inlineStr">
        <is>
          <t>288</t>
        </is>
      </c>
      <c r="E5652" t="inlineStr">
        <is>
          <t>1</t>
        </is>
      </c>
      <c r="F5652" t="inlineStr">
        <is>
          <t>36</t>
        </is>
      </c>
      <c r="G5652" t="inlineStr">
        <is>
          <t>8</t>
        </is>
      </c>
      <c r="H5652" t="inlineStr">
        <is>
          <t>0</t>
        </is>
      </c>
      <c r="I5652" t="inlineStr">
        <is>
          <t>24⁴, 48⁴</t>
        </is>
      </c>
      <c r="J5652" t="n">
        <v>8</v>
      </c>
      <c r="K5652" t="inlineStr">
        <is>
          <t>1², 2³, 4³, 8²</t>
        </is>
      </c>
      <c r="L5652" t="inlineStr">
        <is>
          <t>24L⁷, 48AC⁷, 48K⁹</t>
        </is>
      </c>
      <c r="M5652" t="inlineStr"/>
      <c r="N5652" t="inlineStr">
        <is>
          <t>12C⁰, 48G³, 48AC⁷, 48H⁴, 8D⁰, 48K⁹, 4C⁰, 8B⁰, 2B⁰, 24L², 1A⁰, 48C⁴, 8H⁰, 24F¹, 12A⁰, 8F⁰, 24A⁰, 4A⁰, 8I¹, 24C¹, 24L⁷, 12J¹, 4F⁰, 48F³, 3A⁰, 6D⁰</t>
        </is>
      </c>
      <c r="O5652" t="inlineStr"/>
    </row>
    <row r="5653">
      <c r="A5653">
        <f>HYPERLINK("https://mathstats.uncg.edu/sites/pauli/congruence/csg19.html#group48AE19", "48AE¹⁹")</f>
        <v/>
      </c>
      <c r="B5653" t="n">
        <v>19</v>
      </c>
      <c r="C5653" t="inlineStr"/>
      <c r="D5653" t="inlineStr">
        <is>
          <t>288</t>
        </is>
      </c>
      <c r="E5653" t="inlineStr">
        <is>
          <t>1</t>
        </is>
      </c>
      <c r="F5653" t="inlineStr">
        <is>
          <t>36</t>
        </is>
      </c>
      <c r="G5653" t="inlineStr">
        <is>
          <t>8</t>
        </is>
      </c>
      <c r="H5653" t="inlineStr">
        <is>
          <t>0</t>
        </is>
      </c>
      <c r="I5653" t="inlineStr">
        <is>
          <t>24⁴, 48⁴</t>
        </is>
      </c>
      <c r="J5653" t="n">
        <v>8</v>
      </c>
      <c r="K5653" t="inlineStr">
        <is>
          <t>1², 2³, 4³, 8²</t>
        </is>
      </c>
      <c r="L5653" t="inlineStr">
        <is>
          <t>24AC⁷, 48P⁷, 48K⁹</t>
        </is>
      </c>
      <c r="M5653" t="inlineStr"/>
      <c r="N5653" t="inlineStr">
        <is>
          <t>12C⁰, 24AC⁷, 16I¹, 8D⁰, 48K⁹, 4C⁰, 48P⁷, 8B⁰, 2B⁰, 24L², 1A⁰, 48C⁴, 8H⁰, 16E⁰, 12A⁰, 48E⁴, 24A⁰, 4A⁰, 16C¹, 24C¹, 48F³, 12J¹, 48D³, 4F⁰, 3A⁰, 6D⁰</t>
        </is>
      </c>
      <c r="O5653" t="inlineStr"/>
    </row>
    <row r="5654">
      <c r="A5654">
        <f>HYPERLINK("https://mathstats.uncg.edu/sites/pauli/congruence/csg19.html#group48AF19", "48AF¹⁹")</f>
        <v/>
      </c>
      <c r="B5654" t="n">
        <v>19</v>
      </c>
      <c r="C5654" t="inlineStr"/>
      <c r="D5654" t="inlineStr">
        <is>
          <t>288</t>
        </is>
      </c>
      <c r="E5654" t="inlineStr">
        <is>
          <t>1</t>
        </is>
      </c>
      <c r="F5654" t="inlineStr">
        <is>
          <t>36</t>
        </is>
      </c>
      <c r="G5654" t="inlineStr">
        <is>
          <t>8</t>
        </is>
      </c>
      <c r="H5654" t="inlineStr">
        <is>
          <t>0</t>
        </is>
      </c>
      <c r="I5654" t="inlineStr">
        <is>
          <t>24⁴, 48⁴</t>
        </is>
      </c>
      <c r="J5654" t="n">
        <v>8</v>
      </c>
      <c r="K5654" t="inlineStr">
        <is>
          <t>2², 4⁸</t>
        </is>
      </c>
      <c r="L5654" t="inlineStr">
        <is>
          <t>24P⁷, 48H⁹, 48V⁹</t>
        </is>
      </c>
      <c r="M5654" t="inlineStr"/>
      <c r="N5654" t="inlineStr">
        <is>
          <t>48V⁹, 24Q³, 24E¹, 24P⁷, 12C⁰, 8D⁰, 4C⁰, 24D¹, 6G⁰, 2B⁰, 12M¹, 1A⁰, 12L¹, 24O³, 12C¹, 24H³, 48H⁹, 12I³, 24T³, 3C⁰, 24C¹, 3A⁰, 6D⁰</t>
        </is>
      </c>
      <c r="O5654" t="inlineStr"/>
    </row>
    <row r="5655">
      <c r="A5655">
        <f>HYPERLINK("https://mathstats.uncg.edu/sites/pauli/congruence/csg19.html#group48AG19", "48AG¹⁹")</f>
        <v/>
      </c>
      <c r="B5655" t="n">
        <v>19</v>
      </c>
      <c r="C5655" t="inlineStr"/>
      <c r="D5655" t="inlineStr">
        <is>
          <t>288</t>
        </is>
      </c>
      <c r="E5655" t="inlineStr">
        <is>
          <t>1</t>
        </is>
      </c>
      <c r="F5655" t="inlineStr">
        <is>
          <t>36</t>
        </is>
      </c>
      <c r="G5655" t="inlineStr">
        <is>
          <t>8</t>
        </is>
      </c>
      <c r="H5655" t="inlineStr">
        <is>
          <t>0</t>
        </is>
      </c>
      <c r="I5655" t="inlineStr">
        <is>
          <t>24⁴, 48⁴</t>
        </is>
      </c>
      <c r="J5655" t="n">
        <v>8</v>
      </c>
      <c r="K5655" t="inlineStr">
        <is>
          <t>2², 4⁸</t>
        </is>
      </c>
      <c r="L5655" t="inlineStr">
        <is>
          <t>24P⁷, 48I⁹, 48V⁹</t>
        </is>
      </c>
      <c r="M5655" t="inlineStr"/>
      <c r="N5655" t="inlineStr">
        <is>
          <t>48V⁹, 24Q³, 24E¹, 24P⁷, 12C⁰, 8D⁰, 4C⁰, 24D¹, 6G⁰, 2B⁰, 48I⁹, 12M¹, 1A⁰, 12L¹, 24O³, 12C¹, 24H³, 12I³, 24T³, 3C⁰, 24C¹, 3A⁰, 6D⁰</t>
        </is>
      </c>
      <c r="O5655" t="inlineStr"/>
    </row>
    <row r="5656">
      <c r="A5656">
        <f>HYPERLINK("https://mathstats.uncg.edu/sites/pauli/congruence/csg19.html#group48AH19", "48AH¹⁹")</f>
        <v/>
      </c>
      <c r="B5656" t="n">
        <v>19</v>
      </c>
      <c r="C5656" t="inlineStr"/>
      <c r="D5656" t="inlineStr">
        <is>
          <t>288</t>
        </is>
      </c>
      <c r="E5656" t="inlineStr">
        <is>
          <t>1</t>
        </is>
      </c>
      <c r="F5656" t="inlineStr">
        <is>
          <t>36</t>
        </is>
      </c>
      <c r="G5656" t="inlineStr">
        <is>
          <t>8</t>
        </is>
      </c>
      <c r="H5656" t="inlineStr">
        <is>
          <t>0</t>
        </is>
      </c>
      <c r="I5656" t="inlineStr">
        <is>
          <t>24⁴, 48⁴</t>
        </is>
      </c>
      <c r="J5656" t="n">
        <v>8</v>
      </c>
      <c r="K5656" t="inlineStr">
        <is>
          <t>2², 4⁸</t>
        </is>
      </c>
      <c r="L5656" t="inlineStr">
        <is>
          <t>24Q⁷, 48H⁹, 48V⁹</t>
        </is>
      </c>
      <c r="M5656" t="inlineStr"/>
      <c r="N5656" t="inlineStr">
        <is>
          <t>24E¹, 12C⁰, 4C⁰, 6G⁰, 2B⁰, 12M¹, 24P³, 1A⁰, 24H³, 24N³, 24T³, 3C⁰, 3A⁰, 48V⁹, 12G¹, 24D¹, 12L¹, 12J³, 12A⁰, 12C¹, 48H⁹, 4A⁰, 12J¹, 4F⁰, 24Q⁷, 6D⁰</t>
        </is>
      </c>
      <c r="O5656" t="inlineStr"/>
    </row>
    <row r="5657">
      <c r="A5657">
        <f>HYPERLINK("https://mathstats.uncg.edu/sites/pauli/congruence/csg19.html#group48AI19", "48AI¹⁹")</f>
        <v/>
      </c>
      <c r="B5657" t="n">
        <v>19</v>
      </c>
      <c r="C5657" t="inlineStr"/>
      <c r="D5657" t="inlineStr">
        <is>
          <t>288</t>
        </is>
      </c>
      <c r="E5657" t="inlineStr">
        <is>
          <t>1</t>
        </is>
      </c>
      <c r="F5657" t="inlineStr">
        <is>
          <t>36</t>
        </is>
      </c>
      <c r="G5657" t="inlineStr">
        <is>
          <t>8</t>
        </is>
      </c>
      <c r="H5657" t="inlineStr">
        <is>
          <t>0</t>
        </is>
      </c>
      <c r="I5657" t="inlineStr">
        <is>
          <t>24⁴, 48⁴</t>
        </is>
      </c>
      <c r="J5657" t="n">
        <v>8</v>
      </c>
      <c r="K5657" t="inlineStr">
        <is>
          <t>2², 4⁸</t>
        </is>
      </c>
      <c r="L5657" t="inlineStr">
        <is>
          <t>24Q⁷, 48I⁹, 48V⁹</t>
        </is>
      </c>
      <c r="M5657" t="inlineStr"/>
      <c r="N5657" t="inlineStr">
        <is>
          <t>24E¹, 12C⁰, 4C⁰, 6G⁰, 2B⁰, 12M¹, 24P³, 1A⁰, 24H³, 24N³, 24T³, 3C⁰, 3A⁰, 48V⁹, 12G¹, 24D¹, 48I⁹, 12L¹, 12J³, 12A⁰, 12C¹, 4A⁰, 12J¹, 4F⁰, 24Q⁷, 6D⁰</t>
        </is>
      </c>
      <c r="O5657" t="inlineStr"/>
    </row>
    <row r="5658">
      <c r="A5658">
        <f>HYPERLINK("https://mathstats.uncg.edu/sites/pauli/congruence/csg19.html#group48AJ19", "48AJ¹⁹")</f>
        <v/>
      </c>
      <c r="B5658" t="n">
        <v>19</v>
      </c>
      <c r="C5658" t="inlineStr"/>
      <c r="D5658" t="inlineStr">
        <is>
          <t>288</t>
        </is>
      </c>
      <c r="E5658" t="inlineStr">
        <is>
          <t>1</t>
        </is>
      </c>
      <c r="F5658" t="inlineStr">
        <is>
          <t>36</t>
        </is>
      </c>
      <c r="G5658" t="inlineStr">
        <is>
          <t>8</t>
        </is>
      </c>
      <c r="H5658" t="inlineStr">
        <is>
          <t>0</t>
        </is>
      </c>
      <c r="I5658" t="inlineStr">
        <is>
          <t>24⁴, 48⁴</t>
        </is>
      </c>
      <c r="J5658" t="n">
        <v>8</v>
      </c>
      <c r="K5658" t="inlineStr">
        <is>
          <t>2⁶, 4⁶</t>
        </is>
      </c>
      <c r="L5658" t="inlineStr">
        <is>
          <t>24D⁶, 48R⁸, 48AA⁸, 48K⁹, 48X⁹</t>
        </is>
      </c>
      <c r="M5658" t="inlineStr"/>
      <c r="N5658" t="inlineStr">
        <is>
          <t>24D⁶, 12C⁰, 48R⁸, 8D⁰, 48K⁹, 4C⁰, 8B⁰, 8L⁰, 2B⁰, 24L², 1A⁰, 48H³, 48C⁴, 8H⁰, 12A⁰, 24A⁰, 4A⁰, 24M², 6D⁰, 48X⁹, 24C¹, 12J¹, 4F⁰, 48F³, 3A⁰, 8P⁰, 48AA⁸</t>
        </is>
      </c>
      <c r="O5658" t="inlineStr"/>
    </row>
    <row r="5659">
      <c r="A5659">
        <f>HYPERLINK("https://mathstats.uncg.edu/sites/pauli/congruence/csg19.html#group48AK19", "48AK¹⁹")</f>
        <v/>
      </c>
      <c r="B5659" t="n">
        <v>19</v>
      </c>
      <c r="C5659" t="inlineStr"/>
      <c r="D5659" t="inlineStr">
        <is>
          <t>288</t>
        </is>
      </c>
      <c r="E5659" t="inlineStr">
        <is>
          <t>1</t>
        </is>
      </c>
      <c r="F5659" t="inlineStr">
        <is>
          <t>36</t>
        </is>
      </c>
      <c r="G5659" t="inlineStr">
        <is>
          <t>8</t>
        </is>
      </c>
      <c r="H5659" t="inlineStr">
        <is>
          <t>0</t>
        </is>
      </c>
      <c r="I5659" t="inlineStr">
        <is>
          <t>24⁴, 48⁴</t>
        </is>
      </c>
      <c r="J5659" t="n">
        <v>8</v>
      </c>
      <c r="K5659" t="inlineStr">
        <is>
          <t>2⁶, 4⁶</t>
        </is>
      </c>
      <c r="L5659" t="inlineStr">
        <is>
          <t>24G⁶, 48F⁸, 48AD⁸, 48K⁹, 48Y⁹</t>
        </is>
      </c>
      <c r="M5659" t="inlineStr"/>
      <c r="N5659" t="inlineStr">
        <is>
          <t>48F⁸, 12C⁰, 8D⁰, 48K⁹, 4C⁰, 8B⁰, 24Q², 2B⁰, 24L², 1A⁰, 48AD⁸, 16E², 48C⁴, 8H⁰, 24G⁶, 48Y⁹, 12A⁰, 16D¹, 24A⁰, 48E³, 4A⁰, 24C¹, 12J¹, 4F⁰, 48F³, 3A⁰, 6D⁰</t>
        </is>
      </c>
      <c r="O5659" t="inlineStr"/>
    </row>
    <row r="5660">
      <c r="A5660">
        <f>HYPERLINK("https://mathstats.uncg.edu/sites/pauli/congruence/csg19.html#group48AL19", "48AL¹⁹")</f>
        <v/>
      </c>
      <c r="B5660" t="n">
        <v>19</v>
      </c>
      <c r="C5660" t="inlineStr"/>
      <c r="D5660" t="inlineStr">
        <is>
          <t>288</t>
        </is>
      </c>
      <c r="E5660" t="inlineStr">
        <is>
          <t>1</t>
        </is>
      </c>
      <c r="F5660" t="inlineStr">
        <is>
          <t>36</t>
        </is>
      </c>
      <c r="G5660" t="inlineStr">
        <is>
          <t>8</t>
        </is>
      </c>
      <c r="H5660" t="inlineStr">
        <is>
          <t>0</t>
        </is>
      </c>
      <c r="I5660" t="inlineStr">
        <is>
          <t>24⁴, 48⁴</t>
        </is>
      </c>
      <c r="J5660" t="n">
        <v>8</v>
      </c>
      <c r="K5660" t="inlineStr">
        <is>
          <t>2⁶, 4⁶</t>
        </is>
      </c>
      <c r="L5660" t="inlineStr">
        <is>
          <t>24R⁷, 48F⁸, 48R⁸, 48AB⁸, 48Z⁹</t>
        </is>
      </c>
      <c r="M5660" t="inlineStr"/>
      <c r="N5660" t="inlineStr">
        <is>
          <t>48AB⁸, 24E¹, 48F⁸, 12C⁰, 48R⁸, 48Z⁹, 4C⁰, 24I³, 6G⁰, 24P², 2B⁰, 12M¹, 24C², 1A⁰, 48H³, 16E², 24O³, 16D¹, 24R⁷, 24A⁰, 3C⁰, 3A⁰, 12G¹, 8D⁰, 8B⁰, 24L², 12L¹, 12J³, 8H⁰, 12A⁰, 12C¹, 48E³, 4A⁰, 24K⁴, 24C¹, 12J¹, 4F⁰, 24L⁴, 6D⁰</t>
        </is>
      </c>
      <c r="O5660" t="inlineStr"/>
    </row>
    <row r="5661">
      <c r="A5661">
        <f>HYPERLINK("https://mathstats.uncg.edu/sites/pauli/congruence/csg19.html#group48AM19", "48AM¹⁹")</f>
        <v/>
      </c>
      <c r="B5661" t="n">
        <v>19</v>
      </c>
      <c r="C5661" t="inlineStr"/>
      <c r="D5661" t="inlineStr">
        <is>
          <t>288</t>
        </is>
      </c>
      <c r="E5661" t="inlineStr">
        <is>
          <t>1</t>
        </is>
      </c>
      <c r="F5661" t="inlineStr">
        <is>
          <t>36</t>
        </is>
      </c>
      <c r="G5661" t="inlineStr">
        <is>
          <t>8</t>
        </is>
      </c>
      <c r="H5661" t="inlineStr">
        <is>
          <t>0</t>
        </is>
      </c>
      <c r="I5661" t="inlineStr">
        <is>
          <t>24⁴, 48⁴</t>
        </is>
      </c>
      <c r="J5661" t="n">
        <v>8</v>
      </c>
      <c r="K5661" t="inlineStr">
        <is>
          <t>2⁶, 4⁶</t>
        </is>
      </c>
      <c r="L5661" t="inlineStr">
        <is>
          <t>24R⁷, 48R⁸, 48S⁸, 48T⁸, 48W⁹</t>
        </is>
      </c>
      <c r="M5661" t="inlineStr"/>
      <c r="N5661" t="inlineStr">
        <is>
          <t>24E¹, 12C⁰, 48R⁸, 4C⁰, 24I³, 6G⁰, 24P², 12M¹, 2B⁰, 24C², 1A⁰, 24O³, 48H³, 48S⁸, 24R⁷, 24A⁰, 3C⁰, 48W⁹, 3A⁰, 12G¹, 8D⁰, 8B⁰, 48T⁸, 24L², 12L¹, 12J³, 8H⁰, 12A⁰, 12C¹, 4A⁰, 24K⁴, 24C¹, 12J¹, 4F⁰, 24L⁴, 6D⁰</t>
        </is>
      </c>
      <c r="O5661" t="inlineStr"/>
    </row>
    <row r="5662">
      <c r="A5662">
        <f>HYPERLINK("https://mathstats.uncg.edu/sites/pauli/congruence/csg19.html#group48AN19", "48AN¹⁹")</f>
        <v/>
      </c>
      <c r="B5662" t="n">
        <v>19</v>
      </c>
      <c r="C5662" t="inlineStr"/>
      <c r="D5662" t="inlineStr">
        <is>
          <t>288</t>
        </is>
      </c>
      <c r="E5662" t="inlineStr">
        <is>
          <t>1</t>
        </is>
      </c>
      <c r="F5662" t="inlineStr">
        <is>
          <t>36</t>
        </is>
      </c>
      <c r="G5662" t="inlineStr">
        <is>
          <t>8</t>
        </is>
      </c>
      <c r="H5662" t="inlineStr">
        <is>
          <t>0</t>
        </is>
      </c>
      <c r="I5662" t="inlineStr">
        <is>
          <t>24⁴, 48⁴</t>
        </is>
      </c>
      <c r="J5662" t="n">
        <v>8</v>
      </c>
      <c r="K5662" t="inlineStr">
        <is>
          <t>4¹⁴, 8²</t>
        </is>
      </c>
      <c r="L5662" t="inlineStr">
        <is>
          <t>24H⁶, 48T⁸, 48AC⁸, 48L⁹, 48AE⁹</t>
        </is>
      </c>
      <c r="M5662" t="inlineStr"/>
      <c r="N5662" t="inlineStr">
        <is>
          <t>24E¹, 12C⁰, 4C⁰, 8B⁰, 48T⁸, 24P², 16B¹, 2B⁰, 12M¹, 24Q², 1A⁰, 48H³, 48C⁴, 48C³, 48L⁹, 24A⁰, 24H⁶, 48AE⁹, 48AC⁸, 3A⁰, 6D⁰</t>
        </is>
      </c>
      <c r="O5662" t="inlineStr"/>
    </row>
    <row r="5663">
      <c r="A5663">
        <f>HYPERLINK("https://mathstats.uncg.edu/sites/pauli/congruence/csg19.html#group48AO19", "48AO¹⁹")</f>
        <v/>
      </c>
      <c r="B5663" t="n">
        <v>19</v>
      </c>
      <c r="C5663" t="inlineStr"/>
      <c r="D5663" t="inlineStr">
        <is>
          <t>288</t>
        </is>
      </c>
      <c r="E5663" t="inlineStr">
        <is>
          <t>1</t>
        </is>
      </c>
      <c r="F5663" t="inlineStr">
        <is>
          <t>36</t>
        </is>
      </c>
      <c r="G5663" t="inlineStr">
        <is>
          <t>8</t>
        </is>
      </c>
      <c r="H5663" t="inlineStr">
        <is>
          <t>0</t>
        </is>
      </c>
      <c r="I5663" t="inlineStr">
        <is>
          <t>24⁴, 48⁴</t>
        </is>
      </c>
      <c r="J5663" t="n">
        <v>8</v>
      </c>
      <c r="K5663" t="inlineStr">
        <is>
          <t>4¹⁴, 8²</t>
        </is>
      </c>
      <c r="L5663" t="inlineStr">
        <is>
          <t>24I⁶, 48S⁸, 48AC⁸, 48L⁹, 48AE⁹</t>
        </is>
      </c>
      <c r="M5663" t="inlineStr"/>
      <c r="N5663" t="inlineStr">
        <is>
          <t>24E¹, 24I⁶, 12C⁰, 4C⁰, 8B⁰, 24P², 24Q², 12M¹, 2B⁰, 16B¹, 1A⁰, 48H³, 48S⁸, 48C⁴, 48C³, 48L⁹, 24A⁰, 48AE⁹, 48AC⁸, 3A⁰, 6D⁰</t>
        </is>
      </c>
      <c r="O5663" t="inlineStr"/>
    </row>
    <row r="5664">
      <c r="A5664">
        <f>HYPERLINK("https://mathstats.uncg.edu/sites/pauli/congruence/csg19.html#group48AP19", "48AP¹⁹")</f>
        <v/>
      </c>
      <c r="B5664" t="n">
        <v>19</v>
      </c>
      <c r="C5664" t="inlineStr"/>
      <c r="D5664" t="inlineStr">
        <is>
          <t>288</t>
        </is>
      </c>
      <c r="E5664" t="inlineStr">
        <is>
          <t>1</t>
        </is>
      </c>
      <c r="F5664" t="inlineStr">
        <is>
          <t>72</t>
        </is>
      </c>
      <c r="G5664" t="inlineStr">
        <is>
          <t>0</t>
        </is>
      </c>
      <c r="H5664" t="inlineStr">
        <is>
          <t>0</t>
        </is>
      </c>
      <c r="I5664" t="inlineStr">
        <is>
          <t>6⁴, 12², 24², 48⁴</t>
        </is>
      </c>
      <c r="J5664" t="n">
        <v>12</v>
      </c>
      <c r="K5664" t="inlineStr">
        <is>
          <t>1⁴, 2⁶, 4⁴, 8³, 16¹</t>
        </is>
      </c>
      <c r="L5664" t="inlineStr">
        <is>
          <t>48B⁹</t>
        </is>
      </c>
      <c r="M5664" t="inlineStr"/>
      <c r="N5664" t="inlineStr">
        <is>
          <t>48A⁵, 24F⁴, 48B⁹, 16A¹, 8C⁰, 2B⁰, 8I⁰, 4B⁰, 1A⁰, 24B², 16G¹, 16D⁰, 12B¹, 3A⁰, 6D⁰, 48D⁴</t>
        </is>
      </c>
      <c r="O5664" t="inlineStr"/>
    </row>
    <row r="5665">
      <c r="A5665">
        <f>HYPERLINK("https://mathstats.uncg.edu/sites/pauli/congruence/csg19.html#group48AQ19", "48AQ¹⁹")</f>
        <v/>
      </c>
      <c r="B5665" t="n">
        <v>19</v>
      </c>
      <c r="C5665" t="inlineStr"/>
      <c r="D5665" t="inlineStr">
        <is>
          <t>288</t>
        </is>
      </c>
      <c r="E5665" t="inlineStr">
        <is>
          <t>1</t>
        </is>
      </c>
      <c r="F5665" t="inlineStr">
        <is>
          <t>72</t>
        </is>
      </c>
      <c r="G5665" t="inlineStr">
        <is>
          <t>0</t>
        </is>
      </c>
      <c r="H5665" t="inlineStr">
        <is>
          <t>0</t>
        </is>
      </c>
      <c r="I5665" t="inlineStr">
        <is>
          <t>12⁸, 48⁴</t>
        </is>
      </c>
      <c r="J5665" t="n">
        <v>12</v>
      </c>
      <c r="K5665" t="inlineStr">
        <is>
          <t>4¹⁰, 8⁴</t>
        </is>
      </c>
      <c r="L5665" t="inlineStr">
        <is>
          <t>48K⁶, 48W⁸, 24M⁹</t>
        </is>
      </c>
      <c r="M5665" t="inlineStr"/>
      <c r="N5665" t="inlineStr">
        <is>
          <t>24G⁵, 24E¹, 24A³, 6B⁰, 12C⁰, 8A¹, 24P⁴, 24N², 48W⁸, 4C⁰, 2B⁰, 24M⁹, 12M¹, 24C², 12H⁰, 48K⁶, 1A⁰, 12H², 24D⁵, 12D⁰, 6H⁰, 3A⁰, 6D⁰</t>
        </is>
      </c>
      <c r="O5665" t="inlineStr"/>
    </row>
    <row r="5666">
      <c r="A5666">
        <f>HYPERLINK("https://mathstats.uncg.edu/sites/pauli/congruence/csg19.html#group48AR19", "48AR¹⁹")</f>
        <v/>
      </c>
      <c r="B5666" t="n">
        <v>19</v>
      </c>
      <c r="C5666" t="inlineStr"/>
      <c r="D5666" t="inlineStr">
        <is>
          <t>288</t>
        </is>
      </c>
      <c r="E5666" t="inlineStr">
        <is>
          <t>1</t>
        </is>
      </c>
      <c r="F5666" t="inlineStr">
        <is>
          <t>72</t>
        </is>
      </c>
      <c r="G5666" t="inlineStr">
        <is>
          <t>0</t>
        </is>
      </c>
      <c r="H5666" t="inlineStr">
        <is>
          <t>0</t>
        </is>
      </c>
      <c r="I5666" t="inlineStr">
        <is>
          <t>12⁴, 24⁶, 48²</t>
        </is>
      </c>
      <c r="J5666" t="n">
        <v>12</v>
      </c>
      <c r="K5666" t="inlineStr">
        <is>
          <t>1⁸, 2¹², 4⁶, 8²</t>
        </is>
      </c>
      <c r="L5666" t="inlineStr">
        <is>
          <t>24D⁹</t>
        </is>
      </c>
      <c r="M5666" t="inlineStr"/>
      <c r="N5666" t="inlineStr">
        <is>
          <t>2A⁰, 24A³, 8A¹, 12C⁰, 4C⁰, 24A⁵, 8B⁰, 6C¹, 12B², 8L⁰, 2B⁰, 8B¹, 4E⁰, 4B⁰, 1A⁰, 24D⁹, 6A⁰, 24A⁰, 8G¹, 24M², 12B¹, 6A¹, 3A⁰, 8J⁰, 2C⁰, 6D⁰, 24G⁴</t>
        </is>
      </c>
      <c r="O5666" t="inlineStr"/>
    </row>
    <row r="5667">
      <c r="A5667">
        <f>HYPERLINK("https://mathstats.uncg.edu/sites/pauli/congruence/csg19.html#group48AS19", "48AS¹⁹")</f>
        <v/>
      </c>
      <c r="B5667" t="n">
        <v>19</v>
      </c>
      <c r="C5667" t="inlineStr"/>
      <c r="D5667" t="inlineStr">
        <is>
          <t>288</t>
        </is>
      </c>
      <c r="E5667" t="inlineStr">
        <is>
          <t>1</t>
        </is>
      </c>
      <c r="F5667" t="inlineStr">
        <is>
          <t>72</t>
        </is>
      </c>
      <c r="G5667" t="inlineStr">
        <is>
          <t>4</t>
        </is>
      </c>
      <c r="H5667" t="inlineStr">
        <is>
          <t>0</t>
        </is>
      </c>
      <c r="I5667" t="inlineStr">
        <is>
          <t>24⁸, 48²</t>
        </is>
      </c>
      <c r="J5667" t="n">
        <v>10</v>
      </c>
      <c r="K5667" t="inlineStr">
        <is>
          <t>4⁴, 8⁸, 16⁴</t>
        </is>
      </c>
      <c r="L5667" t="inlineStr">
        <is>
          <t>48G⁸, 48V⁸, 24W⁹</t>
        </is>
      </c>
      <c r="M5667" t="inlineStr"/>
      <c r="N5667" t="inlineStr">
        <is>
          <t>24O⁴, 24E¹, 12C⁰, 4C⁰, 2B⁰, 24W⁹, 24B¹, 24C², 48V⁸, 1A⁰, 8K⁰, 24J³, 12A⁰, 4A⁰, 24K⁴, 48G⁸, 12J¹, 4F⁰, 3A⁰, 16K¹, 6D⁰</t>
        </is>
      </c>
      <c r="O5667" t="inlineStr"/>
    </row>
    <row r="5668">
      <c r="A5668">
        <f>HYPERLINK("https://mathstats.uncg.edu/sites/pauli/congruence/csg19.html#group48AT19", "48AT¹⁹")</f>
        <v/>
      </c>
      <c r="B5668" t="n">
        <v>19</v>
      </c>
      <c r="C5668" t="inlineStr"/>
      <c r="D5668" t="inlineStr">
        <is>
          <t>288</t>
        </is>
      </c>
      <c r="E5668" t="inlineStr">
        <is>
          <t>1</t>
        </is>
      </c>
      <c r="F5668" t="inlineStr">
        <is>
          <t>72</t>
        </is>
      </c>
      <c r="G5668" t="inlineStr">
        <is>
          <t>4</t>
        </is>
      </c>
      <c r="H5668" t="inlineStr">
        <is>
          <t>0</t>
        </is>
      </c>
      <c r="I5668" t="inlineStr">
        <is>
          <t>24⁸, 48²</t>
        </is>
      </c>
      <c r="J5668" t="n">
        <v>10</v>
      </c>
      <c r="K5668" t="inlineStr">
        <is>
          <t>4⁴, 8⁸, 16⁴</t>
        </is>
      </c>
      <c r="L5668" t="inlineStr">
        <is>
          <t>48H⁸, 48U⁸, 24W⁹</t>
        </is>
      </c>
      <c r="M5668" t="inlineStr"/>
      <c r="N5668" t="inlineStr">
        <is>
          <t>24O⁴, 24E¹, 12C⁰, 4C⁰, 48U⁸, 2B⁰, 24W⁹, 48H⁸, 24B¹, 24C², 1A⁰, 8K⁰, 24J³, 16L¹, 12A⁰, 4A⁰, 24K⁴, 12J¹, 4F⁰, 3A⁰, 6D⁰</t>
        </is>
      </c>
      <c r="O5668" t="inlineStr"/>
    </row>
    <row r="5669">
      <c r="A5669">
        <f>HYPERLINK("https://mathstats.uncg.edu/sites/pauli/congruence/csg19.html#group48AU19", "48AU¹⁹")</f>
        <v/>
      </c>
      <c r="B5669" t="n">
        <v>19</v>
      </c>
      <c r="C5669" t="inlineStr"/>
      <c r="D5669" t="inlineStr">
        <is>
          <t>288</t>
        </is>
      </c>
      <c r="E5669" t="inlineStr">
        <is>
          <t>1</t>
        </is>
      </c>
      <c r="F5669" t="inlineStr">
        <is>
          <t>72</t>
        </is>
      </c>
      <c r="G5669" t="inlineStr">
        <is>
          <t>12</t>
        </is>
      </c>
      <c r="H5669" t="inlineStr">
        <is>
          <t>0</t>
        </is>
      </c>
      <c r="I5669" t="inlineStr">
        <is>
          <t>48⁶</t>
        </is>
      </c>
      <c r="J5669" t="n">
        <v>6</v>
      </c>
      <c r="K5669" t="inlineStr">
        <is>
          <t>4², 8⁴, 16²</t>
        </is>
      </c>
      <c r="L5669" t="inlineStr">
        <is>
          <t>24K⁷</t>
        </is>
      </c>
      <c r="M5669" t="inlineStr"/>
      <c r="N5669" t="inlineStr">
        <is>
          <t>24K⁷, 12C⁰, 8D⁰, 4C⁰, 8B⁰, 8A⁰, 2B⁰, 24L², 8K⁰, 1A⁰, 8D¹, 8H¹, 24J³, 8H⁰, 24H⁴, 12A⁰, 24A¹, 24A⁰, 4A⁰, 24C¹, 12J¹, 4F⁰, 3A⁰, 6D⁰</t>
        </is>
      </c>
      <c r="O5669" t="inlineStr"/>
    </row>
    <row r="5670">
      <c r="A5670">
        <f>HYPERLINK("https://mathstats.uncg.edu/sites/pauli/congruence/csg19.html#group48AV19", "48AV¹⁹")</f>
        <v/>
      </c>
      <c r="B5670" t="n">
        <v>19</v>
      </c>
      <c r="C5670" t="inlineStr"/>
      <c r="D5670" t="inlineStr">
        <is>
          <t>288</t>
        </is>
      </c>
      <c r="E5670" t="inlineStr">
        <is>
          <t>1</t>
        </is>
      </c>
      <c r="F5670" t="inlineStr">
        <is>
          <t>72</t>
        </is>
      </c>
      <c r="G5670" t="inlineStr">
        <is>
          <t>12</t>
        </is>
      </c>
      <c r="H5670" t="inlineStr">
        <is>
          <t>0</t>
        </is>
      </c>
      <c r="I5670" t="inlineStr">
        <is>
          <t>48⁶</t>
        </is>
      </c>
      <c r="J5670" t="n">
        <v>6</v>
      </c>
      <c r="K5670" t="inlineStr">
        <is>
          <t>4², 8⁴, 16²</t>
        </is>
      </c>
      <c r="L5670" t="inlineStr">
        <is>
          <t>24K⁷, 48G¹⁰</t>
        </is>
      </c>
      <c r="M5670" t="inlineStr"/>
      <c r="N5670" t="inlineStr">
        <is>
          <t>24K⁷, 12C⁰, 8D⁰, 4C⁰, 8B⁰, 8A⁰, 2B⁰, 24L², 8K⁰, 1A⁰, 8D¹, 48G¹⁰, 8H¹, 24J³, 8H⁰, 24H⁴, 12A⁰, 24A¹, 24A⁰, 4A⁰, 24C¹, 12J¹, 4F⁰, 3A⁰, 6D⁰, 48B³</t>
        </is>
      </c>
      <c r="O5670" t="inlineStr"/>
    </row>
    <row r="5671">
      <c r="A5671">
        <f>HYPERLINK("https://mathstats.uncg.edu/sites/pauli/congruence/csg19.html#group48AW19", "48AW¹⁹")</f>
        <v/>
      </c>
      <c r="B5671" t="n">
        <v>19</v>
      </c>
      <c r="C5671" t="inlineStr"/>
      <c r="D5671" t="inlineStr">
        <is>
          <t>288</t>
        </is>
      </c>
      <c r="E5671" t="inlineStr">
        <is>
          <t>2</t>
        </is>
      </c>
      <c r="F5671" t="inlineStr">
        <is>
          <t>9</t>
        </is>
      </c>
      <c r="G5671" t="inlineStr">
        <is>
          <t>0</t>
        </is>
      </c>
      <c r="H5671" t="inlineStr">
        <is>
          <t>0</t>
        </is>
      </c>
      <c r="I5671" t="inlineStr">
        <is>
          <t>12⁸, 48⁴</t>
        </is>
      </c>
      <c r="J5671" t="n">
        <v>12</v>
      </c>
      <c r="K5671" t="inlineStr">
        <is>
          <t>2⁹</t>
        </is>
      </c>
      <c r="L5671" t="inlineStr">
        <is>
          <t>48D⁸, 48Z⁸, 24I⁹, 48AD⁹, 48B¹⁰</t>
        </is>
      </c>
      <c r="M5671" t="inlineStr"/>
      <c r="N5671" t="inlineStr">
        <is>
          <t>24Q³, 48AD⁹, 2A⁰, 12C⁰, 48G³, 48Z⁸, 4C⁰, 6C¹, 12B², 12E², 2B⁰, 12M¹, 24C², 4E⁰, 8C⁰, 4B⁰, 1A⁰, 24F⁵, 24B², 8G⁰, 12B¹, 6A¹, 3A⁰, 48H⁴, 8D⁰, 2C⁰, 24D¹, 48B¹⁰, 24D⁴, 48G⁴, 6A⁰, 12C¹, 24I⁹, 48D⁸, 24C¹, 12D⁰, 12C⁴, 24L⁴, 6D⁰</t>
        </is>
      </c>
      <c r="O5671" t="inlineStr"/>
    </row>
    <row r="5672">
      <c r="A5672">
        <f>HYPERLINK("https://mathstats.uncg.edu/sites/pauli/congruence/csg19.html#group48AX19", "48AX¹⁹")</f>
        <v/>
      </c>
      <c r="B5672" t="n">
        <v>19</v>
      </c>
      <c r="C5672" t="inlineStr"/>
      <c r="D5672" t="inlineStr">
        <is>
          <t>288</t>
        </is>
      </c>
      <c r="E5672" t="inlineStr">
        <is>
          <t>2</t>
        </is>
      </c>
      <c r="F5672" t="inlineStr">
        <is>
          <t>18</t>
        </is>
      </c>
      <c r="G5672" t="inlineStr">
        <is>
          <t>0</t>
        </is>
      </c>
      <c r="H5672" t="inlineStr">
        <is>
          <t>0</t>
        </is>
      </c>
      <c r="I5672" t="inlineStr">
        <is>
          <t>12⁸, 48⁴</t>
        </is>
      </c>
      <c r="J5672" t="n">
        <v>12</v>
      </c>
      <c r="K5672" t="inlineStr">
        <is>
          <t>2¹², 4³</t>
        </is>
      </c>
      <c r="L5672" t="inlineStr">
        <is>
          <t>24D⁸, 48E⁹, 48B¹⁰</t>
        </is>
      </c>
      <c r="M5672" t="inlineStr"/>
      <c r="N5672" t="inlineStr">
        <is>
          <t>2A⁰, 48E⁹, 12C⁰, 24D⁸, 48H⁴, 8D⁰, 4C⁰, 6C¹, 12B², 48F⁴, 2B⁰, 4E⁰, 8C⁰, 4B⁰, 48B¹⁰, 1A⁰, 24D⁴, 24B², 6A⁰, 8G⁰, 24N⁴, 24M⁴, 24C¹, 12B¹, 6A¹, 3A⁰, 2C⁰, 6D⁰, 48B⁵</t>
        </is>
      </c>
      <c r="O5672" t="inlineStr"/>
    </row>
    <row r="5673">
      <c r="A5673">
        <f>HYPERLINK("https://mathstats.uncg.edu/sites/pauli/congruence/csg19.html#group48AY19", "48AY¹⁹")</f>
        <v/>
      </c>
      <c r="B5673" t="n">
        <v>19</v>
      </c>
      <c r="C5673" t="inlineStr"/>
      <c r="D5673" t="inlineStr">
        <is>
          <t>288</t>
        </is>
      </c>
      <c r="E5673" t="inlineStr">
        <is>
          <t>2</t>
        </is>
      </c>
      <c r="F5673" t="inlineStr">
        <is>
          <t>36</t>
        </is>
      </c>
      <c r="G5673" t="inlineStr">
        <is>
          <t>8</t>
        </is>
      </c>
      <c r="H5673" t="inlineStr">
        <is>
          <t>0</t>
        </is>
      </c>
      <c r="I5673" t="inlineStr">
        <is>
          <t>24⁴, 48⁴</t>
        </is>
      </c>
      <c r="J5673" t="n">
        <v>8</v>
      </c>
      <c r="K5673" t="inlineStr">
        <is>
          <t>4⁶, 8⁶</t>
        </is>
      </c>
      <c r="L5673" t="inlineStr">
        <is>
          <t>24AB⁷, 48AB⁷, 48K⁹</t>
        </is>
      </c>
      <c r="M5673" t="inlineStr"/>
      <c r="N5673" t="inlineStr">
        <is>
          <t>24O⁴, 12C⁰, 8D⁰, 48K⁹, 4C⁰, 8B⁰, 2B⁰, 24B¹, 24L², 1A⁰, 48C⁴, 8H⁰, 48AB⁷, 12A⁰, 24A⁰, 4A⁰, 24C¹, 48F³, 24AB⁷, 12J¹, 4F⁰, 24R³, 3A⁰, 6D⁰</t>
        </is>
      </c>
      <c r="O5673" t="inlineStr"/>
    </row>
    <row r="5674">
      <c r="A5674">
        <f>HYPERLINK("https://mathstats.uncg.edu/sites/pauli/congruence/csg19.html#group48AZ19", "48AZ¹⁹")</f>
        <v/>
      </c>
      <c r="B5674" t="n">
        <v>19</v>
      </c>
      <c r="C5674" t="inlineStr"/>
      <c r="D5674" t="inlineStr">
        <is>
          <t>288</t>
        </is>
      </c>
      <c r="E5674" t="inlineStr">
        <is>
          <t>2</t>
        </is>
      </c>
      <c r="F5674" t="inlineStr">
        <is>
          <t>36</t>
        </is>
      </c>
      <c r="G5674" t="inlineStr">
        <is>
          <t>8</t>
        </is>
      </c>
      <c r="H5674" t="inlineStr">
        <is>
          <t>0</t>
        </is>
      </c>
      <c r="I5674" t="inlineStr">
        <is>
          <t>24⁴, 48⁴</t>
        </is>
      </c>
      <c r="J5674" t="n">
        <v>8</v>
      </c>
      <c r="K5674" t="inlineStr">
        <is>
          <t>2⁶, 4³, 8⁶</t>
        </is>
      </c>
      <c r="L5674" t="inlineStr">
        <is>
          <t>24AC⁷, 48AC⁷, 48K⁹</t>
        </is>
      </c>
      <c r="M5674" t="inlineStr"/>
      <c r="N5674" t="inlineStr">
        <is>
          <t>12C⁰, 24AC⁷, 48G³, 48AC⁷, 48H⁴, 8D⁰, 48K⁹, 4C⁰, 8B⁰, 2B⁰, 24L², 1A⁰, 48C⁴, 8H⁰, 12A⁰, 24A⁰, 4A⁰, 24C¹, 12J¹, 4F⁰, 48F³, 3A⁰, 6D⁰</t>
        </is>
      </c>
      <c r="O5674" t="inlineStr"/>
    </row>
    <row r="5675">
      <c r="A5675">
        <f>HYPERLINK("https://mathstats.uncg.edu/sites/pauli/congruence/csg19.html#group48BA19", "48BA¹⁹")</f>
        <v/>
      </c>
      <c r="B5675" t="n">
        <v>19</v>
      </c>
      <c r="C5675" t="inlineStr"/>
      <c r="D5675" t="inlineStr">
        <is>
          <t>288</t>
        </is>
      </c>
      <c r="E5675" t="inlineStr">
        <is>
          <t>2</t>
        </is>
      </c>
      <c r="F5675" t="inlineStr">
        <is>
          <t>36</t>
        </is>
      </c>
      <c r="G5675" t="inlineStr">
        <is>
          <t>8</t>
        </is>
      </c>
      <c r="H5675" t="inlineStr">
        <is>
          <t>0</t>
        </is>
      </c>
      <c r="I5675" t="inlineStr">
        <is>
          <t>24⁴, 48⁴</t>
        </is>
      </c>
      <c r="J5675" t="n">
        <v>8</v>
      </c>
      <c r="K5675" t="inlineStr">
        <is>
          <t>4¹⁸</t>
        </is>
      </c>
      <c r="L5675" t="inlineStr">
        <is>
          <t>24G⁶, 48R⁸, 48AE⁸, 48AF⁸, 48K⁹, 48AE⁹</t>
        </is>
      </c>
      <c r="M5675" t="inlineStr"/>
      <c r="N5675" t="inlineStr">
        <is>
          <t>12C⁰, 48AF⁸, 48R⁸, 8D⁰, 48K⁹, 4C⁰, 8B⁰, 24Q², 2B⁰, 24L², 1A⁰, 48AE⁸, 48H³, 48C⁴, 8H⁰, 24G⁶, 12A⁰, 24A⁰, 4A⁰, 24C¹, 48AE⁹, 12J¹, 4F⁰, 48F³, 3A⁰, 6D⁰</t>
        </is>
      </c>
      <c r="O5675" t="inlineStr"/>
    </row>
    <row r="5676">
      <c r="A5676">
        <f>HYPERLINK("https://mathstats.uncg.edu/sites/pauli/congruence/csg19.html#group48BB19", "48BB¹⁹")</f>
        <v/>
      </c>
      <c r="B5676" t="n">
        <v>19</v>
      </c>
      <c r="C5676" t="inlineStr"/>
      <c r="D5676" t="inlineStr">
        <is>
          <t>288</t>
        </is>
      </c>
      <c r="E5676" t="inlineStr">
        <is>
          <t>2</t>
        </is>
      </c>
      <c r="F5676" t="inlineStr">
        <is>
          <t>36</t>
        </is>
      </c>
      <c r="G5676" t="inlineStr">
        <is>
          <t>8</t>
        </is>
      </c>
      <c r="H5676" t="inlineStr">
        <is>
          <t>0</t>
        </is>
      </c>
      <c r="I5676" t="inlineStr">
        <is>
          <t>24⁴, 48⁴</t>
        </is>
      </c>
      <c r="J5676" t="n">
        <v>8</v>
      </c>
      <c r="K5676" t="inlineStr">
        <is>
          <t>2⁸, 4¹⁰, 8²</t>
        </is>
      </c>
      <c r="L5676" t="inlineStr">
        <is>
          <t>24O⁷, 48S⁸, 48T⁸, 48AB⁸, 48W⁹, 48Z⁹</t>
        </is>
      </c>
      <c r="M5676" t="inlineStr"/>
      <c r="N5676" t="inlineStr">
        <is>
          <t>48AB⁸, 24E¹, 12C⁰, 24P⁴, 24O⁷, 48Z⁹, 4C⁰, 8B⁰, 48T⁸, 24P², 24I³, 2B⁰, 12M¹, 6G⁰, 24C², 1A⁰, 48H³, 12L¹, 48S⁸, 16D¹, 12C¹, 48E³, 24A⁰, 12I³, 24N³, 3C⁰, 48W⁹, 3A⁰, 6D⁰</t>
        </is>
      </c>
      <c r="O5676" t="inlineStr"/>
    </row>
    <row r="5677">
      <c r="A5677">
        <f>HYPERLINK("https://mathstats.uncg.edu/sites/pauli/congruence/csg19.html#group48BC19", "48BC¹⁹")</f>
        <v/>
      </c>
      <c r="B5677" t="n">
        <v>19</v>
      </c>
      <c r="C5677" t="inlineStr"/>
      <c r="D5677" t="inlineStr">
        <is>
          <t>288</t>
        </is>
      </c>
      <c r="E5677" t="inlineStr">
        <is>
          <t>2</t>
        </is>
      </c>
      <c r="F5677" t="inlineStr">
        <is>
          <t>36</t>
        </is>
      </c>
      <c r="G5677" t="inlineStr">
        <is>
          <t>8</t>
        </is>
      </c>
      <c r="H5677" t="inlineStr">
        <is>
          <t>0</t>
        </is>
      </c>
      <c r="I5677" t="inlineStr">
        <is>
          <t>24⁴, 48⁴</t>
        </is>
      </c>
      <c r="J5677" t="n">
        <v>8</v>
      </c>
      <c r="K5677" t="inlineStr">
        <is>
          <t>2⁸, 4¹⁰, 8²</t>
        </is>
      </c>
      <c r="L5677" t="inlineStr">
        <is>
          <t>24Z⁷, 48AC⁸, 48AE⁸, 48AF⁸, 48M⁹, 48W⁹</t>
        </is>
      </c>
      <c r="M5677" t="inlineStr"/>
      <c r="N5677" t="inlineStr">
        <is>
          <t>12C⁰, 48AF⁸, 48M⁹, 24Z⁷, 4C⁰, 8B⁰, 24I³, 24Q², 6G⁰, 2B⁰, 16B¹, 24C², 1A⁰, 48AE⁸, 48H³, 12L¹, 48C³, 12C¹, 48W⁹, 24A⁰, 3C⁰, 48F³, 48AC⁸, 3A⁰, 6D⁰</t>
        </is>
      </c>
      <c r="O5677" t="inlineStr"/>
    </row>
    <row r="5678">
      <c r="A5678">
        <f>HYPERLINK("https://mathstats.uncg.edu/sites/pauli/congruence/csg19.html#group48BD19", "48BD¹⁹")</f>
        <v/>
      </c>
      <c r="B5678" t="n">
        <v>19</v>
      </c>
      <c r="C5678" t="inlineStr"/>
      <c r="D5678" t="inlineStr">
        <is>
          <t>288</t>
        </is>
      </c>
      <c r="E5678" t="inlineStr">
        <is>
          <t>2</t>
        </is>
      </c>
      <c r="F5678" t="inlineStr">
        <is>
          <t>36</t>
        </is>
      </c>
      <c r="G5678" t="inlineStr">
        <is>
          <t>8</t>
        </is>
      </c>
      <c r="H5678" t="inlineStr">
        <is>
          <t>0</t>
        </is>
      </c>
      <c r="I5678" t="inlineStr">
        <is>
          <t>24⁴, 48⁴</t>
        </is>
      </c>
      <c r="J5678" t="n">
        <v>8</v>
      </c>
      <c r="K5678" t="inlineStr">
        <is>
          <t>2⁸, 4¹⁰, 8²</t>
        </is>
      </c>
      <c r="L5678" t="inlineStr">
        <is>
          <t>24Z⁷, 48AD⁸, 48AE⁸, 48AF⁸, 48J⁹, 48Z⁹</t>
        </is>
      </c>
      <c r="M5678" t="inlineStr"/>
      <c r="N5678" t="inlineStr">
        <is>
          <t>12C⁰, 48AF⁸, 48Z⁹, 24Z⁷, 48J⁹, 4C⁰, 8B⁰, 24Q², 24I³, 2B⁰, 6G⁰, 24C², 1A⁰, 48AE⁸, 48AD⁸, 48H³, 12L¹, 16D¹, 12C¹, 24A⁰, 48E³, 3C⁰, 48F³, 3A⁰, 6D⁰</t>
        </is>
      </c>
      <c r="O5678" t="inlineStr"/>
    </row>
    <row r="5679">
      <c r="A5679">
        <f>HYPERLINK("https://mathstats.uncg.edu/sites/pauli/congruence/csg19.html#group48BE19", "48BE¹⁹")</f>
        <v/>
      </c>
      <c r="B5679" t="n">
        <v>19</v>
      </c>
      <c r="C5679" t="inlineStr"/>
      <c r="D5679" t="inlineStr">
        <is>
          <t>288</t>
        </is>
      </c>
      <c r="E5679" t="inlineStr">
        <is>
          <t>2</t>
        </is>
      </c>
      <c r="F5679" t="inlineStr">
        <is>
          <t>36</t>
        </is>
      </c>
      <c r="G5679" t="inlineStr">
        <is>
          <t>8</t>
        </is>
      </c>
      <c r="H5679" t="inlineStr">
        <is>
          <t>0</t>
        </is>
      </c>
      <c r="I5679" t="inlineStr">
        <is>
          <t>24⁴, 48⁴</t>
        </is>
      </c>
      <c r="J5679" t="n">
        <v>8</v>
      </c>
      <c r="K5679" t="inlineStr">
        <is>
          <t>2⁸, 4¹⁰, 8²</t>
        </is>
      </c>
      <c r="L5679" t="inlineStr">
        <is>
          <t>24AA⁷, 48AA⁸, 48AE⁸, 48AF⁸, 48J⁹, 48W⁹</t>
        </is>
      </c>
      <c r="M5679" t="inlineStr"/>
      <c r="N5679" t="inlineStr">
        <is>
          <t>12C⁰, 24AA⁷, 48AF⁸, 48J⁹, 4C⁰, 24I³, 8B⁰, 24Q², 6G⁰, 2B⁰, 8L⁰, 24C², 1A⁰, 48AE⁸, 12L¹, 48H³, 12C¹, 24A⁰, 24M², 6D⁰, 3C⁰, 48F³, 48W⁹, 3A⁰, 48AA⁸</t>
        </is>
      </c>
      <c r="O5679" t="inlineStr"/>
    </row>
    <row r="5680">
      <c r="A5680">
        <f>HYPERLINK("https://mathstats.uncg.edu/sites/pauli/congruence/csg19.html#group48BF19", "48BF¹⁹")</f>
        <v/>
      </c>
      <c r="B5680" t="n">
        <v>19</v>
      </c>
      <c r="C5680" t="inlineStr"/>
      <c r="D5680" t="inlineStr">
        <is>
          <t>288</t>
        </is>
      </c>
      <c r="E5680" t="inlineStr">
        <is>
          <t>2</t>
        </is>
      </c>
      <c r="F5680" t="inlineStr">
        <is>
          <t>36</t>
        </is>
      </c>
      <c r="G5680" t="inlineStr">
        <is>
          <t>8</t>
        </is>
      </c>
      <c r="H5680" t="inlineStr">
        <is>
          <t>0</t>
        </is>
      </c>
      <c r="I5680" t="inlineStr">
        <is>
          <t>24⁴, 48⁴</t>
        </is>
      </c>
      <c r="J5680" t="n">
        <v>8</v>
      </c>
      <c r="K5680" t="inlineStr">
        <is>
          <t>2⁸, 4¹⁰, 8²</t>
        </is>
      </c>
      <c r="L5680" t="inlineStr">
        <is>
          <t>24K⁶, 48X⁸, 48AB⁸, 48AC⁸, 48L⁹, 48X⁹, 48Y⁹</t>
        </is>
      </c>
      <c r="M5680" t="inlineStr"/>
      <c r="N5680" t="inlineStr">
        <is>
          <t>48AB⁸, 24E¹, 12C⁰, 48X⁸, 4C⁰, 8B⁰, 24P², 24Q², 2B⁰, 12M¹, 16B¹, 8L⁰, 1A⁰, 48H³, 48C⁴, 48C³, 48Y⁹, 48L⁹, 16D¹, 48E³, 24A⁰, 16F², 24M², 48X⁹, 24K⁶, 48AC⁸, 3A⁰, 6D⁰</t>
        </is>
      </c>
      <c r="O5680" t="inlineStr"/>
    </row>
    <row r="5681">
      <c r="A5681">
        <f>HYPERLINK("https://mathstats.uncg.edu/sites/pauli/congruence/csg19.html#group48BG19", "48BG¹⁹")</f>
        <v/>
      </c>
      <c r="B5681" t="n">
        <v>19</v>
      </c>
      <c r="C5681" t="inlineStr"/>
      <c r="D5681" t="inlineStr">
        <is>
          <t>288</t>
        </is>
      </c>
      <c r="E5681" t="inlineStr">
        <is>
          <t>2</t>
        </is>
      </c>
      <c r="F5681" t="inlineStr">
        <is>
          <t>36</t>
        </is>
      </c>
      <c r="G5681" t="inlineStr">
        <is>
          <t>8</t>
        </is>
      </c>
      <c r="H5681" t="inlineStr">
        <is>
          <t>0</t>
        </is>
      </c>
      <c r="I5681" t="inlineStr">
        <is>
          <t>24⁴, 48⁴</t>
        </is>
      </c>
      <c r="J5681" t="n">
        <v>8</v>
      </c>
      <c r="K5681" t="inlineStr">
        <is>
          <t>2⁸, 4¹⁰, 8²</t>
        </is>
      </c>
      <c r="L5681" t="inlineStr">
        <is>
          <t>24AA⁷, 48X⁸, 48AA⁸, 48AC⁸, 48AD⁸, 48M⁹, 48Z⁹</t>
        </is>
      </c>
      <c r="M5681" t="inlineStr"/>
      <c r="N5681" t="inlineStr">
        <is>
          <t>12C⁰, 24AA⁷, 48X⁸, 48Z⁹, 48M⁹, 4C⁰, 24I³, 8B⁰, 24Q², 6G⁰, 2B⁰, 8L⁰, 24C², 16B¹, 1A⁰, 48AD⁸, 12L¹, 48H³, 48C³, 16D¹, 12C¹, 24A⁰, 48E³, 16F², 24M², 6D⁰, 3C⁰, 48F³, 48AC⁸, 3A⁰, 48AA⁸</t>
        </is>
      </c>
      <c r="O5681" t="inlineStr"/>
    </row>
    <row r="5682">
      <c r="A5682">
        <f>HYPERLINK("https://mathstats.uncg.edu/sites/pauli/congruence/csg19.html#group48BH19", "48BH¹⁹")</f>
        <v/>
      </c>
      <c r="B5682" t="n">
        <v>19</v>
      </c>
      <c r="C5682" t="inlineStr"/>
      <c r="D5682" t="inlineStr">
        <is>
          <t>288</t>
        </is>
      </c>
      <c r="E5682" t="inlineStr">
        <is>
          <t>2</t>
        </is>
      </c>
      <c r="F5682" t="inlineStr">
        <is>
          <t>36</t>
        </is>
      </c>
      <c r="G5682" t="inlineStr">
        <is>
          <t>8</t>
        </is>
      </c>
      <c r="H5682" t="inlineStr">
        <is>
          <t>0</t>
        </is>
      </c>
      <c r="I5682" t="inlineStr">
        <is>
          <t>24⁴, 48⁴</t>
        </is>
      </c>
      <c r="J5682" t="n">
        <v>8</v>
      </c>
      <c r="K5682" t="inlineStr">
        <is>
          <t>4²⁴, 8⁶</t>
        </is>
      </c>
      <c r="L5682" t="inlineStr">
        <is>
          <t>24H⁶, 48AB⁸, 48AD⁸, 48AF⁸, 48Y⁹, 48AB⁹, 48AE⁹</t>
        </is>
      </c>
      <c r="M5682" t="inlineStr"/>
      <c r="N5682" t="inlineStr">
        <is>
          <t>48AB⁸, 24E¹, 12C⁰, 48AF⁸, 4C⁰, 8B⁰, 24P², 24Q², 2B⁰, 12M¹, 1A⁰, 48AD⁸, 48H³, 48C⁴, 48Y⁹, 16D¹, 48E³, 24A⁰, 48AB⁹, 24H⁶, 48AE⁹, 48F³, 3A⁰, 6D⁰</t>
        </is>
      </c>
      <c r="O5682" t="inlineStr"/>
    </row>
    <row r="5683">
      <c r="A5683">
        <f>HYPERLINK("https://mathstats.uncg.edu/sites/pauli/congruence/csg19.html#group48BI19", "48BI¹⁹")</f>
        <v/>
      </c>
      <c r="B5683" t="n">
        <v>19</v>
      </c>
      <c r="C5683" t="inlineStr"/>
      <c r="D5683" t="inlineStr">
        <is>
          <t>288</t>
        </is>
      </c>
      <c r="E5683" t="inlineStr">
        <is>
          <t>2</t>
        </is>
      </c>
      <c r="F5683" t="inlineStr">
        <is>
          <t>36</t>
        </is>
      </c>
      <c r="G5683" t="inlineStr">
        <is>
          <t>8</t>
        </is>
      </c>
      <c r="H5683" t="inlineStr">
        <is>
          <t>0</t>
        </is>
      </c>
      <c r="I5683" t="inlineStr">
        <is>
          <t>24⁴, 48⁴</t>
        </is>
      </c>
      <c r="J5683" t="n">
        <v>8</v>
      </c>
      <c r="K5683" t="inlineStr">
        <is>
          <t>4²⁴, 8⁶</t>
        </is>
      </c>
      <c r="L5683" t="inlineStr">
        <is>
          <t>24I⁶, 48AB⁸, 48AD⁸, 48AE⁸, 48Y⁹, 48AB⁹, 48AE⁹</t>
        </is>
      </c>
      <c r="M5683" t="inlineStr"/>
      <c r="N5683" t="inlineStr">
        <is>
          <t>48AB⁸, 24E¹, 24I⁶, 12C⁰, 4C⁰, 8B⁰, 24P², 24Q², 2B⁰, 12M¹, 1A⁰, 48AD⁸, 48AE⁸, 48H³, 48C⁴, 48Y⁹, 16D¹, 48E³, 24A⁰, 48AB⁹, 48AE⁹, 48F³, 3A⁰, 6D⁰</t>
        </is>
      </c>
      <c r="O5683" t="inlineStr"/>
    </row>
    <row r="5684">
      <c r="A5684">
        <f>HYPERLINK("https://mathstats.uncg.edu/sites/pauli/congruence/csg19.html#group48BJ19", "48BJ¹⁹")</f>
        <v/>
      </c>
      <c r="B5684" t="n">
        <v>19</v>
      </c>
      <c r="C5684" t="inlineStr"/>
      <c r="D5684" t="inlineStr">
        <is>
          <t>288</t>
        </is>
      </c>
      <c r="E5684" t="inlineStr">
        <is>
          <t>2</t>
        </is>
      </c>
      <c r="F5684" t="inlineStr">
        <is>
          <t>36</t>
        </is>
      </c>
      <c r="G5684" t="inlineStr">
        <is>
          <t>8</t>
        </is>
      </c>
      <c r="H5684" t="inlineStr">
        <is>
          <t>0</t>
        </is>
      </c>
      <c r="I5684" t="inlineStr">
        <is>
          <t>24⁴, 48⁴</t>
        </is>
      </c>
      <c r="J5684" t="n">
        <v>8</v>
      </c>
      <c r="K5684" t="inlineStr">
        <is>
          <t>4²⁴, 8⁶</t>
        </is>
      </c>
      <c r="L5684" t="inlineStr">
        <is>
          <t>24K⁶, 48S⁸, 48AA⁸, 48AF⁸, 48X⁹, 48AB⁹, 48AE⁹</t>
        </is>
      </c>
      <c r="M5684" t="inlineStr"/>
      <c r="N5684" t="inlineStr">
        <is>
          <t>24E¹, 12C⁰, 48AF⁸, 4C⁰, 8B⁰, 24P², 24Q², 12M¹, 2B⁰, 8L⁰, 1A⁰, 48H³, 48S⁸, 48C⁴, 24A⁰, 48AB⁹, 6D⁰, 48X⁹, 24M², 48AE⁹, 24K⁶, 48F³, 3A⁰, 48AA⁸</t>
        </is>
      </c>
      <c r="O5684" t="inlineStr"/>
    </row>
    <row r="5685">
      <c r="A5685">
        <f>HYPERLINK("https://mathstats.uncg.edu/sites/pauli/congruence/csg19.html#group48BK19", "48BK¹⁹")</f>
        <v/>
      </c>
      <c r="B5685" t="n">
        <v>19</v>
      </c>
      <c r="C5685" t="inlineStr"/>
      <c r="D5685" t="inlineStr">
        <is>
          <t>288</t>
        </is>
      </c>
      <c r="E5685" t="inlineStr">
        <is>
          <t>2</t>
        </is>
      </c>
      <c r="F5685" t="inlineStr">
        <is>
          <t>36</t>
        </is>
      </c>
      <c r="G5685" t="inlineStr">
        <is>
          <t>8</t>
        </is>
      </c>
      <c r="H5685" t="inlineStr">
        <is>
          <t>0</t>
        </is>
      </c>
      <c r="I5685" t="inlineStr">
        <is>
          <t>24⁴, 48⁴</t>
        </is>
      </c>
      <c r="J5685" t="n">
        <v>8</v>
      </c>
      <c r="K5685" t="inlineStr">
        <is>
          <t>4²⁴, 8⁶</t>
        </is>
      </c>
      <c r="L5685" t="inlineStr">
        <is>
          <t>24K⁶, 48T⁸, 48AA⁸, 48AE⁸, 48X⁹, 48AB⁹, 48AE⁹</t>
        </is>
      </c>
      <c r="M5685" t="inlineStr"/>
      <c r="N5685" t="inlineStr">
        <is>
          <t>24E¹, 12C⁰, 4C⁰, 8B⁰, 48T⁸, 24P², 8L⁰, 12M¹, 2B⁰, 24Q², 1A⁰, 48AE⁸, 48H³, 48C⁴, 24A⁰, 48AB⁹, 6D⁰, 48X⁹, 24M², 48AE⁹, 24K⁶, 48F³, 3A⁰, 48AA⁸</t>
        </is>
      </c>
      <c r="O5685" t="inlineStr"/>
    </row>
    <row r="5686">
      <c r="A5686">
        <f>HYPERLINK("https://mathstats.uncg.edu/sites/pauli/congruence/csg19.html#group48BL19", "48BL¹⁹")</f>
        <v/>
      </c>
      <c r="B5686" t="n">
        <v>19</v>
      </c>
      <c r="C5686" t="inlineStr"/>
      <c r="D5686" t="inlineStr">
        <is>
          <t>288</t>
        </is>
      </c>
      <c r="E5686" t="inlineStr">
        <is>
          <t>2</t>
        </is>
      </c>
      <c r="F5686" t="inlineStr">
        <is>
          <t>72</t>
        </is>
      </c>
      <c r="G5686" t="inlineStr">
        <is>
          <t>4</t>
        </is>
      </c>
      <c r="H5686" t="inlineStr">
        <is>
          <t>0</t>
        </is>
      </c>
      <c r="I5686" t="inlineStr">
        <is>
          <t>24⁸, 48²</t>
        </is>
      </c>
      <c r="J5686" t="n">
        <v>10</v>
      </c>
      <c r="K5686" t="inlineStr">
        <is>
          <t>8⁶, 16⁶</t>
        </is>
      </c>
      <c r="L5686" t="inlineStr">
        <is>
          <t>48U⁸, 48V⁸, 24W⁹</t>
        </is>
      </c>
      <c r="M5686" t="inlineStr"/>
      <c r="N5686" t="inlineStr">
        <is>
          <t>24O⁴, 24E¹, 12C⁰, 4C⁰, 48U⁸, 2B⁰, 24W⁹, 24B¹, 24C², 48V⁸, 1A⁰, 8K⁰, 24J³, 12A⁰, 4A⁰, 24K⁴, 12J¹, 4F⁰, 3A⁰, 6D⁰</t>
        </is>
      </c>
      <c r="O5686" t="inlineStr"/>
    </row>
    <row r="5687">
      <c r="A5687">
        <f>HYPERLINK("https://mathstats.uncg.edu/sites/pauli/congruence/csg19.html#group48BM19", "48BM¹⁹")</f>
        <v/>
      </c>
      <c r="B5687" t="n">
        <v>19</v>
      </c>
      <c r="C5687" t="inlineStr"/>
      <c r="D5687" t="inlineStr">
        <is>
          <t>288</t>
        </is>
      </c>
      <c r="E5687" t="inlineStr">
        <is>
          <t>2</t>
        </is>
      </c>
      <c r="F5687" t="inlineStr">
        <is>
          <t>72</t>
        </is>
      </c>
      <c r="G5687" t="inlineStr">
        <is>
          <t>8</t>
        </is>
      </c>
      <c r="H5687" t="inlineStr">
        <is>
          <t>0</t>
        </is>
      </c>
      <c r="I5687" t="inlineStr">
        <is>
          <t>24⁴, 48⁴</t>
        </is>
      </c>
      <c r="J5687" t="n">
        <v>8</v>
      </c>
      <c r="K5687" t="inlineStr">
        <is>
          <t>4²⁴, 8⁶</t>
        </is>
      </c>
      <c r="L5687" t="inlineStr">
        <is>
          <t>24AE⁷, 48AF⁹</t>
        </is>
      </c>
      <c r="M5687" t="inlineStr"/>
      <c r="N5687" t="inlineStr">
        <is>
          <t>12I², 24E¹, 6B⁰, 12C⁰, 24P⁴, 24N², 48AF⁹, 4C⁰, 24D¹, 12F⁰, 12M¹, 24P³, 2B⁰, 24C², 12H⁰, 1A⁰, 12A⁰, 24AE⁷, 24S³, 4A⁰, 24K⁴, 24T³, 12J¹, 12D⁰, 4F⁰, 6H⁰, 3A⁰, 6D⁰</t>
        </is>
      </c>
      <c r="O5687" t="inlineStr"/>
    </row>
    <row r="5688">
      <c r="A5688">
        <f>HYPERLINK("https://mathstats.uncg.edu/sites/pauli/congruence/csg19.html#group48BN19", "48BN¹⁹")</f>
        <v/>
      </c>
      <c r="B5688" t="n">
        <v>19</v>
      </c>
      <c r="C5688" t="inlineStr"/>
      <c r="D5688" t="inlineStr">
        <is>
          <t>288</t>
        </is>
      </c>
      <c r="E5688" t="inlineStr">
        <is>
          <t>2</t>
        </is>
      </c>
      <c r="F5688" t="inlineStr">
        <is>
          <t>72</t>
        </is>
      </c>
      <c r="G5688" t="inlineStr">
        <is>
          <t>8</t>
        </is>
      </c>
      <c r="H5688" t="inlineStr">
        <is>
          <t>0</t>
        </is>
      </c>
      <c r="I5688" t="inlineStr">
        <is>
          <t>24⁴, 48⁴</t>
        </is>
      </c>
      <c r="J5688" t="n">
        <v>8</v>
      </c>
      <c r="K5688" t="inlineStr">
        <is>
          <t>4³⁶</t>
        </is>
      </c>
      <c r="L5688" t="inlineStr">
        <is>
          <t>24AD⁷, 48AF⁹</t>
        </is>
      </c>
      <c r="M5688" t="inlineStr"/>
      <c r="N5688" t="inlineStr">
        <is>
          <t>24AD⁷, 24O², 24Q³, 24E¹, 6B⁰, 12C⁰, 3A⁰, 24P⁴, 8D⁰, 48AF⁹, 4C⁰, 24D¹, 2B⁰, 12M¹, 24C², 1A⁰, 12H², 24S³, 24T³, 24C¹, 12D⁰, 6H⁰, 12H⁰, 24L⁴, 6D⁰</t>
        </is>
      </c>
      <c r="O5688" t="inlineStr"/>
    </row>
    <row r="5689">
      <c r="A5689">
        <f>HYPERLINK("https://mathstats.uncg.edu/sites/pauli/congruence/csg19.html#group48BO19", "48BO¹⁹")</f>
        <v/>
      </c>
      <c r="B5689" t="n">
        <v>19</v>
      </c>
      <c r="C5689" t="inlineStr"/>
      <c r="D5689" t="inlineStr">
        <is>
          <t>384</t>
        </is>
      </c>
      <c r="E5689" t="inlineStr">
        <is>
          <t>1</t>
        </is>
      </c>
      <c r="F5689" t="inlineStr">
        <is>
          <t>48</t>
        </is>
      </c>
      <c r="G5689" t="inlineStr">
        <is>
          <t>0</t>
        </is>
      </c>
      <c r="H5689" t="inlineStr">
        <is>
          <t>0</t>
        </is>
      </c>
      <c r="I5689" t="inlineStr">
        <is>
          <t>4⁸, 8⁴, 12⁸, 16², 24⁴, 48²</t>
        </is>
      </c>
      <c r="J5689" t="n">
        <v>28</v>
      </c>
      <c r="K5689" t="inlineStr">
        <is>
          <t>1⁸, 2¹², 4⁴</t>
        </is>
      </c>
      <c r="L5689" t="inlineStr">
        <is>
          <t>24AG⁷</t>
        </is>
      </c>
      <c r="M5689" t="inlineStr"/>
      <c r="N5689" t="inlineStr">
        <is>
          <t>2A⁰, 3B⁰, 8N⁰, 12I¹, 24AA³, 6I⁰, 12F¹, 4C⁰, 6C⁰, 24AG⁷, 4G⁰, 2B⁰, 4E⁰, 12P¹, 4B⁰, 1A⁰, 8K⁰, 4A⁰, 4D⁰, 12A¹, 24R⁴, 12G², 12K³, 4F⁰, 6F⁰, 2C⁰, 12E⁰, 8J⁰</t>
        </is>
      </c>
      <c r="O5689" t="inlineStr"/>
    </row>
    <row r="5690">
      <c r="A5690">
        <f>HYPERLINK("https://mathstats.uncg.edu/sites/pauli/congruence/csg19.html#group48BP19", "48BP¹⁹")</f>
        <v/>
      </c>
      <c r="B5690" t="n">
        <v>19</v>
      </c>
      <c r="C5690" t="inlineStr"/>
      <c r="D5690" t="inlineStr">
        <is>
          <t>384</t>
        </is>
      </c>
      <c r="E5690" t="inlineStr">
        <is>
          <t>1</t>
        </is>
      </c>
      <c r="F5690" t="inlineStr">
        <is>
          <t>48</t>
        </is>
      </c>
      <c r="G5690" t="inlineStr">
        <is>
          <t>0</t>
        </is>
      </c>
      <c r="H5690" t="inlineStr">
        <is>
          <t>0</t>
        </is>
      </c>
      <c r="I5690" t="inlineStr">
        <is>
          <t>4⁸, 8⁴, 12⁸, 16², 24⁴, 48²</t>
        </is>
      </c>
      <c r="J5690" t="n">
        <v>28</v>
      </c>
      <c r="K5690" t="inlineStr">
        <is>
          <t>1⁸, 2¹², 4⁴</t>
        </is>
      </c>
      <c r="L5690" t="inlineStr">
        <is>
          <t>16I², 24AG⁷, 48H¹⁰, 48I¹⁰</t>
        </is>
      </c>
      <c r="M5690" t="inlineStr"/>
      <c r="N5690" t="inlineStr">
        <is>
          <t>2A⁰, 3B⁰, 8N⁰, 12I¹, 24AA³, 6I⁰, 12F¹, 16I², 4C⁰, 6C⁰, 24AG⁷, 4G⁰, 2B⁰, 4E⁰, 12P¹, 4B⁰, 1A⁰, 8K⁰, 16L¹, 48I¹⁰, 48H¹⁰, 4A⁰, 4D⁰, 12A¹, 24R⁴, 12G², 12K³, 4F⁰, 6F⁰, 2C⁰, 16K¹, 12E⁰, 8J⁰</t>
        </is>
      </c>
      <c r="O5690" t="inlineStr"/>
    </row>
    <row r="5691">
      <c r="A5691">
        <f>HYPERLINK("https://mathstats.uncg.edu/sites/pauli/congruence/csg19.html#group48BQ19", "48BQ¹⁹")</f>
        <v/>
      </c>
      <c r="B5691" t="n">
        <v>19</v>
      </c>
      <c r="C5691" t="inlineStr"/>
      <c r="D5691" t="inlineStr">
        <is>
          <t>384</t>
        </is>
      </c>
      <c r="E5691" t="inlineStr">
        <is>
          <t>1</t>
        </is>
      </c>
      <c r="F5691" t="inlineStr">
        <is>
          <t>96</t>
        </is>
      </c>
      <c r="G5691" t="inlineStr">
        <is>
          <t>0</t>
        </is>
      </c>
      <c r="H5691" t="inlineStr">
        <is>
          <t>0</t>
        </is>
      </c>
      <c r="I5691" t="inlineStr">
        <is>
          <t>1⁴, 2², 3⁴, 4², 6², 8², 12², 16⁴, 24², 48⁴</t>
        </is>
      </c>
      <c r="J5691" t="n">
        <v>28</v>
      </c>
      <c r="K5691" t="inlineStr">
        <is>
          <t>1⁸, 2⁸, 4⁶, 8⁴, 16¹</t>
        </is>
      </c>
      <c r="L5691" t="inlineStr">
        <is>
          <t>48AP⁷</t>
        </is>
      </c>
      <c r="M5691" t="inlineStr"/>
      <c r="N5691" t="inlineStr">
        <is>
          <t>3B⁰, 24G¹, 8C⁰, 2B⁰, 8I⁰, 4B⁰, 1A⁰, 16H⁰, 48J³, 16C⁰, 16D⁰, 24Y³, 6F⁰, 48AP⁷, 12E⁰, 48L³</t>
        </is>
      </c>
      <c r="O5691" t="inlineStr"/>
    </row>
    <row r="5692">
      <c r="A5692">
        <f>HYPERLINK("https://mathstats.uncg.edu/sites/pauli/congruence/csg19.html#group48BR19", "48BR¹⁹")</f>
        <v/>
      </c>
      <c r="B5692" t="n">
        <v>19</v>
      </c>
      <c r="C5692" t="inlineStr"/>
      <c r="D5692" t="inlineStr">
        <is>
          <t>384</t>
        </is>
      </c>
      <c r="E5692" t="inlineStr">
        <is>
          <t>1</t>
        </is>
      </c>
      <c r="F5692" t="inlineStr">
        <is>
          <t>96</t>
        </is>
      </c>
      <c r="G5692" t="inlineStr">
        <is>
          <t>0</t>
        </is>
      </c>
      <c r="H5692" t="inlineStr">
        <is>
          <t>0</t>
        </is>
      </c>
      <c r="I5692" t="inlineStr">
        <is>
          <t>1⁴, 2², 3⁴, 4², 6², 8², 12², 16⁴, 24², 48⁴</t>
        </is>
      </c>
      <c r="J5692" t="n">
        <v>28</v>
      </c>
      <c r="K5692" t="inlineStr">
        <is>
          <t>1⁸, 2⁸, 4⁶, 8⁴, 16¹</t>
        </is>
      </c>
      <c r="L5692" t="inlineStr">
        <is>
          <t>16J², 48AP⁷</t>
        </is>
      </c>
      <c r="M5692" t="inlineStr"/>
      <c r="N5692" t="inlineStr">
        <is>
          <t>3B⁰, 24G¹, 8C⁰, 2B⁰, 8I⁰, 4B⁰, 1A⁰, 16J², 16H⁰, 48J³, 16C⁰, 16D⁰, 24Y³, 6F⁰, 48AP⁷, 12E⁰, 48L³</t>
        </is>
      </c>
      <c r="O5692" t="inlineStr"/>
    </row>
    <row r="5693">
      <c r="A5693">
        <f>HYPERLINK("https://mathstats.uncg.edu/sites/pauli/congruence/csg19.html#group48BS19", "48BS¹⁹")</f>
        <v/>
      </c>
      <c r="B5693" t="n">
        <v>19</v>
      </c>
      <c r="C5693" t="inlineStr"/>
      <c r="D5693" t="inlineStr">
        <is>
          <t>384</t>
        </is>
      </c>
      <c r="E5693" t="inlineStr">
        <is>
          <t>1</t>
        </is>
      </c>
      <c r="F5693" t="inlineStr">
        <is>
          <t>96</t>
        </is>
      </c>
      <c r="G5693" t="inlineStr">
        <is>
          <t>0</t>
        </is>
      </c>
      <c r="H5693" t="inlineStr">
        <is>
          <t>0</t>
        </is>
      </c>
      <c r="I5693" t="inlineStr">
        <is>
          <t>2⁴, 4², 6⁴, 8⁶, 12², 16², 24⁶, 48²</t>
        </is>
      </c>
      <c r="J5693" t="n">
        <v>28</v>
      </c>
      <c r="K5693" t="inlineStr">
        <is>
          <t>1¹⁶, 2¹⁶, 4⁸, 8²</t>
        </is>
      </c>
      <c r="L5693" t="inlineStr">
        <is>
          <t>24AI⁷</t>
        </is>
      </c>
      <c r="M5693" t="inlineStr"/>
      <c r="N5693" t="inlineStr">
        <is>
          <t>2A⁰, 3B⁰, 24V³, 24AA³, 8D⁰, 6I⁰, 12F¹, 24G¹, 4C⁰, 6C⁰, 2B⁰, 4E⁰, 8C⁰, 12P¹, 4B⁰, 8I⁰, 1A⁰, 24I², 8G⁰, 12E⁰, 24Y³, 6F⁰, 2C⁰, 24AI⁷, 8J⁰, 8O⁰</t>
        </is>
      </c>
      <c r="O5693" t="inlineStr"/>
    </row>
    <row r="5694">
      <c r="A5694">
        <f>HYPERLINK("https://mathstats.uncg.edu/sites/pauli/congruence/csg19.html#group48BT19", "48BT¹⁹")</f>
        <v/>
      </c>
      <c r="B5694" t="n">
        <v>19</v>
      </c>
      <c r="C5694" t="inlineStr"/>
      <c r="D5694" t="inlineStr">
        <is>
          <t>384</t>
        </is>
      </c>
      <c r="E5694" t="inlineStr">
        <is>
          <t>1</t>
        </is>
      </c>
      <c r="F5694" t="inlineStr">
        <is>
          <t>96</t>
        </is>
      </c>
      <c r="G5694" t="inlineStr">
        <is>
          <t>0</t>
        </is>
      </c>
      <c r="H5694" t="inlineStr">
        <is>
          <t>0</t>
        </is>
      </c>
      <c r="I5694" t="inlineStr">
        <is>
          <t>2⁴, 4², 6⁴, 8⁶, 12², 16², 24⁶, 48²</t>
        </is>
      </c>
      <c r="J5694" t="n">
        <v>28</v>
      </c>
      <c r="K5694" t="inlineStr">
        <is>
          <t>1¹⁶, 2¹⁶, 4⁸, 8²</t>
        </is>
      </c>
      <c r="L5694" t="inlineStr">
        <is>
          <t>16K², 24AI⁷</t>
        </is>
      </c>
      <c r="M5694" t="inlineStr"/>
      <c r="N5694" t="inlineStr">
        <is>
          <t>2A⁰, 24V³, 24AA³, 24G¹, 4C⁰, 2B⁰, 4E⁰, 8C⁰, 4B⁰, 1A⁰, 8G⁰, 12E⁰, 6F⁰, 3B⁰, 8D⁰, 6I⁰, 12F¹, 6C⁰, 8I⁰, 12P¹, 16K², 24I², 24Y³, 8J⁰, 2C⁰, 24AI⁷, 8O⁰</t>
        </is>
      </c>
      <c r="O5694" t="inlineStr"/>
    </row>
    <row r="5695">
      <c r="A5695">
        <f>HYPERLINK("https://mathstats.uncg.edu/sites/pauli/congruence/csg19.html#group49A19", "49A¹⁹")</f>
        <v/>
      </c>
      <c r="B5695" t="n">
        <v>19</v>
      </c>
      <c r="C5695" t="inlineStr"/>
      <c r="D5695" t="inlineStr">
        <is>
          <t>294</t>
        </is>
      </c>
      <c r="E5695" t="inlineStr">
        <is>
          <t>1</t>
        </is>
      </c>
      <c r="F5695" t="inlineStr">
        <is>
          <t>21</t>
        </is>
      </c>
      <c r="G5695" t="inlineStr">
        <is>
          <t>14</t>
        </is>
      </c>
      <c r="H5695" t="inlineStr">
        <is>
          <t>0</t>
        </is>
      </c>
      <c r="I5695" t="inlineStr">
        <is>
          <t>49⁶</t>
        </is>
      </c>
      <c r="J5695" t="n">
        <v>6</v>
      </c>
      <c r="K5695" t="inlineStr">
        <is>
          <t>3¹, 6³</t>
        </is>
      </c>
      <c r="L5695" t="inlineStr">
        <is>
          <t>7A¹, 49A⁹</t>
        </is>
      </c>
      <c r="M5695" t="inlineStr"/>
      <c r="N5695" t="inlineStr">
        <is>
          <t>7D⁰, 1A⁰, 49A⁹, 7A⁰, 7A¹</t>
        </is>
      </c>
      <c r="O5695" t="inlineStr"/>
    </row>
    <row r="5696">
      <c r="A5696">
        <f>HYPERLINK("https://mathstats.uncg.edu/sites/pauli/congruence/csg19.html#group49B19", "49B¹⁹")</f>
        <v/>
      </c>
      <c r="B5696" t="n">
        <v>19</v>
      </c>
      <c r="C5696" t="inlineStr"/>
      <c r="D5696" t="inlineStr">
        <is>
          <t>392</t>
        </is>
      </c>
      <c r="E5696" t="inlineStr">
        <is>
          <t>1</t>
        </is>
      </c>
      <c r="F5696" t="inlineStr">
        <is>
          <t>28</t>
        </is>
      </c>
      <c r="G5696" t="inlineStr">
        <is>
          <t>0</t>
        </is>
      </c>
      <c r="H5696" t="inlineStr">
        <is>
          <t>14</t>
        </is>
      </c>
      <c r="I5696" t="inlineStr">
        <is>
          <t>7¹⁴, 49⁶</t>
        </is>
      </c>
      <c r="J5696" t="n">
        <v>20</v>
      </c>
      <c r="K5696" t="inlineStr">
        <is>
          <t>1¹, 3¹, 6⁴</t>
        </is>
      </c>
      <c r="L5696" t="inlineStr">
        <is>
          <t>7B¹, 49B⁹</t>
        </is>
      </c>
      <c r="M5696" t="inlineStr"/>
      <c r="N5696" t="inlineStr">
        <is>
          <t>7F⁰, 7A⁰, 1A⁰, 7B⁰, 7B¹, 7C⁰, 49B⁹</t>
        </is>
      </c>
      <c r="O5696" t="inlineStr"/>
    </row>
    <row r="5697">
      <c r="A5697">
        <f>HYPERLINK("https://mathstats.uncg.edu/sites/pauli/congruence/csg19.html#group49C19", "49C¹⁹")</f>
        <v/>
      </c>
      <c r="B5697" t="n">
        <v>19</v>
      </c>
      <c r="C5697" t="inlineStr"/>
      <c r="D5697" t="inlineStr">
        <is>
          <t>392</t>
        </is>
      </c>
      <c r="E5697" t="inlineStr">
        <is>
          <t>1</t>
        </is>
      </c>
      <c r="F5697" t="inlineStr">
        <is>
          <t>56</t>
        </is>
      </c>
      <c r="G5697" t="inlineStr">
        <is>
          <t>0</t>
        </is>
      </c>
      <c r="H5697" t="inlineStr">
        <is>
          <t>14</t>
        </is>
      </c>
      <c r="I5697" t="inlineStr">
        <is>
          <t>1⁷, 7⁶, 49⁷</t>
        </is>
      </c>
      <c r="J5697" t="n">
        <v>20</v>
      </c>
      <c r="K5697" t="inlineStr">
        <is>
          <t>1², 6², 42¹</t>
        </is>
      </c>
      <c r="L5697" t="inlineStr">
        <is>
          <t>49A¹</t>
        </is>
      </c>
      <c r="M5697" t="inlineStr"/>
      <c r="N5697" t="inlineStr">
        <is>
          <t>49A¹, 1A⁰, 7B⁰</t>
        </is>
      </c>
      <c r="O5697" t="inlineStr"/>
    </row>
    <row r="5698">
      <c r="A5698">
        <f>HYPERLINK("https://mathstats.uncg.edu/sites/pauli/congruence/csg19.html#group50A19", "50A¹⁹")</f>
        <v/>
      </c>
      <c r="B5698" t="n">
        <v>19</v>
      </c>
      <c r="C5698" t="inlineStr"/>
      <c r="D5698" t="inlineStr">
        <is>
          <t>300</t>
        </is>
      </c>
      <c r="E5698" t="inlineStr">
        <is>
          <t>1</t>
        </is>
      </c>
      <c r="F5698" t="inlineStr">
        <is>
          <t>15</t>
        </is>
      </c>
      <c r="G5698" t="inlineStr">
        <is>
          <t>0</t>
        </is>
      </c>
      <c r="H5698" t="inlineStr">
        <is>
          <t>0</t>
        </is>
      </c>
      <c r="I5698" t="inlineStr">
        <is>
          <t>10¹⁰, 50⁴</t>
        </is>
      </c>
      <c r="J5698" t="n">
        <v>14</v>
      </c>
      <c r="K5698" t="inlineStr">
        <is>
          <t>1¹, 2¹, 4³</t>
        </is>
      </c>
      <c r="L5698" t="inlineStr">
        <is>
          <t>10B³, 25F⁴, 50E⁹, 50A¹⁰</t>
        </is>
      </c>
      <c r="M5698" t="inlineStr"/>
      <c r="N5698" t="inlineStr">
        <is>
          <t>2A⁰, 25F⁴, 5A⁰, 10A², 5B⁰, 10A¹, 10E¹, 1A⁰, 50A¹⁰, 25F², 10A⁰, 10B³, 5E⁰, 10C¹, 50E⁹, 5C⁰, 5G⁰</t>
        </is>
      </c>
      <c r="O5698" t="inlineStr"/>
    </row>
    <row r="5699">
      <c r="A5699">
        <f>HYPERLINK("https://mathstats.uncg.edu/sites/pauli/congruence/csg19.html#group50B19", "50B¹⁹")</f>
        <v/>
      </c>
      <c r="B5699" t="n">
        <v>19</v>
      </c>
      <c r="C5699" t="inlineStr"/>
      <c r="D5699" t="inlineStr">
        <is>
          <t>300</t>
        </is>
      </c>
      <c r="E5699" t="inlineStr">
        <is>
          <t>1</t>
        </is>
      </c>
      <c r="F5699" t="inlineStr">
        <is>
          <t>30</t>
        </is>
      </c>
      <c r="G5699" t="inlineStr">
        <is>
          <t>0</t>
        </is>
      </c>
      <c r="H5699" t="inlineStr">
        <is>
          <t>0</t>
        </is>
      </c>
      <c r="I5699" t="inlineStr">
        <is>
          <t>2⁵, 10⁴, 50⁵</t>
        </is>
      </c>
      <c r="J5699" t="n">
        <v>14</v>
      </c>
      <c r="K5699" t="inlineStr">
        <is>
          <t>1², 4², 20¹</t>
        </is>
      </c>
      <c r="L5699" t="inlineStr">
        <is>
          <t>50A³, 25G⁴</t>
        </is>
      </c>
      <c r="M5699" t="inlineStr"/>
      <c r="N5699" t="inlineStr">
        <is>
          <t>50A³, 25A⁰, 5B⁰, 10A¹, 2A⁰, 1A⁰, 25G⁴</t>
        </is>
      </c>
      <c r="O5699" t="inlineStr"/>
    </row>
    <row r="5700">
      <c r="A5700">
        <f>HYPERLINK("https://mathstats.uncg.edu/sites/pauli/congruence/csg19.html#group50C19", "50C¹⁹")</f>
        <v/>
      </c>
      <c r="B5700" t="n">
        <v>19</v>
      </c>
      <c r="C5700" t="inlineStr"/>
      <c r="D5700" t="inlineStr">
        <is>
          <t>300</t>
        </is>
      </c>
      <c r="E5700" t="inlineStr">
        <is>
          <t>1</t>
        </is>
      </c>
      <c r="F5700" t="inlineStr">
        <is>
          <t>75</t>
        </is>
      </c>
      <c r="G5700" t="inlineStr">
        <is>
          <t>0</t>
        </is>
      </c>
      <c r="H5700" t="inlineStr">
        <is>
          <t>0</t>
        </is>
      </c>
      <c r="I5700" t="inlineStr">
        <is>
          <t>10¹⁰, 50⁴</t>
        </is>
      </c>
      <c r="J5700" t="n">
        <v>14</v>
      </c>
      <c r="K5700" t="inlineStr">
        <is>
          <t>2², 4⁴, 10¹, 20⁶</t>
        </is>
      </c>
      <c r="L5700" t="inlineStr">
        <is>
          <t>10B³, 25E⁶, 50B⁷, 50A¹⁰</t>
        </is>
      </c>
      <c r="M5700" t="inlineStr"/>
      <c r="N5700" t="inlineStr">
        <is>
          <t>2A⁰, 5A⁰, 10A², 5B⁰, 10A¹, 25E⁶, 10E¹, 1A⁰, 50A¹⁰, 25F², 50B⁷, 10A⁰, 10B³, 5E⁰, 10C¹, 5C⁰, 5G⁰</t>
        </is>
      </c>
      <c r="O5700" t="inlineStr"/>
    </row>
    <row r="5701">
      <c r="A5701">
        <f>HYPERLINK("https://mathstats.uncg.edu/sites/pauli/congruence/csg19.html#group50D19", "50D¹⁹")</f>
        <v/>
      </c>
      <c r="B5701" t="n">
        <v>19</v>
      </c>
      <c r="C5701" t="inlineStr"/>
      <c r="D5701" t="inlineStr">
        <is>
          <t>300</t>
        </is>
      </c>
      <c r="E5701" t="inlineStr">
        <is>
          <t>1</t>
        </is>
      </c>
      <c r="F5701" t="inlineStr">
        <is>
          <t>75</t>
        </is>
      </c>
      <c r="G5701" t="inlineStr">
        <is>
          <t>0</t>
        </is>
      </c>
      <c r="H5701" t="inlineStr">
        <is>
          <t>0</t>
        </is>
      </c>
      <c r="I5701" t="inlineStr">
        <is>
          <t>10¹⁰, 50⁴</t>
        </is>
      </c>
      <c r="J5701" t="n">
        <v>14</v>
      </c>
      <c r="K5701" t="inlineStr">
        <is>
          <t>2², 4⁴, 10¹, 20⁶</t>
        </is>
      </c>
      <c r="L5701" t="inlineStr">
        <is>
          <t>10B³, 25F⁶, 50A⁷, 50A¹⁰</t>
        </is>
      </c>
      <c r="M5701" t="inlineStr"/>
      <c r="N5701" t="inlineStr">
        <is>
          <t>2A⁰, 5A⁰, 10A², 5B⁰, 10A¹, 10E¹, 1A⁰, 50A¹⁰, 25F², 10A⁰, 10B³, 5E⁰, 25F⁶, 10C¹, 5C⁰, 50A⁷, 5G⁰</t>
        </is>
      </c>
      <c r="O5701" t="inlineStr"/>
    </row>
    <row r="5702">
      <c r="A5702">
        <f>HYPERLINK("https://mathstats.uncg.edu/sites/pauli/congruence/csg19.html#group51A19", "51A¹⁹")</f>
        <v/>
      </c>
      <c r="B5702" t="n">
        <v>19</v>
      </c>
      <c r="C5702" t="inlineStr"/>
      <c r="D5702" t="inlineStr">
        <is>
          <t>306</t>
        </is>
      </c>
      <c r="E5702" t="inlineStr">
        <is>
          <t>1</t>
        </is>
      </c>
      <c r="F5702" t="inlineStr">
        <is>
          <t>102</t>
        </is>
      </c>
      <c r="G5702" t="inlineStr">
        <is>
          <t>18</t>
        </is>
      </c>
      <c r="H5702" t="inlineStr">
        <is>
          <t>0</t>
        </is>
      </c>
      <c r="I5702" t="inlineStr">
        <is>
          <t>51⁶</t>
        </is>
      </c>
      <c r="J5702" t="n">
        <v>6</v>
      </c>
      <c r="K5702" t="inlineStr">
        <is>
          <t>4¹, 8¹, 16¹²</t>
        </is>
      </c>
      <c r="L5702" t="inlineStr">
        <is>
          <t>3A⁰, 17A⁴</t>
        </is>
      </c>
      <c r="M5702" t="inlineStr"/>
      <c r="N5702" t="inlineStr">
        <is>
          <t>3A⁰, 1A⁰, 17A⁴</t>
        </is>
      </c>
      <c r="O5702" t="inlineStr"/>
    </row>
    <row r="5703">
      <c r="A5703">
        <f>HYPERLINK("https://mathstats.uncg.edu/sites/pauli/congruence/csg19.html#group51B19", "51B¹⁹")</f>
        <v/>
      </c>
      <c r="B5703" t="n">
        <v>19</v>
      </c>
      <c r="C5703" t="inlineStr"/>
      <c r="D5703" t="inlineStr">
        <is>
          <t>306</t>
        </is>
      </c>
      <c r="E5703" t="inlineStr">
        <is>
          <t>1</t>
        </is>
      </c>
      <c r="F5703" t="inlineStr">
        <is>
          <t>102</t>
        </is>
      </c>
      <c r="G5703" t="inlineStr">
        <is>
          <t>18</t>
        </is>
      </c>
      <c r="H5703" t="inlineStr">
        <is>
          <t>0</t>
        </is>
      </c>
      <c r="I5703" t="inlineStr">
        <is>
          <t>51⁶</t>
        </is>
      </c>
      <c r="J5703" t="n">
        <v>6</v>
      </c>
      <c r="K5703" t="inlineStr">
        <is>
          <t>4¹, 8¹, 16¹²</t>
        </is>
      </c>
      <c r="L5703" t="inlineStr">
        <is>
          <t>3A⁰, 17B⁴</t>
        </is>
      </c>
      <c r="M5703" t="inlineStr"/>
      <c r="N5703" t="inlineStr">
        <is>
          <t>3A⁰, 1A⁰, 17B⁴</t>
        </is>
      </c>
      <c r="O5703" t="inlineStr"/>
    </row>
    <row r="5704">
      <c r="A5704">
        <f>HYPERLINK("https://mathstats.uncg.edu/sites/pauli/congruence/csg19.html#group52A19", "52A¹⁹")</f>
        <v/>
      </c>
      <c r="B5704" t="n">
        <v>19</v>
      </c>
      <c r="C5704" t="inlineStr"/>
      <c r="D5704" t="inlineStr">
        <is>
          <t>336</t>
        </is>
      </c>
      <c r="E5704" t="inlineStr">
        <is>
          <t>1</t>
        </is>
      </c>
      <c r="F5704" t="inlineStr">
        <is>
          <t>42</t>
        </is>
      </c>
      <c r="G5704" t="inlineStr">
        <is>
          <t>0</t>
        </is>
      </c>
      <c r="H5704" t="inlineStr">
        <is>
          <t>0</t>
        </is>
      </c>
      <c r="I5704" t="inlineStr">
        <is>
          <t>2⁸, 4², 26⁸, 52²</t>
        </is>
      </c>
      <c r="J5704" t="n">
        <v>20</v>
      </c>
      <c r="K5704" t="inlineStr">
        <is>
          <t>1⁶, 12³</t>
        </is>
      </c>
      <c r="L5704" t="inlineStr">
        <is>
          <t>26B⁹, 52E⁹</t>
        </is>
      </c>
      <c r="M5704" t="inlineStr"/>
      <c r="N5704" t="inlineStr">
        <is>
          <t>26B⁵, 2A⁰, 26B¹, 26A¹, 26B⁹, 13A⁰, 26B⁴, 2B⁰, 26A⁰, 13B⁰, 52E⁹, 1A⁰, 2C⁰, 26A², 26A⁴</t>
        </is>
      </c>
      <c r="O5704" t="inlineStr"/>
    </row>
    <row r="5705">
      <c r="A5705">
        <f>HYPERLINK("https://mathstats.uncg.edu/sites/pauli/congruence/csg19.html#group52B19", "52B¹⁹")</f>
        <v/>
      </c>
      <c r="B5705" t="n">
        <v>19</v>
      </c>
      <c r="C5705" t="inlineStr"/>
      <c r="D5705" t="inlineStr">
        <is>
          <t>336</t>
        </is>
      </c>
      <c r="E5705" t="inlineStr">
        <is>
          <t>1</t>
        </is>
      </c>
      <c r="F5705" t="inlineStr">
        <is>
          <t>84</t>
        </is>
      </c>
      <c r="G5705" t="inlineStr">
        <is>
          <t>0</t>
        </is>
      </c>
      <c r="H5705" t="inlineStr">
        <is>
          <t>0</t>
        </is>
      </c>
      <c r="I5705" t="inlineStr">
        <is>
          <t>1⁴, 2², 4⁴, 13⁴, 26², 52⁴</t>
        </is>
      </c>
      <c r="J5705" t="n">
        <v>20</v>
      </c>
      <c r="K5705" t="inlineStr">
        <is>
          <t>1⁸, 2², 12⁴, 24¹</t>
        </is>
      </c>
      <c r="L5705" t="inlineStr">
        <is>
          <t>52A⁹</t>
        </is>
      </c>
      <c r="M5705" t="inlineStr"/>
      <c r="N5705" t="inlineStr">
        <is>
          <t>52A⁵, 52A⁹, 13A⁰, 2B⁰, 13B⁰, 52A⁴, 4B⁰, 1A⁰, 26A², 26A⁴</t>
        </is>
      </c>
      <c r="O5705" t="inlineStr"/>
    </row>
    <row r="5706">
      <c r="A5706">
        <f>HYPERLINK("https://mathstats.uncg.edu/sites/pauli/congruence/csg19.html#group52C19", "52C¹⁹")</f>
        <v/>
      </c>
      <c r="B5706" t="n">
        <v>19</v>
      </c>
      <c r="C5706" t="inlineStr"/>
      <c r="D5706" t="inlineStr">
        <is>
          <t>336</t>
        </is>
      </c>
      <c r="E5706" t="inlineStr">
        <is>
          <t>1</t>
        </is>
      </c>
      <c r="F5706" t="inlineStr">
        <is>
          <t>84</t>
        </is>
      </c>
      <c r="G5706" t="inlineStr">
        <is>
          <t>8</t>
        </is>
      </c>
      <c r="H5706" t="inlineStr">
        <is>
          <t>0</t>
        </is>
      </c>
      <c r="I5706" t="inlineStr">
        <is>
          <t>2⁴, 4⁴, 26⁴, 52⁴</t>
        </is>
      </c>
      <c r="J5706" t="n">
        <v>16</v>
      </c>
      <c r="K5706" t="inlineStr">
        <is>
          <t>1⁸, 2², 12⁴, 24¹</t>
        </is>
      </c>
      <c r="L5706" t="inlineStr">
        <is>
          <t>52B⁹</t>
        </is>
      </c>
      <c r="M5706" t="inlineStr"/>
      <c r="N5706" t="inlineStr">
        <is>
          <t>52B⁹, 4C⁰, 13A⁰, 26B⁴, 52B⁵, 2B⁰, 26A⁰, 52A⁴, 1A⁰, 26A²</t>
        </is>
      </c>
      <c r="O5706" t="inlineStr"/>
    </row>
    <row r="5707">
      <c r="A5707">
        <f>HYPERLINK("https://mathstats.uncg.edu/sites/pauli/congruence/csg19.html#group54A19", "54A¹⁹")</f>
        <v/>
      </c>
      <c r="B5707" t="n">
        <v>19</v>
      </c>
      <c r="C5707" t="inlineStr"/>
      <c r="D5707" t="inlineStr">
        <is>
          <t>324</t>
        </is>
      </c>
      <c r="E5707" t="inlineStr">
        <is>
          <t>1</t>
        </is>
      </c>
      <c r="F5707" t="inlineStr">
        <is>
          <t>162</t>
        </is>
      </c>
      <c r="G5707" t="inlineStr">
        <is>
          <t>12</t>
        </is>
      </c>
      <c r="H5707" t="inlineStr">
        <is>
          <t>0</t>
        </is>
      </c>
      <c r="I5707" t="inlineStr">
        <is>
          <t>18⁹, 54³</t>
        </is>
      </c>
      <c r="J5707" t="n">
        <v>12</v>
      </c>
      <c r="K5707" t="inlineStr">
        <is>
          <t>1¹, 2⁴, 6³, 9¹, 18⁷</t>
        </is>
      </c>
      <c r="L5707" t="inlineStr">
        <is>
          <t>18O⁴, 27G⁷</t>
        </is>
      </c>
      <c r="M5707" t="inlineStr"/>
      <c r="N5707" t="inlineStr">
        <is>
          <t>27G⁷, 6B⁰, 9D⁰, 18D⁰, 3A⁰, 6E⁰, 9A⁰, 3C⁰, 9E¹, 18F¹, 9E⁰, 18O⁴, 1A⁰, 18A⁰</t>
        </is>
      </c>
      <c r="O5707" t="inlineStr"/>
    </row>
    <row r="5708">
      <c r="A5708">
        <f>HYPERLINK("https://mathstats.uncg.edu/sites/pauli/congruence/csg19.html#group54B19", "54B¹⁹")</f>
        <v/>
      </c>
      <c r="B5708" t="n">
        <v>19</v>
      </c>
      <c r="C5708" t="inlineStr"/>
      <c r="D5708" t="inlineStr">
        <is>
          <t>324</t>
        </is>
      </c>
      <c r="E5708" t="inlineStr">
        <is>
          <t>1</t>
        </is>
      </c>
      <c r="F5708" t="inlineStr">
        <is>
          <t>324</t>
        </is>
      </c>
      <c r="G5708" t="inlineStr">
        <is>
          <t>12</t>
        </is>
      </c>
      <c r="H5708" t="inlineStr">
        <is>
          <t>0</t>
        </is>
      </c>
      <c r="I5708" t="inlineStr">
        <is>
          <t>18⁹, 54³</t>
        </is>
      </c>
      <c r="J5708" t="n">
        <v>12</v>
      </c>
      <c r="K5708" t="inlineStr">
        <is>
          <t>2⁹, 6⁶, 9², 18¹⁴</t>
        </is>
      </c>
      <c r="L5708" t="inlineStr">
        <is>
          <t>18O⁴</t>
        </is>
      </c>
      <c r="M5708" t="inlineStr"/>
      <c r="N5708" t="inlineStr">
        <is>
          <t>6B⁰, 9D⁰, 18D⁰, 3A⁰, 6E⁰, 9A⁰, 3C⁰, 9E¹, 18F¹, 9E⁰, 18O⁴, 1A⁰, 18A⁰</t>
        </is>
      </c>
      <c r="O5708" t="inlineStr"/>
    </row>
    <row r="5709">
      <c r="A5709">
        <f>HYPERLINK("https://mathstats.uncg.edu/sites/pauli/congruence/csg19.html#group55A19", "55A¹⁹")</f>
        <v/>
      </c>
      <c r="B5709" t="n">
        <v>19</v>
      </c>
      <c r="C5709" t="inlineStr"/>
      <c r="D5709" t="inlineStr">
        <is>
          <t>275</t>
        </is>
      </c>
      <c r="E5709" t="inlineStr">
        <is>
          <t>1</t>
        </is>
      </c>
      <c r="F5709" t="inlineStr">
        <is>
          <t>275</t>
        </is>
      </c>
      <c r="G5709" t="inlineStr">
        <is>
          <t>7</t>
        </is>
      </c>
      <c r="H5709" t="inlineStr">
        <is>
          <t>2</t>
        </is>
      </c>
      <c r="I5709" t="inlineStr">
        <is>
          <t>55⁵</t>
        </is>
      </c>
      <c r="J5709" t="n">
        <v>5</v>
      </c>
      <c r="K5709" t="inlineStr">
        <is>
          <t>5¹, 10⁵, 20¹, 40⁵</t>
        </is>
      </c>
      <c r="L5709" t="inlineStr">
        <is>
          <t>5A⁰, 11C¹</t>
        </is>
      </c>
      <c r="M5709" t="inlineStr"/>
      <c r="N5709" t="inlineStr">
        <is>
          <t>11C¹, 5A⁰, 1A⁰</t>
        </is>
      </c>
      <c r="O5709" t="inlineStr"/>
    </row>
    <row r="5710">
      <c r="A5710">
        <f>HYPERLINK("https://mathstats.uncg.edu/sites/pauli/congruence/csg19.html#group56A19", "56A¹⁹")</f>
        <v/>
      </c>
      <c r="B5710" t="n">
        <v>19</v>
      </c>
      <c r="C5710" t="inlineStr"/>
      <c r="D5710" t="inlineStr">
        <is>
          <t>252</t>
        </is>
      </c>
      <c r="E5710" t="inlineStr">
        <is>
          <t>1</t>
        </is>
      </c>
      <c r="F5710" t="inlineStr">
        <is>
          <t>63</t>
        </is>
      </c>
      <c r="G5710" t="inlineStr">
        <is>
          <t>0</t>
        </is>
      </c>
      <c r="H5710" t="inlineStr">
        <is>
          <t>0</t>
        </is>
      </c>
      <c r="I5710" t="inlineStr">
        <is>
          <t>28³, 56³</t>
        </is>
      </c>
      <c r="J5710" t="n">
        <v>6</v>
      </c>
      <c r="K5710" t="inlineStr">
        <is>
          <t>3³, 6⁹</t>
        </is>
      </c>
      <c r="L5710" t="inlineStr">
        <is>
          <t>28I⁶, 56A⁷</t>
        </is>
      </c>
      <c r="M5710" t="inlineStr"/>
      <c r="N5710" t="inlineStr">
        <is>
          <t>28C², 8A¹, 56A⁷, 7D⁰, 14B¹, 4C⁰, 14F², 2B⁰, 28I⁶, 1A⁰, 7A⁰</t>
        </is>
      </c>
      <c r="O5710" t="inlineStr"/>
    </row>
    <row r="5711">
      <c r="A5711">
        <f>HYPERLINK("https://mathstats.uncg.edu/sites/pauli/congruence/csg19.html#group56B19", "56B¹⁹")</f>
        <v/>
      </c>
      <c r="B5711" t="n">
        <v>19</v>
      </c>
      <c r="C5711" t="inlineStr"/>
      <c r="D5711" t="inlineStr">
        <is>
          <t>288</t>
        </is>
      </c>
      <c r="E5711" t="inlineStr">
        <is>
          <t>1</t>
        </is>
      </c>
      <c r="F5711" t="inlineStr">
        <is>
          <t>24</t>
        </is>
      </c>
      <c r="G5711" t="inlineStr">
        <is>
          <t>0</t>
        </is>
      </c>
      <c r="H5711" t="inlineStr">
        <is>
          <t>0</t>
        </is>
      </c>
      <c r="I5711" t="inlineStr">
        <is>
          <t>4³, 8³, 28³, 56³</t>
        </is>
      </c>
      <c r="J5711" t="n">
        <v>12</v>
      </c>
      <c r="K5711" t="inlineStr">
        <is>
          <t>1⁶, 6³</t>
        </is>
      </c>
      <c r="L5711" t="inlineStr">
        <is>
          <t>28D⁷, 56B⁷</t>
        </is>
      </c>
      <c r="M5711" t="inlineStr"/>
      <c r="N5711" t="inlineStr">
        <is>
          <t>7B⁰, 4C⁰, 14H¹, 14C¹, 8B⁰, 2B⁰, 7E⁰, 28C³, 1A⁰, 28D⁷, 56B⁷</t>
        </is>
      </c>
      <c r="O5711" t="inlineStr"/>
    </row>
    <row r="5712">
      <c r="A5712">
        <f>HYPERLINK("https://mathstats.uncg.edu/sites/pauli/congruence/csg19.html#group56C19", "56C¹⁹")</f>
        <v/>
      </c>
      <c r="B5712" t="n">
        <v>19</v>
      </c>
      <c r="C5712" t="inlineStr"/>
      <c r="D5712" t="inlineStr">
        <is>
          <t>288</t>
        </is>
      </c>
      <c r="E5712" t="inlineStr">
        <is>
          <t>1</t>
        </is>
      </c>
      <c r="F5712" t="inlineStr">
        <is>
          <t>24</t>
        </is>
      </c>
      <c r="G5712" t="inlineStr">
        <is>
          <t>0</t>
        </is>
      </c>
      <c r="H5712" t="inlineStr">
        <is>
          <t>0</t>
        </is>
      </c>
      <c r="I5712" t="inlineStr">
        <is>
          <t>4³, 8³, 28³, 56³</t>
        </is>
      </c>
      <c r="J5712" t="n">
        <v>12</v>
      </c>
      <c r="K5712" t="inlineStr">
        <is>
          <t>1⁶, 6³</t>
        </is>
      </c>
      <c r="L5712" t="inlineStr">
        <is>
          <t>28D⁷, 56C⁷</t>
        </is>
      </c>
      <c r="M5712" t="inlineStr"/>
      <c r="N5712" t="inlineStr">
        <is>
          <t>8A¹, 7B⁰, 4C⁰, 14H¹, 14C¹, 2B⁰, 7E⁰, 56C⁷, 28C³, 1A⁰, 28D⁷</t>
        </is>
      </c>
      <c r="O5712" t="inlineStr"/>
    </row>
    <row r="5713">
      <c r="A5713">
        <f>HYPERLINK("https://mathstats.uncg.edu/sites/pauli/congruence/csg19.html#group60A19", "60A¹⁹")</f>
        <v/>
      </c>
      <c r="B5713" t="n">
        <v>19</v>
      </c>
      <c r="C5713" t="inlineStr"/>
      <c r="D5713" t="inlineStr">
        <is>
          <t>240</t>
        </is>
      </c>
      <c r="E5713" t="inlineStr">
        <is>
          <t>1</t>
        </is>
      </c>
      <c r="F5713" t="inlineStr">
        <is>
          <t>5</t>
        </is>
      </c>
      <c r="G5713" t="inlineStr">
        <is>
          <t>0</t>
        </is>
      </c>
      <c r="H5713" t="inlineStr">
        <is>
          <t>0</t>
        </is>
      </c>
      <c r="I5713" t="inlineStr">
        <is>
          <t>60⁴</t>
        </is>
      </c>
      <c r="J5713" t="n">
        <v>4</v>
      </c>
      <c r="K5713" t="inlineStr">
        <is>
          <t>1¹, 4¹</t>
        </is>
      </c>
      <c r="L5713" t="inlineStr">
        <is>
          <t>12A³, 60B⁴, 30A⁹, 60A⁹</t>
        </is>
      </c>
      <c r="M5713" t="inlineStr"/>
      <c r="N5713" t="inlineStr">
        <is>
          <t>3B⁰, 2A⁰, 5A⁰, 30A³, 6B⁰, 15A⁴, 3A⁰, 12D¹, 12A³, 30D², 60B⁴, 6C⁰, 60A⁹, 30A⁴, 1A⁰, 30B⁵, 10A⁰, 30A², 6D¹, 15A², 6E⁰, 6B¹, 15B¹, 3C⁰, 6A¹, 30A⁹, 3D⁰, 15A¹, 12B⁰</t>
        </is>
      </c>
      <c r="O5713" t="inlineStr"/>
    </row>
    <row r="5714">
      <c r="A5714">
        <f>HYPERLINK("https://mathstats.uncg.edu/sites/pauli/congruence/csg19.html#group60B19", "60B¹⁹")</f>
        <v/>
      </c>
      <c r="B5714" t="n">
        <v>19</v>
      </c>
      <c r="C5714" t="inlineStr"/>
      <c r="D5714" t="inlineStr">
        <is>
          <t>240</t>
        </is>
      </c>
      <c r="E5714" t="inlineStr">
        <is>
          <t>1</t>
        </is>
      </c>
      <c r="F5714" t="inlineStr">
        <is>
          <t>10</t>
        </is>
      </c>
      <c r="G5714" t="inlineStr">
        <is>
          <t>0</t>
        </is>
      </c>
      <c r="H5714" t="inlineStr">
        <is>
          <t>0</t>
        </is>
      </c>
      <c r="I5714" t="inlineStr">
        <is>
          <t>60⁴</t>
        </is>
      </c>
      <c r="J5714" t="n">
        <v>4</v>
      </c>
      <c r="K5714" t="inlineStr">
        <is>
          <t>2¹, 4²</t>
        </is>
      </c>
      <c r="L5714" t="inlineStr">
        <is>
          <t>20N³, 60K⁷, 30B⁹</t>
        </is>
      </c>
      <c r="M5714" t="inlineStr"/>
      <c r="N5714" t="inlineStr">
        <is>
          <t>10H¹, 2A⁰, 5A⁰, 30A³, 30B⁹, 10D⁰, 15B⁴, 5F⁰, 20N³, 30A⁵, 30F², 1A⁰, 20F¹, 15D¹, 10A⁰, 60K⁷, 10C¹, 6A¹, 3A⁰, 5C⁰, 15A¹</t>
        </is>
      </c>
      <c r="O5714" t="inlineStr"/>
    </row>
    <row r="5715">
      <c r="A5715">
        <f>HYPERLINK("https://mathstats.uncg.edu/sites/pauli/congruence/csg19.html#group60C19", "60C¹⁹")</f>
        <v/>
      </c>
      <c r="B5715" t="n">
        <v>19</v>
      </c>
      <c r="C5715" t="inlineStr"/>
      <c r="D5715" t="inlineStr">
        <is>
          <t>240</t>
        </is>
      </c>
      <c r="E5715" t="inlineStr">
        <is>
          <t>1</t>
        </is>
      </c>
      <c r="F5715" t="inlineStr">
        <is>
          <t>20</t>
        </is>
      </c>
      <c r="G5715" t="inlineStr">
        <is>
          <t>0</t>
        </is>
      </c>
      <c r="H5715" t="inlineStr">
        <is>
          <t>0</t>
        </is>
      </c>
      <c r="I5715" t="inlineStr">
        <is>
          <t>60⁴</t>
        </is>
      </c>
      <c r="J5715" t="n">
        <v>4</v>
      </c>
      <c r="K5715" t="inlineStr">
        <is>
          <t>2², 8²</t>
        </is>
      </c>
      <c r="L5715" t="inlineStr">
        <is>
          <t>12B³, 15A⁴, 60A⁶, 60C⁹</t>
        </is>
      </c>
      <c r="M5715" t="inlineStr"/>
      <c r="N5715" t="inlineStr">
        <is>
          <t>12G¹, 3B⁰, 5A⁰, 15A⁴, 12B³, 20A¹, 60A⁶, 1A⁰, 12A⁰, 15A², 4A⁰, 12A¹, 60A⁴, 15B¹, 3C⁰, 3A⁰, 3D⁰, 60C⁹, 15A¹</t>
        </is>
      </c>
      <c r="O5715" t="inlineStr"/>
    </row>
    <row r="5716">
      <c r="A5716">
        <f>HYPERLINK("https://mathstats.uncg.edu/sites/pauli/congruence/csg19.html#group60D19", "60D¹⁹")</f>
        <v/>
      </c>
      <c r="B5716" t="n">
        <v>19</v>
      </c>
      <c r="C5716" t="inlineStr"/>
      <c r="D5716" t="inlineStr">
        <is>
          <t>240</t>
        </is>
      </c>
      <c r="E5716" t="inlineStr">
        <is>
          <t>1</t>
        </is>
      </c>
      <c r="F5716" t="inlineStr">
        <is>
          <t>30</t>
        </is>
      </c>
      <c r="G5716" t="inlineStr">
        <is>
          <t>0</t>
        </is>
      </c>
      <c r="H5716" t="inlineStr">
        <is>
          <t>0</t>
        </is>
      </c>
      <c r="I5716" t="inlineStr">
        <is>
          <t>60⁴</t>
        </is>
      </c>
      <c r="J5716" t="n">
        <v>4</v>
      </c>
      <c r="K5716" t="inlineStr">
        <is>
          <t>2¹, 4³, 8²</t>
        </is>
      </c>
      <c r="L5716" t="inlineStr">
        <is>
          <t>60L⁷, 30B⁹</t>
        </is>
      </c>
      <c r="M5716" t="inlineStr"/>
      <c r="N5716" t="inlineStr">
        <is>
          <t>10H¹, 30A³, 2A⁰, 5A⁰, 30B⁹, 10D⁰, 15B⁴, 5F⁰, 30A⁵, 30F², 1A⁰, 60L⁷, 15D¹, 10A⁰, 10C¹, 6A¹, 3A⁰, 5C⁰, 15A¹</t>
        </is>
      </c>
      <c r="O5716" t="inlineStr"/>
    </row>
    <row r="5717">
      <c r="A5717">
        <f>HYPERLINK("https://mathstats.uncg.edu/sites/pauli/congruence/csg19.html#group60E19", "60E¹⁹")</f>
        <v/>
      </c>
      <c r="B5717" t="n">
        <v>19</v>
      </c>
      <c r="C5717" t="inlineStr"/>
      <c r="D5717" t="inlineStr">
        <is>
          <t>240</t>
        </is>
      </c>
      <c r="E5717" t="inlineStr">
        <is>
          <t>1</t>
        </is>
      </c>
      <c r="F5717" t="inlineStr">
        <is>
          <t>40</t>
        </is>
      </c>
      <c r="G5717" t="inlineStr">
        <is>
          <t>0</t>
        </is>
      </c>
      <c r="H5717" t="inlineStr">
        <is>
          <t>0</t>
        </is>
      </c>
      <c r="I5717" t="inlineStr">
        <is>
          <t>60⁴</t>
        </is>
      </c>
      <c r="J5717" t="n">
        <v>4</v>
      </c>
      <c r="K5717" t="inlineStr">
        <is>
          <t>4², 8⁴</t>
        </is>
      </c>
      <c r="L5717" t="inlineStr">
        <is>
          <t>12A², 20A⁵, 30A⁵, 60J⁷</t>
        </is>
      </c>
      <c r="M5717" t="inlineStr"/>
      <c r="N5717" t="inlineStr">
        <is>
          <t>2A⁰, 60J⁷, 30A⁵, 20A⁵, 1A⁰, 15D¹, 12A⁰, 4A⁰, 4D⁰, 12A², 10C¹, 6A¹, 3A⁰, 5C⁰, 20E²</t>
        </is>
      </c>
      <c r="O5717" t="inlineStr"/>
    </row>
    <row r="5718">
      <c r="A5718">
        <f>HYPERLINK("https://mathstats.uncg.edu/sites/pauli/congruence/csg19.html#group60F19", "60F¹⁹")</f>
        <v/>
      </c>
      <c r="B5718" t="n">
        <v>19</v>
      </c>
      <c r="C5718" t="inlineStr"/>
      <c r="D5718" t="inlineStr">
        <is>
          <t>240</t>
        </is>
      </c>
      <c r="E5718" t="inlineStr">
        <is>
          <t>1</t>
        </is>
      </c>
      <c r="F5718" t="inlineStr">
        <is>
          <t>40</t>
        </is>
      </c>
      <c r="G5718" t="inlineStr">
        <is>
          <t>0</t>
        </is>
      </c>
      <c r="H5718" t="inlineStr">
        <is>
          <t>0</t>
        </is>
      </c>
      <c r="I5718" t="inlineStr">
        <is>
          <t>60⁴</t>
        </is>
      </c>
      <c r="J5718" t="n">
        <v>4</v>
      </c>
      <c r="K5718" t="inlineStr">
        <is>
          <t>4², 8⁴</t>
        </is>
      </c>
      <c r="L5718" t="inlineStr">
        <is>
          <t>15B⁴, 60A⁴, 20B⁵, 60J⁷</t>
        </is>
      </c>
      <c r="M5718" t="inlineStr"/>
      <c r="N5718" t="inlineStr">
        <is>
          <t>60J⁷, 5A⁰, 15B⁴, 20B⁵, 5F⁰, 20A¹, 1A⁰, 15D¹, 12A⁰, 4A⁰, 60A⁴, 3A⁰, 5C⁰, 20E², 15A¹</t>
        </is>
      </c>
      <c r="O5718" t="inlineStr"/>
    </row>
    <row r="5719">
      <c r="A5719">
        <f>HYPERLINK("https://mathstats.uncg.edu/sites/pauli/congruence/csg19.html#group60G19", "60G¹⁹")</f>
        <v/>
      </c>
      <c r="B5719" t="n">
        <v>19</v>
      </c>
      <c r="C5719" t="inlineStr"/>
      <c r="D5719" t="inlineStr">
        <is>
          <t>240</t>
        </is>
      </c>
      <c r="E5719" t="inlineStr">
        <is>
          <t>1</t>
        </is>
      </c>
      <c r="F5719" t="inlineStr">
        <is>
          <t>60</t>
        </is>
      </c>
      <c r="G5719" t="inlineStr">
        <is>
          <t>0</t>
        </is>
      </c>
      <c r="H5719" t="inlineStr">
        <is>
          <t>0</t>
        </is>
      </c>
      <c r="I5719" t="inlineStr">
        <is>
          <t>60⁴</t>
        </is>
      </c>
      <c r="J5719" t="n">
        <v>4</v>
      </c>
      <c r="K5719" t="inlineStr">
        <is>
          <t>2², 4², 8², 16²</t>
        </is>
      </c>
      <c r="L5719" t="inlineStr">
        <is>
          <t>12C³, 30B⁵, 60D⁸, 60C⁹, 60A¹⁰</t>
        </is>
      </c>
      <c r="M5719" t="inlineStr"/>
      <c r="N5719" t="inlineStr">
        <is>
          <t>12G¹, 2A⁰, 30A³, 5A⁰, 6B⁰, 60D⁸, 12C³, 12F⁰, 20A¹, 1A⁰, 30B⁵, 60A¹⁰, 12A⁰, 20D², 10A⁰, 30A², 6B¹, 15A², 4A⁰, 4D⁰, 60A⁴, 12A², 3C⁰, 6A¹, 3A⁰, 60C⁹, 15A¹</t>
        </is>
      </c>
      <c r="O5719" t="inlineStr"/>
    </row>
    <row r="5720">
      <c r="A5720">
        <f>HYPERLINK("https://mathstats.uncg.edu/sites/pauli/congruence/csg19.html#group60H19", "60H¹⁹")</f>
        <v/>
      </c>
      <c r="B5720" t="n">
        <v>19</v>
      </c>
      <c r="C5720" t="inlineStr"/>
      <c r="D5720" t="inlineStr">
        <is>
          <t>270</t>
        </is>
      </c>
      <c r="E5720" t="inlineStr">
        <is>
          <t>1</t>
        </is>
      </c>
      <c r="F5720" t="inlineStr">
        <is>
          <t>15</t>
        </is>
      </c>
      <c r="G5720" t="inlineStr">
        <is>
          <t>0</t>
        </is>
      </c>
      <c r="H5720" t="inlineStr">
        <is>
          <t>0</t>
        </is>
      </c>
      <c r="I5720" t="inlineStr">
        <is>
          <t>15⁶, 60³</t>
        </is>
      </c>
      <c r="J5720" t="n">
        <v>9</v>
      </c>
      <c r="K5720" t="inlineStr">
        <is>
          <t>1³, 4³</t>
        </is>
      </c>
      <c r="L5720" t="inlineStr">
        <is>
          <t>20D⁴, 30P⁷, 60A⁷, 60C⁷</t>
        </is>
      </c>
      <c r="M5720" t="inlineStr"/>
      <c r="N5720" t="inlineStr">
        <is>
          <t>20A², 20D⁴, 5A⁰, 15A¹, 10B¹, 15F¹, 2B⁰, 4B⁰, 1A⁰, 60A⁷, 30P⁷, 30D³, 10I¹, 30E³, 6D⁰, 5E⁰, 12B¹, 3A⁰, 60C⁷, 15A⁰</t>
        </is>
      </c>
      <c r="O5720" t="inlineStr"/>
    </row>
    <row r="5721">
      <c r="A5721">
        <f>HYPERLINK("https://mathstats.uncg.edu/sites/pauli/congruence/csg19.html#group60I19", "60I¹⁹")</f>
        <v/>
      </c>
      <c r="B5721" t="n">
        <v>19</v>
      </c>
      <c r="C5721" t="inlineStr"/>
      <c r="D5721" t="inlineStr">
        <is>
          <t>270</t>
        </is>
      </c>
      <c r="E5721" t="inlineStr">
        <is>
          <t>1</t>
        </is>
      </c>
      <c r="F5721" t="inlineStr">
        <is>
          <t>45</t>
        </is>
      </c>
      <c r="G5721" t="inlineStr">
        <is>
          <t>6</t>
        </is>
      </c>
      <c r="H5721" t="inlineStr">
        <is>
          <t>0</t>
        </is>
      </c>
      <c r="I5721" t="inlineStr">
        <is>
          <t>30³, 60³</t>
        </is>
      </c>
      <c r="J5721" t="n">
        <v>6</v>
      </c>
      <c r="K5721" t="inlineStr">
        <is>
          <t>1³, 2³, 4³, 8³</t>
        </is>
      </c>
      <c r="L5721" t="inlineStr">
        <is>
          <t>30P⁷, 60B⁷</t>
        </is>
      </c>
      <c r="M5721" t="inlineStr"/>
      <c r="N5721" t="inlineStr">
        <is>
          <t>5A⁰, 10B¹, 60B⁷, 15F¹, 2B⁰, 1A⁰, 30P⁷, 30D³, 10I¹, 12C¹, 30E³, 6D⁰, 5E⁰, 3A⁰, 15A¹, 15A⁰</t>
        </is>
      </c>
      <c r="O5721" t="inlineStr"/>
    </row>
    <row r="5722">
      <c r="A5722">
        <f>HYPERLINK("https://mathstats.uncg.edu/sites/pauli/congruence/csg19.html#group60J19", "60J¹⁹")</f>
        <v/>
      </c>
      <c r="B5722" t="n">
        <v>19</v>
      </c>
      <c r="C5722" t="inlineStr"/>
      <c r="D5722" t="inlineStr">
        <is>
          <t>270</t>
        </is>
      </c>
      <c r="E5722" t="inlineStr">
        <is>
          <t>1</t>
        </is>
      </c>
      <c r="F5722" t="inlineStr">
        <is>
          <t>45</t>
        </is>
      </c>
      <c r="G5722" t="inlineStr">
        <is>
          <t>6</t>
        </is>
      </c>
      <c r="H5722" t="inlineStr">
        <is>
          <t>0</t>
        </is>
      </c>
      <c r="I5722" t="inlineStr">
        <is>
          <t>30³, 60³</t>
        </is>
      </c>
      <c r="J5722" t="n">
        <v>6</v>
      </c>
      <c r="K5722" t="inlineStr">
        <is>
          <t>1³, 2³, 4⁹</t>
        </is>
      </c>
      <c r="L5722" t="inlineStr">
        <is>
          <t>20C⁵, 30P⁷</t>
        </is>
      </c>
      <c r="M5722" t="inlineStr"/>
      <c r="N5722" t="inlineStr">
        <is>
          <t>30P⁷, 30D³, 5A⁰, 10I¹, 30E³, 15A¹, 10B¹, 20C⁵, 15F¹, 5E⁰, 2B⁰, 3A⁰, 1A⁰, 6D⁰, 15A⁰</t>
        </is>
      </c>
      <c r="O5722" t="inlineStr"/>
    </row>
    <row r="5723">
      <c r="A5723">
        <f>HYPERLINK("https://mathstats.uncg.edu/sites/pauli/congruence/csg19.html#group60K19", "60K¹⁹")</f>
        <v/>
      </c>
      <c r="B5723" t="n">
        <v>19</v>
      </c>
      <c r="C5723" t="inlineStr"/>
      <c r="D5723" t="inlineStr">
        <is>
          <t>288</t>
        </is>
      </c>
      <c r="E5723" t="inlineStr">
        <is>
          <t>1</t>
        </is>
      </c>
      <c r="F5723" t="inlineStr">
        <is>
          <t>24</t>
        </is>
      </c>
      <c r="G5723" t="inlineStr">
        <is>
          <t>0</t>
        </is>
      </c>
      <c r="H5723" t="inlineStr">
        <is>
          <t>0</t>
        </is>
      </c>
      <c r="I5723" t="inlineStr">
        <is>
          <t>4³, 12³, 20³, 60³</t>
        </is>
      </c>
      <c r="J5723" t="n">
        <v>12</v>
      </c>
      <c r="K5723" t="inlineStr">
        <is>
          <t>1⁴, 2², 4², 8¹</t>
        </is>
      </c>
      <c r="L5723" t="inlineStr">
        <is>
          <t>30Q⁷, 60D⁷</t>
        </is>
      </c>
      <c r="M5723" t="inlineStr"/>
      <c r="N5723" t="inlineStr">
        <is>
          <t>30Q⁷, 3B⁰, 2A⁰, 6I⁰, 6C⁰, 5B⁰, 10A¹, 2B⁰, 30G³, 60D⁷, 1A⁰, 15C¹, 10C⁰, 30K³, 6F⁰, 2C⁰, 10G¹</t>
        </is>
      </c>
      <c r="O5723" t="inlineStr"/>
    </row>
    <row r="5724">
      <c r="A5724">
        <f>HYPERLINK("https://mathstats.uncg.edu/sites/pauli/congruence/csg19.html#group60L19", "60L¹⁹")</f>
        <v/>
      </c>
      <c r="B5724" t="n">
        <v>19</v>
      </c>
      <c r="C5724" t="inlineStr"/>
      <c r="D5724" t="inlineStr">
        <is>
          <t>288</t>
        </is>
      </c>
      <c r="E5724" t="inlineStr">
        <is>
          <t>1</t>
        </is>
      </c>
      <c r="F5724" t="inlineStr">
        <is>
          <t>24</t>
        </is>
      </c>
      <c r="G5724" t="inlineStr">
        <is>
          <t>0</t>
        </is>
      </c>
      <c r="H5724" t="inlineStr">
        <is>
          <t>0</t>
        </is>
      </c>
      <c r="I5724" t="inlineStr">
        <is>
          <t>4³, 12³, 20³, 60³</t>
        </is>
      </c>
      <c r="J5724" t="n">
        <v>12</v>
      </c>
      <c r="K5724" t="inlineStr">
        <is>
          <t>1⁴, 2², 4², 8¹</t>
        </is>
      </c>
      <c r="L5724" t="inlineStr">
        <is>
          <t>12F², 30Q⁷, 60E⁷</t>
        </is>
      </c>
      <c r="M5724" t="inlineStr"/>
      <c r="N5724" t="inlineStr">
        <is>
          <t>30Q⁷, 3B⁰, 2A⁰, 6I⁰, 6C⁰, 5B⁰, 10A¹, 2B⁰, 30G³, 1A⁰, 12F², 15C¹, 60E⁷, 10C⁰, 30K³, 6F⁰, 2C⁰, 10G¹, 12B⁰</t>
        </is>
      </c>
      <c r="O5724" t="inlineStr"/>
    </row>
    <row r="5725">
      <c r="A5725">
        <f>HYPERLINK("https://mathstats.uncg.edu/sites/pauli/congruence/csg19.html#group60M19", "60M¹⁹")</f>
        <v/>
      </c>
      <c r="B5725" t="n">
        <v>19</v>
      </c>
      <c r="C5725" t="inlineStr"/>
      <c r="D5725" t="inlineStr">
        <is>
          <t>288</t>
        </is>
      </c>
      <c r="E5725" t="inlineStr">
        <is>
          <t>1</t>
        </is>
      </c>
      <c r="F5725" t="inlineStr">
        <is>
          <t>144</t>
        </is>
      </c>
      <c r="G5725" t="inlineStr">
        <is>
          <t>0</t>
        </is>
      </c>
      <c r="H5725" t="inlineStr">
        <is>
          <t>0</t>
        </is>
      </c>
      <c r="I5725" t="inlineStr">
        <is>
          <t>4³, 12³, 20³, 60³</t>
        </is>
      </c>
      <c r="J5725" t="n">
        <v>12</v>
      </c>
      <c r="K5725" t="inlineStr">
        <is>
          <t>1⁸, 2¹², 4⁸, 8⁶, 16²</t>
        </is>
      </c>
      <c r="L5725" t="inlineStr">
        <is>
          <t>20K³, 60H⁹</t>
        </is>
      </c>
      <c r="M5725" t="inlineStr"/>
      <c r="N5725" t="inlineStr">
        <is>
          <t>20E¹, 3B⁰, 12F¹, 4C⁰, 5B⁰, 2B⁰, 20K³, 1A⁰, 15C¹, 6F⁰, 10C⁰, 30K³, 60H⁹</t>
        </is>
      </c>
      <c r="O5725" t="inlineStr"/>
    </row>
    <row r="5726">
      <c r="A5726">
        <f>HYPERLINK("https://mathstats.uncg.edu/sites/pauli/congruence/csg19.html#group60N19", "60N¹⁹")</f>
        <v/>
      </c>
      <c r="B5726" t="n">
        <v>19</v>
      </c>
      <c r="C5726" t="inlineStr"/>
      <c r="D5726" t="inlineStr">
        <is>
          <t>288</t>
        </is>
      </c>
      <c r="E5726" t="inlineStr">
        <is>
          <t>1</t>
        </is>
      </c>
      <c r="F5726" t="inlineStr">
        <is>
          <t>144</t>
        </is>
      </c>
      <c r="G5726" t="inlineStr">
        <is>
          <t>0</t>
        </is>
      </c>
      <c r="H5726" t="inlineStr">
        <is>
          <t>0</t>
        </is>
      </c>
      <c r="I5726" t="inlineStr">
        <is>
          <t>4³, 12³, 20³, 60³</t>
        </is>
      </c>
      <c r="J5726" t="n">
        <v>12</v>
      </c>
      <c r="K5726" t="inlineStr">
        <is>
          <t>1⁸, 2¹², 4⁸, 8⁶, 16²</t>
        </is>
      </c>
      <c r="L5726" t="inlineStr">
        <is>
          <t>12G², 20L³, 60F⁷, 60H⁹</t>
        </is>
      </c>
      <c r="M5726" t="inlineStr"/>
      <c r="N5726" t="inlineStr">
        <is>
          <t>20E¹, 3B⁰, 12F¹, 4C⁰, 5B⁰, 2B⁰, 1A⁰, 20B¹, 15C¹, 60F⁷, 4A⁰, 12A¹, 6F⁰, 10C⁰, 12G², 30K³, 4F⁰, 60H⁹, 20L³</t>
        </is>
      </c>
      <c r="O5726" t="inlineStr"/>
    </row>
    <row r="5727">
      <c r="A5727">
        <f>HYPERLINK("https://mathstats.uncg.edu/sites/pauli/congruence/csg19.html#group60O19", "60O¹⁹")</f>
        <v/>
      </c>
      <c r="B5727" t="n">
        <v>19</v>
      </c>
      <c r="C5727" t="inlineStr"/>
      <c r="D5727" t="inlineStr">
        <is>
          <t>288</t>
        </is>
      </c>
      <c r="E5727" t="inlineStr">
        <is>
          <t>2</t>
        </is>
      </c>
      <c r="F5727" t="inlineStr">
        <is>
          <t>72</t>
        </is>
      </c>
      <c r="G5727" t="inlineStr">
        <is>
          <t>0</t>
        </is>
      </c>
      <c r="H5727" t="inlineStr">
        <is>
          <t>0</t>
        </is>
      </c>
      <c r="I5727" t="inlineStr">
        <is>
          <t>4³, 12³, 20³, 60³</t>
        </is>
      </c>
      <c r="J5727" t="n">
        <v>12</v>
      </c>
      <c r="K5727" t="inlineStr">
        <is>
          <t>2¹², 4⁶, 8⁶, 16³</t>
        </is>
      </c>
      <c r="L5727" t="inlineStr">
        <is>
          <t>20M³, 30S⁷, 60G⁷</t>
        </is>
      </c>
      <c r="M5727" t="inlineStr"/>
      <c r="N5727" t="inlineStr">
        <is>
          <t>3B⁰, 20C¹, 20M³, 10G⁰, 5B⁰, 2B⁰, 30S⁷, 1A⁰, 60G⁷, 10B⁰, 15C¹, 30F³, 10C⁰, 30K³, 6F⁰</t>
        </is>
      </c>
      <c r="O5727" t="inlineStr"/>
    </row>
    <row r="5728">
      <c r="A5728">
        <f>HYPERLINK("https://mathstats.uncg.edu/sites/pauli/congruence/csg19.html#group62A19", "62A¹⁹")</f>
        <v/>
      </c>
      <c r="B5728" t="n">
        <v>19</v>
      </c>
      <c r="C5728" t="inlineStr"/>
      <c r="D5728" t="inlineStr">
        <is>
          <t>288</t>
        </is>
      </c>
      <c r="E5728" t="inlineStr">
        <is>
          <t>1</t>
        </is>
      </c>
      <c r="F5728" t="inlineStr">
        <is>
          <t>96</t>
        </is>
      </c>
      <c r="G5728" t="inlineStr">
        <is>
          <t>0</t>
        </is>
      </c>
      <c r="H5728" t="inlineStr">
        <is>
          <t>0</t>
        </is>
      </c>
      <c r="I5728" t="inlineStr">
        <is>
          <t>1³, 2³, 31³, 62³</t>
        </is>
      </c>
      <c r="J5728" t="n">
        <v>12</v>
      </c>
      <c r="K5728" t="inlineStr">
        <is>
          <t>1⁶, 30³</t>
        </is>
      </c>
      <c r="L5728" t="inlineStr">
        <is>
          <t>31A⁶, 62A⁷</t>
        </is>
      </c>
      <c r="M5728" t="inlineStr"/>
      <c r="N5728" t="inlineStr">
        <is>
          <t>31A⁶, 31A², 2B⁰, 1A⁰, 62A⁷</t>
        </is>
      </c>
      <c r="O5728" t="inlineStr"/>
    </row>
    <row r="5729">
      <c r="A5729">
        <f>HYPERLINK("https://mathstats.uncg.edu/sites/pauli/congruence/csg19.html#group63A19", "63A¹⁹")</f>
        <v/>
      </c>
      <c r="B5729" t="n">
        <v>19</v>
      </c>
      <c r="C5729" t="inlineStr"/>
      <c r="D5729" t="inlineStr">
        <is>
          <t>252</t>
        </is>
      </c>
      <c r="E5729" t="inlineStr">
        <is>
          <t>1</t>
        </is>
      </c>
      <c r="F5729" t="inlineStr">
        <is>
          <t>84</t>
        </is>
      </c>
      <c r="G5729" t="inlineStr">
        <is>
          <t>0</t>
        </is>
      </c>
      <c r="H5729" t="inlineStr">
        <is>
          <t>0</t>
        </is>
      </c>
      <c r="I5729" t="inlineStr">
        <is>
          <t>21³, 63³</t>
        </is>
      </c>
      <c r="J5729" t="n">
        <v>6</v>
      </c>
      <c r="K5729" t="inlineStr">
        <is>
          <t>3², 6⁷, 12³</t>
        </is>
      </c>
      <c r="L5729" t="inlineStr">
        <is>
          <t>21A⁵, 63C⁶</t>
        </is>
      </c>
      <c r="M5729" t="inlineStr"/>
      <c r="N5729" t="inlineStr">
        <is>
          <t>3B⁰, 21B², 63C⁶, 7D⁰, 9C⁰, 21A⁵, 1A⁰, 7A⁰</t>
        </is>
      </c>
      <c r="O5729" t="inlineStr"/>
    </row>
    <row r="5730">
      <c r="A5730">
        <f>HYPERLINK("https://mathstats.uncg.edu/sites/pauli/congruence/csg19.html#group63B19", "63B¹⁹")</f>
        <v/>
      </c>
      <c r="B5730" t="n">
        <v>19</v>
      </c>
      <c r="C5730" t="inlineStr"/>
      <c r="D5730" t="inlineStr">
        <is>
          <t>252</t>
        </is>
      </c>
      <c r="E5730" t="inlineStr">
        <is>
          <t>1</t>
        </is>
      </c>
      <c r="F5730" t="inlineStr">
        <is>
          <t>84</t>
        </is>
      </c>
      <c r="G5730" t="inlineStr">
        <is>
          <t>0</t>
        </is>
      </c>
      <c r="H5730" t="inlineStr">
        <is>
          <t>0</t>
        </is>
      </c>
      <c r="I5730" t="inlineStr">
        <is>
          <t>21³, 63³</t>
        </is>
      </c>
      <c r="J5730" t="n">
        <v>6</v>
      </c>
      <c r="K5730" t="inlineStr">
        <is>
          <t>3², 6⁷, 12³</t>
        </is>
      </c>
      <c r="L5730" t="inlineStr">
        <is>
          <t>21A⁵, 63A⁷</t>
        </is>
      </c>
      <c r="M5730" t="inlineStr"/>
      <c r="N5730" t="inlineStr">
        <is>
          <t>3B⁰, 21B², 7D⁰, 9A¹, 21A⁵, 1A⁰, 63A⁷, 7A⁰</t>
        </is>
      </c>
      <c r="O5730" t="inlineStr"/>
    </row>
    <row r="5731">
      <c r="A5731">
        <f>HYPERLINK("https://mathstats.uncg.edu/sites/pauli/congruence/csg19.html#group63C19", "63C¹⁹")</f>
        <v/>
      </c>
      <c r="B5731" t="n">
        <v>19</v>
      </c>
      <c r="C5731" t="inlineStr"/>
      <c r="D5731" t="inlineStr">
        <is>
          <t>252</t>
        </is>
      </c>
      <c r="E5731" t="inlineStr">
        <is>
          <t>2</t>
        </is>
      </c>
      <c r="F5731" t="inlineStr">
        <is>
          <t>28</t>
        </is>
      </c>
      <c r="G5731" t="inlineStr">
        <is>
          <t>0</t>
        </is>
      </c>
      <c r="H5731" t="inlineStr">
        <is>
          <t>0</t>
        </is>
      </c>
      <c r="I5731" t="inlineStr">
        <is>
          <t>21³, 63³</t>
        </is>
      </c>
      <c r="J5731" t="n">
        <v>6</v>
      </c>
      <c r="K5731" t="inlineStr">
        <is>
          <t>2², 4¹, 6⁴, 12²</t>
        </is>
      </c>
      <c r="L5731" t="inlineStr">
        <is>
          <t>9C¹, 21A⁶, 63B⁶, 63C⁶, 63A⁷</t>
        </is>
      </c>
      <c r="M5731" t="inlineStr"/>
      <c r="N5731" t="inlineStr">
        <is>
          <t>3B⁰, 21D², 63B⁶, 9B⁰, 21A⁰, 9C⁰, 1A⁰, 21A⁶, 63A⁷, 21B², 63C⁶, 9A¹, 3C⁰, 9C¹, 3A⁰, 3D⁰, 7A⁰</t>
        </is>
      </c>
      <c r="O5731" t="inlineStr"/>
    </row>
    <row r="5732">
      <c r="A5732">
        <f>HYPERLINK("https://mathstats.uncg.edu/sites/pauli/congruence/csg19.html#group63D19", "63D¹⁹")</f>
        <v/>
      </c>
      <c r="B5732" t="n">
        <v>19</v>
      </c>
      <c r="C5732" t="inlineStr"/>
      <c r="D5732" t="inlineStr">
        <is>
          <t>252</t>
        </is>
      </c>
      <c r="E5732" t="inlineStr">
        <is>
          <t>2</t>
        </is>
      </c>
      <c r="F5732" t="inlineStr">
        <is>
          <t>63</t>
        </is>
      </c>
      <c r="G5732" t="inlineStr">
        <is>
          <t>4</t>
        </is>
      </c>
      <c r="H5732" t="inlineStr">
        <is>
          <t>0</t>
        </is>
      </c>
      <c r="I5732" t="inlineStr">
        <is>
          <t>63⁴</t>
        </is>
      </c>
      <c r="J5732" t="n">
        <v>4</v>
      </c>
      <c r="K5732" t="inlineStr">
        <is>
          <t>4³, 12⁸, 36⁴</t>
        </is>
      </c>
      <c r="L5732" t="inlineStr">
        <is>
          <t>21B⁵, 63F⁶, 63A⁸, 63B⁹</t>
        </is>
      </c>
      <c r="M5732" t="inlineStr"/>
      <c r="N5732" t="inlineStr">
        <is>
          <t>21D², 63F⁶, 21B⁵, 21D¹, 21C², 21A⁰, 63B⁹, 1A⁰, 9B¹, 63A², 63A⁸, 9A⁰, 7C⁰, 3C⁰, 3A⁰, 7A⁰</t>
        </is>
      </c>
      <c r="O5732" t="inlineStr"/>
    </row>
    <row r="5733">
      <c r="A5733">
        <f>HYPERLINK("https://mathstats.uncg.edu/sites/pauli/congruence/csg19.html#group63E19", "63E¹⁹")</f>
        <v/>
      </c>
      <c r="B5733" t="n">
        <v>19</v>
      </c>
      <c r="C5733" t="inlineStr"/>
      <c r="D5733" t="inlineStr">
        <is>
          <t>252</t>
        </is>
      </c>
      <c r="E5733" t="inlineStr">
        <is>
          <t>2</t>
        </is>
      </c>
      <c r="F5733" t="inlineStr">
        <is>
          <t>63</t>
        </is>
      </c>
      <c r="G5733" t="inlineStr">
        <is>
          <t>4</t>
        </is>
      </c>
      <c r="H5733" t="inlineStr">
        <is>
          <t>0</t>
        </is>
      </c>
      <c r="I5733" t="inlineStr">
        <is>
          <t>63⁴</t>
        </is>
      </c>
      <c r="J5733" t="n">
        <v>4</v>
      </c>
      <c r="K5733" t="inlineStr">
        <is>
          <t>4³, 12⁸, 36⁴</t>
        </is>
      </c>
      <c r="L5733" t="inlineStr">
        <is>
          <t>21B⁵, 63G⁶, 63A⁸, 63A⁹</t>
        </is>
      </c>
      <c r="M5733" t="inlineStr"/>
      <c r="N5733" t="inlineStr">
        <is>
          <t>63A⁹, 21D², 21B⁵, 21D¹, 21C², 21A⁰, 63G⁶, 1A⁰, 9B¹, 63A², 63A⁸, 9A⁰, 7C⁰, 3C⁰, 3A⁰, 7A⁰</t>
        </is>
      </c>
      <c r="O5733" t="inlineStr"/>
    </row>
    <row r="5734">
      <c r="A5734">
        <f>HYPERLINK("https://mathstats.uncg.edu/sites/pauli/congruence/csg19.html#group63F19", "63F¹⁹")</f>
        <v/>
      </c>
      <c r="B5734" t="n">
        <v>19</v>
      </c>
      <c r="C5734" t="inlineStr"/>
      <c r="D5734" t="inlineStr">
        <is>
          <t>252</t>
        </is>
      </c>
      <c r="E5734" t="inlineStr">
        <is>
          <t>2</t>
        </is>
      </c>
      <c r="F5734" t="inlineStr">
        <is>
          <t>84</t>
        </is>
      </c>
      <c r="G5734" t="inlineStr">
        <is>
          <t>0</t>
        </is>
      </c>
      <c r="H5734" t="inlineStr">
        <is>
          <t>0</t>
        </is>
      </c>
      <c r="I5734" t="inlineStr">
        <is>
          <t>21³, 63³</t>
        </is>
      </c>
      <c r="J5734" t="n">
        <v>6</v>
      </c>
      <c r="K5734" t="inlineStr">
        <is>
          <t>2², 4², 6⁴, 12⁵, 36²</t>
        </is>
      </c>
      <c r="L5734" t="inlineStr">
        <is>
          <t>9D¹, 63A⁷</t>
        </is>
      </c>
      <c r="M5734" t="inlineStr"/>
      <c r="N5734" t="inlineStr">
        <is>
          <t>3B⁰, 21B², 9A¹, 9D¹, 1A⁰, 63A⁷, 7A⁰</t>
        </is>
      </c>
      <c r="O5734" t="inlineStr"/>
    </row>
    <row r="5735">
      <c r="A5735">
        <f>HYPERLINK("https://mathstats.uncg.edu/sites/pauli/congruence/csg19.html#group63G19", "63G¹⁹")</f>
        <v/>
      </c>
      <c r="B5735" t="n">
        <v>19</v>
      </c>
      <c r="C5735" t="inlineStr"/>
      <c r="D5735" t="inlineStr">
        <is>
          <t>288</t>
        </is>
      </c>
      <c r="E5735" t="inlineStr">
        <is>
          <t>1</t>
        </is>
      </c>
      <c r="F5735" t="inlineStr">
        <is>
          <t>32</t>
        </is>
      </c>
      <c r="G5735" t="inlineStr">
        <is>
          <t>0</t>
        </is>
      </c>
      <c r="H5735" t="inlineStr">
        <is>
          <t>0</t>
        </is>
      </c>
      <c r="I5735" t="inlineStr">
        <is>
          <t>3³, 9³, 21³, 63³</t>
        </is>
      </c>
      <c r="J5735" t="n">
        <v>12</v>
      </c>
      <c r="K5735" t="inlineStr">
        <is>
          <t>1⁴, 2², 6², 12¹</t>
        </is>
      </c>
      <c r="L5735" t="inlineStr">
        <is>
          <t>21D³, 63B⁵, 63C⁷</t>
        </is>
      </c>
      <c r="M5735" t="inlineStr"/>
      <c r="N5735" t="inlineStr">
        <is>
          <t>3B⁰, 63C⁷, 21B¹, 21D³, 7B⁰, 63B⁵, 7E⁰, 9C⁰, 1A⁰</t>
        </is>
      </c>
      <c r="O5735" t="inlineStr"/>
    </row>
    <row r="5736">
      <c r="A5736">
        <f>HYPERLINK("https://mathstats.uncg.edu/sites/pauli/congruence/csg19.html#group63H19", "63H¹⁹")</f>
        <v/>
      </c>
      <c r="B5736" t="n">
        <v>19</v>
      </c>
      <c r="C5736" t="inlineStr"/>
      <c r="D5736" t="inlineStr">
        <is>
          <t>288</t>
        </is>
      </c>
      <c r="E5736" t="inlineStr">
        <is>
          <t>1</t>
        </is>
      </c>
      <c r="F5736" t="inlineStr">
        <is>
          <t>32</t>
        </is>
      </c>
      <c r="G5736" t="inlineStr">
        <is>
          <t>0</t>
        </is>
      </c>
      <c r="H5736" t="inlineStr">
        <is>
          <t>0</t>
        </is>
      </c>
      <c r="I5736" t="inlineStr">
        <is>
          <t>3³, 9³, 21³, 63³</t>
        </is>
      </c>
      <c r="J5736" t="n">
        <v>12</v>
      </c>
      <c r="K5736" t="inlineStr">
        <is>
          <t>1⁴, 2², 6², 12¹</t>
        </is>
      </c>
      <c r="L5736" t="inlineStr">
        <is>
          <t>21D³, 63D⁶, 63B⁷</t>
        </is>
      </c>
      <c r="M5736" t="inlineStr"/>
      <c r="N5736" t="inlineStr">
        <is>
          <t>3B⁰, 21B¹, 21D³, 7B⁰, 9A¹, 63B⁷, 7E⁰, 1A⁰, 63D⁶</t>
        </is>
      </c>
      <c r="O5736" t="inlineStr"/>
    </row>
    <row r="5737">
      <c r="A5737">
        <f>HYPERLINK("https://mathstats.uncg.edu/sites/pauli/congruence/csg19.html#group63I19", "63I¹⁹")</f>
        <v/>
      </c>
      <c r="B5737" t="n">
        <v>19</v>
      </c>
      <c r="C5737" t="inlineStr"/>
      <c r="D5737" t="inlineStr">
        <is>
          <t>288</t>
        </is>
      </c>
      <c r="E5737" t="inlineStr">
        <is>
          <t>1</t>
        </is>
      </c>
      <c r="F5737" t="inlineStr">
        <is>
          <t>32</t>
        </is>
      </c>
      <c r="G5737" t="inlineStr">
        <is>
          <t>0</t>
        </is>
      </c>
      <c r="H5737" t="inlineStr">
        <is>
          <t>0</t>
        </is>
      </c>
      <c r="I5737" t="inlineStr">
        <is>
          <t>3³, 9³, 21³, 63³</t>
        </is>
      </c>
      <c r="J5737" t="n">
        <v>12</v>
      </c>
      <c r="K5737" t="inlineStr">
        <is>
          <t>1⁴, 2², 6², 12¹</t>
        </is>
      </c>
      <c r="L5737" t="inlineStr">
        <is>
          <t>9C¹, 21C⁵, 63A⁵, 63B⁵, 63B⁷</t>
        </is>
      </c>
      <c r="M5737" t="inlineStr"/>
      <c r="N5737" t="inlineStr">
        <is>
          <t>3B⁰, 9B⁰, 63B⁵, 63B⁷, 9C⁰, 1A⁰, 21A³, 63A⁵, 21B¹, 21C⁵, 21A², 7B⁰, 9A¹, 3C⁰, 9C¹, 3A⁰, 3D⁰</t>
        </is>
      </c>
      <c r="O5737" t="inlineStr"/>
    </row>
    <row r="5738">
      <c r="A5738">
        <f>HYPERLINK("https://mathstats.uncg.edu/sites/pauli/congruence/csg19.html#group63J19", "63J¹⁹")</f>
        <v/>
      </c>
      <c r="B5738" t="n">
        <v>19</v>
      </c>
      <c r="C5738" t="inlineStr"/>
      <c r="D5738" t="inlineStr">
        <is>
          <t>288</t>
        </is>
      </c>
      <c r="E5738" t="inlineStr">
        <is>
          <t>1</t>
        </is>
      </c>
      <c r="F5738" t="inlineStr">
        <is>
          <t>96</t>
        </is>
      </c>
      <c r="G5738" t="inlineStr">
        <is>
          <t>0</t>
        </is>
      </c>
      <c r="H5738" t="inlineStr">
        <is>
          <t>0</t>
        </is>
      </c>
      <c r="I5738" t="inlineStr">
        <is>
          <t>3³, 9³, 21³, 63³</t>
        </is>
      </c>
      <c r="J5738" t="n">
        <v>12</v>
      </c>
      <c r="K5738" t="inlineStr">
        <is>
          <t>1⁴, 2⁴, 6⁴, 12², 36¹</t>
        </is>
      </c>
      <c r="L5738" t="inlineStr">
        <is>
          <t>63B⁷</t>
        </is>
      </c>
      <c r="M5738" t="inlineStr"/>
      <c r="N5738" t="inlineStr">
        <is>
          <t>3B⁰, 63B⁷, 21B¹, 1A⁰, 7B⁰, 9A¹</t>
        </is>
      </c>
      <c r="O5738" t="inlineStr"/>
    </row>
    <row r="5739">
      <c r="A5739">
        <f>HYPERLINK("https://mathstats.uncg.edu/sites/pauli/congruence/csg19.html#group63K19", "63K¹⁹")</f>
        <v/>
      </c>
      <c r="B5739" t="n">
        <v>19</v>
      </c>
      <c r="C5739" t="inlineStr"/>
      <c r="D5739" t="inlineStr">
        <is>
          <t>288</t>
        </is>
      </c>
      <c r="E5739" t="inlineStr">
        <is>
          <t>1</t>
        </is>
      </c>
      <c r="F5739" t="inlineStr">
        <is>
          <t>96</t>
        </is>
      </c>
      <c r="G5739" t="inlineStr">
        <is>
          <t>0</t>
        </is>
      </c>
      <c r="H5739" t="inlineStr">
        <is>
          <t>0</t>
        </is>
      </c>
      <c r="I5739" t="inlineStr">
        <is>
          <t>3³, 9³, 21³, 63³</t>
        </is>
      </c>
      <c r="J5739" t="n">
        <v>12</v>
      </c>
      <c r="K5739" t="inlineStr">
        <is>
          <t>1⁴, 2⁴, 6⁴, 12², 36¹</t>
        </is>
      </c>
      <c r="L5739" t="inlineStr">
        <is>
          <t>63B⁷</t>
        </is>
      </c>
      <c r="M5739" t="inlineStr"/>
      <c r="N5739" t="inlineStr">
        <is>
          <t>3B⁰, 63B⁷, 21B¹, 1A⁰, 7B⁰, 9A¹</t>
        </is>
      </c>
      <c r="O5739" t="inlineStr"/>
    </row>
    <row r="5740">
      <c r="A5740">
        <f>HYPERLINK("https://mathstats.uncg.edu/sites/pauli/congruence/csg19.html#group63L19", "63L¹⁹")</f>
        <v/>
      </c>
      <c r="B5740" t="n">
        <v>19</v>
      </c>
      <c r="C5740" t="inlineStr"/>
      <c r="D5740" t="inlineStr">
        <is>
          <t>288</t>
        </is>
      </c>
      <c r="E5740" t="inlineStr">
        <is>
          <t>1</t>
        </is>
      </c>
      <c r="F5740" t="inlineStr">
        <is>
          <t>96</t>
        </is>
      </c>
      <c r="G5740" t="inlineStr">
        <is>
          <t>0</t>
        </is>
      </c>
      <c r="H5740" t="inlineStr">
        <is>
          <t>0</t>
        </is>
      </c>
      <c r="I5740" t="inlineStr">
        <is>
          <t>3³, 9³, 21³, 63³</t>
        </is>
      </c>
      <c r="J5740" t="n">
        <v>12</v>
      </c>
      <c r="K5740" t="inlineStr">
        <is>
          <t>1⁴, 2⁴, 6⁴, 12², 36¹</t>
        </is>
      </c>
      <c r="L5740" t="inlineStr">
        <is>
          <t>9D¹, 63B⁷</t>
        </is>
      </c>
      <c r="M5740" t="inlineStr"/>
      <c r="N5740" t="inlineStr">
        <is>
          <t>3B⁰, 21B¹, 7B⁰, 9A¹, 63B⁷, 9D¹, 1A⁰</t>
        </is>
      </c>
      <c r="O5740" t="inlineStr"/>
    </row>
    <row r="5741">
      <c r="A5741">
        <f>HYPERLINK("https://mathstats.uncg.edu/sites/pauli/congruence/csg19.html#group63M19", "63M¹⁹")</f>
        <v/>
      </c>
      <c r="B5741" t="n">
        <v>19</v>
      </c>
      <c r="C5741" t="inlineStr"/>
      <c r="D5741" t="inlineStr">
        <is>
          <t>288</t>
        </is>
      </c>
      <c r="E5741" t="inlineStr">
        <is>
          <t>2</t>
        </is>
      </c>
      <c r="F5741" t="inlineStr">
        <is>
          <t>32</t>
        </is>
      </c>
      <c r="G5741" t="inlineStr">
        <is>
          <t>0</t>
        </is>
      </c>
      <c r="H5741" t="inlineStr">
        <is>
          <t>0</t>
        </is>
      </c>
      <c r="I5741" t="inlineStr">
        <is>
          <t>3³, 9³, 21³, 63³</t>
        </is>
      </c>
      <c r="J5741" t="n">
        <v>12</v>
      </c>
      <c r="K5741" t="inlineStr">
        <is>
          <t>2⁸, 12⁴</t>
        </is>
      </c>
      <c r="L5741" t="inlineStr">
        <is>
          <t>21C⁴, 63A⁴, 63B⁷, 63C⁷</t>
        </is>
      </c>
      <c r="M5741" t="inlineStr"/>
      <c r="N5741" t="inlineStr">
        <is>
          <t>3B⁰, 63C⁷, 21B¹, 7B⁰, 21A¹, 9A¹, 63B⁷, 1A⁰, 63A⁴, 21C⁴</t>
        </is>
      </c>
      <c r="O5741" t="inlineStr"/>
    </row>
    <row r="5742">
      <c r="A5742">
        <f>HYPERLINK("https://mathstats.uncg.edu/sites/pauli/congruence/csg19.html#group63N19", "63N¹⁹")</f>
        <v/>
      </c>
      <c r="B5742" t="n">
        <v>19</v>
      </c>
      <c r="C5742" t="inlineStr"/>
      <c r="D5742" t="inlineStr">
        <is>
          <t>288</t>
        </is>
      </c>
      <c r="E5742" t="inlineStr">
        <is>
          <t>2</t>
        </is>
      </c>
      <c r="F5742" t="inlineStr">
        <is>
          <t>32</t>
        </is>
      </c>
      <c r="G5742" t="inlineStr">
        <is>
          <t>0</t>
        </is>
      </c>
      <c r="H5742" t="inlineStr">
        <is>
          <t>0</t>
        </is>
      </c>
      <c r="I5742" t="inlineStr">
        <is>
          <t>3³, 9³, 21³, 63³</t>
        </is>
      </c>
      <c r="J5742" t="n">
        <v>12</v>
      </c>
      <c r="K5742" t="inlineStr">
        <is>
          <t>2⁸, 12⁴</t>
        </is>
      </c>
      <c r="L5742" t="inlineStr">
        <is>
          <t>21C⁴, 63A⁵, 63D⁶, 63C⁷</t>
        </is>
      </c>
      <c r="M5742" t="inlineStr"/>
      <c r="N5742" t="inlineStr">
        <is>
          <t>63A⁵, 3B⁰, 63C⁷, 21B¹, 7B⁰, 21A¹, 9B⁰, 1A⁰, 63D⁶, 21C⁴</t>
        </is>
      </c>
      <c r="O5742" t="inlineStr"/>
    </row>
    <row r="5743">
      <c r="A5743">
        <f>HYPERLINK("https://mathstats.uncg.edu/sites/pauli/congruence/csg19.html#group63O19", "63O¹⁹")</f>
        <v/>
      </c>
      <c r="B5743" t="n">
        <v>19</v>
      </c>
      <c r="C5743" t="inlineStr"/>
      <c r="D5743" t="inlineStr">
        <is>
          <t>288</t>
        </is>
      </c>
      <c r="E5743" t="inlineStr">
        <is>
          <t>2</t>
        </is>
      </c>
      <c r="F5743" t="inlineStr">
        <is>
          <t>32</t>
        </is>
      </c>
      <c r="G5743" t="inlineStr">
        <is>
          <t>0</t>
        </is>
      </c>
      <c r="H5743" t="inlineStr">
        <is>
          <t>0</t>
        </is>
      </c>
      <c r="I5743" t="inlineStr">
        <is>
          <t>3³, 9³, 21³, 63³</t>
        </is>
      </c>
      <c r="J5743" t="n">
        <v>12</v>
      </c>
      <c r="K5743" t="inlineStr">
        <is>
          <t>2⁸, 12⁴</t>
        </is>
      </c>
      <c r="L5743" t="inlineStr">
        <is>
          <t>63A⁴, 21C⁵, 63D⁶, 63C⁷</t>
        </is>
      </c>
      <c r="M5743" t="inlineStr"/>
      <c r="N5743" t="inlineStr">
        <is>
          <t>3B⁰, 63C⁷, 21B¹, 21C⁵, 21A², 7B⁰, 3C⁰, 3A⁰, 21A³, 1A⁰, 63A⁴, 63D⁶, 3D⁰</t>
        </is>
      </c>
      <c r="O5743" t="inlineStr"/>
    </row>
    <row r="5744">
      <c r="A5744">
        <f>HYPERLINK("https://mathstats.uncg.edu/sites/pauli/congruence/csg19.html#group64A19", "64A¹⁹")</f>
        <v/>
      </c>
      <c r="B5744" t="n">
        <v>19</v>
      </c>
      <c r="C5744" t="inlineStr"/>
      <c r="D5744" t="inlineStr">
        <is>
          <t>384</t>
        </is>
      </c>
      <c r="E5744" t="inlineStr">
        <is>
          <t>1</t>
        </is>
      </c>
      <c r="F5744" t="inlineStr">
        <is>
          <t>24</t>
        </is>
      </c>
      <c r="G5744" t="inlineStr">
        <is>
          <t>0</t>
        </is>
      </c>
      <c r="H5744" t="inlineStr">
        <is>
          <t>0</t>
        </is>
      </c>
      <c r="I5744" t="inlineStr">
        <is>
          <t>4¹⁶, 8⁸, 64⁴</t>
        </is>
      </c>
      <c r="J5744" t="n">
        <v>28</v>
      </c>
      <c r="K5744" t="inlineStr">
        <is>
          <t>2², 4⁵</t>
        </is>
      </c>
      <c r="L5744" t="inlineStr">
        <is>
          <t>32L⁷, 64G⁹, 64H⁹</t>
        </is>
      </c>
      <c r="M5744" t="inlineStr"/>
      <c r="N5744" t="inlineStr">
        <is>
          <t>64G⁹, 16G⁰, 2A⁰, 16I¹, 4C⁰, 32D¹, 2B⁰, 8C⁰, 4E⁰, 4G⁰, 4B⁰, 8F¹, 1A⁰, 32Q³, 16E⁰, 8G⁰, 4D⁰, 64H⁹, 32L⁷, 16D², 8A¹, 32C⁴, 16C², 8D⁰, 8B⁰, 8B¹, 16I³, 8H⁰, 32B², 32C¹, 8C¹, 4A⁰, 16C¹, 16D⁰, 4F⁰, 32P³, 2C⁰</t>
        </is>
      </c>
      <c r="O5744" t="inlineStr"/>
    </row>
    <row r="5745">
      <c r="A5745">
        <f>HYPERLINK("https://mathstats.uncg.edu/sites/pauli/congruence/csg19.html#group64B19", "64B¹⁹")</f>
        <v/>
      </c>
      <c r="B5745" t="n">
        <v>19</v>
      </c>
      <c r="C5745" t="inlineStr"/>
      <c r="D5745" t="inlineStr">
        <is>
          <t>384</t>
        </is>
      </c>
      <c r="E5745" t="inlineStr">
        <is>
          <t>1</t>
        </is>
      </c>
      <c r="F5745" t="inlineStr">
        <is>
          <t>48</t>
        </is>
      </c>
      <c r="G5745" t="inlineStr">
        <is>
          <t>0</t>
        </is>
      </c>
      <c r="H5745" t="inlineStr">
        <is>
          <t>0</t>
        </is>
      </c>
      <c r="I5745" t="inlineStr">
        <is>
          <t>2⁸, 4⁴, 8¹², 64⁴</t>
        </is>
      </c>
      <c r="J5745" t="n">
        <v>28</v>
      </c>
      <c r="K5745" t="inlineStr">
        <is>
          <t>1⁴, 2², 4², 8², 16¹</t>
        </is>
      </c>
      <c r="L5745" t="inlineStr">
        <is>
          <t>32M⁷</t>
        </is>
      </c>
      <c r="M5745" t="inlineStr"/>
      <c r="N5745" t="inlineStr">
        <is>
          <t>32A¹, 32C², 4B⁰, 16C⁰, 16D⁰, 32M³, 8C⁰, 32M⁷, 2B⁰, 8I⁰, 32A², 1A⁰, 16J², 16H⁰</t>
        </is>
      </c>
      <c r="O5745" t="inlineStr"/>
    </row>
    <row r="5746">
      <c r="A5746">
        <f>HYPERLINK("https://mathstats.uncg.edu/sites/pauli/congruence/csg19.html#group65A19", "65A¹⁹")</f>
        <v/>
      </c>
      <c r="B5746" t="n">
        <v>19</v>
      </c>
      <c r="C5746" t="inlineStr"/>
      <c r="D5746" t="inlineStr">
        <is>
          <t>280</t>
        </is>
      </c>
      <c r="E5746" t="inlineStr">
        <is>
          <t>1</t>
        </is>
      </c>
      <c r="F5746" t="inlineStr">
        <is>
          <t>140</t>
        </is>
      </c>
      <c r="G5746" t="inlineStr">
        <is>
          <t>0</t>
        </is>
      </c>
      <c r="H5746" t="inlineStr">
        <is>
          <t>4</t>
        </is>
      </c>
      <c r="I5746" t="inlineStr">
        <is>
          <t>5⁴, 65⁴</t>
        </is>
      </c>
      <c r="J5746" t="n">
        <v>8</v>
      </c>
      <c r="K5746" t="inlineStr">
        <is>
          <t>2², 4⁴, 24¹, 48²</t>
        </is>
      </c>
      <c r="L5746" t="inlineStr">
        <is>
          <t>13B⁰, 65A⁹</t>
        </is>
      </c>
      <c r="M5746" t="inlineStr"/>
      <c r="N5746" t="inlineStr">
        <is>
          <t>13A⁰, 1A⁰, 65A⁹, 13B⁰, 5C⁰</t>
        </is>
      </c>
      <c r="O5746" t="inlineStr"/>
    </row>
    <row r="5747">
      <c r="A5747">
        <f>HYPERLINK("https://mathstats.uncg.edu/sites/pauli/congruence/csg19.html#group65B19", "65B¹⁹")</f>
        <v/>
      </c>
      <c r="B5747" t="n">
        <v>19</v>
      </c>
      <c r="C5747" t="inlineStr"/>
      <c r="D5747" t="inlineStr">
        <is>
          <t>280</t>
        </is>
      </c>
      <c r="E5747" t="inlineStr">
        <is>
          <t>1</t>
        </is>
      </c>
      <c r="F5747" t="inlineStr">
        <is>
          <t>140</t>
        </is>
      </c>
      <c r="G5747" t="inlineStr">
        <is>
          <t>0</t>
        </is>
      </c>
      <c r="H5747" t="inlineStr">
        <is>
          <t>4</t>
        </is>
      </c>
      <c r="I5747" t="inlineStr">
        <is>
          <t>5⁴, 65⁴</t>
        </is>
      </c>
      <c r="J5747" t="n">
        <v>8</v>
      </c>
      <c r="K5747" t="inlineStr">
        <is>
          <t>2², 4⁴, 24¹, 48²</t>
        </is>
      </c>
      <c r="L5747" t="inlineStr">
        <is>
          <t>5F⁰, 65A⁴, 65A⁹</t>
        </is>
      </c>
      <c r="M5747" t="inlineStr"/>
      <c r="N5747" t="inlineStr">
        <is>
          <t>5A⁰, 5C⁰, 13A⁰, 5F⁰, 65A⁹, 1A⁰, 65A⁴</t>
        </is>
      </c>
      <c r="O5747" t="inlineStr"/>
    </row>
    <row r="5748">
      <c r="A5748">
        <f>HYPERLINK("https://mathstats.uncg.edu/sites/pauli/congruence/csg19.html#group65C19", "65C¹⁹")</f>
        <v/>
      </c>
      <c r="B5748" t="n">
        <v>19</v>
      </c>
      <c r="C5748" t="inlineStr"/>
      <c r="D5748" t="inlineStr">
        <is>
          <t>336</t>
        </is>
      </c>
      <c r="E5748" t="inlineStr">
        <is>
          <t>1</t>
        </is>
      </c>
      <c r="F5748" t="inlineStr">
        <is>
          <t>84</t>
        </is>
      </c>
      <c r="G5748" t="inlineStr">
        <is>
          <t>8</t>
        </is>
      </c>
      <c r="H5748" t="inlineStr">
        <is>
          <t>0</t>
        </is>
      </c>
      <c r="I5748" t="inlineStr">
        <is>
          <t>1⁴, 5⁴, 13⁴, 65⁴</t>
        </is>
      </c>
      <c r="J5748" t="n">
        <v>16</v>
      </c>
      <c r="K5748" t="inlineStr">
        <is>
          <t>1⁴, 4², 12², 48¹</t>
        </is>
      </c>
      <c r="L5748" t="inlineStr">
        <is>
          <t>65B⁹</t>
        </is>
      </c>
      <c r="M5748" t="inlineStr"/>
      <c r="N5748" t="inlineStr">
        <is>
          <t>65B⁹, 5B⁰, 13A⁰, 65A⁵, 1A⁰</t>
        </is>
      </c>
      <c r="O5748" t="inlineStr"/>
    </row>
    <row r="5749">
      <c r="A5749">
        <f>HYPERLINK("https://mathstats.uncg.edu/sites/pauli/congruence/csg19.html#group65D19", "65D¹⁹")</f>
        <v/>
      </c>
      <c r="B5749" t="n">
        <v>19</v>
      </c>
      <c r="C5749" t="inlineStr"/>
      <c r="D5749" t="inlineStr">
        <is>
          <t>336</t>
        </is>
      </c>
      <c r="E5749" t="inlineStr">
        <is>
          <t>1</t>
        </is>
      </c>
      <c r="F5749" t="inlineStr">
        <is>
          <t>84</t>
        </is>
      </c>
      <c r="G5749" t="inlineStr">
        <is>
          <t>8</t>
        </is>
      </c>
      <c r="H5749" t="inlineStr">
        <is>
          <t>0</t>
        </is>
      </c>
      <c r="I5749" t="inlineStr">
        <is>
          <t>1⁴, 5⁴, 13⁴, 65⁴</t>
        </is>
      </c>
      <c r="J5749" t="n">
        <v>16</v>
      </c>
      <c r="K5749" t="inlineStr">
        <is>
          <t>1⁴, 4², 12², 48¹</t>
        </is>
      </c>
      <c r="L5749" t="inlineStr">
        <is>
          <t>65B⁹</t>
        </is>
      </c>
      <c r="M5749" t="inlineStr"/>
      <c r="N5749" t="inlineStr">
        <is>
          <t>65B⁹, 5B⁰, 13A⁰, 65A⁵, 1A⁰</t>
        </is>
      </c>
      <c r="O5749" t="inlineStr"/>
    </row>
    <row r="5750">
      <c r="A5750">
        <f>HYPERLINK("https://mathstats.uncg.edu/sites/pauli/congruence/csg19.html#group66A19", "66A¹⁹")</f>
        <v/>
      </c>
      <c r="B5750" t="n">
        <v>19</v>
      </c>
      <c r="C5750" t="inlineStr"/>
      <c r="D5750" t="inlineStr">
        <is>
          <t>264</t>
        </is>
      </c>
      <c r="E5750" t="inlineStr">
        <is>
          <t>2</t>
        </is>
      </c>
      <c r="F5750" t="inlineStr">
        <is>
          <t>88</t>
        </is>
      </c>
      <c r="G5750" t="inlineStr">
        <is>
          <t>0</t>
        </is>
      </c>
      <c r="H5750" t="inlineStr">
        <is>
          <t>6</t>
        </is>
      </c>
      <c r="I5750" t="inlineStr">
        <is>
          <t>66⁴</t>
        </is>
      </c>
      <c r="J5750" t="n">
        <v>4</v>
      </c>
      <c r="K5750" t="inlineStr">
        <is>
          <t>4⁴, 20⁸</t>
        </is>
      </c>
      <c r="L5750" t="inlineStr">
        <is>
          <t>6J⁰, 66A⁴, 66E⁶</t>
        </is>
      </c>
      <c r="M5750" t="inlineStr"/>
      <c r="N5750" t="inlineStr">
        <is>
          <t>11A⁰, 3B⁰, 2A⁰, 22A¹, 6A⁰, 33B³, 6C⁰, 6J⁰, 66E⁶, 1A⁰, 66A⁴</t>
        </is>
      </c>
      <c r="O5750" t="inlineStr"/>
    </row>
    <row r="5751">
      <c r="A5751">
        <f>HYPERLINK("https://mathstats.uncg.edu/sites/pauli/congruence/csg19.html#group66B19", "66B¹⁹")</f>
        <v/>
      </c>
      <c r="B5751" t="n">
        <v>19</v>
      </c>
      <c r="C5751" t="inlineStr"/>
      <c r="D5751" t="inlineStr">
        <is>
          <t>288</t>
        </is>
      </c>
      <c r="E5751" t="inlineStr">
        <is>
          <t>1</t>
        </is>
      </c>
      <c r="F5751" t="inlineStr">
        <is>
          <t>48</t>
        </is>
      </c>
      <c r="G5751" t="inlineStr">
        <is>
          <t>0</t>
        </is>
      </c>
      <c r="H5751" t="inlineStr">
        <is>
          <t>0</t>
        </is>
      </c>
      <c r="I5751" t="inlineStr">
        <is>
          <t>2³, 6³, 22³, 66³</t>
        </is>
      </c>
      <c r="J5751" t="n">
        <v>12</v>
      </c>
      <c r="K5751" t="inlineStr">
        <is>
          <t>1⁴, 2², 10², 20¹</t>
        </is>
      </c>
      <c r="L5751" t="inlineStr">
        <is>
          <t>6I⁰, 22A⁴, 66B⁷, 66A⁹</t>
        </is>
      </c>
      <c r="M5751" t="inlineStr"/>
      <c r="N5751" t="inlineStr">
        <is>
          <t>3B⁰, 2A⁰, 6I⁰, 6C⁰, 2B⁰, 22C², 1A⁰, 22A⁴, 11A¹, 66A⁹, 22A², 6F⁰, 2C⁰, 66B⁷, 33C³</t>
        </is>
      </c>
      <c r="O5751" t="inlineStr"/>
    </row>
    <row r="5752">
      <c r="A5752">
        <f>HYPERLINK("https://mathstats.uncg.edu/sites/pauli/congruence/csg19.html#group66C19", "66C¹⁹")</f>
        <v/>
      </c>
      <c r="B5752" t="n">
        <v>19</v>
      </c>
      <c r="C5752" t="inlineStr"/>
      <c r="D5752" t="inlineStr">
        <is>
          <t>288</t>
        </is>
      </c>
      <c r="E5752" t="inlineStr">
        <is>
          <t>1</t>
        </is>
      </c>
      <c r="F5752" t="inlineStr">
        <is>
          <t>144</t>
        </is>
      </c>
      <c r="G5752" t="inlineStr">
        <is>
          <t>0</t>
        </is>
      </c>
      <c r="H5752" t="inlineStr">
        <is>
          <t>0</t>
        </is>
      </c>
      <c r="I5752" t="inlineStr">
        <is>
          <t>2³, 6³, 22³, 66³</t>
        </is>
      </c>
      <c r="J5752" t="n">
        <v>12</v>
      </c>
      <c r="K5752" t="inlineStr">
        <is>
          <t>1¹², 2⁶, 10⁶, 20³</t>
        </is>
      </c>
      <c r="L5752" t="inlineStr">
        <is>
          <t>66A⁷, 66A⁹</t>
        </is>
      </c>
      <c r="M5752" t="inlineStr"/>
      <c r="N5752" t="inlineStr">
        <is>
          <t>3B⁰, 11A¹, 66A⁹, 1A⁰, 2B⁰, 22C², 6F⁰, 66A⁷, 33C³</t>
        </is>
      </c>
      <c r="O5752" t="inlineStr"/>
    </row>
    <row r="5753">
      <c r="A5753">
        <f>HYPERLINK("https://mathstats.uncg.edu/sites/pauli/congruence/csg19.html#group66D19", "66D¹⁹")</f>
        <v/>
      </c>
      <c r="B5753" t="n">
        <v>19</v>
      </c>
      <c r="C5753" t="inlineStr"/>
      <c r="D5753" t="inlineStr">
        <is>
          <t>330</t>
        </is>
      </c>
      <c r="E5753" t="inlineStr">
        <is>
          <t>1</t>
        </is>
      </c>
      <c r="F5753" t="inlineStr">
        <is>
          <t>165</t>
        </is>
      </c>
      <c r="G5753" t="inlineStr">
        <is>
          <t>28</t>
        </is>
      </c>
      <c r="H5753" t="inlineStr">
        <is>
          <t>0</t>
        </is>
      </c>
      <c r="I5753" t="inlineStr">
        <is>
          <t>66⁵</t>
        </is>
      </c>
      <c r="J5753" t="n">
        <v>5</v>
      </c>
      <c r="K5753" t="inlineStr">
        <is>
          <t>5¹, 10⁶, 20⁵</t>
        </is>
      </c>
      <c r="L5753" t="inlineStr">
        <is>
          <t>6B⁰, 33A⁷</t>
        </is>
      </c>
      <c r="M5753" t="inlineStr"/>
      <c r="N5753" t="inlineStr">
        <is>
          <t>11C¹, 6B⁰, 3A⁰, 1A⁰, 33A⁷</t>
        </is>
      </c>
      <c r="O5753" t="inlineStr"/>
    </row>
    <row r="5754">
      <c r="A5754">
        <f>HYPERLINK("https://mathstats.uncg.edu/sites/pauli/congruence/csg19.html#group70A19", "70A¹⁹")</f>
        <v/>
      </c>
      <c r="B5754" t="n">
        <v>19</v>
      </c>
      <c r="C5754" t="inlineStr"/>
      <c r="D5754" t="inlineStr">
        <is>
          <t>252</t>
        </is>
      </c>
      <c r="E5754" t="inlineStr">
        <is>
          <t>1</t>
        </is>
      </c>
      <c r="F5754" t="inlineStr">
        <is>
          <t>126</t>
        </is>
      </c>
      <c r="G5754" t="inlineStr">
        <is>
          <t>0</t>
        </is>
      </c>
      <c r="H5754" t="inlineStr">
        <is>
          <t>0</t>
        </is>
      </c>
      <c r="I5754" t="inlineStr">
        <is>
          <t>14³, 70³</t>
        </is>
      </c>
      <c r="J5754" t="n">
        <v>6</v>
      </c>
      <c r="K5754" t="inlineStr">
        <is>
          <t>3², 6⁶, 12¹, 24³</t>
        </is>
      </c>
      <c r="L5754" t="inlineStr">
        <is>
          <t>14A³, 35E⁶, 70A⁷</t>
        </is>
      </c>
      <c r="M5754" t="inlineStr"/>
      <c r="N5754" t="inlineStr">
        <is>
          <t>35C², 2A⁰, 7D⁰, 14A³, 35E⁶, 14A¹, 5B⁰, 10A¹, 70A⁷, 1A⁰, 7A⁰</t>
        </is>
      </c>
      <c r="O5754" t="inlineStr"/>
    </row>
    <row r="5755">
      <c r="A5755">
        <f>HYPERLINK("https://mathstats.uncg.edu/sites/pauli/congruence/csg19.html#group70B19", "70B¹⁹")</f>
        <v/>
      </c>
      <c r="B5755" t="n">
        <v>19</v>
      </c>
      <c r="C5755" t="inlineStr"/>
      <c r="D5755" t="inlineStr">
        <is>
          <t>252</t>
        </is>
      </c>
      <c r="E5755" t="inlineStr">
        <is>
          <t>2</t>
        </is>
      </c>
      <c r="F5755" t="inlineStr">
        <is>
          <t>42</t>
        </is>
      </c>
      <c r="G5755" t="inlineStr">
        <is>
          <t>0</t>
        </is>
      </c>
      <c r="H5755" t="inlineStr">
        <is>
          <t>0</t>
        </is>
      </c>
      <c r="I5755" t="inlineStr">
        <is>
          <t>14³, 70³</t>
        </is>
      </c>
      <c r="J5755" t="n">
        <v>6</v>
      </c>
      <c r="K5755" t="inlineStr">
        <is>
          <t>2², 6⁴, 8¹, 24²</t>
        </is>
      </c>
      <c r="L5755" t="inlineStr">
        <is>
          <t>10G¹, 14B³, 70A⁷, 70B⁸</t>
        </is>
      </c>
      <c r="M5755" t="inlineStr"/>
      <c r="N5755" t="inlineStr">
        <is>
          <t>35C², 2A⁰, 14B³, 14B¹, 14A¹, 5B⁰, 70B⁸, 10A¹, 2B⁰, 1A⁰, 10G¹, 10C⁰, 70A⁷, 2C⁰, 7A⁰</t>
        </is>
      </c>
      <c r="O5755" t="inlineStr"/>
    </row>
    <row r="5756">
      <c r="A5756">
        <f>HYPERLINK("https://mathstats.uncg.edu/sites/pauli/congruence/csg19.html#group70C19", "70C¹⁹")</f>
        <v/>
      </c>
      <c r="B5756" t="n">
        <v>19</v>
      </c>
      <c r="C5756" t="inlineStr"/>
      <c r="D5756" t="inlineStr">
        <is>
          <t>280</t>
        </is>
      </c>
      <c r="E5756" t="inlineStr">
        <is>
          <t>1</t>
        </is>
      </c>
      <c r="F5756" t="inlineStr">
        <is>
          <t>140</t>
        </is>
      </c>
      <c r="G5756" t="inlineStr">
        <is>
          <t>8</t>
        </is>
      </c>
      <c r="H5756" t="inlineStr">
        <is>
          <t>4</t>
        </is>
      </c>
      <c r="I5756" t="inlineStr">
        <is>
          <t>70⁴</t>
        </is>
      </c>
      <c r="J5756" t="n">
        <v>4</v>
      </c>
      <c r="K5756" t="inlineStr">
        <is>
          <t>1¹, 3¹, 4¹, 6⁴, 12¹, 24⁴</t>
        </is>
      </c>
      <c r="L5756" t="inlineStr">
        <is>
          <t>14G¹, 70A⁴, 35A⁹</t>
        </is>
      </c>
      <c r="M5756" t="inlineStr"/>
      <c r="N5756" t="inlineStr">
        <is>
          <t>14A⁰, 5A⁰, 35A⁹, 70A⁴, 7F⁰, 14G¹, 1A⁰, 35A², 7A⁰</t>
        </is>
      </c>
      <c r="O5756" t="inlineStr"/>
    </row>
    <row r="5757">
      <c r="A5757">
        <f>HYPERLINK("https://mathstats.uncg.edu/sites/pauli/congruence/csg19.html#group70D19", "70D¹⁹")</f>
        <v/>
      </c>
      <c r="B5757" t="n">
        <v>19</v>
      </c>
      <c r="C5757" t="inlineStr"/>
      <c r="D5757" t="inlineStr">
        <is>
          <t>280</t>
        </is>
      </c>
      <c r="E5757" t="inlineStr">
        <is>
          <t>2</t>
        </is>
      </c>
      <c r="F5757" t="inlineStr">
        <is>
          <t>70</t>
        </is>
      </c>
      <c r="G5757" t="inlineStr">
        <is>
          <t>8</t>
        </is>
      </c>
      <c r="H5757" t="inlineStr">
        <is>
          <t>4</t>
        </is>
      </c>
      <c r="I5757" t="inlineStr">
        <is>
          <t>70⁴</t>
        </is>
      </c>
      <c r="J5757" t="n">
        <v>4</v>
      </c>
      <c r="K5757" t="inlineStr">
        <is>
          <t>4¹, 8², 12², 24⁴</t>
        </is>
      </c>
      <c r="L5757" t="inlineStr">
        <is>
          <t>70C⁸, 35B⁹, 70A¹⁰</t>
        </is>
      </c>
      <c r="M5757" t="inlineStr"/>
      <c r="N5757" t="inlineStr">
        <is>
          <t>35B⁹, 70A¹⁰, 10D⁰, 35B⁴, 5C⁰, 7C⁰, 1A⁰, 70C⁸, 7A⁰</t>
        </is>
      </c>
      <c r="O5757" t="inlineStr"/>
    </row>
    <row r="5758">
      <c r="A5758">
        <f>HYPERLINK("https://mathstats.uncg.edu/sites/pauli/congruence/csg19.html#group70E19", "70E¹⁹")</f>
        <v/>
      </c>
      <c r="B5758" t="n">
        <v>19</v>
      </c>
      <c r="C5758" t="inlineStr"/>
      <c r="D5758" t="inlineStr">
        <is>
          <t>288</t>
        </is>
      </c>
      <c r="E5758" t="inlineStr">
        <is>
          <t>1</t>
        </is>
      </c>
      <c r="F5758" t="inlineStr">
        <is>
          <t>48</t>
        </is>
      </c>
      <c r="G5758" t="inlineStr">
        <is>
          <t>0</t>
        </is>
      </c>
      <c r="H5758" t="inlineStr">
        <is>
          <t>0</t>
        </is>
      </c>
      <c r="I5758" t="inlineStr">
        <is>
          <t>2³, 10³, 14³, 70³</t>
        </is>
      </c>
      <c r="J5758" t="n">
        <v>12</v>
      </c>
      <c r="K5758" t="inlineStr">
        <is>
          <t>1⁴, 4², 6², 24¹</t>
        </is>
      </c>
      <c r="L5758" t="inlineStr">
        <is>
          <t>35B⁷, 70B⁷</t>
        </is>
      </c>
      <c r="M5758" t="inlineStr"/>
      <c r="N5758" t="inlineStr">
        <is>
          <t>35B⁷, 7B⁰, 5B⁰, 7E⁰, 70B⁷, 1A⁰, 35A³, 10B⁰</t>
        </is>
      </c>
      <c r="O5758" t="inlineStr"/>
    </row>
    <row r="5759">
      <c r="A5759">
        <f>HYPERLINK("https://mathstats.uncg.edu/sites/pauli/congruence/csg19.html#group70F19", "70F¹⁹")</f>
        <v/>
      </c>
      <c r="B5759" t="n">
        <v>19</v>
      </c>
      <c r="C5759" t="inlineStr"/>
      <c r="D5759" t="inlineStr">
        <is>
          <t>288</t>
        </is>
      </c>
      <c r="E5759" t="inlineStr">
        <is>
          <t>1</t>
        </is>
      </c>
      <c r="F5759" t="inlineStr">
        <is>
          <t>48</t>
        </is>
      </c>
      <c r="G5759" t="inlineStr">
        <is>
          <t>0</t>
        </is>
      </c>
      <c r="H5759" t="inlineStr">
        <is>
          <t>0</t>
        </is>
      </c>
      <c r="I5759" t="inlineStr">
        <is>
          <t>2³, 10³, 14³, 70³</t>
        </is>
      </c>
      <c r="J5759" t="n">
        <v>12</v>
      </c>
      <c r="K5759" t="inlineStr">
        <is>
          <t>1⁴, 4², 6², 24¹</t>
        </is>
      </c>
      <c r="L5759" t="inlineStr">
        <is>
          <t>14D², 35B⁷, 70C⁷</t>
        </is>
      </c>
      <c r="M5759" t="inlineStr"/>
      <c r="N5759" t="inlineStr">
        <is>
          <t>2A⁰, 35B⁷, 7B⁰, 14D², 5B⁰, 14B⁰, 70C⁷, 10A¹, 7E⁰, 1A⁰, 35A³</t>
        </is>
      </c>
      <c r="O5759" t="inlineStr"/>
    </row>
    <row r="5760">
      <c r="A5760">
        <f>HYPERLINK("https://mathstats.uncg.edu/sites/pauli/congruence/csg19.html#group70G19", "70G¹⁹")</f>
        <v/>
      </c>
      <c r="B5760" t="n">
        <v>19</v>
      </c>
      <c r="C5760" t="inlineStr"/>
      <c r="D5760" t="inlineStr">
        <is>
          <t>288</t>
        </is>
      </c>
      <c r="E5760" t="inlineStr">
        <is>
          <t>1</t>
        </is>
      </c>
      <c r="F5760" t="inlineStr">
        <is>
          <t>48</t>
        </is>
      </c>
      <c r="G5760" t="inlineStr">
        <is>
          <t>0</t>
        </is>
      </c>
      <c r="H5760" t="inlineStr">
        <is>
          <t>0</t>
        </is>
      </c>
      <c r="I5760" t="inlineStr">
        <is>
          <t>2³, 10³, 14³, 70³</t>
        </is>
      </c>
      <c r="J5760" t="n">
        <v>12</v>
      </c>
      <c r="K5760" t="inlineStr">
        <is>
          <t>1⁴, 4², 6², 24¹</t>
        </is>
      </c>
      <c r="L5760" t="inlineStr">
        <is>
          <t>10G¹, 14E², 70C⁷, 70D⁹</t>
        </is>
      </c>
      <c r="M5760" t="inlineStr"/>
      <c r="N5760" t="inlineStr">
        <is>
          <t>2A⁰, 35A³, 5B⁰, 10A¹, 2B⁰, 14E², 1A⁰, 70D⁹, 7B⁰, 14B⁰, 14C¹, 10C⁰, 70C⁷, 2C⁰, 10G¹</t>
        </is>
      </c>
      <c r="O5760" t="inlineStr"/>
    </row>
    <row r="5761">
      <c r="A5761">
        <f>HYPERLINK("https://mathstats.uncg.edu/sites/pauli/congruence/csg19.html#group70H19", "70H¹⁹")</f>
        <v/>
      </c>
      <c r="B5761" t="n">
        <v>19</v>
      </c>
      <c r="C5761" t="inlineStr"/>
      <c r="D5761" t="inlineStr">
        <is>
          <t>288</t>
        </is>
      </c>
      <c r="E5761" t="inlineStr">
        <is>
          <t>1</t>
        </is>
      </c>
      <c r="F5761" t="inlineStr">
        <is>
          <t>96</t>
        </is>
      </c>
      <c r="G5761" t="inlineStr">
        <is>
          <t>0</t>
        </is>
      </c>
      <c r="H5761" t="inlineStr">
        <is>
          <t>0</t>
        </is>
      </c>
      <c r="I5761" t="inlineStr">
        <is>
          <t>2³, 10³, 14³, 70³</t>
        </is>
      </c>
      <c r="J5761" t="n">
        <v>12</v>
      </c>
      <c r="K5761" t="inlineStr">
        <is>
          <t>1⁸, 4⁴, 6⁴, 24²</t>
        </is>
      </c>
      <c r="L5761" t="inlineStr">
        <is>
          <t>14C⁰, 70C⁷</t>
        </is>
      </c>
      <c r="M5761" t="inlineStr"/>
      <c r="N5761" t="inlineStr">
        <is>
          <t>2A⁰, 7B⁰, 14B⁰, 5B⁰, 70C⁷, 10A¹, 14C⁰, 1A⁰, 35A³</t>
        </is>
      </c>
      <c r="O5761" t="inlineStr"/>
    </row>
    <row r="5762">
      <c r="A5762">
        <f>HYPERLINK("https://mathstats.uncg.edu/sites/pauli/congruence/csg19.html#group70I19", "70I¹⁹")</f>
        <v/>
      </c>
      <c r="B5762" t="n">
        <v>19</v>
      </c>
      <c r="C5762" t="inlineStr"/>
      <c r="D5762" t="inlineStr">
        <is>
          <t>288</t>
        </is>
      </c>
      <c r="E5762" t="inlineStr">
        <is>
          <t>1</t>
        </is>
      </c>
      <c r="F5762" t="inlineStr">
        <is>
          <t>144</t>
        </is>
      </c>
      <c r="G5762" t="inlineStr">
        <is>
          <t>0</t>
        </is>
      </c>
      <c r="H5762" t="inlineStr">
        <is>
          <t>0</t>
        </is>
      </c>
      <c r="I5762" t="inlineStr">
        <is>
          <t>2³, 10³, 14³, 70³</t>
        </is>
      </c>
      <c r="J5762" t="n">
        <v>12</v>
      </c>
      <c r="K5762" t="inlineStr">
        <is>
          <t>1¹², 4⁶, 6⁶, 24³</t>
        </is>
      </c>
      <c r="L5762" t="inlineStr">
        <is>
          <t>10G⁰, 70B⁷, 70D⁹</t>
        </is>
      </c>
      <c r="M5762" t="inlineStr"/>
      <c r="N5762" t="inlineStr">
        <is>
          <t>10G⁰, 7B⁰, 14C¹, 5B⁰, 10C⁰, 2B⁰, 70B⁷, 10B⁰, 1A⁰, 35A³, 70D⁹</t>
        </is>
      </c>
      <c r="O5762" t="inlineStr"/>
    </row>
    <row r="5763">
      <c r="A5763">
        <f>HYPERLINK("https://mathstats.uncg.edu/sites/pauli/congruence/csg19.html#group72A19", "72A¹⁹")</f>
        <v/>
      </c>
      <c r="B5763" t="n">
        <v>19</v>
      </c>
      <c r="C5763" t="inlineStr"/>
      <c r="D5763" t="inlineStr">
        <is>
          <t>288</t>
        </is>
      </c>
      <c r="E5763" t="inlineStr">
        <is>
          <t>1</t>
        </is>
      </c>
      <c r="F5763" t="inlineStr">
        <is>
          <t>12</t>
        </is>
      </c>
      <c r="G5763" t="inlineStr">
        <is>
          <t>0</t>
        </is>
      </c>
      <c r="H5763" t="inlineStr">
        <is>
          <t>0</t>
        </is>
      </c>
      <c r="I5763" t="inlineStr">
        <is>
          <t>6⁴, 18⁴, 24², 72²</t>
        </is>
      </c>
      <c r="J5763" t="n">
        <v>12</v>
      </c>
      <c r="K5763" t="inlineStr">
        <is>
          <t>1⁶, 2³</t>
        </is>
      </c>
      <c r="L5763" t="inlineStr">
        <is>
          <t>24U³, 72F⁸, 36C⁹, 72A¹⁰</t>
        </is>
      </c>
      <c r="M5763" t="inlineStr"/>
      <c r="N5763" t="inlineStr">
        <is>
          <t>3B⁰, 2A⁰, 18C⁴, 72A¹⁰, 12F¹, 18B⁰, 6I⁰, 4C⁰, 6C⁰, 18D², 36F⁴, 2B⁰, 4E⁰, 9C⁰, 36A⁵, 12P¹, 1A⁰, 4B⁰, 36C⁹, 24U³, 24B⁰, 24F², 6F⁰, 2C⁰, 72F⁸, 12E⁰, 18C²</t>
        </is>
      </c>
      <c r="O5763" t="inlineStr"/>
    </row>
    <row r="5764">
      <c r="A5764">
        <f>HYPERLINK("https://mathstats.uncg.edu/sites/pauli/congruence/csg19.html#group72B19", "72B¹⁹")</f>
        <v/>
      </c>
      <c r="B5764" t="n">
        <v>19</v>
      </c>
      <c r="C5764" t="inlineStr"/>
      <c r="D5764" t="inlineStr">
        <is>
          <t>288</t>
        </is>
      </c>
      <c r="E5764" t="inlineStr">
        <is>
          <t>1</t>
        </is>
      </c>
      <c r="F5764" t="inlineStr">
        <is>
          <t>12</t>
        </is>
      </c>
      <c r="G5764" t="inlineStr">
        <is>
          <t>0</t>
        </is>
      </c>
      <c r="H5764" t="inlineStr">
        <is>
          <t>0</t>
        </is>
      </c>
      <c r="I5764" t="inlineStr">
        <is>
          <t>6⁴, 18⁴, 24², 72²</t>
        </is>
      </c>
      <c r="J5764" t="n">
        <v>12</v>
      </c>
      <c r="K5764" t="inlineStr">
        <is>
          <t>1⁶, 2³</t>
        </is>
      </c>
      <c r="L5764" t="inlineStr">
        <is>
          <t>24U³, 72G⁸, 36D⁹, 72B¹⁰</t>
        </is>
      </c>
      <c r="M5764" t="inlineStr"/>
      <c r="N5764" t="inlineStr">
        <is>
          <t>72G⁸, 3B⁰, 2A⁰, 6I⁰, 12F¹, 18D¹, 6C⁰, 18E², 4C⁰, 36G⁴, 2B⁰, 4E⁰, 36B⁵, 72B¹⁰, 4B⁰, 12P¹, 1A⁰, 18B², 24U³, 24B⁰, 9A¹, 18D⁴, 24F², 6F⁰, 2C⁰, 12E⁰, 36D⁹</t>
        </is>
      </c>
      <c r="O5764" t="inlineStr"/>
    </row>
    <row r="5765">
      <c r="A5765">
        <f>HYPERLINK("https://mathstats.uncg.edu/sites/pauli/congruence/csg19.html#group72C19", "72C¹⁹")</f>
        <v/>
      </c>
      <c r="B5765" t="n">
        <v>19</v>
      </c>
      <c r="C5765" t="inlineStr"/>
      <c r="D5765" t="inlineStr">
        <is>
          <t>288</t>
        </is>
      </c>
      <c r="E5765" t="inlineStr">
        <is>
          <t>1</t>
        </is>
      </c>
      <c r="F5765" t="inlineStr">
        <is>
          <t>12</t>
        </is>
      </c>
      <c r="G5765" t="inlineStr">
        <is>
          <t>0</t>
        </is>
      </c>
      <c r="H5765" t="inlineStr">
        <is>
          <t>0</t>
        </is>
      </c>
      <c r="I5765" t="inlineStr">
        <is>
          <t>6⁴, 18⁴, 24², 72²</t>
        </is>
      </c>
      <c r="J5765" t="n">
        <v>12</v>
      </c>
      <c r="K5765" t="inlineStr">
        <is>
          <t>1⁶, 2³</t>
        </is>
      </c>
      <c r="L5765" t="inlineStr">
        <is>
          <t>24V³, 36C⁹, 72D⁹, 72C¹⁰</t>
        </is>
      </c>
      <c r="M5765" t="inlineStr"/>
      <c r="N5765" t="inlineStr">
        <is>
          <t>3B⁰, 2A⁰, 18C⁴, 24V³, 8D⁰, 12F¹, 18B⁰, 6I⁰, 4C⁰, 6C⁰, 2C⁰, 24G¹, 18D², 36F⁴, 2B⁰, 4E⁰, 8C⁰, 9C⁰, 36A⁵, 12P¹, 1A⁰, 4B⁰, 36C⁹, 24I², 72C¹⁰, 8G⁰, 6F⁰, 72D⁹, 12E⁰, 18C²</t>
        </is>
      </c>
      <c r="O5765" t="inlineStr"/>
    </row>
    <row r="5766">
      <c r="A5766">
        <f>HYPERLINK("https://mathstats.uncg.edu/sites/pauli/congruence/csg19.html#group72D19", "72D¹⁹")</f>
        <v/>
      </c>
      <c r="B5766" t="n">
        <v>19</v>
      </c>
      <c r="C5766" t="inlineStr"/>
      <c r="D5766" t="inlineStr">
        <is>
          <t>288</t>
        </is>
      </c>
      <c r="E5766" t="inlineStr">
        <is>
          <t>1</t>
        </is>
      </c>
      <c r="F5766" t="inlineStr">
        <is>
          <t>12</t>
        </is>
      </c>
      <c r="G5766" t="inlineStr">
        <is>
          <t>0</t>
        </is>
      </c>
      <c r="H5766" t="inlineStr">
        <is>
          <t>0</t>
        </is>
      </c>
      <c r="I5766" t="inlineStr">
        <is>
          <t>6⁴, 18⁴, 24², 72²</t>
        </is>
      </c>
      <c r="J5766" t="n">
        <v>12</v>
      </c>
      <c r="K5766" t="inlineStr">
        <is>
          <t>1⁶, 2³</t>
        </is>
      </c>
      <c r="L5766" t="inlineStr">
        <is>
          <t>24V³, 36D⁹, 72E⁹, 72D¹⁰</t>
        </is>
      </c>
      <c r="M5766" t="inlineStr"/>
      <c r="N5766" t="inlineStr">
        <is>
          <t>72E⁹, 2A⁰, 24V³, 18D¹, 24G¹, 4C⁰, 18E², 2B⁰, 8C⁰, 4E⁰, 4B⁰, 1A⁰, 8G⁰, 6F⁰, 3B⁰, 8D⁰, 12F¹, 6I⁰, 6C⁰, 36G⁴, 36B⁵, 12P¹, 18B², 24I², 9A¹, 72D¹⁰, 18D⁴, 2C⁰, 12E⁰, 36D⁹</t>
        </is>
      </c>
      <c r="O5766" t="inlineStr"/>
    </row>
    <row r="5767">
      <c r="A5767">
        <f>HYPERLINK("https://mathstats.uncg.edu/sites/pauli/congruence/csg19.html#group72E19", "72E¹⁹")</f>
        <v/>
      </c>
      <c r="B5767" t="n">
        <v>19</v>
      </c>
      <c r="C5767" t="inlineStr"/>
      <c r="D5767" t="inlineStr">
        <is>
          <t>288</t>
        </is>
      </c>
      <c r="E5767" t="inlineStr">
        <is>
          <t>1</t>
        </is>
      </c>
      <c r="F5767" t="inlineStr">
        <is>
          <t>24</t>
        </is>
      </c>
      <c r="G5767" t="inlineStr">
        <is>
          <t>0</t>
        </is>
      </c>
      <c r="H5767" t="inlineStr">
        <is>
          <t>0</t>
        </is>
      </c>
      <c r="I5767" t="inlineStr">
        <is>
          <t>6⁴, 18⁴, 24², 72²</t>
        </is>
      </c>
      <c r="J5767" t="n">
        <v>12</v>
      </c>
      <c r="K5767" t="inlineStr">
        <is>
          <t>1⁸, 2⁶, 4¹</t>
        </is>
      </c>
      <c r="L5767" t="inlineStr">
        <is>
          <t>24W³, 36J⁸, 72D⁹, 72A¹⁰</t>
        </is>
      </c>
      <c r="M5767" t="inlineStr"/>
      <c r="N5767" t="inlineStr">
        <is>
          <t>3B⁰, 72A¹⁰, 24G¹, 12J⁰, 18D², 36F⁴, 2B⁰, 8C⁰, 9C⁰, 4B⁰, 1A⁰, 24W³, 24F², 6F⁰, 72D⁹, 12E⁰, 36J⁸</t>
        </is>
      </c>
      <c r="O5767" t="inlineStr"/>
    </row>
    <row r="5768">
      <c r="A5768">
        <f>HYPERLINK("https://mathstats.uncg.edu/sites/pauli/congruence/csg19.html#group72F19", "72F¹⁹")</f>
        <v/>
      </c>
      <c r="B5768" t="n">
        <v>19</v>
      </c>
      <c r="C5768" t="inlineStr"/>
      <c r="D5768" t="inlineStr">
        <is>
          <t>288</t>
        </is>
      </c>
      <c r="E5768" t="inlineStr">
        <is>
          <t>1</t>
        </is>
      </c>
      <c r="F5768" t="inlineStr">
        <is>
          <t>24</t>
        </is>
      </c>
      <c r="G5768" t="inlineStr">
        <is>
          <t>0</t>
        </is>
      </c>
      <c r="H5768" t="inlineStr">
        <is>
          <t>0</t>
        </is>
      </c>
      <c r="I5768" t="inlineStr">
        <is>
          <t>6⁴, 18⁴, 24², 72²</t>
        </is>
      </c>
      <c r="J5768" t="n">
        <v>12</v>
      </c>
      <c r="K5768" t="inlineStr">
        <is>
          <t>1⁸, 2⁶, 4¹</t>
        </is>
      </c>
      <c r="L5768" t="inlineStr">
        <is>
          <t>24W³, 36K⁸, 72E⁹, 72B¹⁰</t>
        </is>
      </c>
      <c r="M5768" t="inlineStr"/>
      <c r="N5768" t="inlineStr">
        <is>
          <t>72E⁹, 3B⁰, 24G¹, 18E², 36G⁴, 12J⁰, 2B⁰, 8C⁰, 72B¹⁰, 4B⁰, 1A⁰, 36K⁸, 9A¹, 24W³, 24F², 6F⁰, 12E⁰</t>
        </is>
      </c>
      <c r="O5768" t="inlineStr"/>
    </row>
    <row r="5769">
      <c r="A5769">
        <f>HYPERLINK("https://mathstats.uncg.edu/sites/pauli/congruence/csg19.html#group72G19", "72G¹⁹")</f>
        <v/>
      </c>
      <c r="B5769" t="n">
        <v>19</v>
      </c>
      <c r="C5769" t="inlineStr"/>
      <c r="D5769" t="inlineStr">
        <is>
          <t>288</t>
        </is>
      </c>
      <c r="E5769" t="inlineStr">
        <is>
          <t>1</t>
        </is>
      </c>
      <c r="F5769" t="inlineStr">
        <is>
          <t>48</t>
        </is>
      </c>
      <c r="G5769" t="inlineStr">
        <is>
          <t>0</t>
        </is>
      </c>
      <c r="H5769" t="inlineStr">
        <is>
          <t>0</t>
        </is>
      </c>
      <c r="I5769" t="inlineStr">
        <is>
          <t>3², 6¹, 9², 12¹, 18¹, 24², 36¹, 72²</t>
        </is>
      </c>
      <c r="J5769" t="n">
        <v>12</v>
      </c>
      <c r="K5769" t="inlineStr">
        <is>
          <t>1⁸, 2⁸, 4⁴, 8¹</t>
        </is>
      </c>
      <c r="L5769" t="inlineStr">
        <is>
          <t>24X³, 72D⁹</t>
        </is>
      </c>
      <c r="M5769" t="inlineStr"/>
      <c r="N5769" t="inlineStr">
        <is>
          <t>3B⁰, 24X³, 24G¹, 18D², 36F⁴, 2B⁰, 8C⁰, 1A⁰, 9C⁰, 4B⁰, 6F⁰, 72D⁹, 12E⁰</t>
        </is>
      </c>
      <c r="O5769" t="inlineStr"/>
    </row>
    <row r="5770">
      <c r="A5770">
        <f>HYPERLINK("https://mathstats.uncg.edu/sites/pauli/congruence/csg19.html#group72H19", "72H¹⁹")</f>
        <v/>
      </c>
      <c r="B5770" t="n">
        <v>19</v>
      </c>
      <c r="C5770" t="inlineStr"/>
      <c r="D5770" t="inlineStr">
        <is>
          <t>288</t>
        </is>
      </c>
      <c r="E5770" t="inlineStr">
        <is>
          <t>1</t>
        </is>
      </c>
      <c r="F5770" t="inlineStr">
        <is>
          <t>48</t>
        </is>
      </c>
      <c r="G5770" t="inlineStr">
        <is>
          <t>0</t>
        </is>
      </c>
      <c r="H5770" t="inlineStr">
        <is>
          <t>0</t>
        </is>
      </c>
      <c r="I5770" t="inlineStr">
        <is>
          <t>3², 6¹, 9², 12¹, 18¹, 24², 36¹, 72²</t>
        </is>
      </c>
      <c r="J5770" t="n">
        <v>12</v>
      </c>
      <c r="K5770" t="inlineStr">
        <is>
          <t>1⁸, 2⁸, 4⁴, 8¹</t>
        </is>
      </c>
      <c r="L5770" t="inlineStr">
        <is>
          <t>24X³, 72E⁹</t>
        </is>
      </c>
      <c r="M5770" t="inlineStr"/>
      <c r="N5770" t="inlineStr">
        <is>
          <t>72E⁹, 3B⁰, 24X³, 24G¹, 9A¹, 18E², 36G⁴, 1A⁰, 2B⁰, 8C⁰, 4B⁰, 6F⁰, 12E⁰</t>
        </is>
      </c>
      <c r="O5770" t="inlineStr"/>
    </row>
    <row r="5771">
      <c r="A5771">
        <f>HYPERLINK("https://mathstats.uncg.edu/sites/pauli/congruence/csg19.html#group72I19", "72I¹⁹")</f>
        <v/>
      </c>
      <c r="B5771" t="n">
        <v>19</v>
      </c>
      <c r="C5771" t="inlineStr"/>
      <c r="D5771" t="inlineStr">
        <is>
          <t>288</t>
        </is>
      </c>
      <c r="E5771" t="inlineStr">
        <is>
          <t>1</t>
        </is>
      </c>
      <c r="F5771" t="inlineStr">
        <is>
          <t>48</t>
        </is>
      </c>
      <c r="G5771" t="inlineStr">
        <is>
          <t>0</t>
        </is>
      </c>
      <c r="H5771" t="inlineStr">
        <is>
          <t>0</t>
        </is>
      </c>
      <c r="I5771" t="inlineStr">
        <is>
          <t>3², 6¹, 9², 12¹, 18¹, 24², 36¹, 72²</t>
        </is>
      </c>
      <c r="J5771" t="n">
        <v>12</v>
      </c>
      <c r="K5771" t="inlineStr">
        <is>
          <t>1⁸, 2⁸, 4⁴, 8¹</t>
        </is>
      </c>
      <c r="L5771" t="inlineStr">
        <is>
          <t>24Y³, 72D⁹</t>
        </is>
      </c>
      <c r="M5771" t="inlineStr"/>
      <c r="N5771" t="inlineStr">
        <is>
          <t>3B⁰, 24G¹, 18D², 36F⁴, 2B⁰, 8C⁰, 24Y³, 9C⁰, 4B⁰, 1A⁰, 6F⁰, 72D⁹, 8I⁰, 12E⁰</t>
        </is>
      </c>
      <c r="O5771" t="inlineStr"/>
    </row>
    <row r="5772">
      <c r="A5772">
        <f>HYPERLINK("https://mathstats.uncg.edu/sites/pauli/congruence/csg19.html#group72J19", "72J¹⁹")</f>
        <v/>
      </c>
      <c r="B5772" t="n">
        <v>19</v>
      </c>
      <c r="C5772" t="inlineStr"/>
      <c r="D5772" t="inlineStr">
        <is>
          <t>288</t>
        </is>
      </c>
      <c r="E5772" t="inlineStr">
        <is>
          <t>1</t>
        </is>
      </c>
      <c r="F5772" t="inlineStr">
        <is>
          <t>48</t>
        </is>
      </c>
      <c r="G5772" t="inlineStr">
        <is>
          <t>0</t>
        </is>
      </c>
      <c r="H5772" t="inlineStr">
        <is>
          <t>0</t>
        </is>
      </c>
      <c r="I5772" t="inlineStr">
        <is>
          <t>3², 6¹, 9², 12¹, 18¹, 24², 36¹, 72²</t>
        </is>
      </c>
      <c r="J5772" t="n">
        <v>12</v>
      </c>
      <c r="K5772" t="inlineStr">
        <is>
          <t>1⁸, 2⁸, 4⁴, 8¹</t>
        </is>
      </c>
      <c r="L5772" t="inlineStr">
        <is>
          <t>24Y³, 72E⁹</t>
        </is>
      </c>
      <c r="M5772" t="inlineStr"/>
      <c r="N5772" t="inlineStr">
        <is>
          <t>72E⁹, 3B⁰, 24G¹, 9A¹, 18E², 36G⁴, 1A⁰, 2B⁰, 8C⁰, 24Y³, 8I⁰, 4B⁰, 6F⁰, 12E⁰</t>
        </is>
      </c>
      <c r="O5772" t="inlineStr"/>
    </row>
    <row r="5773">
      <c r="A5773">
        <f>HYPERLINK("https://mathstats.uncg.edu/sites/pauli/congruence/csg19.html#group72K19", "72K¹⁹")</f>
        <v/>
      </c>
      <c r="B5773" t="n">
        <v>19</v>
      </c>
      <c r="C5773" t="inlineStr"/>
      <c r="D5773" t="inlineStr">
        <is>
          <t>288</t>
        </is>
      </c>
      <c r="E5773" t="inlineStr">
        <is>
          <t>1</t>
        </is>
      </c>
      <c r="F5773" t="inlineStr">
        <is>
          <t>48</t>
        </is>
      </c>
      <c r="G5773" t="inlineStr">
        <is>
          <t>0</t>
        </is>
      </c>
      <c r="H5773" t="inlineStr">
        <is>
          <t>0</t>
        </is>
      </c>
      <c r="I5773" t="inlineStr">
        <is>
          <t>6², 12³, 18², 24¹, 36³, 72¹</t>
        </is>
      </c>
      <c r="J5773" t="n">
        <v>12</v>
      </c>
      <c r="K5773" t="inlineStr">
        <is>
          <t>1¹⁶, 2¹², 4²</t>
        </is>
      </c>
      <c r="L5773" t="inlineStr">
        <is>
          <t>24Z³, 36C⁹</t>
        </is>
      </c>
      <c r="M5773" t="inlineStr"/>
      <c r="N5773" t="inlineStr">
        <is>
          <t>3B⁰, 2A⁰, 18C⁴, 24Z³, 12F¹, 18B⁰, 6I⁰, 4C⁰, 6C⁰, 18D², 36F⁴, 2B⁰, 4E⁰, 9C⁰, 36A⁵, 12P¹, 1A⁰, 4B⁰, 36C⁹, 6F⁰, 2C⁰, 12E⁰, 18C²</t>
        </is>
      </c>
      <c r="O5773" t="inlineStr"/>
    </row>
    <row r="5774">
      <c r="A5774">
        <f>HYPERLINK("https://mathstats.uncg.edu/sites/pauli/congruence/csg19.html#group72L19", "72L¹⁹")</f>
        <v/>
      </c>
      <c r="B5774" t="n">
        <v>19</v>
      </c>
      <c r="C5774" t="inlineStr"/>
      <c r="D5774" t="inlineStr">
        <is>
          <t>288</t>
        </is>
      </c>
      <c r="E5774" t="inlineStr">
        <is>
          <t>1</t>
        </is>
      </c>
      <c r="F5774" t="inlineStr">
        <is>
          <t>48</t>
        </is>
      </c>
      <c r="G5774" t="inlineStr">
        <is>
          <t>0</t>
        </is>
      </c>
      <c r="H5774" t="inlineStr">
        <is>
          <t>0</t>
        </is>
      </c>
      <c r="I5774" t="inlineStr">
        <is>
          <t>6², 12³, 18², 24¹, 36³, 72¹</t>
        </is>
      </c>
      <c r="J5774" t="n">
        <v>12</v>
      </c>
      <c r="K5774" t="inlineStr">
        <is>
          <t>1¹⁶, 2¹², 4²</t>
        </is>
      </c>
      <c r="L5774" t="inlineStr">
        <is>
          <t>24Z³, 36D⁹</t>
        </is>
      </c>
      <c r="M5774" t="inlineStr"/>
      <c r="N5774" t="inlineStr">
        <is>
          <t>3B⁰, 2A⁰, 24Z³, 12F¹, 6I⁰, 18D¹, 4C⁰, 18E², 6C⁰, 36G⁴, 36B⁵, 2B⁰, 4E⁰, 12P¹, 4B⁰, 1A⁰, 18B², 9A¹, 18D⁴, 6F⁰, 2C⁰, 12E⁰, 36D⁹</t>
        </is>
      </c>
      <c r="O5774" t="inlineStr"/>
    </row>
    <row r="5775">
      <c r="A5775">
        <f>HYPERLINK("https://mathstats.uncg.edu/sites/pauli/congruence/csg19.html#group72M19", "72M¹⁹")</f>
        <v/>
      </c>
      <c r="B5775" t="n">
        <v>19</v>
      </c>
      <c r="C5775" t="inlineStr"/>
      <c r="D5775" t="inlineStr">
        <is>
          <t>288</t>
        </is>
      </c>
      <c r="E5775" t="inlineStr">
        <is>
          <t>1</t>
        </is>
      </c>
      <c r="F5775" t="inlineStr">
        <is>
          <t>48</t>
        </is>
      </c>
      <c r="G5775" t="inlineStr">
        <is>
          <t>0</t>
        </is>
      </c>
      <c r="H5775" t="inlineStr">
        <is>
          <t>0</t>
        </is>
      </c>
      <c r="I5775" t="inlineStr">
        <is>
          <t>6², 12³, 18², 24¹, 36³, 72¹</t>
        </is>
      </c>
      <c r="J5775" t="n">
        <v>12</v>
      </c>
      <c r="K5775" t="inlineStr">
        <is>
          <t>1¹⁶, 2¹², 4²</t>
        </is>
      </c>
      <c r="L5775" t="inlineStr">
        <is>
          <t>24AA³, 36C⁹</t>
        </is>
      </c>
      <c r="M5775" t="inlineStr"/>
      <c r="N5775" t="inlineStr">
        <is>
          <t>2A⁰, 3B⁰, 18C⁴, 24AA³, 6I⁰, 12F¹, 18B⁰, 4C⁰, 6C⁰, 18D², 36F⁴, 2B⁰, 4E⁰, 12P¹, 4B⁰, 9C⁰, 1A⁰, 36A⁵, 36C⁹, 6F⁰, 2C⁰, 12E⁰, 8J⁰, 18C²</t>
        </is>
      </c>
      <c r="O5775" t="inlineStr"/>
    </row>
    <row r="5776">
      <c r="A5776">
        <f>HYPERLINK("https://mathstats.uncg.edu/sites/pauli/congruence/csg19.html#group72N19", "72N¹⁹")</f>
        <v/>
      </c>
      <c r="B5776" t="n">
        <v>19</v>
      </c>
      <c r="C5776" t="inlineStr"/>
      <c r="D5776" t="inlineStr">
        <is>
          <t>288</t>
        </is>
      </c>
      <c r="E5776" t="inlineStr">
        <is>
          <t>1</t>
        </is>
      </c>
      <c r="F5776" t="inlineStr">
        <is>
          <t>48</t>
        </is>
      </c>
      <c r="G5776" t="inlineStr">
        <is>
          <t>0</t>
        </is>
      </c>
      <c r="H5776" t="inlineStr">
        <is>
          <t>0</t>
        </is>
      </c>
      <c r="I5776" t="inlineStr">
        <is>
          <t>6², 12³, 18², 24¹, 36³, 72¹</t>
        </is>
      </c>
      <c r="J5776" t="n">
        <v>12</v>
      </c>
      <c r="K5776" t="inlineStr">
        <is>
          <t>1¹⁶, 2¹², 4²</t>
        </is>
      </c>
      <c r="L5776" t="inlineStr">
        <is>
          <t>24AA³, 36D⁹</t>
        </is>
      </c>
      <c r="M5776" t="inlineStr"/>
      <c r="N5776" t="inlineStr">
        <is>
          <t>2A⁰, 3B⁰, 24AA³, 6I⁰, 12F¹, 18D¹, 4C⁰, 6C⁰, 18E², 36G⁴, 2B⁰, 4E⁰, 36B⁵, 12P¹, 4B⁰, 1A⁰, 18B², 9A¹, 18D⁴, 6F⁰, 2C⁰, 12E⁰, 8J⁰, 36D⁹</t>
        </is>
      </c>
      <c r="O5776" t="inlineStr"/>
    </row>
    <row r="5777">
      <c r="A5777">
        <f>HYPERLINK("https://mathstats.uncg.edu/sites/pauli/congruence/csg19.html#group72O19", "72O¹⁹")</f>
        <v/>
      </c>
      <c r="B5777" t="n">
        <v>19</v>
      </c>
      <c r="C5777" t="inlineStr"/>
      <c r="D5777" t="inlineStr">
        <is>
          <t>288</t>
        </is>
      </c>
      <c r="E5777" t="inlineStr">
        <is>
          <t>1</t>
        </is>
      </c>
      <c r="F5777" t="inlineStr">
        <is>
          <t>48</t>
        </is>
      </c>
      <c r="G5777" t="inlineStr">
        <is>
          <t>0</t>
        </is>
      </c>
      <c r="H5777" t="inlineStr">
        <is>
          <t>0</t>
        </is>
      </c>
      <c r="I5777" t="inlineStr">
        <is>
          <t>8⁹, 72³</t>
        </is>
      </c>
      <c r="J5777" t="n">
        <v>12</v>
      </c>
      <c r="K5777" t="inlineStr">
        <is>
          <t>2⁴, 4⁶, 8²</t>
        </is>
      </c>
      <c r="L5777" t="inlineStr">
        <is>
          <t>24B⁶, 36I⁷, 72A⁷</t>
        </is>
      </c>
      <c r="M5777" t="inlineStr"/>
      <c r="N5777" t="inlineStr">
        <is>
          <t>3B⁰, 24A², 12F¹, 4C⁰, 8A⁰, 9B⁰, 2B⁰, 1A⁰, 8D¹, 36I⁷, 72A⁷, 18E⁰, 4A⁰, 12A¹, 12G², 24B⁶, 4F⁰, 36B³, 6F⁰, 36G³</t>
        </is>
      </c>
      <c r="O5777" t="inlineStr"/>
    </row>
    <row r="5778">
      <c r="A5778">
        <f>HYPERLINK("https://mathstats.uncg.edu/sites/pauli/congruence/csg19.html#group72P19", "72P¹⁹")</f>
        <v/>
      </c>
      <c r="B5778" t="n">
        <v>19</v>
      </c>
      <c r="C5778" t="inlineStr"/>
      <c r="D5778" t="inlineStr">
        <is>
          <t>288</t>
        </is>
      </c>
      <c r="E5778" t="inlineStr">
        <is>
          <t>1</t>
        </is>
      </c>
      <c r="F5778" t="inlineStr">
        <is>
          <t>144</t>
        </is>
      </c>
      <c r="G5778" t="inlineStr">
        <is>
          <t>16</t>
        </is>
      </c>
      <c r="H5778" t="inlineStr">
        <is>
          <t>0</t>
        </is>
      </c>
      <c r="I5778" t="inlineStr">
        <is>
          <t>72⁴</t>
        </is>
      </c>
      <c r="J5778" t="n">
        <v>4</v>
      </c>
      <c r="K5778" t="inlineStr">
        <is>
          <t>4⁴, 8⁴, 24⁴</t>
        </is>
      </c>
      <c r="L5778" t="inlineStr">
        <is>
          <t>24AB³, 36L⁴, 72E⁷</t>
        </is>
      </c>
      <c r="M5778" t="inlineStr"/>
      <c r="N5778" t="inlineStr">
        <is>
          <t>24F¹, 36A¹, 12A⁰, 8F⁰, 6B⁰, 4A⁰, 9A⁰, 12F⁰, 36L⁴, 24AB³, 3A⁰, 1A⁰, 18A¹, 72E⁷</t>
        </is>
      </c>
      <c r="O5778" t="inlineStr"/>
    </row>
    <row r="5779">
      <c r="A5779">
        <f>HYPERLINK("https://mathstats.uncg.edu/sites/pauli/congruence/csg19.html#group72Q19", "72Q¹⁹")</f>
        <v/>
      </c>
      <c r="B5779" t="n">
        <v>19</v>
      </c>
      <c r="C5779" t="inlineStr"/>
      <c r="D5779" t="inlineStr">
        <is>
          <t>288</t>
        </is>
      </c>
      <c r="E5779" t="inlineStr">
        <is>
          <t>1</t>
        </is>
      </c>
      <c r="F5779" t="inlineStr">
        <is>
          <t>288</t>
        </is>
      </c>
      <c r="G5779" t="inlineStr">
        <is>
          <t>8</t>
        </is>
      </c>
      <c r="H5779" t="inlineStr">
        <is>
          <t>0</t>
        </is>
      </c>
      <c r="I5779" t="inlineStr">
        <is>
          <t>24⁶, 72²</t>
        </is>
      </c>
      <c r="J5779" t="n">
        <v>8</v>
      </c>
      <c r="K5779" t="inlineStr">
        <is>
          <t>4⁴, 8⁴, 12⁴, 24⁸</t>
        </is>
      </c>
      <c r="L5779" t="inlineStr">
        <is>
          <t>36M⁴, 24O⁵</t>
        </is>
      </c>
      <c r="M5779" t="inlineStr"/>
      <c r="N5779" t="inlineStr">
        <is>
          <t>12G¹, 24F¹, 12A⁰, 8F⁰, 4A⁰, 24O⁵, 36M⁴, 3C⁰, 9E⁰, 3A⁰, 1A⁰</t>
        </is>
      </c>
      <c r="O5779" t="inlineStr"/>
    </row>
    <row r="5780">
      <c r="A5780">
        <f>HYPERLINK("https://mathstats.uncg.edu/sites/pauli/congruence/csg19.html#group72R19", "72R¹⁹")</f>
        <v/>
      </c>
      <c r="B5780" t="n">
        <v>19</v>
      </c>
      <c r="C5780" t="inlineStr"/>
      <c r="D5780" t="inlineStr">
        <is>
          <t>288</t>
        </is>
      </c>
      <c r="E5780" t="inlineStr">
        <is>
          <t>1</t>
        </is>
      </c>
      <c r="F5780" t="inlineStr">
        <is>
          <t>288</t>
        </is>
      </c>
      <c r="G5780" t="inlineStr">
        <is>
          <t>16</t>
        </is>
      </c>
      <c r="H5780" t="inlineStr">
        <is>
          <t>0</t>
        </is>
      </c>
      <c r="I5780" t="inlineStr">
        <is>
          <t>72⁴</t>
        </is>
      </c>
      <c r="J5780" t="n">
        <v>4</v>
      </c>
      <c r="K5780" t="inlineStr">
        <is>
          <t>8¹², 24⁸</t>
        </is>
      </c>
      <c r="L5780" t="inlineStr">
        <is>
          <t>24AB³, 36N⁴</t>
        </is>
      </c>
      <c r="M5780" t="inlineStr"/>
      <c r="N5780" t="inlineStr">
        <is>
          <t>24F¹, 36N⁴, 12A⁰, 6B⁰, 8F⁰, 4A⁰, 12F⁰, 18B¹, 24AB³, 3A⁰, 1A⁰</t>
        </is>
      </c>
      <c r="O5780" t="inlineStr"/>
    </row>
    <row r="5781">
      <c r="A5781">
        <f>HYPERLINK("https://mathstats.uncg.edu/sites/pauli/congruence/csg19.html#group72S19", "72S¹⁹")</f>
        <v/>
      </c>
      <c r="B5781" t="n">
        <v>19</v>
      </c>
      <c r="C5781" t="inlineStr"/>
      <c r="D5781" t="inlineStr">
        <is>
          <t>288</t>
        </is>
      </c>
      <c r="E5781" t="inlineStr">
        <is>
          <t>2</t>
        </is>
      </c>
      <c r="F5781" t="inlineStr">
        <is>
          <t>72</t>
        </is>
      </c>
      <c r="G5781" t="inlineStr">
        <is>
          <t>8</t>
        </is>
      </c>
      <c r="H5781" t="inlineStr">
        <is>
          <t>0</t>
        </is>
      </c>
      <c r="I5781" t="inlineStr">
        <is>
          <t>24⁶, 72²</t>
        </is>
      </c>
      <c r="J5781" t="n">
        <v>8</v>
      </c>
      <c r="K5781" t="inlineStr">
        <is>
          <t>4², 8², 12², 24⁴</t>
        </is>
      </c>
      <c r="L5781" t="inlineStr">
        <is>
          <t>24L⁵, 36J⁷</t>
        </is>
      </c>
      <c r="M5781" t="inlineStr"/>
      <c r="N5781" t="inlineStr">
        <is>
          <t>12G¹, 12A⁰, 36J⁷, 6B⁰, 6E⁰, 4A⁰, 12F⁰, 36M⁴, 12Q¹, 3C⁰, 18F¹, 9E⁰, 3A⁰, 1A⁰, 24L⁵</t>
        </is>
      </c>
      <c r="O5781" t="inlineStr"/>
    </row>
    <row r="5782">
      <c r="A5782">
        <f>HYPERLINK("https://mathstats.uncg.edu/sites/pauli/congruence/csg19.html#group72T19", "72T¹⁹")</f>
        <v/>
      </c>
      <c r="B5782" t="n">
        <v>19</v>
      </c>
      <c r="C5782" t="inlineStr"/>
      <c r="D5782" t="inlineStr">
        <is>
          <t>288</t>
        </is>
      </c>
      <c r="E5782" t="inlineStr">
        <is>
          <t>2</t>
        </is>
      </c>
      <c r="F5782" t="inlineStr">
        <is>
          <t>72</t>
        </is>
      </c>
      <c r="G5782" t="inlineStr">
        <is>
          <t>8</t>
        </is>
      </c>
      <c r="H5782" t="inlineStr">
        <is>
          <t>0</t>
        </is>
      </c>
      <c r="I5782" t="inlineStr">
        <is>
          <t>24⁶, 72²</t>
        </is>
      </c>
      <c r="J5782" t="n">
        <v>8</v>
      </c>
      <c r="K5782" t="inlineStr">
        <is>
          <t>4², 8², 12², 24⁴</t>
        </is>
      </c>
      <c r="L5782" t="inlineStr">
        <is>
          <t>24P⁵, 36J⁷, 72K¹⁰, 72J¹⁰</t>
        </is>
      </c>
      <c r="M5782" t="inlineStr"/>
      <c r="N5782" t="inlineStr">
        <is>
          <t>12G¹, 6B⁰, 36J⁷, 24D³, 8A⁰, 12F⁰, 24B¹, 9E⁰, 1A⁰, 72J¹⁰, 24E³, 12A⁰, 72K¹⁰, 24A¹, 24K², 6E⁰, 4A⁰, 36M⁴, 3C⁰, 12Q¹, 18F¹, 3A⁰, 24G², 24H², 24P⁵</t>
        </is>
      </c>
      <c r="O5782" t="inlineStr"/>
    </row>
    <row r="5783">
      <c r="A5783">
        <f>HYPERLINK("https://mathstats.uncg.edu/sites/pauli/congruence/csg19.html#group72U19", "72U¹⁹")</f>
        <v/>
      </c>
      <c r="B5783" t="n">
        <v>19</v>
      </c>
      <c r="C5783" t="inlineStr"/>
      <c r="D5783" t="inlineStr">
        <is>
          <t>288</t>
        </is>
      </c>
      <c r="E5783" t="inlineStr">
        <is>
          <t>2</t>
        </is>
      </c>
      <c r="F5783" t="inlineStr">
        <is>
          <t>144</t>
        </is>
      </c>
      <c r="G5783" t="inlineStr">
        <is>
          <t>8</t>
        </is>
      </c>
      <c r="H5783" t="inlineStr">
        <is>
          <t>0</t>
        </is>
      </c>
      <c r="I5783" t="inlineStr">
        <is>
          <t>24⁶, 72²</t>
        </is>
      </c>
      <c r="J5783" t="n">
        <v>8</v>
      </c>
      <c r="K5783" t="inlineStr">
        <is>
          <t>8⁶, 12⁴, 24⁸</t>
        </is>
      </c>
      <c r="L5783" t="inlineStr">
        <is>
          <t>24L⁵, 36K⁷</t>
        </is>
      </c>
      <c r="M5783" t="inlineStr"/>
      <c r="N5783" t="inlineStr">
        <is>
          <t>12G¹, 12A⁰, 6B⁰, 6E⁰, 4A⁰, 12F⁰, 36K⁷, 12Q¹, 3C⁰, 18G¹, 3A⁰, 1A⁰, 24L⁵</t>
        </is>
      </c>
      <c r="O5783" t="inlineStr"/>
    </row>
    <row r="5784">
      <c r="A5784">
        <f>HYPERLINK("https://mathstats.uncg.edu/sites/pauli/congruence/csg19.html#group72V19", "72V¹⁹")</f>
        <v/>
      </c>
      <c r="B5784" t="n">
        <v>19</v>
      </c>
      <c r="C5784" t="inlineStr"/>
      <c r="D5784" t="inlineStr">
        <is>
          <t>288</t>
        </is>
      </c>
      <c r="E5784" t="inlineStr">
        <is>
          <t>2</t>
        </is>
      </c>
      <c r="F5784" t="inlineStr">
        <is>
          <t>144</t>
        </is>
      </c>
      <c r="G5784" t="inlineStr">
        <is>
          <t>8</t>
        </is>
      </c>
      <c r="H5784" t="inlineStr">
        <is>
          <t>0</t>
        </is>
      </c>
      <c r="I5784" t="inlineStr">
        <is>
          <t>24⁶, 72²</t>
        </is>
      </c>
      <c r="J5784" t="n">
        <v>8</v>
      </c>
      <c r="K5784" t="inlineStr">
        <is>
          <t>8⁶, 12⁴, 24⁸</t>
        </is>
      </c>
      <c r="L5784" t="inlineStr">
        <is>
          <t>24P⁵, 36K⁷</t>
        </is>
      </c>
      <c r="M5784" t="inlineStr"/>
      <c r="N5784" t="inlineStr">
        <is>
          <t>12G¹, 6B⁰, 24D³, 12F⁰, 8A⁰, 24B¹, 1A⁰, 24E³, 12A⁰, 24K², 24A¹, 6E⁰, 4A⁰, 36K⁷, 12Q¹, 3C⁰, 18G¹, 3A⁰, 24G², 24H², 24P⁵</t>
        </is>
      </c>
      <c r="O5784" t="inlineStr"/>
    </row>
    <row r="5785">
      <c r="A5785">
        <f>HYPERLINK("https://mathstats.uncg.edu/sites/pauli/congruence/csg19.html#group72W19", "72W¹⁹")</f>
        <v/>
      </c>
      <c r="B5785" t="n">
        <v>19</v>
      </c>
      <c r="C5785" t="inlineStr"/>
      <c r="D5785" t="inlineStr">
        <is>
          <t>324</t>
        </is>
      </c>
      <c r="E5785" t="inlineStr">
        <is>
          <t>1</t>
        </is>
      </c>
      <c r="F5785" t="inlineStr">
        <is>
          <t>81</t>
        </is>
      </c>
      <c r="G5785" t="inlineStr">
        <is>
          <t>24</t>
        </is>
      </c>
      <c r="H5785" t="inlineStr">
        <is>
          <t>0</t>
        </is>
      </c>
      <c r="I5785" t="inlineStr">
        <is>
          <t>36³, 72³</t>
        </is>
      </c>
      <c r="J5785" t="n">
        <v>6</v>
      </c>
      <c r="K5785" t="inlineStr">
        <is>
          <t>3³, 6¹²</t>
        </is>
      </c>
      <c r="L5785" t="inlineStr">
        <is>
          <t>72A⁵, 36L⁸</t>
        </is>
      </c>
      <c r="M5785" t="inlineStr"/>
      <c r="N5785" t="inlineStr">
        <is>
          <t>12C⁰, 36L⁸, 9A⁰, 36B², 24D¹, 4C⁰, 18J³, 9G⁰, 72A⁵, 2B⁰, 18E¹, 3A⁰, 1A⁰, 6D⁰</t>
        </is>
      </c>
      <c r="O5785" t="inlineStr"/>
    </row>
    <row r="5786">
      <c r="A5786">
        <f>HYPERLINK("https://mathstats.uncg.edu/sites/pauli/congruence/csg19.html#group73A19", "73A¹⁹")</f>
        <v/>
      </c>
      <c r="B5786" t="n">
        <v>19</v>
      </c>
      <c r="C5786" t="inlineStr"/>
      <c r="D5786" t="inlineStr">
        <is>
          <t>296</t>
        </is>
      </c>
      <c r="E5786" t="inlineStr">
        <is>
          <t>1</t>
        </is>
      </c>
      <c r="F5786" t="inlineStr">
        <is>
          <t>74</t>
        </is>
      </c>
      <c r="G5786" t="inlineStr">
        <is>
          <t>0</t>
        </is>
      </c>
      <c r="H5786" t="inlineStr">
        <is>
          <t>8</t>
        </is>
      </c>
      <c r="I5786" t="inlineStr">
        <is>
          <t>1⁴, 73⁴</t>
        </is>
      </c>
      <c r="J5786" t="n">
        <v>8</v>
      </c>
      <c r="K5786" t="inlineStr">
        <is>
          <t>1², 72¹</t>
        </is>
      </c>
      <c r="L5786" t="inlineStr">
        <is>
          <t>73A⁹</t>
        </is>
      </c>
      <c r="M5786" t="inlineStr"/>
      <c r="N5786" t="inlineStr">
        <is>
          <t>73A⁹, 1A⁰, 73A⁵</t>
        </is>
      </c>
      <c r="O5786" t="inlineStr"/>
    </row>
    <row r="5787">
      <c r="A5787">
        <f>HYPERLINK("https://mathstats.uncg.edu/sites/pauli/congruence/csg19.html#group75A19", "75A¹⁹")</f>
        <v/>
      </c>
      <c r="B5787" t="n">
        <v>19</v>
      </c>
      <c r="C5787" t="inlineStr"/>
      <c r="D5787" t="inlineStr">
        <is>
          <t>300</t>
        </is>
      </c>
      <c r="E5787" t="inlineStr">
        <is>
          <t>1</t>
        </is>
      </c>
      <c r="F5787" t="inlineStr">
        <is>
          <t>20</t>
        </is>
      </c>
      <c r="G5787" t="inlineStr">
        <is>
          <t>0</t>
        </is>
      </c>
      <c r="H5787" t="inlineStr">
        <is>
          <t>15</t>
        </is>
      </c>
      <c r="I5787" t="inlineStr">
        <is>
          <t>75⁴</t>
        </is>
      </c>
      <c r="J5787" t="n">
        <v>4</v>
      </c>
      <c r="K5787" t="inlineStr">
        <is>
          <t>4¹, 8²</t>
        </is>
      </c>
      <c r="L5787" t="inlineStr">
        <is>
          <t>15B³, 25E⁴</t>
        </is>
      </c>
      <c r="M5787" t="inlineStr"/>
      <c r="N5787" t="inlineStr">
        <is>
          <t>5A⁰, 25E⁴, 5C⁰, 25E², 5F⁰, 15B³, 1A⁰, 15A⁰</t>
        </is>
      </c>
      <c r="O5787" t="inlineStr"/>
    </row>
    <row r="5788">
      <c r="A5788">
        <f>HYPERLINK("https://mathstats.uncg.edu/sites/pauli/congruence/csg19.html#group75B19", "75B¹⁹")</f>
        <v/>
      </c>
      <c r="B5788" t="n">
        <v>19</v>
      </c>
      <c r="C5788" t="inlineStr"/>
      <c r="D5788" t="inlineStr">
        <is>
          <t>300</t>
        </is>
      </c>
      <c r="E5788" t="inlineStr">
        <is>
          <t>1</t>
        </is>
      </c>
      <c r="F5788" t="inlineStr">
        <is>
          <t>300</t>
        </is>
      </c>
      <c r="G5788" t="inlineStr">
        <is>
          <t>0</t>
        </is>
      </c>
      <c r="H5788" t="inlineStr">
        <is>
          <t>0</t>
        </is>
      </c>
      <c r="I5788" t="inlineStr">
        <is>
          <t>5⁵, 15⁵, 25², 75²</t>
        </is>
      </c>
      <c r="J5788" t="n">
        <v>14</v>
      </c>
      <c r="K5788" t="inlineStr">
        <is>
          <t>2², 4⁵, 5², 8², 10¹, 20⁶, 40³</t>
        </is>
      </c>
      <c r="L5788" t="inlineStr">
        <is>
          <t>25F², 15A³</t>
        </is>
      </c>
      <c r="M5788" t="inlineStr"/>
      <c r="N5788" t="inlineStr">
        <is>
          <t>25F², 3B⁰, 15A³, 5A⁰, 5E⁰, 15B¹, 1A⁰</t>
        </is>
      </c>
      <c r="O5788" t="inlineStr"/>
    </row>
    <row r="5789">
      <c r="A5789">
        <f>HYPERLINK("https://mathstats.uncg.edu/sites/pauli/congruence/csg19.html#group75C19", "75C¹⁹")</f>
        <v/>
      </c>
      <c r="B5789" t="n">
        <v>19</v>
      </c>
      <c r="C5789" t="inlineStr"/>
      <c r="D5789" t="inlineStr">
        <is>
          <t>360</t>
        </is>
      </c>
      <c r="E5789" t="inlineStr">
        <is>
          <t>1</t>
        </is>
      </c>
      <c r="F5789" t="inlineStr">
        <is>
          <t>18</t>
        </is>
      </c>
      <c r="G5789" t="inlineStr">
        <is>
          <t>0</t>
        </is>
      </c>
      <c r="H5789" t="inlineStr">
        <is>
          <t>0</t>
        </is>
      </c>
      <c r="I5789" t="inlineStr">
        <is>
          <t>3²⁰, 75⁴</t>
        </is>
      </c>
      <c r="J5789" t="n">
        <v>24</v>
      </c>
      <c r="K5789" t="inlineStr">
        <is>
          <t>1², 2², 4¹, 8¹</t>
        </is>
      </c>
      <c r="L5789" t="inlineStr">
        <is>
          <t>15F³, 75A⁸, 75E⁹, 75A¹⁰</t>
        </is>
      </c>
      <c r="M5789" t="inlineStr"/>
      <c r="N5789" t="inlineStr">
        <is>
          <t>75A¹⁰, 5B⁰, 5D⁰, 15F³, 75A⁴, 1A⁰, 75A⁸, 15B⁰, 15E¹, 25A⁰, 15B², 3C⁰, 75E⁹, 3A⁰, 25B⁰, 15C⁰</t>
        </is>
      </c>
      <c r="O5789" t="inlineStr"/>
    </row>
    <row r="5790">
      <c r="A5790">
        <f>HYPERLINK("https://mathstats.uncg.edu/sites/pauli/congruence/csg19.html#group75D19", "75D¹⁹")</f>
        <v/>
      </c>
      <c r="B5790" t="n">
        <v>19</v>
      </c>
      <c r="C5790" t="inlineStr"/>
      <c r="D5790" t="inlineStr">
        <is>
          <t>360</t>
        </is>
      </c>
      <c r="E5790" t="inlineStr">
        <is>
          <t>1</t>
        </is>
      </c>
      <c r="F5790" t="inlineStr">
        <is>
          <t>30</t>
        </is>
      </c>
      <c r="G5790" t="inlineStr">
        <is>
          <t>0</t>
        </is>
      </c>
      <c r="H5790" t="inlineStr">
        <is>
          <t>0</t>
        </is>
      </c>
      <c r="I5790" t="inlineStr">
        <is>
          <t>3²⁰, 75⁴</t>
        </is>
      </c>
      <c r="J5790" t="n">
        <v>24</v>
      </c>
      <c r="K5790" t="inlineStr">
        <is>
          <t>1², 4², 20¹</t>
        </is>
      </c>
      <c r="L5790" t="inlineStr">
        <is>
          <t>15E³, 75A⁵, 75E⁹</t>
        </is>
      </c>
      <c r="M5790" t="inlineStr"/>
      <c r="N5790" t="inlineStr">
        <is>
          <t>15C¹, 3B⁰, 75A⁴, 15B⁰, 75A⁵, 15E³, 3D⁰, 5B⁰, 25A⁰, 3C⁰, 75E⁹, 3A⁰, 1A⁰, 15E¹</t>
        </is>
      </c>
      <c r="O5790" t="inlineStr"/>
    </row>
    <row r="5791">
      <c r="A5791">
        <f>HYPERLINK("https://mathstats.uncg.edu/sites/pauli/congruence/csg19.html#group77A19", "77A¹⁹")</f>
        <v/>
      </c>
      <c r="B5791" t="n">
        <v>19</v>
      </c>
      <c r="C5791" t="inlineStr"/>
      <c r="D5791" t="inlineStr">
        <is>
          <t>252</t>
        </is>
      </c>
      <c r="E5791" t="inlineStr">
        <is>
          <t>1</t>
        </is>
      </c>
      <c r="F5791" t="inlineStr">
        <is>
          <t>252</t>
        </is>
      </c>
      <c r="G5791" t="inlineStr">
        <is>
          <t>0</t>
        </is>
      </c>
      <c r="H5791" t="inlineStr">
        <is>
          <t>0</t>
        </is>
      </c>
      <c r="I5791" t="inlineStr">
        <is>
          <t>7³, 77³</t>
        </is>
      </c>
      <c r="J5791" t="n">
        <v>6</v>
      </c>
      <c r="K5791" t="inlineStr">
        <is>
          <t>3², 6⁶, 30¹, 60³</t>
        </is>
      </c>
      <c r="L5791" t="inlineStr">
        <is>
          <t>7D⁰, 77A⁷</t>
        </is>
      </c>
      <c r="M5791" t="inlineStr"/>
      <c r="N5791" t="inlineStr">
        <is>
          <t>77A⁷, 7D⁰, 1A⁰, 11A¹, 7A⁰</t>
        </is>
      </c>
      <c r="O5791" t="inlineStr"/>
    </row>
    <row r="5792">
      <c r="A5792">
        <f>HYPERLINK("https://mathstats.uncg.edu/sites/pauli/congruence/csg19.html#group77B19", "77B¹⁹")</f>
        <v/>
      </c>
      <c r="B5792" t="n">
        <v>19</v>
      </c>
      <c r="C5792" t="inlineStr"/>
      <c r="D5792" t="inlineStr">
        <is>
          <t>288</t>
        </is>
      </c>
      <c r="E5792" t="inlineStr">
        <is>
          <t>1</t>
        </is>
      </c>
      <c r="F5792" t="inlineStr">
        <is>
          <t>96</t>
        </is>
      </c>
      <c r="G5792" t="inlineStr">
        <is>
          <t>0</t>
        </is>
      </c>
      <c r="H5792" t="inlineStr">
        <is>
          <t>0</t>
        </is>
      </c>
      <c r="I5792" t="inlineStr">
        <is>
          <t>1³, 7³, 11³, 77³</t>
        </is>
      </c>
      <c r="J5792" t="n">
        <v>12</v>
      </c>
      <c r="K5792" t="inlineStr">
        <is>
          <t>1⁴, 6², 10², 60¹</t>
        </is>
      </c>
      <c r="L5792" t="inlineStr">
        <is>
          <t>7E⁰, 77B⁷</t>
        </is>
      </c>
      <c r="M5792" t="inlineStr"/>
      <c r="N5792" t="inlineStr">
        <is>
          <t>7E⁰, 77B⁷, 1A⁰, 7B⁰, 11A¹</t>
        </is>
      </c>
      <c r="O5792" t="inlineStr"/>
    </row>
    <row r="5793">
      <c r="A5793">
        <f>HYPERLINK("https://mathstats.uncg.edu/sites/pauli/congruence/csg19.html#group78A19", "78A¹⁹")</f>
        <v/>
      </c>
      <c r="B5793" t="n">
        <v>19</v>
      </c>
      <c r="C5793" t="inlineStr"/>
      <c r="D5793" t="inlineStr">
        <is>
          <t>252</t>
        </is>
      </c>
      <c r="E5793" t="inlineStr">
        <is>
          <t>1</t>
        </is>
      </c>
      <c r="F5793" t="inlineStr">
        <is>
          <t>14</t>
        </is>
      </c>
      <c r="G5793" t="inlineStr">
        <is>
          <t>0</t>
        </is>
      </c>
      <c r="H5793" t="inlineStr">
        <is>
          <t>0</t>
        </is>
      </c>
      <c r="I5793" t="inlineStr">
        <is>
          <t>6³, 78³</t>
        </is>
      </c>
      <c r="J5793" t="n">
        <v>6</v>
      </c>
      <c r="K5793" t="inlineStr">
        <is>
          <t>1², 12¹</t>
        </is>
      </c>
      <c r="L5793" t="inlineStr">
        <is>
          <t>39C⁴, 26A⁵, 78C⁵, 78A⁷</t>
        </is>
      </c>
      <c r="M5793" t="inlineStr"/>
      <c r="N5793" t="inlineStr">
        <is>
          <t>39A², 2A⁰, 26A⁵, 78A⁷, 26A¹, 13A⁰, 39C⁴, 6A¹, 13C⁰, 39A¹, 3A⁰, 1A⁰, 78C⁵</t>
        </is>
      </c>
      <c r="O5793" t="inlineStr"/>
    </row>
    <row r="5794">
      <c r="A5794">
        <f>HYPERLINK("https://mathstats.uncg.edu/sites/pauli/congruence/csg19.html#group78B19", "78B¹⁹")</f>
        <v/>
      </c>
      <c r="B5794" t="n">
        <v>19</v>
      </c>
      <c r="C5794" t="inlineStr"/>
      <c r="D5794" t="inlineStr">
        <is>
          <t>252</t>
        </is>
      </c>
      <c r="E5794" t="inlineStr">
        <is>
          <t>1</t>
        </is>
      </c>
      <c r="F5794" t="inlineStr">
        <is>
          <t>14</t>
        </is>
      </c>
      <c r="G5794" t="inlineStr">
        <is>
          <t>0</t>
        </is>
      </c>
      <c r="H5794" t="inlineStr">
        <is>
          <t>0</t>
        </is>
      </c>
      <c r="I5794" t="inlineStr">
        <is>
          <t>6³, 78³</t>
        </is>
      </c>
      <c r="J5794" t="n">
        <v>6</v>
      </c>
      <c r="K5794" t="inlineStr">
        <is>
          <t>1², 12¹</t>
        </is>
      </c>
      <c r="L5794" t="inlineStr">
        <is>
          <t>6C¹, 26B⁵, 78A⁵, 78A⁷, 78A⁸</t>
        </is>
      </c>
      <c r="M5794" t="inlineStr"/>
      <c r="N5794" t="inlineStr">
        <is>
          <t>39A², 2A⁰, 26A¹, 6C¹, 13A⁰, 2B⁰, 1A⁰, 26A², 78A⁸, 26B⁵, 78A⁷, 6A⁰, 78A⁵, 6A¹, 3A⁰, 2C⁰, 6D⁰</t>
        </is>
      </c>
      <c r="O5794" t="inlineStr"/>
    </row>
    <row r="5795">
      <c r="A5795">
        <f>HYPERLINK("https://mathstats.uncg.edu/sites/pauli/congruence/csg19.html#group78C19", "78C¹⁹")</f>
        <v/>
      </c>
      <c r="B5795" t="n">
        <v>19</v>
      </c>
      <c r="C5795" t="inlineStr"/>
      <c r="D5795" t="inlineStr">
        <is>
          <t>252</t>
        </is>
      </c>
      <c r="E5795" t="inlineStr">
        <is>
          <t>1</t>
        </is>
      </c>
      <c r="F5795" t="inlineStr">
        <is>
          <t>28</t>
        </is>
      </c>
      <c r="G5795" t="inlineStr">
        <is>
          <t>0</t>
        </is>
      </c>
      <c r="H5795" t="inlineStr">
        <is>
          <t>0</t>
        </is>
      </c>
      <c r="I5795" t="inlineStr">
        <is>
          <t>6³, 78³</t>
        </is>
      </c>
      <c r="J5795" t="n">
        <v>6</v>
      </c>
      <c r="K5795" t="inlineStr">
        <is>
          <t>2², 24¹</t>
        </is>
      </c>
      <c r="L5795" t="inlineStr">
        <is>
          <t>26A⁵, 78A⁵, 78B⁶</t>
        </is>
      </c>
      <c r="M5795" t="inlineStr"/>
      <c r="N5795" t="inlineStr">
        <is>
          <t>2A⁰, 26A⁵, 26A¹, 6A⁰, 13A⁰, 13C⁰, 78B⁶, 78A⁵, 1A⁰</t>
        </is>
      </c>
      <c r="O5795" t="inlineStr"/>
    </row>
    <row r="5796">
      <c r="A5796">
        <f>HYPERLINK("https://mathstats.uncg.edu/sites/pauli/congruence/csg19.html#group78D19", "78D¹⁹")</f>
        <v/>
      </c>
      <c r="B5796" t="n">
        <v>19</v>
      </c>
      <c r="C5796" t="inlineStr"/>
      <c r="D5796" t="inlineStr">
        <is>
          <t>252</t>
        </is>
      </c>
      <c r="E5796" t="inlineStr">
        <is>
          <t>1</t>
        </is>
      </c>
      <c r="F5796" t="inlineStr">
        <is>
          <t>28</t>
        </is>
      </c>
      <c r="G5796" t="inlineStr">
        <is>
          <t>0</t>
        </is>
      </c>
      <c r="H5796" t="inlineStr">
        <is>
          <t>0</t>
        </is>
      </c>
      <c r="I5796" t="inlineStr">
        <is>
          <t>6³, 78³</t>
        </is>
      </c>
      <c r="J5796" t="n">
        <v>6</v>
      </c>
      <c r="K5796" t="inlineStr">
        <is>
          <t>1⁴, 12²</t>
        </is>
      </c>
      <c r="L5796" t="inlineStr">
        <is>
          <t>26A³, 78B⁶, 78A⁷</t>
        </is>
      </c>
      <c r="M5796" t="inlineStr"/>
      <c r="N5796" t="inlineStr">
        <is>
          <t>2A⁰, 39A², 26A¹, 78A⁷, 13A⁰, 26A³, 6A¹, 78B⁶, 3A⁰, 1A⁰</t>
        </is>
      </c>
      <c r="O5796" t="inlineStr"/>
    </row>
    <row r="5797">
      <c r="A5797">
        <f>HYPERLINK("https://mathstats.uncg.edu/sites/pauli/congruence/csg19.html#group78E19", "78E¹⁹")</f>
        <v/>
      </c>
      <c r="B5797" t="n">
        <v>19</v>
      </c>
      <c r="C5797" t="inlineStr"/>
      <c r="D5797" t="inlineStr">
        <is>
          <t>252</t>
        </is>
      </c>
      <c r="E5797" t="inlineStr">
        <is>
          <t>2</t>
        </is>
      </c>
      <c r="F5797" t="inlineStr">
        <is>
          <t>14</t>
        </is>
      </c>
      <c r="G5797" t="inlineStr">
        <is>
          <t>0</t>
        </is>
      </c>
      <c r="H5797" t="inlineStr">
        <is>
          <t>0</t>
        </is>
      </c>
      <c r="I5797" t="inlineStr">
        <is>
          <t>6³, 78³</t>
        </is>
      </c>
      <c r="J5797" t="n">
        <v>6</v>
      </c>
      <c r="K5797" t="inlineStr">
        <is>
          <t>2², 24¹</t>
        </is>
      </c>
      <c r="L5797" t="inlineStr">
        <is>
          <t>26B⁵, 78C⁵, 78B⁶, 78B⁸</t>
        </is>
      </c>
      <c r="M5797" t="inlineStr"/>
      <c r="N5797" t="inlineStr">
        <is>
          <t>26B⁵, 2A⁰, 26A¹, 26A², 39A¹, 78C⁵, 13A⁰, 2B⁰, 78B⁶, 1A⁰, 2C⁰, 78B⁸</t>
        </is>
      </c>
      <c r="O5797" t="inlineStr"/>
    </row>
    <row r="5798">
      <c r="A5798">
        <f>HYPERLINK("https://mathstats.uncg.edu/sites/pauli/congruence/csg19.html#group80A19", "80A¹⁹")</f>
        <v/>
      </c>
      <c r="B5798" t="n">
        <v>19</v>
      </c>
      <c r="C5798" t="inlineStr"/>
      <c r="D5798" t="inlineStr">
        <is>
          <t>240</t>
        </is>
      </c>
      <c r="E5798" t="inlineStr">
        <is>
          <t>1</t>
        </is>
      </c>
      <c r="F5798" t="inlineStr">
        <is>
          <t>15</t>
        </is>
      </c>
      <c r="G5798" t="inlineStr">
        <is>
          <t>0</t>
        </is>
      </c>
      <c r="H5798" t="inlineStr">
        <is>
          <t>0</t>
        </is>
      </c>
      <c r="I5798" t="inlineStr">
        <is>
          <t>40², 80²</t>
        </is>
      </c>
      <c r="J5798" t="n">
        <v>4</v>
      </c>
      <c r="K5798" t="inlineStr">
        <is>
          <t>1³, 4³</t>
        </is>
      </c>
      <c r="L5798" t="inlineStr">
        <is>
          <t>16A³, 40A⁹, 80B⁹</t>
        </is>
      </c>
      <c r="M5798" t="inlineStr"/>
      <c r="N5798" t="inlineStr">
        <is>
          <t>2A⁰, 5A⁰, 40A⁴, 4C⁰, 16A³, 2B⁰, 4E⁰, 4B⁰, 1A⁰, 40A⁹, 10A⁰, 40A⁵, 20A², 8A¹, 10B¹, 20B², 8B⁰, 16B¹, 8B¹, 10B², 20A⁴, 80B⁹, 2C⁰</t>
        </is>
      </c>
      <c r="O5798" t="inlineStr"/>
    </row>
    <row r="5799">
      <c r="A5799">
        <f>HYPERLINK("https://mathstats.uncg.edu/sites/pauli/congruence/csg19.html#group80B19", "80B¹⁹")</f>
        <v/>
      </c>
      <c r="B5799" t="n">
        <v>19</v>
      </c>
      <c r="C5799" t="inlineStr"/>
      <c r="D5799" t="inlineStr">
        <is>
          <t>240</t>
        </is>
      </c>
      <c r="E5799" t="inlineStr">
        <is>
          <t>1</t>
        </is>
      </c>
      <c r="F5799" t="inlineStr">
        <is>
          <t>15</t>
        </is>
      </c>
      <c r="G5799" t="inlineStr">
        <is>
          <t>0</t>
        </is>
      </c>
      <c r="H5799" t="inlineStr">
        <is>
          <t>0</t>
        </is>
      </c>
      <c r="I5799" t="inlineStr">
        <is>
          <t>40², 80²</t>
        </is>
      </c>
      <c r="J5799" t="n">
        <v>4</v>
      </c>
      <c r="K5799" t="inlineStr">
        <is>
          <t>1³, 4³</t>
        </is>
      </c>
      <c r="L5799" t="inlineStr">
        <is>
          <t>16B³, 80A⁸, 40A⁹, 80A¹⁰</t>
        </is>
      </c>
      <c r="M5799" t="inlineStr"/>
      <c r="N5799" t="inlineStr">
        <is>
          <t>20A², 2A⁰, 5A⁰, 8A¹, 40A⁴, 10B¹, 20B², 4C⁰, 16B³, 8B⁰, 2B⁰, 8B¹, 4E⁰, 10B², 4B⁰, 1A⁰, 80A¹⁰, 16A², 16B⁰, 40A⁹, 10A⁰, 20A⁴, 40A⁵, 2C⁰, 80A⁸</t>
        </is>
      </c>
      <c r="O5799" t="inlineStr"/>
    </row>
    <row r="5800">
      <c r="A5800">
        <f>HYPERLINK("https://mathstats.uncg.edu/sites/pauli/congruence/csg19.html#group80C19", "80C¹⁹")</f>
        <v/>
      </c>
      <c r="B5800" t="n">
        <v>19</v>
      </c>
      <c r="C5800" t="inlineStr"/>
      <c r="D5800" t="inlineStr">
        <is>
          <t>240</t>
        </is>
      </c>
      <c r="E5800" t="inlineStr">
        <is>
          <t>1</t>
        </is>
      </c>
      <c r="F5800" t="inlineStr">
        <is>
          <t>30</t>
        </is>
      </c>
      <c r="G5800" t="inlineStr">
        <is>
          <t>0</t>
        </is>
      </c>
      <c r="H5800" t="inlineStr">
        <is>
          <t>0</t>
        </is>
      </c>
      <c r="I5800" t="inlineStr">
        <is>
          <t>40², 80²</t>
        </is>
      </c>
      <c r="J5800" t="n">
        <v>4</v>
      </c>
      <c r="K5800" t="inlineStr">
        <is>
          <t>1², 2², 4², 8²</t>
        </is>
      </c>
      <c r="L5800" t="inlineStr">
        <is>
          <t>16C³, 40B⁸, 80B⁹, 80A¹⁰</t>
        </is>
      </c>
      <c r="M5800" t="inlineStr"/>
      <c r="N5800" t="inlineStr">
        <is>
          <t>40B⁸, 5A⁰, 40A⁴, 16C³, 8D⁰, 10B¹, 20B², 4C⁰, 8B⁰, 16B¹, 20A¹, 2B⁰, 20C⁴, 1A⁰, 80A¹⁰, 16A², 8H⁰, 40C⁴, 4A⁰, 4F⁰, 80B⁹</t>
        </is>
      </c>
      <c r="O5800" t="inlineStr"/>
    </row>
    <row r="5801">
      <c r="A5801">
        <f>HYPERLINK("https://mathstats.uncg.edu/sites/pauli/congruence/csg19.html#group80D19", "80D¹⁹")</f>
        <v/>
      </c>
      <c r="B5801" t="n">
        <v>19</v>
      </c>
      <c r="C5801" t="inlineStr"/>
      <c r="D5801" t="inlineStr">
        <is>
          <t>240</t>
        </is>
      </c>
      <c r="E5801" t="inlineStr">
        <is>
          <t>1</t>
        </is>
      </c>
      <c r="F5801" t="inlineStr">
        <is>
          <t>30</t>
        </is>
      </c>
      <c r="G5801" t="inlineStr">
        <is>
          <t>0</t>
        </is>
      </c>
      <c r="H5801" t="inlineStr">
        <is>
          <t>0</t>
        </is>
      </c>
      <c r="I5801" t="inlineStr">
        <is>
          <t>40², 80²</t>
        </is>
      </c>
      <c r="J5801" t="n">
        <v>4</v>
      </c>
      <c r="K5801" t="inlineStr">
        <is>
          <t>2³, 4⁶</t>
        </is>
      </c>
      <c r="L5801" t="inlineStr">
        <is>
          <t>40E⁷</t>
        </is>
      </c>
      <c r="M5801" t="inlineStr"/>
      <c r="N5801" t="inlineStr">
        <is>
          <t>40E⁷, 4C⁰, 8B⁰, 1A⁰, 2B⁰, 5C⁰, 20F³, 10F¹</t>
        </is>
      </c>
      <c r="O5801" t="inlineStr"/>
    </row>
    <row r="5802">
      <c r="A5802">
        <f>HYPERLINK("https://mathstats.uncg.edu/sites/pauli/congruence/csg19.html#group80E19", "80E¹⁹")</f>
        <v/>
      </c>
      <c r="B5802" t="n">
        <v>19</v>
      </c>
      <c r="C5802" t="inlineStr"/>
      <c r="D5802" t="inlineStr">
        <is>
          <t>240</t>
        </is>
      </c>
      <c r="E5802" t="inlineStr">
        <is>
          <t>1</t>
        </is>
      </c>
      <c r="F5802" t="inlineStr">
        <is>
          <t>30</t>
        </is>
      </c>
      <c r="G5802" t="inlineStr">
        <is>
          <t>0</t>
        </is>
      </c>
      <c r="H5802" t="inlineStr">
        <is>
          <t>0</t>
        </is>
      </c>
      <c r="I5802" t="inlineStr">
        <is>
          <t>40², 80²</t>
        </is>
      </c>
      <c r="J5802" t="n">
        <v>4</v>
      </c>
      <c r="K5802" t="inlineStr">
        <is>
          <t>2³, 4⁶</t>
        </is>
      </c>
      <c r="L5802" t="inlineStr">
        <is>
          <t>16A², 40E⁷</t>
        </is>
      </c>
      <c r="M5802" t="inlineStr"/>
      <c r="N5802" t="inlineStr">
        <is>
          <t>40E⁷, 4C⁰, 8B⁰, 10F¹, 1A⁰, 2B⁰, 5C⁰, 20F³, 16A²</t>
        </is>
      </c>
      <c r="O5802" t="inlineStr"/>
    </row>
    <row r="5803">
      <c r="A5803">
        <f>HYPERLINK("https://mathstats.uncg.edu/sites/pauli/congruence/csg19.html#group80F19", "80F¹⁹")</f>
        <v/>
      </c>
      <c r="B5803" t="n">
        <v>19</v>
      </c>
      <c r="C5803" t="inlineStr"/>
      <c r="D5803" t="inlineStr">
        <is>
          <t>240</t>
        </is>
      </c>
      <c r="E5803" t="inlineStr">
        <is>
          <t>1</t>
        </is>
      </c>
      <c r="F5803" t="inlineStr">
        <is>
          <t>30</t>
        </is>
      </c>
      <c r="G5803" t="inlineStr">
        <is>
          <t>0</t>
        </is>
      </c>
      <c r="H5803" t="inlineStr">
        <is>
          <t>0</t>
        </is>
      </c>
      <c r="I5803" t="inlineStr">
        <is>
          <t>40², 80²</t>
        </is>
      </c>
      <c r="J5803" t="n">
        <v>4</v>
      </c>
      <c r="K5803" t="inlineStr">
        <is>
          <t>1⁴, 2¹, 4⁴, 8¹</t>
        </is>
      </c>
      <c r="L5803" t="inlineStr">
        <is>
          <t>16D³, 40A⁹, 80D⁹, 80B¹⁰</t>
        </is>
      </c>
      <c r="M5803" t="inlineStr"/>
      <c r="N5803" t="inlineStr">
        <is>
          <t>2A⁰, 5A⁰, 40A⁴, 80D⁹, 4C⁰, 2B⁰, 4E⁰, 4B⁰, 1A⁰, 40A⁹, 16D¹, 16B², 10A⁰, 40A⁵, 20A², 16D³, 8A¹, 10B¹, 20B², 8B⁰, 8B¹, 10B², 80B¹⁰, 20A⁴, 2C⁰</t>
        </is>
      </c>
      <c r="O5803" t="inlineStr"/>
    </row>
    <row r="5804">
      <c r="A5804">
        <f>HYPERLINK("https://mathstats.uncg.edu/sites/pauli/congruence/csg19.html#group80G19", "80G¹⁹")</f>
        <v/>
      </c>
      <c r="B5804" t="n">
        <v>19</v>
      </c>
      <c r="C5804" t="inlineStr"/>
      <c r="D5804" t="inlineStr">
        <is>
          <t>240</t>
        </is>
      </c>
      <c r="E5804" t="inlineStr">
        <is>
          <t>1</t>
        </is>
      </c>
      <c r="F5804" t="inlineStr">
        <is>
          <t>60</t>
        </is>
      </c>
      <c r="G5804" t="inlineStr">
        <is>
          <t>0</t>
        </is>
      </c>
      <c r="H5804" t="inlineStr">
        <is>
          <t>0</t>
        </is>
      </c>
      <c r="I5804" t="inlineStr">
        <is>
          <t>40², 80²</t>
        </is>
      </c>
      <c r="J5804" t="n">
        <v>4</v>
      </c>
      <c r="K5804" t="inlineStr">
        <is>
          <t>2⁶, 8⁶</t>
        </is>
      </c>
      <c r="L5804" t="inlineStr">
        <is>
          <t>16E³, 40B⁹, 80B¹⁰</t>
        </is>
      </c>
      <c r="M5804" t="inlineStr"/>
      <c r="N5804" t="inlineStr">
        <is>
          <t>5A⁰, 8A¹, 40B⁹, 8D⁰, 10B¹, 20B², 4C⁰, 20A¹, 20C⁴, 2B⁰, 1A⁰, 40C⁴, 8C¹, 16B², 4A⁰, 80B¹⁰, 4F⁰, 40A⁵, 16E³</t>
        </is>
      </c>
      <c r="O5804" t="inlineStr"/>
    </row>
    <row r="5805">
      <c r="A5805">
        <f>HYPERLINK("https://mathstats.uncg.edu/sites/pauli/congruence/csg19.html#group80H19", "80H¹⁹")</f>
        <v/>
      </c>
      <c r="B5805" t="n">
        <v>19</v>
      </c>
      <c r="C5805" t="inlineStr"/>
      <c r="D5805" t="inlineStr">
        <is>
          <t>240</t>
        </is>
      </c>
      <c r="E5805" t="inlineStr">
        <is>
          <t>1</t>
        </is>
      </c>
      <c r="F5805" t="inlineStr">
        <is>
          <t>60</t>
        </is>
      </c>
      <c r="G5805" t="inlineStr">
        <is>
          <t>0</t>
        </is>
      </c>
      <c r="H5805" t="inlineStr">
        <is>
          <t>0</t>
        </is>
      </c>
      <c r="I5805" t="inlineStr">
        <is>
          <t>40², 80²</t>
        </is>
      </c>
      <c r="J5805" t="n">
        <v>4</v>
      </c>
      <c r="K5805" t="inlineStr">
        <is>
          <t>1⁴, 2², 4⁵, 8², 16¹</t>
        </is>
      </c>
      <c r="L5805" t="inlineStr">
        <is>
          <t>16F³, 40F⁸, 80D⁹, 80A¹⁰</t>
        </is>
      </c>
      <c r="M5805" t="inlineStr"/>
      <c r="N5805" t="inlineStr">
        <is>
          <t>5A⁰, 16D¹, 40A⁴, 10B¹, 80D⁹, 16F³, 20B², 4C⁰, 8B⁰, 8L⁰, 2B⁰, 1A⁰, 80A¹⁰, 40F⁸, 16A²</t>
        </is>
      </c>
      <c r="O5805" t="inlineStr"/>
    </row>
    <row r="5806">
      <c r="A5806">
        <f>HYPERLINK("https://mathstats.uncg.edu/sites/pauli/congruence/csg19.html#group80I19", "80I¹⁹")</f>
        <v/>
      </c>
      <c r="B5806" t="n">
        <v>19</v>
      </c>
      <c r="C5806" t="inlineStr"/>
      <c r="D5806" t="inlineStr">
        <is>
          <t>240</t>
        </is>
      </c>
      <c r="E5806" t="inlineStr">
        <is>
          <t>1</t>
        </is>
      </c>
      <c r="F5806" t="inlineStr">
        <is>
          <t>120</t>
        </is>
      </c>
      <c r="G5806" t="inlineStr">
        <is>
          <t>0</t>
        </is>
      </c>
      <c r="H5806" t="inlineStr">
        <is>
          <t>0</t>
        </is>
      </c>
      <c r="I5806" t="inlineStr">
        <is>
          <t>40², 80²</t>
        </is>
      </c>
      <c r="J5806" t="n">
        <v>4</v>
      </c>
      <c r="K5806" t="inlineStr">
        <is>
          <t>2⁴, 4¹⁰, 8⁵, 16²</t>
        </is>
      </c>
      <c r="L5806" t="inlineStr">
        <is>
          <t>40D⁹</t>
        </is>
      </c>
      <c r="M5806" t="inlineStr"/>
      <c r="N5806" t="inlineStr">
        <is>
          <t>8A¹, 5C⁰, 4C⁰, 40D⁹, 2B⁰, 1A⁰, 20F³, 10F¹</t>
        </is>
      </c>
      <c r="O5806" t="inlineStr"/>
    </row>
    <row r="5807">
      <c r="A5807">
        <f>HYPERLINK("https://mathstats.uncg.edu/sites/pauli/congruence/csg19.html#group80J19", "80J¹⁹")</f>
        <v/>
      </c>
      <c r="B5807" t="n">
        <v>19</v>
      </c>
      <c r="C5807" t="inlineStr"/>
      <c r="D5807" t="inlineStr">
        <is>
          <t>240</t>
        </is>
      </c>
      <c r="E5807" t="inlineStr">
        <is>
          <t>1</t>
        </is>
      </c>
      <c r="F5807" t="inlineStr">
        <is>
          <t>120</t>
        </is>
      </c>
      <c r="G5807" t="inlineStr">
        <is>
          <t>0</t>
        </is>
      </c>
      <c r="H5807" t="inlineStr">
        <is>
          <t>0</t>
        </is>
      </c>
      <c r="I5807" t="inlineStr">
        <is>
          <t>40², 80²</t>
        </is>
      </c>
      <c r="J5807" t="n">
        <v>4</v>
      </c>
      <c r="K5807" t="inlineStr">
        <is>
          <t>2⁴, 4¹⁰, 8⁵, 16²</t>
        </is>
      </c>
      <c r="L5807" t="inlineStr">
        <is>
          <t>16B², 40D⁹</t>
        </is>
      </c>
      <c r="M5807" t="inlineStr"/>
      <c r="N5807" t="inlineStr">
        <is>
          <t>16B², 8A¹, 5C⁰, 4C⁰, 40D⁹, 2B⁰, 1A⁰, 20F³, 10F¹</t>
        </is>
      </c>
      <c r="O5807" t="inlineStr"/>
    </row>
    <row r="5808">
      <c r="A5808">
        <f>HYPERLINK("https://mathstats.uncg.edu/sites/pauli/congruence/csg19.html#group80K19", "80K¹⁹")</f>
        <v/>
      </c>
      <c r="B5808" t="n">
        <v>19</v>
      </c>
      <c r="C5808" t="inlineStr"/>
      <c r="D5808" t="inlineStr">
        <is>
          <t>240</t>
        </is>
      </c>
      <c r="E5808" t="inlineStr">
        <is>
          <t>2</t>
        </is>
      </c>
      <c r="F5808" t="inlineStr">
        <is>
          <t>120</t>
        </is>
      </c>
      <c r="G5808" t="inlineStr">
        <is>
          <t>2</t>
        </is>
      </c>
      <c r="H5808" t="inlineStr">
        <is>
          <t>0</t>
        </is>
      </c>
      <c r="I5808" t="inlineStr">
        <is>
          <t>80³</t>
        </is>
      </c>
      <c r="J5808" t="n">
        <v>3</v>
      </c>
      <c r="K5808" t="inlineStr">
        <is>
          <t>8⁶, 32⁶</t>
        </is>
      </c>
      <c r="L5808" t="inlineStr">
        <is>
          <t>16G³, 80A⁴, 40E⁹</t>
        </is>
      </c>
      <c r="M5808" t="inlineStr"/>
      <c r="N5808" t="inlineStr">
        <is>
          <t>5A⁰, 80A⁴, 16A⁰, 10B¹, 20B², 4C⁰, 8A⁰, 16G³, 20A¹, 20C⁴, 2B⁰, 1A⁰, 8D¹, 4A⁰, 4F⁰, 40E⁹, 40A²</t>
        </is>
      </c>
      <c r="O5808" t="inlineStr"/>
    </row>
    <row r="5809">
      <c r="A5809">
        <f>HYPERLINK("https://mathstats.uncg.edu/sites/pauli/congruence/csg19.html#group80L19", "80L¹⁹")</f>
        <v/>
      </c>
      <c r="B5809" t="n">
        <v>19</v>
      </c>
      <c r="C5809" t="inlineStr"/>
      <c r="D5809" t="inlineStr">
        <is>
          <t>288</t>
        </is>
      </c>
      <c r="E5809" t="inlineStr">
        <is>
          <t>1</t>
        </is>
      </c>
      <c r="F5809" t="inlineStr">
        <is>
          <t>18</t>
        </is>
      </c>
      <c r="G5809" t="inlineStr">
        <is>
          <t>0</t>
        </is>
      </c>
      <c r="H5809" t="inlineStr">
        <is>
          <t>0</t>
        </is>
      </c>
      <c r="I5809" t="inlineStr">
        <is>
          <t>4⁴, 16², 20⁴, 80²</t>
        </is>
      </c>
      <c r="J5809" t="n">
        <v>12</v>
      </c>
      <c r="K5809" t="inlineStr">
        <is>
          <t>1⁶, 4³</t>
        </is>
      </c>
      <c r="L5809" t="inlineStr">
        <is>
          <t>40M⁷, 80I⁹</t>
        </is>
      </c>
      <c r="M5809" t="inlineStr"/>
      <c r="N5809" t="inlineStr">
        <is>
          <t>80I⁹, 20E¹, 2A⁰, 40H³, 8D⁰, 4C⁰, 5B⁰, 10A¹, 20D¹, 8C⁰, 2B⁰, 4E⁰, 4B⁰, 1A⁰, 40F³, 40M⁷, 8G⁰, 10C⁰, 20J³, 2C⁰, 10G¹</t>
        </is>
      </c>
      <c r="O5809" t="inlineStr"/>
    </row>
    <row r="5810">
      <c r="A5810">
        <f>HYPERLINK("https://mathstats.uncg.edu/sites/pauli/congruence/csg19.html#group80M19", "80M¹⁹")</f>
        <v/>
      </c>
      <c r="B5810" t="n">
        <v>19</v>
      </c>
      <c r="C5810" t="inlineStr"/>
      <c r="D5810" t="inlineStr">
        <is>
          <t>288</t>
        </is>
      </c>
      <c r="E5810" t="inlineStr">
        <is>
          <t>1</t>
        </is>
      </c>
      <c r="F5810" t="inlineStr">
        <is>
          <t>18</t>
        </is>
      </c>
      <c r="G5810" t="inlineStr">
        <is>
          <t>0</t>
        </is>
      </c>
      <c r="H5810" t="inlineStr">
        <is>
          <t>0</t>
        </is>
      </c>
      <c r="I5810" t="inlineStr">
        <is>
          <t>4⁴, 16², 20⁴, 80²</t>
        </is>
      </c>
      <c r="J5810" t="n">
        <v>12</v>
      </c>
      <c r="K5810" t="inlineStr">
        <is>
          <t>1⁶, 4³</t>
        </is>
      </c>
      <c r="L5810" t="inlineStr">
        <is>
          <t>16C², 40M⁷, 80J⁹</t>
        </is>
      </c>
      <c r="M5810" t="inlineStr"/>
      <c r="N5810" t="inlineStr">
        <is>
          <t>20E¹, 2A⁰, 16C², 40H³, 8D⁰, 80J⁹, 4C⁰, 5B⁰, 10A¹, 20D¹, 8C⁰, 2B⁰, 4E⁰, 4B⁰, 1A⁰, 40F³, 40M⁷, 8G⁰, 16C¹, 10C⁰, 20J³, 2C⁰, 10G¹</t>
        </is>
      </c>
      <c r="O5810" t="inlineStr"/>
    </row>
    <row r="5811">
      <c r="A5811">
        <f>HYPERLINK("https://mathstats.uncg.edu/sites/pauli/congruence/csg19.html#group80N19", "80N¹⁹")</f>
        <v/>
      </c>
      <c r="B5811" t="n">
        <v>19</v>
      </c>
      <c r="C5811" t="inlineStr"/>
      <c r="D5811" t="inlineStr">
        <is>
          <t>288</t>
        </is>
      </c>
      <c r="E5811" t="inlineStr">
        <is>
          <t>1</t>
        </is>
      </c>
      <c r="F5811" t="inlineStr">
        <is>
          <t>36</t>
        </is>
      </c>
      <c r="G5811" t="inlineStr">
        <is>
          <t>0</t>
        </is>
      </c>
      <c r="H5811" t="inlineStr">
        <is>
          <t>0</t>
        </is>
      </c>
      <c r="I5811" t="inlineStr">
        <is>
          <t>4⁴, 16², 20⁴, 80²</t>
        </is>
      </c>
      <c r="J5811" t="n">
        <v>12</v>
      </c>
      <c r="K5811" t="inlineStr">
        <is>
          <t>2⁶, 8³</t>
        </is>
      </c>
      <c r="L5811" t="inlineStr">
        <is>
          <t>40L⁷</t>
        </is>
      </c>
      <c r="M5811" t="inlineStr"/>
      <c r="N5811" t="inlineStr">
        <is>
          <t>20E¹, 2A⁰, 40L⁷, 4C⁰, 5B⁰, 10A¹, 20D¹, 4E⁰, 2B⁰, 4B⁰, 1A⁰, 10C⁰, 40E³, 20J³, 2C⁰, 10G¹, 40G³</t>
        </is>
      </c>
      <c r="O5811" t="inlineStr"/>
    </row>
    <row r="5812">
      <c r="A5812">
        <f>HYPERLINK("https://mathstats.uncg.edu/sites/pauli/congruence/csg19.html#group80O19", "80O¹⁹")</f>
        <v/>
      </c>
      <c r="B5812" t="n">
        <v>19</v>
      </c>
      <c r="C5812" t="inlineStr"/>
      <c r="D5812" t="inlineStr">
        <is>
          <t>288</t>
        </is>
      </c>
      <c r="E5812" t="inlineStr">
        <is>
          <t>1</t>
        </is>
      </c>
      <c r="F5812" t="inlineStr">
        <is>
          <t>72</t>
        </is>
      </c>
      <c r="G5812" t="inlineStr">
        <is>
          <t>0</t>
        </is>
      </c>
      <c r="H5812" t="inlineStr">
        <is>
          <t>0</t>
        </is>
      </c>
      <c r="I5812" t="inlineStr">
        <is>
          <t>4⁴, 16², 20⁴, 80²</t>
        </is>
      </c>
      <c r="J5812" t="n">
        <v>12</v>
      </c>
      <c r="K5812" t="inlineStr">
        <is>
          <t>1⁴, 2², 4⁶, 8¹, 16²</t>
        </is>
      </c>
      <c r="L5812" t="inlineStr">
        <is>
          <t>40N⁷, 80I⁹, 80J⁹</t>
        </is>
      </c>
      <c r="M5812" t="inlineStr"/>
      <c r="N5812" t="inlineStr">
        <is>
          <t>80I⁹, 20E¹, 40H³, 8D⁰, 80J⁹, 20G³, 4C⁰, 5B⁰, 5D⁰, 2B⁰, 1A⁰, 10F⁰, 40N⁷, 16C¹, 10C⁰, 20C², 40G³</t>
        </is>
      </c>
      <c r="O5812" t="inlineStr"/>
    </row>
    <row r="5813">
      <c r="A5813">
        <f>HYPERLINK("https://mathstats.uncg.edu/sites/pauli/congruence/csg19.html#group80P19", "80P¹⁹")</f>
        <v/>
      </c>
      <c r="B5813" t="n">
        <v>19</v>
      </c>
      <c r="C5813" t="inlineStr"/>
      <c r="D5813" t="inlineStr">
        <is>
          <t>288</t>
        </is>
      </c>
      <c r="E5813" t="inlineStr">
        <is>
          <t>1</t>
        </is>
      </c>
      <c r="F5813" t="inlineStr">
        <is>
          <t>72</t>
        </is>
      </c>
      <c r="G5813" t="inlineStr">
        <is>
          <t>0</t>
        </is>
      </c>
      <c r="H5813" t="inlineStr">
        <is>
          <t>0</t>
        </is>
      </c>
      <c r="I5813" t="inlineStr">
        <is>
          <t>4⁴, 16², 20⁴, 80²</t>
        </is>
      </c>
      <c r="J5813" t="n">
        <v>12</v>
      </c>
      <c r="K5813" t="inlineStr">
        <is>
          <t>1⁴, 2², 4⁶, 8¹, 16²</t>
        </is>
      </c>
      <c r="L5813" t="inlineStr">
        <is>
          <t>80I⁷, 40N⁹, 80J⁹</t>
        </is>
      </c>
      <c r="M5813" t="inlineStr"/>
      <c r="N5813" t="inlineStr">
        <is>
          <t>20E¹, 40N⁹, 80I⁷, 40H³, 80J⁹, 8D⁰, 16C¹, 4C⁰, 5B⁰, 10C⁰, 2B⁰, 40B⁵, 20K³, 1A⁰</t>
        </is>
      </c>
      <c r="O5813" t="inlineStr"/>
    </row>
    <row r="5814">
      <c r="A5814">
        <f>HYPERLINK("https://mathstats.uncg.edu/sites/pauli/congruence/csg19.html#group80Q19", "80Q¹⁹")</f>
        <v/>
      </c>
      <c r="B5814" t="n">
        <v>19</v>
      </c>
      <c r="C5814" t="inlineStr"/>
      <c r="D5814" t="inlineStr">
        <is>
          <t>288</t>
        </is>
      </c>
      <c r="E5814" t="inlineStr">
        <is>
          <t>1</t>
        </is>
      </c>
      <c r="F5814" t="inlineStr">
        <is>
          <t>72</t>
        </is>
      </c>
      <c r="G5814" t="inlineStr">
        <is>
          <t>0</t>
        </is>
      </c>
      <c r="H5814" t="inlineStr">
        <is>
          <t>0</t>
        </is>
      </c>
      <c r="I5814" t="inlineStr">
        <is>
          <t>4⁴, 16², 20⁴, 80²</t>
        </is>
      </c>
      <c r="J5814" t="n">
        <v>12</v>
      </c>
      <c r="K5814" t="inlineStr">
        <is>
          <t>1⁴, 2², 4⁶, 8¹, 16²</t>
        </is>
      </c>
      <c r="L5814" t="inlineStr">
        <is>
          <t>80I⁷, 40P⁹, 80I⁹</t>
        </is>
      </c>
      <c r="M5814" t="inlineStr"/>
      <c r="N5814" t="inlineStr">
        <is>
          <t>80I⁹, 20E¹, 8A¹, 40H³, 8D⁰, 4C⁰, 5B⁰, 40C⁵, 2B⁰, 1A⁰, 20B¹, 40P⁹, 8C¹, 80I⁷, 4A⁰, 10C⁰, 4F⁰, 20L³</t>
        </is>
      </c>
      <c r="O5814" t="inlineStr"/>
    </row>
    <row r="5815">
      <c r="A5815">
        <f>HYPERLINK("https://mathstats.uncg.edu/sites/pauli/congruence/csg19.html#group80R19", "80R¹⁹")</f>
        <v/>
      </c>
      <c r="B5815" t="n">
        <v>19</v>
      </c>
      <c r="C5815" t="inlineStr"/>
      <c r="D5815" t="inlineStr">
        <is>
          <t>288</t>
        </is>
      </c>
      <c r="E5815" t="inlineStr">
        <is>
          <t>1</t>
        </is>
      </c>
      <c r="F5815" t="inlineStr">
        <is>
          <t>72</t>
        </is>
      </c>
      <c r="G5815" t="inlineStr">
        <is>
          <t>0</t>
        </is>
      </c>
      <c r="H5815" t="inlineStr">
        <is>
          <t>0</t>
        </is>
      </c>
      <c r="I5815" t="inlineStr">
        <is>
          <t>4⁴, 16², 20⁴, 80²</t>
        </is>
      </c>
      <c r="J5815" t="n">
        <v>12</v>
      </c>
      <c r="K5815" t="inlineStr">
        <is>
          <t>1⁴, 2², 4⁶, 8¹, 16²</t>
        </is>
      </c>
      <c r="L5815" t="inlineStr">
        <is>
          <t>80J⁷, 40N⁹, 80I⁹</t>
        </is>
      </c>
      <c r="M5815" t="inlineStr"/>
      <c r="N5815" t="inlineStr">
        <is>
          <t>80I⁹, 20E¹, 16E⁰, 40N⁹, 40H³, 8D⁰, 4C⁰, 5B⁰, 80J⁷, 10C⁰, 2B⁰, 40B⁵, 20K³, 1A⁰</t>
        </is>
      </c>
      <c r="O5815" t="inlineStr"/>
    </row>
    <row r="5816">
      <c r="A5816">
        <f>HYPERLINK("https://mathstats.uncg.edu/sites/pauli/congruence/csg19.html#group80S19", "80S¹⁹")</f>
        <v/>
      </c>
      <c r="B5816" t="n">
        <v>19</v>
      </c>
      <c r="C5816" t="inlineStr"/>
      <c r="D5816" t="inlineStr">
        <is>
          <t>288</t>
        </is>
      </c>
      <c r="E5816" t="inlineStr">
        <is>
          <t>1</t>
        </is>
      </c>
      <c r="F5816" t="inlineStr">
        <is>
          <t>72</t>
        </is>
      </c>
      <c r="G5816" t="inlineStr">
        <is>
          <t>0</t>
        </is>
      </c>
      <c r="H5816" t="inlineStr">
        <is>
          <t>0</t>
        </is>
      </c>
      <c r="I5816" t="inlineStr">
        <is>
          <t>4⁴, 16², 20⁴, 80²</t>
        </is>
      </c>
      <c r="J5816" t="n">
        <v>12</v>
      </c>
      <c r="K5816" t="inlineStr">
        <is>
          <t>1⁴, 2², 4⁶, 8¹, 16²</t>
        </is>
      </c>
      <c r="L5816" t="inlineStr">
        <is>
          <t>16D², 80J⁷, 40P⁹, 80J⁹</t>
        </is>
      </c>
      <c r="M5816" t="inlineStr"/>
      <c r="N5816" t="inlineStr">
        <is>
          <t>16D², 20E¹, 8A¹, 40H³, 8D⁰, 80J⁹, 4C⁰, 5B⁰, 80J⁷, 40C⁵, 2B⁰, 1A⁰, 20B¹, 40P⁹, 16E⁰, 8C¹, 4A⁰, 16C¹, 10C⁰, 4F⁰, 20L³</t>
        </is>
      </c>
      <c r="O5816" t="inlineStr"/>
    </row>
    <row r="5817">
      <c r="A5817">
        <f>HYPERLINK("https://mathstats.uncg.edu/sites/pauli/congruence/csg19.html#group80T19", "80T¹⁹")</f>
        <v/>
      </c>
      <c r="B5817" t="n">
        <v>19</v>
      </c>
      <c r="C5817" t="inlineStr"/>
      <c r="D5817" t="inlineStr">
        <is>
          <t>288</t>
        </is>
      </c>
      <c r="E5817" t="inlineStr">
        <is>
          <t>1</t>
        </is>
      </c>
      <c r="F5817" t="inlineStr">
        <is>
          <t>72</t>
        </is>
      </c>
      <c r="G5817" t="inlineStr">
        <is>
          <t>0</t>
        </is>
      </c>
      <c r="H5817" t="inlineStr">
        <is>
          <t>0</t>
        </is>
      </c>
      <c r="I5817" t="inlineStr">
        <is>
          <t>4⁴, 16², 20⁴, 80²</t>
        </is>
      </c>
      <c r="J5817" t="n">
        <v>12</v>
      </c>
      <c r="K5817" t="inlineStr">
        <is>
          <t>1⁸, 2⁴, 4⁶, 8², 16¹</t>
        </is>
      </c>
      <c r="L5817" t="inlineStr">
        <is>
          <t>40O⁷</t>
        </is>
      </c>
      <c r="M5817" t="inlineStr"/>
      <c r="N5817" t="inlineStr">
        <is>
          <t>20H³, 10G⁰, 40F³, 40O⁷, 5B⁰, 10C⁰, 40E³, 20D¹, 8C⁰, 2B⁰, 4B⁰, 1A⁰, 20C², 10B⁰</t>
        </is>
      </c>
      <c r="O5817" t="inlineStr"/>
    </row>
    <row r="5818">
      <c r="A5818">
        <f>HYPERLINK("https://mathstats.uncg.edu/sites/pauli/congruence/csg19.html#group80U19", "80U¹⁹")</f>
        <v/>
      </c>
      <c r="B5818" t="n">
        <v>19</v>
      </c>
      <c r="C5818" t="inlineStr"/>
      <c r="D5818" t="inlineStr">
        <is>
          <t>288</t>
        </is>
      </c>
      <c r="E5818" t="inlineStr">
        <is>
          <t>1</t>
        </is>
      </c>
      <c r="F5818" t="inlineStr">
        <is>
          <t>72</t>
        </is>
      </c>
      <c r="G5818" t="inlineStr">
        <is>
          <t>8</t>
        </is>
      </c>
      <c r="H5818" t="inlineStr">
        <is>
          <t>0</t>
        </is>
      </c>
      <c r="I5818" t="inlineStr">
        <is>
          <t>8², 16², 40², 80²</t>
        </is>
      </c>
      <c r="J5818" t="n">
        <v>8</v>
      </c>
      <c r="K5818" t="inlineStr">
        <is>
          <t>2¹², 8⁶</t>
        </is>
      </c>
      <c r="L5818" t="inlineStr">
        <is>
          <t>40S⁷, 80K⁹</t>
        </is>
      </c>
      <c r="M5818" t="inlineStr"/>
      <c r="N5818" t="inlineStr">
        <is>
          <t>20E¹, 40H³, 8D⁰, 80K⁹, 4C⁰, 8B⁰, 5B⁰, 2B⁰, 1A⁰, 40S⁷, 20B¹, 8H⁰, 4A⁰, 10C⁰, 4F⁰, 40D³, 20L³</t>
        </is>
      </c>
      <c r="O5818" t="inlineStr"/>
    </row>
    <row r="5819">
      <c r="A5819">
        <f>HYPERLINK("https://mathstats.uncg.edu/sites/pauli/congruence/csg19.html#group80V19", "80V¹⁹")</f>
        <v/>
      </c>
      <c r="B5819" t="n">
        <v>19</v>
      </c>
      <c r="C5819" t="inlineStr"/>
      <c r="D5819" t="inlineStr">
        <is>
          <t>288</t>
        </is>
      </c>
      <c r="E5819" t="inlineStr">
        <is>
          <t>1</t>
        </is>
      </c>
      <c r="F5819" t="inlineStr">
        <is>
          <t>72</t>
        </is>
      </c>
      <c r="G5819" t="inlineStr">
        <is>
          <t>8</t>
        </is>
      </c>
      <c r="H5819" t="inlineStr">
        <is>
          <t>0</t>
        </is>
      </c>
      <c r="I5819" t="inlineStr">
        <is>
          <t>8², 16², 40², 80²</t>
        </is>
      </c>
      <c r="J5819" t="n">
        <v>8</v>
      </c>
      <c r="K5819" t="inlineStr">
        <is>
          <t>2¹², 8⁶</t>
        </is>
      </c>
      <c r="L5819" t="inlineStr">
        <is>
          <t>16E², 40S⁷, 80L⁹</t>
        </is>
      </c>
      <c r="M5819" t="inlineStr"/>
      <c r="N5819" t="inlineStr">
        <is>
          <t>20E¹, 40H³, 8D⁰, 4C⁰, 8B⁰, 5B⁰, 2B⁰, 1A⁰, 16E², 40S⁷, 20B¹, 8H⁰, 16D¹, 80L⁹, 4A⁰, 10C⁰, 4F⁰, 40D³, 20L³</t>
        </is>
      </c>
      <c r="O5819" t="inlineStr"/>
    </row>
    <row r="5820">
      <c r="A5820">
        <f>HYPERLINK("https://mathstats.uncg.edu/sites/pauli/congruence/csg19.html#group80W19", "80W¹⁹")</f>
        <v/>
      </c>
      <c r="B5820" t="n">
        <v>19</v>
      </c>
      <c r="C5820" t="inlineStr"/>
      <c r="D5820" t="inlineStr">
        <is>
          <t>288</t>
        </is>
      </c>
      <c r="E5820" t="inlineStr">
        <is>
          <t>2</t>
        </is>
      </c>
      <c r="F5820" t="inlineStr">
        <is>
          <t>36</t>
        </is>
      </c>
      <c r="G5820" t="inlineStr">
        <is>
          <t>8</t>
        </is>
      </c>
      <c r="H5820" t="inlineStr">
        <is>
          <t>0</t>
        </is>
      </c>
      <c r="I5820" t="inlineStr">
        <is>
          <t>8², 16², 40², 80²</t>
        </is>
      </c>
      <c r="J5820" t="n">
        <v>8</v>
      </c>
      <c r="K5820" t="inlineStr">
        <is>
          <t>2¹², 8⁶</t>
        </is>
      </c>
      <c r="L5820" t="inlineStr">
        <is>
          <t>40P⁷, 80M⁹, 80P⁹</t>
        </is>
      </c>
      <c r="M5820" t="inlineStr"/>
      <c r="N5820" t="inlineStr">
        <is>
          <t>40C³, 20E¹, 80P⁹, 80M⁹, 40H³, 8D⁰, 4C⁰, 5B⁰, 10C⁰, 2B⁰, 20K³, 1A⁰, 40P⁷</t>
        </is>
      </c>
      <c r="O5820" t="inlineStr"/>
    </row>
    <row r="5821">
      <c r="A5821">
        <f>HYPERLINK("https://mathstats.uncg.edu/sites/pauli/congruence/csg19.html#group80X19", "80X¹⁹")</f>
        <v/>
      </c>
      <c r="B5821" t="n">
        <v>19</v>
      </c>
      <c r="C5821" t="inlineStr"/>
      <c r="D5821" t="inlineStr">
        <is>
          <t>288</t>
        </is>
      </c>
      <c r="E5821" t="inlineStr">
        <is>
          <t>2</t>
        </is>
      </c>
      <c r="F5821" t="inlineStr">
        <is>
          <t>36</t>
        </is>
      </c>
      <c r="G5821" t="inlineStr">
        <is>
          <t>8</t>
        </is>
      </c>
      <c r="H5821" t="inlineStr">
        <is>
          <t>0</t>
        </is>
      </c>
      <c r="I5821" t="inlineStr">
        <is>
          <t>8², 16², 40², 80²</t>
        </is>
      </c>
      <c r="J5821" t="n">
        <v>8</v>
      </c>
      <c r="K5821" t="inlineStr">
        <is>
          <t>2¹², 8⁶</t>
        </is>
      </c>
      <c r="L5821" t="inlineStr">
        <is>
          <t>40P⁷, 80N⁹, 80P⁹</t>
        </is>
      </c>
      <c r="M5821" t="inlineStr"/>
      <c r="N5821" t="inlineStr">
        <is>
          <t>40C³, 20E¹, 80P⁹, 40H³, 8D⁰, 4C⁰, 5B⁰, 10C⁰, 2B⁰, 80N⁹, 20K³, 1A⁰, 40P⁷</t>
        </is>
      </c>
      <c r="O5821" t="inlineStr"/>
    </row>
    <row r="5822">
      <c r="A5822">
        <f>HYPERLINK("https://mathstats.uncg.edu/sites/pauli/congruence/csg19.html#group80Y19", "80Y¹⁹")</f>
        <v/>
      </c>
      <c r="B5822" t="n">
        <v>19</v>
      </c>
      <c r="C5822" t="inlineStr"/>
      <c r="D5822" t="inlineStr">
        <is>
          <t>288</t>
        </is>
      </c>
      <c r="E5822" t="inlineStr">
        <is>
          <t>2</t>
        </is>
      </c>
      <c r="F5822" t="inlineStr">
        <is>
          <t>36</t>
        </is>
      </c>
      <c r="G5822" t="inlineStr">
        <is>
          <t>8</t>
        </is>
      </c>
      <c r="H5822" t="inlineStr">
        <is>
          <t>0</t>
        </is>
      </c>
      <c r="I5822" t="inlineStr">
        <is>
          <t>8², 16², 40², 80²</t>
        </is>
      </c>
      <c r="J5822" t="n">
        <v>8</v>
      </c>
      <c r="K5822" t="inlineStr">
        <is>
          <t>2¹², 8⁶</t>
        </is>
      </c>
      <c r="L5822" t="inlineStr">
        <is>
          <t>40R⁷, 80M⁹, 80P⁹</t>
        </is>
      </c>
      <c r="M5822" t="inlineStr"/>
      <c r="N5822" t="inlineStr">
        <is>
          <t>40C³, 20E¹, 80P⁹, 80M⁹, 4A⁰, 4C⁰, 5B⁰, 10C⁰, 40R⁷, 2B⁰, 4F⁰, 1A⁰, 20B¹, 20L³, 40G³</t>
        </is>
      </c>
      <c r="O5822" t="inlineStr"/>
    </row>
    <row r="5823">
      <c r="A5823">
        <f>HYPERLINK("https://mathstats.uncg.edu/sites/pauli/congruence/csg19.html#group80Z19", "80Z¹⁹")</f>
        <v/>
      </c>
      <c r="B5823" t="n">
        <v>19</v>
      </c>
      <c r="C5823" t="inlineStr"/>
      <c r="D5823" t="inlineStr">
        <is>
          <t>288</t>
        </is>
      </c>
      <c r="E5823" t="inlineStr">
        <is>
          <t>2</t>
        </is>
      </c>
      <c r="F5823" t="inlineStr">
        <is>
          <t>36</t>
        </is>
      </c>
      <c r="G5823" t="inlineStr">
        <is>
          <t>8</t>
        </is>
      </c>
      <c r="H5823" t="inlineStr">
        <is>
          <t>0</t>
        </is>
      </c>
      <c r="I5823" t="inlineStr">
        <is>
          <t>8², 16², 40², 80²</t>
        </is>
      </c>
      <c r="J5823" t="n">
        <v>8</v>
      </c>
      <c r="K5823" t="inlineStr">
        <is>
          <t>2¹², 8⁶</t>
        </is>
      </c>
      <c r="L5823" t="inlineStr">
        <is>
          <t>40R⁷, 80N⁹, 80P⁹</t>
        </is>
      </c>
      <c r="M5823" t="inlineStr"/>
      <c r="N5823" t="inlineStr">
        <is>
          <t>20E¹, 80P⁹, 4C⁰, 5B⁰, 2B⁰, 80N⁹, 1A⁰, 20B¹, 40C³, 4A⁰, 10C⁰, 40R⁷, 4F⁰, 20L³, 40G³</t>
        </is>
      </c>
      <c r="O5823" t="inlineStr"/>
    </row>
    <row r="5824">
      <c r="A5824">
        <f>HYPERLINK("https://mathstats.uncg.edu/sites/pauli/congruence/csg19.html#group80AA19", "80AA¹⁹")</f>
        <v/>
      </c>
      <c r="B5824" t="n">
        <v>19</v>
      </c>
      <c r="C5824" t="inlineStr"/>
      <c r="D5824" t="inlineStr">
        <is>
          <t>288</t>
        </is>
      </c>
      <c r="E5824" t="inlineStr">
        <is>
          <t>2</t>
        </is>
      </c>
      <c r="F5824" t="inlineStr">
        <is>
          <t>72</t>
        </is>
      </c>
      <c r="G5824" t="inlineStr">
        <is>
          <t>8</t>
        </is>
      </c>
      <c r="H5824" t="inlineStr">
        <is>
          <t>0</t>
        </is>
      </c>
      <c r="I5824" t="inlineStr">
        <is>
          <t>8², 16², 40², 80²</t>
        </is>
      </c>
      <c r="J5824" t="n">
        <v>8</v>
      </c>
      <c r="K5824" t="inlineStr">
        <is>
          <t>2¹⁶, 4⁴, 8⁸, 16²</t>
        </is>
      </c>
      <c r="L5824" t="inlineStr">
        <is>
          <t>40Q⁷, 80K⁹, 80L⁹</t>
        </is>
      </c>
      <c r="M5824" t="inlineStr"/>
      <c r="N5824" t="inlineStr">
        <is>
          <t>20E¹, 40D³, 16D¹, 80L⁹, 40Q⁷, 80K⁹, 4C⁰, 8B⁰, 5B⁰, 10C⁰, 2B⁰, 20K³, 1A⁰, 40G³</t>
        </is>
      </c>
      <c r="O5824" t="inlineStr"/>
    </row>
    <row r="5825">
      <c r="A5825">
        <f>HYPERLINK("https://mathstats.uncg.edu/sites/pauli/congruence/csg19.html#group80AB19", "80AB¹⁹")</f>
        <v/>
      </c>
      <c r="B5825" t="n">
        <v>19</v>
      </c>
      <c r="C5825" t="inlineStr"/>
      <c r="D5825" t="inlineStr">
        <is>
          <t>288</t>
        </is>
      </c>
      <c r="E5825" t="inlineStr">
        <is>
          <t>2</t>
        </is>
      </c>
      <c r="F5825" t="inlineStr">
        <is>
          <t>72</t>
        </is>
      </c>
      <c r="G5825" t="inlineStr">
        <is>
          <t>8</t>
        </is>
      </c>
      <c r="H5825" t="inlineStr">
        <is>
          <t>0</t>
        </is>
      </c>
      <c r="I5825" t="inlineStr">
        <is>
          <t>8², 16², 40², 80²</t>
        </is>
      </c>
      <c r="J5825" t="n">
        <v>8</v>
      </c>
      <c r="K5825" t="inlineStr">
        <is>
          <t>2¹⁶, 4⁴, 8⁸, 16²</t>
        </is>
      </c>
      <c r="L5825" t="inlineStr">
        <is>
          <t>40AA⁷, 80G⁹, 80L⁹</t>
        </is>
      </c>
      <c r="M5825" t="inlineStr"/>
      <c r="N5825" t="inlineStr">
        <is>
          <t>20E¹, 40D³, 40AA⁷, 80L⁹, 16D¹, 4C⁰, 8B⁰, 5B⁰, 10C⁰, 2B⁰, 1A⁰, 80G⁹</t>
        </is>
      </c>
      <c r="O5825" t="inlineStr"/>
    </row>
    <row r="5826">
      <c r="A5826">
        <f>HYPERLINK("https://mathstats.uncg.edu/sites/pauli/congruence/csg19.html#group80AC19", "80AC¹⁹")</f>
        <v/>
      </c>
      <c r="B5826" t="n">
        <v>19</v>
      </c>
      <c r="C5826" t="inlineStr"/>
      <c r="D5826" t="inlineStr">
        <is>
          <t>288</t>
        </is>
      </c>
      <c r="E5826" t="inlineStr">
        <is>
          <t>2</t>
        </is>
      </c>
      <c r="F5826" t="inlineStr">
        <is>
          <t>72</t>
        </is>
      </c>
      <c r="G5826" t="inlineStr">
        <is>
          <t>8</t>
        </is>
      </c>
      <c r="H5826" t="inlineStr">
        <is>
          <t>0</t>
        </is>
      </c>
      <c r="I5826" t="inlineStr">
        <is>
          <t>8², 16², 40², 80²</t>
        </is>
      </c>
      <c r="J5826" t="n">
        <v>8</v>
      </c>
      <c r="K5826" t="inlineStr">
        <is>
          <t>2¹⁶, 4⁴, 8⁸, 16²</t>
        </is>
      </c>
      <c r="L5826" t="inlineStr">
        <is>
          <t>40AA⁷, 80H⁹, 80K⁹</t>
        </is>
      </c>
      <c r="M5826" t="inlineStr"/>
      <c r="N5826" t="inlineStr">
        <is>
          <t>20E¹, 40D³, 40AA⁷, 80H⁹, 80K⁹, 4C⁰, 8B⁰, 5B⁰, 10C⁰, 16B¹, 2B⁰, 1A⁰</t>
        </is>
      </c>
      <c r="O5826" t="inlineStr"/>
    </row>
    <row r="5827">
      <c r="A5827">
        <f>HYPERLINK("https://mathstats.uncg.edu/sites/pauli/congruence/csg19.html#group80AD19", "80AD¹⁹")</f>
        <v/>
      </c>
      <c r="B5827" t="n">
        <v>19</v>
      </c>
      <c r="C5827" t="inlineStr"/>
      <c r="D5827" t="inlineStr">
        <is>
          <t>288</t>
        </is>
      </c>
      <c r="E5827" t="inlineStr">
        <is>
          <t>2</t>
        </is>
      </c>
      <c r="F5827" t="inlineStr">
        <is>
          <t>72</t>
        </is>
      </c>
      <c r="G5827" t="inlineStr">
        <is>
          <t>8</t>
        </is>
      </c>
      <c r="H5827" t="inlineStr">
        <is>
          <t>0</t>
        </is>
      </c>
      <c r="I5827" t="inlineStr">
        <is>
          <t>8², 16², 40², 80²</t>
        </is>
      </c>
      <c r="J5827" t="n">
        <v>8</v>
      </c>
      <c r="K5827" t="inlineStr">
        <is>
          <t>2¹⁶, 4⁴, 8⁸, 16²</t>
        </is>
      </c>
      <c r="L5827" t="inlineStr">
        <is>
          <t>40AB⁷, 80G⁹, 80K⁹</t>
        </is>
      </c>
      <c r="M5827" t="inlineStr"/>
      <c r="N5827" t="inlineStr">
        <is>
          <t>20E¹, 40D³, 80K⁹, 4C⁰, 8B⁰, 5B⁰, 10C⁰, 8L⁰, 2B⁰, 1A⁰, 40AB⁷, 80G⁹</t>
        </is>
      </c>
      <c r="O5827" t="inlineStr"/>
    </row>
    <row r="5828">
      <c r="A5828">
        <f>HYPERLINK("https://mathstats.uncg.edu/sites/pauli/congruence/csg19.html#group80AE19", "80AE¹⁹")</f>
        <v/>
      </c>
      <c r="B5828" t="n">
        <v>19</v>
      </c>
      <c r="C5828" t="inlineStr"/>
      <c r="D5828" t="inlineStr">
        <is>
          <t>288</t>
        </is>
      </c>
      <c r="E5828" t="inlineStr">
        <is>
          <t>2</t>
        </is>
      </c>
      <c r="F5828" t="inlineStr">
        <is>
          <t>72</t>
        </is>
      </c>
      <c r="G5828" t="inlineStr">
        <is>
          <t>8</t>
        </is>
      </c>
      <c r="H5828" t="inlineStr">
        <is>
          <t>0</t>
        </is>
      </c>
      <c r="I5828" t="inlineStr">
        <is>
          <t>8², 16², 40², 80²</t>
        </is>
      </c>
      <c r="J5828" t="n">
        <v>8</v>
      </c>
      <c r="K5828" t="inlineStr">
        <is>
          <t>2¹⁶, 4⁴, 8⁸, 16²</t>
        </is>
      </c>
      <c r="L5828" t="inlineStr">
        <is>
          <t>16F², 40AB⁷, 80H⁹, 80L⁹</t>
        </is>
      </c>
      <c r="M5828" t="inlineStr"/>
      <c r="N5828" t="inlineStr">
        <is>
          <t>20E¹, 4C⁰, 8B⁰, 5B⁰, 16B¹, 8L⁰, 2B⁰, 1A⁰, 16D¹, 80L⁹, 16F², 80H⁹, 10C⁰, 40D³, 40AB⁷</t>
        </is>
      </c>
      <c r="O5828" t="inlineStr"/>
    </row>
    <row r="5829">
      <c r="A5829">
        <f>HYPERLINK("https://mathstats.uncg.edu/sites/pauli/congruence/csg19.html#group81A19", "81A¹⁹")</f>
        <v/>
      </c>
      <c r="B5829" t="n">
        <v>19</v>
      </c>
      <c r="C5829" t="inlineStr"/>
      <c r="D5829" t="inlineStr">
        <is>
          <t>324</t>
        </is>
      </c>
      <c r="E5829" t="inlineStr">
        <is>
          <t>1</t>
        </is>
      </c>
      <c r="F5829" t="inlineStr">
        <is>
          <t>12</t>
        </is>
      </c>
      <c r="G5829" t="inlineStr">
        <is>
          <t>0</t>
        </is>
      </c>
      <c r="H5829" t="inlineStr">
        <is>
          <t>0</t>
        </is>
      </c>
      <c r="I5829" t="inlineStr">
        <is>
          <t>3⁹, 9⁶, 81³</t>
        </is>
      </c>
      <c r="J5829" t="n">
        <v>18</v>
      </c>
      <c r="K5829" t="inlineStr">
        <is>
          <t>1², 2², 6¹</t>
        </is>
      </c>
      <c r="L5829" t="inlineStr">
        <is>
          <t>27C¹, 81A⁷</t>
        </is>
      </c>
      <c r="M5829" t="inlineStr"/>
      <c r="N5829" t="inlineStr">
        <is>
          <t>3B⁰, 27A¹, 27C¹, 9B⁰, 9I⁰, 27A⁰, 81A⁷, 1A⁰</t>
        </is>
      </c>
      <c r="O5829" t="inlineStr"/>
    </row>
    <row r="5830">
      <c r="A5830">
        <f>HYPERLINK("https://mathstats.uncg.edu/sites/pauli/congruence/csg19.html#group81B19", "81B¹⁹")</f>
        <v/>
      </c>
      <c r="B5830" t="n">
        <v>19</v>
      </c>
      <c r="C5830" t="inlineStr"/>
      <c r="D5830" t="inlineStr">
        <is>
          <t>324</t>
        </is>
      </c>
      <c r="E5830" t="inlineStr">
        <is>
          <t>1</t>
        </is>
      </c>
      <c r="F5830" t="inlineStr">
        <is>
          <t>12</t>
        </is>
      </c>
      <c r="G5830" t="inlineStr">
        <is>
          <t>0</t>
        </is>
      </c>
      <c r="H5830" t="inlineStr">
        <is>
          <t>0</t>
        </is>
      </c>
      <c r="I5830" t="inlineStr">
        <is>
          <t>3⁹, 9⁶, 81³</t>
        </is>
      </c>
      <c r="J5830" t="n">
        <v>18</v>
      </c>
      <c r="K5830" t="inlineStr">
        <is>
          <t>1², 2², 6¹</t>
        </is>
      </c>
      <c r="L5830" t="inlineStr">
        <is>
          <t>27C¹, 81B⁷</t>
        </is>
      </c>
      <c r="M5830" t="inlineStr"/>
      <c r="N5830" t="inlineStr">
        <is>
          <t>3B⁰, 27A¹, 27C¹, 81B⁷, 9B⁰, 9I⁰, 27A⁰, 1A⁰</t>
        </is>
      </c>
      <c r="O5830" t="inlineStr"/>
    </row>
    <row r="5831">
      <c r="A5831">
        <f>HYPERLINK("https://mathstats.uncg.edu/sites/pauli/congruence/csg19.html#group81C19", "81C¹⁹")</f>
        <v/>
      </c>
      <c r="B5831" t="n">
        <v>19</v>
      </c>
      <c r="C5831" t="inlineStr"/>
      <c r="D5831" t="inlineStr">
        <is>
          <t>324</t>
        </is>
      </c>
      <c r="E5831" t="inlineStr">
        <is>
          <t>1</t>
        </is>
      </c>
      <c r="F5831" t="inlineStr">
        <is>
          <t>36</t>
        </is>
      </c>
      <c r="G5831" t="inlineStr">
        <is>
          <t>0</t>
        </is>
      </c>
      <c r="H5831" t="inlineStr">
        <is>
          <t>0</t>
        </is>
      </c>
      <c r="I5831" t="inlineStr">
        <is>
          <t>3⁹, 9⁶, 81³</t>
        </is>
      </c>
      <c r="J5831" t="n">
        <v>18</v>
      </c>
      <c r="K5831" t="inlineStr">
        <is>
          <t>1², 2², 6², 18¹</t>
        </is>
      </c>
      <c r="L5831" t="inlineStr">
        <is>
          <t>27C⁴, 81A⁴, 81A⁷, 81B⁷</t>
        </is>
      </c>
      <c r="M5831" t="inlineStr"/>
      <c r="N5831" t="inlineStr">
        <is>
          <t>3B⁰, 27A², 27C⁴, 9B⁰, 81A⁴, 9C⁰, 1A⁰, 27A¹, 9A¹, 81B⁷, 27A⁰, 3C⁰, 9C¹, 81A⁷, 3A⁰, 3D⁰</t>
        </is>
      </c>
      <c r="O5831" t="inlineStr"/>
    </row>
    <row r="5832">
      <c r="A5832">
        <f>HYPERLINK("https://mathstats.uncg.edu/sites/pauli/congruence/csg19.html#group81D19", "81D¹⁹")</f>
        <v/>
      </c>
      <c r="B5832" t="n">
        <v>19</v>
      </c>
      <c r="C5832" t="inlineStr"/>
      <c r="D5832" t="inlineStr">
        <is>
          <t>324</t>
        </is>
      </c>
      <c r="E5832" t="inlineStr">
        <is>
          <t>1</t>
        </is>
      </c>
      <c r="F5832" t="inlineStr">
        <is>
          <t>36</t>
        </is>
      </c>
      <c r="G5832" t="inlineStr">
        <is>
          <t>0</t>
        </is>
      </c>
      <c r="H5832" t="inlineStr">
        <is>
          <t>18</t>
        </is>
      </c>
      <c r="I5832" t="inlineStr">
        <is>
          <t>27³, 81³</t>
        </is>
      </c>
      <c r="J5832" t="n">
        <v>6</v>
      </c>
      <c r="K5832" t="inlineStr">
        <is>
          <t>3², 6⁵</t>
        </is>
      </c>
      <c r="L5832" t="inlineStr">
        <is>
          <t>27D⁴</t>
        </is>
      </c>
      <c r="M5832" t="inlineStr"/>
      <c r="N5832" t="inlineStr">
        <is>
          <t>9C⁰, 3B⁰, 27B¹, 9J⁰, 27D⁴, 27B², 1A⁰</t>
        </is>
      </c>
      <c r="O5832" t="inlineStr"/>
    </row>
    <row r="5833">
      <c r="A5833">
        <f>HYPERLINK("https://mathstats.uncg.edu/sites/pauli/congruence/csg19.html#group81E19", "81E¹⁹")</f>
        <v/>
      </c>
      <c r="B5833" t="n">
        <v>19</v>
      </c>
      <c r="C5833" t="inlineStr"/>
      <c r="D5833" t="inlineStr">
        <is>
          <t>324</t>
        </is>
      </c>
      <c r="E5833" t="inlineStr">
        <is>
          <t>2</t>
        </is>
      </c>
      <c r="F5833" t="inlineStr">
        <is>
          <t>36</t>
        </is>
      </c>
      <c r="G5833" t="inlineStr">
        <is>
          <t>0</t>
        </is>
      </c>
      <c r="H5833" t="inlineStr">
        <is>
          <t>0</t>
        </is>
      </c>
      <c r="I5833" t="inlineStr">
        <is>
          <t>3⁹, 9⁶, 81³</t>
        </is>
      </c>
      <c r="J5833" t="n">
        <v>18</v>
      </c>
      <c r="K5833" t="inlineStr">
        <is>
          <t>2⁶, 6⁴, 18²</t>
        </is>
      </c>
      <c r="L5833" t="inlineStr">
        <is>
          <t>27B⁴, 81A⁴, 81A⁷, 81B⁷</t>
        </is>
      </c>
      <c r="M5833" t="inlineStr"/>
      <c r="N5833" t="inlineStr">
        <is>
          <t>27B⁴, 3B⁰, 27A¹, 27A², 81B⁷, 9I⁰, 81A⁴, 9B⁰, 81A⁷, 1A⁰</t>
        </is>
      </c>
      <c r="O5833" t="inlineStr"/>
    </row>
    <row r="5834">
      <c r="A5834">
        <f>HYPERLINK("https://mathstats.uncg.edu/sites/pauli/congruence/csg19.html#group82A19", "82A¹⁹")</f>
        <v/>
      </c>
      <c r="B5834" t="n">
        <v>19</v>
      </c>
      <c r="C5834" t="inlineStr"/>
      <c r="D5834" t="inlineStr">
        <is>
          <t>252</t>
        </is>
      </c>
      <c r="E5834" t="inlineStr">
        <is>
          <t>1</t>
        </is>
      </c>
      <c r="F5834" t="inlineStr">
        <is>
          <t>42</t>
        </is>
      </c>
      <c r="G5834" t="inlineStr">
        <is>
          <t>0</t>
        </is>
      </c>
      <c r="H5834" t="inlineStr">
        <is>
          <t>0</t>
        </is>
      </c>
      <c r="I5834" t="inlineStr">
        <is>
          <t>2³, 82³</t>
        </is>
      </c>
      <c r="J5834" t="n">
        <v>6</v>
      </c>
      <c r="K5834" t="inlineStr">
        <is>
          <t>1², 40¹</t>
        </is>
      </c>
      <c r="L5834" t="inlineStr">
        <is>
          <t>2C⁰, 82B⁷, 82A⁹</t>
        </is>
      </c>
      <c r="M5834" t="inlineStr"/>
      <c r="N5834" t="inlineStr">
        <is>
          <t>2A⁰, 82A⁹, 2B⁰, 41A³, 1A⁰, 2C⁰, 82B⁷</t>
        </is>
      </c>
      <c r="O5834" t="inlineStr"/>
    </row>
    <row r="5835">
      <c r="A5835">
        <f>HYPERLINK("https://mathstats.uncg.edu/sites/pauli/congruence/csg19.html#group82B19", "82B¹⁹")</f>
        <v/>
      </c>
      <c r="B5835" t="n">
        <v>19</v>
      </c>
      <c r="C5835" t="inlineStr"/>
      <c r="D5835" t="inlineStr">
        <is>
          <t>252</t>
        </is>
      </c>
      <c r="E5835" t="inlineStr">
        <is>
          <t>1</t>
        </is>
      </c>
      <c r="F5835" t="inlineStr">
        <is>
          <t>126</t>
        </is>
      </c>
      <c r="G5835" t="inlineStr">
        <is>
          <t>0</t>
        </is>
      </c>
      <c r="H5835" t="inlineStr">
        <is>
          <t>0</t>
        </is>
      </c>
      <c r="I5835" t="inlineStr">
        <is>
          <t>2³, 82³</t>
        </is>
      </c>
      <c r="J5835" t="n">
        <v>6</v>
      </c>
      <c r="K5835" t="inlineStr">
        <is>
          <t>1⁶, 40³</t>
        </is>
      </c>
      <c r="L5835" t="inlineStr">
        <is>
          <t>82A⁷, 82A⁹</t>
        </is>
      </c>
      <c r="M5835" t="inlineStr"/>
      <c r="N5835" t="inlineStr">
        <is>
          <t>82A⁹, 82A⁷, 2B⁰, 41A³, 1A⁰</t>
        </is>
      </c>
      <c r="O5835" t="inlineStr"/>
    </row>
    <row r="5836">
      <c r="A5836">
        <f>HYPERLINK("https://mathstats.uncg.edu/sites/pauli/congruence/csg19.html#group84A19", "84A¹⁹")</f>
        <v/>
      </c>
      <c r="B5836" t="n">
        <v>19</v>
      </c>
      <c r="C5836" t="inlineStr"/>
      <c r="D5836" t="inlineStr">
        <is>
          <t>252</t>
        </is>
      </c>
      <c r="E5836" t="inlineStr">
        <is>
          <t>2</t>
        </is>
      </c>
      <c r="F5836" t="inlineStr">
        <is>
          <t>21</t>
        </is>
      </c>
      <c r="G5836" t="inlineStr">
        <is>
          <t>0</t>
        </is>
      </c>
      <c r="H5836" t="inlineStr">
        <is>
          <t>0</t>
        </is>
      </c>
      <c r="I5836" t="inlineStr">
        <is>
          <t>21⁴, 84²</t>
        </is>
      </c>
      <c r="J5836" t="n">
        <v>6</v>
      </c>
      <c r="K5836" t="inlineStr">
        <is>
          <t>2³, 6⁶</t>
        </is>
      </c>
      <c r="L5836" t="inlineStr">
        <is>
          <t>28A⁵, 84B⁷, 42A⁸, 84A¹⁰</t>
        </is>
      </c>
      <c r="M5836" t="inlineStr"/>
      <c r="N5836" t="inlineStr">
        <is>
          <t>84A¹⁰, 14B¹, 21C², 21A⁰, 28A³, 2B⁰, 42A⁸, 4B⁰, 28A⁵, 1A⁰, 84B⁷, 14A², 7C⁰, 6D⁰, 12B¹, 3A⁰, 42C³, 28B², 7A⁰</t>
        </is>
      </c>
      <c r="O5836" t="inlineStr"/>
    </row>
    <row r="5837">
      <c r="A5837">
        <f>HYPERLINK("https://mathstats.uncg.edu/sites/pauli/congruence/csg19.html#group84B19", "84B¹⁹")</f>
        <v/>
      </c>
      <c r="B5837" t="n">
        <v>19</v>
      </c>
      <c r="C5837" t="inlineStr"/>
      <c r="D5837" t="inlineStr">
        <is>
          <t>252</t>
        </is>
      </c>
      <c r="E5837" t="inlineStr">
        <is>
          <t>2</t>
        </is>
      </c>
      <c r="F5837" t="inlineStr">
        <is>
          <t>42</t>
        </is>
      </c>
      <c r="G5837" t="inlineStr">
        <is>
          <t>0</t>
        </is>
      </c>
      <c r="H5837" t="inlineStr">
        <is>
          <t>0</t>
        </is>
      </c>
      <c r="I5837" t="inlineStr">
        <is>
          <t>21⁴, 84²</t>
        </is>
      </c>
      <c r="J5837" t="n">
        <v>6</v>
      </c>
      <c r="K5837" t="inlineStr">
        <is>
          <t>4³, 12⁶</t>
        </is>
      </c>
      <c r="L5837" t="inlineStr">
        <is>
          <t>28A⁵, 42B⁸</t>
        </is>
      </c>
      <c r="M5837" t="inlineStr"/>
      <c r="N5837" t="inlineStr">
        <is>
          <t>14A², 42B⁸, 14B¹, 4B⁰, 7C⁰, 21C¹, 28A³, 2B⁰, 28A⁵, 1A⁰, 28B², 7A⁰</t>
        </is>
      </c>
      <c r="O5837" t="inlineStr"/>
    </row>
    <row r="5838">
      <c r="A5838">
        <f>HYPERLINK("https://mathstats.uncg.edu/sites/pauli/congruence/csg19.html#group84C19", "84C¹⁹")</f>
        <v/>
      </c>
      <c r="B5838" t="n">
        <v>19</v>
      </c>
      <c r="C5838" t="inlineStr"/>
      <c r="D5838" t="inlineStr">
        <is>
          <t>252</t>
        </is>
      </c>
      <c r="E5838" t="inlineStr">
        <is>
          <t>2</t>
        </is>
      </c>
      <c r="F5838" t="inlineStr">
        <is>
          <t>63</t>
        </is>
      </c>
      <c r="G5838" t="inlineStr">
        <is>
          <t>0</t>
        </is>
      </c>
      <c r="H5838" t="inlineStr">
        <is>
          <t>0</t>
        </is>
      </c>
      <c r="I5838" t="inlineStr">
        <is>
          <t>21⁴, 84²</t>
        </is>
      </c>
      <c r="J5838" t="n">
        <v>6</v>
      </c>
      <c r="K5838" t="inlineStr">
        <is>
          <t>2³, 4³, 6⁶, 12⁶</t>
        </is>
      </c>
      <c r="L5838" t="inlineStr">
        <is>
          <t>42K⁷, 84F⁸, 84A¹⁰</t>
        </is>
      </c>
      <c r="M5838" t="inlineStr"/>
      <c r="N5838" t="inlineStr">
        <is>
          <t>84A¹⁰, 14B¹, 21D¹, 21A⁰, 42K⁷, 28A³, 2B⁰, 84F⁸, 4B⁰, 1A⁰, 12B¹, 3A⁰, 42C³, 6D⁰, 7A⁰</t>
        </is>
      </c>
      <c r="O5838" t="inlineStr"/>
    </row>
    <row r="5839">
      <c r="A5839">
        <f>HYPERLINK("https://mathstats.uncg.edu/sites/pauli/congruence/csg19.html#group84D19", "84D¹⁹")</f>
        <v/>
      </c>
      <c r="B5839" t="n">
        <v>19</v>
      </c>
      <c r="C5839" t="inlineStr"/>
      <c r="D5839" t="inlineStr">
        <is>
          <t>252</t>
        </is>
      </c>
      <c r="E5839" t="inlineStr">
        <is>
          <t>2</t>
        </is>
      </c>
      <c r="F5839" t="inlineStr">
        <is>
          <t>63</t>
        </is>
      </c>
      <c r="G5839" t="inlineStr">
        <is>
          <t>0</t>
        </is>
      </c>
      <c r="H5839" t="inlineStr">
        <is>
          <t>0</t>
        </is>
      </c>
      <c r="I5839" t="inlineStr">
        <is>
          <t>21⁴, 84²</t>
        </is>
      </c>
      <c r="J5839" t="n">
        <v>6</v>
      </c>
      <c r="K5839" t="inlineStr">
        <is>
          <t>2³, 4³, 6⁶, 12⁶</t>
        </is>
      </c>
      <c r="L5839" t="inlineStr">
        <is>
          <t>12K¹, 84C⁷, 42C⁸, 84A¹⁰</t>
        </is>
      </c>
      <c r="M5839" t="inlineStr"/>
      <c r="N5839" t="inlineStr">
        <is>
          <t>21D², 12K¹, 84A¹⁰, 14B¹, 6G⁰, 21A⁰, 28A³, 2B⁰, 4B⁰, 1A⁰, 84C⁷, 3C⁰, 42C⁸, 12B¹, 12D⁰, 3A⁰, 42C³, 6D⁰, 7A⁰</t>
        </is>
      </c>
      <c r="O5839" t="inlineStr"/>
    </row>
    <row r="5840">
      <c r="A5840">
        <f>HYPERLINK("https://mathstats.uncg.edu/sites/pauli/congruence/csg19.html#group84E19", "84E¹⁹")</f>
        <v/>
      </c>
      <c r="B5840" t="n">
        <v>19</v>
      </c>
      <c r="C5840" t="inlineStr"/>
      <c r="D5840" t="inlineStr">
        <is>
          <t>252</t>
        </is>
      </c>
      <c r="E5840" t="inlineStr">
        <is>
          <t>2</t>
        </is>
      </c>
      <c r="F5840" t="inlineStr">
        <is>
          <t>63</t>
        </is>
      </c>
      <c r="G5840" t="inlineStr">
        <is>
          <t>4</t>
        </is>
      </c>
      <c r="H5840" t="inlineStr">
        <is>
          <t>0</t>
        </is>
      </c>
      <c r="I5840" t="inlineStr">
        <is>
          <t>42², 84²</t>
        </is>
      </c>
      <c r="J5840" t="n">
        <v>4</v>
      </c>
      <c r="K5840" t="inlineStr">
        <is>
          <t>2³, 4³, 6⁶, 12⁶</t>
        </is>
      </c>
      <c r="L5840" t="inlineStr">
        <is>
          <t>42K⁷, 84B⁹, 84C⁹</t>
        </is>
      </c>
      <c r="M5840" t="inlineStr"/>
      <c r="N5840" t="inlineStr">
        <is>
          <t>12C¹, 14B¹, 21D¹, 21A⁰, 84B⁹, 42K⁷, 2B⁰, 28B³, 3A⁰, 1A⁰, 84C⁹, 6D⁰, 7A⁰, 42C³</t>
        </is>
      </c>
      <c r="O5840" t="inlineStr"/>
    </row>
    <row r="5841">
      <c r="A5841">
        <f>HYPERLINK("https://mathstats.uncg.edu/sites/pauli/congruence/csg19.html#group84F19", "84F¹⁹")</f>
        <v/>
      </c>
      <c r="B5841" t="n">
        <v>19</v>
      </c>
      <c r="C5841" t="inlineStr"/>
      <c r="D5841" t="inlineStr">
        <is>
          <t>252</t>
        </is>
      </c>
      <c r="E5841" t="inlineStr">
        <is>
          <t>2</t>
        </is>
      </c>
      <c r="F5841" t="inlineStr">
        <is>
          <t>63</t>
        </is>
      </c>
      <c r="G5841" t="inlineStr">
        <is>
          <t>4</t>
        </is>
      </c>
      <c r="H5841" t="inlineStr">
        <is>
          <t>0</t>
        </is>
      </c>
      <c r="I5841" t="inlineStr">
        <is>
          <t>42², 84²</t>
        </is>
      </c>
      <c r="J5841" t="n">
        <v>4</v>
      </c>
      <c r="K5841" t="inlineStr">
        <is>
          <t>2³, 4³, 6⁶, 12⁶</t>
        </is>
      </c>
      <c r="L5841" t="inlineStr">
        <is>
          <t>42A⁸, 84G⁸, 84C⁹</t>
        </is>
      </c>
      <c r="M5841" t="inlineStr"/>
      <c r="N5841" t="inlineStr">
        <is>
          <t>14B¹, 84G⁸, 21C², 21A⁰, 2B⁰, 42A⁸, 1A⁰, 84C⁹, 14A², 12C¹, 7C⁰, 3A⁰, 42C³, 6D⁰, 7A⁰</t>
        </is>
      </c>
      <c r="O5841" t="inlineStr"/>
    </row>
    <row r="5842">
      <c r="A5842">
        <f>HYPERLINK("https://mathstats.uncg.edu/sites/pauli/congruence/csg19.html#group84G19", "84G¹⁹")</f>
        <v/>
      </c>
      <c r="B5842" t="n">
        <v>19</v>
      </c>
      <c r="C5842" t="inlineStr"/>
      <c r="D5842" t="inlineStr">
        <is>
          <t>252</t>
        </is>
      </c>
      <c r="E5842" t="inlineStr">
        <is>
          <t>2</t>
        </is>
      </c>
      <c r="F5842" t="inlineStr">
        <is>
          <t>63</t>
        </is>
      </c>
      <c r="G5842" t="inlineStr">
        <is>
          <t>4</t>
        </is>
      </c>
      <c r="H5842" t="inlineStr">
        <is>
          <t>0</t>
        </is>
      </c>
      <c r="I5842" t="inlineStr">
        <is>
          <t>42², 84²</t>
        </is>
      </c>
      <c r="J5842" t="n">
        <v>4</v>
      </c>
      <c r="K5842" t="inlineStr">
        <is>
          <t>2³, 4³, 6⁶, 12⁶</t>
        </is>
      </c>
      <c r="L5842" t="inlineStr">
        <is>
          <t>42C⁸, 84G⁸, 84B⁹</t>
        </is>
      </c>
      <c r="M5842" t="inlineStr"/>
      <c r="N5842" t="inlineStr">
        <is>
          <t>21D², 14B¹, 84G⁸, 21A⁰, 6G⁰, 2B⁰, 1A⁰, 84B⁹, 42C⁸, 3C⁰, 28B³, 3A⁰, 42C³, 6D⁰, 7A⁰</t>
        </is>
      </c>
      <c r="O5842" t="inlineStr"/>
    </row>
    <row r="5843">
      <c r="A5843">
        <f>HYPERLINK("https://mathstats.uncg.edu/sites/pauli/congruence/csg19.html#group84H19", "84H¹⁹")</f>
        <v/>
      </c>
      <c r="B5843" t="n">
        <v>19</v>
      </c>
      <c r="C5843" t="inlineStr"/>
      <c r="D5843" t="inlineStr">
        <is>
          <t>252</t>
        </is>
      </c>
      <c r="E5843" t="inlineStr">
        <is>
          <t>2</t>
        </is>
      </c>
      <c r="F5843" t="inlineStr">
        <is>
          <t>63</t>
        </is>
      </c>
      <c r="G5843" t="inlineStr">
        <is>
          <t>4</t>
        </is>
      </c>
      <c r="H5843" t="inlineStr">
        <is>
          <t>0</t>
        </is>
      </c>
      <c r="I5843" t="inlineStr">
        <is>
          <t>42², 84²</t>
        </is>
      </c>
      <c r="J5843" t="n">
        <v>4</v>
      </c>
      <c r="K5843" t="inlineStr">
        <is>
          <t>4⁹, 12¹⁸</t>
        </is>
      </c>
      <c r="L5843" t="inlineStr">
        <is>
          <t>42D⁸, 84F⁸, 84C⁹</t>
        </is>
      </c>
      <c r="M5843" t="inlineStr"/>
      <c r="N5843" t="inlineStr">
        <is>
          <t>42A², 12C¹, 42D⁸, 14B¹, 21A⁰, 2B⁰, 84F⁸, 3A⁰, 1A⁰, 84C⁹, 6D⁰, 7A⁰, 42C³</t>
        </is>
      </c>
      <c r="O5843" t="inlineStr"/>
    </row>
    <row r="5844">
      <c r="A5844">
        <f>HYPERLINK("https://mathstats.uncg.edu/sites/pauli/congruence/csg19.html#group84I19", "84I¹⁹")</f>
        <v/>
      </c>
      <c r="B5844" t="n">
        <v>19</v>
      </c>
      <c r="C5844" t="inlineStr"/>
      <c r="D5844" t="inlineStr">
        <is>
          <t>252</t>
        </is>
      </c>
      <c r="E5844" t="inlineStr">
        <is>
          <t>2</t>
        </is>
      </c>
      <c r="F5844" t="inlineStr">
        <is>
          <t>63</t>
        </is>
      </c>
      <c r="G5844" t="inlineStr">
        <is>
          <t>4</t>
        </is>
      </c>
      <c r="H5844" t="inlineStr">
        <is>
          <t>0</t>
        </is>
      </c>
      <c r="I5844" t="inlineStr">
        <is>
          <t>42², 84²</t>
        </is>
      </c>
      <c r="J5844" t="n">
        <v>4</v>
      </c>
      <c r="K5844" t="inlineStr">
        <is>
          <t>4⁹, 12¹⁸</t>
        </is>
      </c>
      <c r="L5844" t="inlineStr">
        <is>
          <t>42D⁸, 84F⁸, 84C⁹</t>
        </is>
      </c>
      <c r="M5844" t="inlineStr"/>
      <c r="N5844" t="inlineStr">
        <is>
          <t>42A², 12C¹, 42D⁸, 14B¹, 21A⁰, 2B⁰, 84F⁸, 3A⁰, 1A⁰, 84C⁹, 6D⁰, 7A⁰, 42C³</t>
        </is>
      </c>
      <c r="O5844" t="inlineStr"/>
    </row>
    <row r="5845">
      <c r="A5845">
        <f>HYPERLINK("https://mathstats.uncg.edu/sites/pauli/congruence/csg19.html#group84J19", "84J¹⁹")</f>
        <v/>
      </c>
      <c r="B5845" t="n">
        <v>19</v>
      </c>
      <c r="C5845" t="inlineStr"/>
      <c r="D5845" t="inlineStr">
        <is>
          <t>288</t>
        </is>
      </c>
      <c r="E5845" t="inlineStr">
        <is>
          <t>1</t>
        </is>
      </c>
      <c r="F5845" t="inlineStr">
        <is>
          <t>72</t>
        </is>
      </c>
      <c r="G5845" t="inlineStr">
        <is>
          <t>0</t>
        </is>
      </c>
      <c r="H5845" t="inlineStr">
        <is>
          <t>0</t>
        </is>
      </c>
      <c r="I5845" t="inlineStr">
        <is>
          <t>3⁴, 12², 21⁴, 84²</t>
        </is>
      </c>
      <c r="J5845" t="n">
        <v>12</v>
      </c>
      <c r="K5845" t="inlineStr">
        <is>
          <t>1⁶, 2⁶, 6³, 12³</t>
        </is>
      </c>
      <c r="L5845" t="inlineStr">
        <is>
          <t>12G⁰, 42A⁹, 84C¹⁰</t>
        </is>
      </c>
      <c r="M5845" t="inlineStr"/>
      <c r="N5845" t="inlineStr">
        <is>
          <t>12G⁰, 21A², 42A⁵, 7B⁰, 84C¹⁰, 14C¹, 6G⁰, 3C⁰, 2B⁰, 12D⁰, 3A⁰, 21A³, 1A⁰, 42A⁹, 6D⁰</t>
        </is>
      </c>
      <c r="O5845" t="inlineStr"/>
    </row>
    <row r="5846">
      <c r="A5846">
        <f>HYPERLINK("https://mathstats.uncg.edu/sites/pauli/congruence/csg19.html#group84K19", "84K¹⁹")</f>
        <v/>
      </c>
      <c r="B5846" t="n">
        <v>19</v>
      </c>
      <c r="C5846" t="inlineStr"/>
      <c r="D5846" t="inlineStr">
        <is>
          <t>288</t>
        </is>
      </c>
      <c r="E5846" t="inlineStr">
        <is>
          <t>1</t>
        </is>
      </c>
      <c r="F5846" t="inlineStr">
        <is>
          <t>72</t>
        </is>
      </c>
      <c r="G5846" t="inlineStr">
        <is>
          <t>0</t>
        </is>
      </c>
      <c r="H5846" t="inlineStr">
        <is>
          <t>0</t>
        </is>
      </c>
      <c r="I5846" t="inlineStr">
        <is>
          <t>3⁴, 12², 21⁴, 84²</t>
        </is>
      </c>
      <c r="J5846" t="n">
        <v>12</v>
      </c>
      <c r="K5846" t="inlineStr">
        <is>
          <t>1⁶, 2⁶, 6³, 12³</t>
        </is>
      </c>
      <c r="L5846" t="inlineStr">
        <is>
          <t>12K¹, 42A⁹, 84B¹⁰, 84C¹⁰</t>
        </is>
      </c>
      <c r="M5846" t="inlineStr"/>
      <c r="N5846" t="inlineStr">
        <is>
          <t>12K¹, 84C¹⁰, 28D², 6G⁰, 2B⁰, 4B⁰, 1A⁰, 42A⁹, 21A³, 21A², 84B¹⁰, 42A⁵, 7B⁰, 14C¹, 3C⁰, 12B¹, 12D⁰, 3A⁰, 6D⁰</t>
        </is>
      </c>
      <c r="O5846" t="inlineStr"/>
    </row>
    <row r="5847">
      <c r="A5847">
        <f>HYPERLINK("https://mathstats.uncg.edu/sites/pauli/congruence/csg19.html#group84L19", "84L¹⁹")</f>
        <v/>
      </c>
      <c r="B5847" t="n">
        <v>19</v>
      </c>
      <c r="C5847" t="inlineStr"/>
      <c r="D5847" t="inlineStr">
        <is>
          <t>336</t>
        </is>
      </c>
      <c r="E5847" t="inlineStr">
        <is>
          <t>2</t>
        </is>
      </c>
      <c r="F5847" t="inlineStr">
        <is>
          <t>84</t>
        </is>
      </c>
      <c r="G5847" t="inlineStr">
        <is>
          <t>32</t>
        </is>
      </c>
      <c r="H5847" t="inlineStr">
        <is>
          <t>0</t>
        </is>
      </c>
      <c r="I5847" t="inlineStr">
        <is>
          <t>84⁴</t>
        </is>
      </c>
      <c r="J5847" t="n">
        <v>4</v>
      </c>
      <c r="K5847" t="inlineStr">
        <is>
          <t>4², 8², 12⁴, 24⁴</t>
        </is>
      </c>
      <c r="L5847" t="inlineStr">
        <is>
          <t>42F³, 84H⁸, 84I⁸, 84E⁹</t>
        </is>
      </c>
      <c r="M5847" t="inlineStr"/>
      <c r="N5847" t="inlineStr">
        <is>
          <t>14A⁰, 28E², 6B⁰, 42A¹, 84I⁸, 21D¹, 12F⁰, 21A⁰, 1A⁰, 84A³, 12A⁰, 84H⁸, 4A⁰, 84E⁹, 42B¹, 3A⁰, 28A¹, 42F³, 7A⁰</t>
        </is>
      </c>
      <c r="O5847" t="inlineStr"/>
    </row>
    <row r="5848">
      <c r="A5848">
        <f>HYPERLINK("https://mathstats.uncg.edu/sites/pauli/congruence/csg19.html#group85A19", "85A¹⁹")</f>
        <v/>
      </c>
      <c r="B5848" t="n">
        <v>19</v>
      </c>
      <c r="C5848" t="inlineStr"/>
      <c r="D5848" t="inlineStr">
        <is>
          <t>270</t>
        </is>
      </c>
      <c r="E5848" t="inlineStr">
        <is>
          <t>1</t>
        </is>
      </c>
      <c r="F5848" t="inlineStr">
        <is>
          <t>90</t>
        </is>
      </c>
      <c r="G5848" t="inlineStr">
        <is>
          <t>6</t>
        </is>
      </c>
      <c r="H5848" t="inlineStr">
        <is>
          <t>0</t>
        </is>
      </c>
      <c r="I5848" t="inlineStr">
        <is>
          <t>5³, 85³</t>
        </is>
      </c>
      <c r="J5848" t="n">
        <v>6</v>
      </c>
      <c r="K5848" t="inlineStr">
        <is>
          <t>1², 4², 16¹, 64¹</t>
        </is>
      </c>
      <c r="L5848" t="inlineStr">
        <is>
          <t>5E⁰, 85A⁷</t>
        </is>
      </c>
      <c r="M5848" t="inlineStr"/>
      <c r="N5848" t="inlineStr">
        <is>
          <t>5E⁰, 85A⁷, 5A⁰, 17A¹, 1A⁰</t>
        </is>
      </c>
      <c r="O5848" t="inlineStr"/>
    </row>
    <row r="5849">
      <c r="A5849">
        <f>HYPERLINK("https://mathstats.uncg.edu/sites/pauli/congruence/csg19.html#group88A19", "88A¹⁹")</f>
        <v/>
      </c>
      <c r="B5849" t="n">
        <v>19</v>
      </c>
      <c r="C5849" t="inlineStr"/>
      <c r="D5849" t="inlineStr">
        <is>
          <t>264</t>
        </is>
      </c>
      <c r="E5849" t="inlineStr">
        <is>
          <t>2</t>
        </is>
      </c>
      <c r="F5849" t="inlineStr">
        <is>
          <t>132</t>
        </is>
      </c>
      <c r="G5849" t="inlineStr">
        <is>
          <t>6</t>
        </is>
      </c>
      <c r="H5849" t="inlineStr">
        <is>
          <t>0</t>
        </is>
      </c>
      <c r="I5849" t="inlineStr">
        <is>
          <t>44⁴, 88¹</t>
        </is>
      </c>
      <c r="J5849" t="n">
        <v>5</v>
      </c>
      <c r="K5849" t="inlineStr">
        <is>
          <t>4², 8², 20⁴, 40⁴</t>
        </is>
      </c>
      <c r="L5849" t="inlineStr">
        <is>
          <t>8K⁰, 44A⁹</t>
        </is>
      </c>
      <c r="M5849" t="inlineStr"/>
      <c r="N5849" t="inlineStr">
        <is>
          <t>11A⁰, 44A², 44C⁴, 8K⁰, 4A⁰, 4C⁰, 1A⁰, 2B⁰, 4F⁰, 22B², 44A⁹</t>
        </is>
      </c>
      <c r="O5849" t="inlineStr"/>
    </row>
    <row r="5850">
      <c r="A5850">
        <f>HYPERLINK("https://mathstats.uncg.edu/sites/pauli/congruence/csg19.html#group88B19", "88B¹⁹")</f>
        <v/>
      </c>
      <c r="B5850" t="n">
        <v>19</v>
      </c>
      <c r="C5850" t="inlineStr"/>
      <c r="D5850" t="inlineStr">
        <is>
          <t>288</t>
        </is>
      </c>
      <c r="E5850" t="inlineStr">
        <is>
          <t>1</t>
        </is>
      </c>
      <c r="F5850" t="inlineStr">
        <is>
          <t>36</t>
        </is>
      </c>
      <c r="G5850" t="inlineStr">
        <is>
          <t>0</t>
        </is>
      </c>
      <c r="H5850" t="inlineStr">
        <is>
          <t>0</t>
        </is>
      </c>
      <c r="I5850" t="inlineStr">
        <is>
          <t>2⁴, 8², 22⁴, 88²</t>
        </is>
      </c>
      <c r="J5850" t="n">
        <v>12</v>
      </c>
      <c r="K5850" t="inlineStr">
        <is>
          <t>1⁶, 10³</t>
        </is>
      </c>
      <c r="L5850" t="inlineStr">
        <is>
          <t>88C⁸, 44B⁹, 88B¹⁰</t>
        </is>
      </c>
      <c r="M5850" t="inlineStr"/>
      <c r="N5850" t="inlineStr">
        <is>
          <t>2A⁰, 4C⁰, 44B⁵, 2B⁰, 4E⁰, 4B⁰, 22C², 44B⁹, 1A⁰, 22A⁴, 44D⁴, 88C⁸, 11A¹, 22A², 2C⁰, 88B¹⁰</t>
        </is>
      </c>
      <c r="O5850" t="inlineStr"/>
    </row>
    <row r="5851">
      <c r="A5851">
        <f>HYPERLINK("https://mathstats.uncg.edu/sites/pauli/congruence/csg19.html#group88C19", "88C¹⁹")</f>
        <v/>
      </c>
      <c r="B5851" t="n">
        <v>19</v>
      </c>
      <c r="C5851" t="inlineStr"/>
      <c r="D5851" t="inlineStr">
        <is>
          <t>288</t>
        </is>
      </c>
      <c r="E5851" t="inlineStr">
        <is>
          <t>1</t>
        </is>
      </c>
      <c r="F5851" t="inlineStr">
        <is>
          <t>36</t>
        </is>
      </c>
      <c r="G5851" t="inlineStr">
        <is>
          <t>0</t>
        </is>
      </c>
      <c r="H5851" t="inlineStr">
        <is>
          <t>0</t>
        </is>
      </c>
      <c r="I5851" t="inlineStr">
        <is>
          <t>2⁴, 8², 22⁴, 88²</t>
        </is>
      </c>
      <c r="J5851" t="n">
        <v>12</v>
      </c>
      <c r="K5851" t="inlineStr">
        <is>
          <t>1⁶, 10³</t>
        </is>
      </c>
      <c r="L5851" t="inlineStr">
        <is>
          <t>8G⁰, 44B⁹, 88B⁹, 88C¹⁰</t>
        </is>
      </c>
      <c r="M5851" t="inlineStr"/>
      <c r="N5851" t="inlineStr">
        <is>
          <t>2A⁰, 8D⁰, 4C⁰, 44B⁵, 88B⁹, 8C⁰, 4E⁰, 2B⁰, 4B⁰, 22C², 1A⁰, 44B⁹, 44D⁴, 22A⁴, 8G⁰, 11A¹, 22A², 2C⁰, 88C¹⁰</t>
        </is>
      </c>
      <c r="O5851" t="inlineStr"/>
    </row>
    <row r="5852">
      <c r="A5852">
        <f>HYPERLINK("https://mathstats.uncg.edu/sites/pauli/congruence/csg19.html#group88D19", "88D¹⁹")</f>
        <v/>
      </c>
      <c r="B5852" t="n">
        <v>19</v>
      </c>
      <c r="C5852" t="inlineStr"/>
      <c r="D5852" t="inlineStr">
        <is>
          <t>288</t>
        </is>
      </c>
      <c r="E5852" t="inlineStr">
        <is>
          <t>1</t>
        </is>
      </c>
      <c r="F5852" t="inlineStr">
        <is>
          <t>72</t>
        </is>
      </c>
      <c r="G5852" t="inlineStr">
        <is>
          <t>0</t>
        </is>
      </c>
      <c r="H5852" t="inlineStr">
        <is>
          <t>0</t>
        </is>
      </c>
      <c r="I5852" t="inlineStr">
        <is>
          <t>2⁴, 8², 22⁴, 88²</t>
        </is>
      </c>
      <c r="J5852" t="n">
        <v>12</v>
      </c>
      <c r="K5852" t="inlineStr">
        <is>
          <t>1⁸, 2², 10⁴, 20¹</t>
        </is>
      </c>
      <c r="L5852" t="inlineStr">
        <is>
          <t>44B⁸, 88B⁹, 88B¹⁰</t>
        </is>
      </c>
      <c r="M5852" t="inlineStr"/>
      <c r="N5852" t="inlineStr">
        <is>
          <t>11A¹, 88B⁹, 2B⁰, 8C⁰, 4B⁰, 22C², 1A⁰, 44B⁸, 44D⁴, 88B¹⁰</t>
        </is>
      </c>
      <c r="O5852" t="inlineStr"/>
    </row>
    <row r="5853">
      <c r="A5853">
        <f>HYPERLINK("https://mathstats.uncg.edu/sites/pauli/congruence/csg19.html#group88E19", "88E¹⁹")</f>
        <v/>
      </c>
      <c r="B5853" t="n">
        <v>19</v>
      </c>
      <c r="C5853" t="inlineStr"/>
      <c r="D5853" t="inlineStr">
        <is>
          <t>288</t>
        </is>
      </c>
      <c r="E5853" t="inlineStr">
        <is>
          <t>1</t>
        </is>
      </c>
      <c r="F5853" t="inlineStr">
        <is>
          <t>144</t>
        </is>
      </c>
      <c r="G5853" t="inlineStr">
        <is>
          <t>0</t>
        </is>
      </c>
      <c r="H5853" t="inlineStr">
        <is>
          <t>0</t>
        </is>
      </c>
      <c r="I5853" t="inlineStr">
        <is>
          <t>1², 2¹, 4¹, 8², 11², 22¹, 44¹, 88²</t>
        </is>
      </c>
      <c r="J5853" t="n">
        <v>12</v>
      </c>
      <c r="K5853" t="inlineStr">
        <is>
          <t>1⁸, 2⁴, 4², 10⁴, 20², 40¹</t>
        </is>
      </c>
      <c r="L5853" t="inlineStr">
        <is>
          <t>88B⁹</t>
        </is>
      </c>
      <c r="M5853" t="inlineStr"/>
      <c r="N5853" t="inlineStr">
        <is>
          <t>11A¹, 88B⁹, 8C⁰, 2B⁰, 4B⁰, 22C², 1A⁰, 44D⁴</t>
        </is>
      </c>
      <c r="O5853" t="inlineStr"/>
    </row>
    <row r="5854">
      <c r="A5854">
        <f>HYPERLINK("https://mathstats.uncg.edu/sites/pauli/congruence/csg19.html#group88F19", "88F¹⁹")</f>
        <v/>
      </c>
      <c r="B5854" t="n">
        <v>19</v>
      </c>
      <c r="C5854" t="inlineStr"/>
      <c r="D5854" t="inlineStr">
        <is>
          <t>288</t>
        </is>
      </c>
      <c r="E5854" t="inlineStr">
        <is>
          <t>1</t>
        </is>
      </c>
      <c r="F5854" t="inlineStr">
        <is>
          <t>144</t>
        </is>
      </c>
      <c r="G5854" t="inlineStr">
        <is>
          <t>0</t>
        </is>
      </c>
      <c r="H5854" t="inlineStr">
        <is>
          <t>0</t>
        </is>
      </c>
      <c r="I5854" t="inlineStr">
        <is>
          <t>1², 2¹, 4¹, 8², 11², 22¹, 44¹, 88²</t>
        </is>
      </c>
      <c r="J5854" t="n">
        <v>12</v>
      </c>
      <c r="K5854" t="inlineStr">
        <is>
          <t>1⁸, 2⁴, 4², 10⁴, 20², 40¹</t>
        </is>
      </c>
      <c r="L5854" t="inlineStr">
        <is>
          <t>8I⁰, 88B⁹</t>
        </is>
      </c>
      <c r="M5854" t="inlineStr"/>
      <c r="N5854" t="inlineStr">
        <is>
          <t>11A¹, 88B⁹, 8C⁰, 2B⁰, 8I⁰, 4B⁰, 22C², 1A⁰, 44D⁴</t>
        </is>
      </c>
      <c r="O5854" t="inlineStr"/>
    </row>
    <row r="5855">
      <c r="A5855">
        <f>HYPERLINK("https://mathstats.uncg.edu/sites/pauli/congruence/csg19.html#group88G19", "88G¹⁹")</f>
        <v/>
      </c>
      <c r="B5855" t="n">
        <v>19</v>
      </c>
      <c r="C5855" t="inlineStr"/>
      <c r="D5855" t="inlineStr">
        <is>
          <t>288</t>
        </is>
      </c>
      <c r="E5855" t="inlineStr">
        <is>
          <t>1</t>
        </is>
      </c>
      <c r="F5855" t="inlineStr">
        <is>
          <t>144</t>
        </is>
      </c>
      <c r="G5855" t="inlineStr">
        <is>
          <t>0</t>
        </is>
      </c>
      <c r="H5855" t="inlineStr">
        <is>
          <t>0</t>
        </is>
      </c>
      <c r="I5855" t="inlineStr">
        <is>
          <t>2², 4³, 8¹, 22², 44³, 88¹</t>
        </is>
      </c>
      <c r="J5855" t="n">
        <v>12</v>
      </c>
      <c r="K5855" t="inlineStr">
        <is>
          <t>1¹⁶, 2⁴, 10⁸, 20²</t>
        </is>
      </c>
      <c r="L5855" t="inlineStr">
        <is>
          <t>44B⁹</t>
        </is>
      </c>
      <c r="M5855" t="inlineStr"/>
      <c r="N5855" t="inlineStr">
        <is>
          <t>2A⁰, 11A¹, 22A², 4C⁰, 44B⁵, 1A⁰, 2B⁰, 4E⁰, 4B⁰, 22C², 44B⁹, 2C⁰, 44D⁴, 22A⁴</t>
        </is>
      </c>
      <c r="O5855" t="inlineStr"/>
    </row>
    <row r="5856">
      <c r="A5856">
        <f>HYPERLINK("https://mathstats.uncg.edu/sites/pauli/congruence/csg19.html#group88H19", "88H¹⁹")</f>
        <v/>
      </c>
      <c r="B5856" t="n">
        <v>19</v>
      </c>
      <c r="C5856" t="inlineStr"/>
      <c r="D5856" t="inlineStr">
        <is>
          <t>288</t>
        </is>
      </c>
      <c r="E5856" t="inlineStr">
        <is>
          <t>1</t>
        </is>
      </c>
      <c r="F5856" t="inlineStr">
        <is>
          <t>144</t>
        </is>
      </c>
      <c r="G5856" t="inlineStr">
        <is>
          <t>0</t>
        </is>
      </c>
      <c r="H5856" t="inlineStr">
        <is>
          <t>0</t>
        </is>
      </c>
      <c r="I5856" t="inlineStr">
        <is>
          <t>2², 4³, 8¹, 22², 44³, 88¹</t>
        </is>
      </c>
      <c r="J5856" t="n">
        <v>12</v>
      </c>
      <c r="K5856" t="inlineStr">
        <is>
          <t>1¹⁶, 2⁴, 10⁸, 20²</t>
        </is>
      </c>
      <c r="L5856" t="inlineStr">
        <is>
          <t>8J⁰, 44B⁹</t>
        </is>
      </c>
      <c r="M5856" t="inlineStr"/>
      <c r="N5856" t="inlineStr">
        <is>
          <t>2A⁰, 4C⁰, 44B⁵, 2B⁰, 4E⁰, 4B⁰, 22C², 44B⁹, 1A⁰, 22A⁴, 44D⁴, 11A¹, 22A², 8J⁰, 2C⁰</t>
        </is>
      </c>
      <c r="O5856" t="inlineStr"/>
    </row>
    <row r="5857">
      <c r="A5857">
        <f>HYPERLINK("https://mathstats.uncg.edu/sites/pauli/congruence/csg19.html#group90A19", "90A¹⁹")</f>
        <v/>
      </c>
      <c r="B5857" t="n">
        <v>19</v>
      </c>
      <c r="C5857" t="inlineStr"/>
      <c r="D5857" t="inlineStr">
        <is>
          <t>240</t>
        </is>
      </c>
      <c r="E5857" t="inlineStr">
        <is>
          <t>1</t>
        </is>
      </c>
      <c r="F5857" t="inlineStr">
        <is>
          <t>40</t>
        </is>
      </c>
      <c r="G5857" t="inlineStr">
        <is>
          <t>0</t>
        </is>
      </c>
      <c r="H5857" t="inlineStr">
        <is>
          <t>0</t>
        </is>
      </c>
      <c r="I5857" t="inlineStr">
        <is>
          <t>30², 90²</t>
        </is>
      </c>
      <c r="J5857" t="n">
        <v>4</v>
      </c>
      <c r="K5857" t="inlineStr">
        <is>
          <t>2², 4⁵, 8²</t>
        </is>
      </c>
      <c r="L5857" t="inlineStr">
        <is>
          <t>30I⁵, 45A⁹</t>
        </is>
      </c>
      <c r="M5857" t="inlineStr"/>
      <c r="N5857" t="inlineStr">
        <is>
          <t>3B⁰, 45A⁹, 30I⁵, 10D⁰, 5C⁰, 9A¹, 15C², 1A⁰</t>
        </is>
      </c>
      <c r="O5857" t="inlineStr"/>
    </row>
    <row r="5858">
      <c r="A5858">
        <f>HYPERLINK("https://mathstats.uncg.edu/sites/pauli/congruence/csg19.html#group90B19", "90B¹⁹")</f>
        <v/>
      </c>
      <c r="B5858" t="n">
        <v>19</v>
      </c>
      <c r="C5858" t="inlineStr"/>
      <c r="D5858" t="inlineStr">
        <is>
          <t>240</t>
        </is>
      </c>
      <c r="E5858" t="inlineStr">
        <is>
          <t>1</t>
        </is>
      </c>
      <c r="F5858" t="inlineStr">
        <is>
          <t>40</t>
        </is>
      </c>
      <c r="G5858" t="inlineStr">
        <is>
          <t>0</t>
        </is>
      </c>
      <c r="H5858" t="inlineStr">
        <is>
          <t>0</t>
        </is>
      </c>
      <c r="I5858" t="inlineStr">
        <is>
          <t>30², 90²</t>
        </is>
      </c>
      <c r="J5858" t="n">
        <v>4</v>
      </c>
      <c r="K5858" t="inlineStr">
        <is>
          <t>2², 4⁵, 8²</t>
        </is>
      </c>
      <c r="L5858" t="inlineStr">
        <is>
          <t>18B², 30J⁵, 45A⁹</t>
        </is>
      </c>
      <c r="M5858" t="inlineStr"/>
      <c r="N5858" t="inlineStr">
        <is>
          <t>30J⁵, 2A⁰, 45A⁹, 18B², 3B⁰, 6C⁰, 9A¹, 10C¹, 1A⁰, 15C², 5C⁰</t>
        </is>
      </c>
      <c r="O5858" t="inlineStr"/>
    </row>
    <row r="5859">
      <c r="A5859">
        <f>HYPERLINK("https://mathstats.uncg.edu/sites/pauli/congruence/csg19.html#group90C19", "90C¹⁹")</f>
        <v/>
      </c>
      <c r="B5859" t="n">
        <v>19</v>
      </c>
      <c r="C5859" t="inlineStr"/>
      <c r="D5859" t="inlineStr">
        <is>
          <t>240</t>
        </is>
      </c>
      <c r="E5859" t="inlineStr">
        <is>
          <t>1</t>
        </is>
      </c>
      <c r="F5859" t="inlineStr">
        <is>
          <t>80</t>
        </is>
      </c>
      <c r="G5859" t="inlineStr">
        <is>
          <t>0</t>
        </is>
      </c>
      <c r="H5859" t="inlineStr">
        <is>
          <t>0</t>
        </is>
      </c>
      <c r="I5859" t="inlineStr">
        <is>
          <t>30², 90²</t>
        </is>
      </c>
      <c r="J5859" t="n">
        <v>4</v>
      </c>
      <c r="K5859" t="inlineStr">
        <is>
          <t>4⁴, 8⁸</t>
        </is>
      </c>
      <c r="L5859" t="inlineStr">
        <is>
          <t>18C², 30J⁵</t>
        </is>
      </c>
      <c r="M5859" t="inlineStr"/>
      <c r="N5859" t="inlineStr">
        <is>
          <t>30J⁵, 2A⁰, 3B⁰, 6C⁰, 10C¹, 1A⁰, 15C², 5C⁰, 18C²</t>
        </is>
      </c>
      <c r="O5859" t="inlineStr"/>
    </row>
    <row r="5860">
      <c r="A5860">
        <f>HYPERLINK("https://mathstats.uncg.edu/sites/pauli/congruence/csg19.html#group90D19", "90D¹⁹")</f>
        <v/>
      </c>
      <c r="B5860" t="n">
        <v>19</v>
      </c>
      <c r="C5860" t="inlineStr"/>
      <c r="D5860" t="inlineStr">
        <is>
          <t>270</t>
        </is>
      </c>
      <c r="E5860" t="inlineStr">
        <is>
          <t>1</t>
        </is>
      </c>
      <c r="F5860" t="inlineStr">
        <is>
          <t>45</t>
        </is>
      </c>
      <c r="G5860" t="inlineStr">
        <is>
          <t>12</t>
        </is>
      </c>
      <c r="H5860" t="inlineStr">
        <is>
          <t>0</t>
        </is>
      </c>
      <c r="I5860" t="inlineStr">
        <is>
          <t>90³</t>
        </is>
      </c>
      <c r="J5860" t="n">
        <v>3</v>
      </c>
      <c r="K5860" t="inlineStr">
        <is>
          <t>1¹, 2¹, 4¹, 6¹, 8¹, 24¹</t>
        </is>
      </c>
      <c r="L5860" t="inlineStr">
        <is>
          <t>30E⁴, 45D⁷, 90A⁷</t>
        </is>
      </c>
      <c r="M5860" t="inlineStr"/>
      <c r="N5860" t="inlineStr">
        <is>
          <t>5A⁰, 30A², 30E⁴, 6B⁰, 90A⁷, 15A¹, 9A⁰, 15F¹, 5E⁰, 15A⁰, 3A⁰, 1A⁰, 18A¹, 45D⁷, 45A³</t>
        </is>
      </c>
      <c r="O5860" t="inlineStr"/>
    </row>
    <row r="5861">
      <c r="A5861">
        <f>HYPERLINK("https://mathstats.uncg.edu/sites/pauli/congruence/csg19.html#group90E19", "90E¹⁹")</f>
        <v/>
      </c>
      <c r="B5861" t="n">
        <v>19</v>
      </c>
      <c r="C5861" t="inlineStr"/>
      <c r="D5861" t="inlineStr">
        <is>
          <t>270</t>
        </is>
      </c>
      <c r="E5861" t="inlineStr">
        <is>
          <t>1</t>
        </is>
      </c>
      <c r="F5861" t="inlineStr">
        <is>
          <t>90</t>
        </is>
      </c>
      <c r="G5861" t="inlineStr">
        <is>
          <t>12</t>
        </is>
      </c>
      <c r="H5861" t="inlineStr">
        <is>
          <t>0</t>
        </is>
      </c>
      <c r="I5861" t="inlineStr">
        <is>
          <t>90³</t>
        </is>
      </c>
      <c r="J5861" t="n">
        <v>3</v>
      </c>
      <c r="K5861" t="inlineStr">
        <is>
          <t>2³, 6², 8³, 24²</t>
        </is>
      </c>
      <c r="L5861" t="inlineStr">
        <is>
          <t>30E⁴, 90B⁷</t>
        </is>
      </c>
      <c r="M5861" t="inlineStr"/>
      <c r="N5861" t="inlineStr">
        <is>
          <t>5A⁰, 30A², 30E⁴, 6B⁰, 90B⁷, 15F¹, 18B¹, 5E⁰, 3A⁰, 1A⁰, 15A¹, 15A⁰</t>
        </is>
      </c>
      <c r="O5861" t="inlineStr"/>
    </row>
    <row r="5862">
      <c r="A5862">
        <f>HYPERLINK("https://mathstats.uncg.edu/sites/pauli/congruence/csg19.html#group90F19", "90F¹⁹")</f>
        <v/>
      </c>
      <c r="B5862" t="n">
        <v>19</v>
      </c>
      <c r="C5862" t="inlineStr"/>
      <c r="D5862" t="inlineStr">
        <is>
          <t>270</t>
        </is>
      </c>
      <c r="E5862" t="inlineStr">
        <is>
          <t>1</t>
        </is>
      </c>
      <c r="F5862" t="inlineStr">
        <is>
          <t>135</t>
        </is>
      </c>
      <c r="G5862" t="inlineStr">
        <is>
          <t>12</t>
        </is>
      </c>
      <c r="H5862" t="inlineStr">
        <is>
          <t>0</t>
        </is>
      </c>
      <c r="I5862" t="inlineStr">
        <is>
          <t>90³</t>
        </is>
      </c>
      <c r="J5862" t="n">
        <v>3</v>
      </c>
      <c r="K5862" t="inlineStr">
        <is>
          <t>3¹, 6⁴, 12¹, 24⁴</t>
        </is>
      </c>
      <c r="L5862" t="inlineStr">
        <is>
          <t>18H¹, 90A⁶, 45B⁹</t>
        </is>
      </c>
      <c r="M5862" t="inlineStr"/>
      <c r="N5862" t="inlineStr">
        <is>
          <t>5A⁰, 90A⁶, 6B⁰, 3A⁰, 30A², 18H¹, 9A⁰, 9G⁰, 45B⁹, 1A⁰, 18A⁰, 15A¹, 45A³</t>
        </is>
      </c>
      <c r="O5862" t="inlineStr"/>
    </row>
    <row r="5863">
      <c r="A5863">
        <f>HYPERLINK("https://mathstats.uncg.edu/sites/pauli/congruence/csg19.html#group90G19", "90G¹⁹")</f>
        <v/>
      </c>
      <c r="B5863" t="n">
        <v>19</v>
      </c>
      <c r="C5863" t="inlineStr"/>
      <c r="D5863" t="inlineStr">
        <is>
          <t>270</t>
        </is>
      </c>
      <c r="E5863" t="inlineStr">
        <is>
          <t>1</t>
        </is>
      </c>
      <c r="F5863" t="inlineStr">
        <is>
          <t>270</t>
        </is>
      </c>
      <c r="G5863" t="inlineStr">
        <is>
          <t>2</t>
        </is>
      </c>
      <c r="H5863" t="inlineStr">
        <is>
          <t>0</t>
        </is>
      </c>
      <c r="I5863" t="inlineStr">
        <is>
          <t>15³, 30³, 45¹, 90¹</t>
        </is>
      </c>
      <c r="J5863" t="n">
        <v>8</v>
      </c>
      <c r="K5863" t="inlineStr">
        <is>
          <t>1³, 2³, 3³, 4³, 6⁶, 8³, 12³, 24⁶</t>
        </is>
      </c>
      <c r="L5863" t="inlineStr">
        <is>
          <t>18I¹, 30A⁶, 45C⁶</t>
        </is>
      </c>
      <c r="M5863" t="inlineStr"/>
      <c r="N5863" t="inlineStr">
        <is>
          <t>45C⁶, 5A⁰, 18I¹, 15A¹, 10B¹, 6G⁰, 2B⁰, 9E⁰, 1A⁰, 30D³, 15A², 3C⁰, 30A⁶, 3A⁰, 6D⁰</t>
        </is>
      </c>
      <c r="O5863" t="inlineStr"/>
    </row>
    <row r="5864">
      <c r="A5864">
        <f>HYPERLINK("https://mathstats.uncg.edu/sites/pauli/congruence/csg19.html#group90H19", "90H¹⁹")</f>
        <v/>
      </c>
      <c r="B5864" t="n">
        <v>19</v>
      </c>
      <c r="C5864" t="inlineStr"/>
      <c r="D5864" t="inlineStr">
        <is>
          <t>270</t>
        </is>
      </c>
      <c r="E5864" t="inlineStr">
        <is>
          <t>1</t>
        </is>
      </c>
      <c r="F5864" t="inlineStr">
        <is>
          <t>270</t>
        </is>
      </c>
      <c r="G5864" t="inlineStr">
        <is>
          <t>10</t>
        </is>
      </c>
      <c r="H5864" t="inlineStr">
        <is>
          <t>0</t>
        </is>
      </c>
      <c r="I5864" t="inlineStr">
        <is>
          <t>45², 90²</t>
        </is>
      </c>
      <c r="J5864" t="n">
        <v>4</v>
      </c>
      <c r="K5864" t="inlineStr">
        <is>
          <t>2³, 4⁹, 8⁶, 12³, 24⁶</t>
        </is>
      </c>
      <c r="L5864" t="inlineStr">
        <is>
          <t>18E¹, 30K⁵, 45E⁵</t>
        </is>
      </c>
      <c r="M5864" t="inlineStr"/>
      <c r="N5864" t="inlineStr">
        <is>
          <t>30K⁵, 15D¹, 45E⁵, 9A⁰, 1A⁰, 2B⁰, 18E¹, 3A⁰, 5C⁰, 6D⁰, 10F¹</t>
        </is>
      </c>
      <c r="O5864" t="inlineStr"/>
    </row>
    <row r="5865">
      <c r="A5865">
        <f>HYPERLINK("https://mathstats.uncg.edu/sites/pauli/congruence/csg19.html#group90I19", "90I¹⁹")</f>
        <v/>
      </c>
      <c r="B5865" t="n">
        <v>19</v>
      </c>
      <c r="C5865" t="inlineStr"/>
      <c r="D5865" t="inlineStr">
        <is>
          <t>270</t>
        </is>
      </c>
      <c r="E5865" t="inlineStr">
        <is>
          <t>2</t>
        </is>
      </c>
      <c r="F5865" t="inlineStr">
        <is>
          <t>135</t>
        </is>
      </c>
      <c r="G5865" t="inlineStr">
        <is>
          <t>12</t>
        </is>
      </c>
      <c r="H5865" t="inlineStr">
        <is>
          <t>0</t>
        </is>
      </c>
      <c r="I5865" t="inlineStr">
        <is>
          <t>90³</t>
        </is>
      </c>
      <c r="J5865" t="n">
        <v>3</v>
      </c>
      <c r="K5865" t="inlineStr">
        <is>
          <t>2³, 4³, 6², 8⁹, 12², 24⁶</t>
        </is>
      </c>
      <c r="L5865" t="inlineStr">
        <is>
          <t>30L⁵, 45D⁷</t>
        </is>
      </c>
      <c r="M5865" t="inlineStr"/>
      <c r="N5865" t="inlineStr">
        <is>
          <t>5A⁰, 30L⁵, 15A¹, 9A⁰, 15F¹, 5E⁰, 45A³, 3A⁰, 1A⁰, 45D⁷, 15A⁰</t>
        </is>
      </c>
      <c r="O5865" t="inlineStr"/>
    </row>
    <row r="5866">
      <c r="A5866">
        <f>HYPERLINK("https://mathstats.uncg.edu/sites/pauli/congruence/csg19.html#group90J19", "90J¹⁹")</f>
        <v/>
      </c>
      <c r="B5866" t="n">
        <v>19</v>
      </c>
      <c r="C5866" t="inlineStr"/>
      <c r="D5866" t="inlineStr">
        <is>
          <t>324</t>
        </is>
      </c>
      <c r="E5866" t="inlineStr">
        <is>
          <t>1</t>
        </is>
      </c>
      <c r="F5866" t="inlineStr">
        <is>
          <t>162</t>
        </is>
      </c>
      <c r="G5866" t="inlineStr">
        <is>
          <t>24</t>
        </is>
      </c>
      <c r="H5866" t="inlineStr">
        <is>
          <t>0</t>
        </is>
      </c>
      <c r="I5866" t="inlineStr">
        <is>
          <t>18³, 90³</t>
        </is>
      </c>
      <c r="J5866" t="n">
        <v>6</v>
      </c>
      <c r="K5866" t="inlineStr">
        <is>
          <t>3², 6⁸, 12¹, 24⁴</t>
        </is>
      </c>
      <c r="L5866" t="inlineStr">
        <is>
          <t>18H¹, 90A⁵, 45D⁸</t>
        </is>
      </c>
      <c r="M5866" t="inlineStr"/>
      <c r="N5866" t="inlineStr">
        <is>
          <t>45A², 15B⁰, 6B⁰, 18H¹, 45D⁸, 9A⁰, 9G⁰, 5B⁰, 90A⁵, 3A⁰, 1A⁰, 18A⁰, 30C¹</t>
        </is>
      </c>
      <c r="O5866" t="inlineStr"/>
    </row>
    <row r="5867">
      <c r="A5867">
        <f>HYPERLINK("https://mathstats.uncg.edu/sites/pauli/congruence/csg19.html#group90K19", "90K¹⁹")</f>
        <v/>
      </c>
      <c r="B5867" t="n">
        <v>19</v>
      </c>
      <c r="C5867" t="inlineStr"/>
      <c r="D5867" t="inlineStr">
        <is>
          <t>324</t>
        </is>
      </c>
      <c r="E5867" t="inlineStr">
        <is>
          <t>1</t>
        </is>
      </c>
      <c r="F5867" t="inlineStr">
        <is>
          <t>324</t>
        </is>
      </c>
      <c r="G5867" t="inlineStr">
        <is>
          <t>4</t>
        </is>
      </c>
      <c r="H5867" t="inlineStr">
        <is>
          <t>0</t>
        </is>
      </c>
      <c r="I5867" t="inlineStr">
        <is>
          <t>3³, 6³, 9¹, 15³, 18¹, 30³, 45¹, 90¹</t>
        </is>
      </c>
      <c r="J5867" t="n">
        <v>16</v>
      </c>
      <c r="K5867" t="inlineStr">
        <is>
          <t>1⁶, 2⁶, 3⁶, 4³, 6¹², 8³, 12³, 24⁶</t>
        </is>
      </c>
      <c r="L5867" t="inlineStr">
        <is>
          <t>18I¹, 30O⁵, 45G⁵</t>
        </is>
      </c>
      <c r="M5867" t="inlineStr"/>
      <c r="N5867" t="inlineStr">
        <is>
          <t>18I¹, 45G⁵, 5B⁰, 6G⁰, 2B⁰, 30O⁵, 9E⁰, 1A⁰, 15B⁰, 30E², 10C⁰, 3C⁰, 3A⁰, 6D⁰, 15E¹</t>
        </is>
      </c>
      <c r="O5867" t="inlineStr"/>
    </row>
    <row r="5868">
      <c r="A5868">
        <f>HYPERLINK("https://mathstats.uncg.edu/sites/pauli/congruence/csg19.html#group95A19", "95A¹⁹")</f>
        <v/>
      </c>
      <c r="B5868" t="n">
        <v>19</v>
      </c>
      <c r="C5868" t="inlineStr"/>
      <c r="D5868" t="inlineStr">
        <is>
          <t>300</t>
        </is>
      </c>
      <c r="E5868" t="inlineStr">
        <is>
          <t>1</t>
        </is>
      </c>
      <c r="F5868" t="inlineStr">
        <is>
          <t>100</t>
        </is>
      </c>
      <c r="G5868" t="inlineStr">
        <is>
          <t>0</t>
        </is>
      </c>
      <c r="H5868" t="inlineStr">
        <is>
          <t>12</t>
        </is>
      </c>
      <c r="I5868" t="inlineStr">
        <is>
          <t>5³, 95³</t>
        </is>
      </c>
      <c r="J5868" t="n">
        <v>6</v>
      </c>
      <c r="K5868" t="inlineStr">
        <is>
          <t>1², 4², 18¹, 72¹</t>
        </is>
      </c>
      <c r="L5868" t="inlineStr">
        <is>
          <t>19B¹, 95A⁷</t>
        </is>
      </c>
      <c r="M5868" t="inlineStr"/>
      <c r="N5868" t="inlineStr">
        <is>
          <t>19A¹, 5A⁰, 19B¹, 95A⁷, 1A⁰</t>
        </is>
      </c>
      <c r="O5868" t="inlineStr"/>
    </row>
    <row r="5869">
      <c r="A5869">
        <f>HYPERLINK("https://mathstats.uncg.edu/sites/pauli/congruence/csg19.html#group96A19", "96A¹⁹")</f>
        <v/>
      </c>
      <c r="B5869" t="n">
        <v>19</v>
      </c>
      <c r="C5869" t="inlineStr"/>
      <c r="D5869" t="inlineStr">
        <is>
          <t>288</t>
        </is>
      </c>
      <c r="E5869" t="inlineStr">
        <is>
          <t>1</t>
        </is>
      </c>
      <c r="F5869" t="inlineStr">
        <is>
          <t>6</t>
        </is>
      </c>
      <c r="G5869" t="inlineStr">
        <is>
          <t>0</t>
        </is>
      </c>
      <c r="H5869" t="inlineStr">
        <is>
          <t>0</t>
        </is>
      </c>
      <c r="I5869" t="inlineStr">
        <is>
          <t>6⁸, 24², 96²</t>
        </is>
      </c>
      <c r="J5869" t="n">
        <v>12</v>
      </c>
      <c r="K5869" t="inlineStr">
        <is>
          <t>1⁴, 2¹</t>
        </is>
      </c>
      <c r="L5869" t="inlineStr">
        <is>
          <t>32J³, 48A⁹, 96A⁹</t>
        </is>
      </c>
      <c r="M5869" t="inlineStr"/>
      <c r="N5869" t="inlineStr">
        <is>
          <t>2A⁰, 12C⁰, 4C⁰, 6C¹, 12B², 16A¹, 8C⁰, 2B⁰, 4E⁰, 4B⁰, 1A⁰, 24B², 32A¹, 8G⁰, 16C⁰, 12B¹, 6A¹, 3A⁰, 48A⁵, 96A⁹, 8D⁰, 16E¹, 32J³, 24D⁴, 48B⁴, 48A⁹, 6A⁰, 24C¹, 2C⁰, 6D⁰</t>
        </is>
      </c>
      <c r="O5869" t="inlineStr"/>
    </row>
    <row r="5870">
      <c r="A5870">
        <f>HYPERLINK("https://mathstats.uncg.edu/sites/pauli/congruence/csg19.html#group96B19", "96B¹⁹")</f>
        <v/>
      </c>
      <c r="B5870" t="n">
        <v>19</v>
      </c>
      <c r="C5870" t="inlineStr"/>
      <c r="D5870" t="inlineStr">
        <is>
          <t>288</t>
        </is>
      </c>
      <c r="E5870" t="inlineStr">
        <is>
          <t>1</t>
        </is>
      </c>
      <c r="F5870" t="inlineStr">
        <is>
          <t>6</t>
        </is>
      </c>
      <c r="G5870" t="inlineStr">
        <is>
          <t>0</t>
        </is>
      </c>
      <c r="H5870" t="inlineStr">
        <is>
          <t>0</t>
        </is>
      </c>
      <c r="I5870" t="inlineStr">
        <is>
          <t>6⁸, 24², 96²</t>
        </is>
      </c>
      <c r="J5870" t="n">
        <v>12</v>
      </c>
      <c r="K5870" t="inlineStr">
        <is>
          <t>1⁴, 2¹</t>
        </is>
      </c>
      <c r="L5870" t="inlineStr">
        <is>
          <t>32K³, 96A⁸, 48A⁹, 96A¹⁰</t>
        </is>
      </c>
      <c r="M5870" t="inlineStr"/>
      <c r="N5870" t="inlineStr">
        <is>
          <t>2A⁰, 48A⁵, 12C⁰, 8D⁰, 16E¹, 4C⁰, 6C¹, 12B², 16A¹, 96A¹⁰, 8C⁰, 2B⁰, 32K³, 4E⁰, 4B⁰, 1A⁰, 24D⁴, 48B⁴, 24B², 48A⁹, 6A⁰, 8G⁰, 16C⁰, 32A⁰, 24C¹, 12B¹, 6A¹, 96A⁸, 32A², 3A⁰, 2C⁰, 6D⁰</t>
        </is>
      </c>
      <c r="O5870" t="inlineStr"/>
    </row>
    <row r="5871">
      <c r="A5871">
        <f>HYPERLINK("https://mathstats.uncg.edu/sites/pauli/congruence/csg19.html#group96C19", "96C¹⁹")</f>
        <v/>
      </c>
      <c r="B5871" t="n">
        <v>19</v>
      </c>
      <c r="C5871" t="inlineStr"/>
      <c r="D5871" t="inlineStr">
        <is>
          <t>288</t>
        </is>
      </c>
      <c r="E5871" t="inlineStr">
        <is>
          <t>1</t>
        </is>
      </c>
      <c r="F5871" t="inlineStr">
        <is>
          <t>12</t>
        </is>
      </c>
      <c r="G5871" t="inlineStr">
        <is>
          <t>0</t>
        </is>
      </c>
      <c r="H5871" t="inlineStr">
        <is>
          <t>0</t>
        </is>
      </c>
      <c r="I5871" t="inlineStr">
        <is>
          <t>6⁸, 24², 96²</t>
        </is>
      </c>
      <c r="J5871" t="n">
        <v>12</v>
      </c>
      <c r="K5871" t="inlineStr">
        <is>
          <t>1⁴, 2², 4¹</t>
        </is>
      </c>
      <c r="L5871" t="inlineStr">
        <is>
          <t>32M³, 48E⁸, 96A⁹, 96A¹⁰</t>
        </is>
      </c>
      <c r="M5871" t="inlineStr"/>
      <c r="N5871" t="inlineStr">
        <is>
          <t>24F⁴, 96A⁹, 32M³, 96A¹⁰, 8C⁰, 2B⁰, 8I⁰, 4B⁰, 1A⁰, 48B⁴, 16H⁰, 24B², 32A¹, 48E⁸, 16C⁰, 16D⁰, 32A², 12B¹, 3A⁰, 6D⁰, 48D⁴</t>
        </is>
      </c>
      <c r="O5871" t="inlineStr"/>
    </row>
    <row r="5872">
      <c r="A5872">
        <f>HYPERLINK("https://mathstats.uncg.edu/sites/pauli/congruence/csg19.html#group96D19", "96D¹⁹")</f>
        <v/>
      </c>
      <c r="B5872" t="n">
        <v>19</v>
      </c>
      <c r="C5872" t="inlineStr"/>
      <c r="D5872" t="inlineStr">
        <is>
          <t>288</t>
        </is>
      </c>
      <c r="E5872" t="inlineStr">
        <is>
          <t>1</t>
        </is>
      </c>
      <c r="F5872" t="inlineStr">
        <is>
          <t>18</t>
        </is>
      </c>
      <c r="G5872" t="inlineStr">
        <is>
          <t>0</t>
        </is>
      </c>
      <c r="H5872" t="inlineStr">
        <is>
          <t>0</t>
        </is>
      </c>
      <c r="I5872" t="inlineStr">
        <is>
          <t>6⁸, 24², 96²</t>
        </is>
      </c>
      <c r="J5872" t="n">
        <v>12</v>
      </c>
      <c r="K5872" t="inlineStr">
        <is>
          <t>1⁴, 2⁵, 4¹</t>
        </is>
      </c>
      <c r="L5872" t="inlineStr">
        <is>
          <t>48R⁷, 96B¹⁰</t>
        </is>
      </c>
      <c r="M5872" t="inlineStr"/>
      <c r="N5872" t="inlineStr">
        <is>
          <t>12K¹, 48F⁴, 6G⁰, 8C⁰, 2B⁰, 4B⁰, 1A⁰, 48B⁴, 24B², 48R⁷, 24L³, 16C⁰, 24D², 3C⁰, 12B¹, 12D⁰, 3A⁰, 96B¹⁰, 6D⁰</t>
        </is>
      </c>
      <c r="O5872" t="inlineStr"/>
    </row>
    <row r="5873">
      <c r="A5873">
        <f>HYPERLINK("https://mathstats.uncg.edu/sites/pauli/congruence/csg19.html#group96E19", "96E¹⁹")</f>
        <v/>
      </c>
      <c r="B5873" t="n">
        <v>19</v>
      </c>
      <c r="C5873" t="inlineStr"/>
      <c r="D5873" t="inlineStr">
        <is>
          <t>288</t>
        </is>
      </c>
      <c r="E5873" t="inlineStr">
        <is>
          <t>1</t>
        </is>
      </c>
      <c r="F5873" t="inlineStr">
        <is>
          <t>18</t>
        </is>
      </c>
      <c r="G5873" t="inlineStr">
        <is>
          <t>0</t>
        </is>
      </c>
      <c r="H5873" t="inlineStr">
        <is>
          <t>0</t>
        </is>
      </c>
      <c r="I5873" t="inlineStr">
        <is>
          <t>6⁸, 24², 96²</t>
        </is>
      </c>
      <c r="J5873" t="n">
        <v>12</v>
      </c>
      <c r="K5873" t="inlineStr">
        <is>
          <t>1⁴, 2⁵, 4¹</t>
        </is>
      </c>
      <c r="L5873" t="inlineStr">
        <is>
          <t>48A⁹, 96G⁹</t>
        </is>
      </c>
      <c r="M5873" t="inlineStr"/>
      <c r="N5873" t="inlineStr">
        <is>
          <t>2A⁰, 48A⁵, 12C⁰, 8D⁰, 16E¹, 4C⁰, 6C¹, 12B², 16A¹, 8C⁰, 2B⁰, 4E⁰, 4B⁰, 1A⁰, 96G⁹, 24D⁴, 48B⁴, 24B², 48A⁹, 6A⁰, 8G⁰, 16C⁰, 24C¹, 12B¹, 6A¹, 3A⁰, 2C⁰, 6D⁰</t>
        </is>
      </c>
      <c r="O5873" t="inlineStr"/>
    </row>
    <row r="5874">
      <c r="A5874">
        <f>HYPERLINK("https://mathstats.uncg.edu/sites/pauli/congruence/csg19.html#group96F19", "96F¹⁹")</f>
        <v/>
      </c>
      <c r="B5874" t="n">
        <v>19</v>
      </c>
      <c r="C5874" t="inlineStr"/>
      <c r="D5874" t="inlineStr">
        <is>
          <t>288</t>
        </is>
      </c>
      <c r="E5874" t="inlineStr">
        <is>
          <t>1</t>
        </is>
      </c>
      <c r="F5874" t="inlineStr">
        <is>
          <t>18</t>
        </is>
      </c>
      <c r="G5874" t="inlineStr">
        <is>
          <t>0</t>
        </is>
      </c>
      <c r="H5874" t="inlineStr">
        <is>
          <t>0</t>
        </is>
      </c>
      <c r="I5874" t="inlineStr">
        <is>
          <t>6⁸, 24², 96²</t>
        </is>
      </c>
      <c r="J5874" t="n">
        <v>12</v>
      </c>
      <c r="K5874" t="inlineStr">
        <is>
          <t>1⁴, 2⁵, 4¹</t>
        </is>
      </c>
      <c r="L5874" t="inlineStr">
        <is>
          <t>48R⁷, 96A¹⁰, 96B¹⁰</t>
        </is>
      </c>
      <c r="M5874" t="inlineStr"/>
      <c r="N5874" t="inlineStr">
        <is>
          <t>12K¹, 48F⁴, 6G⁰, 96A¹⁰, 8C⁰, 2B⁰, 4B⁰, 1A⁰, 48B⁴, 24B², 48R⁷, 24L³, 16C⁰, 24D², 3C⁰, 12B¹, 32A², 12D⁰, 3A⁰, 96B¹⁰, 6D⁰</t>
        </is>
      </c>
      <c r="O5874" t="inlineStr"/>
    </row>
    <row r="5875">
      <c r="A5875">
        <f>HYPERLINK("https://mathstats.uncg.edu/sites/pauli/congruence/csg19.html#group96G19", "96G¹⁹")</f>
        <v/>
      </c>
      <c r="B5875" t="n">
        <v>19</v>
      </c>
      <c r="C5875" t="inlineStr"/>
      <c r="D5875" t="inlineStr">
        <is>
          <t>288</t>
        </is>
      </c>
      <c r="E5875" t="inlineStr">
        <is>
          <t>1</t>
        </is>
      </c>
      <c r="F5875" t="inlineStr">
        <is>
          <t>18</t>
        </is>
      </c>
      <c r="G5875" t="inlineStr">
        <is>
          <t>0</t>
        </is>
      </c>
      <c r="H5875" t="inlineStr">
        <is>
          <t>0</t>
        </is>
      </c>
      <c r="I5875" t="inlineStr">
        <is>
          <t>6⁸, 24², 96²</t>
        </is>
      </c>
      <c r="J5875" t="n">
        <v>12</v>
      </c>
      <c r="K5875" t="inlineStr">
        <is>
          <t>1⁴, 2⁵, 4¹</t>
        </is>
      </c>
      <c r="L5875" t="inlineStr">
        <is>
          <t>96A⁸, 48F⁹, 96B¹⁰</t>
        </is>
      </c>
      <c r="M5875" t="inlineStr"/>
      <c r="N5875" t="inlineStr">
        <is>
          <t>6B⁰, 12D², 6H⁰, 24J⁴, 8C⁰, 2B⁰, 4B⁰, 1A⁰, 48B⁴, 24B², 12C¹, 16C⁰, 32A⁰, 24D², 12B¹, 48F⁹, 96A⁸, 3A⁰, 96B¹⁰, 6D⁰, 48B⁵</t>
        </is>
      </c>
      <c r="O5875" t="inlineStr"/>
    </row>
    <row r="5876">
      <c r="A5876">
        <f>HYPERLINK("https://mathstats.uncg.edu/sites/pauli/congruence/csg19.html#group96H19", "96H¹⁹")</f>
        <v/>
      </c>
      <c r="B5876" t="n">
        <v>19</v>
      </c>
      <c r="C5876" t="inlineStr"/>
      <c r="D5876" t="inlineStr">
        <is>
          <t>288</t>
        </is>
      </c>
      <c r="E5876" t="inlineStr">
        <is>
          <t>1</t>
        </is>
      </c>
      <c r="F5876" t="inlineStr">
        <is>
          <t>18</t>
        </is>
      </c>
      <c r="G5876" t="inlineStr">
        <is>
          <t>0</t>
        </is>
      </c>
      <c r="H5876" t="inlineStr">
        <is>
          <t>0</t>
        </is>
      </c>
      <c r="I5876" t="inlineStr">
        <is>
          <t>6⁸, 24², 96²</t>
        </is>
      </c>
      <c r="J5876" t="n">
        <v>12</v>
      </c>
      <c r="K5876" t="inlineStr">
        <is>
          <t>1⁴, 2⁵, 4¹</t>
        </is>
      </c>
      <c r="L5876" t="inlineStr">
        <is>
          <t>96B⁸, 48A⁹, 96B¹⁰</t>
        </is>
      </c>
      <c r="M5876" t="inlineStr"/>
      <c r="N5876" t="inlineStr">
        <is>
          <t>2A⁰, 12C⁰, 4C⁰, 6C¹, 12B², 16A¹, 8C⁰, 2B⁰, 4E⁰, 4B⁰, 1A⁰, 24B², 8G⁰, 16C⁰, 12B¹, 6A¹, 3A⁰, 48A⁵, 8D⁰, 16E¹, 24D⁴, 48B⁴, 48A⁹, 6A⁰, 96B⁸, 24C¹, 96B¹⁰, 2C⁰, 6D⁰</t>
        </is>
      </c>
      <c r="O5876" t="inlineStr"/>
    </row>
    <row r="5877">
      <c r="A5877">
        <f>HYPERLINK("https://mathstats.uncg.edu/sites/pauli/congruence/csg19.html#group96I19", "96I¹⁹")</f>
        <v/>
      </c>
      <c r="B5877" t="n">
        <v>19</v>
      </c>
      <c r="C5877" t="inlineStr"/>
      <c r="D5877" t="inlineStr">
        <is>
          <t>288</t>
        </is>
      </c>
      <c r="E5877" t="inlineStr">
        <is>
          <t>1</t>
        </is>
      </c>
      <c r="F5877" t="inlineStr">
        <is>
          <t>18</t>
        </is>
      </c>
      <c r="G5877" t="inlineStr">
        <is>
          <t>0</t>
        </is>
      </c>
      <c r="H5877" t="inlineStr">
        <is>
          <t>0</t>
        </is>
      </c>
      <c r="I5877" t="inlineStr">
        <is>
          <t>6⁸, 24², 96²</t>
        </is>
      </c>
      <c r="J5877" t="n">
        <v>12</v>
      </c>
      <c r="K5877" t="inlineStr">
        <is>
          <t>1⁴, 2⁵, 4¹</t>
        </is>
      </c>
      <c r="L5877" t="inlineStr">
        <is>
          <t>96B⁸, 48F⁹, 96A¹⁰</t>
        </is>
      </c>
      <c r="M5877" t="inlineStr"/>
      <c r="N5877" t="inlineStr">
        <is>
          <t>6B⁰, 12D², 24J⁴, 96A¹⁰, 8C⁰, 2B⁰, 4B⁰, 1A⁰, 48B⁴, 24B², 12C¹, 96B⁸, 16C⁰, 24D², 32A², 12B¹, 48F⁹, 6H⁰, 3A⁰, 6D⁰, 48B⁵</t>
        </is>
      </c>
      <c r="O5877" t="inlineStr"/>
    </row>
    <row r="5878">
      <c r="A5878">
        <f>HYPERLINK("https://mathstats.uncg.edu/sites/pauli/congruence/csg19.html#group96J19", "96J¹⁹")</f>
        <v/>
      </c>
      <c r="B5878" t="n">
        <v>19</v>
      </c>
      <c r="C5878" t="inlineStr"/>
      <c r="D5878" t="inlineStr">
        <is>
          <t>288</t>
        </is>
      </c>
      <c r="E5878" t="inlineStr">
        <is>
          <t>1</t>
        </is>
      </c>
      <c r="F5878" t="inlineStr">
        <is>
          <t>18</t>
        </is>
      </c>
      <c r="G5878" t="inlineStr">
        <is>
          <t>16</t>
        </is>
      </c>
      <c r="H5878" t="inlineStr">
        <is>
          <t>0</t>
        </is>
      </c>
      <c r="I5878" t="inlineStr">
        <is>
          <t>48², 96²</t>
        </is>
      </c>
      <c r="J5878" t="n">
        <v>4</v>
      </c>
      <c r="K5878" t="inlineStr">
        <is>
          <t>1², 2⁴, 4²</t>
        </is>
      </c>
      <c r="L5878" t="inlineStr">
        <is>
          <t>48E⁵, 96A⁷</t>
        </is>
      </c>
      <c r="M5878" t="inlineStr"/>
      <c r="N5878" t="inlineStr">
        <is>
          <t>48E⁵, 12C⁰, 8D⁰, 4C⁰, 8B⁰, 16B¹, 48A⁰, 2B⁰, 24L², 1A⁰, 8H⁰, 48C³, 16B⁰, 12A⁰, 24A⁰, 4A⁰, 96A⁷, 24C¹, 12J¹, 4F⁰, 16F¹, 3A⁰, 6D⁰</t>
        </is>
      </c>
      <c r="O5878" t="inlineStr"/>
    </row>
    <row r="5879">
      <c r="A5879">
        <f>HYPERLINK("https://mathstats.uncg.edu/sites/pauli/congruence/csg19.html#group96K19", "96K¹⁹")</f>
        <v/>
      </c>
      <c r="B5879" t="n">
        <v>19</v>
      </c>
      <c r="C5879" t="inlineStr"/>
      <c r="D5879" t="inlineStr">
        <is>
          <t>288</t>
        </is>
      </c>
      <c r="E5879" t="inlineStr">
        <is>
          <t>1</t>
        </is>
      </c>
      <c r="F5879" t="inlineStr">
        <is>
          <t>24</t>
        </is>
      </c>
      <c r="G5879" t="inlineStr">
        <is>
          <t>0</t>
        </is>
      </c>
      <c r="H5879" t="inlineStr">
        <is>
          <t>0</t>
        </is>
      </c>
      <c r="I5879" t="inlineStr">
        <is>
          <t>6⁴, 12⁶, 96²</t>
        </is>
      </c>
      <c r="J5879" t="n">
        <v>12</v>
      </c>
      <c r="K5879" t="inlineStr">
        <is>
          <t>1⁴, 2², 4², 8¹</t>
        </is>
      </c>
      <c r="L5879" t="inlineStr">
        <is>
          <t>32O³, 48B⁹</t>
        </is>
      </c>
      <c r="M5879" t="inlineStr"/>
      <c r="N5879" t="inlineStr">
        <is>
          <t>48A⁵, 24F⁴, 48B⁹, 16A¹, 8C⁰, 2B⁰, 8I⁰, 4B⁰, 1A⁰, 24B², 16G¹, 32O³, 16D⁰, 12B¹, 3A⁰, 6D⁰, 48D⁴</t>
        </is>
      </c>
      <c r="O5879" t="inlineStr"/>
    </row>
    <row r="5880">
      <c r="A5880">
        <f>HYPERLINK("https://mathstats.uncg.edu/sites/pauli/congruence/csg19.html#group96L19", "96L¹⁹")</f>
        <v/>
      </c>
      <c r="B5880" t="n">
        <v>19</v>
      </c>
      <c r="C5880" t="inlineStr"/>
      <c r="D5880" t="inlineStr">
        <is>
          <t>288</t>
        </is>
      </c>
      <c r="E5880" t="inlineStr">
        <is>
          <t>1</t>
        </is>
      </c>
      <c r="F5880" t="inlineStr">
        <is>
          <t>24</t>
        </is>
      </c>
      <c r="G5880" t="inlineStr">
        <is>
          <t>12</t>
        </is>
      </c>
      <c r="H5880" t="inlineStr">
        <is>
          <t>0</t>
        </is>
      </c>
      <c r="I5880" t="inlineStr">
        <is>
          <t>24⁴, 96²</t>
        </is>
      </c>
      <c r="J5880" t="n">
        <v>6</v>
      </c>
      <c r="K5880" t="inlineStr">
        <is>
          <t>1², 2¹, 4¹, 8²</t>
        </is>
      </c>
      <c r="L5880" t="inlineStr">
        <is>
          <t>32H⁵, 48P⁷, 96C¹⁰</t>
        </is>
      </c>
      <c r="M5880" t="inlineStr"/>
      <c r="N5880" t="inlineStr">
        <is>
          <t>12C⁰, 16I¹, 8D⁰, 4C⁰, 48P⁷, 32H⁵, 8B⁰, 32I³, 2B⁰, 24L², 1A⁰, 8H⁰, 16E⁰, 12A⁰, 48E⁴, 24A⁰, 4A⁰, 16C¹, 24C¹, 12J¹, 4F⁰, 48D³, 3A⁰, 6D⁰, 96C¹⁰</t>
        </is>
      </c>
      <c r="O5880" t="inlineStr"/>
    </row>
    <row r="5881">
      <c r="A5881">
        <f>HYPERLINK("https://mathstats.uncg.edu/sites/pauli/congruence/csg19.html#group96M19", "96M¹⁹")</f>
        <v/>
      </c>
      <c r="B5881" t="n">
        <v>19</v>
      </c>
      <c r="C5881" t="inlineStr"/>
      <c r="D5881" t="inlineStr">
        <is>
          <t>288</t>
        </is>
      </c>
      <c r="E5881" t="inlineStr">
        <is>
          <t>1</t>
        </is>
      </c>
      <c r="F5881" t="inlineStr">
        <is>
          <t>24</t>
        </is>
      </c>
      <c r="G5881" t="inlineStr">
        <is>
          <t>12</t>
        </is>
      </c>
      <c r="H5881" t="inlineStr">
        <is>
          <t>0</t>
        </is>
      </c>
      <c r="I5881" t="inlineStr">
        <is>
          <t>24⁴, 96²</t>
        </is>
      </c>
      <c r="J5881" t="n">
        <v>6</v>
      </c>
      <c r="K5881" t="inlineStr">
        <is>
          <t>2⁴, 8²</t>
        </is>
      </c>
      <c r="L5881" t="inlineStr">
        <is>
          <t>32I⁵, 48P⁷</t>
        </is>
      </c>
      <c r="M5881" t="inlineStr"/>
      <c r="N5881" t="inlineStr">
        <is>
          <t>12C⁰, 16I¹, 4C⁰, 48P⁷, 2B⁰, 1A⁰, 16E⁰, 48E⁴, 24A⁰, 48D³, 3A⁰, 32I⁵, 8D⁰, 8B⁰, 24L², 8H⁰, 12A⁰, 4A⁰, 16C¹, 24C¹, 12J¹, 4F⁰, 6D⁰</t>
        </is>
      </c>
      <c r="O5881" t="inlineStr"/>
    </row>
    <row r="5882">
      <c r="A5882">
        <f>HYPERLINK("https://mathstats.uncg.edu/sites/pauli/congruence/csg19.html#group96N19", "96N¹⁹")</f>
        <v/>
      </c>
      <c r="B5882" t="n">
        <v>19</v>
      </c>
      <c r="C5882" t="inlineStr"/>
      <c r="D5882" t="inlineStr">
        <is>
          <t>288</t>
        </is>
      </c>
      <c r="E5882" t="inlineStr">
        <is>
          <t>1</t>
        </is>
      </c>
      <c r="F5882" t="inlineStr">
        <is>
          <t>36</t>
        </is>
      </c>
      <c r="G5882" t="inlineStr">
        <is>
          <t>0</t>
        </is>
      </c>
      <c r="H5882" t="inlineStr">
        <is>
          <t>0</t>
        </is>
      </c>
      <c r="I5882" t="inlineStr">
        <is>
          <t>6⁸, 24², 96²</t>
        </is>
      </c>
      <c r="J5882" t="n">
        <v>12</v>
      </c>
      <c r="K5882" t="inlineStr">
        <is>
          <t>2⁴, 4⁷</t>
        </is>
      </c>
      <c r="L5882" t="inlineStr">
        <is>
          <t>48Q⁷</t>
        </is>
      </c>
      <c r="M5882" t="inlineStr"/>
      <c r="N5882" t="inlineStr">
        <is>
          <t>12K¹, 48F⁴, 6G⁰, 8C⁰, 2B⁰, 4B⁰, 1A⁰, 48Q⁷, 24B², 24D², 3C⁰, 12B¹, 12D⁰, 3A⁰, 24L³, 6D⁰</t>
        </is>
      </c>
      <c r="O5882" t="inlineStr"/>
    </row>
    <row r="5883">
      <c r="A5883">
        <f>HYPERLINK("https://mathstats.uncg.edu/sites/pauli/congruence/csg19.html#group96O19", "96O¹⁹")</f>
        <v/>
      </c>
      <c r="B5883" t="n">
        <v>19</v>
      </c>
      <c r="C5883" t="inlineStr"/>
      <c r="D5883" t="inlineStr">
        <is>
          <t>288</t>
        </is>
      </c>
      <c r="E5883" t="inlineStr">
        <is>
          <t>1</t>
        </is>
      </c>
      <c r="F5883" t="inlineStr">
        <is>
          <t>36</t>
        </is>
      </c>
      <c r="G5883" t="inlineStr">
        <is>
          <t>0</t>
        </is>
      </c>
      <c r="H5883" t="inlineStr">
        <is>
          <t>0</t>
        </is>
      </c>
      <c r="I5883" t="inlineStr">
        <is>
          <t>6⁸, 24², 96²</t>
        </is>
      </c>
      <c r="J5883" t="n">
        <v>12</v>
      </c>
      <c r="K5883" t="inlineStr">
        <is>
          <t>2⁸, 4³, 8¹</t>
        </is>
      </c>
      <c r="L5883" t="inlineStr">
        <is>
          <t>48F⁹, 96G⁹</t>
        </is>
      </c>
      <c r="M5883" t="inlineStr"/>
      <c r="N5883" t="inlineStr">
        <is>
          <t>6B⁰, 12D², 24J⁴, 8C⁰, 2B⁰, 4B⁰, 1A⁰, 96G⁹, 48B⁴, 24B², 12C¹, 16C⁰, 24D², 12B¹, 48F⁹, 6H⁰, 3A⁰, 6D⁰, 48B⁵</t>
        </is>
      </c>
      <c r="O5883" t="inlineStr"/>
    </row>
    <row r="5884">
      <c r="A5884">
        <f>HYPERLINK("https://mathstats.uncg.edu/sites/pauli/congruence/csg19.html#group96P19", "96P¹⁹")</f>
        <v/>
      </c>
      <c r="B5884" t="n">
        <v>19</v>
      </c>
      <c r="C5884" t="inlineStr"/>
      <c r="D5884" t="inlineStr">
        <is>
          <t>288</t>
        </is>
      </c>
      <c r="E5884" t="inlineStr">
        <is>
          <t>1</t>
        </is>
      </c>
      <c r="F5884" t="inlineStr">
        <is>
          <t>36</t>
        </is>
      </c>
      <c r="G5884" t="inlineStr">
        <is>
          <t>0</t>
        </is>
      </c>
      <c r="H5884" t="inlineStr">
        <is>
          <t>0</t>
        </is>
      </c>
      <c r="I5884" t="inlineStr">
        <is>
          <t>6⁸, 24², 96²</t>
        </is>
      </c>
      <c r="J5884" t="n">
        <v>12</v>
      </c>
      <c r="K5884" t="inlineStr">
        <is>
          <t>1⁴, 2⁶, 4³, 8¹</t>
        </is>
      </c>
      <c r="L5884" t="inlineStr">
        <is>
          <t>48E⁸, 96G⁹, 96B¹⁰</t>
        </is>
      </c>
      <c r="M5884" t="inlineStr"/>
      <c r="N5884" t="inlineStr">
        <is>
          <t>24F⁴, 8C⁰, 2B⁰, 8I⁰, 4B⁰, 1A⁰, 96G⁹, 48B⁴, 16H⁰, 24B², 48E⁸, 16C⁰, 16D⁰, 12B¹, 3A⁰, 96B¹⁰, 6D⁰, 48D⁴</t>
        </is>
      </c>
      <c r="O5884" t="inlineStr"/>
    </row>
    <row r="5885">
      <c r="A5885">
        <f>HYPERLINK("https://mathstats.uncg.edu/sites/pauli/congruence/csg19.html#group96Q19", "96Q¹⁹")</f>
        <v/>
      </c>
      <c r="B5885" t="n">
        <v>19</v>
      </c>
      <c r="C5885" t="inlineStr"/>
      <c r="D5885" t="inlineStr">
        <is>
          <t>288</t>
        </is>
      </c>
      <c r="E5885" t="inlineStr">
        <is>
          <t>1</t>
        </is>
      </c>
      <c r="F5885" t="inlineStr">
        <is>
          <t>36</t>
        </is>
      </c>
      <c r="G5885" t="inlineStr">
        <is>
          <t>0</t>
        </is>
      </c>
      <c r="H5885" t="inlineStr">
        <is>
          <t>0</t>
        </is>
      </c>
      <c r="I5885" t="inlineStr">
        <is>
          <t>6⁸, 24², 96²</t>
        </is>
      </c>
      <c r="J5885" t="n">
        <v>12</v>
      </c>
      <c r="K5885" t="inlineStr">
        <is>
          <t>1⁴, 2⁶, 4³, 8¹</t>
        </is>
      </c>
      <c r="L5885" t="inlineStr">
        <is>
          <t>48J⁸, 96A⁹, 96B¹⁰</t>
        </is>
      </c>
      <c r="M5885" t="inlineStr"/>
      <c r="N5885" t="inlineStr">
        <is>
          <t>24B², 32A¹, 4B⁰, 96A⁹, 16C⁰, 24M⁴, 8C⁰, 48J⁸, 12B¹, 2B⁰, 3A⁰, 96B¹⁰, 1A⁰, 48G⁴, 6D⁰, 48B⁴</t>
        </is>
      </c>
      <c r="O5885" t="inlineStr"/>
    </row>
    <row r="5886">
      <c r="A5886">
        <f>HYPERLINK("https://mathstats.uncg.edu/sites/pauli/congruence/csg19.html#group96R19", "96R¹⁹")</f>
        <v/>
      </c>
      <c r="B5886" t="n">
        <v>19</v>
      </c>
      <c r="C5886" t="inlineStr"/>
      <c r="D5886" t="inlineStr">
        <is>
          <t>288</t>
        </is>
      </c>
      <c r="E5886" t="inlineStr">
        <is>
          <t>1</t>
        </is>
      </c>
      <c r="F5886" t="inlineStr">
        <is>
          <t>36</t>
        </is>
      </c>
      <c r="G5886" t="inlineStr">
        <is>
          <t>0</t>
        </is>
      </c>
      <c r="H5886" t="inlineStr">
        <is>
          <t>0</t>
        </is>
      </c>
      <c r="I5886" t="inlineStr">
        <is>
          <t>6⁸, 24², 96²</t>
        </is>
      </c>
      <c r="J5886" t="n">
        <v>12</v>
      </c>
      <c r="K5886" t="inlineStr">
        <is>
          <t>1⁴, 2⁶, 4³, 8¹</t>
        </is>
      </c>
      <c r="L5886" t="inlineStr">
        <is>
          <t>48J⁸, 96G⁹, 96A¹⁰</t>
        </is>
      </c>
      <c r="M5886" t="inlineStr"/>
      <c r="N5886" t="inlineStr">
        <is>
          <t>24B², 4B⁰, 48G⁴, 16C⁰, 24M⁴, 96A¹⁰, 48J⁸, 8C⁰, 12B¹, 3A⁰, 2B⁰, 1A⁰, 96G⁹, 32A², 6D⁰, 48B⁴</t>
        </is>
      </c>
      <c r="O5886" t="inlineStr"/>
    </row>
    <row r="5887">
      <c r="A5887">
        <f>HYPERLINK("https://mathstats.uncg.edu/sites/pauli/congruence/csg19.html#group96S19", "96S¹⁹")</f>
        <v/>
      </c>
      <c r="B5887" t="n">
        <v>19</v>
      </c>
      <c r="C5887" t="inlineStr"/>
      <c r="D5887" t="inlineStr">
        <is>
          <t>288</t>
        </is>
      </c>
      <c r="E5887" t="inlineStr">
        <is>
          <t>1</t>
        </is>
      </c>
      <c r="F5887" t="inlineStr">
        <is>
          <t>36</t>
        </is>
      </c>
      <c r="G5887" t="inlineStr">
        <is>
          <t>0</t>
        </is>
      </c>
      <c r="H5887" t="inlineStr">
        <is>
          <t>0</t>
        </is>
      </c>
      <c r="I5887" t="inlineStr">
        <is>
          <t>6⁸, 24², 96²</t>
        </is>
      </c>
      <c r="J5887" t="n">
        <v>12</v>
      </c>
      <c r="K5887" t="inlineStr">
        <is>
          <t>1⁴, 2⁶, 4³, 8¹</t>
        </is>
      </c>
      <c r="L5887" t="inlineStr">
        <is>
          <t>48F⁹, 96A⁹, 96G⁹</t>
        </is>
      </c>
      <c r="M5887" t="inlineStr"/>
      <c r="N5887" t="inlineStr">
        <is>
          <t>6B⁰, 96A⁹, 12D², 24J⁴, 8C⁰, 2B⁰, 4B⁰, 1A⁰, 96G⁹, 48B⁴, 24B², 32A¹, 12C¹, 16C⁰, 24D², 12B¹, 48F⁹, 6H⁰, 3A⁰, 6D⁰, 48B⁵</t>
        </is>
      </c>
      <c r="O5887" t="inlineStr"/>
    </row>
    <row r="5888">
      <c r="A5888">
        <f>HYPERLINK("https://mathstats.uncg.edu/sites/pauli/congruence/csg19.html#group96T19", "96T¹⁹")</f>
        <v/>
      </c>
      <c r="B5888" t="n">
        <v>19</v>
      </c>
      <c r="C5888" t="inlineStr"/>
      <c r="D5888" t="inlineStr">
        <is>
          <t>288</t>
        </is>
      </c>
      <c r="E5888" t="inlineStr">
        <is>
          <t>1</t>
        </is>
      </c>
      <c r="F5888" t="inlineStr">
        <is>
          <t>36</t>
        </is>
      </c>
      <c r="G5888" t="inlineStr">
        <is>
          <t>16</t>
        </is>
      </c>
      <c r="H5888" t="inlineStr">
        <is>
          <t>0</t>
        </is>
      </c>
      <c r="I5888" t="inlineStr">
        <is>
          <t>48², 96²</t>
        </is>
      </c>
      <c r="J5888" t="n">
        <v>4</v>
      </c>
      <c r="K5888" t="inlineStr">
        <is>
          <t>2², 4⁸</t>
        </is>
      </c>
      <c r="L5888" t="inlineStr">
        <is>
          <t>48G⁵, 96A⁷</t>
        </is>
      </c>
      <c r="M5888" t="inlineStr"/>
      <c r="N5888" t="inlineStr">
        <is>
          <t>24E¹, 12C⁰, 4C⁰, 8B⁰, 24P², 48A⁰, 12M¹, 2B⁰, 48G⁵, 1A⁰, 16B⁰, 24A⁰, 96A⁷, 48F³, 3A⁰, 6D⁰</t>
        </is>
      </c>
      <c r="O5888" t="inlineStr"/>
    </row>
    <row r="5889">
      <c r="A5889">
        <f>HYPERLINK("https://mathstats.uncg.edu/sites/pauli/congruence/csg19.html#group96U19", "96U¹⁹")</f>
        <v/>
      </c>
      <c r="B5889" t="n">
        <v>19</v>
      </c>
      <c r="C5889" t="inlineStr"/>
      <c r="D5889" t="inlineStr">
        <is>
          <t>288</t>
        </is>
      </c>
      <c r="E5889" t="inlineStr">
        <is>
          <t>1</t>
        </is>
      </c>
      <c r="F5889" t="inlineStr">
        <is>
          <t>36</t>
        </is>
      </c>
      <c r="G5889" t="inlineStr">
        <is>
          <t>16</t>
        </is>
      </c>
      <c r="H5889" t="inlineStr">
        <is>
          <t>0</t>
        </is>
      </c>
      <c r="I5889" t="inlineStr">
        <is>
          <t>48², 96²</t>
        </is>
      </c>
      <c r="J5889" t="n">
        <v>4</v>
      </c>
      <c r="K5889" t="inlineStr">
        <is>
          <t>2⁶, 4⁶</t>
        </is>
      </c>
      <c r="L5889" t="inlineStr">
        <is>
          <t>48M³, 96A⁷, 96B⁹</t>
        </is>
      </c>
      <c r="M5889" t="inlineStr"/>
      <c r="N5889" t="inlineStr">
        <is>
          <t>6B⁰, 12C⁰, 3A⁰, 96B⁹, 4C⁰, 24D¹, 8B⁰, 48A⁰, 2B⁰, 1A⁰, 16B⁰, 48M³, 24A⁰, 96A⁷, 48A², 32D³, 12D⁰, 6H⁰, 12H⁰, 24H¹, 6D⁰</t>
        </is>
      </c>
      <c r="O5889" t="inlineStr"/>
    </row>
    <row r="5890">
      <c r="A5890">
        <f>HYPERLINK("https://mathstats.uncg.edu/sites/pauli/congruence/csg19.html#group96V19", "96V¹⁹")</f>
        <v/>
      </c>
      <c r="B5890" t="n">
        <v>19</v>
      </c>
      <c r="C5890" t="inlineStr"/>
      <c r="D5890" t="inlineStr">
        <is>
          <t>288</t>
        </is>
      </c>
      <c r="E5890" t="inlineStr">
        <is>
          <t>1</t>
        </is>
      </c>
      <c r="F5890" t="inlineStr">
        <is>
          <t>36</t>
        </is>
      </c>
      <c r="G5890" t="inlineStr">
        <is>
          <t>16</t>
        </is>
      </c>
      <c r="H5890" t="inlineStr">
        <is>
          <t>0</t>
        </is>
      </c>
      <c r="I5890" t="inlineStr">
        <is>
          <t>48², 96²</t>
        </is>
      </c>
      <c r="J5890" t="n">
        <v>4</v>
      </c>
      <c r="K5890" t="inlineStr">
        <is>
          <t>2⁶, 4⁶</t>
        </is>
      </c>
      <c r="L5890" t="inlineStr">
        <is>
          <t>48G⁵, 96A⁵, 96B⁹</t>
        </is>
      </c>
      <c r="M5890" t="inlineStr"/>
      <c r="N5890" t="inlineStr">
        <is>
          <t>24E¹, 12C⁰, 96B⁹, 96A⁵, 4C⁰, 8B⁰, 24P², 48A⁰, 12M¹, 2B⁰, 48G⁵, 1A⁰, 16B⁰, 24A⁰, 32D³, 48F³, 3A⁰, 6D⁰</t>
        </is>
      </c>
      <c r="O5890" t="inlineStr"/>
    </row>
    <row r="5891">
      <c r="A5891">
        <f>HYPERLINK("https://mathstats.uncg.edu/sites/pauli/congruence/csg19.html#group96W19", "96W¹⁹")</f>
        <v/>
      </c>
      <c r="B5891" t="n">
        <v>19</v>
      </c>
      <c r="C5891" t="inlineStr"/>
      <c r="D5891" t="inlineStr">
        <is>
          <t>288</t>
        </is>
      </c>
      <c r="E5891" t="inlineStr">
        <is>
          <t>1</t>
        </is>
      </c>
      <c r="F5891" t="inlineStr">
        <is>
          <t>36</t>
        </is>
      </c>
      <c r="G5891" t="inlineStr">
        <is>
          <t>16</t>
        </is>
      </c>
      <c r="H5891" t="inlineStr">
        <is>
          <t>0</t>
        </is>
      </c>
      <c r="I5891" t="inlineStr">
        <is>
          <t>48², 96²</t>
        </is>
      </c>
      <c r="J5891" t="n">
        <v>4</v>
      </c>
      <c r="K5891" t="inlineStr">
        <is>
          <t>1⁴, 2⁶, 4³, 8¹</t>
        </is>
      </c>
      <c r="L5891" t="inlineStr">
        <is>
          <t>48F⁵, 96A⁷</t>
        </is>
      </c>
      <c r="M5891" t="inlineStr"/>
      <c r="N5891" t="inlineStr">
        <is>
          <t>48F⁵, 12C⁰, 4C⁰, 8B⁰, 48A⁰, 8L⁰, 2B⁰, 16J¹, 1A⁰, 16B⁰, 16D¹, 48E³, 24A⁰, 96A⁷, 24M², 3A⁰, 6D⁰</t>
        </is>
      </c>
      <c r="O5891" t="inlineStr"/>
    </row>
    <row r="5892">
      <c r="A5892">
        <f>HYPERLINK("https://mathstats.uncg.edu/sites/pauli/congruence/csg19.html#group96X19", "96X¹⁹")</f>
        <v/>
      </c>
      <c r="B5892" t="n">
        <v>19</v>
      </c>
      <c r="C5892" t="inlineStr"/>
      <c r="D5892" t="inlineStr">
        <is>
          <t>288</t>
        </is>
      </c>
      <c r="E5892" t="inlineStr">
        <is>
          <t>1</t>
        </is>
      </c>
      <c r="F5892" t="inlineStr">
        <is>
          <t>36</t>
        </is>
      </c>
      <c r="G5892" t="inlineStr">
        <is>
          <t>16</t>
        </is>
      </c>
      <c r="H5892" t="inlineStr">
        <is>
          <t>0</t>
        </is>
      </c>
      <c r="I5892" t="inlineStr">
        <is>
          <t>48², 96²</t>
        </is>
      </c>
      <c r="J5892" t="n">
        <v>4</v>
      </c>
      <c r="K5892" t="inlineStr">
        <is>
          <t>2⁴, 4¹⁰, 8³</t>
        </is>
      </c>
      <c r="L5892" t="inlineStr">
        <is>
          <t>48H⁵, 96A⁷</t>
        </is>
      </c>
      <c r="M5892" t="inlineStr"/>
      <c r="N5892" t="inlineStr">
        <is>
          <t>16B⁰, 12C⁰, 24A⁰, 96A⁷, 4C⁰, 8B⁰, 24Q², 48H⁵, 48A⁰, 2B⁰, 3A⁰, 1A⁰, 48H³, 6D⁰</t>
        </is>
      </c>
      <c r="O5892" t="inlineStr"/>
    </row>
    <row r="5893">
      <c r="A5893">
        <f>HYPERLINK("https://mathstats.uncg.edu/sites/pauli/congruence/csg19.html#group96Y19", "96Y¹⁹")</f>
        <v/>
      </c>
      <c r="B5893" t="n">
        <v>19</v>
      </c>
      <c r="C5893" t="inlineStr"/>
      <c r="D5893" t="inlineStr">
        <is>
          <t>288</t>
        </is>
      </c>
      <c r="E5893" t="inlineStr">
        <is>
          <t>1</t>
        </is>
      </c>
      <c r="F5893" t="inlineStr">
        <is>
          <t>36</t>
        </is>
      </c>
      <c r="G5893" t="inlineStr">
        <is>
          <t>16</t>
        </is>
      </c>
      <c r="H5893" t="inlineStr">
        <is>
          <t>0</t>
        </is>
      </c>
      <c r="I5893" t="inlineStr">
        <is>
          <t>48², 96²</t>
        </is>
      </c>
      <c r="J5893" t="n">
        <v>4</v>
      </c>
      <c r="K5893" t="inlineStr">
        <is>
          <t>2⁴, 4¹⁰, 8³</t>
        </is>
      </c>
      <c r="L5893" t="inlineStr">
        <is>
          <t>48H⁵, 96A⁷</t>
        </is>
      </c>
      <c r="M5893" t="inlineStr"/>
      <c r="N5893" t="inlineStr">
        <is>
          <t>16B⁰, 12C⁰, 24A⁰, 96A⁷, 4C⁰, 8B⁰, 24Q², 48H⁵, 48A⁰, 2B⁰, 3A⁰, 1A⁰, 48H³, 6D⁰</t>
        </is>
      </c>
      <c r="O5893" t="inlineStr"/>
    </row>
    <row r="5894">
      <c r="A5894">
        <f>HYPERLINK("https://mathstats.uncg.edu/sites/pauli/congruence/csg19.html#group96Z19", "96Z¹⁹")</f>
        <v/>
      </c>
      <c r="B5894" t="n">
        <v>19</v>
      </c>
      <c r="C5894" t="inlineStr"/>
      <c r="D5894" t="inlineStr">
        <is>
          <t>288</t>
        </is>
      </c>
      <c r="E5894" t="inlineStr">
        <is>
          <t>1</t>
        </is>
      </c>
      <c r="F5894" t="inlineStr">
        <is>
          <t>72</t>
        </is>
      </c>
      <c r="G5894" t="inlineStr">
        <is>
          <t>0</t>
        </is>
      </c>
      <c r="H5894" t="inlineStr">
        <is>
          <t>0</t>
        </is>
      </c>
      <c r="I5894" t="inlineStr">
        <is>
          <t>6⁴, 12⁶, 96²</t>
        </is>
      </c>
      <c r="J5894" t="n">
        <v>12</v>
      </c>
      <c r="K5894" t="inlineStr">
        <is>
          <t>1⁴, 2⁶, 4⁴, 8³, 16¹</t>
        </is>
      </c>
      <c r="L5894" t="inlineStr">
        <is>
          <t>48B⁹</t>
        </is>
      </c>
      <c r="M5894" t="inlineStr"/>
      <c r="N5894" t="inlineStr">
        <is>
          <t>48A⁵, 24F⁴, 48B⁹, 16A¹, 8C⁰, 2B⁰, 8I⁰, 4B⁰, 1A⁰, 24B², 16G¹, 16D⁰, 12B¹, 3A⁰, 6D⁰, 48D⁴</t>
        </is>
      </c>
      <c r="O5894" t="inlineStr"/>
    </row>
    <row r="5895">
      <c r="A5895">
        <f>HYPERLINK("https://mathstats.uncg.edu/sites/pauli/congruence/csg19.html#group96AA19", "96AA¹⁹")</f>
        <v/>
      </c>
      <c r="B5895" t="n">
        <v>19</v>
      </c>
      <c r="C5895" t="inlineStr"/>
      <c r="D5895" t="inlineStr">
        <is>
          <t>288</t>
        </is>
      </c>
      <c r="E5895" t="inlineStr">
        <is>
          <t>1</t>
        </is>
      </c>
      <c r="F5895" t="inlineStr">
        <is>
          <t>72</t>
        </is>
      </c>
      <c r="G5895" t="inlineStr">
        <is>
          <t>4</t>
        </is>
      </c>
      <c r="H5895" t="inlineStr">
        <is>
          <t>0</t>
        </is>
      </c>
      <c r="I5895" t="inlineStr">
        <is>
          <t>12⁸, 96²</t>
        </is>
      </c>
      <c r="J5895" t="n">
        <v>10</v>
      </c>
      <c r="K5895" t="inlineStr">
        <is>
          <t>2², 4⁵, 8⁷, 16⁴</t>
        </is>
      </c>
      <c r="L5895" t="inlineStr">
        <is>
          <t>96C⁸, 96F⁸, 48T⁹</t>
        </is>
      </c>
      <c r="M5895" t="inlineStr"/>
      <c r="N5895" t="inlineStr">
        <is>
          <t>48T⁹, 12C⁰, 48H⁴, 8D⁰, 4C⁰, 2B⁰, 12M¹, 24C², 1A⁰, 16E⁰, 96F⁸, 32C¹, 96C⁸, 24C¹, 48D³, 3A⁰, 24L⁴, 6D⁰</t>
        </is>
      </c>
      <c r="O5895" t="inlineStr"/>
    </row>
    <row r="5896">
      <c r="A5896">
        <f>HYPERLINK("https://mathstats.uncg.edu/sites/pauli/congruence/csg19.html#group96AB19", "96AB¹⁹")</f>
        <v/>
      </c>
      <c r="B5896" t="n">
        <v>19</v>
      </c>
      <c r="C5896" t="inlineStr"/>
      <c r="D5896" t="inlineStr">
        <is>
          <t>288</t>
        </is>
      </c>
      <c r="E5896" t="inlineStr">
        <is>
          <t>1</t>
        </is>
      </c>
      <c r="F5896" t="inlineStr">
        <is>
          <t>72</t>
        </is>
      </c>
      <c r="G5896" t="inlineStr">
        <is>
          <t>4</t>
        </is>
      </c>
      <c r="H5896" t="inlineStr">
        <is>
          <t>0</t>
        </is>
      </c>
      <c r="I5896" t="inlineStr">
        <is>
          <t>12⁸, 96²</t>
        </is>
      </c>
      <c r="J5896" t="n">
        <v>10</v>
      </c>
      <c r="K5896" t="inlineStr">
        <is>
          <t>2², 4⁵, 8⁷, 16⁴</t>
        </is>
      </c>
      <c r="L5896" t="inlineStr">
        <is>
          <t>96D⁸, 96E⁸, 48T⁹</t>
        </is>
      </c>
      <c r="M5896" t="inlineStr"/>
      <c r="N5896" t="inlineStr">
        <is>
          <t>48T⁹, 12C⁰, 8D⁰, 48H⁴, 4C⁰, 96D⁸, 32D¹, 2B⁰, 12M¹, 24C², 96E⁸, 1A⁰, 16E⁰, 24C¹, 48D³, 3A⁰, 24L⁴, 6D⁰</t>
        </is>
      </c>
      <c r="O5896" t="inlineStr"/>
    </row>
    <row r="5897">
      <c r="A5897">
        <f>HYPERLINK("https://mathstats.uncg.edu/sites/pauli/congruence/csg19.html#group96AC19", "96AC¹⁹")</f>
        <v/>
      </c>
      <c r="B5897" t="n">
        <v>19</v>
      </c>
      <c r="C5897" t="inlineStr"/>
      <c r="D5897" t="inlineStr">
        <is>
          <t>288</t>
        </is>
      </c>
      <c r="E5897" t="inlineStr">
        <is>
          <t>1</t>
        </is>
      </c>
      <c r="F5897" t="inlineStr">
        <is>
          <t>72</t>
        </is>
      </c>
      <c r="G5897" t="inlineStr">
        <is>
          <t>12</t>
        </is>
      </c>
      <c r="H5897" t="inlineStr">
        <is>
          <t>0</t>
        </is>
      </c>
      <c r="I5897" t="inlineStr">
        <is>
          <t>24⁴, 96²</t>
        </is>
      </c>
      <c r="J5897" t="n">
        <v>6</v>
      </c>
      <c r="K5897" t="inlineStr">
        <is>
          <t>1², 2³, 4², 8³, 16²</t>
        </is>
      </c>
      <c r="L5897" t="inlineStr">
        <is>
          <t>48P⁷, 96D¹⁰</t>
        </is>
      </c>
      <c r="M5897" t="inlineStr"/>
      <c r="N5897" t="inlineStr">
        <is>
          <t>12C⁰, 16I¹, 8D⁰, 4C⁰, 48P⁷, 8B⁰, 2B⁰, 24L², 1A⁰, 8H⁰, 16E⁰, 12A⁰, 48E⁴, 24A⁰, 4A⁰, 16C¹, 24C¹, 12J¹, 48D³, 4F⁰, 3A⁰, 6D⁰, 96D¹⁰</t>
        </is>
      </c>
      <c r="O5897" t="inlineStr"/>
    </row>
    <row r="5898">
      <c r="A5898">
        <f>HYPERLINK("https://mathstats.uncg.edu/sites/pauli/congruence/csg19.html#group96AD19", "96AD¹⁹")</f>
        <v/>
      </c>
      <c r="B5898" t="n">
        <v>19</v>
      </c>
      <c r="C5898" t="inlineStr"/>
      <c r="D5898" t="inlineStr">
        <is>
          <t>288</t>
        </is>
      </c>
      <c r="E5898" t="inlineStr">
        <is>
          <t>1</t>
        </is>
      </c>
      <c r="F5898" t="inlineStr">
        <is>
          <t>72</t>
        </is>
      </c>
      <c r="G5898" t="inlineStr">
        <is>
          <t>12</t>
        </is>
      </c>
      <c r="H5898" t="inlineStr">
        <is>
          <t>0</t>
        </is>
      </c>
      <c r="I5898" t="inlineStr">
        <is>
          <t>24⁴, 96²</t>
        </is>
      </c>
      <c r="J5898" t="n">
        <v>6</v>
      </c>
      <c r="K5898" t="inlineStr">
        <is>
          <t>2⁴, 4⁴, 8², 16²</t>
        </is>
      </c>
      <c r="L5898" t="inlineStr">
        <is>
          <t>48P⁷</t>
        </is>
      </c>
      <c r="M5898" t="inlineStr"/>
      <c r="N5898" t="inlineStr">
        <is>
          <t>12C⁰, 16I¹, 8D⁰, 4C⁰, 48P⁷, 8B⁰, 2B⁰, 24L², 1A⁰, 8H⁰, 16E⁰, 12A⁰, 48E⁴, 24A⁰, 4A⁰, 16C¹, 24C¹, 12J¹, 48D³, 4F⁰, 3A⁰, 6D⁰</t>
        </is>
      </c>
      <c r="O5898" t="inlineStr"/>
    </row>
    <row r="5899">
      <c r="A5899">
        <f>HYPERLINK("https://mathstats.uncg.edu/sites/pauli/congruence/csg19.html#group96AE19", "96AE¹⁹")</f>
        <v/>
      </c>
      <c r="B5899" t="n">
        <v>19</v>
      </c>
      <c r="C5899" t="inlineStr"/>
      <c r="D5899" t="inlineStr">
        <is>
          <t>288</t>
        </is>
      </c>
      <c r="E5899" t="inlineStr">
        <is>
          <t>1</t>
        </is>
      </c>
      <c r="F5899" t="inlineStr">
        <is>
          <t>72</t>
        </is>
      </c>
      <c r="G5899" t="inlineStr">
        <is>
          <t>16</t>
        </is>
      </c>
      <c r="H5899" t="inlineStr">
        <is>
          <t>0</t>
        </is>
      </c>
      <c r="I5899" t="inlineStr">
        <is>
          <t>48², 96²</t>
        </is>
      </c>
      <c r="J5899" t="n">
        <v>4</v>
      </c>
      <c r="K5899" t="inlineStr">
        <is>
          <t>2⁴, 4¹⁰, 8¹, 16¹</t>
        </is>
      </c>
      <c r="L5899" t="inlineStr">
        <is>
          <t>48AE⁷, 96H⁹</t>
        </is>
      </c>
      <c r="M5899" t="inlineStr"/>
      <c r="N5899" t="inlineStr">
        <is>
          <t>6B⁰, 12C⁰, 6H⁰, 4C⁰, 24D¹, 8B⁰, 2B⁰, 12H⁰, 1A⁰, 48H³, 16D¹, 48E³, 24A⁰, 96H⁹, 12D⁰, 48AE⁷, 3A⁰, 24H¹, 6D⁰</t>
        </is>
      </c>
      <c r="O5899" t="inlineStr"/>
    </row>
    <row r="5900">
      <c r="A5900">
        <f>HYPERLINK("https://mathstats.uncg.edu/sites/pauli/congruence/csg19.html#group96AF19", "96AF¹⁹")</f>
        <v/>
      </c>
      <c r="B5900" t="n">
        <v>19</v>
      </c>
      <c r="C5900" t="inlineStr"/>
      <c r="D5900" t="inlineStr">
        <is>
          <t>288</t>
        </is>
      </c>
      <c r="E5900" t="inlineStr">
        <is>
          <t>1</t>
        </is>
      </c>
      <c r="F5900" t="inlineStr">
        <is>
          <t>72</t>
        </is>
      </c>
      <c r="G5900" t="inlineStr">
        <is>
          <t>16</t>
        </is>
      </c>
      <c r="H5900" t="inlineStr">
        <is>
          <t>0</t>
        </is>
      </c>
      <c r="I5900" t="inlineStr">
        <is>
          <t>48², 96²</t>
        </is>
      </c>
      <c r="J5900" t="n">
        <v>4</v>
      </c>
      <c r="K5900" t="inlineStr">
        <is>
          <t>2⁴, 4¹⁰, 8¹, 16¹</t>
        </is>
      </c>
      <c r="L5900" t="inlineStr">
        <is>
          <t>48AE⁷, 96I⁹</t>
        </is>
      </c>
      <c r="M5900" t="inlineStr"/>
      <c r="N5900" t="inlineStr">
        <is>
          <t>6B⁰, 12C⁰, 6H⁰, 4C⁰, 24D¹, 8B⁰, 2B⁰, 12H⁰, 1A⁰, 48H³, 96I⁹, 16D¹, 48E³, 24A⁰, 12D⁰, 48AE⁷, 3A⁰, 24H¹, 6D⁰</t>
        </is>
      </c>
      <c r="O5900" t="inlineStr"/>
    </row>
    <row r="5901">
      <c r="A5901">
        <f>HYPERLINK("https://mathstats.uncg.edu/sites/pauli/congruence/csg19.html#group96AG19", "96AG¹⁹")</f>
        <v/>
      </c>
      <c r="B5901" t="n">
        <v>19</v>
      </c>
      <c r="C5901" t="inlineStr"/>
      <c r="D5901" t="inlineStr">
        <is>
          <t>288</t>
        </is>
      </c>
      <c r="E5901" t="inlineStr">
        <is>
          <t>1</t>
        </is>
      </c>
      <c r="F5901" t="inlineStr">
        <is>
          <t>72</t>
        </is>
      </c>
      <c r="G5901" t="inlineStr">
        <is>
          <t>16</t>
        </is>
      </c>
      <c r="H5901" t="inlineStr">
        <is>
          <t>0</t>
        </is>
      </c>
      <c r="I5901" t="inlineStr">
        <is>
          <t>48², 96²</t>
        </is>
      </c>
      <c r="J5901" t="n">
        <v>4</v>
      </c>
      <c r="K5901" t="inlineStr">
        <is>
          <t>2⁴, 4¹⁰, 8¹, 16¹</t>
        </is>
      </c>
      <c r="L5901" t="inlineStr">
        <is>
          <t>48AE⁷, 96J⁹</t>
        </is>
      </c>
      <c r="M5901" t="inlineStr"/>
      <c r="N5901" t="inlineStr">
        <is>
          <t>6B⁰, 12C⁰, 6H⁰, 4C⁰, 24D¹, 8B⁰, 2B⁰, 96J⁹, 12H⁰, 1A⁰, 48H³, 16D¹, 48E³, 24A⁰, 12D⁰, 48AE⁷, 3A⁰, 24H¹, 6D⁰</t>
        </is>
      </c>
      <c r="O5901" t="inlineStr"/>
    </row>
    <row r="5902">
      <c r="A5902">
        <f>HYPERLINK("https://mathstats.uncg.edu/sites/pauli/congruence/csg19.html#group96AH19", "96AH¹⁹")</f>
        <v/>
      </c>
      <c r="B5902" t="n">
        <v>19</v>
      </c>
      <c r="C5902" t="inlineStr"/>
      <c r="D5902" t="inlineStr">
        <is>
          <t>288</t>
        </is>
      </c>
      <c r="E5902" t="inlineStr">
        <is>
          <t>1</t>
        </is>
      </c>
      <c r="F5902" t="inlineStr">
        <is>
          <t>72</t>
        </is>
      </c>
      <c r="G5902" t="inlineStr">
        <is>
          <t>16</t>
        </is>
      </c>
      <c r="H5902" t="inlineStr">
        <is>
          <t>0</t>
        </is>
      </c>
      <c r="I5902" t="inlineStr">
        <is>
          <t>48², 96²</t>
        </is>
      </c>
      <c r="J5902" t="n">
        <v>4</v>
      </c>
      <c r="K5902" t="inlineStr">
        <is>
          <t>2⁴, 4¹⁰, 8¹, 16¹</t>
        </is>
      </c>
      <c r="L5902" t="inlineStr">
        <is>
          <t>48AE⁷, 96K⁹</t>
        </is>
      </c>
      <c r="M5902" t="inlineStr"/>
      <c r="N5902" t="inlineStr">
        <is>
          <t>6B⁰, 12C⁰, 6H⁰, 4C⁰, 24D¹, 8B⁰, 2B⁰, 12H⁰, 1A⁰, 48H³, 16D¹, 48E³, 24A⁰, 96K⁹, 12D⁰, 48AE⁷, 3A⁰, 24H¹, 6D⁰</t>
        </is>
      </c>
      <c r="O5902" t="inlineStr"/>
    </row>
    <row r="5903">
      <c r="A5903">
        <f>HYPERLINK("https://mathstats.uncg.edu/sites/pauli/congruence/csg19.html#group96AI19", "96AI¹⁹")</f>
        <v/>
      </c>
      <c r="B5903" t="n">
        <v>19</v>
      </c>
      <c r="C5903" t="inlineStr"/>
      <c r="D5903" t="inlineStr">
        <is>
          <t>288</t>
        </is>
      </c>
      <c r="E5903" t="inlineStr">
        <is>
          <t>1</t>
        </is>
      </c>
      <c r="F5903" t="inlineStr">
        <is>
          <t>72</t>
        </is>
      </c>
      <c r="G5903" t="inlineStr">
        <is>
          <t>16</t>
        </is>
      </c>
      <c r="H5903" t="inlineStr">
        <is>
          <t>0</t>
        </is>
      </c>
      <c r="I5903" t="inlineStr">
        <is>
          <t>48², 96²</t>
        </is>
      </c>
      <c r="J5903" t="n">
        <v>4</v>
      </c>
      <c r="K5903" t="inlineStr">
        <is>
          <t>4¹⁴, 8²</t>
        </is>
      </c>
      <c r="L5903" t="inlineStr">
        <is>
          <t>48M⁷</t>
        </is>
      </c>
      <c r="M5903" t="inlineStr"/>
      <c r="N5903" t="inlineStr">
        <is>
          <t>12C⁰, 4C⁰, 24I³, 8B⁰, 6G⁰, 2B⁰, 24C², 12L¹, 1A⁰, 48M⁷, 12C¹, 24A⁰, 48A², 3C⁰, 3A⁰, 6D⁰</t>
        </is>
      </c>
      <c r="O5903" t="inlineStr"/>
    </row>
    <row r="5904">
      <c r="A5904">
        <f>HYPERLINK("https://mathstats.uncg.edu/sites/pauli/congruence/csg19.html#group96AJ19", "96AJ¹⁹")</f>
        <v/>
      </c>
      <c r="B5904" t="n">
        <v>19</v>
      </c>
      <c r="C5904" t="inlineStr"/>
      <c r="D5904" t="inlineStr">
        <is>
          <t>288</t>
        </is>
      </c>
      <c r="E5904" t="inlineStr">
        <is>
          <t>1</t>
        </is>
      </c>
      <c r="F5904" t="inlineStr">
        <is>
          <t>72</t>
        </is>
      </c>
      <c r="G5904" t="inlineStr">
        <is>
          <t>16</t>
        </is>
      </c>
      <c r="H5904" t="inlineStr">
        <is>
          <t>0</t>
        </is>
      </c>
      <c r="I5904" t="inlineStr">
        <is>
          <t>48², 96²</t>
        </is>
      </c>
      <c r="J5904" t="n">
        <v>4</v>
      </c>
      <c r="K5904" t="inlineStr">
        <is>
          <t>4¹⁴, 8²</t>
        </is>
      </c>
      <c r="L5904" t="inlineStr">
        <is>
          <t>48M⁷</t>
        </is>
      </c>
      <c r="M5904" t="inlineStr"/>
      <c r="N5904" t="inlineStr">
        <is>
          <t>12C⁰, 4C⁰, 24I³, 8B⁰, 6G⁰, 2B⁰, 24C², 12L¹, 1A⁰, 48M⁷, 12C¹, 24A⁰, 48A², 3C⁰, 3A⁰, 6D⁰</t>
        </is>
      </c>
      <c r="O5904" t="inlineStr"/>
    </row>
    <row r="5905">
      <c r="A5905">
        <f>HYPERLINK("https://mathstats.uncg.edu/sites/pauli/congruence/csg19.html#group96AK19", "96AK¹⁹")</f>
        <v/>
      </c>
      <c r="B5905" t="n">
        <v>19</v>
      </c>
      <c r="C5905" t="inlineStr"/>
      <c r="D5905" t="inlineStr">
        <is>
          <t>288</t>
        </is>
      </c>
      <c r="E5905" t="inlineStr">
        <is>
          <t>1</t>
        </is>
      </c>
      <c r="F5905" t="inlineStr">
        <is>
          <t>72</t>
        </is>
      </c>
      <c r="G5905" t="inlineStr">
        <is>
          <t>16</t>
        </is>
      </c>
      <c r="H5905" t="inlineStr">
        <is>
          <t>0</t>
        </is>
      </c>
      <c r="I5905" t="inlineStr">
        <is>
          <t>48², 96²</t>
        </is>
      </c>
      <c r="J5905" t="n">
        <v>4</v>
      </c>
      <c r="K5905" t="inlineStr">
        <is>
          <t>2⁸, 4⁸, 8¹, 16¹</t>
        </is>
      </c>
      <c r="L5905" t="inlineStr">
        <is>
          <t>48AE⁷, 96C⁹, 96I⁹</t>
        </is>
      </c>
      <c r="M5905" t="inlineStr"/>
      <c r="N5905" t="inlineStr">
        <is>
          <t>6B⁰, 12C⁰, 6H⁰, 4C⁰, 24D¹, 8B⁰, 2B⁰, 12H⁰, 1A⁰, 48H³, 96I⁹, 16D¹, 48E³, 24A⁰, 32E³, 96C⁹, 12D⁰, 48AE⁷, 3A⁰, 24H¹, 6D⁰</t>
        </is>
      </c>
      <c r="O5905" t="inlineStr"/>
    </row>
    <row r="5906">
      <c r="A5906">
        <f>HYPERLINK("https://mathstats.uncg.edu/sites/pauli/congruence/csg19.html#group96AL19", "96AL¹⁹")</f>
        <v/>
      </c>
      <c r="B5906" t="n">
        <v>19</v>
      </c>
      <c r="C5906" t="inlineStr"/>
      <c r="D5906" t="inlineStr">
        <is>
          <t>288</t>
        </is>
      </c>
      <c r="E5906" t="inlineStr">
        <is>
          <t>1</t>
        </is>
      </c>
      <c r="F5906" t="inlineStr">
        <is>
          <t>72</t>
        </is>
      </c>
      <c r="G5906" t="inlineStr">
        <is>
          <t>16</t>
        </is>
      </c>
      <c r="H5906" t="inlineStr">
        <is>
          <t>0</t>
        </is>
      </c>
      <c r="I5906" t="inlineStr">
        <is>
          <t>48², 96²</t>
        </is>
      </c>
      <c r="J5906" t="n">
        <v>4</v>
      </c>
      <c r="K5906" t="inlineStr">
        <is>
          <t>2⁸, 4⁸, 8¹, 16¹</t>
        </is>
      </c>
      <c r="L5906" t="inlineStr">
        <is>
          <t>48AE⁷, 96D⁹, 96H⁹</t>
        </is>
      </c>
      <c r="M5906" t="inlineStr"/>
      <c r="N5906" t="inlineStr">
        <is>
          <t>6B⁰, 12C⁰, 6H⁰, 4C⁰, 24D¹, 8B⁰, 2B⁰, 32F³, 12H⁰, 1A⁰, 48H³, 16D¹, 48E³, 24A⁰, 96D⁹, 96H⁹, 12D⁰, 48AE⁷, 3A⁰, 24H¹, 6D⁰</t>
        </is>
      </c>
      <c r="O5906" t="inlineStr"/>
    </row>
    <row r="5907">
      <c r="A5907">
        <f>HYPERLINK("https://mathstats.uncg.edu/sites/pauli/congruence/csg19.html#group96AM19", "96AM¹⁹")</f>
        <v/>
      </c>
      <c r="B5907" t="n">
        <v>19</v>
      </c>
      <c r="C5907" t="inlineStr"/>
      <c r="D5907" t="inlineStr">
        <is>
          <t>288</t>
        </is>
      </c>
      <c r="E5907" t="inlineStr">
        <is>
          <t>1</t>
        </is>
      </c>
      <c r="F5907" t="inlineStr">
        <is>
          <t>72</t>
        </is>
      </c>
      <c r="G5907" t="inlineStr">
        <is>
          <t>16</t>
        </is>
      </c>
      <c r="H5907" t="inlineStr">
        <is>
          <t>0</t>
        </is>
      </c>
      <c r="I5907" t="inlineStr">
        <is>
          <t>48², 96²</t>
        </is>
      </c>
      <c r="J5907" t="n">
        <v>4</v>
      </c>
      <c r="K5907" t="inlineStr">
        <is>
          <t>2⁸, 4⁸, 8¹, 16¹</t>
        </is>
      </c>
      <c r="L5907" t="inlineStr">
        <is>
          <t>48AE⁷, 96E⁹, 96J⁹</t>
        </is>
      </c>
      <c r="M5907" t="inlineStr"/>
      <c r="N5907" t="inlineStr">
        <is>
          <t>6B⁰, 12C⁰, 6H⁰, 4C⁰, 24D¹, 8B⁰, 2B⁰, 32G³, 96J⁹, 12H⁰, 1A⁰, 96E⁹, 48H³, 16D¹, 48E³, 24A⁰, 12D⁰, 48AE⁷, 3A⁰, 24H¹, 6D⁰</t>
        </is>
      </c>
      <c r="O5907" t="inlineStr"/>
    </row>
    <row r="5908">
      <c r="A5908">
        <f>HYPERLINK("https://mathstats.uncg.edu/sites/pauli/congruence/csg19.html#group96AN19", "96AN¹⁹")</f>
        <v/>
      </c>
      <c r="B5908" t="n">
        <v>19</v>
      </c>
      <c r="C5908" t="inlineStr"/>
      <c r="D5908" t="inlineStr">
        <is>
          <t>288</t>
        </is>
      </c>
      <c r="E5908" t="inlineStr">
        <is>
          <t>1</t>
        </is>
      </c>
      <c r="F5908" t="inlineStr">
        <is>
          <t>72</t>
        </is>
      </c>
      <c r="G5908" t="inlineStr">
        <is>
          <t>16</t>
        </is>
      </c>
      <c r="H5908" t="inlineStr">
        <is>
          <t>0</t>
        </is>
      </c>
      <c r="I5908" t="inlineStr">
        <is>
          <t>48², 96²</t>
        </is>
      </c>
      <c r="J5908" t="n">
        <v>4</v>
      </c>
      <c r="K5908" t="inlineStr">
        <is>
          <t>2⁸, 4⁸, 8¹, 16¹</t>
        </is>
      </c>
      <c r="L5908" t="inlineStr">
        <is>
          <t>48AE⁷, 96F⁹, 96K⁹</t>
        </is>
      </c>
      <c r="M5908" t="inlineStr"/>
      <c r="N5908" t="inlineStr">
        <is>
          <t>6B⁰, 12C⁰, 96F⁹, 6H⁰, 4C⁰, 24D¹, 8B⁰, 2B⁰, 12H⁰, 1A⁰, 48H³, 16D¹, 48E³, 24A⁰, 96K⁹, 6D⁰, 12D⁰, 48AE⁷, 3A⁰, 24H¹, 32H³</t>
        </is>
      </c>
      <c r="O5908" t="inlineStr"/>
    </row>
    <row r="5909">
      <c r="A5909">
        <f>HYPERLINK("https://mathstats.uncg.edu/sites/pauli/congruence/csg19.html#group96AO19", "96AO¹⁹")</f>
        <v/>
      </c>
      <c r="B5909" t="n">
        <v>19</v>
      </c>
      <c r="C5909" t="inlineStr"/>
      <c r="D5909" t="inlineStr">
        <is>
          <t>288</t>
        </is>
      </c>
      <c r="E5909" t="inlineStr">
        <is>
          <t>1</t>
        </is>
      </c>
      <c r="F5909" t="inlineStr">
        <is>
          <t>72</t>
        </is>
      </c>
      <c r="G5909" t="inlineStr">
        <is>
          <t>16</t>
        </is>
      </c>
      <c r="H5909" t="inlineStr">
        <is>
          <t>0</t>
        </is>
      </c>
      <c r="I5909" t="inlineStr">
        <is>
          <t>48², 96²</t>
        </is>
      </c>
      <c r="J5909" t="n">
        <v>4</v>
      </c>
      <c r="K5909" t="inlineStr">
        <is>
          <t>2⁸, 4⁸, 8¹, 16¹</t>
        </is>
      </c>
      <c r="L5909" t="inlineStr">
        <is>
          <t>48AG⁷, 96C⁹, 96H⁹</t>
        </is>
      </c>
      <c r="M5909" t="inlineStr"/>
      <c r="N5909" t="inlineStr">
        <is>
          <t>48AG⁷, 16D¹, 12C⁰, 48E³, 24A⁰, 4C⁰, 8B⁰, 96H⁹, 24Q², 48A², 96C⁹, 2B⁰, 32E³, 3A⁰, 1A⁰, 6D⁰</t>
        </is>
      </c>
      <c r="O5909" t="inlineStr"/>
    </row>
    <row r="5910">
      <c r="A5910">
        <f>HYPERLINK("https://mathstats.uncg.edu/sites/pauli/congruence/csg19.html#group96AP19", "96AP¹⁹")</f>
        <v/>
      </c>
      <c r="B5910" t="n">
        <v>19</v>
      </c>
      <c r="C5910" t="inlineStr"/>
      <c r="D5910" t="inlineStr">
        <is>
          <t>288</t>
        </is>
      </c>
      <c r="E5910" t="inlineStr">
        <is>
          <t>1</t>
        </is>
      </c>
      <c r="F5910" t="inlineStr">
        <is>
          <t>72</t>
        </is>
      </c>
      <c r="G5910" t="inlineStr">
        <is>
          <t>16</t>
        </is>
      </c>
      <c r="H5910" t="inlineStr">
        <is>
          <t>0</t>
        </is>
      </c>
      <c r="I5910" t="inlineStr">
        <is>
          <t>48², 96²</t>
        </is>
      </c>
      <c r="J5910" t="n">
        <v>4</v>
      </c>
      <c r="K5910" t="inlineStr">
        <is>
          <t>2⁸, 4⁸, 8¹, 16¹</t>
        </is>
      </c>
      <c r="L5910" t="inlineStr">
        <is>
          <t>48AG⁷, 96D⁹, 96I⁹</t>
        </is>
      </c>
      <c r="M5910" t="inlineStr"/>
      <c r="N5910" t="inlineStr">
        <is>
          <t>48AG⁷, 96I⁹, 16D¹, 12C⁰, 48E³, 24A⁰, 96D⁹, 4C⁰, 8B⁰, 24Q², 48A², 2B⁰, 32F³, 3A⁰, 1A⁰, 6D⁰</t>
        </is>
      </c>
      <c r="O5910" t="inlineStr"/>
    </row>
    <row r="5911">
      <c r="A5911">
        <f>HYPERLINK("https://mathstats.uncg.edu/sites/pauli/congruence/csg19.html#group96AQ19", "96AQ¹⁹")</f>
        <v/>
      </c>
      <c r="B5911" t="n">
        <v>19</v>
      </c>
      <c r="C5911" t="inlineStr"/>
      <c r="D5911" t="inlineStr">
        <is>
          <t>288</t>
        </is>
      </c>
      <c r="E5911" t="inlineStr">
        <is>
          <t>1</t>
        </is>
      </c>
      <c r="F5911" t="inlineStr">
        <is>
          <t>72</t>
        </is>
      </c>
      <c r="G5911" t="inlineStr">
        <is>
          <t>16</t>
        </is>
      </c>
      <c r="H5911" t="inlineStr">
        <is>
          <t>0</t>
        </is>
      </c>
      <c r="I5911" t="inlineStr">
        <is>
          <t>48², 96²</t>
        </is>
      </c>
      <c r="J5911" t="n">
        <v>4</v>
      </c>
      <c r="K5911" t="inlineStr">
        <is>
          <t>2⁸, 4⁸, 8¹, 16¹</t>
        </is>
      </c>
      <c r="L5911" t="inlineStr">
        <is>
          <t>48AG⁷, 96E⁹, 96K⁹</t>
        </is>
      </c>
      <c r="M5911" t="inlineStr"/>
      <c r="N5911" t="inlineStr">
        <is>
          <t>48AG⁷, 16D¹, 12C⁰, 48E³, 24A⁰, 96K⁹, 4C⁰, 8B⁰, 24Q², 48A², 2B⁰, 32G³, 3A⁰, 1A⁰, 96E⁹, 6D⁰</t>
        </is>
      </c>
      <c r="O5911" t="inlineStr"/>
    </row>
    <row r="5912">
      <c r="A5912">
        <f>HYPERLINK("https://mathstats.uncg.edu/sites/pauli/congruence/csg19.html#group96AR19", "96AR¹⁹")</f>
        <v/>
      </c>
      <c r="B5912" t="n">
        <v>19</v>
      </c>
      <c r="C5912" t="inlineStr"/>
      <c r="D5912" t="inlineStr">
        <is>
          <t>288</t>
        </is>
      </c>
      <c r="E5912" t="inlineStr">
        <is>
          <t>1</t>
        </is>
      </c>
      <c r="F5912" t="inlineStr">
        <is>
          <t>72</t>
        </is>
      </c>
      <c r="G5912" t="inlineStr">
        <is>
          <t>16</t>
        </is>
      </c>
      <c r="H5912" t="inlineStr">
        <is>
          <t>0</t>
        </is>
      </c>
      <c r="I5912" t="inlineStr">
        <is>
          <t>48², 96²</t>
        </is>
      </c>
      <c r="J5912" t="n">
        <v>4</v>
      </c>
      <c r="K5912" t="inlineStr">
        <is>
          <t>2⁸, 4⁸, 8¹, 16¹</t>
        </is>
      </c>
      <c r="L5912" t="inlineStr">
        <is>
          <t>48AG⁷, 96F⁹, 96J⁹</t>
        </is>
      </c>
      <c r="M5912" t="inlineStr"/>
      <c r="N5912" t="inlineStr">
        <is>
          <t>48AG⁷, 16D¹, 12C⁰, 3A⁰, 48E³, 96F⁹, 24A⁰, 4C⁰, 8B⁰, 32H³, 24Q², 48A², 2B⁰, 96J⁹, 1A⁰, 6D⁰</t>
        </is>
      </c>
      <c r="O5912" t="inlineStr"/>
    </row>
    <row r="5913">
      <c r="A5913">
        <f>HYPERLINK("https://mathstats.uncg.edu/sites/pauli/congruence/csg19.html#group96AS19", "96AS¹⁹")</f>
        <v/>
      </c>
      <c r="B5913" t="n">
        <v>19</v>
      </c>
      <c r="C5913" t="inlineStr"/>
      <c r="D5913" t="inlineStr">
        <is>
          <t>288</t>
        </is>
      </c>
      <c r="E5913" t="inlineStr">
        <is>
          <t>1</t>
        </is>
      </c>
      <c r="F5913" t="inlineStr">
        <is>
          <t>144</t>
        </is>
      </c>
      <c r="G5913" t="inlineStr">
        <is>
          <t>16</t>
        </is>
      </c>
      <c r="H5913" t="inlineStr">
        <is>
          <t>0</t>
        </is>
      </c>
      <c r="I5913" t="inlineStr">
        <is>
          <t>48², 96²</t>
        </is>
      </c>
      <c r="J5913" t="n">
        <v>4</v>
      </c>
      <c r="K5913" t="inlineStr">
        <is>
          <t>2⁴, 4¹⁰, 8⁶, 16³</t>
        </is>
      </c>
      <c r="L5913" t="inlineStr">
        <is>
          <t>48AD⁷</t>
        </is>
      </c>
      <c r="M5913" t="inlineStr"/>
      <c r="N5913" t="inlineStr">
        <is>
          <t>6B⁰, 12C⁰, 3A⁰, 4C⁰, 24D¹, 8B⁰, 2B⁰, 1A⁰, 48H³, 48AD⁷, 24A⁰, 12D⁰, 6H⁰, 12H⁰, 24H¹, 6D⁰</t>
        </is>
      </c>
      <c r="O5913" t="inlineStr"/>
    </row>
    <row r="5914">
      <c r="A5914">
        <f>HYPERLINK("https://mathstats.uncg.edu/sites/pauli/congruence/csg19.html#group96AT19", "96AT¹⁹")</f>
        <v/>
      </c>
      <c r="B5914" t="n">
        <v>19</v>
      </c>
      <c r="C5914" t="inlineStr"/>
      <c r="D5914" t="inlineStr">
        <is>
          <t>288</t>
        </is>
      </c>
      <c r="E5914" t="inlineStr">
        <is>
          <t>1</t>
        </is>
      </c>
      <c r="F5914" t="inlineStr">
        <is>
          <t>144</t>
        </is>
      </c>
      <c r="G5914" t="inlineStr">
        <is>
          <t>16</t>
        </is>
      </c>
      <c r="H5914" t="inlineStr">
        <is>
          <t>0</t>
        </is>
      </c>
      <c r="I5914" t="inlineStr">
        <is>
          <t>48², 96²</t>
        </is>
      </c>
      <c r="J5914" t="n">
        <v>4</v>
      </c>
      <c r="K5914" t="inlineStr">
        <is>
          <t>2⁴, 4¹⁰, 8⁶, 16³</t>
        </is>
      </c>
      <c r="L5914" t="inlineStr">
        <is>
          <t>48AD⁷</t>
        </is>
      </c>
      <c r="M5914" t="inlineStr"/>
      <c r="N5914" t="inlineStr">
        <is>
          <t>6B⁰, 12C⁰, 3A⁰, 4C⁰, 24D¹, 8B⁰, 2B⁰, 1A⁰, 48H³, 48AD⁷, 24A⁰, 12D⁰, 6H⁰, 12H⁰, 24H¹, 6D⁰</t>
        </is>
      </c>
      <c r="O5914" t="inlineStr"/>
    </row>
    <row r="5915">
      <c r="A5915">
        <f>HYPERLINK("https://mathstats.uncg.edu/sites/pauli/congruence/csg19.html#group96AU19", "96AU¹⁹")</f>
        <v/>
      </c>
      <c r="B5915" t="n">
        <v>19</v>
      </c>
      <c r="C5915" t="inlineStr"/>
      <c r="D5915" t="inlineStr">
        <is>
          <t>288</t>
        </is>
      </c>
      <c r="E5915" t="inlineStr">
        <is>
          <t>1</t>
        </is>
      </c>
      <c r="F5915" t="inlineStr">
        <is>
          <t>144</t>
        </is>
      </c>
      <c r="G5915" t="inlineStr">
        <is>
          <t>16</t>
        </is>
      </c>
      <c r="H5915" t="inlineStr">
        <is>
          <t>0</t>
        </is>
      </c>
      <c r="I5915" t="inlineStr">
        <is>
          <t>48², 96²</t>
        </is>
      </c>
      <c r="J5915" t="n">
        <v>4</v>
      </c>
      <c r="K5915" t="inlineStr">
        <is>
          <t>2⁴, 4¹⁰, 8⁶, 16³</t>
        </is>
      </c>
      <c r="L5915" t="inlineStr">
        <is>
          <t>48AD⁷</t>
        </is>
      </c>
      <c r="M5915" t="inlineStr"/>
      <c r="N5915" t="inlineStr">
        <is>
          <t>6B⁰, 12C⁰, 3A⁰, 4C⁰, 24D¹, 8B⁰, 2B⁰, 1A⁰, 48H³, 48AD⁷, 24A⁰, 12D⁰, 6H⁰, 12H⁰, 24H¹, 6D⁰</t>
        </is>
      </c>
      <c r="O5915" t="inlineStr"/>
    </row>
    <row r="5916">
      <c r="A5916">
        <f>HYPERLINK("https://mathstats.uncg.edu/sites/pauli/congruence/csg19.html#group96AV19", "96AV¹⁹")</f>
        <v/>
      </c>
      <c r="B5916" t="n">
        <v>19</v>
      </c>
      <c r="C5916" t="inlineStr"/>
      <c r="D5916" t="inlineStr">
        <is>
          <t>288</t>
        </is>
      </c>
      <c r="E5916" t="inlineStr">
        <is>
          <t>1</t>
        </is>
      </c>
      <c r="F5916" t="inlineStr">
        <is>
          <t>144</t>
        </is>
      </c>
      <c r="G5916" t="inlineStr">
        <is>
          <t>16</t>
        </is>
      </c>
      <c r="H5916" t="inlineStr">
        <is>
          <t>0</t>
        </is>
      </c>
      <c r="I5916" t="inlineStr">
        <is>
          <t>48², 96²</t>
        </is>
      </c>
      <c r="J5916" t="n">
        <v>4</v>
      </c>
      <c r="K5916" t="inlineStr">
        <is>
          <t>2⁴, 4¹⁰, 8⁶, 16³</t>
        </is>
      </c>
      <c r="L5916" t="inlineStr">
        <is>
          <t>48AD⁷</t>
        </is>
      </c>
      <c r="M5916" t="inlineStr"/>
      <c r="N5916" t="inlineStr">
        <is>
          <t>6B⁰, 12C⁰, 3A⁰, 4C⁰, 24D¹, 8B⁰, 2B⁰, 1A⁰, 48H³, 48AD⁷, 24A⁰, 12D⁰, 6H⁰, 12H⁰, 24H¹, 6D⁰</t>
        </is>
      </c>
      <c r="O5916" t="inlineStr"/>
    </row>
    <row r="5917">
      <c r="A5917">
        <f>HYPERLINK("https://mathstats.uncg.edu/sites/pauli/congruence/csg19.html#group96AW19", "96AW¹⁹")</f>
        <v/>
      </c>
      <c r="B5917" t="n">
        <v>19</v>
      </c>
      <c r="C5917" t="inlineStr"/>
      <c r="D5917" t="inlineStr">
        <is>
          <t>288</t>
        </is>
      </c>
      <c r="E5917" t="inlineStr">
        <is>
          <t>2</t>
        </is>
      </c>
      <c r="F5917" t="inlineStr">
        <is>
          <t>18</t>
        </is>
      </c>
      <c r="G5917" t="inlineStr">
        <is>
          <t>0</t>
        </is>
      </c>
      <c r="H5917" t="inlineStr">
        <is>
          <t>0</t>
        </is>
      </c>
      <c r="I5917" t="inlineStr">
        <is>
          <t>6⁸, 24², 96²</t>
        </is>
      </c>
      <c r="J5917" t="n">
        <v>12</v>
      </c>
      <c r="K5917" t="inlineStr">
        <is>
          <t>2¹², 4³</t>
        </is>
      </c>
      <c r="L5917" t="inlineStr">
        <is>
          <t>96B⁸, 48F⁹, 96B¹⁰</t>
        </is>
      </c>
      <c r="M5917" t="inlineStr"/>
      <c r="N5917" t="inlineStr">
        <is>
          <t>6B⁰, 12D², 24J⁴, 8C⁰, 2B⁰, 4B⁰, 1A⁰, 48B⁴, 24B², 12C¹, 96B⁸, 16C⁰, 24D², 12B¹, 48F⁹, 6H⁰, 3A⁰, 96B¹⁰, 6D⁰, 48B⁵</t>
        </is>
      </c>
      <c r="O5917" t="inlineStr"/>
    </row>
    <row r="5918">
      <c r="A5918">
        <f>HYPERLINK("https://mathstats.uncg.edu/sites/pauli/congruence/csg19.html#group96AX19", "96AX¹⁹")</f>
        <v/>
      </c>
      <c r="B5918" t="n">
        <v>19</v>
      </c>
      <c r="C5918" t="inlineStr"/>
      <c r="D5918" t="inlineStr">
        <is>
          <t>288</t>
        </is>
      </c>
      <c r="E5918" t="inlineStr">
        <is>
          <t>2</t>
        </is>
      </c>
      <c r="F5918" t="inlineStr">
        <is>
          <t>36</t>
        </is>
      </c>
      <c r="G5918" t="inlineStr">
        <is>
          <t>0</t>
        </is>
      </c>
      <c r="H5918" t="inlineStr">
        <is>
          <t>0</t>
        </is>
      </c>
      <c r="I5918" t="inlineStr">
        <is>
          <t>6⁸, 24², 96²</t>
        </is>
      </c>
      <c r="J5918" t="n">
        <v>12</v>
      </c>
      <c r="K5918" t="inlineStr">
        <is>
          <t>2¹², 4⁶, 8³</t>
        </is>
      </c>
      <c r="L5918" t="inlineStr">
        <is>
          <t>48J⁸, 96G⁹, 96B¹⁰</t>
        </is>
      </c>
      <c r="M5918" t="inlineStr"/>
      <c r="N5918" t="inlineStr">
        <is>
          <t>24B², 4B⁰, 16C⁰, 24M⁴, 8C⁰, 48J⁸, 12B¹, 2B⁰, 3A⁰, 96B¹⁰, 1A⁰, 96G⁹, 48G⁴, 6D⁰, 48B⁴</t>
        </is>
      </c>
      <c r="O5918" t="inlineStr"/>
    </row>
    <row r="5919">
      <c r="A5919">
        <f>HYPERLINK("https://mathstats.uncg.edu/sites/pauli/congruence/csg19.html#group96AY19", "96AY¹⁹")</f>
        <v/>
      </c>
      <c r="B5919" t="n">
        <v>19</v>
      </c>
      <c r="C5919" t="inlineStr"/>
      <c r="D5919" t="inlineStr">
        <is>
          <t>288</t>
        </is>
      </c>
      <c r="E5919" t="inlineStr">
        <is>
          <t>2</t>
        </is>
      </c>
      <c r="F5919" t="inlineStr">
        <is>
          <t>36</t>
        </is>
      </c>
      <c r="G5919" t="inlineStr">
        <is>
          <t>16</t>
        </is>
      </c>
      <c r="H5919" t="inlineStr">
        <is>
          <t>0</t>
        </is>
      </c>
      <c r="I5919" t="inlineStr">
        <is>
          <t>48², 96²</t>
        </is>
      </c>
      <c r="J5919" t="n">
        <v>4</v>
      </c>
      <c r="K5919" t="inlineStr">
        <is>
          <t>2⁸, 4¹⁰, 8²</t>
        </is>
      </c>
      <c r="L5919" t="inlineStr">
        <is>
          <t>48H⁵, 96A⁵, 96B⁹</t>
        </is>
      </c>
      <c r="M5919" t="inlineStr"/>
      <c r="N5919" t="inlineStr">
        <is>
          <t>16B⁰, 12C⁰, 96B⁹, 24A⁰, 96A⁵, 4C⁰, 8B⁰, 24Q², 48H⁵, 48A⁰, 2B⁰, 32D³, 3A⁰, 1A⁰, 48H³, 6D⁰</t>
        </is>
      </c>
      <c r="O5919" t="inlineStr"/>
    </row>
    <row r="5920">
      <c r="A5920">
        <f>HYPERLINK("https://mathstats.uncg.edu/sites/pauli/congruence/csg19.html#group96AZ19", "96AZ¹⁹")</f>
        <v/>
      </c>
      <c r="B5920" t="n">
        <v>19</v>
      </c>
      <c r="C5920" t="inlineStr"/>
      <c r="D5920" t="inlineStr">
        <is>
          <t>288</t>
        </is>
      </c>
      <c r="E5920" t="inlineStr">
        <is>
          <t>2</t>
        </is>
      </c>
      <c r="F5920" t="inlineStr">
        <is>
          <t>72</t>
        </is>
      </c>
      <c r="G5920" t="inlineStr">
        <is>
          <t>4</t>
        </is>
      </c>
      <c r="H5920" t="inlineStr">
        <is>
          <t>0</t>
        </is>
      </c>
      <c r="I5920" t="inlineStr">
        <is>
          <t>12⁸, 96²</t>
        </is>
      </c>
      <c r="J5920" t="n">
        <v>10</v>
      </c>
      <c r="K5920" t="inlineStr">
        <is>
          <t>4⁶, 8³, 16⁶</t>
        </is>
      </c>
      <c r="L5920" t="inlineStr">
        <is>
          <t>96E⁸, 96F⁸, 48T⁹</t>
        </is>
      </c>
      <c r="M5920" t="inlineStr"/>
      <c r="N5920" t="inlineStr">
        <is>
          <t>48T⁹, 12C⁰, 8D⁰, 48H⁴, 4C⁰, 2B⁰, 12M¹, 24C², 96E⁸, 1A⁰, 16E⁰, 96F⁸, 24C¹, 48D³, 3A⁰, 24L⁴, 6D⁰</t>
        </is>
      </c>
      <c r="O5920" t="inlineStr"/>
    </row>
    <row r="5921">
      <c r="A5921">
        <f>HYPERLINK("https://mathstats.uncg.edu/sites/pauli/congruence/csg19.html#group96BA19", "96BA¹⁹")</f>
        <v/>
      </c>
      <c r="B5921" t="n">
        <v>19</v>
      </c>
      <c r="C5921" t="inlineStr"/>
      <c r="D5921" t="inlineStr">
        <is>
          <t>288</t>
        </is>
      </c>
      <c r="E5921" t="inlineStr">
        <is>
          <t>2</t>
        </is>
      </c>
      <c r="F5921" t="inlineStr">
        <is>
          <t>72</t>
        </is>
      </c>
      <c r="G5921" t="inlineStr">
        <is>
          <t>16</t>
        </is>
      </c>
      <c r="H5921" t="inlineStr">
        <is>
          <t>0</t>
        </is>
      </c>
      <c r="I5921" t="inlineStr">
        <is>
          <t>48², 96²</t>
        </is>
      </c>
      <c r="J5921" t="n">
        <v>4</v>
      </c>
      <c r="K5921" t="inlineStr">
        <is>
          <t>4²⁴, 16³</t>
        </is>
      </c>
      <c r="L5921" t="inlineStr">
        <is>
          <t>48AG⁷, 96H⁹, 96I⁹</t>
        </is>
      </c>
      <c r="M5921" t="inlineStr"/>
      <c r="N5921" t="inlineStr">
        <is>
          <t>48AG⁷, 96I⁹, 16D¹, 12C⁰, 48E³, 24A⁰, 4C⁰, 8B⁰, 96H⁹, 24Q², 48A², 2B⁰, 3A⁰, 1A⁰, 6D⁰</t>
        </is>
      </c>
      <c r="O5921" t="inlineStr"/>
    </row>
    <row r="5922">
      <c r="A5922">
        <f>HYPERLINK("https://mathstats.uncg.edu/sites/pauli/congruence/csg19.html#group96BB19", "96BB¹⁹")</f>
        <v/>
      </c>
      <c r="B5922" t="n">
        <v>19</v>
      </c>
      <c r="C5922" t="inlineStr"/>
      <c r="D5922" t="inlineStr">
        <is>
          <t>288</t>
        </is>
      </c>
      <c r="E5922" t="inlineStr">
        <is>
          <t>2</t>
        </is>
      </c>
      <c r="F5922" t="inlineStr">
        <is>
          <t>72</t>
        </is>
      </c>
      <c r="G5922" t="inlineStr">
        <is>
          <t>16</t>
        </is>
      </c>
      <c r="H5922" t="inlineStr">
        <is>
          <t>0</t>
        </is>
      </c>
      <c r="I5922" t="inlineStr">
        <is>
          <t>48², 96²</t>
        </is>
      </c>
      <c r="J5922" t="n">
        <v>4</v>
      </c>
      <c r="K5922" t="inlineStr">
        <is>
          <t>4²⁴, 16³</t>
        </is>
      </c>
      <c r="L5922" t="inlineStr">
        <is>
          <t>48AG⁷, 96J⁹, 96K⁹</t>
        </is>
      </c>
      <c r="M5922" t="inlineStr"/>
      <c r="N5922" t="inlineStr">
        <is>
          <t>48AG⁷, 16D¹, 12C⁰, 3A⁰, 48E³, 24A⁰, 96K⁹, 4C⁰, 8B⁰, 24Q², 48A², 2B⁰, 96J⁹, 1A⁰, 6D⁰</t>
        </is>
      </c>
      <c r="O5922" t="inlineStr"/>
    </row>
    <row r="5923">
      <c r="A5923">
        <f>HYPERLINK("https://mathstats.uncg.edu/sites/pauli/congruence/csg19.html#group96BC19", "96BC¹⁹")</f>
        <v/>
      </c>
      <c r="B5923" t="n">
        <v>19</v>
      </c>
      <c r="C5923" t="inlineStr"/>
      <c r="D5923" t="inlineStr">
        <is>
          <t>384</t>
        </is>
      </c>
      <c r="E5923" t="inlineStr">
        <is>
          <t>1</t>
        </is>
      </c>
      <c r="F5923" t="inlineStr">
        <is>
          <t>48</t>
        </is>
      </c>
      <c r="G5923" t="inlineStr">
        <is>
          <t>0</t>
        </is>
      </c>
      <c r="H5923" t="inlineStr">
        <is>
          <t>0</t>
        </is>
      </c>
      <c r="I5923" t="inlineStr">
        <is>
          <t>2⁸, 4⁴, 6⁸, 12⁴, 32², 96²</t>
        </is>
      </c>
      <c r="J5923" t="n">
        <v>28</v>
      </c>
      <c r="K5923" t="inlineStr">
        <is>
          <t>2¹², 4⁶</t>
        </is>
      </c>
      <c r="L5923" t="inlineStr">
        <is>
          <t>48AL⁷</t>
        </is>
      </c>
      <c r="M5923" t="inlineStr"/>
      <c r="N5923" t="inlineStr">
        <is>
          <t>16G⁰, 2A⁰, 3B⁰, 24V³, 8D⁰, 12F¹, 6I⁰, 24G¹, 4C⁰, 6C⁰, 8C⁰, 4E⁰, 2B⁰, 12P¹, 4B⁰, 1A⁰, 16E⁰, 48AL⁷, 24I², 8G⁰, 48J⁴, 16D⁰, 6F⁰, 2C⁰, 12E⁰, 48L³</t>
        </is>
      </c>
      <c r="O5923" t="inlineStr"/>
    </row>
    <row r="5924">
      <c r="A5924">
        <f>HYPERLINK("https://mathstats.uncg.edu/sites/pauli/congruence/csg19.html#group96BD19", "96BD¹⁹")</f>
        <v/>
      </c>
      <c r="B5924" t="n">
        <v>19</v>
      </c>
      <c r="C5924" t="inlineStr"/>
      <c r="D5924" t="inlineStr">
        <is>
          <t>384</t>
        </is>
      </c>
      <c r="E5924" t="inlineStr">
        <is>
          <t>1</t>
        </is>
      </c>
      <c r="F5924" t="inlineStr">
        <is>
          <t>48</t>
        </is>
      </c>
      <c r="G5924" t="inlineStr">
        <is>
          <t>0</t>
        </is>
      </c>
      <c r="H5924" t="inlineStr">
        <is>
          <t>0</t>
        </is>
      </c>
      <c r="I5924" t="inlineStr">
        <is>
          <t>2⁸, 4⁴, 6⁸, 12⁴, 32², 96²</t>
        </is>
      </c>
      <c r="J5924" t="n">
        <v>28</v>
      </c>
      <c r="K5924" t="inlineStr">
        <is>
          <t>2¹², 4⁶</t>
        </is>
      </c>
      <c r="L5924" t="inlineStr">
        <is>
          <t>32B², 48AL⁷, 96E¹⁰, 96F¹⁰</t>
        </is>
      </c>
      <c r="M5924" t="inlineStr"/>
      <c r="N5924" t="inlineStr">
        <is>
          <t>16G⁰, 2A⁰, 24V³, 24G¹, 4C⁰, 32D¹, 2B⁰, 8C⁰, 4E⁰, 4B⁰, 1A⁰, 96F¹⁰, 16E⁰, 48AL⁷, 8G⁰, 96E¹⁰, 6F⁰, 48L³, 3B⁰, 8D⁰, 12F¹, 6I⁰, 6C⁰, 12P¹, 32B², 24I², 32C¹, 48J⁴, 16D⁰, 2C⁰, 12E⁰</t>
        </is>
      </c>
      <c r="O5924" t="inlineStr"/>
    </row>
    <row r="5925">
      <c r="A5925">
        <f>HYPERLINK("https://mathstats.uncg.edu/sites/pauli/congruence/csg19.html#group96BE19", "96BE¹⁹")</f>
        <v/>
      </c>
      <c r="B5925" t="n">
        <v>19</v>
      </c>
      <c r="C5925" t="inlineStr"/>
      <c r="D5925" t="inlineStr">
        <is>
          <t>384</t>
        </is>
      </c>
      <c r="E5925" t="inlineStr">
        <is>
          <t>1</t>
        </is>
      </c>
      <c r="F5925" t="inlineStr">
        <is>
          <t>96</t>
        </is>
      </c>
      <c r="G5925" t="inlineStr">
        <is>
          <t>0</t>
        </is>
      </c>
      <c r="H5925" t="inlineStr">
        <is>
          <t>0</t>
        </is>
      </c>
      <c r="I5925" t="inlineStr">
        <is>
          <t>1⁴, 2², 3⁴, 4⁶, 6², 12⁶, 32², 96²</t>
        </is>
      </c>
      <c r="J5925" t="n">
        <v>28</v>
      </c>
      <c r="K5925" t="inlineStr">
        <is>
          <t>1⁸, 2⁸, 4⁶, 8⁴, 16¹</t>
        </is>
      </c>
      <c r="L5925" t="inlineStr">
        <is>
          <t>48AP⁷</t>
        </is>
      </c>
      <c r="M5925" t="inlineStr"/>
      <c r="N5925" t="inlineStr">
        <is>
          <t>3B⁰, 24G¹, 8C⁰, 2B⁰, 8I⁰, 4B⁰, 1A⁰, 16H⁰, 48J³, 16C⁰, 16D⁰, 24Y³, 6F⁰, 48AP⁷, 12E⁰, 48L³</t>
        </is>
      </c>
      <c r="O5925" t="inlineStr"/>
    </row>
    <row r="5926">
      <c r="A5926">
        <f>HYPERLINK("https://mathstats.uncg.edu/sites/pauli/congruence/csg19.html#group96BF19", "96BF¹⁹")</f>
        <v/>
      </c>
      <c r="B5926" t="n">
        <v>19</v>
      </c>
      <c r="C5926" t="inlineStr"/>
      <c r="D5926" t="inlineStr">
        <is>
          <t>384</t>
        </is>
      </c>
      <c r="E5926" t="inlineStr">
        <is>
          <t>1</t>
        </is>
      </c>
      <c r="F5926" t="inlineStr">
        <is>
          <t>96</t>
        </is>
      </c>
      <c r="G5926" t="inlineStr">
        <is>
          <t>0</t>
        </is>
      </c>
      <c r="H5926" t="inlineStr">
        <is>
          <t>0</t>
        </is>
      </c>
      <c r="I5926" t="inlineStr">
        <is>
          <t>1⁴, 2², 3⁴, 4⁶, 6², 12⁶, 32², 96²</t>
        </is>
      </c>
      <c r="J5926" t="n">
        <v>28</v>
      </c>
      <c r="K5926" t="inlineStr">
        <is>
          <t>1⁸, 2⁸, 4⁶, 8⁴, 16¹</t>
        </is>
      </c>
      <c r="L5926" t="inlineStr">
        <is>
          <t>32C², 48AP⁷</t>
        </is>
      </c>
      <c r="M5926" t="inlineStr"/>
      <c r="N5926" t="inlineStr">
        <is>
          <t>3B⁰, 32C², 24G¹, 8C⁰, 2B⁰, 8I⁰, 4B⁰, 1A⁰, 16H⁰, 48J³, 16C⁰, 16D⁰, 24Y³, 6F⁰, 48AP⁷, 12E⁰, 48L³</t>
        </is>
      </c>
      <c r="O5926" t="inlineStr"/>
    </row>
    <row r="5927">
      <c r="A5927">
        <f>HYPERLINK("https://mathstats.uncg.edu/sites/pauli/congruence/csg19.html#group98A19", "98A¹⁹")</f>
        <v/>
      </c>
      <c r="B5927" t="n">
        <v>19</v>
      </c>
      <c r="C5927" t="inlineStr"/>
      <c r="D5927" t="inlineStr">
        <is>
          <t>504</t>
        </is>
      </c>
      <c r="E5927" t="inlineStr">
        <is>
          <t>1</t>
        </is>
      </c>
      <c r="F5927" t="inlineStr">
        <is>
          <t>24</t>
        </is>
      </c>
      <c r="G5927" t="inlineStr">
        <is>
          <t>0</t>
        </is>
      </c>
      <c r="H5927" t="inlineStr">
        <is>
          <t>0</t>
        </is>
      </c>
      <c r="I5927" t="inlineStr">
        <is>
          <t>1²¹, 2²¹, 49³, 98³</t>
        </is>
      </c>
      <c r="J5927" t="n">
        <v>48</v>
      </c>
      <c r="K5927" t="inlineStr">
        <is>
          <t>1⁶, 6³</t>
        </is>
      </c>
      <c r="L5927" t="inlineStr">
        <is>
          <t>14H¹, 49A³, 98A⁷</t>
        </is>
      </c>
      <c r="M5927" t="inlineStr"/>
      <c r="N5927" t="inlineStr">
        <is>
          <t>98A⁷, 7B⁰, 14H¹, 14C¹, 49A¹, 2B⁰, 7E⁰, 1A⁰, 49A³</t>
        </is>
      </c>
      <c r="O5927" t="inlineStr"/>
    </row>
    <row r="5928">
      <c r="A5928">
        <f>HYPERLINK("https://mathstats.uncg.edu/sites/pauli/congruence/csg19.html#group99A19", "99A¹⁹")</f>
        <v/>
      </c>
      <c r="B5928" t="n">
        <v>19</v>
      </c>
      <c r="C5928" t="inlineStr"/>
      <c r="D5928" t="inlineStr">
        <is>
          <t>297</t>
        </is>
      </c>
      <c r="E5928" t="inlineStr">
        <is>
          <t>2</t>
        </is>
      </c>
      <c r="F5928" t="inlineStr">
        <is>
          <t>297</t>
        </is>
      </c>
      <c r="G5928" t="inlineStr">
        <is>
          <t>21</t>
        </is>
      </c>
      <c r="H5928" t="inlineStr">
        <is>
          <t>0</t>
        </is>
      </c>
      <c r="I5928" t="inlineStr">
        <is>
          <t>99³</t>
        </is>
      </c>
      <c r="J5928" t="n">
        <v>3</v>
      </c>
      <c r="K5928" t="inlineStr">
        <is>
          <t>6¹, 12⁴, 30², 60⁸</t>
        </is>
      </c>
      <c r="L5928" t="inlineStr">
        <is>
          <t>9G⁰, 99A⁵</t>
        </is>
      </c>
      <c r="M5928" t="inlineStr"/>
      <c r="N5928" t="inlineStr">
        <is>
          <t>11A⁰, 9A⁰, 9G⁰, 99A⁵, 33A¹, 3A⁰, 1A⁰</t>
        </is>
      </c>
      <c r="O5928" t="inlineStr"/>
    </row>
    <row r="5929">
      <c r="A5929">
        <f>HYPERLINK("https://mathstats.uncg.edu/sites/pauli/congruence/csg19.html#group100A19", "100A¹⁹")</f>
        <v/>
      </c>
      <c r="B5929" t="n">
        <v>19</v>
      </c>
      <c r="C5929" t="inlineStr"/>
      <c r="D5929" t="inlineStr">
        <is>
          <t>240</t>
        </is>
      </c>
      <c r="E5929" t="inlineStr">
        <is>
          <t>1</t>
        </is>
      </c>
      <c r="F5929" t="inlineStr">
        <is>
          <t>6</t>
        </is>
      </c>
      <c r="G5929" t="inlineStr">
        <is>
          <t>0</t>
        </is>
      </c>
      <c r="H5929" t="inlineStr">
        <is>
          <t>0</t>
        </is>
      </c>
      <c r="I5929" t="inlineStr">
        <is>
          <t>20², 100²</t>
        </is>
      </c>
      <c r="J5929" t="n">
        <v>4</v>
      </c>
      <c r="K5929" t="inlineStr">
        <is>
          <t>2², 4²</t>
        </is>
      </c>
      <c r="L5929" t="inlineStr">
        <is>
          <t>20A³, 50A⁹, 100E⁹</t>
        </is>
      </c>
      <c r="M5929" t="inlineStr"/>
      <c r="N5929" t="inlineStr">
        <is>
          <t>50A⁹, 2A⁰, 20C¹, 25A², 100E⁹, 50A⁵, 25A⁴, 5B⁰, 10A¹, 5D⁰, 10D¹, 1A⁰, 50A⁴, 20A³, 10B⁰</t>
        </is>
      </c>
      <c r="O5929" t="inlineStr"/>
    </row>
    <row r="5930">
      <c r="A5930">
        <f>HYPERLINK("https://mathstats.uncg.edu/sites/pauli/congruence/csg19.html#group100B19", "100B¹⁹")</f>
        <v/>
      </c>
      <c r="B5930" t="n">
        <v>19</v>
      </c>
      <c r="C5930" t="inlineStr"/>
      <c r="D5930" t="inlineStr">
        <is>
          <t>240</t>
        </is>
      </c>
      <c r="E5930" t="inlineStr">
        <is>
          <t>1</t>
        </is>
      </c>
      <c r="F5930" t="inlineStr">
        <is>
          <t>6</t>
        </is>
      </c>
      <c r="G5930" t="inlineStr">
        <is>
          <t>0</t>
        </is>
      </c>
      <c r="H5930" t="inlineStr">
        <is>
          <t>0</t>
        </is>
      </c>
      <c r="I5930" t="inlineStr">
        <is>
          <t>20², 100²</t>
        </is>
      </c>
      <c r="J5930" t="n">
        <v>4</v>
      </c>
      <c r="K5930" t="inlineStr">
        <is>
          <t>2², 4²</t>
        </is>
      </c>
      <c r="L5930" t="inlineStr">
        <is>
          <t>20A³, 50B⁹, 100F⁹</t>
        </is>
      </c>
      <c r="M5930" t="inlineStr"/>
      <c r="N5930" t="inlineStr">
        <is>
          <t>2A⁰, 20C¹, 50B⁴, 25B⁴, 5B⁰, 10A¹, 5D⁰, 10D¹, 1A⁰, 25B², 20A³, 10B⁰, 100F⁹, 50B⁹, 50B⁵</t>
        </is>
      </c>
      <c r="O5930" t="inlineStr"/>
    </row>
    <row r="5931">
      <c r="A5931">
        <f>HYPERLINK("https://mathstats.uncg.edu/sites/pauli/congruence/csg19.html#group100C19", "100C¹⁹")</f>
        <v/>
      </c>
      <c r="B5931" t="n">
        <v>19</v>
      </c>
      <c r="C5931" t="inlineStr"/>
      <c r="D5931" t="inlineStr">
        <is>
          <t>240</t>
        </is>
      </c>
      <c r="E5931" t="inlineStr">
        <is>
          <t>1</t>
        </is>
      </c>
      <c r="F5931" t="inlineStr">
        <is>
          <t>6</t>
        </is>
      </c>
      <c r="G5931" t="inlineStr">
        <is>
          <t>0</t>
        </is>
      </c>
      <c r="H5931" t="inlineStr">
        <is>
          <t>0</t>
        </is>
      </c>
      <c r="I5931" t="inlineStr">
        <is>
          <t>20², 100²</t>
        </is>
      </c>
      <c r="J5931" t="n">
        <v>4</v>
      </c>
      <c r="K5931" t="inlineStr">
        <is>
          <t>2², 4²</t>
        </is>
      </c>
      <c r="L5931" t="inlineStr">
        <is>
          <t>20A³, 50C⁹, 100G⁹</t>
        </is>
      </c>
      <c r="M5931" t="inlineStr"/>
      <c r="N5931" t="inlineStr">
        <is>
          <t>2A⁰, 20C¹, 5B⁰, 5D⁰, 10A¹, 50C⁴, 10D¹, 1A⁰, 25C², 20A³, 10B⁰, 100G⁹, 50C⁵, 50C⁹, 25C⁴</t>
        </is>
      </c>
      <c r="O5931" t="inlineStr"/>
    </row>
    <row r="5932">
      <c r="A5932">
        <f>HYPERLINK("https://mathstats.uncg.edu/sites/pauli/congruence/csg19.html#group100D19", "100D¹⁹")</f>
        <v/>
      </c>
      <c r="B5932" t="n">
        <v>19</v>
      </c>
      <c r="C5932" t="inlineStr"/>
      <c r="D5932" t="inlineStr">
        <is>
          <t>240</t>
        </is>
      </c>
      <c r="E5932" t="inlineStr">
        <is>
          <t>1</t>
        </is>
      </c>
      <c r="F5932" t="inlineStr">
        <is>
          <t>6</t>
        </is>
      </c>
      <c r="G5932" t="inlineStr">
        <is>
          <t>0</t>
        </is>
      </c>
      <c r="H5932" t="inlineStr">
        <is>
          <t>0</t>
        </is>
      </c>
      <c r="I5932" t="inlineStr">
        <is>
          <t>20², 100²</t>
        </is>
      </c>
      <c r="J5932" t="n">
        <v>4</v>
      </c>
      <c r="K5932" t="inlineStr">
        <is>
          <t>2², 4²</t>
        </is>
      </c>
      <c r="L5932" t="inlineStr">
        <is>
          <t>20A³, 50D⁹, 100H⁹</t>
        </is>
      </c>
      <c r="M5932" t="inlineStr"/>
      <c r="N5932" t="inlineStr">
        <is>
          <t>2A⁰, 20C¹, 100H⁹, 5B⁰, 50D⁵, 5D⁰, 10A¹, 50D⁹, 25D⁴, 10D¹, 1A⁰, 25D², 20A³, 10B⁰, 50D⁴</t>
        </is>
      </c>
      <c r="O5932" t="inlineStr"/>
    </row>
    <row r="5933">
      <c r="A5933">
        <f>HYPERLINK("https://mathstats.uncg.edu/sites/pauli/congruence/csg19.html#group100E19", "100E¹⁹")</f>
        <v/>
      </c>
      <c r="B5933" t="n">
        <v>19</v>
      </c>
      <c r="C5933" t="inlineStr"/>
      <c r="D5933" t="inlineStr">
        <is>
          <t>240</t>
        </is>
      </c>
      <c r="E5933" t="inlineStr">
        <is>
          <t>1</t>
        </is>
      </c>
      <c r="F5933" t="inlineStr">
        <is>
          <t>24</t>
        </is>
      </c>
      <c r="G5933" t="inlineStr">
        <is>
          <t>0</t>
        </is>
      </c>
      <c r="H5933" t="inlineStr">
        <is>
          <t>0</t>
        </is>
      </c>
      <c r="I5933" t="inlineStr">
        <is>
          <t>20², 100²</t>
        </is>
      </c>
      <c r="J5933" t="n">
        <v>4</v>
      </c>
      <c r="K5933" t="inlineStr">
        <is>
          <t>4⁴, 8⁴</t>
        </is>
      </c>
      <c r="L5933" t="inlineStr">
        <is>
          <t>20B³, 25A⁴, 100A⁹</t>
        </is>
      </c>
      <c r="M5933" t="inlineStr"/>
      <c r="N5933" t="inlineStr">
        <is>
          <t>100A⁹, 25A², 4A⁰, 5B⁰, 5D⁰, 1A⁰, 20B³, 20B¹, 25A⁴</t>
        </is>
      </c>
      <c r="O5933" t="inlineStr"/>
    </row>
    <row r="5934">
      <c r="A5934">
        <f>HYPERLINK("https://mathstats.uncg.edu/sites/pauli/congruence/csg19.html#group100F19", "100F¹⁹")</f>
        <v/>
      </c>
      <c r="B5934" t="n">
        <v>19</v>
      </c>
      <c r="C5934" t="inlineStr"/>
      <c r="D5934" t="inlineStr">
        <is>
          <t>240</t>
        </is>
      </c>
      <c r="E5934" t="inlineStr">
        <is>
          <t>1</t>
        </is>
      </c>
      <c r="F5934" t="inlineStr">
        <is>
          <t>24</t>
        </is>
      </c>
      <c r="G5934" t="inlineStr">
        <is>
          <t>0</t>
        </is>
      </c>
      <c r="H5934" t="inlineStr">
        <is>
          <t>0</t>
        </is>
      </c>
      <c r="I5934" t="inlineStr">
        <is>
          <t>20², 100²</t>
        </is>
      </c>
      <c r="J5934" t="n">
        <v>4</v>
      </c>
      <c r="K5934" t="inlineStr">
        <is>
          <t>4⁴, 8⁴</t>
        </is>
      </c>
      <c r="L5934" t="inlineStr">
        <is>
          <t>20B³, 25B⁴, 100B⁹</t>
        </is>
      </c>
      <c r="M5934" t="inlineStr"/>
      <c r="N5934" t="inlineStr">
        <is>
          <t>25B⁴, 4A⁰, 100B⁹, 5B⁰, 5D⁰, 1A⁰, 20B³, 20B¹, 25B²</t>
        </is>
      </c>
      <c r="O5934" t="inlineStr"/>
    </row>
    <row r="5935">
      <c r="A5935">
        <f>HYPERLINK("https://mathstats.uncg.edu/sites/pauli/congruence/csg19.html#group100G19", "100G¹⁹")</f>
        <v/>
      </c>
      <c r="B5935" t="n">
        <v>19</v>
      </c>
      <c r="C5935" t="inlineStr"/>
      <c r="D5935" t="inlineStr">
        <is>
          <t>240</t>
        </is>
      </c>
      <c r="E5935" t="inlineStr">
        <is>
          <t>1</t>
        </is>
      </c>
      <c r="F5935" t="inlineStr">
        <is>
          <t>24</t>
        </is>
      </c>
      <c r="G5935" t="inlineStr">
        <is>
          <t>0</t>
        </is>
      </c>
      <c r="H5935" t="inlineStr">
        <is>
          <t>0</t>
        </is>
      </c>
      <c r="I5935" t="inlineStr">
        <is>
          <t>20², 100²</t>
        </is>
      </c>
      <c r="J5935" t="n">
        <v>4</v>
      </c>
      <c r="K5935" t="inlineStr">
        <is>
          <t>4⁴, 8⁴</t>
        </is>
      </c>
      <c r="L5935" t="inlineStr">
        <is>
          <t>20B³, 25C⁴, 100C⁹</t>
        </is>
      </c>
      <c r="M5935" t="inlineStr"/>
      <c r="N5935" t="inlineStr">
        <is>
          <t>4A⁰, 5B⁰, 5D⁰, 20B¹, 25C², 1A⁰, 20B³, 25C⁴, 100C⁹</t>
        </is>
      </c>
      <c r="O5935" t="inlineStr"/>
    </row>
    <row r="5936">
      <c r="A5936">
        <f>HYPERLINK("https://mathstats.uncg.edu/sites/pauli/congruence/csg19.html#group100H19", "100H¹⁹")</f>
        <v/>
      </c>
      <c r="B5936" t="n">
        <v>19</v>
      </c>
      <c r="C5936" t="inlineStr"/>
      <c r="D5936" t="inlineStr">
        <is>
          <t>240</t>
        </is>
      </c>
      <c r="E5936" t="inlineStr">
        <is>
          <t>1</t>
        </is>
      </c>
      <c r="F5936" t="inlineStr">
        <is>
          <t>24</t>
        </is>
      </c>
      <c r="G5936" t="inlineStr">
        <is>
          <t>0</t>
        </is>
      </c>
      <c r="H5936" t="inlineStr">
        <is>
          <t>0</t>
        </is>
      </c>
      <c r="I5936" t="inlineStr">
        <is>
          <t>20², 100²</t>
        </is>
      </c>
      <c r="J5936" t="n">
        <v>4</v>
      </c>
      <c r="K5936" t="inlineStr">
        <is>
          <t>4⁴, 8⁴</t>
        </is>
      </c>
      <c r="L5936" t="inlineStr">
        <is>
          <t>20B³, 25D⁴, 100D⁹</t>
        </is>
      </c>
      <c r="M5936" t="inlineStr"/>
      <c r="N5936" t="inlineStr">
        <is>
          <t>4A⁰, 5B⁰, 100D⁹, 5D⁰, 25D⁴, 1A⁰, 20B³, 20B¹, 25D²</t>
        </is>
      </c>
      <c r="O5936" t="inlineStr"/>
    </row>
    <row r="5937">
      <c r="A5937">
        <f>HYPERLINK("https://mathstats.uncg.edu/sites/pauli/congruence/csg19.html#group100I19", "100I¹⁹")</f>
        <v/>
      </c>
      <c r="B5937" t="n">
        <v>19</v>
      </c>
      <c r="C5937" t="inlineStr"/>
      <c r="D5937" t="inlineStr">
        <is>
          <t>240</t>
        </is>
      </c>
      <c r="E5937" t="inlineStr">
        <is>
          <t>1</t>
        </is>
      </c>
      <c r="F5937" t="inlineStr">
        <is>
          <t>120</t>
        </is>
      </c>
      <c r="G5937" t="inlineStr">
        <is>
          <t>0</t>
        </is>
      </c>
      <c r="H5937" t="inlineStr">
        <is>
          <t>0</t>
        </is>
      </c>
      <c r="I5937" t="inlineStr">
        <is>
          <t>20², 100²</t>
        </is>
      </c>
      <c r="J5937" t="n">
        <v>4</v>
      </c>
      <c r="K5937" t="inlineStr">
        <is>
          <t>4⁴, 8⁸, 40⁴</t>
        </is>
      </c>
      <c r="L5937" t="inlineStr">
        <is>
          <t>20C³, 50A⁵, 100A⁹</t>
        </is>
      </c>
      <c r="M5937" t="inlineStr"/>
      <c r="N5937" t="inlineStr">
        <is>
          <t>100A⁹, 2A⁰, 25A², 50A⁵, 4A⁰, 4D⁰, 20C³, 5B⁰, 10A¹, 1A⁰, 20B¹</t>
        </is>
      </c>
      <c r="O5937" t="inlineStr"/>
    </row>
    <row r="5938">
      <c r="A5938">
        <f>HYPERLINK("https://mathstats.uncg.edu/sites/pauli/congruence/csg19.html#group100J19", "100J¹⁹")</f>
        <v/>
      </c>
      <c r="B5938" t="n">
        <v>19</v>
      </c>
      <c r="C5938" t="inlineStr"/>
      <c r="D5938" t="inlineStr">
        <is>
          <t>240</t>
        </is>
      </c>
      <c r="E5938" t="inlineStr">
        <is>
          <t>1</t>
        </is>
      </c>
      <c r="F5938" t="inlineStr">
        <is>
          <t>120</t>
        </is>
      </c>
      <c r="G5938" t="inlineStr">
        <is>
          <t>0</t>
        </is>
      </c>
      <c r="H5938" t="inlineStr">
        <is>
          <t>0</t>
        </is>
      </c>
      <c r="I5938" t="inlineStr">
        <is>
          <t>20², 100²</t>
        </is>
      </c>
      <c r="J5938" t="n">
        <v>4</v>
      </c>
      <c r="K5938" t="inlineStr">
        <is>
          <t>4⁴, 8⁸, 40⁴</t>
        </is>
      </c>
      <c r="L5938" t="inlineStr">
        <is>
          <t>20C³, 50B⁵, 100B⁹</t>
        </is>
      </c>
      <c r="M5938" t="inlineStr"/>
      <c r="N5938" t="inlineStr">
        <is>
          <t>2A⁰, 50B⁵, 4A⁰, 4D⁰, 100B⁹, 20C³, 5B⁰, 10A¹, 1A⁰, 20B¹, 25B²</t>
        </is>
      </c>
      <c r="O5938" t="inlineStr"/>
    </row>
    <row r="5939">
      <c r="A5939">
        <f>HYPERLINK("https://mathstats.uncg.edu/sites/pauli/congruence/csg19.html#group100K19", "100K¹⁹")</f>
        <v/>
      </c>
      <c r="B5939" t="n">
        <v>19</v>
      </c>
      <c r="C5939" t="inlineStr"/>
      <c r="D5939" t="inlineStr">
        <is>
          <t>240</t>
        </is>
      </c>
      <c r="E5939" t="inlineStr">
        <is>
          <t>1</t>
        </is>
      </c>
      <c r="F5939" t="inlineStr">
        <is>
          <t>120</t>
        </is>
      </c>
      <c r="G5939" t="inlineStr">
        <is>
          <t>0</t>
        </is>
      </c>
      <c r="H5939" t="inlineStr">
        <is>
          <t>0</t>
        </is>
      </c>
      <c r="I5939" t="inlineStr">
        <is>
          <t>20², 100²</t>
        </is>
      </c>
      <c r="J5939" t="n">
        <v>4</v>
      </c>
      <c r="K5939" t="inlineStr">
        <is>
          <t>4⁴, 8⁸, 40⁴</t>
        </is>
      </c>
      <c r="L5939" t="inlineStr">
        <is>
          <t>20C³, 50C⁵, 100C⁹</t>
        </is>
      </c>
      <c r="M5939" t="inlineStr"/>
      <c r="N5939" t="inlineStr">
        <is>
          <t>2A⁰, 4A⁰, 4D⁰, 20C³, 5B⁰, 50C⁵, 10A¹, 1A⁰, 25C², 20B¹, 100C⁹</t>
        </is>
      </c>
      <c r="O5939" t="inlineStr"/>
    </row>
    <row r="5940">
      <c r="A5940">
        <f>HYPERLINK("https://mathstats.uncg.edu/sites/pauli/congruence/csg19.html#group100L19", "100L¹⁹")</f>
        <v/>
      </c>
      <c r="B5940" t="n">
        <v>19</v>
      </c>
      <c r="C5940" t="inlineStr"/>
      <c r="D5940" t="inlineStr">
        <is>
          <t>240</t>
        </is>
      </c>
      <c r="E5940" t="inlineStr">
        <is>
          <t>1</t>
        </is>
      </c>
      <c r="F5940" t="inlineStr">
        <is>
          <t>120</t>
        </is>
      </c>
      <c r="G5940" t="inlineStr">
        <is>
          <t>0</t>
        </is>
      </c>
      <c r="H5940" t="inlineStr">
        <is>
          <t>0</t>
        </is>
      </c>
      <c r="I5940" t="inlineStr">
        <is>
          <t>20², 100²</t>
        </is>
      </c>
      <c r="J5940" t="n">
        <v>4</v>
      </c>
      <c r="K5940" t="inlineStr">
        <is>
          <t>4⁴, 8⁸, 40⁴</t>
        </is>
      </c>
      <c r="L5940" t="inlineStr">
        <is>
          <t>20C³, 50D⁵, 100D⁹</t>
        </is>
      </c>
      <c r="M5940" t="inlineStr"/>
      <c r="N5940" t="inlineStr">
        <is>
          <t>2A⁰, 4A⁰, 4D⁰, 20C³, 5B⁰, 100D⁹, 50D⁵, 10A¹, 1A⁰, 20B¹, 25D²</t>
        </is>
      </c>
      <c r="O5940" t="inlineStr"/>
    </row>
    <row r="5941">
      <c r="A5941">
        <f>HYPERLINK("https://mathstats.uncg.edu/sites/pauli/congruence/csg19.html#group100M19", "100M¹⁹")</f>
        <v/>
      </c>
      <c r="B5941" t="n">
        <v>19</v>
      </c>
      <c r="C5941" t="inlineStr"/>
      <c r="D5941" t="inlineStr">
        <is>
          <t>300</t>
        </is>
      </c>
      <c r="E5941" t="inlineStr">
        <is>
          <t>1</t>
        </is>
      </c>
      <c r="F5941" t="inlineStr">
        <is>
          <t>300</t>
        </is>
      </c>
      <c r="G5941" t="inlineStr">
        <is>
          <t>14</t>
        </is>
      </c>
      <c r="H5941" t="inlineStr">
        <is>
          <t>0</t>
        </is>
      </c>
      <c r="I5941" t="inlineStr">
        <is>
          <t>20⁵, 100²</t>
        </is>
      </c>
      <c r="J5941" t="n">
        <v>7</v>
      </c>
      <c r="K5941" t="inlineStr">
        <is>
          <t>4², 8⁴, 10², 40⁶</t>
        </is>
      </c>
      <c r="L5941" t="inlineStr">
        <is>
          <t>25F², 20D³</t>
        </is>
      </c>
      <c r="M5941" t="inlineStr"/>
      <c r="N5941" t="inlineStr">
        <is>
          <t>25F², 5A⁰, 4A⁰, 5E⁰, 20A¹, 1A⁰, 20D³</t>
        </is>
      </c>
      <c r="O5941" t="inlineStr"/>
    </row>
    <row r="5942">
      <c r="A5942">
        <f>HYPERLINK("https://mathstats.uncg.edu/sites/pauli/congruence/csg19.html#group100N19", "100N¹⁹")</f>
        <v/>
      </c>
      <c r="B5942" t="n">
        <v>19</v>
      </c>
      <c r="C5942" t="inlineStr"/>
      <c r="D5942" t="inlineStr">
        <is>
          <t>360</t>
        </is>
      </c>
      <c r="E5942" t="inlineStr">
        <is>
          <t>1</t>
        </is>
      </c>
      <c r="F5942" t="inlineStr">
        <is>
          <t>18</t>
        </is>
      </c>
      <c r="G5942" t="inlineStr">
        <is>
          <t>0</t>
        </is>
      </c>
      <c r="H5942" t="inlineStr">
        <is>
          <t>0</t>
        </is>
      </c>
      <c r="I5942" t="inlineStr">
        <is>
          <t>2¹⁰, 4¹⁰, 50², 100²</t>
        </is>
      </c>
      <c r="J5942" t="n">
        <v>24</v>
      </c>
      <c r="K5942" t="inlineStr">
        <is>
          <t>1⁶, 4³</t>
        </is>
      </c>
      <c r="L5942" t="inlineStr">
        <is>
          <t>20G³, 50F⁴, 100I⁹, 100A¹⁰</t>
        </is>
      </c>
      <c r="M5942" t="inlineStr"/>
      <c r="N5942" t="inlineStr">
        <is>
          <t>20E¹, 50F⁴, 20G³, 4C⁰, 5B⁰, 5D⁰, 100A¹⁰, 2B⁰, 50B², 1A⁰, 10F⁰, 100I⁹, 25A⁰, 10C⁰, 25B⁰, 20C²</t>
        </is>
      </c>
      <c r="O5942" t="inlineStr"/>
    </row>
    <row r="5943">
      <c r="A5943">
        <f>HYPERLINK("https://mathstats.uncg.edu/sites/pauli/congruence/csg19.html#group100O19", "100O¹⁹")</f>
        <v/>
      </c>
      <c r="B5943" t="n">
        <v>19</v>
      </c>
      <c r="C5943" t="inlineStr"/>
      <c r="D5943" t="inlineStr">
        <is>
          <t>360</t>
        </is>
      </c>
      <c r="E5943" t="inlineStr">
        <is>
          <t>1</t>
        </is>
      </c>
      <c r="F5943" t="inlineStr">
        <is>
          <t>90</t>
        </is>
      </c>
      <c r="G5943" t="inlineStr">
        <is>
          <t>0</t>
        </is>
      </c>
      <c r="H5943" t="inlineStr">
        <is>
          <t>0</t>
        </is>
      </c>
      <c r="I5943" t="inlineStr">
        <is>
          <t>2¹⁰, 4¹⁰, 50², 100²</t>
        </is>
      </c>
      <c r="J5943" t="n">
        <v>24</v>
      </c>
      <c r="K5943" t="inlineStr">
        <is>
          <t>1⁶, 4⁶, 20³</t>
        </is>
      </c>
      <c r="L5943" t="inlineStr">
        <is>
          <t>20H³, 50E⁶, 100C⁷, 100A¹⁰</t>
        </is>
      </c>
      <c r="M5943" t="inlineStr"/>
      <c r="N5943" t="inlineStr">
        <is>
          <t>10G⁰, 5B⁰, 100A¹⁰, 2B⁰, 20D¹, 4B⁰, 50B², 1A⁰, 20H³, 100C⁷, 10B⁰, 50E⁶, 50A², 25A⁰, 10C⁰, 20C²</t>
        </is>
      </c>
      <c r="O5943" t="inlineStr"/>
    </row>
    <row r="5944">
      <c r="A5944">
        <f>HYPERLINK("https://mathstats.uncg.edu/sites/pauli/congruence/csg19.html#group100P19", "100P¹⁹")</f>
        <v/>
      </c>
      <c r="B5944" t="n">
        <v>19</v>
      </c>
      <c r="C5944" t="inlineStr"/>
      <c r="D5944" t="inlineStr">
        <is>
          <t>360</t>
        </is>
      </c>
      <c r="E5944" t="inlineStr">
        <is>
          <t>1</t>
        </is>
      </c>
      <c r="F5944" t="inlineStr">
        <is>
          <t>90</t>
        </is>
      </c>
      <c r="G5944" t="inlineStr">
        <is>
          <t>0</t>
        </is>
      </c>
      <c r="H5944" t="inlineStr">
        <is>
          <t>0</t>
        </is>
      </c>
      <c r="I5944" t="inlineStr">
        <is>
          <t>2¹⁰, 4¹⁰, 50², 100²</t>
        </is>
      </c>
      <c r="J5944" t="n">
        <v>24</v>
      </c>
      <c r="K5944" t="inlineStr">
        <is>
          <t>1⁶, 4⁶, 20³</t>
        </is>
      </c>
      <c r="L5944" t="inlineStr">
        <is>
          <t>20I³, 100A⁶, 50C⁷, 100A¹⁰</t>
        </is>
      </c>
      <c r="M5944" t="inlineStr"/>
      <c r="N5944" t="inlineStr">
        <is>
          <t>2A⁰, 100A⁶, 50C⁷, 5B⁰, 10A¹, 50A³, 100A¹⁰, 2B⁰, 50B², 1A⁰, 20A⁰, 25A⁰, 10C⁰, 20I³, 2C⁰, 20C², 10G¹</t>
        </is>
      </c>
      <c r="O5944" t="inlineStr"/>
    </row>
    <row r="5945">
      <c r="A5945">
        <f>HYPERLINK("https://mathstats.uncg.edu/sites/pauli/congruence/csg19.html#group100Q19", "100Q¹⁹")</f>
        <v/>
      </c>
      <c r="B5945" t="n">
        <v>19</v>
      </c>
      <c r="C5945" t="inlineStr"/>
      <c r="D5945" t="inlineStr">
        <is>
          <t>360</t>
        </is>
      </c>
      <c r="E5945" t="inlineStr">
        <is>
          <t>1</t>
        </is>
      </c>
      <c r="F5945" t="inlineStr">
        <is>
          <t>90</t>
        </is>
      </c>
      <c r="G5945" t="inlineStr">
        <is>
          <t>0</t>
        </is>
      </c>
      <c r="H5945" t="inlineStr">
        <is>
          <t>0</t>
        </is>
      </c>
      <c r="I5945" t="inlineStr">
        <is>
          <t>2¹⁰, 4¹⁰, 50², 100²</t>
        </is>
      </c>
      <c r="J5945" t="n">
        <v>24</v>
      </c>
      <c r="K5945" t="inlineStr">
        <is>
          <t>1⁶, 4⁶, 20³</t>
        </is>
      </c>
      <c r="L5945" t="inlineStr">
        <is>
          <t>20J³, 50C⁷, 100C⁷, 100I⁹</t>
        </is>
      </c>
      <c r="M5945" t="inlineStr"/>
      <c r="N5945" t="inlineStr">
        <is>
          <t>2A⁰, 20E¹, 4C⁰, 50C⁷, 50A³, 5B⁰, 10A¹, 2B⁰, 20D¹, 4E⁰, 4B⁰, 50B², 1A⁰, 100C⁷, 100I⁹, 25A⁰, 10C⁰, 20J³, 2C⁰, 10G¹</t>
        </is>
      </c>
      <c r="O5945" t="inlineStr"/>
    </row>
    <row r="5946">
      <c r="A5946">
        <f>HYPERLINK("https://mathstats.uncg.edu/sites/pauli/congruence/csg19.html#group100R19", "100R¹⁹")</f>
        <v/>
      </c>
      <c r="B5946" t="n">
        <v>19</v>
      </c>
      <c r="C5946" t="inlineStr"/>
      <c r="D5946" t="inlineStr">
        <is>
          <t>400</t>
        </is>
      </c>
      <c r="E5946" t="inlineStr">
        <is>
          <t>1</t>
        </is>
      </c>
      <c r="F5946" t="inlineStr">
        <is>
          <t>10</t>
        </is>
      </c>
      <c r="G5946" t="inlineStr">
        <is>
          <t>0</t>
        </is>
      </c>
      <c r="H5946" t="inlineStr">
        <is>
          <t>40</t>
        </is>
      </c>
      <c r="I5946" t="inlineStr">
        <is>
          <t>100⁴</t>
        </is>
      </c>
      <c r="J5946" t="n">
        <v>4</v>
      </c>
      <c r="K5946" t="inlineStr">
        <is>
          <t>2¹, 4²</t>
        </is>
      </c>
      <c r="L5946" t="inlineStr">
        <is>
          <t>20N³, 50F⁹, 100J⁹</t>
        </is>
      </c>
      <c r="M5946" t="inlineStr"/>
      <c r="N5946" t="inlineStr">
        <is>
          <t>10H¹, 2A⁰, 5A⁰, 25E⁴, 10D⁰, 5F⁰, 20N³, 1A⁰, 20F¹, 10A⁰, 100J⁹, 50E⁵, 25E², 50F⁹, 50E⁴, 10C¹, 5C⁰</t>
        </is>
      </c>
      <c r="O5946" t="inlineStr"/>
    </row>
    <row r="5947">
      <c r="A5947">
        <f>HYPERLINK("https://mathstats.uncg.edu/sites/pauli/congruence/csg19.html#group104A19", "104A¹⁹")</f>
        <v/>
      </c>
      <c r="B5947" t="n">
        <v>19</v>
      </c>
      <c r="C5947" t="inlineStr"/>
      <c r="D5947" t="inlineStr">
        <is>
          <t>336</t>
        </is>
      </c>
      <c r="E5947" t="inlineStr">
        <is>
          <t>1</t>
        </is>
      </c>
      <c r="F5947" t="inlineStr">
        <is>
          <t>42</t>
        </is>
      </c>
      <c r="G5947" t="inlineStr">
        <is>
          <t>0</t>
        </is>
      </c>
      <c r="H5947" t="inlineStr">
        <is>
          <t>0</t>
        </is>
      </c>
      <c r="I5947" t="inlineStr">
        <is>
          <t>1⁸, 8², 13⁸, 104²</t>
        </is>
      </c>
      <c r="J5947" t="n">
        <v>20</v>
      </c>
      <c r="K5947" t="inlineStr">
        <is>
          <t>1⁶, 12³</t>
        </is>
      </c>
      <c r="L5947" t="inlineStr">
        <is>
          <t>52A⁹, 104A⁹</t>
        </is>
      </c>
      <c r="M5947" t="inlineStr"/>
      <c r="N5947" t="inlineStr">
        <is>
          <t>104A⁹, 52A⁵, 52A⁹, 13A⁰, 2B⁰, 13B⁰, 52A⁴, 4B⁰, 1A⁰, 26A², 26A⁴</t>
        </is>
      </c>
      <c r="O5947" t="inlineStr"/>
    </row>
    <row r="5948">
      <c r="A5948">
        <f>HYPERLINK("https://mathstats.uncg.edu/sites/pauli/congruence/csg19.html#group105A19", "105A¹⁹")</f>
        <v/>
      </c>
      <c r="B5948" t="n">
        <v>19</v>
      </c>
      <c r="C5948" t="inlineStr"/>
      <c r="D5948" t="inlineStr">
        <is>
          <t>240</t>
        </is>
      </c>
      <c r="E5948" t="inlineStr">
        <is>
          <t>1</t>
        </is>
      </c>
      <c r="F5948" t="inlineStr">
        <is>
          <t>80</t>
        </is>
      </c>
      <c r="G5948" t="inlineStr">
        <is>
          <t>0</t>
        </is>
      </c>
      <c r="H5948" t="inlineStr">
        <is>
          <t>0</t>
        </is>
      </c>
      <c r="I5948" t="inlineStr">
        <is>
          <t>15², 105²</t>
        </is>
      </c>
      <c r="J5948" t="n">
        <v>4</v>
      </c>
      <c r="K5948" t="inlineStr">
        <is>
          <t>2², 4⁴, 12¹, 24²</t>
        </is>
      </c>
      <c r="L5948" t="inlineStr">
        <is>
          <t>15D¹, 21A², 35A⁵</t>
        </is>
      </c>
      <c r="M5948" t="inlineStr"/>
      <c r="N5948" t="inlineStr">
        <is>
          <t>15D¹, 35A⁵, 21A², 7B⁰, 5C⁰, 3A⁰, 1A⁰</t>
        </is>
      </c>
      <c r="O5948" t="inlineStr"/>
    </row>
    <row r="5949">
      <c r="A5949">
        <f>HYPERLINK("https://mathstats.uncg.edu/sites/pauli/congruence/csg19.html#group105B19", "105B¹⁹")</f>
        <v/>
      </c>
      <c r="B5949" t="n">
        <v>19</v>
      </c>
      <c r="C5949" t="inlineStr"/>
      <c r="D5949" t="inlineStr">
        <is>
          <t>240</t>
        </is>
      </c>
      <c r="E5949" t="inlineStr">
        <is>
          <t>1</t>
        </is>
      </c>
      <c r="F5949" t="inlineStr">
        <is>
          <t>120</t>
        </is>
      </c>
      <c r="G5949" t="inlineStr">
        <is>
          <t>0</t>
        </is>
      </c>
      <c r="H5949" t="inlineStr">
        <is>
          <t>0</t>
        </is>
      </c>
      <c r="I5949" t="inlineStr">
        <is>
          <t>15², 105²</t>
        </is>
      </c>
      <c r="J5949" t="n">
        <v>4</v>
      </c>
      <c r="K5949" t="inlineStr">
        <is>
          <t>1², 2², 4², 6¹, 8², 12¹, 24¹, 48¹</t>
        </is>
      </c>
      <c r="L5949" t="inlineStr">
        <is>
          <t>15A², 21A³, 105A¹⁰</t>
        </is>
      </c>
      <c r="M5949" t="inlineStr"/>
      <c r="N5949" t="inlineStr">
        <is>
          <t>5A⁰, 21A², 15A², 7B⁰, 3C⁰, 35B², 3A⁰, 105A¹⁰, 1A⁰, 21A³, 15A¹</t>
        </is>
      </c>
      <c r="O5949" t="inlineStr"/>
    </row>
    <row r="5950">
      <c r="A5950">
        <f>HYPERLINK("https://mathstats.uncg.edu/sites/pauli/congruence/csg19.html#group105C19", "105C¹⁹")</f>
        <v/>
      </c>
      <c r="B5950" t="n">
        <v>19</v>
      </c>
      <c r="C5950" t="inlineStr"/>
      <c r="D5950" t="inlineStr">
        <is>
          <t>315</t>
        </is>
      </c>
      <c r="E5950" t="inlineStr">
        <is>
          <t>2</t>
        </is>
      </c>
      <c r="F5950" t="inlineStr">
        <is>
          <t>35</t>
        </is>
      </c>
      <c r="G5950" t="inlineStr">
        <is>
          <t>27</t>
        </is>
      </c>
      <c r="H5950" t="inlineStr">
        <is>
          <t>0</t>
        </is>
      </c>
      <c r="I5950" t="inlineStr">
        <is>
          <t>105³</t>
        </is>
      </c>
      <c r="J5950" t="n">
        <v>3</v>
      </c>
      <c r="K5950" t="inlineStr">
        <is>
          <t>2¹, 6², 8¹, 24²</t>
        </is>
      </c>
      <c r="L5950" t="inlineStr">
        <is>
          <t>15F¹, 35B⁶, 105A⁶, 105B⁶, 105A⁷</t>
        </is>
      </c>
      <c r="M5950" t="inlineStr"/>
      <c r="N5950" t="inlineStr">
        <is>
          <t>105A⁶, 5A⁰, 105B⁶, 15F¹, 5E⁰, 21A⁰, 35A², 35B⁶, 3A⁰, 1A⁰, 105A⁷, 15A¹, 7A⁰, 15A⁰</t>
        </is>
      </c>
      <c r="O5950" t="inlineStr"/>
    </row>
    <row r="5951">
      <c r="A5951">
        <f>HYPERLINK("https://mathstats.uncg.edu/sites/pauli/congruence/csg19.html#group108A19", "108A¹⁹")</f>
        <v/>
      </c>
      <c r="B5951" t="n">
        <v>19</v>
      </c>
      <c r="C5951" t="inlineStr"/>
      <c r="D5951" t="inlineStr">
        <is>
          <t>288</t>
        </is>
      </c>
      <c r="E5951" t="inlineStr">
        <is>
          <t>1</t>
        </is>
      </c>
      <c r="F5951" t="inlineStr">
        <is>
          <t>48</t>
        </is>
      </c>
      <c r="G5951" t="inlineStr">
        <is>
          <t>0</t>
        </is>
      </c>
      <c r="H5951" t="inlineStr">
        <is>
          <t>0</t>
        </is>
      </c>
      <c r="I5951" t="inlineStr">
        <is>
          <t>4⁶, 12⁴, 108²</t>
        </is>
      </c>
      <c r="J5951" t="n">
        <v>12</v>
      </c>
      <c r="K5951" t="inlineStr">
        <is>
          <t>2⁴, 4⁴, 12²</t>
        </is>
      </c>
      <c r="L5951" t="inlineStr">
        <is>
          <t>54A⁴, 36F⁵, 108D¹⁰</t>
        </is>
      </c>
      <c r="M5951" t="inlineStr"/>
      <c r="N5951" t="inlineStr">
        <is>
          <t>3B⁰, 2A⁰, 12I¹, 108D¹⁰, 6C⁰, 9B⁰, 1A⁰, 27A¹, 4A⁰, 18C¹, 12A¹, 4D⁰, 54A⁴, 36B³, 36F⁵</t>
        </is>
      </c>
      <c r="O5951" t="inlineStr"/>
    </row>
    <row r="5952">
      <c r="A5952">
        <f>HYPERLINK("https://mathstats.uncg.edu/sites/pauli/congruence/csg19.html#group108B19", "108B¹⁹")</f>
        <v/>
      </c>
      <c r="B5952" t="n">
        <v>19</v>
      </c>
      <c r="C5952" t="inlineStr"/>
      <c r="D5952" t="inlineStr">
        <is>
          <t>288</t>
        </is>
      </c>
      <c r="E5952" t="inlineStr">
        <is>
          <t>1</t>
        </is>
      </c>
      <c r="F5952" t="inlineStr">
        <is>
          <t>48</t>
        </is>
      </c>
      <c r="G5952" t="inlineStr">
        <is>
          <t>0</t>
        </is>
      </c>
      <c r="H5952" t="inlineStr">
        <is>
          <t>12</t>
        </is>
      </c>
      <c r="I5952" t="inlineStr">
        <is>
          <t>36², 108²</t>
        </is>
      </c>
      <c r="J5952" t="n">
        <v>4</v>
      </c>
      <c r="K5952" t="inlineStr">
        <is>
          <t>2⁴, 4⁴, 12²</t>
        </is>
      </c>
      <c r="L5952" t="inlineStr">
        <is>
          <t>54A², 36G⁵, 108E¹⁰</t>
        </is>
      </c>
      <c r="M5952" t="inlineStr"/>
      <c r="N5952" t="inlineStr">
        <is>
          <t>3B⁰, 2A⁰, 12I¹, 18B⁰, 6C⁰, 108E¹⁰, 27B¹, 54A², 9C⁰, 1A⁰, 36G⁵, 36C³, 4A⁰, 4D⁰, 12A¹</t>
        </is>
      </c>
      <c r="O5952" t="inlineStr"/>
    </row>
    <row r="5953">
      <c r="A5953">
        <f>HYPERLINK("https://mathstats.uncg.edu/sites/pauli/congruence/csg19.html#group108C19", "108C¹⁹")</f>
        <v/>
      </c>
      <c r="B5953" t="n">
        <v>19</v>
      </c>
      <c r="C5953" t="inlineStr"/>
      <c r="D5953" t="inlineStr">
        <is>
          <t>288</t>
        </is>
      </c>
      <c r="E5953" t="inlineStr">
        <is>
          <t>1</t>
        </is>
      </c>
      <c r="F5953" t="inlineStr">
        <is>
          <t>96</t>
        </is>
      </c>
      <c r="G5953" t="inlineStr">
        <is>
          <t>0</t>
        </is>
      </c>
      <c r="H5953" t="inlineStr">
        <is>
          <t>0</t>
        </is>
      </c>
      <c r="I5953" t="inlineStr">
        <is>
          <t>4⁶, 12⁴, 108²</t>
        </is>
      </c>
      <c r="J5953" t="n">
        <v>12</v>
      </c>
      <c r="K5953" t="inlineStr">
        <is>
          <t>4¹², 12⁴</t>
        </is>
      </c>
      <c r="L5953" t="inlineStr">
        <is>
          <t>54C⁴, 36F⁵</t>
        </is>
      </c>
      <c r="M5953" t="inlineStr"/>
      <c r="N5953" t="inlineStr">
        <is>
          <t>3B⁰, 2A⁰, 12I¹, 4A⁰, 18C¹, 12A¹, 6C⁰, 4D⁰, 9B⁰, 1A⁰, 54C⁴, 36B³, 36F⁵</t>
        </is>
      </c>
      <c r="O5953" t="inlineStr"/>
    </row>
    <row r="5954">
      <c r="A5954">
        <f>HYPERLINK("https://mathstats.uncg.edu/sites/pauli/congruence/csg19.html#group110A19", "110A¹⁹")</f>
        <v/>
      </c>
      <c r="B5954" t="n">
        <v>19</v>
      </c>
      <c r="C5954" t="inlineStr"/>
      <c r="D5954" t="inlineStr">
        <is>
          <t>240</t>
        </is>
      </c>
      <c r="E5954" t="inlineStr">
        <is>
          <t>1</t>
        </is>
      </c>
      <c r="F5954" t="inlineStr">
        <is>
          <t>120</t>
        </is>
      </c>
      <c r="G5954" t="inlineStr">
        <is>
          <t>0</t>
        </is>
      </c>
      <c r="H5954" t="inlineStr">
        <is>
          <t>0</t>
        </is>
      </c>
      <c r="I5954" t="inlineStr">
        <is>
          <t>10², 110²</t>
        </is>
      </c>
      <c r="J5954" t="n">
        <v>4</v>
      </c>
      <c r="K5954" t="inlineStr">
        <is>
          <t>2², 4⁴, 20¹, 40²</t>
        </is>
      </c>
      <c r="L5954" t="inlineStr">
        <is>
          <t>10D⁰, 55A⁹</t>
        </is>
      </c>
      <c r="M5954" t="inlineStr"/>
      <c r="N5954" t="inlineStr">
        <is>
          <t>1A⁰, 55A⁹, 5C⁰, 11A¹, 10D⁰</t>
        </is>
      </c>
      <c r="O5954" t="inlineStr"/>
    </row>
    <row r="5955">
      <c r="A5955">
        <f>HYPERLINK("https://mathstats.uncg.edu/sites/pauli/congruence/csg19.html#group110B19", "110B¹⁹")</f>
        <v/>
      </c>
      <c r="B5955" t="n">
        <v>19</v>
      </c>
      <c r="C5955" t="inlineStr"/>
      <c r="D5955" t="inlineStr">
        <is>
          <t>240</t>
        </is>
      </c>
      <c r="E5955" t="inlineStr">
        <is>
          <t>1</t>
        </is>
      </c>
      <c r="F5955" t="inlineStr">
        <is>
          <t>120</t>
        </is>
      </c>
      <c r="G5955" t="inlineStr">
        <is>
          <t>0</t>
        </is>
      </c>
      <c r="H5955" t="inlineStr">
        <is>
          <t>0</t>
        </is>
      </c>
      <c r="I5955" t="inlineStr">
        <is>
          <t>10², 110²</t>
        </is>
      </c>
      <c r="J5955" t="n">
        <v>4</v>
      </c>
      <c r="K5955" t="inlineStr">
        <is>
          <t>2², 4⁴, 20¹, 40²</t>
        </is>
      </c>
      <c r="L5955" t="inlineStr">
        <is>
          <t>10C¹, 22A², 55A⁹</t>
        </is>
      </c>
      <c r="M5955" t="inlineStr"/>
      <c r="N5955" t="inlineStr">
        <is>
          <t>2A⁰, 55A⁹, 11A¹, 22A², 5C⁰, 10C¹, 1A⁰</t>
        </is>
      </c>
      <c r="O5955" t="inlineStr"/>
    </row>
    <row r="5956">
      <c r="A5956">
        <f>HYPERLINK("https://mathstats.uncg.edu/sites/pauli/congruence/csg19.html#group111A19", "111A¹⁹")</f>
        <v/>
      </c>
      <c r="B5956" t="n">
        <v>19</v>
      </c>
      <c r="C5956" t="inlineStr"/>
      <c r="D5956" t="inlineStr">
        <is>
          <t>342</t>
        </is>
      </c>
      <c r="E5956" t="inlineStr">
        <is>
          <t>2</t>
        </is>
      </c>
      <c r="F5956" t="inlineStr">
        <is>
          <t>38</t>
        </is>
      </c>
      <c r="G5956" t="inlineStr">
        <is>
          <t>18</t>
        </is>
      </c>
      <c r="H5956" t="inlineStr">
        <is>
          <t>9</t>
        </is>
      </c>
      <c r="I5956" t="inlineStr">
        <is>
          <t>3³, 111³</t>
        </is>
      </c>
      <c r="J5956" t="n">
        <v>6</v>
      </c>
      <c r="K5956" t="inlineStr">
        <is>
          <t>2², 72¹</t>
        </is>
      </c>
      <c r="L5956" t="inlineStr">
        <is>
          <t>37B⁴</t>
        </is>
      </c>
      <c r="M5956" t="inlineStr"/>
      <c r="N5956" t="inlineStr">
        <is>
          <t>37A², 37B⁴, 1A⁰</t>
        </is>
      </c>
      <c r="O5956" t="inlineStr"/>
    </row>
    <row r="5957">
      <c r="A5957">
        <f>HYPERLINK("https://mathstats.uncg.edu/sites/pauli/congruence/csg19.html#group112A19", "112A¹⁹")</f>
        <v/>
      </c>
      <c r="B5957" t="n">
        <v>19</v>
      </c>
      <c r="C5957" t="inlineStr"/>
      <c r="D5957" t="inlineStr">
        <is>
          <t>336</t>
        </is>
      </c>
      <c r="E5957" t="inlineStr">
        <is>
          <t>2</t>
        </is>
      </c>
      <c r="F5957" t="inlineStr">
        <is>
          <t>21</t>
        </is>
      </c>
      <c r="G5957" t="inlineStr">
        <is>
          <t>32</t>
        </is>
      </c>
      <c r="H5957" t="inlineStr">
        <is>
          <t>0</t>
        </is>
      </c>
      <c r="I5957" t="inlineStr">
        <is>
          <t>56², 112²</t>
        </is>
      </c>
      <c r="J5957" t="n">
        <v>4</v>
      </c>
      <c r="K5957" t="inlineStr">
        <is>
          <t>2³, 6⁶</t>
        </is>
      </c>
      <c r="L5957" t="inlineStr">
        <is>
          <t>112B⁸, 56B⁹, 112A¹⁰</t>
        </is>
      </c>
      <c r="M5957" t="inlineStr"/>
      <c r="N5957" t="inlineStr">
        <is>
          <t>14A⁰, 28C⁴, 14B¹, 14C², 4C⁰, 8B⁰, 2B⁰, 56B⁹, 1A⁰, 16B⁰, 28C², 112A¹⁰, 56A⁵, 112B⁸, 28B², 7A⁰, 56B⁴</t>
        </is>
      </c>
      <c r="O5957" t="inlineStr"/>
    </row>
    <row r="5958">
      <c r="A5958">
        <f>HYPERLINK("https://mathstats.uncg.edu/sites/pauli/congruence/csg19.html#group114A19", "114A¹⁹")</f>
        <v/>
      </c>
      <c r="B5958" t="n">
        <v>19</v>
      </c>
      <c r="C5958" t="inlineStr"/>
      <c r="D5958" t="inlineStr">
        <is>
          <t>240</t>
        </is>
      </c>
      <c r="E5958" t="inlineStr">
        <is>
          <t>1</t>
        </is>
      </c>
      <c r="F5958" t="inlineStr">
        <is>
          <t>60</t>
        </is>
      </c>
      <c r="G5958" t="inlineStr">
        <is>
          <t>0</t>
        </is>
      </c>
      <c r="H5958" t="inlineStr">
        <is>
          <t>0</t>
        </is>
      </c>
      <c r="I5958" t="inlineStr">
        <is>
          <t>6², 114²</t>
        </is>
      </c>
      <c r="J5958" t="n">
        <v>4</v>
      </c>
      <c r="K5958" t="inlineStr">
        <is>
          <t>1², 2², 18¹, 36¹</t>
        </is>
      </c>
      <c r="L5958" t="inlineStr">
        <is>
          <t>6E⁰, 57A⁹, 114B¹⁰</t>
        </is>
      </c>
      <c r="M5958" t="inlineStr"/>
      <c r="N5958" t="inlineStr">
        <is>
          <t>19A¹, 6B⁰, 57A⁹, 6E⁰, 3C⁰, 57A⁵, 3A⁰, 1A⁰, 114B¹⁰</t>
        </is>
      </c>
      <c r="O5958" t="inlineStr"/>
    </row>
    <row r="5959">
      <c r="A5959">
        <f>HYPERLINK("https://mathstats.uncg.edu/sites/pauli/congruence/csg19.html#group114B19", "114B¹⁹")</f>
        <v/>
      </c>
      <c r="B5959" t="n">
        <v>19</v>
      </c>
      <c r="C5959" t="inlineStr"/>
      <c r="D5959" t="inlineStr">
        <is>
          <t>240</t>
        </is>
      </c>
      <c r="E5959" t="inlineStr">
        <is>
          <t>1</t>
        </is>
      </c>
      <c r="F5959" t="inlineStr">
        <is>
          <t>60</t>
        </is>
      </c>
      <c r="G5959" t="inlineStr">
        <is>
          <t>0</t>
        </is>
      </c>
      <c r="H5959" t="inlineStr">
        <is>
          <t>0</t>
        </is>
      </c>
      <c r="I5959" t="inlineStr">
        <is>
          <t>6², 114²</t>
        </is>
      </c>
      <c r="J5959" t="n">
        <v>4</v>
      </c>
      <c r="K5959" t="inlineStr">
        <is>
          <t>1², 2², 18¹, 36¹</t>
        </is>
      </c>
      <c r="L5959" t="inlineStr">
        <is>
          <t>6B¹, 57A⁹, 114A¹⁰, 114B¹⁰</t>
        </is>
      </c>
      <c r="M5959" t="inlineStr"/>
      <c r="N5959" t="inlineStr">
        <is>
          <t>2A⁰, 19A¹, 6B⁰, 57A⁹, 38A², 6B¹, 114A¹⁰, 3C⁰, 57A⁵, 6A¹, 3A⁰, 1A⁰, 114B¹⁰</t>
        </is>
      </c>
      <c r="O5959" t="inlineStr"/>
    </row>
    <row r="5960">
      <c r="A5960">
        <f>HYPERLINK("https://mathstats.uncg.edu/sites/pauli/congruence/csg19.html#group115A19", "115A¹⁹")</f>
        <v/>
      </c>
      <c r="B5960" t="n">
        <v>19</v>
      </c>
      <c r="C5960" t="inlineStr"/>
      <c r="D5960" t="inlineStr">
        <is>
          <t>240</t>
        </is>
      </c>
      <c r="E5960" t="inlineStr">
        <is>
          <t>1</t>
        </is>
      </c>
      <c r="F5960" t="inlineStr">
        <is>
          <t>240</t>
        </is>
      </c>
      <c r="G5960" t="inlineStr">
        <is>
          <t>0</t>
        </is>
      </c>
      <c r="H5960" t="inlineStr">
        <is>
          <t>0</t>
        </is>
      </c>
      <c r="I5960" t="inlineStr">
        <is>
          <t>5², 115²</t>
        </is>
      </c>
      <c r="J5960" t="n">
        <v>4</v>
      </c>
      <c r="K5960" t="inlineStr">
        <is>
          <t>2², 4⁴, 44¹, 88²</t>
        </is>
      </c>
      <c r="L5960" t="inlineStr">
        <is>
          <t>5C⁰, 23A²</t>
        </is>
      </c>
      <c r="M5960" t="inlineStr"/>
      <c r="N5960" t="inlineStr">
        <is>
          <t>5C⁰, 1A⁰, 23A²</t>
        </is>
      </c>
      <c r="O5960" t="inlineStr"/>
    </row>
    <row r="5961">
      <c r="A5961">
        <f>HYPERLINK("https://mathstats.uncg.edu/sites/pauli/congruence/csg19.html#group116A19", "116A¹⁹")</f>
        <v/>
      </c>
      <c r="B5961" t="n">
        <v>19</v>
      </c>
      <c r="C5961" t="inlineStr"/>
      <c r="D5961" t="inlineStr">
        <is>
          <t>240</t>
        </is>
      </c>
      <c r="E5961" t="inlineStr">
        <is>
          <t>1</t>
        </is>
      </c>
      <c r="F5961" t="inlineStr">
        <is>
          <t>30</t>
        </is>
      </c>
      <c r="G5961" t="inlineStr">
        <is>
          <t>0</t>
        </is>
      </c>
      <c r="H5961" t="inlineStr">
        <is>
          <t>0</t>
        </is>
      </c>
      <c r="I5961" t="inlineStr">
        <is>
          <t>4², 116²</t>
        </is>
      </c>
      <c r="J5961" t="n">
        <v>4</v>
      </c>
      <c r="K5961" t="inlineStr">
        <is>
          <t>1², 28¹</t>
        </is>
      </c>
      <c r="L5961" t="inlineStr">
        <is>
          <t>58A⁹, 116B⁹</t>
        </is>
      </c>
      <c r="M5961" t="inlineStr"/>
      <c r="N5961" t="inlineStr">
        <is>
          <t>2A⁰, 116B⁹, 58A⁴, 29A⁴, 29A², 58A⁹, 58A⁵, 1A⁰</t>
        </is>
      </c>
      <c r="O5961" t="inlineStr"/>
    </row>
    <row r="5962">
      <c r="A5962">
        <f>HYPERLINK("https://mathstats.uncg.edu/sites/pauli/congruence/csg19.html#group116B19", "116B¹⁹")</f>
        <v/>
      </c>
      <c r="B5962" t="n">
        <v>19</v>
      </c>
      <c r="C5962" t="inlineStr"/>
      <c r="D5962" t="inlineStr">
        <is>
          <t>240</t>
        </is>
      </c>
      <c r="E5962" t="inlineStr">
        <is>
          <t>1</t>
        </is>
      </c>
      <c r="F5962" t="inlineStr">
        <is>
          <t>120</t>
        </is>
      </c>
      <c r="G5962" t="inlineStr">
        <is>
          <t>0</t>
        </is>
      </c>
      <c r="H5962" t="inlineStr">
        <is>
          <t>0</t>
        </is>
      </c>
      <c r="I5962" t="inlineStr">
        <is>
          <t>4², 116²</t>
        </is>
      </c>
      <c r="J5962" t="n">
        <v>4</v>
      </c>
      <c r="K5962" t="inlineStr">
        <is>
          <t>2⁴, 56²</t>
        </is>
      </c>
      <c r="L5962" t="inlineStr">
        <is>
          <t>29A⁴, 116A⁹</t>
        </is>
      </c>
      <c r="M5962" t="inlineStr"/>
      <c r="N5962" t="inlineStr">
        <is>
          <t>116A⁹, 29A⁴, 1A⁰, 4A⁰, 29A²</t>
        </is>
      </c>
      <c r="O5962" t="inlineStr"/>
    </row>
    <row r="5963">
      <c r="A5963">
        <f>HYPERLINK("https://mathstats.uncg.edu/sites/pauli/congruence/csg19.html#group116C19", "116C¹⁹")</f>
        <v/>
      </c>
      <c r="B5963" t="n">
        <v>19</v>
      </c>
      <c r="C5963" t="inlineStr"/>
      <c r="D5963" t="inlineStr">
        <is>
          <t>240</t>
        </is>
      </c>
      <c r="E5963" t="inlineStr">
        <is>
          <t>1</t>
        </is>
      </c>
      <c r="F5963" t="inlineStr">
        <is>
          <t>120</t>
        </is>
      </c>
      <c r="G5963" t="inlineStr">
        <is>
          <t>0</t>
        </is>
      </c>
      <c r="H5963" t="inlineStr">
        <is>
          <t>0</t>
        </is>
      </c>
      <c r="I5963" t="inlineStr">
        <is>
          <t>4², 116²</t>
        </is>
      </c>
      <c r="J5963" t="n">
        <v>4</v>
      </c>
      <c r="K5963" t="inlineStr">
        <is>
          <t>2⁴, 56²</t>
        </is>
      </c>
      <c r="L5963" t="inlineStr">
        <is>
          <t>4D⁰, 58A⁵, 116A⁹</t>
        </is>
      </c>
      <c r="M5963" t="inlineStr"/>
      <c r="N5963" t="inlineStr">
        <is>
          <t>2A⁰, 4A⁰, 29A², 4D⁰, 116A⁹, 58A⁵, 1A⁰</t>
        </is>
      </c>
      <c r="O5963" t="inlineStr"/>
    </row>
    <row r="5964">
      <c r="A5964">
        <f>HYPERLINK("https://mathstats.uncg.edu/sites/pauli/congruence/csg19.html#group117A19", "117A¹⁹")</f>
        <v/>
      </c>
      <c r="B5964" t="n">
        <v>19</v>
      </c>
      <c r="C5964" t="inlineStr"/>
      <c r="D5964" t="inlineStr">
        <is>
          <t>252</t>
        </is>
      </c>
      <c r="E5964" t="inlineStr">
        <is>
          <t>2</t>
        </is>
      </c>
      <c r="F5964" t="inlineStr">
        <is>
          <t>126</t>
        </is>
      </c>
      <c r="G5964" t="inlineStr">
        <is>
          <t>4</t>
        </is>
      </c>
      <c r="H5964" t="inlineStr">
        <is>
          <t>0</t>
        </is>
      </c>
      <c r="I5964" t="inlineStr">
        <is>
          <t>9², 117²</t>
        </is>
      </c>
      <c r="J5964" t="n">
        <v>4</v>
      </c>
      <c r="K5964" t="inlineStr">
        <is>
          <t>2⁶, 6⁴, 24³, 72²</t>
        </is>
      </c>
      <c r="L5964" t="inlineStr">
        <is>
          <t>9B¹, 39A⁵, 117A⁸</t>
        </is>
      </c>
      <c r="M5964" t="inlineStr"/>
      <c r="N5964" t="inlineStr">
        <is>
          <t>117A⁸, 39A², 39A⁵, 9A⁰, 13A⁰, 3C⁰, 3A⁰, 1A⁰, 9B¹</t>
        </is>
      </c>
      <c r="O5964" t="inlineStr"/>
    </row>
    <row r="5965">
      <c r="A5965">
        <f>HYPERLINK("https://mathstats.uncg.edu/sites/pauli/congruence/csg19.html#group117B19", "117B¹⁹")</f>
        <v/>
      </c>
      <c r="B5965" t="n">
        <v>19</v>
      </c>
      <c r="C5965" t="inlineStr"/>
      <c r="D5965" t="inlineStr">
        <is>
          <t>336</t>
        </is>
      </c>
      <c r="E5965" t="inlineStr">
        <is>
          <t>2</t>
        </is>
      </c>
      <c r="F5965" t="inlineStr">
        <is>
          <t>56</t>
        </is>
      </c>
      <c r="G5965" t="inlineStr">
        <is>
          <t>0</t>
        </is>
      </c>
      <c r="H5965" t="inlineStr">
        <is>
          <t>6</t>
        </is>
      </c>
      <c r="I5965" t="inlineStr">
        <is>
          <t>1⁶, 9², 13⁶, 117²</t>
        </is>
      </c>
      <c r="J5965" t="n">
        <v>16</v>
      </c>
      <c r="K5965" t="inlineStr">
        <is>
          <t>2⁸, 24⁴</t>
        </is>
      </c>
      <c r="L5965" t="inlineStr">
        <is>
          <t>39B⁵, 117A¹⁰</t>
        </is>
      </c>
      <c r="M5965" t="inlineStr"/>
      <c r="N5965" t="inlineStr">
        <is>
          <t>13A⁰, 3B⁰, 39A³, 13B⁰, 1A⁰, 39B⁵, 117A¹⁰</t>
        </is>
      </c>
      <c r="O5965" t="inlineStr"/>
    </row>
    <row r="5966">
      <c r="A5966">
        <f>HYPERLINK("https://mathstats.uncg.edu/sites/pauli/congruence/csg19.html#group119A19", "119A¹⁹")</f>
        <v/>
      </c>
      <c r="B5966" t="n">
        <v>19</v>
      </c>
      <c r="C5966" t="inlineStr"/>
      <c r="D5966" t="inlineStr">
        <is>
          <t>252</t>
        </is>
      </c>
      <c r="E5966" t="inlineStr">
        <is>
          <t>2</t>
        </is>
      </c>
      <c r="F5966" t="inlineStr">
        <is>
          <t>126</t>
        </is>
      </c>
      <c r="G5966" t="inlineStr">
        <is>
          <t>4</t>
        </is>
      </c>
      <c r="H5966" t="inlineStr">
        <is>
          <t>0</t>
        </is>
      </c>
      <c r="I5966" t="inlineStr">
        <is>
          <t>7², 119²</t>
        </is>
      </c>
      <c r="J5966" t="n">
        <v>4</v>
      </c>
      <c r="K5966" t="inlineStr">
        <is>
          <t>2², 6⁴, 32¹, 96²</t>
        </is>
      </c>
      <c r="L5966" t="inlineStr">
        <is>
          <t>119A⁹</t>
        </is>
      </c>
      <c r="M5966" t="inlineStr"/>
      <c r="N5966" t="inlineStr">
        <is>
          <t>119A⁹, 1A⁰, 17A¹, 7A⁰</t>
        </is>
      </c>
      <c r="O5966" t="inlineStr"/>
    </row>
    <row r="5967">
      <c r="A5967">
        <f>HYPERLINK("https://mathstats.uncg.edu/sites/pauli/congruence/csg19.html#group119B19", "119B¹⁹")</f>
        <v/>
      </c>
      <c r="B5967" t="n">
        <v>19</v>
      </c>
      <c r="C5967" t="inlineStr"/>
      <c r="D5967" t="inlineStr">
        <is>
          <t>252</t>
        </is>
      </c>
      <c r="E5967" t="inlineStr">
        <is>
          <t>2</t>
        </is>
      </c>
      <c r="F5967" t="inlineStr">
        <is>
          <t>126</t>
        </is>
      </c>
      <c r="G5967" t="inlineStr">
        <is>
          <t>4</t>
        </is>
      </c>
      <c r="H5967" t="inlineStr">
        <is>
          <t>0</t>
        </is>
      </c>
      <c r="I5967" t="inlineStr">
        <is>
          <t>7², 119²</t>
        </is>
      </c>
      <c r="J5967" t="n">
        <v>4</v>
      </c>
      <c r="K5967" t="inlineStr">
        <is>
          <t>2², 6⁴, 32¹, 96²</t>
        </is>
      </c>
      <c r="L5967" t="inlineStr">
        <is>
          <t>7C⁰, 119A⁹</t>
        </is>
      </c>
      <c r="M5967" t="inlineStr"/>
      <c r="N5967" t="inlineStr">
        <is>
          <t>119A⁹, 17A¹, 1A⁰, 7C⁰, 7A⁰</t>
        </is>
      </c>
      <c r="O5967" t="inlineStr"/>
    </row>
    <row r="5968">
      <c r="A5968">
        <f>HYPERLINK("https://mathstats.uncg.edu/sites/pauli/congruence/csg19.html#group120A19", "120A¹⁹")</f>
        <v/>
      </c>
      <c r="B5968" t="n">
        <v>19</v>
      </c>
      <c r="C5968" t="inlineStr"/>
      <c r="D5968" t="inlineStr">
        <is>
          <t>240</t>
        </is>
      </c>
      <c r="E5968" t="inlineStr">
        <is>
          <t>1</t>
        </is>
      </c>
      <c r="F5968" t="inlineStr">
        <is>
          <t>60</t>
        </is>
      </c>
      <c r="G5968" t="inlineStr">
        <is>
          <t>0</t>
        </is>
      </c>
      <c r="H5968" t="inlineStr">
        <is>
          <t>0</t>
        </is>
      </c>
      <c r="I5968" t="inlineStr">
        <is>
          <t>20¹, 40¹, 60¹, 120¹</t>
        </is>
      </c>
      <c r="J5968" t="n">
        <v>4</v>
      </c>
      <c r="K5968" t="inlineStr">
        <is>
          <t>1⁶, 2³, 4⁶, 8³</t>
        </is>
      </c>
      <c r="L5968" t="inlineStr">
        <is>
          <t>24B³, 40A⁴, 60B⁹</t>
        </is>
      </c>
      <c r="M5968" t="inlineStr"/>
      <c r="N5968" t="inlineStr">
        <is>
          <t>3B⁰, 5A⁰, 60B⁹, 40A⁴, 24B³, 12F¹, 10B¹, 20B², 4C⁰, 8B⁰, 2B⁰, 1A⁰, 30D⁴, 15B¹, 6F⁰</t>
        </is>
      </c>
      <c r="O5968" t="inlineStr"/>
    </row>
    <row r="5969">
      <c r="A5969">
        <f>HYPERLINK("https://mathstats.uncg.edu/sites/pauli/congruence/csg19.html#group120B19", "120B¹⁹")</f>
        <v/>
      </c>
      <c r="B5969" t="n">
        <v>19</v>
      </c>
      <c r="C5969" t="inlineStr"/>
      <c r="D5969" t="inlineStr">
        <is>
          <t>240</t>
        </is>
      </c>
      <c r="E5969" t="inlineStr">
        <is>
          <t>1</t>
        </is>
      </c>
      <c r="F5969" t="inlineStr">
        <is>
          <t>60</t>
        </is>
      </c>
      <c r="G5969" t="inlineStr">
        <is>
          <t>0</t>
        </is>
      </c>
      <c r="H5969" t="inlineStr">
        <is>
          <t>0</t>
        </is>
      </c>
      <c r="I5969" t="inlineStr">
        <is>
          <t>20¹, 40¹, 60¹, 120¹</t>
        </is>
      </c>
      <c r="J5969" t="n">
        <v>4</v>
      </c>
      <c r="K5969" t="inlineStr">
        <is>
          <t>1⁶, 2³, 4⁶, 8³</t>
        </is>
      </c>
      <c r="L5969" t="inlineStr">
        <is>
          <t>24C³, 40A⁵, 60B⁹</t>
        </is>
      </c>
      <c r="M5969" t="inlineStr"/>
      <c r="N5969" t="inlineStr">
        <is>
          <t>3B⁰, 5A⁰, 60B⁹, 8A¹, 12F¹, 10B¹, 20B², 4C⁰, 2B⁰, 1A⁰, 24C³, 30D⁴, 15B¹, 40A⁵, 6F⁰</t>
        </is>
      </c>
      <c r="O5969" t="inlineStr"/>
    </row>
    <row r="5970">
      <c r="A5970">
        <f>HYPERLINK("https://mathstats.uncg.edu/sites/pauli/congruence/csg19.html#group120C19", "120C¹⁹")</f>
        <v/>
      </c>
      <c r="B5970" t="n">
        <v>19</v>
      </c>
      <c r="C5970" t="inlineStr"/>
      <c r="D5970" t="inlineStr">
        <is>
          <t>240</t>
        </is>
      </c>
      <c r="E5970" t="inlineStr">
        <is>
          <t>2</t>
        </is>
      </c>
      <c r="F5970" t="inlineStr">
        <is>
          <t>60</t>
        </is>
      </c>
      <c r="G5970" t="inlineStr">
        <is>
          <t>4</t>
        </is>
      </c>
      <c r="H5970" t="inlineStr">
        <is>
          <t>0</t>
        </is>
      </c>
      <c r="I5970" t="inlineStr">
        <is>
          <t>120²</t>
        </is>
      </c>
      <c r="J5970" t="n">
        <v>2</v>
      </c>
      <c r="K5970" t="inlineStr">
        <is>
          <t>4², 8², 16², 32²</t>
        </is>
      </c>
      <c r="L5970" t="inlineStr">
        <is>
          <t>24D³, 60C⁹, 120B⁹</t>
        </is>
      </c>
      <c r="M5970" t="inlineStr"/>
      <c r="N5970" t="inlineStr">
        <is>
          <t>12G¹, 5A⁰, 24D³, 120B⁹, 20A¹, 24B¹, 1A⁰, 12A⁰, 15A², 4A⁰, 60A⁴, 3C⁰, 3A⁰, 60C⁹, 15A¹</t>
        </is>
      </c>
      <c r="O5970" t="inlineStr"/>
    </row>
    <row r="5971">
      <c r="A5971">
        <f>HYPERLINK("https://mathstats.uncg.edu/sites/pauli/congruence/csg19.html#group120D19", "120D¹⁹")</f>
        <v/>
      </c>
      <c r="B5971" t="n">
        <v>19</v>
      </c>
      <c r="C5971" t="inlineStr"/>
      <c r="D5971" t="inlineStr">
        <is>
          <t>240</t>
        </is>
      </c>
      <c r="E5971" t="inlineStr">
        <is>
          <t>2</t>
        </is>
      </c>
      <c r="F5971" t="inlineStr">
        <is>
          <t>60</t>
        </is>
      </c>
      <c r="G5971" t="inlineStr">
        <is>
          <t>4</t>
        </is>
      </c>
      <c r="H5971" t="inlineStr">
        <is>
          <t>0</t>
        </is>
      </c>
      <c r="I5971" t="inlineStr">
        <is>
          <t>120²</t>
        </is>
      </c>
      <c r="J5971" t="n">
        <v>2</v>
      </c>
      <c r="K5971" t="inlineStr">
        <is>
          <t>4², 8², 16², 32²</t>
        </is>
      </c>
      <c r="L5971" t="inlineStr">
        <is>
          <t>24E³, 60C⁹, 120A⁹, 120B⁹</t>
        </is>
      </c>
      <c r="M5971" t="inlineStr"/>
      <c r="N5971" t="inlineStr">
        <is>
          <t>12G¹, 120A⁹, 5A⁰, 8A⁰, 120B⁹, 20A¹, 24B¹, 1A⁰, 24E³, 12A⁰, 24A¹, 15A², 4A⁰, 60A⁴, 3C⁰, 3A⁰, 40A², 60C⁹, 15A¹</t>
        </is>
      </c>
      <c r="O5971" t="inlineStr"/>
    </row>
    <row r="5972">
      <c r="A5972">
        <f>HYPERLINK("https://mathstats.uncg.edu/sites/pauli/congruence/csg19.html#group120E19", "120E¹⁹")</f>
        <v/>
      </c>
      <c r="B5972" t="n">
        <v>19</v>
      </c>
      <c r="C5972" t="inlineStr"/>
      <c r="D5972" t="inlineStr">
        <is>
          <t>288</t>
        </is>
      </c>
      <c r="E5972" t="inlineStr">
        <is>
          <t>1</t>
        </is>
      </c>
      <c r="F5972" t="inlineStr">
        <is>
          <t>72</t>
        </is>
      </c>
      <c r="G5972" t="inlineStr">
        <is>
          <t>0</t>
        </is>
      </c>
      <c r="H5972" t="inlineStr">
        <is>
          <t>0</t>
        </is>
      </c>
      <c r="I5972" t="inlineStr">
        <is>
          <t>2², 6², 8¹, 10², 24¹, 30², 40¹, 120¹</t>
        </is>
      </c>
      <c r="J5972" t="n">
        <v>12</v>
      </c>
      <c r="K5972" t="inlineStr">
        <is>
          <t>1¹², 2⁶, 4⁶, 8³</t>
        </is>
      </c>
      <c r="L5972" t="inlineStr">
        <is>
          <t>60P⁷</t>
        </is>
      </c>
      <c r="M5972" t="inlineStr"/>
      <c r="N5972" t="inlineStr">
        <is>
          <t>15C¹, 3B⁰, 5B⁰, 10C⁰, 6F⁰, 20D¹, 60P⁷, 30K³, 2B⁰, 4B⁰, 1A⁰, 12E⁰</t>
        </is>
      </c>
      <c r="O5972" t="inlineStr"/>
    </row>
    <row r="5973">
      <c r="A5973">
        <f>HYPERLINK("https://mathstats.uncg.edu/sites/pauli/congruence/csg19.html#group120F19", "120F¹⁹")</f>
        <v/>
      </c>
      <c r="B5973" t="n">
        <v>19</v>
      </c>
      <c r="C5973" t="inlineStr"/>
      <c r="D5973" t="inlineStr">
        <is>
          <t>288</t>
        </is>
      </c>
      <c r="E5973" t="inlineStr">
        <is>
          <t>1</t>
        </is>
      </c>
      <c r="F5973" t="inlineStr">
        <is>
          <t>72</t>
        </is>
      </c>
      <c r="G5973" t="inlineStr">
        <is>
          <t>0</t>
        </is>
      </c>
      <c r="H5973" t="inlineStr">
        <is>
          <t>0</t>
        </is>
      </c>
      <c r="I5973" t="inlineStr">
        <is>
          <t>2², 6², 8¹, 10², 24¹, 30², 40¹, 120¹</t>
        </is>
      </c>
      <c r="J5973" t="n">
        <v>12</v>
      </c>
      <c r="K5973" t="inlineStr">
        <is>
          <t>1¹², 2⁶, 4⁶, 8³</t>
        </is>
      </c>
      <c r="L5973" t="inlineStr">
        <is>
          <t>24F², 60P⁷</t>
        </is>
      </c>
      <c r="M5973" t="inlineStr"/>
      <c r="N5973" t="inlineStr">
        <is>
          <t>3B⁰, 5B⁰, 2B⁰, 20D¹, 4B⁰, 1A⁰, 15C¹, 10C⁰, 60P⁷, 30K³, 24F², 6F⁰, 12E⁰</t>
        </is>
      </c>
      <c r="O5973" t="inlineStr"/>
    </row>
    <row r="5974">
      <c r="A5974">
        <f>HYPERLINK("https://mathstats.uncg.edu/sites/pauli/congruence/csg19.html#group120G19", "120G¹⁹")</f>
        <v/>
      </c>
      <c r="B5974" t="n">
        <v>19</v>
      </c>
      <c r="C5974" t="inlineStr"/>
      <c r="D5974" t="inlineStr">
        <is>
          <t>288</t>
        </is>
      </c>
      <c r="E5974" t="inlineStr">
        <is>
          <t>1</t>
        </is>
      </c>
      <c r="F5974" t="inlineStr">
        <is>
          <t>72</t>
        </is>
      </c>
      <c r="G5974" t="inlineStr">
        <is>
          <t>16</t>
        </is>
      </c>
      <c r="H5974" t="inlineStr">
        <is>
          <t>0</t>
        </is>
      </c>
      <c r="I5974" t="inlineStr">
        <is>
          <t>24², 120²</t>
        </is>
      </c>
      <c r="J5974" t="n">
        <v>4</v>
      </c>
      <c r="K5974" t="inlineStr">
        <is>
          <t>4⁴, 8⁴, 16², 32²</t>
        </is>
      </c>
      <c r="L5974" t="inlineStr">
        <is>
          <t>60R⁷, 120E⁹</t>
        </is>
      </c>
      <c r="M5974" t="inlineStr"/>
      <c r="N5974" t="inlineStr">
        <is>
          <t>15B⁰, 12A⁰, 6B⁰, 4A⁰, 60R⁷, 5B⁰, 120E⁹, 12F⁰, 60B³, 3A⁰, 1A⁰, 20B¹, 30C¹</t>
        </is>
      </c>
      <c r="O5974" t="inlineStr"/>
    </row>
    <row r="5975">
      <c r="A5975">
        <f>HYPERLINK("https://mathstats.uncg.edu/sites/pauli/congruence/csg19.html#group120H19", "120H¹⁹")</f>
        <v/>
      </c>
      <c r="B5975" t="n">
        <v>19</v>
      </c>
      <c r="C5975" t="inlineStr"/>
      <c r="D5975" t="inlineStr">
        <is>
          <t>288</t>
        </is>
      </c>
      <c r="E5975" t="inlineStr">
        <is>
          <t>1</t>
        </is>
      </c>
      <c r="F5975" t="inlineStr">
        <is>
          <t>72</t>
        </is>
      </c>
      <c r="G5975" t="inlineStr">
        <is>
          <t>16</t>
        </is>
      </c>
      <c r="H5975" t="inlineStr">
        <is>
          <t>0</t>
        </is>
      </c>
      <c r="I5975" t="inlineStr">
        <is>
          <t>24², 120²</t>
        </is>
      </c>
      <c r="J5975" t="n">
        <v>4</v>
      </c>
      <c r="K5975" t="inlineStr">
        <is>
          <t>4⁴, 8⁴, 16², 32²</t>
        </is>
      </c>
      <c r="L5975" t="inlineStr">
        <is>
          <t>60R⁷, 120E⁹</t>
        </is>
      </c>
      <c r="M5975" t="inlineStr"/>
      <c r="N5975" t="inlineStr">
        <is>
          <t>15B⁰, 12A⁰, 6B⁰, 4A⁰, 60R⁷, 5B⁰, 120E⁹, 12F⁰, 60B³, 3A⁰, 1A⁰, 20B¹, 30C¹</t>
        </is>
      </c>
      <c r="O5975" t="inlineStr"/>
    </row>
    <row r="5976">
      <c r="A5976">
        <f>HYPERLINK("https://mathstats.uncg.edu/sites/pauli/congruence/csg19.html#group120I19", "120I¹⁹")</f>
        <v/>
      </c>
      <c r="B5976" t="n">
        <v>19</v>
      </c>
      <c r="C5976" t="inlineStr"/>
      <c r="D5976" t="inlineStr">
        <is>
          <t>288</t>
        </is>
      </c>
      <c r="E5976" t="inlineStr">
        <is>
          <t>1</t>
        </is>
      </c>
      <c r="F5976" t="inlineStr">
        <is>
          <t>72</t>
        </is>
      </c>
      <c r="G5976" t="inlineStr">
        <is>
          <t>16</t>
        </is>
      </c>
      <c r="H5976" t="inlineStr">
        <is>
          <t>0</t>
        </is>
      </c>
      <c r="I5976" t="inlineStr">
        <is>
          <t>24², 120²</t>
        </is>
      </c>
      <c r="J5976" t="n">
        <v>4</v>
      </c>
      <c r="K5976" t="inlineStr">
        <is>
          <t>4⁴, 8⁴, 16², 32²</t>
        </is>
      </c>
      <c r="L5976" t="inlineStr">
        <is>
          <t>24G², 60R⁷, 120F⁹</t>
        </is>
      </c>
      <c r="M5976" t="inlineStr"/>
      <c r="N5976" t="inlineStr">
        <is>
          <t>6B⁰, 60R⁷, 5B⁰, 12F⁰, 24B¹, 1A⁰, 20B¹, 15B⁰, 12A⁰, 120F⁹, 4A⁰, 60B³, 3A⁰, 24G², 30C¹</t>
        </is>
      </c>
      <c r="O5976" t="inlineStr"/>
    </row>
    <row r="5977">
      <c r="A5977">
        <f>HYPERLINK("https://mathstats.uncg.edu/sites/pauli/congruence/csg19.html#group120J19", "120J¹⁹")</f>
        <v/>
      </c>
      <c r="B5977" t="n">
        <v>19</v>
      </c>
      <c r="C5977" t="inlineStr"/>
      <c r="D5977" t="inlineStr">
        <is>
          <t>288</t>
        </is>
      </c>
      <c r="E5977" t="inlineStr">
        <is>
          <t>1</t>
        </is>
      </c>
      <c r="F5977" t="inlineStr">
        <is>
          <t>72</t>
        </is>
      </c>
      <c r="G5977" t="inlineStr">
        <is>
          <t>16</t>
        </is>
      </c>
      <c r="H5977" t="inlineStr">
        <is>
          <t>0</t>
        </is>
      </c>
      <c r="I5977" t="inlineStr">
        <is>
          <t>24², 120²</t>
        </is>
      </c>
      <c r="J5977" t="n">
        <v>4</v>
      </c>
      <c r="K5977" t="inlineStr">
        <is>
          <t>4⁴, 8⁴, 16², 32²</t>
        </is>
      </c>
      <c r="L5977" t="inlineStr">
        <is>
          <t>24H², 60R⁷, 120F⁹</t>
        </is>
      </c>
      <c r="M5977" t="inlineStr"/>
      <c r="N5977" t="inlineStr">
        <is>
          <t>6B⁰, 60R⁷, 5B⁰, 12F⁰, 24B¹, 1A⁰, 20B¹, 15B⁰, 12A⁰, 120F⁹, 4A⁰, 60B³, 3A⁰, 24H², 30C¹</t>
        </is>
      </c>
      <c r="O5977" t="inlineStr"/>
    </row>
    <row r="5978">
      <c r="A5978">
        <f>HYPERLINK("https://mathstats.uncg.edu/sites/pauli/congruence/csg19.html#group120K19", "120K¹⁹")</f>
        <v/>
      </c>
      <c r="B5978" t="n">
        <v>19</v>
      </c>
      <c r="C5978" t="inlineStr"/>
      <c r="D5978" t="inlineStr">
        <is>
          <t>288</t>
        </is>
      </c>
      <c r="E5978" t="inlineStr">
        <is>
          <t>1</t>
        </is>
      </c>
      <c r="F5978" t="inlineStr">
        <is>
          <t>144</t>
        </is>
      </c>
      <c r="G5978" t="inlineStr">
        <is>
          <t>0</t>
        </is>
      </c>
      <c r="H5978" t="inlineStr">
        <is>
          <t>0</t>
        </is>
      </c>
      <c r="I5978" t="inlineStr">
        <is>
          <t>2², 6², 8¹, 10², 24¹, 30², 40¹, 120¹</t>
        </is>
      </c>
      <c r="J5978" t="n">
        <v>12</v>
      </c>
      <c r="K5978" t="inlineStr">
        <is>
          <t>1⁸, 2¹², 4⁸, 8⁶, 16²</t>
        </is>
      </c>
      <c r="L5978" t="inlineStr">
        <is>
          <t>40G³, 60H⁹</t>
        </is>
      </c>
      <c r="M5978" t="inlineStr"/>
      <c r="N5978" t="inlineStr">
        <is>
          <t>20E¹, 3B⁰, 15C¹, 12F¹, 4C⁰, 5B⁰, 10C⁰, 6F⁰, 1A⁰, 2B⁰, 30K³, 60H⁹, 40G³</t>
        </is>
      </c>
      <c r="O5978" t="inlineStr"/>
    </row>
    <row r="5979">
      <c r="A5979">
        <f>HYPERLINK("https://mathstats.uncg.edu/sites/pauli/congruence/csg19.html#group120L19", "120L¹⁹")</f>
        <v/>
      </c>
      <c r="B5979" t="n">
        <v>19</v>
      </c>
      <c r="C5979" t="inlineStr"/>
      <c r="D5979" t="inlineStr">
        <is>
          <t>288</t>
        </is>
      </c>
      <c r="E5979" t="inlineStr">
        <is>
          <t>1</t>
        </is>
      </c>
      <c r="F5979" t="inlineStr">
        <is>
          <t>144</t>
        </is>
      </c>
      <c r="G5979" t="inlineStr">
        <is>
          <t>0</t>
        </is>
      </c>
      <c r="H5979" t="inlineStr">
        <is>
          <t>0</t>
        </is>
      </c>
      <c r="I5979" t="inlineStr">
        <is>
          <t>2², 6², 8¹, 10², 24¹, 30², 40¹, 120¹</t>
        </is>
      </c>
      <c r="J5979" t="n">
        <v>12</v>
      </c>
      <c r="K5979" t="inlineStr">
        <is>
          <t>1⁸, 2¹², 4⁸, 8⁶, 16²</t>
        </is>
      </c>
      <c r="L5979" t="inlineStr">
        <is>
          <t>24I², 40H³, 60H⁹</t>
        </is>
      </c>
      <c r="M5979" t="inlineStr"/>
      <c r="N5979" t="inlineStr">
        <is>
          <t>20E¹, 3B⁰, 40H³, 8D⁰, 12F¹, 4C⁰, 5B⁰, 2B⁰, 1A⁰, 15C¹, 24I², 6F⁰, 10C⁰, 30K³, 60H⁹</t>
        </is>
      </c>
      <c r="O5979" t="inlineStr"/>
    </row>
    <row r="5980">
      <c r="A5980">
        <f>HYPERLINK("https://mathstats.uncg.edu/sites/pauli/congruence/csg19.html#group120M19", "120M¹⁹")</f>
        <v/>
      </c>
      <c r="B5980" t="n">
        <v>19</v>
      </c>
      <c r="C5980" t="inlineStr"/>
      <c r="D5980" t="inlineStr">
        <is>
          <t>288</t>
        </is>
      </c>
      <c r="E5980" t="inlineStr">
        <is>
          <t>2</t>
        </is>
      </c>
      <c r="F5980" t="inlineStr">
        <is>
          <t>72</t>
        </is>
      </c>
      <c r="G5980" t="inlineStr">
        <is>
          <t>0</t>
        </is>
      </c>
      <c r="H5980" t="inlineStr">
        <is>
          <t>0</t>
        </is>
      </c>
      <c r="I5980" t="inlineStr">
        <is>
          <t>2², 6², 8¹, 10², 24¹, 30², 40¹, 120¹</t>
        </is>
      </c>
      <c r="J5980" t="n">
        <v>12</v>
      </c>
      <c r="K5980" t="inlineStr">
        <is>
          <t>2¹², 4⁶, 8⁶, 16³</t>
        </is>
      </c>
      <c r="L5980" t="inlineStr">
        <is>
          <t>40I³, 60O⁷</t>
        </is>
      </c>
      <c r="M5980" t="inlineStr"/>
      <c r="N5980" t="inlineStr">
        <is>
          <t>3B⁰, 5B⁰, 60O⁷, 2B⁰, 1A⁰, 15C¹, 20A⁰, 40I³, 10C⁰, 30K³, 6F⁰</t>
        </is>
      </c>
      <c r="O5980" t="inlineStr"/>
    </row>
    <row r="5981">
      <c r="A5981">
        <f>HYPERLINK("https://mathstats.uncg.edu/sites/pauli/congruence/csg19.html#group120N19", "120N¹⁹")</f>
        <v/>
      </c>
      <c r="B5981" t="n">
        <v>19</v>
      </c>
      <c r="C5981" t="inlineStr"/>
      <c r="D5981" t="inlineStr">
        <is>
          <t>288</t>
        </is>
      </c>
      <c r="E5981" t="inlineStr">
        <is>
          <t>2</t>
        </is>
      </c>
      <c r="F5981" t="inlineStr">
        <is>
          <t>72</t>
        </is>
      </c>
      <c r="G5981" t="inlineStr">
        <is>
          <t>16</t>
        </is>
      </c>
      <c r="H5981" t="inlineStr">
        <is>
          <t>0</t>
        </is>
      </c>
      <c r="I5981" t="inlineStr">
        <is>
          <t>24², 120²</t>
        </is>
      </c>
      <c r="J5981" t="n">
        <v>4</v>
      </c>
      <c r="K5981" t="inlineStr">
        <is>
          <t>4⁴, 8⁴, 16², 32²</t>
        </is>
      </c>
      <c r="L5981" t="inlineStr">
        <is>
          <t>60Q⁷, 120C⁹, 120F⁹</t>
        </is>
      </c>
      <c r="M5981" t="inlineStr"/>
      <c r="N5981" t="inlineStr">
        <is>
          <t>15B⁰, 12A⁰, 40A³, 120F⁹, 4A⁰, 5B⁰, 60Q⁷, 60B³, 24B¹, 3A⁰, 1A⁰, 120C⁹, 20B¹, 15C⁰</t>
        </is>
      </c>
      <c r="O5981" t="inlineStr"/>
    </row>
    <row r="5982">
      <c r="A5982">
        <f>HYPERLINK("https://mathstats.uncg.edu/sites/pauli/congruence/csg19.html#group120O19", "120O¹⁹")</f>
        <v/>
      </c>
      <c r="B5982" t="n">
        <v>19</v>
      </c>
      <c r="C5982" t="inlineStr"/>
      <c r="D5982" t="inlineStr">
        <is>
          <t>288</t>
        </is>
      </c>
      <c r="E5982" t="inlineStr">
        <is>
          <t>2</t>
        </is>
      </c>
      <c r="F5982" t="inlineStr">
        <is>
          <t>72</t>
        </is>
      </c>
      <c r="G5982" t="inlineStr">
        <is>
          <t>16</t>
        </is>
      </c>
      <c r="H5982" t="inlineStr">
        <is>
          <t>0</t>
        </is>
      </c>
      <c r="I5982" t="inlineStr">
        <is>
          <t>24², 120²</t>
        </is>
      </c>
      <c r="J5982" t="n">
        <v>4</v>
      </c>
      <c r="K5982" t="inlineStr">
        <is>
          <t>4⁴, 8⁴, 16², 32²</t>
        </is>
      </c>
      <c r="L5982" t="inlineStr">
        <is>
          <t>60Q⁷, 120D⁹, 120E⁹</t>
        </is>
      </c>
      <c r="M5982" t="inlineStr"/>
      <c r="N5982" t="inlineStr">
        <is>
          <t>15B⁰, 12A⁰, 24A¹, 4A⁰, 40B³, 8A⁰, 120E⁹, 60Q⁷, 5B⁰, 60B³, 3A⁰, 120D⁹, 1A⁰, 20B¹, 15C⁰</t>
        </is>
      </c>
      <c r="O5982" t="inlineStr"/>
    </row>
    <row r="5983">
      <c r="A5983">
        <f>HYPERLINK("https://mathstats.uncg.edu/sites/pauli/congruence/csg19.html#group120P19", "120P¹⁹")</f>
        <v/>
      </c>
      <c r="B5983" t="n">
        <v>19</v>
      </c>
      <c r="C5983" t="inlineStr"/>
      <c r="D5983" t="inlineStr">
        <is>
          <t>288</t>
        </is>
      </c>
      <c r="E5983" t="inlineStr">
        <is>
          <t>2</t>
        </is>
      </c>
      <c r="F5983" t="inlineStr">
        <is>
          <t>72</t>
        </is>
      </c>
      <c r="G5983" t="inlineStr">
        <is>
          <t>16</t>
        </is>
      </c>
      <c r="H5983" t="inlineStr">
        <is>
          <t>0</t>
        </is>
      </c>
      <c r="I5983" t="inlineStr">
        <is>
          <t>24², 120²</t>
        </is>
      </c>
      <c r="J5983" t="n">
        <v>4</v>
      </c>
      <c r="K5983" t="inlineStr">
        <is>
          <t>4⁴, 8⁴, 16², 32²</t>
        </is>
      </c>
      <c r="L5983" t="inlineStr">
        <is>
          <t>60R⁷, 120C⁹, 120E⁹</t>
        </is>
      </c>
      <c r="M5983" t="inlineStr"/>
      <c r="N5983" t="inlineStr">
        <is>
          <t>40A³, 6B⁰, 60R⁷, 5B⁰, 120E⁹, 12F⁰, 1A⁰, 120C⁹, 20B¹, 15B⁰, 12A⁰, 4A⁰, 60B³, 3A⁰, 30C¹</t>
        </is>
      </c>
      <c r="O5983" t="inlineStr"/>
    </row>
    <row r="5984">
      <c r="A5984">
        <f>HYPERLINK("https://mathstats.uncg.edu/sites/pauli/congruence/csg19.html#group120Q19", "120Q¹⁹")</f>
        <v/>
      </c>
      <c r="B5984" t="n">
        <v>19</v>
      </c>
      <c r="C5984" t="inlineStr"/>
      <c r="D5984" t="inlineStr">
        <is>
          <t>288</t>
        </is>
      </c>
      <c r="E5984" t="inlineStr">
        <is>
          <t>2</t>
        </is>
      </c>
      <c r="F5984" t="inlineStr">
        <is>
          <t>72</t>
        </is>
      </c>
      <c r="G5984" t="inlineStr">
        <is>
          <t>16</t>
        </is>
      </c>
      <c r="H5984" t="inlineStr">
        <is>
          <t>0</t>
        </is>
      </c>
      <c r="I5984" t="inlineStr">
        <is>
          <t>24², 120²</t>
        </is>
      </c>
      <c r="J5984" t="n">
        <v>4</v>
      </c>
      <c r="K5984" t="inlineStr">
        <is>
          <t>4⁴, 8⁴, 16², 32²</t>
        </is>
      </c>
      <c r="L5984" t="inlineStr">
        <is>
          <t>24K², 60R⁷, 120D⁹, 120F⁹</t>
        </is>
      </c>
      <c r="M5984" t="inlineStr"/>
      <c r="N5984" t="inlineStr">
        <is>
          <t>6B⁰, 60R⁷, 8A⁰, 5B⁰, 12F⁰, 24B¹, 120D⁹, 1A⁰, 20B¹, 15B⁰, 12A⁰, 24K², 24A¹, 120F⁹, 4A⁰, 40B³, 60B³, 3A⁰, 30C¹</t>
        </is>
      </c>
      <c r="O5984" t="inlineStr"/>
    </row>
    <row r="5985">
      <c r="A5985">
        <f>HYPERLINK("https://mathstats.uncg.edu/sites/pauli/congruence/csg19.html#group120R19", "120R¹⁹")</f>
        <v/>
      </c>
      <c r="B5985" t="n">
        <v>19</v>
      </c>
      <c r="C5985" t="inlineStr"/>
      <c r="D5985" t="inlineStr">
        <is>
          <t>288</t>
        </is>
      </c>
      <c r="E5985" t="inlineStr">
        <is>
          <t>2</t>
        </is>
      </c>
      <c r="F5985" t="inlineStr">
        <is>
          <t>72</t>
        </is>
      </c>
      <c r="G5985" t="inlineStr">
        <is>
          <t>16</t>
        </is>
      </c>
      <c r="H5985" t="inlineStr">
        <is>
          <t>0</t>
        </is>
      </c>
      <c r="I5985" t="inlineStr">
        <is>
          <t>24², 120²</t>
        </is>
      </c>
      <c r="J5985" t="n">
        <v>4</v>
      </c>
      <c r="K5985" t="inlineStr">
        <is>
          <t>8¹², 32⁶</t>
        </is>
      </c>
      <c r="L5985" t="inlineStr">
        <is>
          <t>60Q⁷, 120E⁹, 120F⁹</t>
        </is>
      </c>
      <c r="M5985" t="inlineStr"/>
      <c r="N5985" t="inlineStr">
        <is>
          <t>15B⁰, 12A⁰, 120F⁹, 4A⁰, 5B⁰, 120E⁹, 60Q⁷, 60B³, 24B¹, 3A⁰, 1A⁰, 20B¹, 15C⁰</t>
        </is>
      </c>
      <c r="O5985" t="inlineStr"/>
    </row>
    <row r="5986">
      <c r="A5986">
        <f>HYPERLINK("https://mathstats.uncg.edu/sites/pauli/congruence/csg19.html#group120S19", "120S¹⁹")</f>
        <v/>
      </c>
      <c r="B5986" t="n">
        <v>19</v>
      </c>
      <c r="C5986" t="inlineStr"/>
      <c r="D5986" t="inlineStr">
        <is>
          <t>288</t>
        </is>
      </c>
      <c r="E5986" t="inlineStr">
        <is>
          <t>2</t>
        </is>
      </c>
      <c r="F5986" t="inlineStr">
        <is>
          <t>72</t>
        </is>
      </c>
      <c r="G5986" t="inlineStr">
        <is>
          <t>16</t>
        </is>
      </c>
      <c r="H5986" t="inlineStr">
        <is>
          <t>0</t>
        </is>
      </c>
      <c r="I5986" t="inlineStr">
        <is>
          <t>24², 120²</t>
        </is>
      </c>
      <c r="J5986" t="n">
        <v>4</v>
      </c>
      <c r="K5986" t="inlineStr">
        <is>
          <t>8¹², 32⁶</t>
        </is>
      </c>
      <c r="L5986" t="inlineStr">
        <is>
          <t>60Q⁷, 120E⁹, 120F⁹</t>
        </is>
      </c>
      <c r="M5986" t="inlineStr"/>
      <c r="N5986" t="inlineStr">
        <is>
          <t>15B⁰, 12A⁰, 120F⁹, 4A⁰, 5B⁰, 120E⁹, 60Q⁷, 60B³, 24B¹, 3A⁰, 1A⁰, 20B¹, 15C⁰</t>
        </is>
      </c>
      <c r="O5986" t="inlineStr"/>
    </row>
    <row r="5987">
      <c r="A5987">
        <f>HYPERLINK("https://mathstats.uncg.edu/sites/pauli/congruence/csg19.html#group123A19", "123A¹⁹")</f>
        <v/>
      </c>
      <c r="B5987" t="n">
        <v>19</v>
      </c>
      <c r="C5987" t="inlineStr"/>
      <c r="D5987" t="inlineStr">
        <is>
          <t>252</t>
        </is>
      </c>
      <c r="E5987" t="inlineStr">
        <is>
          <t>1</t>
        </is>
      </c>
      <c r="F5987" t="inlineStr">
        <is>
          <t>126</t>
        </is>
      </c>
      <c r="G5987" t="inlineStr">
        <is>
          <t>4</t>
        </is>
      </c>
      <c r="H5987" t="inlineStr">
        <is>
          <t>0</t>
        </is>
      </c>
      <c r="I5987" t="inlineStr">
        <is>
          <t>3², 123²</t>
        </is>
      </c>
      <c r="J5987" t="n">
        <v>4</v>
      </c>
      <c r="K5987" t="inlineStr">
        <is>
          <t>1², 2², 40¹, 80¹</t>
        </is>
      </c>
      <c r="L5987" t="inlineStr">
        <is>
          <t>123A⁹</t>
        </is>
      </c>
      <c r="M5987" t="inlineStr"/>
      <c r="N5987" t="inlineStr">
        <is>
          <t>3A⁰, 123A⁹, 1A⁰, 41A³</t>
        </is>
      </c>
      <c r="O5987" t="inlineStr"/>
    </row>
    <row r="5988">
      <c r="A5988">
        <f>HYPERLINK("https://mathstats.uncg.edu/sites/pauli/congruence/csg19.html#group123B19", "123B¹⁹")</f>
        <v/>
      </c>
      <c r="B5988" t="n">
        <v>19</v>
      </c>
      <c r="C5988" t="inlineStr"/>
      <c r="D5988" t="inlineStr">
        <is>
          <t>252</t>
        </is>
      </c>
      <c r="E5988" t="inlineStr">
        <is>
          <t>1</t>
        </is>
      </c>
      <c r="F5988" t="inlineStr">
        <is>
          <t>126</t>
        </is>
      </c>
      <c r="G5988" t="inlineStr">
        <is>
          <t>4</t>
        </is>
      </c>
      <c r="H5988" t="inlineStr">
        <is>
          <t>0</t>
        </is>
      </c>
      <c r="I5988" t="inlineStr">
        <is>
          <t>3², 123²</t>
        </is>
      </c>
      <c r="J5988" t="n">
        <v>4</v>
      </c>
      <c r="K5988" t="inlineStr">
        <is>
          <t>1², 2², 40¹, 80¹</t>
        </is>
      </c>
      <c r="L5988" t="inlineStr">
        <is>
          <t>3C⁰, 123A⁹</t>
        </is>
      </c>
      <c r="M5988" t="inlineStr"/>
      <c r="N5988" t="inlineStr">
        <is>
          <t>123A⁹, 3C⁰, 41A³, 3A⁰, 1A⁰</t>
        </is>
      </c>
      <c r="O5988" t="inlineStr"/>
    </row>
    <row r="5989">
      <c r="A5989">
        <f>HYPERLINK("https://mathstats.uncg.edu/sites/pauli/congruence/csg19.html#group124A19", "124A¹⁹")</f>
        <v/>
      </c>
      <c r="B5989" t="n">
        <v>19</v>
      </c>
      <c r="C5989" t="inlineStr"/>
      <c r="D5989" t="inlineStr">
        <is>
          <t>256</t>
        </is>
      </c>
      <c r="E5989" t="inlineStr">
        <is>
          <t>1</t>
        </is>
      </c>
      <c r="F5989" t="inlineStr">
        <is>
          <t>128</t>
        </is>
      </c>
      <c r="G5989" t="inlineStr">
        <is>
          <t>0</t>
        </is>
      </c>
      <c r="H5989" t="inlineStr">
        <is>
          <t>4</t>
        </is>
      </c>
      <c r="I5989" t="inlineStr">
        <is>
          <t>4², 124²</t>
        </is>
      </c>
      <c r="J5989" t="n">
        <v>4</v>
      </c>
      <c r="K5989" t="inlineStr">
        <is>
          <t>2⁴, 60²</t>
        </is>
      </c>
      <c r="L5989" t="inlineStr">
        <is>
          <t>4D⁰, 62A⁴, 124A¹⁰</t>
        </is>
      </c>
      <c r="M5989" t="inlineStr"/>
      <c r="N5989" t="inlineStr">
        <is>
          <t>124A¹⁰, 2A⁰, 4A⁰, 4D⁰, 31A², 1A⁰, 62A⁴</t>
        </is>
      </c>
      <c r="O5989" t="inlineStr"/>
    </row>
    <row r="5990">
      <c r="A5990">
        <f>HYPERLINK("https://mathstats.uncg.edu/sites/pauli/congruence/csg19.html#group126A19", "126A¹⁹")</f>
        <v/>
      </c>
      <c r="B5990" t="n">
        <v>19</v>
      </c>
      <c r="C5990" t="inlineStr"/>
      <c r="D5990" t="inlineStr">
        <is>
          <t>252</t>
        </is>
      </c>
      <c r="E5990" t="inlineStr">
        <is>
          <t>2</t>
        </is>
      </c>
      <c r="F5990" t="inlineStr">
        <is>
          <t>63</t>
        </is>
      </c>
      <c r="G5990" t="inlineStr">
        <is>
          <t>8</t>
        </is>
      </c>
      <c r="H5990" t="inlineStr">
        <is>
          <t>0</t>
        </is>
      </c>
      <c r="I5990" t="inlineStr">
        <is>
          <t>126²</t>
        </is>
      </c>
      <c r="J5990" t="n">
        <v>2</v>
      </c>
      <c r="K5990" t="inlineStr">
        <is>
          <t>2¹, 4¹, 6², 12³, 36²</t>
        </is>
      </c>
      <c r="L5990" t="inlineStr">
        <is>
          <t>42F⁵, 126A⁷, 63A⁸, 126A⁸</t>
        </is>
      </c>
      <c r="M5990" t="inlineStr"/>
      <c r="N5990" t="inlineStr">
        <is>
          <t>42F⁵, 126A⁷, 6B⁰, 21C², 21A⁰, 1A⁰, 63A², 126A⁸, 63A⁸, 42A², 9A⁰, 7C⁰, 42B¹, 3A⁰, 18A¹, 7A⁰</t>
        </is>
      </c>
      <c r="O5990" t="inlineStr"/>
    </row>
    <row r="5991">
      <c r="A5991">
        <f>HYPERLINK("https://mathstats.uncg.edu/sites/pauli/congruence/csg19.html#group126B19", "126B¹⁹")</f>
        <v/>
      </c>
      <c r="B5991" t="n">
        <v>19</v>
      </c>
      <c r="C5991" t="inlineStr"/>
      <c r="D5991" t="inlineStr">
        <is>
          <t>252</t>
        </is>
      </c>
      <c r="E5991" t="inlineStr">
        <is>
          <t>2</t>
        </is>
      </c>
      <c r="F5991" t="inlineStr">
        <is>
          <t>63</t>
        </is>
      </c>
      <c r="G5991" t="inlineStr">
        <is>
          <t>8</t>
        </is>
      </c>
      <c r="H5991" t="inlineStr">
        <is>
          <t>0</t>
        </is>
      </c>
      <c r="I5991" t="inlineStr">
        <is>
          <t>126²</t>
        </is>
      </c>
      <c r="J5991" t="n">
        <v>2</v>
      </c>
      <c r="K5991" t="inlineStr">
        <is>
          <t>4³, 12⁸, 36⁴</t>
        </is>
      </c>
      <c r="L5991" t="inlineStr">
        <is>
          <t>42E⁵, 126A⁶, 126B⁸, 63A⁹</t>
        </is>
      </c>
      <c r="M5991" t="inlineStr"/>
      <c r="N5991" t="inlineStr">
        <is>
          <t>63A⁹, 14A⁰, 21D², 42A¹, 21A⁰, 1A⁰, 9B¹, 63A², 42A², 126A⁶, 42E⁵, 9A⁰, 3C⁰, 3A⁰, 126B⁸, 7A⁰</t>
        </is>
      </c>
      <c r="O5991" t="inlineStr"/>
    </row>
    <row r="5992">
      <c r="A5992">
        <f>HYPERLINK("https://mathstats.uncg.edu/sites/pauli/congruence/csg19.html#group126C19", "126C¹⁹")</f>
        <v/>
      </c>
      <c r="B5992" t="n">
        <v>19</v>
      </c>
      <c r="C5992" t="inlineStr"/>
      <c r="D5992" t="inlineStr">
        <is>
          <t>252</t>
        </is>
      </c>
      <c r="E5992" t="inlineStr">
        <is>
          <t>2</t>
        </is>
      </c>
      <c r="F5992" t="inlineStr">
        <is>
          <t>63</t>
        </is>
      </c>
      <c r="G5992" t="inlineStr">
        <is>
          <t>8</t>
        </is>
      </c>
      <c r="H5992" t="inlineStr">
        <is>
          <t>0</t>
        </is>
      </c>
      <c r="I5992" t="inlineStr">
        <is>
          <t>126²</t>
        </is>
      </c>
      <c r="J5992" t="n">
        <v>2</v>
      </c>
      <c r="K5992" t="inlineStr">
        <is>
          <t>4³, 12⁸, 36⁴</t>
        </is>
      </c>
      <c r="L5992" t="inlineStr">
        <is>
          <t>42E⁵, 126A⁶, 126C⁸, 63B⁹</t>
        </is>
      </c>
      <c r="M5992" t="inlineStr"/>
      <c r="N5992" t="inlineStr">
        <is>
          <t>14A⁰, 21D², 42A¹, 21A⁰, 63B⁹, 1A⁰, 9B¹, 63A², 126C⁸, 42A², 126A⁶, 42E⁵, 9A⁰, 3C⁰, 3A⁰, 7A⁰</t>
        </is>
      </c>
      <c r="O5992" t="inlineStr"/>
    </row>
    <row r="5993">
      <c r="A5993">
        <f>HYPERLINK("https://mathstats.uncg.edu/sites/pauli/congruence/csg19.html#group126D19", "126D¹⁹")</f>
        <v/>
      </c>
      <c r="B5993" t="n">
        <v>19</v>
      </c>
      <c r="C5993" t="inlineStr"/>
      <c r="D5993" t="inlineStr">
        <is>
          <t>252</t>
        </is>
      </c>
      <c r="E5993" t="inlineStr">
        <is>
          <t>2</t>
        </is>
      </c>
      <c r="F5993" t="inlineStr">
        <is>
          <t>126</t>
        </is>
      </c>
      <c r="G5993" t="inlineStr">
        <is>
          <t>4</t>
        </is>
      </c>
      <c r="H5993" t="inlineStr">
        <is>
          <t>0</t>
        </is>
      </c>
      <c r="I5993" t="inlineStr">
        <is>
          <t>42³, 126¹</t>
        </is>
      </c>
      <c r="J5993" t="n">
        <v>4</v>
      </c>
      <c r="K5993" t="inlineStr">
        <is>
          <t>2¹, 4¹, 6³, 12⁴, 18², 36⁴</t>
        </is>
      </c>
      <c r="L5993" t="inlineStr">
        <is>
          <t>42A⁶, 63B⁸</t>
        </is>
      </c>
      <c r="M5993" t="inlineStr"/>
      <c r="N5993" t="inlineStr">
        <is>
          <t>21D², 42A², 42A⁶, 21A⁰, 3C⁰, 9E⁰, 3A⁰, 1A⁰, 7A⁰, 63B⁸</t>
        </is>
      </c>
      <c r="O5993" t="inlineStr"/>
    </row>
    <row r="5994">
      <c r="A5994">
        <f>HYPERLINK("https://mathstats.uncg.edu/sites/pauli/congruence/csg19.html#group126E19", "126E¹⁹")</f>
        <v/>
      </c>
      <c r="B5994" t="n">
        <v>19</v>
      </c>
      <c r="C5994" t="inlineStr"/>
      <c r="D5994" t="inlineStr">
        <is>
          <t>252</t>
        </is>
      </c>
      <c r="E5994" t="inlineStr">
        <is>
          <t>2</t>
        </is>
      </c>
      <c r="F5994" t="inlineStr">
        <is>
          <t>126</t>
        </is>
      </c>
      <c r="G5994" t="inlineStr">
        <is>
          <t>8</t>
        </is>
      </c>
      <c r="H5994" t="inlineStr">
        <is>
          <t>0</t>
        </is>
      </c>
      <c r="I5994" t="inlineStr">
        <is>
          <t>126²</t>
        </is>
      </c>
      <c r="J5994" t="n">
        <v>2</v>
      </c>
      <c r="K5994" t="inlineStr">
        <is>
          <t>4³, 12⁸, 36⁴</t>
        </is>
      </c>
      <c r="L5994" t="inlineStr">
        <is>
          <t>42F⁵, 126D⁸</t>
        </is>
      </c>
      <c r="M5994" t="inlineStr"/>
      <c r="N5994" t="inlineStr">
        <is>
          <t>42F⁵, 6B⁰, 42A², 7C⁰, 21C², 18B¹, 21A⁰, 42B¹, 3A⁰, 1A⁰, 126D⁸, 7A⁰</t>
        </is>
      </c>
      <c r="O5994" t="inlineStr"/>
    </row>
    <row r="5995">
      <c r="A5995">
        <f>HYPERLINK("https://mathstats.uncg.edu/sites/pauli/congruence/csg19.html#group128A19", "128A¹⁹")</f>
        <v/>
      </c>
      <c r="B5995" t="n">
        <v>19</v>
      </c>
      <c r="C5995" t="inlineStr"/>
      <c r="D5995" t="inlineStr">
        <is>
          <t>384</t>
        </is>
      </c>
      <c r="E5995" t="inlineStr">
        <is>
          <t>1</t>
        </is>
      </c>
      <c r="F5995" t="inlineStr">
        <is>
          <t>48</t>
        </is>
      </c>
      <c r="G5995" t="inlineStr">
        <is>
          <t>0</t>
        </is>
      </c>
      <c r="H5995" t="inlineStr">
        <is>
          <t>0</t>
        </is>
      </c>
      <c r="I5995" t="inlineStr">
        <is>
          <t>2¹⁶, 4⁸, 32², 128²</t>
        </is>
      </c>
      <c r="J5995" t="n">
        <v>28</v>
      </c>
      <c r="K5995" t="inlineStr">
        <is>
          <t>2⁴, 4⁶, 8²</t>
        </is>
      </c>
      <c r="L5995" t="inlineStr">
        <is>
          <t>64K⁷</t>
        </is>
      </c>
      <c r="M5995" t="inlineStr"/>
      <c r="N5995" t="inlineStr">
        <is>
          <t>2A⁰, 8D⁰, 16E¹, 4C⁰, 16A¹, 8C⁰, 2B⁰, 4E⁰, 32K³, 4B⁰, 1A⁰, 8G⁰, 16C⁰, 32A⁰, 64K⁷, 32A², 64A², 2C⁰</t>
        </is>
      </c>
      <c r="O5995" t="inlineStr"/>
    </row>
    <row r="5996">
      <c r="A5996">
        <f>HYPERLINK("https://mathstats.uncg.edu/sites/pauli/congruence/csg19.html#group130A19", "130A¹⁹")</f>
        <v/>
      </c>
      <c r="B5996" t="n">
        <v>19</v>
      </c>
      <c r="C5996" t="inlineStr"/>
      <c r="D5996" t="inlineStr">
        <is>
          <t>280</t>
        </is>
      </c>
      <c r="E5996" t="inlineStr">
        <is>
          <t>1</t>
        </is>
      </c>
      <c r="F5996" t="inlineStr">
        <is>
          <t>140</t>
        </is>
      </c>
      <c r="G5996" t="inlineStr">
        <is>
          <t>8</t>
        </is>
      </c>
      <c r="H5996" t="inlineStr">
        <is>
          <t>4</t>
        </is>
      </c>
      <c r="I5996" t="inlineStr">
        <is>
          <t>10², 130²</t>
        </is>
      </c>
      <c r="J5996" t="n">
        <v>4</v>
      </c>
      <c r="K5996" t="inlineStr">
        <is>
          <t>2², 4⁴, 24¹, 48²</t>
        </is>
      </c>
      <c r="L5996" t="inlineStr">
        <is>
          <t>10D⁰, 65A⁹</t>
        </is>
      </c>
      <c r="M5996" t="inlineStr"/>
      <c r="N5996" t="inlineStr">
        <is>
          <t>13A⁰, 1A⁰, 65A⁹, 5C⁰, 10D⁰</t>
        </is>
      </c>
      <c r="O5996" t="inlineStr"/>
    </row>
    <row r="5997">
      <c r="A5997">
        <f>HYPERLINK("https://mathstats.uncg.edu/sites/pauli/congruence/csg19.html#group130B19", "130B¹⁹")</f>
        <v/>
      </c>
      <c r="B5997" t="n">
        <v>19</v>
      </c>
      <c r="C5997" t="inlineStr"/>
      <c r="D5997" t="inlineStr">
        <is>
          <t>280</t>
        </is>
      </c>
      <c r="E5997" t="inlineStr">
        <is>
          <t>1</t>
        </is>
      </c>
      <c r="F5997" t="inlineStr">
        <is>
          <t>140</t>
        </is>
      </c>
      <c r="G5997" t="inlineStr">
        <is>
          <t>8</t>
        </is>
      </c>
      <c r="H5997" t="inlineStr">
        <is>
          <t>4</t>
        </is>
      </c>
      <c r="I5997" t="inlineStr">
        <is>
          <t>10², 130²</t>
        </is>
      </c>
      <c r="J5997" t="n">
        <v>4</v>
      </c>
      <c r="K5997" t="inlineStr">
        <is>
          <t>2², 4⁴, 24¹, 48²</t>
        </is>
      </c>
      <c r="L5997" t="inlineStr">
        <is>
          <t>26A⁰, 65A⁹</t>
        </is>
      </c>
      <c r="M5997" t="inlineStr"/>
      <c r="N5997" t="inlineStr">
        <is>
          <t>13A⁰, 1A⁰, 65A⁹, 26A⁰, 5C⁰</t>
        </is>
      </c>
      <c r="O5997" t="inlineStr"/>
    </row>
    <row r="5998">
      <c r="A5998">
        <f>HYPERLINK("https://mathstats.uncg.edu/sites/pauli/congruence/csg19.html#group132A19", "132A¹⁹")</f>
        <v/>
      </c>
      <c r="B5998" t="n">
        <v>19</v>
      </c>
      <c r="C5998" t="inlineStr"/>
      <c r="D5998" t="inlineStr">
        <is>
          <t>264</t>
        </is>
      </c>
      <c r="E5998" t="inlineStr">
        <is>
          <t>2</t>
        </is>
      </c>
      <c r="F5998" t="inlineStr">
        <is>
          <t>66</t>
        </is>
      </c>
      <c r="G5998" t="inlineStr">
        <is>
          <t>12</t>
        </is>
      </c>
      <c r="H5998" t="inlineStr">
        <is>
          <t>0</t>
        </is>
      </c>
      <c r="I5998" t="inlineStr">
        <is>
          <t>132²</t>
        </is>
      </c>
      <c r="J5998" t="n">
        <v>2</v>
      </c>
      <c r="K5998" t="inlineStr">
        <is>
          <t>4¹, 8¹, 20², 40²</t>
        </is>
      </c>
      <c r="L5998" t="inlineStr">
        <is>
          <t>12D¹, 66B⁸</t>
        </is>
      </c>
      <c r="M5998" t="inlineStr"/>
      <c r="N5998" t="inlineStr">
        <is>
          <t>12D¹, 6B⁰, 33A¹, 66B⁸, 1A⁰, 33A⁴, 11A⁰, 6E⁰, 66A³, 3C⁰, 3A⁰</t>
        </is>
      </c>
      <c r="O5998" t="inlineStr"/>
    </row>
    <row r="5999">
      <c r="A5999">
        <f>HYPERLINK("https://mathstats.uncg.edu/sites/pauli/congruence/csg19.html#group132B19", "132B¹⁹")</f>
        <v/>
      </c>
      <c r="B5999" t="n">
        <v>19</v>
      </c>
      <c r="C5999" t="inlineStr"/>
      <c r="D5999" t="inlineStr">
        <is>
          <t>264</t>
        </is>
      </c>
      <c r="E5999" t="inlineStr">
        <is>
          <t>2</t>
        </is>
      </c>
      <c r="F5999" t="inlineStr">
        <is>
          <t>132</t>
        </is>
      </c>
      <c r="G5999" t="inlineStr">
        <is>
          <t>12</t>
        </is>
      </c>
      <c r="H5999" t="inlineStr">
        <is>
          <t>0</t>
        </is>
      </c>
      <c r="I5999" t="inlineStr">
        <is>
          <t>132²</t>
        </is>
      </c>
      <c r="J5999" t="n">
        <v>2</v>
      </c>
      <c r="K5999" t="inlineStr">
        <is>
          <t>4², 8², 20⁴, 40⁴</t>
        </is>
      </c>
      <c r="L5999" t="inlineStr">
        <is>
          <t>12G¹, 33A⁴, 132A⁷</t>
        </is>
      </c>
      <c r="M5999" t="inlineStr"/>
      <c r="N5999" t="inlineStr">
        <is>
          <t>12G¹, 11A⁰, 132A⁷, 12A⁰, 44A², 4A⁰, 33A¹, 3C⁰, 3A⁰, 1A⁰, 33A⁴</t>
        </is>
      </c>
      <c r="O5999" t="inlineStr"/>
    </row>
    <row r="6000">
      <c r="A6000">
        <f>HYPERLINK("https://mathstats.uncg.edu/sites/pauli/congruence/csg19.html#group132C19", "132C¹⁹")</f>
        <v/>
      </c>
      <c r="B6000" t="n">
        <v>19</v>
      </c>
      <c r="C6000" t="inlineStr"/>
      <c r="D6000" t="inlineStr">
        <is>
          <t>288</t>
        </is>
      </c>
      <c r="E6000" t="inlineStr">
        <is>
          <t>1</t>
        </is>
      </c>
      <c r="F6000" t="inlineStr">
        <is>
          <t>144</t>
        </is>
      </c>
      <c r="G6000" t="inlineStr">
        <is>
          <t>0</t>
        </is>
      </c>
      <c r="H6000" t="inlineStr">
        <is>
          <t>0</t>
        </is>
      </c>
      <c r="I6000" t="inlineStr">
        <is>
          <t>1², 3², 4¹, 11², 12¹, 33², 44¹, 132¹</t>
        </is>
      </c>
      <c r="J6000" t="n">
        <v>12</v>
      </c>
      <c r="K6000" t="inlineStr">
        <is>
          <t>1¹², 2⁶, 10⁶, 20³</t>
        </is>
      </c>
      <c r="L6000" t="inlineStr">
        <is>
          <t>66A⁹</t>
        </is>
      </c>
      <c r="M6000" t="inlineStr"/>
      <c r="N6000" t="inlineStr">
        <is>
          <t>3B⁰, 11A¹, 66A⁹, 1A⁰, 2B⁰, 22C², 6F⁰, 33C³</t>
        </is>
      </c>
      <c r="O6000" t="inlineStr"/>
    </row>
    <row r="6001">
      <c r="A6001">
        <f>HYPERLINK("https://mathstats.uncg.edu/sites/pauli/congruence/csg19.html#group132D19", "132D¹⁹")</f>
        <v/>
      </c>
      <c r="B6001" t="n">
        <v>19</v>
      </c>
      <c r="C6001" t="inlineStr">
        <is>
          <t>Γ₀(132)</t>
        </is>
      </c>
      <c r="D6001" t="inlineStr">
        <is>
          <t>288</t>
        </is>
      </c>
      <c r="E6001" t="inlineStr">
        <is>
          <t>1</t>
        </is>
      </c>
      <c r="F6001" t="inlineStr">
        <is>
          <t>144</t>
        </is>
      </c>
      <c r="G6001" t="inlineStr">
        <is>
          <t>0</t>
        </is>
      </c>
      <c r="H6001" t="inlineStr">
        <is>
          <t>0</t>
        </is>
      </c>
      <c r="I6001" t="inlineStr">
        <is>
          <t>1², 3², 4¹, 11², 12¹, 33², 44¹, 132¹</t>
        </is>
      </c>
      <c r="J6001" t="n">
        <v>12</v>
      </c>
      <c r="K6001" t="inlineStr">
        <is>
          <t>1¹², 2⁶, 10⁶, 20³</t>
        </is>
      </c>
      <c r="L6001" t="inlineStr">
        <is>
          <t>12E⁰, 44D⁴, 66A⁹</t>
        </is>
      </c>
      <c r="M6001" t="inlineStr"/>
      <c r="N6001" t="inlineStr">
        <is>
          <t>3B⁰, 11A¹, 66A⁹, 6F⁰, 2B⁰, 4B⁰, 22C², 1A⁰, 44D⁴, 12E⁰, 33C³</t>
        </is>
      </c>
      <c r="O6001" t="inlineStr"/>
    </row>
    <row r="6002">
      <c r="A6002">
        <f>HYPERLINK("https://mathstats.uncg.edu/sites/pauli/congruence/csg19.html#group140A19", "140A¹⁹")</f>
        <v/>
      </c>
      <c r="B6002" t="n">
        <v>19</v>
      </c>
      <c r="C6002" t="inlineStr"/>
      <c r="D6002" t="inlineStr">
        <is>
          <t>240</t>
        </is>
      </c>
      <c r="E6002" t="inlineStr">
        <is>
          <t>1</t>
        </is>
      </c>
      <c r="F6002" t="inlineStr">
        <is>
          <t>120</t>
        </is>
      </c>
      <c r="G6002" t="inlineStr">
        <is>
          <t>0</t>
        </is>
      </c>
      <c r="H6002" t="inlineStr">
        <is>
          <t>0</t>
        </is>
      </c>
      <c r="I6002" t="inlineStr">
        <is>
          <t>10¹, 20¹, 70¹, 140¹</t>
        </is>
      </c>
      <c r="J6002" t="n">
        <v>4</v>
      </c>
      <c r="K6002" t="inlineStr">
        <is>
          <t>1⁶, 4⁶, 6³, 24³</t>
        </is>
      </c>
      <c r="L6002" t="inlineStr">
        <is>
          <t>20B², 28C³, 70A⁹</t>
        </is>
      </c>
      <c r="M6002" t="inlineStr"/>
      <c r="N6002" t="inlineStr">
        <is>
          <t>5A⁰, 70A⁹, 7B⁰, 20B², 4C⁰, 14C¹, 10B¹, 2B⁰, 35B², 28C³, 1A⁰</t>
        </is>
      </c>
      <c r="O6002" t="inlineStr"/>
    </row>
    <row r="6003">
      <c r="A6003">
        <f>HYPERLINK("https://mathstats.uncg.edu/sites/pauli/congruence/csg19.html#group140B19", "140B¹⁹")</f>
        <v/>
      </c>
      <c r="B6003" t="n">
        <v>19</v>
      </c>
      <c r="C6003" t="inlineStr"/>
      <c r="D6003" t="inlineStr">
        <is>
          <t>252</t>
        </is>
      </c>
      <c r="E6003" t="inlineStr">
        <is>
          <t>2</t>
        </is>
      </c>
      <c r="F6003" t="inlineStr">
        <is>
          <t>126</t>
        </is>
      </c>
      <c r="G6003" t="inlineStr">
        <is>
          <t>0</t>
        </is>
      </c>
      <c r="H6003" t="inlineStr">
        <is>
          <t>0</t>
        </is>
      </c>
      <c r="I6003" t="inlineStr">
        <is>
          <t>7², 28¹, 35², 140¹</t>
        </is>
      </c>
      <c r="J6003" t="n">
        <v>6</v>
      </c>
      <c r="K6003" t="inlineStr">
        <is>
          <t>2⁶, 6¹², 8³, 24⁶</t>
        </is>
      </c>
      <c r="L6003" t="inlineStr">
        <is>
          <t>20D¹, 28A³, 70B⁸</t>
        </is>
      </c>
      <c r="M6003" t="inlineStr"/>
      <c r="N6003" t="inlineStr">
        <is>
          <t>35C², 14B¹, 5B⁰, 70B⁸, 28A³, 10C⁰, 20D¹, 2B⁰, 4B⁰, 1A⁰, 7A⁰</t>
        </is>
      </c>
      <c r="O6003" t="inlineStr"/>
    </row>
    <row r="6004">
      <c r="A6004">
        <f>HYPERLINK("https://mathstats.uncg.edu/sites/pauli/congruence/csg19.html#group140C19", "140C¹⁹")</f>
        <v/>
      </c>
      <c r="B6004" t="n">
        <v>19</v>
      </c>
      <c r="C6004" t="inlineStr"/>
      <c r="D6004" t="inlineStr">
        <is>
          <t>252</t>
        </is>
      </c>
      <c r="E6004" t="inlineStr">
        <is>
          <t>2</t>
        </is>
      </c>
      <c r="F6004" t="inlineStr">
        <is>
          <t>126</t>
        </is>
      </c>
      <c r="G6004" t="inlineStr">
        <is>
          <t>4</t>
        </is>
      </c>
      <c r="H6004" t="inlineStr">
        <is>
          <t>0</t>
        </is>
      </c>
      <c r="I6004" t="inlineStr">
        <is>
          <t>14¹, 28¹, 70¹, 140¹</t>
        </is>
      </c>
      <c r="J6004" t="n">
        <v>4</v>
      </c>
      <c r="K6004" t="inlineStr">
        <is>
          <t>2⁶, 6¹², 8³, 24⁶</t>
        </is>
      </c>
      <c r="L6004" t="inlineStr">
        <is>
          <t>28B³, 70B⁸</t>
        </is>
      </c>
      <c r="M6004" t="inlineStr"/>
      <c r="N6004" t="inlineStr">
        <is>
          <t>35C², 14B¹, 5B⁰, 70B⁸, 10C⁰, 2B⁰, 28B³, 1A⁰, 7A⁰</t>
        </is>
      </c>
      <c r="O6004" t="inlineStr"/>
    </row>
    <row r="6005">
      <c r="A6005">
        <f>HYPERLINK("https://mathstats.uncg.edu/sites/pauli/congruence/csg19.html#group140D19", "140D¹⁹")</f>
        <v/>
      </c>
      <c r="B6005" t="n">
        <v>19</v>
      </c>
      <c r="C6005" t="inlineStr"/>
      <c r="D6005" t="inlineStr">
        <is>
          <t>280</t>
        </is>
      </c>
      <c r="E6005" t="inlineStr">
        <is>
          <t>2</t>
        </is>
      </c>
      <c r="F6005" t="inlineStr">
        <is>
          <t>70</t>
        </is>
      </c>
      <c r="G6005" t="inlineStr">
        <is>
          <t>12</t>
        </is>
      </c>
      <c r="H6005" t="inlineStr">
        <is>
          <t>4</t>
        </is>
      </c>
      <c r="I6005" t="inlineStr">
        <is>
          <t>140²</t>
        </is>
      </c>
      <c r="J6005" t="n">
        <v>2</v>
      </c>
      <c r="K6005" t="inlineStr">
        <is>
          <t>8¹, 16², 24², 48⁴</t>
        </is>
      </c>
      <c r="L6005" t="inlineStr">
        <is>
          <t>70C⁸</t>
        </is>
      </c>
      <c r="M6005" t="inlineStr"/>
      <c r="N6005" t="inlineStr">
        <is>
          <t>1A⁰, 7A⁰, 70C⁸, 10D⁰, 35B⁴, 5C⁰</t>
        </is>
      </c>
      <c r="O6005" t="inlineStr"/>
    </row>
    <row r="6006">
      <c r="A6006">
        <f>HYPERLINK("https://mathstats.uncg.edu/sites/pauli/congruence/csg19.html#group140E19", "140E¹⁹")</f>
        <v/>
      </c>
      <c r="B6006" t="n">
        <v>19</v>
      </c>
      <c r="C6006" t="inlineStr"/>
      <c r="D6006" t="inlineStr">
        <is>
          <t>280</t>
        </is>
      </c>
      <c r="E6006" t="inlineStr">
        <is>
          <t>2</t>
        </is>
      </c>
      <c r="F6006" t="inlineStr">
        <is>
          <t>70</t>
        </is>
      </c>
      <c r="G6006" t="inlineStr">
        <is>
          <t>12</t>
        </is>
      </c>
      <c r="H6006" t="inlineStr">
        <is>
          <t>4</t>
        </is>
      </c>
      <c r="I6006" t="inlineStr">
        <is>
          <t>140²</t>
        </is>
      </c>
      <c r="J6006" t="n">
        <v>2</v>
      </c>
      <c r="K6006" t="inlineStr">
        <is>
          <t>8¹, 16², 24², 48⁴</t>
        </is>
      </c>
      <c r="L6006" t="inlineStr">
        <is>
          <t>70C⁸</t>
        </is>
      </c>
      <c r="M6006" t="inlineStr"/>
      <c r="N6006" t="inlineStr">
        <is>
          <t>1A⁰, 7A⁰, 70C⁸, 10D⁰, 35B⁴, 5C⁰</t>
        </is>
      </c>
      <c r="O6006" t="inlineStr"/>
    </row>
    <row r="6007">
      <c r="A6007">
        <f>HYPERLINK("https://mathstats.uncg.edu/sites/pauli/congruence/csg19.html#group140F19", "140F¹⁹")</f>
        <v/>
      </c>
      <c r="B6007" t="n">
        <v>19</v>
      </c>
      <c r="C6007" t="inlineStr"/>
      <c r="D6007" t="inlineStr">
        <is>
          <t>280</t>
        </is>
      </c>
      <c r="E6007" t="inlineStr">
        <is>
          <t>2</t>
        </is>
      </c>
      <c r="F6007" t="inlineStr">
        <is>
          <t>70</t>
        </is>
      </c>
      <c r="G6007" t="inlineStr">
        <is>
          <t>12</t>
        </is>
      </c>
      <c r="H6007" t="inlineStr">
        <is>
          <t>4</t>
        </is>
      </c>
      <c r="I6007" t="inlineStr">
        <is>
          <t>140²</t>
        </is>
      </c>
      <c r="J6007" t="n">
        <v>2</v>
      </c>
      <c r="K6007" t="inlineStr">
        <is>
          <t>8¹, 16², 24², 48⁴</t>
        </is>
      </c>
      <c r="L6007" t="inlineStr">
        <is>
          <t>20F¹, 70C⁸</t>
        </is>
      </c>
      <c r="M6007" t="inlineStr"/>
      <c r="N6007" t="inlineStr">
        <is>
          <t>1A⁰, 7A⁰, 70C⁸, 10D⁰, 35B⁴, 5C⁰, 20F¹</t>
        </is>
      </c>
      <c r="O6007" t="inlineStr"/>
    </row>
    <row r="6008">
      <c r="A6008">
        <f>HYPERLINK("https://mathstats.uncg.edu/sites/pauli/congruence/csg19.html#group140G19", "140G¹⁹")</f>
        <v/>
      </c>
      <c r="B6008" t="n">
        <v>19</v>
      </c>
      <c r="C6008" t="inlineStr"/>
      <c r="D6008" t="inlineStr">
        <is>
          <t>280</t>
        </is>
      </c>
      <c r="E6008" t="inlineStr">
        <is>
          <t>2</t>
        </is>
      </c>
      <c r="F6008" t="inlineStr">
        <is>
          <t>70</t>
        </is>
      </c>
      <c r="G6008" t="inlineStr">
        <is>
          <t>12</t>
        </is>
      </c>
      <c r="H6008" t="inlineStr">
        <is>
          <t>4</t>
        </is>
      </c>
      <c r="I6008" t="inlineStr">
        <is>
          <t>140²</t>
        </is>
      </c>
      <c r="J6008" t="n">
        <v>2</v>
      </c>
      <c r="K6008" t="inlineStr">
        <is>
          <t>8¹, 16², 24², 48⁴</t>
        </is>
      </c>
      <c r="L6008" t="inlineStr">
        <is>
          <t>20F¹, 70C⁸</t>
        </is>
      </c>
      <c r="M6008" t="inlineStr"/>
      <c r="N6008" t="inlineStr">
        <is>
          <t>1A⁰, 7A⁰, 70C⁸, 10D⁰, 35B⁴, 5C⁰, 20F¹</t>
        </is>
      </c>
      <c r="O6008" t="inlineStr"/>
    </row>
    <row r="6009">
      <c r="A6009">
        <f>HYPERLINK("https://mathstats.uncg.edu/sites/pauli/congruence/csg19.html#group140H19", "140H¹⁹")</f>
        <v/>
      </c>
      <c r="B6009" t="n">
        <v>19</v>
      </c>
      <c r="C6009" t="inlineStr"/>
      <c r="D6009" t="inlineStr">
        <is>
          <t>288</t>
        </is>
      </c>
      <c r="E6009" t="inlineStr">
        <is>
          <t>1</t>
        </is>
      </c>
      <c r="F6009" t="inlineStr">
        <is>
          <t>144</t>
        </is>
      </c>
      <c r="G6009" t="inlineStr">
        <is>
          <t>0</t>
        </is>
      </c>
      <c r="H6009" t="inlineStr">
        <is>
          <t>0</t>
        </is>
      </c>
      <c r="I6009" t="inlineStr">
        <is>
          <t>1², 4¹, 5², 7², 20¹, 28¹, 35², 140¹</t>
        </is>
      </c>
      <c r="J6009" t="n">
        <v>12</v>
      </c>
      <c r="K6009" t="inlineStr">
        <is>
          <t>1¹², 4⁶, 6⁶, 24³</t>
        </is>
      </c>
      <c r="L6009" t="inlineStr">
        <is>
          <t>20A⁰, 70D⁹</t>
        </is>
      </c>
      <c r="M6009" t="inlineStr"/>
      <c r="N6009" t="inlineStr">
        <is>
          <t>20A⁰, 7B⁰, 14C¹, 5B⁰, 10C⁰, 2B⁰, 1A⁰, 35A³, 70D⁹</t>
        </is>
      </c>
      <c r="O6009" t="inlineStr"/>
    </row>
    <row r="6010">
      <c r="A6010">
        <f>HYPERLINK("https://mathstats.uncg.edu/sites/pauli/congruence/csg19.html#group140I19", "140I¹⁹")</f>
        <v/>
      </c>
      <c r="B6010" t="n">
        <v>19</v>
      </c>
      <c r="C6010" t="inlineStr">
        <is>
          <t>Γ₀(140)</t>
        </is>
      </c>
      <c r="D6010" t="inlineStr">
        <is>
          <t>288</t>
        </is>
      </c>
      <c r="E6010" t="inlineStr">
        <is>
          <t>1</t>
        </is>
      </c>
      <c r="F6010" t="inlineStr">
        <is>
          <t>144</t>
        </is>
      </c>
      <c r="G6010" t="inlineStr">
        <is>
          <t>0</t>
        </is>
      </c>
      <c r="H6010" t="inlineStr">
        <is>
          <t>0</t>
        </is>
      </c>
      <c r="I6010" t="inlineStr">
        <is>
          <t>1², 4¹, 5², 7², 20¹, 28¹, 35², 140¹</t>
        </is>
      </c>
      <c r="J6010" t="n">
        <v>12</v>
      </c>
      <c r="K6010" t="inlineStr">
        <is>
          <t>1¹², 4⁶, 6⁶, 24³</t>
        </is>
      </c>
      <c r="L6010" t="inlineStr">
        <is>
          <t>20D¹, 28D², 70D⁹</t>
        </is>
      </c>
      <c r="M6010" t="inlineStr"/>
      <c r="N6010" t="inlineStr">
        <is>
          <t>7B⁰, 28D², 14C¹, 5B⁰, 10C⁰, 20D¹, 2B⁰, 4B⁰, 1A⁰, 35A³, 70D⁹</t>
        </is>
      </c>
      <c r="O6010" t="inlineStr"/>
    </row>
    <row r="6011">
      <c r="A6011">
        <f>HYPERLINK("https://mathstats.uncg.edu/sites/pauli/congruence/csg19.html#group144A19", "144A¹⁹")</f>
        <v/>
      </c>
      <c r="B6011" t="n">
        <v>19</v>
      </c>
      <c r="C6011" t="inlineStr"/>
      <c r="D6011" t="inlineStr">
        <is>
          <t>288</t>
        </is>
      </c>
      <c r="E6011" t="inlineStr">
        <is>
          <t>1</t>
        </is>
      </c>
      <c r="F6011" t="inlineStr">
        <is>
          <t>24</t>
        </is>
      </c>
      <c r="G6011" t="inlineStr">
        <is>
          <t>0</t>
        </is>
      </c>
      <c r="H6011" t="inlineStr">
        <is>
          <t>0</t>
        </is>
      </c>
      <c r="I6011" t="inlineStr">
        <is>
          <t>3⁴, 9⁴, 12¹, 36¹, 48¹, 144¹</t>
        </is>
      </c>
      <c r="J6011" t="n">
        <v>12</v>
      </c>
      <c r="K6011" t="inlineStr">
        <is>
          <t>1⁸, 2⁶, 4¹</t>
        </is>
      </c>
      <c r="L6011" t="inlineStr">
        <is>
          <t>48I³, 72D⁹</t>
        </is>
      </c>
      <c r="M6011" t="inlineStr"/>
      <c r="N6011" t="inlineStr">
        <is>
          <t>3B⁰, 24G¹, 18D², 36F⁴, 2B⁰, 48I³, 8C⁰, 9C⁰, 4B⁰, 1A⁰, 6F⁰, 72D⁹, 12E⁰</t>
        </is>
      </c>
      <c r="O6011" t="inlineStr"/>
    </row>
    <row r="6012">
      <c r="A6012">
        <f>HYPERLINK("https://mathstats.uncg.edu/sites/pauli/congruence/csg19.html#group144B19", "144B¹⁹")</f>
        <v/>
      </c>
      <c r="B6012" t="n">
        <v>19</v>
      </c>
      <c r="C6012" t="inlineStr"/>
      <c r="D6012" t="inlineStr">
        <is>
          <t>288</t>
        </is>
      </c>
      <c r="E6012" t="inlineStr">
        <is>
          <t>1</t>
        </is>
      </c>
      <c r="F6012" t="inlineStr">
        <is>
          <t>24</t>
        </is>
      </c>
      <c r="G6012" t="inlineStr">
        <is>
          <t>0</t>
        </is>
      </c>
      <c r="H6012" t="inlineStr">
        <is>
          <t>0</t>
        </is>
      </c>
      <c r="I6012" t="inlineStr">
        <is>
          <t>3⁴, 9⁴, 12¹, 36¹, 48¹, 144¹</t>
        </is>
      </c>
      <c r="J6012" t="n">
        <v>12</v>
      </c>
      <c r="K6012" t="inlineStr">
        <is>
          <t>1⁸, 2⁶, 4¹</t>
        </is>
      </c>
      <c r="L6012" t="inlineStr">
        <is>
          <t>48I³, 72E⁹</t>
        </is>
      </c>
      <c r="M6012" t="inlineStr"/>
      <c r="N6012" t="inlineStr">
        <is>
          <t>72E⁹, 3B⁰, 24G¹, 9A¹, 18E², 36G⁴, 1A⁰, 2B⁰, 48I³, 8C⁰, 4B⁰, 6F⁰, 12E⁰</t>
        </is>
      </c>
      <c r="O6012" t="inlineStr"/>
    </row>
    <row r="6013">
      <c r="A6013">
        <f>HYPERLINK("https://mathstats.uncg.edu/sites/pauli/congruence/csg19.html#group144C19", "144C¹⁹")</f>
        <v/>
      </c>
      <c r="B6013" t="n">
        <v>19</v>
      </c>
      <c r="C6013" t="inlineStr"/>
      <c r="D6013" t="inlineStr">
        <is>
          <t>288</t>
        </is>
      </c>
      <c r="E6013" t="inlineStr">
        <is>
          <t>1</t>
        </is>
      </c>
      <c r="F6013" t="inlineStr">
        <is>
          <t>24</t>
        </is>
      </c>
      <c r="G6013" t="inlineStr">
        <is>
          <t>0</t>
        </is>
      </c>
      <c r="H6013" t="inlineStr">
        <is>
          <t>0</t>
        </is>
      </c>
      <c r="I6013" t="inlineStr">
        <is>
          <t>3⁴, 9⁴, 12¹, 36¹, 48¹, 144¹</t>
        </is>
      </c>
      <c r="J6013" t="n">
        <v>12</v>
      </c>
      <c r="K6013" t="inlineStr">
        <is>
          <t>1⁸, 2⁶, 4¹</t>
        </is>
      </c>
      <c r="L6013" t="inlineStr">
        <is>
          <t>48J³, 72D⁹</t>
        </is>
      </c>
      <c r="M6013" t="inlineStr"/>
      <c r="N6013" t="inlineStr">
        <is>
          <t>3B⁰, 48J³, 16C⁰, 24G¹, 18D², 36F⁴, 2B⁰, 8C⁰, 1A⁰, 9C⁰, 4B⁰, 6F⁰, 72D⁹, 12E⁰</t>
        </is>
      </c>
      <c r="O6013" t="inlineStr"/>
    </row>
    <row r="6014">
      <c r="A6014">
        <f>HYPERLINK("https://mathstats.uncg.edu/sites/pauli/congruence/csg19.html#group144D19", "144D¹⁹")</f>
        <v/>
      </c>
      <c r="B6014" t="n">
        <v>19</v>
      </c>
      <c r="C6014" t="inlineStr"/>
      <c r="D6014" t="inlineStr">
        <is>
          <t>288</t>
        </is>
      </c>
      <c r="E6014" t="inlineStr">
        <is>
          <t>1</t>
        </is>
      </c>
      <c r="F6014" t="inlineStr">
        <is>
          <t>24</t>
        </is>
      </c>
      <c r="G6014" t="inlineStr">
        <is>
          <t>0</t>
        </is>
      </c>
      <c r="H6014" t="inlineStr">
        <is>
          <t>0</t>
        </is>
      </c>
      <c r="I6014" t="inlineStr">
        <is>
          <t>3⁴, 9⁴, 12¹, 36¹, 48¹, 144¹</t>
        </is>
      </c>
      <c r="J6014" t="n">
        <v>12</v>
      </c>
      <c r="K6014" t="inlineStr">
        <is>
          <t>1⁸, 2⁶, 4¹</t>
        </is>
      </c>
      <c r="L6014" t="inlineStr">
        <is>
          <t>48J³, 72E⁹</t>
        </is>
      </c>
      <c r="M6014" t="inlineStr"/>
      <c r="N6014" t="inlineStr">
        <is>
          <t>72E⁹, 3B⁰, 48J³, 16C⁰, 24G¹, 9A¹, 18E², 36G⁴, 1A⁰, 2B⁰, 8C⁰, 4B⁰, 6F⁰, 12E⁰</t>
        </is>
      </c>
      <c r="O6014" t="inlineStr"/>
    </row>
    <row r="6015">
      <c r="A6015">
        <f>HYPERLINK("https://mathstats.uncg.edu/sites/pauli/congruence/csg19.html#group144E19", "144E¹⁹")</f>
        <v/>
      </c>
      <c r="B6015" t="n">
        <v>19</v>
      </c>
      <c r="C6015" t="inlineStr"/>
      <c r="D6015" t="inlineStr">
        <is>
          <t>288</t>
        </is>
      </c>
      <c r="E6015" t="inlineStr">
        <is>
          <t>1</t>
        </is>
      </c>
      <c r="F6015" t="inlineStr">
        <is>
          <t>48</t>
        </is>
      </c>
      <c r="G6015" t="inlineStr">
        <is>
          <t>0</t>
        </is>
      </c>
      <c r="H6015" t="inlineStr">
        <is>
          <t>0</t>
        </is>
      </c>
      <c r="I6015" t="inlineStr">
        <is>
          <t>3², 6³, 9², 18³, 48¹, 144¹</t>
        </is>
      </c>
      <c r="J6015" t="n">
        <v>12</v>
      </c>
      <c r="K6015" t="inlineStr">
        <is>
          <t>1⁸, 2⁸, 4⁴, 8¹</t>
        </is>
      </c>
      <c r="L6015" t="inlineStr">
        <is>
          <t>48K³, 72D⁹</t>
        </is>
      </c>
      <c r="M6015" t="inlineStr"/>
      <c r="N6015" t="inlineStr">
        <is>
          <t>3B⁰, 48K³, 24G¹, 18D², 36F⁴, 2B⁰, 8C⁰, 1A⁰, 9C⁰, 4B⁰, 6F⁰, 72D⁹, 12E⁰</t>
        </is>
      </c>
      <c r="O6015" t="inlineStr"/>
    </row>
    <row r="6016">
      <c r="A6016">
        <f>HYPERLINK("https://mathstats.uncg.edu/sites/pauli/congruence/csg19.html#group144F19", "144F¹⁹")</f>
        <v/>
      </c>
      <c r="B6016" t="n">
        <v>19</v>
      </c>
      <c r="C6016" t="inlineStr"/>
      <c r="D6016" t="inlineStr">
        <is>
          <t>288</t>
        </is>
      </c>
      <c r="E6016" t="inlineStr">
        <is>
          <t>1</t>
        </is>
      </c>
      <c r="F6016" t="inlineStr">
        <is>
          <t>48</t>
        </is>
      </c>
      <c r="G6016" t="inlineStr">
        <is>
          <t>0</t>
        </is>
      </c>
      <c r="H6016" t="inlineStr">
        <is>
          <t>0</t>
        </is>
      </c>
      <c r="I6016" t="inlineStr">
        <is>
          <t>3², 6³, 9², 18³, 48¹, 144¹</t>
        </is>
      </c>
      <c r="J6016" t="n">
        <v>12</v>
      </c>
      <c r="K6016" t="inlineStr">
        <is>
          <t>1⁸, 2⁸, 4⁴, 8¹</t>
        </is>
      </c>
      <c r="L6016" t="inlineStr">
        <is>
          <t>48K³, 72E⁹</t>
        </is>
      </c>
      <c r="M6016" t="inlineStr"/>
      <c r="N6016" t="inlineStr">
        <is>
          <t>72E⁹, 3B⁰, 48K³, 24G¹, 9A¹, 18E², 36G⁴, 1A⁰, 2B⁰, 8C⁰, 4B⁰, 6F⁰, 12E⁰</t>
        </is>
      </c>
      <c r="O6016" t="inlineStr"/>
    </row>
    <row r="6017">
      <c r="A6017">
        <f>HYPERLINK("https://mathstats.uncg.edu/sites/pauli/congruence/csg19.html#group144G19", "144G¹⁹")</f>
        <v/>
      </c>
      <c r="B6017" t="n">
        <v>19</v>
      </c>
      <c r="C6017" t="inlineStr"/>
      <c r="D6017" t="inlineStr">
        <is>
          <t>288</t>
        </is>
      </c>
      <c r="E6017" t="inlineStr">
        <is>
          <t>1</t>
        </is>
      </c>
      <c r="F6017" t="inlineStr">
        <is>
          <t>48</t>
        </is>
      </c>
      <c r="G6017" t="inlineStr">
        <is>
          <t>0</t>
        </is>
      </c>
      <c r="H6017" t="inlineStr">
        <is>
          <t>0</t>
        </is>
      </c>
      <c r="I6017" t="inlineStr">
        <is>
          <t>3², 6³, 9², 18³, 48¹, 144¹</t>
        </is>
      </c>
      <c r="J6017" t="n">
        <v>12</v>
      </c>
      <c r="K6017" t="inlineStr">
        <is>
          <t>1⁸, 2⁸, 4⁴, 8¹</t>
        </is>
      </c>
      <c r="L6017" t="inlineStr">
        <is>
          <t>48L³, 72D⁹</t>
        </is>
      </c>
      <c r="M6017" t="inlineStr"/>
      <c r="N6017" t="inlineStr">
        <is>
          <t>3B⁰, 24G¹, 16D⁰, 18D², 36F⁴, 2B⁰, 8C⁰, 1A⁰, 9C⁰, 4B⁰, 6F⁰, 72D⁹, 12E⁰, 48L³</t>
        </is>
      </c>
      <c r="O6017" t="inlineStr"/>
    </row>
    <row r="6018">
      <c r="A6018">
        <f>HYPERLINK("https://mathstats.uncg.edu/sites/pauli/congruence/csg19.html#group144H19", "144H¹⁹")</f>
        <v/>
      </c>
      <c r="B6018" t="n">
        <v>19</v>
      </c>
      <c r="C6018" t="inlineStr"/>
      <c r="D6018" t="inlineStr">
        <is>
          <t>288</t>
        </is>
      </c>
      <c r="E6018" t="inlineStr">
        <is>
          <t>1</t>
        </is>
      </c>
      <c r="F6018" t="inlineStr">
        <is>
          <t>48</t>
        </is>
      </c>
      <c r="G6018" t="inlineStr">
        <is>
          <t>0</t>
        </is>
      </c>
      <c r="H6018" t="inlineStr">
        <is>
          <t>0</t>
        </is>
      </c>
      <c r="I6018" t="inlineStr">
        <is>
          <t>3², 6³, 9², 18³, 48¹, 144¹</t>
        </is>
      </c>
      <c r="J6018" t="n">
        <v>12</v>
      </c>
      <c r="K6018" t="inlineStr">
        <is>
          <t>1⁸, 2⁸, 4⁴, 8¹</t>
        </is>
      </c>
      <c r="L6018" t="inlineStr">
        <is>
          <t>48L³, 72E⁹</t>
        </is>
      </c>
      <c r="M6018" t="inlineStr"/>
      <c r="N6018" t="inlineStr">
        <is>
          <t>72E⁹, 3B⁰, 24G¹, 9A¹, 18E², 16D⁰, 36G⁴, 1A⁰, 2B⁰, 8C⁰, 4B⁰, 6F⁰, 12E⁰, 48L³</t>
        </is>
      </c>
      <c r="O6018" t="inlineStr"/>
    </row>
    <row r="6019">
      <c r="A6019">
        <f>HYPERLINK("https://mathstats.uncg.edu/sites/pauli/congruence/csg19.html#group144I19", "144I¹⁹")</f>
        <v/>
      </c>
      <c r="B6019" t="n">
        <v>19</v>
      </c>
      <c r="C6019" t="inlineStr"/>
      <c r="D6019" t="inlineStr">
        <is>
          <t>288</t>
        </is>
      </c>
      <c r="E6019" t="inlineStr">
        <is>
          <t>1</t>
        </is>
      </c>
      <c r="F6019" t="inlineStr">
        <is>
          <t>48</t>
        </is>
      </c>
      <c r="G6019" t="inlineStr">
        <is>
          <t>0</t>
        </is>
      </c>
      <c r="H6019" t="inlineStr">
        <is>
          <t>0</t>
        </is>
      </c>
      <c r="I6019" t="inlineStr">
        <is>
          <t>4⁶, 16³, 36², 144¹</t>
        </is>
      </c>
      <c r="J6019" t="n">
        <v>12</v>
      </c>
      <c r="K6019" t="inlineStr">
        <is>
          <t>1⁴, 2⁴, 4⁵, 8²</t>
        </is>
      </c>
      <c r="L6019" t="inlineStr">
        <is>
          <t>48D⁶, 72D⁷</t>
        </is>
      </c>
      <c r="M6019" t="inlineStr"/>
      <c r="N6019" t="inlineStr">
        <is>
          <t>3B⁰, 18E⁰, 24I², 8D⁰, 12F¹, 48D⁶, 16C¹, 4C⁰, 9B⁰, 72D⁷, 1A⁰, 2B⁰, 6F⁰, 36G³</t>
        </is>
      </c>
      <c r="O6019" t="inlineStr"/>
    </row>
    <row r="6020">
      <c r="A6020">
        <f>HYPERLINK("https://mathstats.uncg.edu/sites/pauli/congruence/csg19.html#group144J19", "144J¹⁹")</f>
        <v/>
      </c>
      <c r="B6020" t="n">
        <v>19</v>
      </c>
      <c r="C6020" t="inlineStr"/>
      <c r="D6020" t="inlineStr">
        <is>
          <t>432</t>
        </is>
      </c>
      <c r="E6020" t="inlineStr">
        <is>
          <t>2</t>
        </is>
      </c>
      <c r="F6020" t="inlineStr">
        <is>
          <t>27</t>
        </is>
      </c>
      <c r="G6020" t="inlineStr">
        <is>
          <t>64</t>
        </is>
      </c>
      <c r="H6020" t="inlineStr">
        <is>
          <t>0</t>
        </is>
      </c>
      <c r="I6020" t="inlineStr">
        <is>
          <t>72², 144²</t>
        </is>
      </c>
      <c r="J6020" t="n">
        <v>4</v>
      </c>
      <c r="K6020" t="inlineStr">
        <is>
          <t>2⁹, 6⁶</t>
        </is>
      </c>
      <c r="L6020" t="inlineStr">
        <is>
          <t>48M³, 144A⁸, 72H⁹, 144E¹⁰</t>
        </is>
      </c>
      <c r="M6020" t="inlineStr"/>
      <c r="N6020" t="inlineStr">
        <is>
          <t>12C⁰, 4C⁰, 36B², 36R⁴, 2B⁰, 1A⁰, 18A⁰, 18L², 16B⁰, 72H⁹, 24A⁰, 144A⁸, 6H⁰, 3A⁰, 24H¹, 18E¹, 6B⁰, 72E⁴, 24D¹, 8B⁰, 48A⁰, 72A⁵, 48M³, 9A⁰, 144E¹⁰, 48A², 12D⁰, 12H⁰, 6D⁰, 36C²</t>
        </is>
      </c>
      <c r="O6020" t="inlineStr"/>
    </row>
    <row r="6021">
      <c r="A6021">
        <f>HYPERLINK("https://mathstats.uncg.edu/sites/pauli/congruence/csg19.html#group146A19", "146A¹⁹")</f>
        <v/>
      </c>
      <c r="B6021" t="n">
        <v>19</v>
      </c>
      <c r="C6021" t="inlineStr"/>
      <c r="D6021" t="inlineStr">
        <is>
          <t>296</t>
        </is>
      </c>
      <c r="E6021" t="inlineStr">
        <is>
          <t>1</t>
        </is>
      </c>
      <c r="F6021" t="inlineStr">
        <is>
          <t>74</t>
        </is>
      </c>
      <c r="G6021" t="inlineStr">
        <is>
          <t>8</t>
        </is>
      </c>
      <c r="H6021" t="inlineStr">
        <is>
          <t>8</t>
        </is>
      </c>
      <c r="I6021" t="inlineStr">
        <is>
          <t>2², 146²</t>
        </is>
      </c>
      <c r="J6021" t="n">
        <v>4</v>
      </c>
      <c r="K6021" t="inlineStr">
        <is>
          <t>1², 72¹</t>
        </is>
      </c>
      <c r="L6021" t="inlineStr">
        <is>
          <t>73A⁹</t>
        </is>
      </c>
      <c r="M6021" t="inlineStr"/>
      <c r="N6021" t="inlineStr">
        <is>
          <t>73A⁹, 1A⁰, 73A⁵</t>
        </is>
      </c>
      <c r="O6021" t="inlineStr"/>
    </row>
    <row r="6022">
      <c r="A6022">
        <f>HYPERLINK("https://mathstats.uncg.edu/sites/pauli/congruence/csg19.html#group148A19", "148A¹⁹")</f>
        <v/>
      </c>
      <c r="B6022" t="n">
        <v>19</v>
      </c>
      <c r="C6022" t="inlineStr"/>
      <c r="D6022" t="inlineStr">
        <is>
          <t>304</t>
        </is>
      </c>
      <c r="E6022" t="inlineStr">
        <is>
          <t>1</t>
        </is>
      </c>
      <c r="F6022" t="inlineStr">
        <is>
          <t>38</t>
        </is>
      </c>
      <c r="G6022" t="inlineStr">
        <is>
          <t>0</t>
        </is>
      </c>
      <c r="H6022" t="inlineStr">
        <is>
          <t>16</t>
        </is>
      </c>
      <c r="I6022" t="inlineStr">
        <is>
          <t>4², 148²</t>
        </is>
      </c>
      <c r="J6022" t="n">
        <v>4</v>
      </c>
      <c r="K6022" t="inlineStr">
        <is>
          <t>1², 36¹</t>
        </is>
      </c>
      <c r="L6022" t="inlineStr">
        <is>
          <t>74A⁹, 148A⁹</t>
        </is>
      </c>
      <c r="M6022" t="inlineStr"/>
      <c r="N6022" t="inlineStr">
        <is>
          <t>37A², 2A⁰, 37A⁴, 74A⁴, 74A⁹, 148A⁹, 74A⁵, 1A⁰</t>
        </is>
      </c>
      <c r="O6022" t="inlineStr"/>
    </row>
    <row r="6023">
      <c r="A6023">
        <f>HYPERLINK("https://mathstats.uncg.edu/sites/pauli/congruence/csg19.html#group150A19", "150A¹⁹")</f>
        <v/>
      </c>
      <c r="B6023" t="n">
        <v>19</v>
      </c>
      <c r="C6023" t="inlineStr"/>
      <c r="D6023" t="inlineStr">
        <is>
          <t>240</t>
        </is>
      </c>
      <c r="E6023" t="inlineStr">
        <is>
          <t>1</t>
        </is>
      </c>
      <c r="F6023" t="inlineStr">
        <is>
          <t>120</t>
        </is>
      </c>
      <c r="G6023" t="inlineStr">
        <is>
          <t>0</t>
        </is>
      </c>
      <c r="H6023" t="inlineStr">
        <is>
          <t>0</t>
        </is>
      </c>
      <c r="I6023" t="inlineStr">
        <is>
          <t>10¹, 30¹, 50¹, 150¹</t>
        </is>
      </c>
      <c r="J6023" t="n">
        <v>4</v>
      </c>
      <c r="K6023" t="inlineStr">
        <is>
          <t>2⁴, 4¹⁰, 8⁴, 20⁴, 40²</t>
        </is>
      </c>
      <c r="L6023" t="inlineStr">
        <is>
          <t>30F³, 50A⁴, 75A⁹</t>
        </is>
      </c>
      <c r="M6023" t="inlineStr"/>
      <c r="N6023" t="inlineStr">
        <is>
          <t>15C¹, 3B⁰, 30F³, 25A², 75A⁹, 5B⁰, 1A⁰, 50A⁴, 10B⁰</t>
        </is>
      </c>
      <c r="O6023" t="inlineStr"/>
    </row>
    <row r="6024">
      <c r="A6024">
        <f>HYPERLINK("https://mathstats.uncg.edu/sites/pauli/congruence/csg19.html#group150B19", "150B¹⁹")</f>
        <v/>
      </c>
      <c r="B6024" t="n">
        <v>19</v>
      </c>
      <c r="C6024" t="inlineStr"/>
      <c r="D6024" t="inlineStr">
        <is>
          <t>240</t>
        </is>
      </c>
      <c r="E6024" t="inlineStr">
        <is>
          <t>1</t>
        </is>
      </c>
      <c r="F6024" t="inlineStr">
        <is>
          <t>120</t>
        </is>
      </c>
      <c r="G6024" t="inlineStr">
        <is>
          <t>0</t>
        </is>
      </c>
      <c r="H6024" t="inlineStr">
        <is>
          <t>0</t>
        </is>
      </c>
      <c r="I6024" t="inlineStr">
        <is>
          <t>10¹, 30¹, 50¹, 150¹</t>
        </is>
      </c>
      <c r="J6024" t="n">
        <v>4</v>
      </c>
      <c r="K6024" t="inlineStr">
        <is>
          <t>2⁴, 4¹⁰, 8⁴, 20⁴, 40²</t>
        </is>
      </c>
      <c r="L6024" t="inlineStr">
        <is>
          <t>30F³, 50B⁴, 75B⁹</t>
        </is>
      </c>
      <c r="M6024" t="inlineStr"/>
      <c r="N6024" t="inlineStr">
        <is>
          <t>75B⁹, 15C¹, 3B⁰, 30F³, 50B⁴, 5B⁰, 1A⁰, 25B², 10B⁰</t>
        </is>
      </c>
      <c r="O6024" t="inlineStr"/>
    </row>
    <row r="6025">
      <c r="A6025">
        <f>HYPERLINK("https://mathstats.uncg.edu/sites/pauli/congruence/csg19.html#group150C19", "150C¹⁹")</f>
        <v/>
      </c>
      <c r="B6025" t="n">
        <v>19</v>
      </c>
      <c r="C6025" t="inlineStr"/>
      <c r="D6025" t="inlineStr">
        <is>
          <t>240</t>
        </is>
      </c>
      <c r="E6025" t="inlineStr">
        <is>
          <t>1</t>
        </is>
      </c>
      <c r="F6025" t="inlineStr">
        <is>
          <t>120</t>
        </is>
      </c>
      <c r="G6025" t="inlineStr">
        <is>
          <t>0</t>
        </is>
      </c>
      <c r="H6025" t="inlineStr">
        <is>
          <t>0</t>
        </is>
      </c>
      <c r="I6025" t="inlineStr">
        <is>
          <t>10¹, 30¹, 50¹, 150¹</t>
        </is>
      </c>
      <c r="J6025" t="n">
        <v>4</v>
      </c>
      <c r="K6025" t="inlineStr">
        <is>
          <t>2⁴, 4¹⁰, 8⁴, 20⁴, 40²</t>
        </is>
      </c>
      <c r="L6025" t="inlineStr">
        <is>
          <t>30F³, 50C⁴, 75C⁹</t>
        </is>
      </c>
      <c r="M6025" t="inlineStr"/>
      <c r="N6025" t="inlineStr">
        <is>
          <t>15C¹, 3B⁰, 30F³, 75C⁹, 5B⁰, 50C⁴, 1A⁰, 25C², 10B⁰</t>
        </is>
      </c>
      <c r="O6025" t="inlineStr"/>
    </row>
    <row r="6026">
      <c r="A6026">
        <f>HYPERLINK("https://mathstats.uncg.edu/sites/pauli/congruence/csg19.html#group150D19", "150D¹⁹")</f>
        <v/>
      </c>
      <c r="B6026" t="n">
        <v>19</v>
      </c>
      <c r="C6026" t="inlineStr"/>
      <c r="D6026" t="inlineStr">
        <is>
          <t>240</t>
        </is>
      </c>
      <c r="E6026" t="inlineStr">
        <is>
          <t>1</t>
        </is>
      </c>
      <c r="F6026" t="inlineStr">
        <is>
          <t>120</t>
        </is>
      </c>
      <c r="G6026" t="inlineStr">
        <is>
          <t>0</t>
        </is>
      </c>
      <c r="H6026" t="inlineStr">
        <is>
          <t>0</t>
        </is>
      </c>
      <c r="I6026" t="inlineStr">
        <is>
          <t>10¹, 30¹, 50¹, 150¹</t>
        </is>
      </c>
      <c r="J6026" t="n">
        <v>4</v>
      </c>
      <c r="K6026" t="inlineStr">
        <is>
          <t>2⁴, 4¹⁰, 8⁴, 20⁴, 40²</t>
        </is>
      </c>
      <c r="L6026" t="inlineStr">
        <is>
          <t>30F³, 50D⁴, 75D⁹</t>
        </is>
      </c>
      <c r="M6026" t="inlineStr"/>
      <c r="N6026" t="inlineStr">
        <is>
          <t>15C¹, 3B⁰, 30F³, 5B⁰, 75D⁹, 50D⁴, 1A⁰, 25D², 10B⁰</t>
        </is>
      </c>
      <c r="O6026" t="inlineStr"/>
    </row>
    <row r="6027">
      <c r="A6027">
        <f>HYPERLINK("https://mathstats.uncg.edu/sites/pauli/congruence/csg19.html#group150E19", "150E¹⁹")</f>
        <v/>
      </c>
      <c r="B6027" t="n">
        <v>19</v>
      </c>
      <c r="C6027" t="inlineStr"/>
      <c r="D6027" t="inlineStr">
        <is>
          <t>240</t>
        </is>
      </c>
      <c r="E6027" t="inlineStr">
        <is>
          <t>1</t>
        </is>
      </c>
      <c r="F6027" t="inlineStr">
        <is>
          <t>120</t>
        </is>
      </c>
      <c r="G6027" t="inlineStr">
        <is>
          <t>0</t>
        </is>
      </c>
      <c r="H6027" t="inlineStr">
        <is>
          <t>0</t>
        </is>
      </c>
      <c r="I6027" t="inlineStr">
        <is>
          <t>10¹, 30¹, 50¹, 150¹</t>
        </is>
      </c>
      <c r="J6027" t="n">
        <v>4</v>
      </c>
      <c r="K6027" t="inlineStr">
        <is>
          <t>2⁴, 4¹⁰, 8⁴, 20⁴, 40²</t>
        </is>
      </c>
      <c r="L6027" t="inlineStr">
        <is>
          <t>30G³, 50A⁵, 75A⁹</t>
        </is>
      </c>
      <c r="M6027" t="inlineStr"/>
      <c r="N6027" t="inlineStr">
        <is>
          <t>2A⁰, 15C¹, 3B⁰, 25A², 50A⁵, 75A⁹, 6C⁰, 5B⁰, 10A¹, 30G³, 1A⁰</t>
        </is>
      </c>
      <c r="O6027" t="inlineStr"/>
    </row>
    <row r="6028">
      <c r="A6028">
        <f>HYPERLINK("https://mathstats.uncg.edu/sites/pauli/congruence/csg19.html#group150F19", "150F¹⁹")</f>
        <v/>
      </c>
      <c r="B6028" t="n">
        <v>19</v>
      </c>
      <c r="C6028" t="inlineStr"/>
      <c r="D6028" t="inlineStr">
        <is>
          <t>240</t>
        </is>
      </c>
      <c r="E6028" t="inlineStr">
        <is>
          <t>1</t>
        </is>
      </c>
      <c r="F6028" t="inlineStr">
        <is>
          <t>120</t>
        </is>
      </c>
      <c r="G6028" t="inlineStr">
        <is>
          <t>0</t>
        </is>
      </c>
      <c r="H6028" t="inlineStr">
        <is>
          <t>0</t>
        </is>
      </c>
      <c r="I6028" t="inlineStr">
        <is>
          <t>10¹, 30¹, 50¹, 150¹</t>
        </is>
      </c>
      <c r="J6028" t="n">
        <v>4</v>
      </c>
      <c r="K6028" t="inlineStr">
        <is>
          <t>2⁴, 4¹⁰, 8⁴, 20⁴, 40²</t>
        </is>
      </c>
      <c r="L6028" t="inlineStr">
        <is>
          <t>30G³, 50B⁵, 75B⁹</t>
        </is>
      </c>
      <c r="M6028" t="inlineStr"/>
      <c r="N6028" t="inlineStr">
        <is>
          <t>75B⁹, 2A⁰, 15C¹, 3B⁰, 50B⁵, 6C⁰, 5B⁰, 10A¹, 30G³, 1A⁰, 25B²</t>
        </is>
      </c>
      <c r="O6028" t="inlineStr"/>
    </row>
    <row r="6029">
      <c r="A6029">
        <f>HYPERLINK("https://mathstats.uncg.edu/sites/pauli/congruence/csg19.html#group150G19", "150G¹⁹")</f>
        <v/>
      </c>
      <c r="B6029" t="n">
        <v>19</v>
      </c>
      <c r="C6029" t="inlineStr"/>
      <c r="D6029" t="inlineStr">
        <is>
          <t>240</t>
        </is>
      </c>
      <c r="E6029" t="inlineStr">
        <is>
          <t>1</t>
        </is>
      </c>
      <c r="F6029" t="inlineStr">
        <is>
          <t>120</t>
        </is>
      </c>
      <c r="G6029" t="inlineStr">
        <is>
          <t>0</t>
        </is>
      </c>
      <c r="H6029" t="inlineStr">
        <is>
          <t>0</t>
        </is>
      </c>
      <c r="I6029" t="inlineStr">
        <is>
          <t>10¹, 30¹, 50¹, 150¹</t>
        </is>
      </c>
      <c r="J6029" t="n">
        <v>4</v>
      </c>
      <c r="K6029" t="inlineStr">
        <is>
          <t>2⁴, 4¹⁰, 8⁴, 20⁴, 40²</t>
        </is>
      </c>
      <c r="L6029" t="inlineStr">
        <is>
          <t>30G³, 50C⁵, 75C⁹</t>
        </is>
      </c>
      <c r="M6029" t="inlineStr"/>
      <c r="N6029" t="inlineStr">
        <is>
          <t>2A⁰, 15C¹, 3B⁰, 75C⁹, 6C⁰, 5B⁰, 50C⁵, 10A¹, 30G³, 1A⁰, 25C²</t>
        </is>
      </c>
      <c r="O6029" t="inlineStr"/>
    </row>
    <row r="6030">
      <c r="A6030">
        <f>HYPERLINK("https://mathstats.uncg.edu/sites/pauli/congruence/csg19.html#group150H19", "150H¹⁹")</f>
        <v/>
      </c>
      <c r="B6030" t="n">
        <v>19</v>
      </c>
      <c r="C6030" t="inlineStr"/>
      <c r="D6030" t="inlineStr">
        <is>
          <t>240</t>
        </is>
      </c>
      <c r="E6030" t="inlineStr">
        <is>
          <t>1</t>
        </is>
      </c>
      <c r="F6030" t="inlineStr">
        <is>
          <t>120</t>
        </is>
      </c>
      <c r="G6030" t="inlineStr">
        <is>
          <t>0</t>
        </is>
      </c>
      <c r="H6030" t="inlineStr">
        <is>
          <t>0</t>
        </is>
      </c>
      <c r="I6030" t="inlineStr">
        <is>
          <t>10¹, 30¹, 50¹, 150¹</t>
        </is>
      </c>
      <c r="J6030" t="n">
        <v>4</v>
      </c>
      <c r="K6030" t="inlineStr">
        <is>
          <t>2⁴, 4¹⁰, 8⁴, 20⁴, 40²</t>
        </is>
      </c>
      <c r="L6030" t="inlineStr">
        <is>
          <t>30G³, 50D⁵, 75D⁹</t>
        </is>
      </c>
      <c r="M6030" t="inlineStr"/>
      <c r="N6030" t="inlineStr">
        <is>
          <t>15C¹, 3B⁰, 2A⁰, 6C⁰, 5B⁰, 75D⁹, 50D⁵, 10A¹, 30G³, 1A⁰, 25D²</t>
        </is>
      </c>
      <c r="O6030" t="inlineStr"/>
    </row>
    <row r="6031">
      <c r="A6031">
        <f>HYPERLINK("https://mathstats.uncg.edu/sites/pauli/congruence/csg19.html#group150I19", "150I¹⁹")</f>
        <v/>
      </c>
      <c r="B6031" t="n">
        <v>19</v>
      </c>
      <c r="C6031" t="inlineStr">
        <is>
          <t>Γ₀(150)</t>
        </is>
      </c>
      <c r="D6031" t="inlineStr">
        <is>
          <t>360</t>
        </is>
      </c>
      <c r="E6031" t="inlineStr">
        <is>
          <t>1</t>
        </is>
      </c>
      <c r="F6031" t="inlineStr">
        <is>
          <t>360</t>
        </is>
      </c>
      <c r="G6031" t="inlineStr">
        <is>
          <t>0</t>
        </is>
      </c>
      <c r="H6031" t="inlineStr">
        <is>
          <t>0</t>
        </is>
      </c>
      <c r="I6031" t="inlineStr">
        <is>
          <t>1⁵, 2⁵, 3⁵, 6⁵, 25¹, 50¹, 75¹, 150¹</t>
        </is>
      </c>
      <c r="J6031" t="n">
        <v>24</v>
      </c>
      <c r="K6031" t="inlineStr">
        <is>
          <t>1¹², 2⁶, 4¹², 8⁶, 20⁶, 40³</t>
        </is>
      </c>
      <c r="L6031" t="inlineStr">
        <is>
          <t>50B², 30K³, 75A⁵</t>
        </is>
      </c>
      <c r="M6031" t="inlineStr"/>
      <c r="N6031" t="inlineStr">
        <is>
          <t>15C¹, 3B⁰, 75A⁵, 25A⁰, 10C⁰, 5B⁰, 6F⁰, 2B⁰, 30K³, 50B², 1A⁰</t>
        </is>
      </c>
      <c r="O6031" t="inlineStr"/>
    </row>
    <row r="6032">
      <c r="A6032">
        <f>HYPERLINK("https://mathstats.uncg.edu/sites/pauli/congruence/csg19.html#group152A19", "152A¹⁹")</f>
        <v/>
      </c>
      <c r="B6032" t="n">
        <v>19</v>
      </c>
      <c r="C6032" t="inlineStr"/>
      <c r="D6032" t="inlineStr">
        <is>
          <t>240</t>
        </is>
      </c>
      <c r="E6032" t="inlineStr">
        <is>
          <t>1</t>
        </is>
      </c>
      <c r="F6032" t="inlineStr">
        <is>
          <t>60</t>
        </is>
      </c>
      <c r="G6032" t="inlineStr">
        <is>
          <t>0</t>
        </is>
      </c>
      <c r="H6032" t="inlineStr">
        <is>
          <t>0</t>
        </is>
      </c>
      <c r="I6032" t="inlineStr">
        <is>
          <t>4¹, 8¹, 76¹, 152¹</t>
        </is>
      </c>
      <c r="J6032" t="n">
        <v>4</v>
      </c>
      <c r="K6032" t="inlineStr">
        <is>
          <t>1⁶, 18³</t>
        </is>
      </c>
      <c r="L6032" t="inlineStr">
        <is>
          <t>8B⁰, 76A⁹</t>
        </is>
      </c>
      <c r="M6032" t="inlineStr"/>
      <c r="N6032" t="inlineStr">
        <is>
          <t>19A¹, 4C⁰, 38A⁴, 8B⁰, 2B⁰, 76A⁹, 1A⁰</t>
        </is>
      </c>
      <c r="O6032" t="inlineStr"/>
    </row>
    <row r="6033">
      <c r="A6033">
        <f>HYPERLINK("https://mathstats.uncg.edu/sites/pauli/congruence/csg19.html#group152B19", "152B¹⁹")</f>
        <v/>
      </c>
      <c r="B6033" t="n">
        <v>19</v>
      </c>
      <c r="C6033" t="inlineStr"/>
      <c r="D6033" t="inlineStr">
        <is>
          <t>240</t>
        </is>
      </c>
      <c r="E6033" t="inlineStr">
        <is>
          <t>1</t>
        </is>
      </c>
      <c r="F6033" t="inlineStr">
        <is>
          <t>60</t>
        </is>
      </c>
      <c r="G6033" t="inlineStr">
        <is>
          <t>0</t>
        </is>
      </c>
      <c r="H6033" t="inlineStr">
        <is>
          <t>0</t>
        </is>
      </c>
      <c r="I6033" t="inlineStr">
        <is>
          <t>4¹, 8¹, 76¹, 152¹</t>
        </is>
      </c>
      <c r="J6033" t="n">
        <v>4</v>
      </c>
      <c r="K6033" t="inlineStr">
        <is>
          <t>1⁶, 18³</t>
        </is>
      </c>
      <c r="L6033" t="inlineStr">
        <is>
          <t>8A¹, 76A⁹</t>
        </is>
      </c>
      <c r="M6033" t="inlineStr"/>
      <c r="N6033" t="inlineStr">
        <is>
          <t>19A¹, 2B⁰, 8A¹, 76A⁹, 1A⁰, 4C⁰, 38A⁴</t>
        </is>
      </c>
      <c r="O6033" t="inlineStr"/>
    </row>
    <row r="6034">
      <c r="A6034">
        <f>HYPERLINK("https://mathstats.uncg.edu/sites/pauli/congruence/csg19.html#group156A19", "156A¹⁹")</f>
        <v/>
      </c>
      <c r="B6034" t="n">
        <v>19</v>
      </c>
      <c r="C6034" t="inlineStr"/>
      <c r="D6034" t="inlineStr">
        <is>
          <t>252</t>
        </is>
      </c>
      <c r="E6034" t="inlineStr">
        <is>
          <t>1</t>
        </is>
      </c>
      <c r="F6034" t="inlineStr">
        <is>
          <t>42</t>
        </is>
      </c>
      <c r="G6034" t="inlineStr">
        <is>
          <t>0</t>
        </is>
      </c>
      <c r="H6034" t="inlineStr">
        <is>
          <t>0</t>
        </is>
      </c>
      <c r="I6034" t="inlineStr">
        <is>
          <t>3², 12¹, 39², 156¹</t>
        </is>
      </c>
      <c r="J6034" t="n">
        <v>6</v>
      </c>
      <c r="K6034" t="inlineStr">
        <is>
          <t>1⁶, 12³</t>
        </is>
      </c>
      <c r="L6034" t="inlineStr">
        <is>
          <t>12B¹, 52A⁵, 78A⁸</t>
        </is>
      </c>
      <c r="M6034" t="inlineStr"/>
      <c r="N6034" t="inlineStr">
        <is>
          <t>78A⁸, 39A², 3A⁰, 52A⁵, 13A⁰, 12B¹, 2B⁰, 4B⁰, 1A⁰, 26A², 6D⁰</t>
        </is>
      </c>
      <c r="O6034" t="inlineStr"/>
    </row>
    <row r="6035">
      <c r="A6035">
        <f>HYPERLINK("https://mathstats.uncg.edu/sites/pauli/congruence/csg19.html#group156B19", "156B¹⁹")</f>
        <v/>
      </c>
      <c r="B6035" t="n">
        <v>19</v>
      </c>
      <c r="C6035" t="inlineStr"/>
      <c r="D6035" t="inlineStr">
        <is>
          <t>252</t>
        </is>
      </c>
      <c r="E6035" t="inlineStr">
        <is>
          <t>1</t>
        </is>
      </c>
      <c r="F6035" t="inlineStr">
        <is>
          <t>126</t>
        </is>
      </c>
      <c r="G6035" t="inlineStr">
        <is>
          <t>4</t>
        </is>
      </c>
      <c r="H6035" t="inlineStr">
        <is>
          <t>0</t>
        </is>
      </c>
      <c r="I6035" t="inlineStr">
        <is>
          <t>6¹, 12¹, 78¹, 156¹</t>
        </is>
      </c>
      <c r="J6035" t="n">
        <v>4</v>
      </c>
      <c r="K6035" t="inlineStr">
        <is>
          <t>1⁶, 2⁶, 12³, 24³</t>
        </is>
      </c>
      <c r="L6035" t="inlineStr">
        <is>
          <t>12C¹, 78A⁸</t>
        </is>
      </c>
      <c r="M6035" t="inlineStr"/>
      <c r="N6035" t="inlineStr">
        <is>
          <t>78A⁸, 39A², 12C¹, 13A⁰, 2B⁰, 3A⁰, 1A⁰, 26A², 6D⁰</t>
        </is>
      </c>
      <c r="O6035" t="inlineStr"/>
    </row>
    <row r="6036">
      <c r="A6036">
        <f>HYPERLINK("https://mathstats.uncg.edu/sites/pauli/congruence/csg19.html#group156C19", "156C¹⁹")</f>
        <v/>
      </c>
      <c r="B6036" t="n">
        <v>19</v>
      </c>
      <c r="C6036" t="inlineStr"/>
      <c r="D6036" t="inlineStr">
        <is>
          <t>252</t>
        </is>
      </c>
      <c r="E6036" t="inlineStr">
        <is>
          <t>2</t>
        </is>
      </c>
      <c r="F6036" t="inlineStr">
        <is>
          <t>42</t>
        </is>
      </c>
      <c r="G6036" t="inlineStr">
        <is>
          <t>0</t>
        </is>
      </c>
      <c r="H6036" t="inlineStr">
        <is>
          <t>0</t>
        </is>
      </c>
      <c r="I6036" t="inlineStr">
        <is>
          <t>3², 12¹, 39², 156¹</t>
        </is>
      </c>
      <c r="J6036" t="n">
        <v>6</v>
      </c>
      <c r="K6036" t="inlineStr">
        <is>
          <t>2⁶, 24³</t>
        </is>
      </c>
      <c r="L6036" t="inlineStr">
        <is>
          <t>52A⁵, 78B⁸</t>
        </is>
      </c>
      <c r="M6036" t="inlineStr"/>
      <c r="N6036" t="inlineStr">
        <is>
          <t>78B⁸, 52A⁵, 13A⁰, 2B⁰, 39A¹, 4B⁰, 1A⁰, 26A²</t>
        </is>
      </c>
      <c r="O6036" t="inlineStr"/>
    </row>
    <row r="6037">
      <c r="A6037">
        <f>HYPERLINK("https://mathstats.uncg.edu/sites/pauli/congruence/csg19.html#group156D19", "156D¹⁹")</f>
        <v/>
      </c>
      <c r="B6037" t="n">
        <v>19</v>
      </c>
      <c r="C6037" t="inlineStr"/>
      <c r="D6037" t="inlineStr">
        <is>
          <t>336</t>
        </is>
      </c>
      <c r="E6037" t="inlineStr">
        <is>
          <t>1</t>
        </is>
      </c>
      <c r="F6037" t="inlineStr">
        <is>
          <t>28</t>
        </is>
      </c>
      <c r="G6037" t="inlineStr">
        <is>
          <t>0</t>
        </is>
      </c>
      <c r="H6037" t="inlineStr">
        <is>
          <t>24</t>
        </is>
      </c>
      <c r="I6037" t="inlineStr">
        <is>
          <t>12², 156²</t>
        </is>
      </c>
      <c r="J6037" t="n">
        <v>4</v>
      </c>
      <c r="K6037" t="inlineStr">
        <is>
          <t>2², 24¹</t>
        </is>
      </c>
      <c r="L6037" t="inlineStr">
        <is>
          <t>52B³, 78A⁹</t>
        </is>
      </c>
      <c r="M6037" t="inlineStr"/>
      <c r="N6037" t="inlineStr">
        <is>
          <t>52B³, 2A⁰, 26B¹, 26A¹, 6A⁰, 13A⁰, 78A⁵, 26A⁰, 13B⁰, 52A¹, 1A⁰, 78A⁹</t>
        </is>
      </c>
      <c r="O6037" t="inlineStr"/>
    </row>
    <row r="6038">
      <c r="A6038">
        <f>HYPERLINK("https://mathstats.uncg.edu/sites/pauli/congruence/csg19.html#group156E19", "156E¹⁹")</f>
        <v/>
      </c>
      <c r="B6038" t="n">
        <v>19</v>
      </c>
      <c r="C6038" t="inlineStr"/>
      <c r="D6038" t="inlineStr">
        <is>
          <t>336</t>
        </is>
      </c>
      <c r="E6038" t="inlineStr">
        <is>
          <t>2</t>
        </is>
      </c>
      <c r="F6038" t="inlineStr">
        <is>
          <t>14</t>
        </is>
      </c>
      <c r="G6038" t="inlineStr">
        <is>
          <t>0</t>
        </is>
      </c>
      <c r="H6038" t="inlineStr">
        <is>
          <t>24</t>
        </is>
      </c>
      <c r="I6038" t="inlineStr">
        <is>
          <t>12², 156²</t>
        </is>
      </c>
      <c r="J6038" t="n">
        <v>4</v>
      </c>
      <c r="K6038" t="inlineStr">
        <is>
          <t>2², 24¹</t>
        </is>
      </c>
      <c r="L6038" t="inlineStr">
        <is>
          <t>52B³, 156A⁷, 156B⁷, 78C⁹</t>
        </is>
      </c>
      <c r="M6038" t="inlineStr"/>
      <c r="N6038" t="inlineStr">
        <is>
          <t>52B³, 2A⁰, 26A¹, 78A², 13A⁰, 26A⁰, 156B⁷, 1A⁰, 78C⁵, 78C⁹, 39B⁴, 26B¹, 13B⁰, 156A⁷, 39A¹, 52A¹</t>
        </is>
      </c>
      <c r="O6038" t="inlineStr"/>
    </row>
    <row r="6039">
      <c r="A6039">
        <f>HYPERLINK("https://mathstats.uncg.edu/sites/pauli/congruence/csg19.html#group156F19", "156F¹⁹")</f>
        <v/>
      </c>
      <c r="B6039" t="n">
        <v>19</v>
      </c>
      <c r="C6039" t="inlineStr"/>
      <c r="D6039" t="inlineStr">
        <is>
          <t>336</t>
        </is>
      </c>
      <c r="E6039" t="inlineStr">
        <is>
          <t>2</t>
        </is>
      </c>
      <c r="F6039" t="inlineStr">
        <is>
          <t>56</t>
        </is>
      </c>
      <c r="G6039" t="inlineStr">
        <is>
          <t>24</t>
        </is>
      </c>
      <c r="H6039" t="inlineStr">
        <is>
          <t>6</t>
        </is>
      </c>
      <c r="I6039" t="inlineStr">
        <is>
          <t>12², 156²</t>
        </is>
      </c>
      <c r="J6039" t="n">
        <v>4</v>
      </c>
      <c r="K6039" t="inlineStr">
        <is>
          <t>4⁴, 48²</t>
        </is>
      </c>
      <c r="L6039" t="inlineStr">
        <is>
          <t>78A², 52C⁵, 156A¹⁰</t>
        </is>
      </c>
      <c r="M6039" t="inlineStr"/>
      <c r="N6039" t="inlineStr">
        <is>
          <t>52A³, 4A⁰, 78A², 13A⁰, 26A⁰, 39A¹, 156A¹⁰, 1A⁰, 52C⁵</t>
        </is>
      </c>
      <c r="O6039" t="inlineStr"/>
    </row>
    <row r="6040">
      <c r="A6040">
        <f>HYPERLINK("https://mathstats.uncg.edu/sites/pauli/congruence/csg19.html#group158A19", "158A¹⁹")</f>
        <v/>
      </c>
      <c r="B6040" t="n">
        <v>19</v>
      </c>
      <c r="C6040" t="inlineStr">
        <is>
          <t>Γ₀(158)</t>
        </is>
      </c>
      <c r="D6040" t="inlineStr">
        <is>
          <t>240</t>
        </is>
      </c>
      <c r="E6040" t="inlineStr">
        <is>
          <t>1</t>
        </is>
      </c>
      <c r="F6040" t="inlineStr">
        <is>
          <t>240</t>
        </is>
      </c>
      <c r="G6040" t="inlineStr">
        <is>
          <t>0</t>
        </is>
      </c>
      <c r="H6040" t="inlineStr">
        <is>
          <t>0</t>
        </is>
      </c>
      <c r="I6040" t="inlineStr">
        <is>
          <t>1¹, 2¹, 79¹, 158¹</t>
        </is>
      </c>
      <c r="J6040" t="n">
        <v>4</v>
      </c>
      <c r="K6040" t="inlineStr">
        <is>
          <t>1⁶, 78³</t>
        </is>
      </c>
      <c r="L6040" t="inlineStr">
        <is>
          <t>2B⁰, 79A⁶</t>
        </is>
      </c>
      <c r="M6040" t="inlineStr"/>
      <c r="N6040" t="inlineStr">
        <is>
          <t>79A⁶, 1A⁰, 2B⁰</t>
        </is>
      </c>
      <c r="O6040" t="inlineStr"/>
    </row>
    <row r="6041">
      <c r="A6041">
        <f>HYPERLINK("https://mathstats.uncg.edu/sites/pauli/congruence/csg19.html#group160A19", "160A¹⁹")</f>
        <v/>
      </c>
      <c r="B6041" t="n">
        <v>19</v>
      </c>
      <c r="C6041" t="inlineStr"/>
      <c r="D6041" t="inlineStr">
        <is>
          <t>240</t>
        </is>
      </c>
      <c r="E6041" t="inlineStr">
        <is>
          <t>1</t>
        </is>
      </c>
      <c r="F6041" t="inlineStr">
        <is>
          <t>30</t>
        </is>
      </c>
      <c r="G6041" t="inlineStr">
        <is>
          <t>0</t>
        </is>
      </c>
      <c r="H6041" t="inlineStr">
        <is>
          <t>0</t>
        </is>
      </c>
      <c r="I6041" t="inlineStr">
        <is>
          <t>20², 40¹, 160¹</t>
        </is>
      </c>
      <c r="J6041" t="n">
        <v>4</v>
      </c>
      <c r="K6041" t="inlineStr">
        <is>
          <t>1⁴, 2¹, 4⁴, 8¹</t>
        </is>
      </c>
      <c r="L6041" t="inlineStr">
        <is>
          <t>32A³, 80A⁹</t>
        </is>
      </c>
      <c r="M6041" t="inlineStr"/>
      <c r="N6041" t="inlineStr">
        <is>
          <t>20A², 5A⁰, 80A⁹, 10B¹, 32A³, 16A¹, 8C⁰, 2B⁰, 4B⁰, 40B⁴, 1A⁰</t>
        </is>
      </c>
      <c r="O6041" t="inlineStr"/>
    </row>
    <row r="6042">
      <c r="A6042">
        <f>HYPERLINK("https://mathstats.uncg.edu/sites/pauli/congruence/csg19.html#group160B19", "160B¹⁹")</f>
        <v/>
      </c>
      <c r="B6042" t="n">
        <v>19</v>
      </c>
      <c r="C6042" t="inlineStr"/>
      <c r="D6042" t="inlineStr">
        <is>
          <t>240</t>
        </is>
      </c>
      <c r="E6042" t="inlineStr">
        <is>
          <t>1</t>
        </is>
      </c>
      <c r="F6042" t="inlineStr">
        <is>
          <t>30</t>
        </is>
      </c>
      <c r="G6042" t="inlineStr">
        <is>
          <t>0</t>
        </is>
      </c>
      <c r="H6042" t="inlineStr">
        <is>
          <t>0</t>
        </is>
      </c>
      <c r="I6042" t="inlineStr">
        <is>
          <t>20², 40¹, 160¹</t>
        </is>
      </c>
      <c r="J6042" t="n">
        <v>4</v>
      </c>
      <c r="K6042" t="inlineStr">
        <is>
          <t>1⁴, 2¹, 4⁴, 8¹</t>
        </is>
      </c>
      <c r="L6042" t="inlineStr">
        <is>
          <t>32B³, 80A⁹</t>
        </is>
      </c>
      <c r="M6042" t="inlineStr"/>
      <c r="N6042" t="inlineStr">
        <is>
          <t>20A², 5A⁰, 80A⁹, 10B¹, 16A¹, 8C⁰, 2B⁰, 4B⁰, 40B⁴, 1A⁰, 32B³</t>
        </is>
      </c>
      <c r="O6042" t="inlineStr"/>
    </row>
    <row r="6043">
      <c r="A6043">
        <f>HYPERLINK("https://mathstats.uncg.edu/sites/pauli/congruence/csg19.html#group160C19", "160C¹⁹")</f>
        <v/>
      </c>
      <c r="B6043" t="n">
        <v>19</v>
      </c>
      <c r="C6043" t="inlineStr"/>
      <c r="D6043" t="inlineStr">
        <is>
          <t>240</t>
        </is>
      </c>
      <c r="E6043" t="inlineStr">
        <is>
          <t>1</t>
        </is>
      </c>
      <c r="F6043" t="inlineStr">
        <is>
          <t>60</t>
        </is>
      </c>
      <c r="G6043" t="inlineStr">
        <is>
          <t>0</t>
        </is>
      </c>
      <c r="H6043" t="inlineStr">
        <is>
          <t>0</t>
        </is>
      </c>
      <c r="I6043" t="inlineStr">
        <is>
          <t>20², 40¹, 160¹</t>
        </is>
      </c>
      <c r="J6043" t="n">
        <v>4</v>
      </c>
      <c r="K6043" t="inlineStr">
        <is>
          <t>1⁴, 2², 4⁵, 8², 16¹</t>
        </is>
      </c>
      <c r="L6043" t="inlineStr">
        <is>
          <t>32C³, 80A⁹</t>
        </is>
      </c>
      <c r="M6043" t="inlineStr"/>
      <c r="N6043" t="inlineStr">
        <is>
          <t>20A², 5A⁰, 80A⁹, 10B¹, 16A¹, 8C⁰, 2B⁰, 4B⁰, 40B⁴, 1A⁰, 32C³</t>
        </is>
      </c>
      <c r="O6043" t="inlineStr"/>
    </row>
    <row r="6044">
      <c r="A6044">
        <f>HYPERLINK("https://mathstats.uncg.edu/sites/pauli/congruence/csg19.html#group160D19", "160D¹⁹")</f>
        <v/>
      </c>
      <c r="B6044" t="n">
        <v>19</v>
      </c>
      <c r="C6044" t="inlineStr"/>
      <c r="D6044" t="inlineStr">
        <is>
          <t>240</t>
        </is>
      </c>
      <c r="E6044" t="inlineStr">
        <is>
          <t>1</t>
        </is>
      </c>
      <c r="F6044" t="inlineStr">
        <is>
          <t>60</t>
        </is>
      </c>
      <c r="G6044" t="inlineStr">
        <is>
          <t>4</t>
        </is>
      </c>
      <c r="H6044" t="inlineStr">
        <is>
          <t>0</t>
        </is>
      </c>
      <c r="I6044" t="inlineStr">
        <is>
          <t>80¹, 160¹</t>
        </is>
      </c>
      <c r="J6044" t="n">
        <v>2</v>
      </c>
      <c r="K6044" t="inlineStr">
        <is>
          <t>2⁶, 8⁶</t>
        </is>
      </c>
      <c r="L6044" t="inlineStr">
        <is>
          <t>32D³, 80A⁸</t>
        </is>
      </c>
      <c r="M6044" t="inlineStr"/>
      <c r="N6044" t="inlineStr">
        <is>
          <t>5A⁰, 40A⁴, 10B¹, 20B², 4C⁰, 8B⁰, 2B⁰, 1A⁰, 16B⁰, 32D³, 80A⁸</t>
        </is>
      </c>
      <c r="O6044" t="inlineStr"/>
    </row>
    <row r="6045">
      <c r="A6045">
        <f>HYPERLINK("https://mathstats.uncg.edu/sites/pauli/congruence/csg19.html#group160E19", "160E¹⁹")</f>
        <v/>
      </c>
      <c r="B6045" t="n">
        <v>19</v>
      </c>
      <c r="C6045" t="inlineStr"/>
      <c r="D6045" t="inlineStr">
        <is>
          <t>240</t>
        </is>
      </c>
      <c r="E6045" t="inlineStr">
        <is>
          <t>1</t>
        </is>
      </c>
      <c r="F6045" t="inlineStr">
        <is>
          <t>120</t>
        </is>
      </c>
      <c r="G6045" t="inlineStr">
        <is>
          <t>4</t>
        </is>
      </c>
      <c r="H6045" t="inlineStr">
        <is>
          <t>0</t>
        </is>
      </c>
      <c r="I6045" t="inlineStr">
        <is>
          <t>80¹, 160¹</t>
        </is>
      </c>
      <c r="J6045" t="n">
        <v>2</v>
      </c>
      <c r="K6045" t="inlineStr">
        <is>
          <t>2⁸, 8⁹, 32¹</t>
        </is>
      </c>
      <c r="L6045" t="inlineStr">
        <is>
          <t>32E³, 80D⁹</t>
        </is>
      </c>
      <c r="M6045" t="inlineStr"/>
      <c r="N6045" t="inlineStr">
        <is>
          <t>5A⁰, 40A⁴, 10B¹, 80D⁹, 4C⁰, 20B², 8B⁰, 2B⁰, 1A⁰, 16D¹, 32E³</t>
        </is>
      </c>
      <c r="O6045" t="inlineStr"/>
    </row>
    <row r="6046">
      <c r="A6046">
        <f>HYPERLINK("https://mathstats.uncg.edu/sites/pauli/congruence/csg19.html#group160F19", "160F¹⁹")</f>
        <v/>
      </c>
      <c r="B6046" t="n">
        <v>19</v>
      </c>
      <c r="C6046" t="inlineStr"/>
      <c r="D6046" t="inlineStr">
        <is>
          <t>240</t>
        </is>
      </c>
      <c r="E6046" t="inlineStr">
        <is>
          <t>1</t>
        </is>
      </c>
      <c r="F6046" t="inlineStr">
        <is>
          <t>120</t>
        </is>
      </c>
      <c r="G6046" t="inlineStr">
        <is>
          <t>4</t>
        </is>
      </c>
      <c r="H6046" t="inlineStr">
        <is>
          <t>0</t>
        </is>
      </c>
      <c r="I6046" t="inlineStr">
        <is>
          <t>80¹, 160¹</t>
        </is>
      </c>
      <c r="J6046" t="n">
        <v>2</v>
      </c>
      <c r="K6046" t="inlineStr">
        <is>
          <t>2⁸, 8⁹, 32¹</t>
        </is>
      </c>
      <c r="L6046" t="inlineStr">
        <is>
          <t>32F³, 80D⁹</t>
        </is>
      </c>
      <c r="M6046" t="inlineStr"/>
      <c r="N6046" t="inlineStr">
        <is>
          <t>5A⁰, 16D¹, 40A⁴, 10B¹, 80D⁹, 20B², 4C⁰, 8B⁰, 2B⁰, 32F³, 1A⁰</t>
        </is>
      </c>
      <c r="O6046" t="inlineStr"/>
    </row>
    <row r="6047">
      <c r="A6047">
        <f>HYPERLINK("https://mathstats.uncg.edu/sites/pauli/congruence/csg19.html#group160G19", "160G¹⁹")</f>
        <v/>
      </c>
      <c r="B6047" t="n">
        <v>19</v>
      </c>
      <c r="C6047" t="inlineStr"/>
      <c r="D6047" t="inlineStr">
        <is>
          <t>240</t>
        </is>
      </c>
      <c r="E6047" t="inlineStr">
        <is>
          <t>1</t>
        </is>
      </c>
      <c r="F6047" t="inlineStr">
        <is>
          <t>120</t>
        </is>
      </c>
      <c r="G6047" t="inlineStr">
        <is>
          <t>4</t>
        </is>
      </c>
      <c r="H6047" t="inlineStr">
        <is>
          <t>0</t>
        </is>
      </c>
      <c r="I6047" t="inlineStr">
        <is>
          <t>80¹, 160¹</t>
        </is>
      </c>
      <c r="J6047" t="n">
        <v>2</v>
      </c>
      <c r="K6047" t="inlineStr">
        <is>
          <t>2⁸, 8⁹, 32¹</t>
        </is>
      </c>
      <c r="L6047" t="inlineStr">
        <is>
          <t>32G³, 80D⁹</t>
        </is>
      </c>
      <c r="M6047" t="inlineStr"/>
      <c r="N6047" t="inlineStr">
        <is>
          <t>5A⁰, 16D¹, 40A⁴, 10B¹, 80D⁹, 20B², 4C⁰, 8B⁰, 2B⁰, 32G³, 1A⁰</t>
        </is>
      </c>
      <c r="O6047" t="inlineStr"/>
    </row>
    <row r="6048">
      <c r="A6048">
        <f>HYPERLINK("https://mathstats.uncg.edu/sites/pauli/congruence/csg19.html#group160H19", "160H¹⁹")</f>
        <v/>
      </c>
      <c r="B6048" t="n">
        <v>19</v>
      </c>
      <c r="C6048" t="inlineStr"/>
      <c r="D6048" t="inlineStr">
        <is>
          <t>240</t>
        </is>
      </c>
      <c r="E6048" t="inlineStr">
        <is>
          <t>1</t>
        </is>
      </c>
      <c r="F6048" t="inlineStr">
        <is>
          <t>120</t>
        </is>
      </c>
      <c r="G6048" t="inlineStr">
        <is>
          <t>4</t>
        </is>
      </c>
      <c r="H6048" t="inlineStr">
        <is>
          <t>0</t>
        </is>
      </c>
      <c r="I6048" t="inlineStr">
        <is>
          <t>80¹, 160¹</t>
        </is>
      </c>
      <c r="J6048" t="n">
        <v>2</v>
      </c>
      <c r="K6048" t="inlineStr">
        <is>
          <t>2⁸, 8⁹, 32¹</t>
        </is>
      </c>
      <c r="L6048" t="inlineStr">
        <is>
          <t>32H³, 80D⁹</t>
        </is>
      </c>
      <c r="M6048" t="inlineStr"/>
      <c r="N6048" t="inlineStr">
        <is>
          <t>5A⁰, 16D¹, 40A⁴, 10B¹, 80D⁹, 20B², 4C⁰, 8B⁰, 2B⁰, 1A⁰, 32H³</t>
        </is>
      </c>
      <c r="O6048" t="inlineStr"/>
    </row>
    <row r="6049">
      <c r="A6049">
        <f>HYPERLINK("https://mathstats.uncg.edu/sites/pauli/congruence/csg19.html#group160I19", "160I¹⁹")</f>
        <v/>
      </c>
      <c r="B6049" t="n">
        <v>19</v>
      </c>
      <c r="C6049" t="inlineStr"/>
      <c r="D6049" t="inlineStr">
        <is>
          <t>240</t>
        </is>
      </c>
      <c r="E6049" t="inlineStr">
        <is>
          <t>2</t>
        </is>
      </c>
      <c r="F6049" t="inlineStr">
        <is>
          <t>120</t>
        </is>
      </c>
      <c r="G6049" t="inlineStr">
        <is>
          <t>2</t>
        </is>
      </c>
      <c r="H6049" t="inlineStr">
        <is>
          <t>0</t>
        </is>
      </c>
      <c r="I6049" t="inlineStr">
        <is>
          <t>40², 160¹</t>
        </is>
      </c>
      <c r="J6049" t="n">
        <v>3</v>
      </c>
      <c r="K6049" t="inlineStr">
        <is>
          <t>2², 4³, 8⁶, 16³, 32⁴</t>
        </is>
      </c>
      <c r="L6049" t="inlineStr">
        <is>
          <t>32I³, 80C⁹</t>
        </is>
      </c>
      <c r="M6049" t="inlineStr"/>
      <c r="N6049" t="inlineStr">
        <is>
          <t>5A⁰, 8D⁰, 10B¹, 20B², 4C⁰, 32I³, 2B⁰, 1A⁰, 40C⁴, 16C¹, 80C⁹</t>
        </is>
      </c>
      <c r="O6049" t="inlineStr"/>
    </row>
    <row r="6050">
      <c r="A6050">
        <f>HYPERLINK("https://mathstats.uncg.edu/sites/pauli/congruence/csg19.html#group160J19", "160J¹⁹")</f>
        <v/>
      </c>
      <c r="B6050" t="n">
        <v>19</v>
      </c>
      <c r="C6050" t="inlineStr"/>
      <c r="D6050" t="inlineStr">
        <is>
          <t>288</t>
        </is>
      </c>
      <c r="E6050" t="inlineStr">
        <is>
          <t>1</t>
        </is>
      </c>
      <c r="F6050" t="inlineStr">
        <is>
          <t>36</t>
        </is>
      </c>
      <c r="G6050" t="inlineStr">
        <is>
          <t>0</t>
        </is>
      </c>
      <c r="H6050" t="inlineStr">
        <is>
          <t>0</t>
        </is>
      </c>
      <c r="I6050" t="inlineStr">
        <is>
          <t>2⁴, 8¹, 10⁴, 32¹, 40¹, 160¹</t>
        </is>
      </c>
      <c r="J6050" t="n">
        <v>12</v>
      </c>
      <c r="K6050" t="inlineStr">
        <is>
          <t>1⁸, 2², 4⁴, 8¹</t>
        </is>
      </c>
      <c r="L6050" t="inlineStr">
        <is>
          <t>80F⁷</t>
        </is>
      </c>
      <c r="M6050" t="inlineStr"/>
      <c r="N6050" t="inlineStr">
        <is>
          <t>80F⁷, 40F³, 16C⁰, 5B⁰, 10C⁰, 20D¹, 8C⁰, 2B⁰, 4B⁰, 1A⁰</t>
        </is>
      </c>
      <c r="O6050" t="inlineStr"/>
    </row>
    <row r="6051">
      <c r="A6051">
        <f>HYPERLINK("https://mathstats.uncg.edu/sites/pauli/congruence/csg19.html#group160K19", "160K¹⁹")</f>
        <v/>
      </c>
      <c r="B6051" t="n">
        <v>19</v>
      </c>
      <c r="C6051" t="inlineStr"/>
      <c r="D6051" t="inlineStr">
        <is>
          <t>288</t>
        </is>
      </c>
      <c r="E6051" t="inlineStr">
        <is>
          <t>1</t>
        </is>
      </c>
      <c r="F6051" t="inlineStr">
        <is>
          <t>36</t>
        </is>
      </c>
      <c r="G6051" t="inlineStr">
        <is>
          <t>0</t>
        </is>
      </c>
      <c r="H6051" t="inlineStr">
        <is>
          <t>0</t>
        </is>
      </c>
      <c r="I6051" t="inlineStr">
        <is>
          <t>2⁴, 8¹, 10⁴, 32¹, 40¹, 160¹</t>
        </is>
      </c>
      <c r="J6051" t="n">
        <v>12</v>
      </c>
      <c r="K6051" t="inlineStr">
        <is>
          <t>1⁸, 2², 4⁴, 8¹</t>
        </is>
      </c>
      <c r="L6051" t="inlineStr">
        <is>
          <t>32A², 80F⁷</t>
        </is>
      </c>
      <c r="M6051" t="inlineStr"/>
      <c r="N6051" t="inlineStr">
        <is>
          <t>80F⁷, 40F³, 16C⁰, 5B⁰, 10C⁰, 32A², 20D¹, 8C⁰, 2B⁰, 4B⁰, 1A⁰</t>
        </is>
      </c>
      <c r="O6051" t="inlineStr"/>
    </row>
    <row r="6052">
      <c r="A6052">
        <f>HYPERLINK("https://mathstats.uncg.edu/sites/pauli/congruence/csg19.html#group160L19", "160L¹⁹")</f>
        <v/>
      </c>
      <c r="B6052" t="n">
        <v>19</v>
      </c>
      <c r="C6052" t="inlineStr"/>
      <c r="D6052" t="inlineStr">
        <is>
          <t>288</t>
        </is>
      </c>
      <c r="E6052" t="inlineStr">
        <is>
          <t>2</t>
        </is>
      </c>
      <c r="F6052" t="inlineStr">
        <is>
          <t>36</t>
        </is>
      </c>
      <c r="G6052" t="inlineStr">
        <is>
          <t>0</t>
        </is>
      </c>
      <c r="H6052" t="inlineStr">
        <is>
          <t>0</t>
        </is>
      </c>
      <c r="I6052" t="inlineStr">
        <is>
          <t>2⁴, 8¹, 10⁴, 32¹, 40¹, 160¹</t>
        </is>
      </c>
      <c r="J6052" t="n">
        <v>12</v>
      </c>
      <c r="K6052" t="inlineStr">
        <is>
          <t>2¹², 8⁶</t>
        </is>
      </c>
      <c r="L6052" t="inlineStr">
        <is>
          <t>80E⁷</t>
        </is>
      </c>
      <c r="M6052" t="inlineStr"/>
      <c r="N6052" t="inlineStr">
        <is>
          <t>40F³, 5B⁰, 80E⁷, 10C⁰, 20D¹, 8C⁰, 2B⁰, 4B⁰, 1A⁰</t>
        </is>
      </c>
      <c r="O6052" t="inlineStr"/>
    </row>
    <row r="6053">
      <c r="A6053">
        <f>HYPERLINK("https://mathstats.uncg.edu/sites/pauli/congruence/csg19.html#group160M19", "160M¹⁹")</f>
        <v/>
      </c>
      <c r="B6053" t="n">
        <v>19</v>
      </c>
      <c r="C6053" t="inlineStr"/>
      <c r="D6053" t="inlineStr">
        <is>
          <t>288</t>
        </is>
      </c>
      <c r="E6053" t="inlineStr">
        <is>
          <t>2</t>
        </is>
      </c>
      <c r="F6053" t="inlineStr">
        <is>
          <t>72</t>
        </is>
      </c>
      <c r="G6053" t="inlineStr">
        <is>
          <t>16</t>
        </is>
      </c>
      <c r="H6053" t="inlineStr">
        <is>
          <t>0</t>
        </is>
      </c>
      <c r="I6053" t="inlineStr">
        <is>
          <t>16¹, 32¹, 80¹, 160¹</t>
        </is>
      </c>
      <c r="J6053" t="n">
        <v>4</v>
      </c>
      <c r="K6053" t="inlineStr">
        <is>
          <t>2¹⁶, 4⁴, 8⁸, 16²</t>
        </is>
      </c>
      <c r="L6053" t="inlineStr">
        <is>
          <t>80C⁷</t>
        </is>
      </c>
      <c r="M6053" t="inlineStr"/>
      <c r="N6053" t="inlineStr">
        <is>
          <t>20E¹, 40D³, 4C⁰, 80C⁷, 8B⁰, 5B⁰, 10C⁰, 2B⁰, 1A⁰</t>
        </is>
      </c>
      <c r="O6053" t="inlineStr"/>
    </row>
    <row r="6054">
      <c r="A6054">
        <f>HYPERLINK("https://mathstats.uncg.edu/sites/pauli/congruence/csg19.html#group160N19", "160N¹⁹")</f>
        <v/>
      </c>
      <c r="B6054" t="n">
        <v>19</v>
      </c>
      <c r="C6054" t="inlineStr"/>
      <c r="D6054" t="inlineStr">
        <is>
          <t>288</t>
        </is>
      </c>
      <c r="E6054" t="inlineStr">
        <is>
          <t>2</t>
        </is>
      </c>
      <c r="F6054" t="inlineStr">
        <is>
          <t>72</t>
        </is>
      </c>
      <c r="G6054" t="inlineStr">
        <is>
          <t>16</t>
        </is>
      </c>
      <c r="H6054" t="inlineStr">
        <is>
          <t>0</t>
        </is>
      </c>
      <c r="I6054" t="inlineStr">
        <is>
          <t>16¹, 32¹, 80¹, 160¹</t>
        </is>
      </c>
      <c r="J6054" t="n">
        <v>4</v>
      </c>
      <c r="K6054" t="inlineStr">
        <is>
          <t>2¹⁶, 4⁴, 8⁸, 16²</t>
        </is>
      </c>
      <c r="L6054" t="inlineStr">
        <is>
          <t>80C⁷</t>
        </is>
      </c>
      <c r="M6054" t="inlineStr"/>
      <c r="N6054" t="inlineStr">
        <is>
          <t>20E¹, 40D³, 4C⁰, 80C⁷, 8B⁰, 5B⁰, 10C⁰, 2B⁰, 1A⁰</t>
        </is>
      </c>
      <c r="O6054" t="inlineStr"/>
    </row>
    <row r="6055">
      <c r="A6055">
        <f>HYPERLINK("https://mathstats.uncg.edu/sites/pauli/congruence/csg19.html#group164A19", "164A¹⁹")</f>
        <v/>
      </c>
      <c r="B6055" t="n">
        <v>19</v>
      </c>
      <c r="C6055" t="inlineStr"/>
      <c r="D6055" t="inlineStr">
        <is>
          <t>252</t>
        </is>
      </c>
      <c r="E6055" t="inlineStr">
        <is>
          <t>1</t>
        </is>
      </c>
      <c r="F6055" t="inlineStr">
        <is>
          <t>126</t>
        </is>
      </c>
      <c r="G6055" t="inlineStr">
        <is>
          <t>0</t>
        </is>
      </c>
      <c r="H6055" t="inlineStr">
        <is>
          <t>0</t>
        </is>
      </c>
      <c r="I6055" t="inlineStr">
        <is>
          <t>1², 4¹, 41², 164¹</t>
        </is>
      </c>
      <c r="J6055" t="n">
        <v>6</v>
      </c>
      <c r="K6055" t="inlineStr">
        <is>
          <t>1⁶, 40³</t>
        </is>
      </c>
      <c r="L6055" t="inlineStr">
        <is>
          <t>82A⁹</t>
        </is>
      </c>
      <c r="M6055" t="inlineStr"/>
      <c r="N6055" t="inlineStr">
        <is>
          <t>1A⁰, 82A⁹, 2B⁰, 41A³</t>
        </is>
      </c>
      <c r="O6055" t="inlineStr"/>
    </row>
    <row r="6056">
      <c r="A6056">
        <f>HYPERLINK("https://mathstats.uncg.edu/sites/pauli/congruence/csg19.html#group164B19", "164B¹⁹")</f>
        <v/>
      </c>
      <c r="B6056" t="n">
        <v>19</v>
      </c>
      <c r="C6056" t="inlineStr">
        <is>
          <t>Γ₀(164)</t>
        </is>
      </c>
      <c r="D6056" t="inlineStr">
        <is>
          <t>252</t>
        </is>
      </c>
      <c r="E6056" t="inlineStr">
        <is>
          <t>1</t>
        </is>
      </c>
      <c r="F6056" t="inlineStr">
        <is>
          <t>126</t>
        </is>
      </c>
      <c r="G6056" t="inlineStr">
        <is>
          <t>0</t>
        </is>
      </c>
      <c r="H6056" t="inlineStr">
        <is>
          <t>0</t>
        </is>
      </c>
      <c r="I6056" t="inlineStr">
        <is>
          <t>1², 4¹, 41², 164¹</t>
        </is>
      </c>
      <c r="J6056" t="n">
        <v>6</v>
      </c>
      <c r="K6056" t="inlineStr">
        <is>
          <t>1⁶, 40³</t>
        </is>
      </c>
      <c r="L6056" t="inlineStr">
        <is>
          <t>4B⁰, 82A⁹</t>
        </is>
      </c>
      <c r="M6056" t="inlineStr"/>
      <c r="N6056" t="inlineStr">
        <is>
          <t>82A⁹, 2B⁰, 41A³, 4B⁰, 1A⁰</t>
        </is>
      </c>
      <c r="O6056" t="inlineStr"/>
    </row>
    <row r="6057">
      <c r="A6057">
        <f>HYPERLINK("https://mathstats.uncg.edu/sites/pauli/congruence/csg19.html#group164C19", "164C¹⁹")</f>
        <v/>
      </c>
      <c r="B6057" t="n">
        <v>19</v>
      </c>
      <c r="C6057" t="inlineStr"/>
      <c r="D6057" t="inlineStr">
        <is>
          <t>252</t>
        </is>
      </c>
      <c r="E6057" t="inlineStr">
        <is>
          <t>1</t>
        </is>
      </c>
      <c r="F6057" t="inlineStr">
        <is>
          <t>126</t>
        </is>
      </c>
      <c r="G6057" t="inlineStr">
        <is>
          <t>4</t>
        </is>
      </c>
      <c r="H6057" t="inlineStr">
        <is>
          <t>0</t>
        </is>
      </c>
      <c r="I6057" t="inlineStr">
        <is>
          <t>2¹, 4¹, 82¹, 164¹</t>
        </is>
      </c>
      <c r="J6057" t="n">
        <v>4</v>
      </c>
      <c r="K6057" t="inlineStr">
        <is>
          <t>1⁶, 40³</t>
        </is>
      </c>
      <c r="L6057" t="inlineStr">
        <is>
          <t>82A⁹</t>
        </is>
      </c>
      <c r="M6057" t="inlineStr"/>
      <c r="N6057" t="inlineStr">
        <is>
          <t>1A⁰, 82A⁹, 2B⁰, 41A³</t>
        </is>
      </c>
      <c r="O6057" t="inlineStr"/>
    </row>
    <row r="6058">
      <c r="A6058">
        <f>HYPERLINK("https://mathstats.uncg.edu/sites/pauli/congruence/csg19.html#group164D19", "164D¹⁹")</f>
        <v/>
      </c>
      <c r="B6058" t="n">
        <v>19</v>
      </c>
      <c r="C6058" t="inlineStr"/>
      <c r="D6058" t="inlineStr">
        <is>
          <t>252</t>
        </is>
      </c>
      <c r="E6058" t="inlineStr">
        <is>
          <t>1</t>
        </is>
      </c>
      <c r="F6058" t="inlineStr">
        <is>
          <t>126</t>
        </is>
      </c>
      <c r="G6058" t="inlineStr">
        <is>
          <t>4</t>
        </is>
      </c>
      <c r="H6058" t="inlineStr">
        <is>
          <t>0</t>
        </is>
      </c>
      <c r="I6058" t="inlineStr">
        <is>
          <t>2¹, 4¹, 82¹, 164¹</t>
        </is>
      </c>
      <c r="J6058" t="n">
        <v>4</v>
      </c>
      <c r="K6058" t="inlineStr">
        <is>
          <t>1⁶, 40³</t>
        </is>
      </c>
      <c r="L6058" t="inlineStr">
        <is>
          <t>4C⁰, 82A⁹</t>
        </is>
      </c>
      <c r="M6058" t="inlineStr"/>
      <c r="N6058" t="inlineStr">
        <is>
          <t>82A⁹, 2B⁰, 41A³, 1A⁰, 4C⁰</t>
        </is>
      </c>
      <c r="O6058" t="inlineStr"/>
    </row>
    <row r="6059">
      <c r="A6059">
        <f>HYPERLINK("https://mathstats.uncg.edu/sites/pauli/congruence/csg19.html#group165A19", "165A¹⁹")</f>
        <v/>
      </c>
      <c r="B6059" t="n">
        <v>19</v>
      </c>
      <c r="C6059" t="inlineStr"/>
      <c r="D6059" t="inlineStr">
        <is>
          <t>240</t>
        </is>
      </c>
      <c r="E6059" t="inlineStr">
        <is>
          <t>1</t>
        </is>
      </c>
      <c r="F6059" t="inlineStr">
        <is>
          <t>240</t>
        </is>
      </c>
      <c r="G6059" t="inlineStr">
        <is>
          <t>0</t>
        </is>
      </c>
      <c r="H6059" t="inlineStr">
        <is>
          <t>0</t>
        </is>
      </c>
      <c r="I6059" t="inlineStr">
        <is>
          <t>5¹, 15¹, 55¹, 165¹</t>
        </is>
      </c>
      <c r="J6059" t="n">
        <v>4</v>
      </c>
      <c r="K6059" t="inlineStr">
        <is>
          <t>1⁴, 2², 4⁴, 8², 10², 20¹, 40², 80¹</t>
        </is>
      </c>
      <c r="L6059" t="inlineStr">
        <is>
          <t>15B¹, 33C³, 55A⁵</t>
        </is>
      </c>
      <c r="M6059" t="inlineStr"/>
      <c r="N6059" t="inlineStr">
        <is>
          <t>3B⁰, 5A⁰, 11A¹, 15B¹, 55A⁵, 1A⁰, 33C³</t>
        </is>
      </c>
      <c r="O6059" t="inlineStr"/>
    </row>
    <row r="6060">
      <c r="A6060">
        <f>HYPERLINK("https://mathstats.uncg.edu/sites/pauli/congruence/csg19.html#group168A19", "168A¹⁹")</f>
        <v/>
      </c>
      <c r="B6060" t="n">
        <v>19</v>
      </c>
      <c r="C6060" t="inlineStr"/>
      <c r="D6060" t="inlineStr">
        <is>
          <t>256</t>
        </is>
      </c>
      <c r="E6060" t="inlineStr">
        <is>
          <t>2</t>
        </is>
      </c>
      <c r="F6060" t="inlineStr">
        <is>
          <t>128</t>
        </is>
      </c>
      <c r="G6060" t="inlineStr">
        <is>
          <t>0</t>
        </is>
      </c>
      <c r="H6060" t="inlineStr">
        <is>
          <t>4</t>
        </is>
      </c>
      <c r="I6060" t="inlineStr">
        <is>
          <t>8¹, 24¹, 56¹, 168¹</t>
        </is>
      </c>
      <c r="J6060" t="n">
        <v>4</v>
      </c>
      <c r="K6060" t="inlineStr">
        <is>
          <t>4⁸, 8⁴, 24⁴, 48²</t>
        </is>
      </c>
      <c r="L6060" t="inlineStr">
        <is>
          <t>84D⁹</t>
        </is>
      </c>
      <c r="M6060" t="inlineStr"/>
      <c r="N6060" t="inlineStr">
        <is>
          <t>3B⁰, 84D⁹, 21B¹, 4A⁰, 7B⁰, 12A¹, 1A⁰, 28A²</t>
        </is>
      </c>
      <c r="O6060" t="inlineStr"/>
    </row>
    <row r="6061">
      <c r="A6061">
        <f>HYPERLINK("https://mathstats.uncg.edu/sites/pauli/congruence/csg19.html#group168B19", "168B¹⁹")</f>
        <v/>
      </c>
      <c r="B6061" t="n">
        <v>19</v>
      </c>
      <c r="C6061" t="inlineStr"/>
      <c r="D6061" t="inlineStr">
        <is>
          <t>256</t>
        </is>
      </c>
      <c r="E6061" t="inlineStr">
        <is>
          <t>2</t>
        </is>
      </c>
      <c r="F6061" t="inlineStr">
        <is>
          <t>128</t>
        </is>
      </c>
      <c r="G6061" t="inlineStr">
        <is>
          <t>0</t>
        </is>
      </c>
      <c r="H6061" t="inlineStr">
        <is>
          <t>4</t>
        </is>
      </c>
      <c r="I6061" t="inlineStr">
        <is>
          <t>8¹, 24¹, 56¹, 168¹</t>
        </is>
      </c>
      <c r="J6061" t="n">
        <v>4</v>
      </c>
      <c r="K6061" t="inlineStr">
        <is>
          <t>4⁸, 8⁴, 24⁴, 48²</t>
        </is>
      </c>
      <c r="L6061" t="inlineStr">
        <is>
          <t>24A², 56A⁴, 84D⁹</t>
        </is>
      </c>
      <c r="M6061" t="inlineStr"/>
      <c r="N6061" t="inlineStr">
        <is>
          <t>56A⁴, 3B⁰, 84D⁹, 21B¹, 24A², 7B⁰, 4A⁰, 12A¹, 8A⁰, 1A⁰, 28A²</t>
        </is>
      </c>
      <c r="O6061" t="inlineStr"/>
    </row>
    <row r="6062">
      <c r="A6062">
        <f>HYPERLINK("https://mathstats.uncg.edu/sites/pauli/congruence/csg19.html#group168C19", "168C¹⁹")</f>
        <v/>
      </c>
      <c r="B6062" t="n">
        <v>19</v>
      </c>
      <c r="C6062" t="inlineStr"/>
      <c r="D6062" t="inlineStr">
        <is>
          <t>336</t>
        </is>
      </c>
      <c r="E6062" t="inlineStr">
        <is>
          <t>2</t>
        </is>
      </c>
      <c r="F6062" t="inlineStr">
        <is>
          <t>112</t>
        </is>
      </c>
      <c r="G6062" t="inlineStr">
        <is>
          <t>36</t>
        </is>
      </c>
      <c r="H6062" t="inlineStr">
        <is>
          <t>0</t>
        </is>
      </c>
      <c r="I6062" t="inlineStr">
        <is>
          <t>168²</t>
        </is>
      </c>
      <c r="J6062" t="n">
        <v>2</v>
      </c>
      <c r="K6062" t="inlineStr">
        <is>
          <t>8⁴, 24⁸</t>
        </is>
      </c>
      <c r="L6062" t="inlineStr">
        <is>
          <t>24F¹, 84A³, 56H⁶</t>
        </is>
      </c>
      <c r="M6062" t="inlineStr"/>
      <c r="N6062" t="inlineStr">
        <is>
          <t>24F¹, 84A³, 12A⁰, 8F⁰, 4A⁰, 56H⁶, 21A⁰, 3A⁰, 28A¹, 1A⁰, 7A⁰</t>
        </is>
      </c>
      <c r="O6062" t="inlineStr"/>
    </row>
    <row r="6063">
      <c r="A6063">
        <f>HYPERLINK("https://mathstats.uncg.edu/sites/pauli/congruence/csg19.html#group171A19", "171A¹⁹")</f>
        <v/>
      </c>
      <c r="B6063" t="n">
        <v>19</v>
      </c>
      <c r="C6063" t="inlineStr"/>
      <c r="D6063" t="inlineStr">
        <is>
          <t>240</t>
        </is>
      </c>
      <c r="E6063" t="inlineStr">
        <is>
          <t>1</t>
        </is>
      </c>
      <c r="F6063" t="inlineStr">
        <is>
          <t>80</t>
        </is>
      </c>
      <c r="G6063" t="inlineStr">
        <is>
          <t>0</t>
        </is>
      </c>
      <c r="H6063" t="inlineStr">
        <is>
          <t>0</t>
        </is>
      </c>
      <c r="I6063" t="inlineStr">
        <is>
          <t>3¹, 9¹, 57¹, 171¹</t>
        </is>
      </c>
      <c r="J6063" t="n">
        <v>4</v>
      </c>
      <c r="K6063" t="inlineStr">
        <is>
          <t>1⁴, 2², 18², 36¹</t>
        </is>
      </c>
      <c r="L6063" t="inlineStr">
        <is>
          <t>9A¹, 57C⁵</t>
        </is>
      </c>
      <c r="M6063" t="inlineStr"/>
      <c r="N6063" t="inlineStr">
        <is>
          <t>3B⁰, 19A¹, 1A⁰, 9A¹, 57C⁵</t>
        </is>
      </c>
      <c r="O6063" t="inlineStr"/>
    </row>
    <row r="6064">
      <c r="A6064">
        <f>HYPERLINK("https://mathstats.uncg.edu/sites/pauli/congruence/csg19.html#group171B19", "171B¹⁹")</f>
        <v/>
      </c>
      <c r="B6064" t="n">
        <v>19</v>
      </c>
      <c r="C6064" t="inlineStr"/>
      <c r="D6064" t="inlineStr">
        <is>
          <t>240</t>
        </is>
      </c>
      <c r="E6064" t="inlineStr">
        <is>
          <t>2</t>
        </is>
      </c>
      <c r="F6064" t="inlineStr">
        <is>
          <t>80</t>
        </is>
      </c>
      <c r="G6064" t="inlineStr">
        <is>
          <t>0</t>
        </is>
      </c>
      <c r="H6064" t="inlineStr">
        <is>
          <t>0</t>
        </is>
      </c>
      <c r="I6064" t="inlineStr">
        <is>
          <t>3¹, 9¹, 57¹, 171¹</t>
        </is>
      </c>
      <c r="J6064" t="n">
        <v>4</v>
      </c>
      <c r="K6064" t="inlineStr">
        <is>
          <t>2⁸, 36⁴</t>
        </is>
      </c>
      <c r="L6064" t="inlineStr">
        <is>
          <t>57C⁵</t>
        </is>
      </c>
      <c r="M6064" t="inlineStr"/>
      <c r="N6064" t="inlineStr">
        <is>
          <t>3B⁰, 1A⁰, 19A¹, 57C⁵</t>
        </is>
      </c>
      <c r="O6064" t="inlineStr"/>
    </row>
    <row r="6065">
      <c r="A6065">
        <f>HYPERLINK("https://mathstats.uncg.edu/sites/pauli/congruence/csg19.html#group174A19", "174A¹⁹")</f>
        <v/>
      </c>
      <c r="B6065" t="n">
        <v>19</v>
      </c>
      <c r="C6065" t="inlineStr"/>
      <c r="D6065" t="inlineStr">
        <is>
          <t>240</t>
        </is>
      </c>
      <c r="E6065" t="inlineStr">
        <is>
          <t>1</t>
        </is>
      </c>
      <c r="F6065" t="inlineStr">
        <is>
          <t>120</t>
        </is>
      </c>
      <c r="G6065" t="inlineStr">
        <is>
          <t>0</t>
        </is>
      </c>
      <c r="H6065" t="inlineStr">
        <is>
          <t>0</t>
        </is>
      </c>
      <c r="I6065" t="inlineStr">
        <is>
          <t>2¹, 6¹, 58¹, 174¹</t>
        </is>
      </c>
      <c r="J6065" t="n">
        <v>4</v>
      </c>
      <c r="K6065" t="inlineStr">
        <is>
          <t>1⁴, 2², 28², 56¹</t>
        </is>
      </c>
      <c r="L6065" t="inlineStr">
        <is>
          <t>58A⁴, 87A⁹</t>
        </is>
      </c>
      <c r="M6065" t="inlineStr"/>
      <c r="N6065" t="inlineStr">
        <is>
          <t>3B⁰, 87A⁹, 58A⁴, 1A⁰, 29A²</t>
        </is>
      </c>
      <c r="O6065" t="inlineStr"/>
    </row>
    <row r="6066">
      <c r="A6066">
        <f>HYPERLINK("https://mathstats.uncg.edu/sites/pauli/congruence/csg19.html#group174B19", "174B¹⁹")</f>
        <v/>
      </c>
      <c r="B6066" t="n">
        <v>19</v>
      </c>
      <c r="C6066" t="inlineStr"/>
      <c r="D6066" t="inlineStr">
        <is>
          <t>240</t>
        </is>
      </c>
      <c r="E6066" t="inlineStr">
        <is>
          <t>1</t>
        </is>
      </c>
      <c r="F6066" t="inlineStr">
        <is>
          <t>120</t>
        </is>
      </c>
      <c r="G6066" t="inlineStr">
        <is>
          <t>0</t>
        </is>
      </c>
      <c r="H6066" t="inlineStr">
        <is>
          <t>0</t>
        </is>
      </c>
      <c r="I6066" t="inlineStr">
        <is>
          <t>2¹, 6¹, 58¹, 174¹</t>
        </is>
      </c>
      <c r="J6066" t="n">
        <v>4</v>
      </c>
      <c r="K6066" t="inlineStr">
        <is>
          <t>1⁴, 2², 28², 56¹</t>
        </is>
      </c>
      <c r="L6066" t="inlineStr">
        <is>
          <t>6C⁰, 58A⁵, 87A⁹</t>
        </is>
      </c>
      <c r="M6066" t="inlineStr"/>
      <c r="N6066" t="inlineStr">
        <is>
          <t>3B⁰, 2A⁰, 87A⁹, 29A², 6C⁰, 58A⁵, 1A⁰</t>
        </is>
      </c>
      <c r="O6066" t="inlineStr"/>
    </row>
    <row r="6067">
      <c r="A6067">
        <f>HYPERLINK("https://mathstats.uncg.edu/sites/pauli/congruence/csg19.html#group175A19", "175A¹⁹")</f>
        <v/>
      </c>
      <c r="B6067" t="n">
        <v>19</v>
      </c>
      <c r="C6067" t="inlineStr"/>
      <c r="D6067" t="inlineStr">
        <is>
          <t>240</t>
        </is>
      </c>
      <c r="E6067" t="inlineStr">
        <is>
          <t>1</t>
        </is>
      </c>
      <c r="F6067" t="inlineStr">
        <is>
          <t>240</t>
        </is>
      </c>
      <c r="G6067" t="inlineStr">
        <is>
          <t>0</t>
        </is>
      </c>
      <c r="H6067" t="inlineStr">
        <is>
          <t>0</t>
        </is>
      </c>
      <c r="I6067" t="inlineStr">
        <is>
          <t>5¹, 25¹, 35¹, 175¹</t>
        </is>
      </c>
      <c r="J6067" t="n">
        <v>4</v>
      </c>
      <c r="K6067" t="inlineStr">
        <is>
          <t>2⁴, 4⁸, 12², 20⁴, 24⁴, 120²</t>
        </is>
      </c>
      <c r="L6067" t="inlineStr">
        <is>
          <t>25A², 35A³</t>
        </is>
      </c>
      <c r="M6067" t="inlineStr"/>
      <c r="N6067" t="inlineStr">
        <is>
          <t>5B⁰, 7B⁰, 25A², 1A⁰, 35A³</t>
        </is>
      </c>
      <c r="O6067" t="inlineStr"/>
    </row>
    <row r="6068">
      <c r="A6068">
        <f>HYPERLINK("https://mathstats.uncg.edu/sites/pauli/congruence/csg19.html#group175B19", "175B¹⁹")</f>
        <v/>
      </c>
      <c r="B6068" t="n">
        <v>19</v>
      </c>
      <c r="C6068" t="inlineStr"/>
      <c r="D6068" t="inlineStr">
        <is>
          <t>240</t>
        </is>
      </c>
      <c r="E6068" t="inlineStr">
        <is>
          <t>1</t>
        </is>
      </c>
      <c r="F6068" t="inlineStr">
        <is>
          <t>240</t>
        </is>
      </c>
      <c r="G6068" t="inlineStr">
        <is>
          <t>0</t>
        </is>
      </c>
      <c r="H6068" t="inlineStr">
        <is>
          <t>0</t>
        </is>
      </c>
      <c r="I6068" t="inlineStr">
        <is>
          <t>5¹, 25¹, 35¹, 175¹</t>
        </is>
      </c>
      <c r="J6068" t="n">
        <v>4</v>
      </c>
      <c r="K6068" t="inlineStr">
        <is>
          <t>2⁴, 4⁸, 12², 20⁴, 24⁴, 120²</t>
        </is>
      </c>
      <c r="L6068" t="inlineStr">
        <is>
          <t>25B², 35A³</t>
        </is>
      </c>
      <c r="M6068" t="inlineStr"/>
      <c r="N6068" t="inlineStr">
        <is>
          <t>5B⁰, 7B⁰, 1A⁰, 35A³, 25B²</t>
        </is>
      </c>
      <c r="O6068" t="inlineStr"/>
    </row>
    <row r="6069">
      <c r="A6069">
        <f>HYPERLINK("https://mathstats.uncg.edu/sites/pauli/congruence/csg19.html#group175C19", "175C¹⁹")</f>
        <v/>
      </c>
      <c r="B6069" t="n">
        <v>19</v>
      </c>
      <c r="C6069" t="inlineStr"/>
      <c r="D6069" t="inlineStr">
        <is>
          <t>240</t>
        </is>
      </c>
      <c r="E6069" t="inlineStr">
        <is>
          <t>1</t>
        </is>
      </c>
      <c r="F6069" t="inlineStr">
        <is>
          <t>240</t>
        </is>
      </c>
      <c r="G6069" t="inlineStr">
        <is>
          <t>0</t>
        </is>
      </c>
      <c r="H6069" t="inlineStr">
        <is>
          <t>0</t>
        </is>
      </c>
      <c r="I6069" t="inlineStr">
        <is>
          <t>5¹, 25¹, 35¹, 175¹</t>
        </is>
      </c>
      <c r="J6069" t="n">
        <v>4</v>
      </c>
      <c r="K6069" t="inlineStr">
        <is>
          <t>2⁴, 4⁸, 12², 20⁴, 24⁴, 120²</t>
        </is>
      </c>
      <c r="L6069" t="inlineStr">
        <is>
          <t>25C², 35A³</t>
        </is>
      </c>
      <c r="M6069" t="inlineStr"/>
      <c r="N6069" t="inlineStr">
        <is>
          <t>5B⁰, 7B⁰, 1A⁰, 25C², 35A³</t>
        </is>
      </c>
      <c r="O6069" t="inlineStr"/>
    </row>
    <row r="6070">
      <c r="A6070">
        <f>HYPERLINK("https://mathstats.uncg.edu/sites/pauli/congruence/csg19.html#group175D19", "175D¹⁹")</f>
        <v/>
      </c>
      <c r="B6070" t="n">
        <v>19</v>
      </c>
      <c r="C6070" t="inlineStr"/>
      <c r="D6070" t="inlineStr">
        <is>
          <t>240</t>
        </is>
      </c>
      <c r="E6070" t="inlineStr">
        <is>
          <t>1</t>
        </is>
      </c>
      <c r="F6070" t="inlineStr">
        <is>
          <t>240</t>
        </is>
      </c>
      <c r="G6070" t="inlineStr">
        <is>
          <t>0</t>
        </is>
      </c>
      <c r="H6070" t="inlineStr">
        <is>
          <t>0</t>
        </is>
      </c>
      <c r="I6070" t="inlineStr">
        <is>
          <t>5¹, 25¹, 35¹, 175¹</t>
        </is>
      </c>
      <c r="J6070" t="n">
        <v>4</v>
      </c>
      <c r="K6070" t="inlineStr">
        <is>
          <t>2⁴, 4⁸, 12², 20⁴, 24⁴, 120²</t>
        </is>
      </c>
      <c r="L6070" t="inlineStr">
        <is>
          <t>25D², 35A³</t>
        </is>
      </c>
      <c r="M6070" t="inlineStr"/>
      <c r="N6070" t="inlineStr">
        <is>
          <t>5B⁰, 7B⁰, 1A⁰, 35A³, 25D²</t>
        </is>
      </c>
      <c r="O6070" t="inlineStr"/>
    </row>
    <row r="6071">
      <c r="A6071">
        <f>HYPERLINK("https://mathstats.uncg.edu/sites/pauli/congruence/csg19.html#group176A19", "176A¹⁹")</f>
        <v/>
      </c>
      <c r="B6071" t="n">
        <v>19</v>
      </c>
      <c r="C6071" t="inlineStr"/>
      <c r="D6071" t="inlineStr">
        <is>
          <t>264</t>
        </is>
      </c>
      <c r="E6071" t="inlineStr">
        <is>
          <t>2</t>
        </is>
      </c>
      <c r="F6071" t="inlineStr">
        <is>
          <t>66</t>
        </is>
      </c>
      <c r="G6071" t="inlineStr">
        <is>
          <t>12</t>
        </is>
      </c>
      <c r="H6071" t="inlineStr">
        <is>
          <t>0</t>
        </is>
      </c>
      <c r="I6071" t="inlineStr">
        <is>
          <t>88¹, 176¹</t>
        </is>
      </c>
      <c r="J6071" t="n">
        <v>2</v>
      </c>
      <c r="K6071" t="inlineStr">
        <is>
          <t>2², 4², 10⁴, 20⁴</t>
        </is>
      </c>
      <c r="L6071" t="inlineStr">
        <is>
          <t>16B¹, 88B⁸</t>
        </is>
      </c>
      <c r="M6071" t="inlineStr"/>
      <c r="N6071" t="inlineStr">
        <is>
          <t>11A⁰, 44C⁴, 4C⁰, 8B⁰, 16B¹, 2B⁰, 22B², 1A⁰, 88B⁸</t>
        </is>
      </c>
      <c r="O6071" t="inlineStr"/>
    </row>
    <row r="6072">
      <c r="A6072">
        <f>HYPERLINK("https://mathstats.uncg.edu/sites/pauli/congruence/csg19.html#group176B19", "176B¹⁹")</f>
        <v/>
      </c>
      <c r="B6072" t="n">
        <v>19</v>
      </c>
      <c r="C6072" t="inlineStr"/>
      <c r="D6072" t="inlineStr">
        <is>
          <t>264</t>
        </is>
      </c>
      <c r="E6072" t="inlineStr">
        <is>
          <t>2</t>
        </is>
      </c>
      <c r="F6072" t="inlineStr">
        <is>
          <t>132</t>
        </is>
      </c>
      <c r="G6072" t="inlineStr">
        <is>
          <t>6</t>
        </is>
      </c>
      <c r="H6072" t="inlineStr">
        <is>
          <t>0</t>
        </is>
      </c>
      <c r="I6072" t="inlineStr">
        <is>
          <t>22⁴, 176¹</t>
        </is>
      </c>
      <c r="J6072" t="n">
        <v>5</v>
      </c>
      <c r="K6072" t="inlineStr">
        <is>
          <t>2², 4¹, 8², 10⁴, 20², 40⁴</t>
        </is>
      </c>
      <c r="L6072" t="inlineStr">
        <is>
          <t>16E⁰, 88A⁹</t>
        </is>
      </c>
      <c r="M6072" t="inlineStr"/>
      <c r="N6072" t="inlineStr">
        <is>
          <t>11A⁰, 16E⁰, 8D⁰, 44C⁴, 4C⁰, 2B⁰, 22B², 1A⁰, 88A⁹</t>
        </is>
      </c>
      <c r="O6072" t="inlineStr"/>
    </row>
    <row r="6073">
      <c r="A6073">
        <f>HYPERLINK("https://mathstats.uncg.edu/sites/pauli/congruence/csg19.html#group176C19", "176C¹⁹")</f>
        <v/>
      </c>
      <c r="B6073" t="n">
        <v>19</v>
      </c>
      <c r="C6073" t="inlineStr"/>
      <c r="D6073" t="inlineStr">
        <is>
          <t>264</t>
        </is>
      </c>
      <c r="E6073" t="inlineStr">
        <is>
          <t>2</t>
        </is>
      </c>
      <c r="F6073" t="inlineStr">
        <is>
          <t>132</t>
        </is>
      </c>
      <c r="G6073" t="inlineStr">
        <is>
          <t>12</t>
        </is>
      </c>
      <c r="H6073" t="inlineStr">
        <is>
          <t>0</t>
        </is>
      </c>
      <c r="I6073" t="inlineStr">
        <is>
          <t>88¹, 176¹</t>
        </is>
      </c>
      <c r="J6073" t="n">
        <v>2</v>
      </c>
      <c r="K6073" t="inlineStr">
        <is>
          <t>2⁴, 4², 8¹, 10⁸, 20⁴, 40²</t>
        </is>
      </c>
      <c r="L6073" t="inlineStr">
        <is>
          <t>16D¹, 88B⁸</t>
        </is>
      </c>
      <c r="M6073" t="inlineStr"/>
      <c r="N6073" t="inlineStr">
        <is>
          <t>11A⁰, 16D¹, 44C⁴, 4C⁰, 8B⁰, 2B⁰, 22B², 1A⁰, 88B⁸</t>
        </is>
      </c>
      <c r="O6073" t="inlineStr"/>
    </row>
    <row r="6074">
      <c r="A6074">
        <f>HYPERLINK("https://mathstats.uncg.edu/sites/pauli/congruence/csg19.html#group176D19", "176D¹⁹")</f>
        <v/>
      </c>
      <c r="B6074" t="n">
        <v>19</v>
      </c>
      <c r="C6074" t="inlineStr"/>
      <c r="D6074" t="inlineStr">
        <is>
          <t>288</t>
        </is>
      </c>
      <c r="E6074" t="inlineStr">
        <is>
          <t>1</t>
        </is>
      </c>
      <c r="F6074" t="inlineStr">
        <is>
          <t>72</t>
        </is>
      </c>
      <c r="G6074" t="inlineStr">
        <is>
          <t>0</t>
        </is>
      </c>
      <c r="H6074" t="inlineStr">
        <is>
          <t>0</t>
        </is>
      </c>
      <c r="I6074" t="inlineStr">
        <is>
          <t>1⁴, 4¹, 11⁴, 16¹, 44¹, 176¹</t>
        </is>
      </c>
      <c r="J6074" t="n">
        <v>12</v>
      </c>
      <c r="K6074" t="inlineStr">
        <is>
          <t>1⁸, 2², 10⁴, 20¹</t>
        </is>
      </c>
      <c r="L6074" t="inlineStr">
        <is>
          <t>88B⁹</t>
        </is>
      </c>
      <c r="M6074" t="inlineStr"/>
      <c r="N6074" t="inlineStr">
        <is>
          <t>11A¹, 88B⁹, 8C⁰, 2B⁰, 4B⁰, 22C², 1A⁰, 44D⁴</t>
        </is>
      </c>
      <c r="O6074" t="inlineStr"/>
    </row>
    <row r="6075">
      <c r="A6075">
        <f>HYPERLINK("https://mathstats.uncg.edu/sites/pauli/congruence/csg19.html#group176E19", "176E¹⁹")</f>
        <v/>
      </c>
      <c r="B6075" t="n">
        <v>19</v>
      </c>
      <c r="C6075" t="inlineStr">
        <is>
          <t>Γ₀(176)</t>
        </is>
      </c>
      <c r="D6075" t="inlineStr">
        <is>
          <t>288</t>
        </is>
      </c>
      <c r="E6075" t="inlineStr">
        <is>
          <t>1</t>
        </is>
      </c>
      <c r="F6075" t="inlineStr">
        <is>
          <t>72</t>
        </is>
      </c>
      <c r="G6075" t="inlineStr">
        <is>
          <t>0</t>
        </is>
      </c>
      <c r="H6075" t="inlineStr">
        <is>
          <t>0</t>
        </is>
      </c>
      <c r="I6075" t="inlineStr">
        <is>
          <t>1⁴, 4¹, 11⁴, 16¹, 44¹, 176¹</t>
        </is>
      </c>
      <c r="J6075" t="n">
        <v>12</v>
      </c>
      <c r="K6075" t="inlineStr">
        <is>
          <t>1⁸, 2², 10⁴, 20¹</t>
        </is>
      </c>
      <c r="L6075" t="inlineStr">
        <is>
          <t>16C⁰, 88B⁹</t>
        </is>
      </c>
      <c r="M6075" t="inlineStr"/>
      <c r="N6075" t="inlineStr">
        <is>
          <t>11A¹, 16C⁰, 88B⁹, 8C⁰, 2B⁰, 4B⁰, 22C², 1A⁰, 44D⁴</t>
        </is>
      </c>
      <c r="O6075" t="inlineStr"/>
    </row>
    <row r="6076">
      <c r="A6076">
        <f>HYPERLINK("https://mathstats.uncg.edu/sites/pauli/congruence/csg19.html#group176F19", "176F¹⁹")</f>
        <v/>
      </c>
      <c r="B6076" t="n">
        <v>19</v>
      </c>
      <c r="C6076" t="inlineStr"/>
      <c r="D6076" t="inlineStr">
        <is>
          <t>288</t>
        </is>
      </c>
      <c r="E6076" t="inlineStr">
        <is>
          <t>1</t>
        </is>
      </c>
      <c r="F6076" t="inlineStr">
        <is>
          <t>144</t>
        </is>
      </c>
      <c r="G6076" t="inlineStr">
        <is>
          <t>0</t>
        </is>
      </c>
      <c r="H6076" t="inlineStr">
        <is>
          <t>0</t>
        </is>
      </c>
      <c r="I6076" t="inlineStr">
        <is>
          <t>1², 2³, 11², 16¹, 22³, 176¹</t>
        </is>
      </c>
      <c r="J6076" t="n">
        <v>12</v>
      </c>
      <c r="K6076" t="inlineStr">
        <is>
          <t>1⁸, 2⁴, 4², 10⁴, 20², 40¹</t>
        </is>
      </c>
      <c r="L6076" t="inlineStr">
        <is>
          <t>88B⁹</t>
        </is>
      </c>
      <c r="M6076" t="inlineStr"/>
      <c r="N6076" t="inlineStr">
        <is>
          <t>11A¹, 88B⁹, 8C⁰, 2B⁰, 4B⁰, 22C², 1A⁰, 44D⁴</t>
        </is>
      </c>
      <c r="O6076" t="inlineStr"/>
    </row>
    <row r="6077">
      <c r="A6077">
        <f>HYPERLINK("https://mathstats.uncg.edu/sites/pauli/congruence/csg19.html#group176G19", "176G¹⁹")</f>
        <v/>
      </c>
      <c r="B6077" t="n">
        <v>19</v>
      </c>
      <c r="C6077" t="inlineStr"/>
      <c r="D6077" t="inlineStr">
        <is>
          <t>288</t>
        </is>
      </c>
      <c r="E6077" t="inlineStr">
        <is>
          <t>1</t>
        </is>
      </c>
      <c r="F6077" t="inlineStr">
        <is>
          <t>144</t>
        </is>
      </c>
      <c r="G6077" t="inlineStr">
        <is>
          <t>0</t>
        </is>
      </c>
      <c r="H6077" t="inlineStr">
        <is>
          <t>0</t>
        </is>
      </c>
      <c r="I6077" t="inlineStr">
        <is>
          <t>1², 2³, 11², 16¹, 22³, 176¹</t>
        </is>
      </c>
      <c r="J6077" t="n">
        <v>12</v>
      </c>
      <c r="K6077" t="inlineStr">
        <is>
          <t>1⁸, 2⁴, 4², 10⁴, 20², 40¹</t>
        </is>
      </c>
      <c r="L6077" t="inlineStr">
        <is>
          <t>16D⁰, 88B⁹</t>
        </is>
      </c>
      <c r="M6077" t="inlineStr"/>
      <c r="N6077" t="inlineStr">
        <is>
          <t>11A¹, 16D⁰, 88B⁹, 8C⁰, 2B⁰, 4B⁰, 22C², 1A⁰, 44D⁴</t>
        </is>
      </c>
      <c r="O6077" t="inlineStr"/>
    </row>
    <row r="6078">
      <c r="A6078">
        <f>HYPERLINK("https://mathstats.uncg.edu/sites/pauli/congruence/csg19.html#group177A19", "177A¹⁹")</f>
        <v/>
      </c>
      <c r="B6078" t="n">
        <v>19</v>
      </c>
      <c r="C6078" t="inlineStr">
        <is>
          <t>Γ₀(177)</t>
        </is>
      </c>
      <c r="D6078" t="inlineStr">
        <is>
          <t>240</t>
        </is>
      </c>
      <c r="E6078" t="inlineStr">
        <is>
          <t>1</t>
        </is>
      </c>
      <c r="F6078" t="inlineStr">
        <is>
          <t>240</t>
        </is>
      </c>
      <c r="G6078" t="inlineStr">
        <is>
          <t>0</t>
        </is>
      </c>
      <c r="H6078" t="inlineStr">
        <is>
          <t>0</t>
        </is>
      </c>
      <c r="I6078" t="inlineStr">
        <is>
          <t>1¹, 3¹, 59¹, 177¹</t>
        </is>
      </c>
      <c r="J6078" t="n">
        <v>4</v>
      </c>
      <c r="K6078" t="inlineStr">
        <is>
          <t>1⁴, 2², 58², 116¹</t>
        </is>
      </c>
      <c r="L6078" t="inlineStr">
        <is>
          <t>3B⁰, 59A⁵</t>
        </is>
      </c>
      <c r="M6078" t="inlineStr"/>
      <c r="N6078" t="inlineStr">
        <is>
          <t>3B⁰, 1A⁰, 59A⁵</t>
        </is>
      </c>
      <c r="O6078" t="inlineStr"/>
    </row>
    <row r="6079">
      <c r="A6079">
        <f>HYPERLINK("https://mathstats.uncg.edu/sites/pauli/congruence/csg19.html#group180A19", "180A¹⁹")</f>
        <v/>
      </c>
      <c r="B6079" t="n">
        <v>19</v>
      </c>
      <c r="C6079" t="inlineStr"/>
      <c r="D6079" t="inlineStr">
        <is>
          <t>240</t>
        </is>
      </c>
      <c r="E6079" t="inlineStr">
        <is>
          <t>1</t>
        </is>
      </c>
      <c r="F6079" t="inlineStr">
        <is>
          <t>20</t>
        </is>
      </c>
      <c r="G6079" t="inlineStr">
        <is>
          <t>0</t>
        </is>
      </c>
      <c r="H6079" t="inlineStr">
        <is>
          <t>0</t>
        </is>
      </c>
      <c r="I6079" t="inlineStr">
        <is>
          <t>20³, 180¹</t>
        </is>
      </c>
      <c r="J6079" t="n">
        <v>4</v>
      </c>
      <c r="K6079" t="inlineStr">
        <is>
          <t>1², 2¹, 4², 8¹</t>
        </is>
      </c>
      <c r="L6079" t="inlineStr">
        <is>
          <t>36A³, 60B⁴, 90B⁹</t>
        </is>
      </c>
      <c r="M6079" t="inlineStr"/>
      <c r="N6079" t="inlineStr">
        <is>
          <t>3B⁰, 2A⁰, 5A⁰, 10A⁰, 18C¹, 30D², 60B⁴, 6C⁰, 9B⁰, 15B¹, 12B⁰, 45A⁴, 1A⁰, 36A³, 90B⁹</t>
        </is>
      </c>
      <c r="O6079" t="inlineStr"/>
    </row>
    <row r="6080">
      <c r="A6080">
        <f>HYPERLINK("https://mathstats.uncg.edu/sites/pauli/congruence/csg19.html#group180B19", "180B¹⁹")</f>
        <v/>
      </c>
      <c r="B6080" t="n">
        <v>19</v>
      </c>
      <c r="C6080" t="inlineStr"/>
      <c r="D6080" t="inlineStr">
        <is>
          <t>240</t>
        </is>
      </c>
      <c r="E6080" t="inlineStr">
        <is>
          <t>1</t>
        </is>
      </c>
      <c r="F6080" t="inlineStr">
        <is>
          <t>80</t>
        </is>
      </c>
      <c r="G6080" t="inlineStr">
        <is>
          <t>0</t>
        </is>
      </c>
      <c r="H6080" t="inlineStr">
        <is>
          <t>0</t>
        </is>
      </c>
      <c r="I6080" t="inlineStr">
        <is>
          <t>20³, 180¹</t>
        </is>
      </c>
      <c r="J6080" t="n">
        <v>4</v>
      </c>
      <c r="K6080" t="inlineStr">
        <is>
          <t>2⁴, 4², 8⁴, 16²</t>
        </is>
      </c>
      <c r="L6080" t="inlineStr">
        <is>
          <t>36B³, 45A⁴, 60A⁶</t>
        </is>
      </c>
      <c r="M6080" t="inlineStr"/>
      <c r="N6080" t="inlineStr">
        <is>
          <t>3B⁰, 5A⁰, 60A⁶, 4A⁰, 12A¹, 9B⁰, 15B¹, 20A¹, 45A⁴, 36B³, 1A⁰</t>
        </is>
      </c>
      <c r="O6080" t="inlineStr"/>
    </row>
    <row r="6081">
      <c r="A6081">
        <f>HYPERLINK("https://mathstats.uncg.edu/sites/pauli/congruence/csg19.html#group180C19", "180C¹⁹")</f>
        <v/>
      </c>
      <c r="B6081" t="n">
        <v>19</v>
      </c>
      <c r="C6081" t="inlineStr"/>
      <c r="D6081" t="inlineStr">
        <is>
          <t>240</t>
        </is>
      </c>
      <c r="E6081" t="inlineStr">
        <is>
          <t>2</t>
        </is>
      </c>
      <c r="F6081" t="inlineStr">
        <is>
          <t>80</t>
        </is>
      </c>
      <c r="G6081" t="inlineStr">
        <is>
          <t>0</t>
        </is>
      </c>
      <c r="H6081" t="inlineStr">
        <is>
          <t>3</t>
        </is>
      </c>
      <c r="I6081" t="inlineStr">
        <is>
          <t>60¹, 180¹</t>
        </is>
      </c>
      <c r="J6081" t="n">
        <v>2</v>
      </c>
      <c r="K6081" t="inlineStr">
        <is>
          <t>4⁴, 8², 16⁸</t>
        </is>
      </c>
      <c r="L6081" t="inlineStr">
        <is>
          <t>45B⁴, 60A⁶</t>
        </is>
      </c>
      <c r="M6081" t="inlineStr"/>
      <c r="N6081" t="inlineStr">
        <is>
          <t>3B⁰, 5A⁰, 4A⁰, 12A¹, 45B⁴, 15B¹, 20A¹, 60A⁶, 1A⁰</t>
        </is>
      </c>
      <c r="O6081" t="inlineStr"/>
    </row>
    <row r="6082">
      <c r="A6082">
        <f>HYPERLINK("https://mathstats.uncg.edu/sites/pauli/congruence/csg19.html#group183A19", "183A¹⁹")</f>
        <v/>
      </c>
      <c r="B6082" t="n">
        <v>19</v>
      </c>
      <c r="C6082" t="inlineStr">
        <is>
          <t>Γ₀(183)</t>
        </is>
      </c>
      <c r="D6082" t="inlineStr">
        <is>
          <t>248</t>
        </is>
      </c>
      <c r="E6082" t="inlineStr">
        <is>
          <t>1</t>
        </is>
      </c>
      <c r="F6082" t="inlineStr">
        <is>
          <t>248</t>
        </is>
      </c>
      <c r="G6082" t="inlineStr">
        <is>
          <t>0</t>
        </is>
      </c>
      <c r="H6082" t="inlineStr">
        <is>
          <t>2</t>
        </is>
      </c>
      <c r="I6082" t="inlineStr">
        <is>
          <t>1¹, 3¹, 61¹, 183¹</t>
        </is>
      </c>
      <c r="J6082" t="n">
        <v>4</v>
      </c>
      <c r="K6082" t="inlineStr">
        <is>
          <t>1⁴, 2², 60², 120¹</t>
        </is>
      </c>
      <c r="L6082" t="inlineStr">
        <is>
          <t>3B⁰, 61A⁴</t>
        </is>
      </c>
      <c r="M6082" t="inlineStr"/>
      <c r="N6082" t="inlineStr">
        <is>
          <t>3B⁰, 1A⁰, 61A⁴</t>
        </is>
      </c>
      <c r="O6082" t="inlineStr"/>
    </row>
    <row r="6083">
      <c r="A6083">
        <f>HYPERLINK("https://mathstats.uncg.edu/sites/pauli/congruence/csg19.html#group186A19", "186A¹⁹")</f>
        <v/>
      </c>
      <c r="B6083" t="n">
        <v>19</v>
      </c>
      <c r="C6083" t="inlineStr"/>
      <c r="D6083" t="inlineStr">
        <is>
          <t>256</t>
        </is>
      </c>
      <c r="E6083" t="inlineStr">
        <is>
          <t>1</t>
        </is>
      </c>
      <c r="F6083" t="inlineStr">
        <is>
          <t>128</t>
        </is>
      </c>
      <c r="G6083" t="inlineStr">
        <is>
          <t>0</t>
        </is>
      </c>
      <c r="H6083" t="inlineStr">
        <is>
          <t>4</t>
        </is>
      </c>
      <c r="I6083" t="inlineStr">
        <is>
          <t>2¹, 6¹, 62¹, 186¹</t>
        </is>
      </c>
      <c r="J6083" t="n">
        <v>4</v>
      </c>
      <c r="K6083" t="inlineStr">
        <is>
          <t>1⁴, 2², 30², 60¹</t>
        </is>
      </c>
      <c r="L6083" t="inlineStr">
        <is>
          <t>93A⁹</t>
        </is>
      </c>
      <c r="M6083" t="inlineStr"/>
      <c r="N6083" t="inlineStr">
        <is>
          <t>3B⁰, 31A², 1A⁰, 93A⁹</t>
        </is>
      </c>
      <c r="O6083" t="inlineStr"/>
    </row>
    <row r="6084">
      <c r="A6084">
        <f>HYPERLINK("https://mathstats.uncg.edu/sites/pauli/congruence/csg19.html#group186B19", "186B¹⁹")</f>
        <v/>
      </c>
      <c r="B6084" t="n">
        <v>19</v>
      </c>
      <c r="C6084" t="inlineStr"/>
      <c r="D6084" t="inlineStr">
        <is>
          <t>256</t>
        </is>
      </c>
      <c r="E6084" t="inlineStr">
        <is>
          <t>1</t>
        </is>
      </c>
      <c r="F6084" t="inlineStr">
        <is>
          <t>128</t>
        </is>
      </c>
      <c r="G6084" t="inlineStr">
        <is>
          <t>0</t>
        </is>
      </c>
      <c r="H6084" t="inlineStr">
        <is>
          <t>4</t>
        </is>
      </c>
      <c r="I6084" t="inlineStr">
        <is>
          <t>2¹, 6¹, 62¹, 186¹</t>
        </is>
      </c>
      <c r="J6084" t="n">
        <v>4</v>
      </c>
      <c r="K6084" t="inlineStr">
        <is>
          <t>1⁴, 2², 30², 60¹</t>
        </is>
      </c>
      <c r="L6084" t="inlineStr">
        <is>
          <t>6C⁰, 62A⁴, 93A⁹</t>
        </is>
      </c>
      <c r="M6084" t="inlineStr"/>
      <c r="N6084" t="inlineStr">
        <is>
          <t>3B⁰, 2A⁰, 93A⁹, 6C⁰, 31A², 1A⁰, 62A⁴</t>
        </is>
      </c>
      <c r="O6084" t="inlineStr"/>
    </row>
    <row r="6085">
      <c r="A6085">
        <f>HYPERLINK("https://mathstats.uncg.edu/sites/pauli/congruence/csg19.html#group189A19", "189A¹⁹")</f>
        <v/>
      </c>
      <c r="B6085" t="n">
        <v>19</v>
      </c>
      <c r="C6085" t="inlineStr"/>
      <c r="D6085" t="inlineStr">
        <is>
          <t>252</t>
        </is>
      </c>
      <c r="E6085" t="inlineStr">
        <is>
          <t>2</t>
        </is>
      </c>
      <c r="F6085" t="inlineStr">
        <is>
          <t>84</t>
        </is>
      </c>
      <c r="G6085" t="inlineStr">
        <is>
          <t>0</t>
        </is>
      </c>
      <c r="H6085" t="inlineStr">
        <is>
          <t>0</t>
        </is>
      </c>
      <c r="I6085" t="inlineStr">
        <is>
          <t>7³, 21², 189¹</t>
        </is>
      </c>
      <c r="J6085" t="n">
        <v>6</v>
      </c>
      <c r="K6085" t="inlineStr">
        <is>
          <t>2², 4², 6⁴, 12⁵, 36²</t>
        </is>
      </c>
      <c r="L6085" t="inlineStr">
        <is>
          <t>27A¹, 63B⁶</t>
        </is>
      </c>
      <c r="M6085" t="inlineStr"/>
      <c r="N6085" t="inlineStr">
        <is>
          <t>63B⁶, 3B⁰, 9B⁰, 27A¹, 21B², 1A⁰, 7A⁰</t>
        </is>
      </c>
      <c r="O6085" t="inlineStr"/>
    </row>
    <row r="6086">
      <c r="A6086">
        <f>HYPERLINK("https://mathstats.uncg.edu/sites/pauli/congruence/csg19.html#group189B19", "189B¹⁹")</f>
        <v/>
      </c>
      <c r="B6086" t="n">
        <v>19</v>
      </c>
      <c r="C6086" t="inlineStr"/>
      <c r="D6086" t="inlineStr">
        <is>
          <t>252</t>
        </is>
      </c>
      <c r="E6086" t="inlineStr">
        <is>
          <t>2</t>
        </is>
      </c>
      <c r="F6086" t="inlineStr">
        <is>
          <t>84</t>
        </is>
      </c>
      <c r="G6086" t="inlineStr">
        <is>
          <t>0</t>
        </is>
      </c>
      <c r="H6086" t="inlineStr">
        <is>
          <t>6</t>
        </is>
      </c>
      <c r="I6086" t="inlineStr">
        <is>
          <t>63¹, 189¹</t>
        </is>
      </c>
      <c r="J6086" t="n">
        <v>2</v>
      </c>
      <c r="K6086" t="inlineStr">
        <is>
          <t>2², 4², 6⁴, 12⁵, 36²</t>
        </is>
      </c>
      <c r="L6086" t="inlineStr">
        <is>
          <t>27B¹, 63C⁶</t>
        </is>
      </c>
      <c r="M6086" t="inlineStr"/>
      <c r="N6086" t="inlineStr">
        <is>
          <t>3B⁰, 27B¹, 21B², 9C⁰, 63C⁶, 1A⁰, 7A⁰</t>
        </is>
      </c>
      <c r="O6086" t="inlineStr"/>
    </row>
    <row r="6087">
      <c r="A6087">
        <f>HYPERLINK("https://mathstats.uncg.edu/sites/pauli/congruence/csg19.html#group189C19", "189C¹⁹")</f>
        <v/>
      </c>
      <c r="B6087" t="n">
        <v>19</v>
      </c>
      <c r="C6087" t="inlineStr">
        <is>
          <t>Γ₀(189)</t>
        </is>
      </c>
      <c r="D6087" t="inlineStr">
        <is>
          <t>288</t>
        </is>
      </c>
      <c r="E6087" t="inlineStr">
        <is>
          <t>1</t>
        </is>
      </c>
      <c r="F6087" t="inlineStr">
        <is>
          <t>96</t>
        </is>
      </c>
      <c r="G6087" t="inlineStr">
        <is>
          <t>0</t>
        </is>
      </c>
      <c r="H6087" t="inlineStr">
        <is>
          <t>0</t>
        </is>
      </c>
      <c r="I6087" t="inlineStr">
        <is>
          <t>1³, 3², 7³, 21², 27¹, 189¹</t>
        </is>
      </c>
      <c r="J6087" t="n">
        <v>12</v>
      </c>
      <c r="K6087" t="inlineStr">
        <is>
          <t>1⁴, 2⁴, 6⁴, 12², 36¹</t>
        </is>
      </c>
      <c r="L6087" t="inlineStr">
        <is>
          <t>27A¹, 63A⁵</t>
        </is>
      </c>
      <c r="M6087" t="inlineStr"/>
      <c r="N6087" t="inlineStr">
        <is>
          <t>63A⁵, 3B⁰, 9B⁰, 27A¹, 21B¹, 1A⁰, 7B⁰</t>
        </is>
      </c>
      <c r="O6087" t="inlineStr"/>
    </row>
    <row r="6088">
      <c r="A6088">
        <f>HYPERLINK("https://mathstats.uncg.edu/sites/pauli/congruence/csg19.html#group189D19", "189D¹⁹")</f>
        <v/>
      </c>
      <c r="B6088" t="n">
        <v>19</v>
      </c>
      <c r="C6088" t="inlineStr"/>
      <c r="D6088" t="inlineStr">
        <is>
          <t>288</t>
        </is>
      </c>
      <c r="E6088" t="inlineStr">
        <is>
          <t>1</t>
        </is>
      </c>
      <c r="F6088" t="inlineStr">
        <is>
          <t>96</t>
        </is>
      </c>
      <c r="G6088" t="inlineStr">
        <is>
          <t>0</t>
        </is>
      </c>
      <c r="H6088" t="inlineStr">
        <is>
          <t>12</t>
        </is>
      </c>
      <c r="I6088" t="inlineStr">
        <is>
          <t>9¹, 27¹, 63¹, 189¹</t>
        </is>
      </c>
      <c r="J6088" t="n">
        <v>4</v>
      </c>
      <c r="K6088" t="inlineStr">
        <is>
          <t>1⁴, 2⁴, 6⁴, 12², 36¹</t>
        </is>
      </c>
      <c r="L6088" t="inlineStr">
        <is>
          <t>27B¹, 63B⁵</t>
        </is>
      </c>
      <c r="M6088" t="inlineStr"/>
      <c r="N6088" t="inlineStr">
        <is>
          <t>3B⁰, 21B¹, 7B⁰, 27B¹, 63B⁵, 9C⁰, 1A⁰</t>
        </is>
      </c>
      <c r="O6088" t="inlineStr"/>
    </row>
    <row r="6089">
      <c r="A6089">
        <f>HYPERLINK("https://mathstats.uncg.edu/sites/pauli/congruence/csg19.html#group189E19", "189E¹⁹")</f>
        <v/>
      </c>
      <c r="B6089" t="n">
        <v>19</v>
      </c>
      <c r="C6089" t="inlineStr"/>
      <c r="D6089" t="inlineStr">
        <is>
          <t>288</t>
        </is>
      </c>
      <c r="E6089" t="inlineStr">
        <is>
          <t>2</t>
        </is>
      </c>
      <c r="F6089" t="inlineStr">
        <is>
          <t>96</t>
        </is>
      </c>
      <c r="G6089" t="inlineStr">
        <is>
          <t>0</t>
        </is>
      </c>
      <c r="H6089" t="inlineStr">
        <is>
          <t>0</t>
        </is>
      </c>
      <c r="I6089" t="inlineStr">
        <is>
          <t>1³, 3², 7³, 21², 27¹, 189¹</t>
        </is>
      </c>
      <c r="J6089" t="n">
        <v>12</v>
      </c>
      <c r="K6089" t="inlineStr">
        <is>
          <t>2¹², 6⁴, 12⁶, 36²</t>
        </is>
      </c>
      <c r="L6089" t="inlineStr">
        <is>
          <t>63A⁵</t>
        </is>
      </c>
      <c r="M6089" t="inlineStr"/>
      <c r="N6089" t="inlineStr">
        <is>
          <t>63A⁵, 3B⁰, 9B⁰, 21B¹, 1A⁰, 7B⁰</t>
        </is>
      </c>
      <c r="O6089" t="inlineStr"/>
    </row>
    <row r="6090">
      <c r="A6090">
        <f>HYPERLINK("https://mathstats.uncg.edu/sites/pauli/congruence/csg19.html#group190A19", "190A¹⁹")</f>
        <v/>
      </c>
      <c r="B6090" t="n">
        <v>19</v>
      </c>
      <c r="C6090" t="inlineStr"/>
      <c r="D6090" t="inlineStr">
        <is>
          <t>240</t>
        </is>
      </c>
      <c r="E6090" t="inlineStr">
        <is>
          <t>1</t>
        </is>
      </c>
      <c r="F6090" t="inlineStr">
        <is>
          <t>120</t>
        </is>
      </c>
      <c r="G6090" t="inlineStr">
        <is>
          <t>0</t>
        </is>
      </c>
      <c r="H6090" t="inlineStr">
        <is>
          <t>0</t>
        </is>
      </c>
      <c r="I6090" t="inlineStr">
        <is>
          <t>2¹, 10¹, 38¹, 190¹</t>
        </is>
      </c>
      <c r="J6090" t="n">
        <v>4</v>
      </c>
      <c r="K6090" t="inlineStr">
        <is>
          <t>1⁴, 4², 18², 72¹</t>
        </is>
      </c>
      <c r="L6090" t="inlineStr">
        <is>
          <t>10B⁰, 95A⁹</t>
        </is>
      </c>
      <c r="M6090" t="inlineStr"/>
      <c r="N6090" t="inlineStr">
        <is>
          <t>5B⁰, 19A¹, 95A⁹, 1A⁰, 10B⁰</t>
        </is>
      </c>
      <c r="O6090" t="inlineStr"/>
    </row>
    <row r="6091">
      <c r="A6091">
        <f>HYPERLINK("https://mathstats.uncg.edu/sites/pauli/congruence/csg19.html#group190B19", "190B¹⁹")</f>
        <v/>
      </c>
      <c r="B6091" t="n">
        <v>19</v>
      </c>
      <c r="C6091" t="inlineStr"/>
      <c r="D6091" t="inlineStr">
        <is>
          <t>240</t>
        </is>
      </c>
      <c r="E6091" t="inlineStr">
        <is>
          <t>1</t>
        </is>
      </c>
      <c r="F6091" t="inlineStr">
        <is>
          <t>120</t>
        </is>
      </c>
      <c r="G6091" t="inlineStr">
        <is>
          <t>0</t>
        </is>
      </c>
      <c r="H6091" t="inlineStr">
        <is>
          <t>0</t>
        </is>
      </c>
      <c r="I6091" t="inlineStr">
        <is>
          <t>2¹, 10¹, 38¹, 190¹</t>
        </is>
      </c>
      <c r="J6091" t="n">
        <v>4</v>
      </c>
      <c r="K6091" t="inlineStr">
        <is>
          <t>1⁴, 4², 18², 72¹</t>
        </is>
      </c>
      <c r="L6091" t="inlineStr">
        <is>
          <t>10A¹, 38A², 95A⁹</t>
        </is>
      </c>
      <c r="M6091" t="inlineStr"/>
      <c r="N6091" t="inlineStr">
        <is>
          <t>19A¹, 2A⁰, 38A², 95A⁹, 5B⁰, 10A¹, 1A⁰</t>
        </is>
      </c>
      <c r="O6091" t="inlineStr"/>
    </row>
    <row r="6092">
      <c r="A6092">
        <f>HYPERLINK("https://mathstats.uncg.edu/sites/pauli/congruence/csg19.html#group192A19", "192A¹⁹")</f>
        <v/>
      </c>
      <c r="B6092" t="n">
        <v>19</v>
      </c>
      <c r="C6092" t="inlineStr"/>
      <c r="D6092" t="inlineStr">
        <is>
          <t>288</t>
        </is>
      </c>
      <c r="E6092" t="inlineStr">
        <is>
          <t>1</t>
        </is>
      </c>
      <c r="F6092" t="inlineStr">
        <is>
          <t>12</t>
        </is>
      </c>
      <c r="G6092" t="inlineStr">
        <is>
          <t>0</t>
        </is>
      </c>
      <c r="H6092" t="inlineStr">
        <is>
          <t>0</t>
        </is>
      </c>
      <c r="I6092" t="inlineStr">
        <is>
          <t>3⁸, 12², 48¹, 192¹</t>
        </is>
      </c>
      <c r="J6092" t="n">
        <v>12</v>
      </c>
      <c r="K6092" t="inlineStr">
        <is>
          <t>1⁴, 2², 4¹</t>
        </is>
      </c>
      <c r="L6092" t="inlineStr">
        <is>
          <t>64A³, 96A⁹</t>
        </is>
      </c>
      <c r="M6092" t="inlineStr"/>
      <c r="N6092" t="inlineStr">
        <is>
          <t>3A⁰, 96A⁹, 8C⁰, 2B⁰, 4B⁰, 1A⁰, 48B⁴, 24B², 32A¹, 16C⁰, 12B¹, 64A³, 6D⁰</t>
        </is>
      </c>
      <c r="O6092" t="inlineStr"/>
    </row>
    <row r="6093">
      <c r="A6093">
        <f>HYPERLINK("https://mathstats.uncg.edu/sites/pauli/congruence/csg19.html#group192B19", "192B¹⁹")</f>
        <v/>
      </c>
      <c r="B6093" t="n">
        <v>19</v>
      </c>
      <c r="C6093" t="inlineStr"/>
      <c r="D6093" t="inlineStr">
        <is>
          <t>288</t>
        </is>
      </c>
      <c r="E6093" t="inlineStr">
        <is>
          <t>1</t>
        </is>
      </c>
      <c r="F6093" t="inlineStr">
        <is>
          <t>12</t>
        </is>
      </c>
      <c r="G6093" t="inlineStr">
        <is>
          <t>0</t>
        </is>
      </c>
      <c r="H6093" t="inlineStr">
        <is>
          <t>0</t>
        </is>
      </c>
      <c r="I6093" t="inlineStr">
        <is>
          <t>3⁸, 12², 48¹, 192¹</t>
        </is>
      </c>
      <c r="J6093" t="n">
        <v>12</v>
      </c>
      <c r="K6093" t="inlineStr">
        <is>
          <t>1⁴, 2², 4¹</t>
        </is>
      </c>
      <c r="L6093" t="inlineStr">
        <is>
          <t>64B³, 96A⁹</t>
        </is>
      </c>
      <c r="M6093" t="inlineStr"/>
      <c r="N6093" t="inlineStr">
        <is>
          <t>24B², 32A¹, 4B⁰, 96A⁹, 16C⁰, 64B³, 8C⁰, 12B¹, 2B⁰, 3A⁰, 1A⁰, 6D⁰, 48B⁴</t>
        </is>
      </c>
      <c r="O6093" t="inlineStr"/>
    </row>
    <row r="6094">
      <c r="A6094">
        <f>HYPERLINK("https://mathstats.uncg.edu/sites/pauli/congruence/csg19.html#group192C19", "192C¹⁹")</f>
        <v/>
      </c>
      <c r="B6094" t="n">
        <v>19</v>
      </c>
      <c r="C6094" t="inlineStr"/>
      <c r="D6094" t="inlineStr">
        <is>
          <t>288</t>
        </is>
      </c>
      <c r="E6094" t="inlineStr">
        <is>
          <t>1</t>
        </is>
      </c>
      <c r="F6094" t="inlineStr">
        <is>
          <t>36</t>
        </is>
      </c>
      <c r="G6094" t="inlineStr">
        <is>
          <t>0</t>
        </is>
      </c>
      <c r="H6094" t="inlineStr">
        <is>
          <t>0</t>
        </is>
      </c>
      <c r="I6094" t="inlineStr">
        <is>
          <t>3⁸, 12², 48¹, 192¹</t>
        </is>
      </c>
      <c r="J6094" t="n">
        <v>12</v>
      </c>
      <c r="K6094" t="inlineStr">
        <is>
          <t>1⁴, 2⁶, 4³, 8¹</t>
        </is>
      </c>
      <c r="L6094" t="inlineStr">
        <is>
          <t>96A⁹</t>
        </is>
      </c>
      <c r="M6094" t="inlineStr"/>
      <c r="N6094" t="inlineStr">
        <is>
          <t>24B², 32A¹, 4B⁰, 96A⁹, 16C⁰, 8C⁰, 12B¹, 2B⁰, 3A⁰, 1A⁰, 6D⁰, 48B⁴</t>
        </is>
      </c>
      <c r="O6094" t="inlineStr"/>
    </row>
    <row r="6095">
      <c r="A6095">
        <f>HYPERLINK("https://mathstats.uncg.edu/sites/pauli/congruence/csg19.html#group192D19", "192D¹⁹")</f>
        <v/>
      </c>
      <c r="B6095" t="n">
        <v>19</v>
      </c>
      <c r="C6095" t="inlineStr"/>
      <c r="D6095" t="inlineStr">
        <is>
          <t>288</t>
        </is>
      </c>
      <c r="E6095" t="inlineStr">
        <is>
          <t>1</t>
        </is>
      </c>
      <c r="F6095" t="inlineStr">
        <is>
          <t>36</t>
        </is>
      </c>
      <c r="G6095" t="inlineStr">
        <is>
          <t>0</t>
        </is>
      </c>
      <c r="H6095" t="inlineStr">
        <is>
          <t>0</t>
        </is>
      </c>
      <c r="I6095" t="inlineStr">
        <is>
          <t>3⁸, 12², 48¹, 192¹</t>
        </is>
      </c>
      <c r="J6095" t="n">
        <v>12</v>
      </c>
      <c r="K6095" t="inlineStr">
        <is>
          <t>1⁴, 2⁶, 4³, 8¹</t>
        </is>
      </c>
      <c r="L6095" t="inlineStr">
        <is>
          <t>96A⁹</t>
        </is>
      </c>
      <c r="M6095" t="inlineStr"/>
      <c r="N6095" t="inlineStr">
        <is>
          <t>24B², 32A¹, 4B⁰, 96A⁹, 16C⁰, 8C⁰, 12B¹, 2B⁰, 3A⁰, 1A⁰, 6D⁰, 48B⁴</t>
        </is>
      </c>
      <c r="O6095" t="inlineStr"/>
    </row>
    <row r="6096">
      <c r="A6096">
        <f>HYPERLINK("https://mathstats.uncg.edu/sites/pauli/congruence/csg19.html#group192E19", "192E¹⁹")</f>
        <v/>
      </c>
      <c r="B6096" t="n">
        <v>19</v>
      </c>
      <c r="C6096" t="inlineStr"/>
      <c r="D6096" t="inlineStr">
        <is>
          <t>384</t>
        </is>
      </c>
      <c r="E6096" t="inlineStr">
        <is>
          <t>1</t>
        </is>
      </c>
      <c r="F6096" t="inlineStr">
        <is>
          <t>96</t>
        </is>
      </c>
      <c r="G6096" t="inlineStr">
        <is>
          <t>0</t>
        </is>
      </c>
      <c r="H6096" t="inlineStr">
        <is>
          <t>0</t>
        </is>
      </c>
      <c r="I6096" t="inlineStr">
        <is>
          <t>1⁸, 2⁴, 3⁸, 6⁴, 16¹, 48¹, 64¹, 192¹</t>
        </is>
      </c>
      <c r="J6096" t="n">
        <v>28</v>
      </c>
      <c r="K6096" t="inlineStr">
        <is>
          <t>2¹⁶, 4⁸, 8², 16¹</t>
        </is>
      </c>
      <c r="L6096" t="inlineStr">
        <is>
          <t>96C⁷</t>
        </is>
      </c>
      <c r="M6096" t="inlineStr"/>
      <c r="N6096" t="inlineStr">
        <is>
          <t>96C⁷, 3B⁰, 48J³, 16C⁰, 24G¹, 32A⁰, 6F⁰, 8C⁰, 2B⁰, 4B⁰, 1A⁰, 12E⁰</t>
        </is>
      </c>
      <c r="O6096" t="inlineStr"/>
    </row>
    <row r="6097">
      <c r="A6097">
        <f>HYPERLINK("https://mathstats.uncg.edu/sites/pauli/congruence/csg19.html#group192F19", "192F¹⁹")</f>
        <v/>
      </c>
      <c r="B6097" t="n">
        <v>19</v>
      </c>
      <c r="C6097" t="inlineStr"/>
      <c r="D6097" t="inlineStr">
        <is>
          <t>384</t>
        </is>
      </c>
      <c r="E6097" t="inlineStr">
        <is>
          <t>1</t>
        </is>
      </c>
      <c r="F6097" t="inlineStr">
        <is>
          <t>96</t>
        </is>
      </c>
      <c r="G6097" t="inlineStr">
        <is>
          <t>0</t>
        </is>
      </c>
      <c r="H6097" t="inlineStr">
        <is>
          <t>0</t>
        </is>
      </c>
      <c r="I6097" t="inlineStr">
        <is>
          <t>1⁸, 2⁴, 3⁸, 6⁴, 16¹, 48¹, 64¹, 192¹</t>
        </is>
      </c>
      <c r="J6097" t="n">
        <v>28</v>
      </c>
      <c r="K6097" t="inlineStr">
        <is>
          <t>2¹⁶, 4⁸, 8², 16¹</t>
        </is>
      </c>
      <c r="L6097" t="inlineStr">
        <is>
          <t>64A², 96C⁷</t>
        </is>
      </c>
      <c r="M6097" t="inlineStr"/>
      <c r="N6097" t="inlineStr">
        <is>
          <t>96C⁷, 3B⁰, 48J³, 16C⁰, 24G¹, 32A⁰, 6F⁰, 8C⁰, 2B⁰, 64A², 4B⁰, 1A⁰, 12E⁰</t>
        </is>
      </c>
      <c r="O6097" t="inlineStr"/>
    </row>
    <row r="6098">
      <c r="A6098">
        <f>HYPERLINK("https://mathstats.uncg.edu/sites/pauli/congruence/csg19.html#group198A19", "198A¹⁹")</f>
        <v/>
      </c>
      <c r="B6098" t="n">
        <v>19</v>
      </c>
      <c r="C6098" t="inlineStr"/>
      <c r="D6098" t="inlineStr">
        <is>
          <t>264</t>
        </is>
      </c>
      <c r="E6098" t="inlineStr">
        <is>
          <t>2</t>
        </is>
      </c>
      <c r="F6098" t="inlineStr">
        <is>
          <t>88</t>
        </is>
      </c>
      <c r="G6098" t="inlineStr">
        <is>
          <t>0</t>
        </is>
      </c>
      <c r="H6098" t="inlineStr">
        <is>
          <t>6</t>
        </is>
      </c>
      <c r="I6098" t="inlineStr">
        <is>
          <t>22³, 198¹</t>
        </is>
      </c>
      <c r="J6098" t="n">
        <v>4</v>
      </c>
      <c r="K6098" t="inlineStr">
        <is>
          <t>4⁴, 20⁸</t>
        </is>
      </c>
      <c r="L6098" t="inlineStr">
        <is>
          <t>18C⁰, 66E⁶</t>
        </is>
      </c>
      <c r="M6098" t="inlineStr"/>
      <c r="N6098" t="inlineStr">
        <is>
          <t>11A⁰, 18C⁰, 3B⁰, 2A⁰, 22A¹, 33B³, 6C⁰, 66E⁶, 1A⁰</t>
        </is>
      </c>
      <c r="O6098" t="inlineStr"/>
    </row>
    <row r="6099">
      <c r="A6099">
        <f>HYPERLINK("https://mathstats.uncg.edu/sites/pauli/congruence/csg19.html#group200A19", "200A¹⁹")</f>
        <v/>
      </c>
      <c r="B6099" t="n">
        <v>19</v>
      </c>
      <c r="C6099" t="inlineStr"/>
      <c r="D6099" t="inlineStr">
        <is>
          <t>240</t>
        </is>
      </c>
      <c r="E6099" t="inlineStr">
        <is>
          <t>2</t>
        </is>
      </c>
      <c r="F6099" t="inlineStr">
        <is>
          <t>120</t>
        </is>
      </c>
      <c r="G6099" t="inlineStr">
        <is>
          <t>4</t>
        </is>
      </c>
      <c r="H6099" t="inlineStr">
        <is>
          <t>0</t>
        </is>
      </c>
      <c r="I6099" t="inlineStr">
        <is>
          <t>40¹, 200¹</t>
        </is>
      </c>
      <c r="J6099" t="n">
        <v>2</v>
      </c>
      <c r="K6099" t="inlineStr">
        <is>
          <t>8⁴, 16⁸, 80⁴</t>
        </is>
      </c>
      <c r="L6099" t="inlineStr">
        <is>
          <t>40A³, 100A⁹</t>
        </is>
      </c>
      <c r="M6099" t="inlineStr"/>
      <c r="N6099" t="inlineStr">
        <is>
          <t>5B⁰, 100A⁹, 40A³, 25A², 1A⁰, 4A⁰, 20B¹</t>
        </is>
      </c>
      <c r="O6099" t="inlineStr"/>
    </row>
    <row r="6100">
      <c r="A6100">
        <f>HYPERLINK("https://mathstats.uncg.edu/sites/pauli/congruence/csg19.html#group200B19", "200B¹⁹")</f>
        <v/>
      </c>
      <c r="B6100" t="n">
        <v>19</v>
      </c>
      <c r="C6100" t="inlineStr"/>
      <c r="D6100" t="inlineStr">
        <is>
          <t>240</t>
        </is>
      </c>
      <c r="E6100" t="inlineStr">
        <is>
          <t>2</t>
        </is>
      </c>
      <c r="F6100" t="inlineStr">
        <is>
          <t>120</t>
        </is>
      </c>
      <c r="G6100" t="inlineStr">
        <is>
          <t>4</t>
        </is>
      </c>
      <c r="H6100" t="inlineStr">
        <is>
          <t>0</t>
        </is>
      </c>
      <c r="I6100" t="inlineStr">
        <is>
          <t>40¹, 200¹</t>
        </is>
      </c>
      <c r="J6100" t="n">
        <v>2</v>
      </c>
      <c r="K6100" t="inlineStr">
        <is>
          <t>8⁴, 16⁸, 80⁴</t>
        </is>
      </c>
      <c r="L6100" t="inlineStr">
        <is>
          <t>40A³, 100B⁹</t>
        </is>
      </c>
      <c r="M6100" t="inlineStr"/>
      <c r="N6100" t="inlineStr">
        <is>
          <t>40A³, 4A⁰, 100B⁹, 5B⁰, 1A⁰, 20B¹, 25B²</t>
        </is>
      </c>
      <c r="O6100" t="inlineStr"/>
    </row>
    <row r="6101">
      <c r="A6101">
        <f>HYPERLINK("https://mathstats.uncg.edu/sites/pauli/congruence/csg19.html#group200C19", "200C¹⁹")</f>
        <v/>
      </c>
      <c r="B6101" t="n">
        <v>19</v>
      </c>
      <c r="C6101" t="inlineStr"/>
      <c r="D6101" t="inlineStr">
        <is>
          <t>240</t>
        </is>
      </c>
      <c r="E6101" t="inlineStr">
        <is>
          <t>2</t>
        </is>
      </c>
      <c r="F6101" t="inlineStr">
        <is>
          <t>120</t>
        </is>
      </c>
      <c r="G6101" t="inlineStr">
        <is>
          <t>4</t>
        </is>
      </c>
      <c r="H6101" t="inlineStr">
        <is>
          <t>0</t>
        </is>
      </c>
      <c r="I6101" t="inlineStr">
        <is>
          <t>40¹, 200¹</t>
        </is>
      </c>
      <c r="J6101" t="n">
        <v>2</v>
      </c>
      <c r="K6101" t="inlineStr">
        <is>
          <t>8⁴, 16⁸, 80⁴</t>
        </is>
      </c>
      <c r="L6101" t="inlineStr">
        <is>
          <t>40A³, 100C⁹</t>
        </is>
      </c>
      <c r="M6101" t="inlineStr"/>
      <c r="N6101" t="inlineStr">
        <is>
          <t>40A³, 4A⁰, 5B⁰, 1A⁰, 25C², 20B¹, 100C⁹</t>
        </is>
      </c>
      <c r="O6101" t="inlineStr"/>
    </row>
    <row r="6102">
      <c r="A6102">
        <f>HYPERLINK("https://mathstats.uncg.edu/sites/pauli/congruence/csg19.html#group200D19", "200D¹⁹")</f>
        <v/>
      </c>
      <c r="B6102" t="n">
        <v>19</v>
      </c>
      <c r="C6102" t="inlineStr"/>
      <c r="D6102" t="inlineStr">
        <is>
          <t>240</t>
        </is>
      </c>
      <c r="E6102" t="inlineStr">
        <is>
          <t>2</t>
        </is>
      </c>
      <c r="F6102" t="inlineStr">
        <is>
          <t>120</t>
        </is>
      </c>
      <c r="G6102" t="inlineStr">
        <is>
          <t>4</t>
        </is>
      </c>
      <c r="H6102" t="inlineStr">
        <is>
          <t>0</t>
        </is>
      </c>
      <c r="I6102" t="inlineStr">
        <is>
          <t>40¹, 200¹</t>
        </is>
      </c>
      <c r="J6102" t="n">
        <v>2</v>
      </c>
      <c r="K6102" t="inlineStr">
        <is>
          <t>8⁴, 16⁸, 80⁴</t>
        </is>
      </c>
      <c r="L6102" t="inlineStr">
        <is>
          <t>40A³, 100D⁹</t>
        </is>
      </c>
      <c r="M6102" t="inlineStr"/>
      <c r="N6102" t="inlineStr">
        <is>
          <t>5B⁰, 100D⁹, 40A³, 1A⁰, 4A⁰, 20B¹, 25D²</t>
        </is>
      </c>
      <c r="O6102" t="inlineStr"/>
    </row>
    <row r="6103">
      <c r="A6103">
        <f>HYPERLINK("https://mathstats.uncg.edu/sites/pauli/congruence/csg19.html#group200E19", "200E¹⁹")</f>
        <v/>
      </c>
      <c r="B6103" t="n">
        <v>19</v>
      </c>
      <c r="C6103" t="inlineStr"/>
      <c r="D6103" t="inlineStr">
        <is>
          <t>240</t>
        </is>
      </c>
      <c r="E6103" t="inlineStr">
        <is>
          <t>2</t>
        </is>
      </c>
      <c r="F6103" t="inlineStr">
        <is>
          <t>120</t>
        </is>
      </c>
      <c r="G6103" t="inlineStr">
        <is>
          <t>4</t>
        </is>
      </c>
      <c r="H6103" t="inlineStr">
        <is>
          <t>0</t>
        </is>
      </c>
      <c r="I6103" t="inlineStr">
        <is>
          <t>40¹, 200¹</t>
        </is>
      </c>
      <c r="J6103" t="n">
        <v>2</v>
      </c>
      <c r="K6103" t="inlineStr">
        <is>
          <t>8⁴, 16⁸, 80⁴</t>
        </is>
      </c>
      <c r="L6103" t="inlineStr">
        <is>
          <t>40B³, 100A⁹</t>
        </is>
      </c>
      <c r="M6103" t="inlineStr"/>
      <c r="N6103" t="inlineStr">
        <is>
          <t>100A⁹, 25A², 4A⁰, 40B³, 5B⁰, 8A⁰, 1A⁰, 20B¹</t>
        </is>
      </c>
      <c r="O6103" t="inlineStr"/>
    </row>
    <row r="6104">
      <c r="A6104">
        <f>HYPERLINK("https://mathstats.uncg.edu/sites/pauli/congruence/csg19.html#group200F19", "200F¹⁹")</f>
        <v/>
      </c>
      <c r="B6104" t="n">
        <v>19</v>
      </c>
      <c r="C6104" t="inlineStr"/>
      <c r="D6104" t="inlineStr">
        <is>
          <t>240</t>
        </is>
      </c>
      <c r="E6104" t="inlineStr">
        <is>
          <t>2</t>
        </is>
      </c>
      <c r="F6104" t="inlineStr">
        <is>
          <t>120</t>
        </is>
      </c>
      <c r="G6104" t="inlineStr">
        <is>
          <t>4</t>
        </is>
      </c>
      <c r="H6104" t="inlineStr">
        <is>
          <t>0</t>
        </is>
      </c>
      <c r="I6104" t="inlineStr">
        <is>
          <t>40¹, 200¹</t>
        </is>
      </c>
      <c r="J6104" t="n">
        <v>2</v>
      </c>
      <c r="K6104" t="inlineStr">
        <is>
          <t>8⁴, 16⁸, 80⁴</t>
        </is>
      </c>
      <c r="L6104" t="inlineStr">
        <is>
          <t>40B³, 100B⁹</t>
        </is>
      </c>
      <c r="M6104" t="inlineStr"/>
      <c r="N6104" t="inlineStr">
        <is>
          <t>4A⁰, 40B³, 100B⁹, 8A⁰, 5B⁰, 1A⁰, 20B¹, 25B²</t>
        </is>
      </c>
      <c r="O6104" t="inlineStr"/>
    </row>
    <row r="6105">
      <c r="A6105">
        <f>HYPERLINK("https://mathstats.uncg.edu/sites/pauli/congruence/csg19.html#group200G19", "200G¹⁹")</f>
        <v/>
      </c>
      <c r="B6105" t="n">
        <v>19</v>
      </c>
      <c r="C6105" t="inlineStr"/>
      <c r="D6105" t="inlineStr">
        <is>
          <t>240</t>
        </is>
      </c>
      <c r="E6105" t="inlineStr">
        <is>
          <t>2</t>
        </is>
      </c>
      <c r="F6105" t="inlineStr">
        <is>
          <t>120</t>
        </is>
      </c>
      <c r="G6105" t="inlineStr">
        <is>
          <t>4</t>
        </is>
      </c>
      <c r="H6105" t="inlineStr">
        <is>
          <t>0</t>
        </is>
      </c>
      <c r="I6105" t="inlineStr">
        <is>
          <t>40¹, 200¹</t>
        </is>
      </c>
      <c r="J6105" t="n">
        <v>2</v>
      </c>
      <c r="K6105" t="inlineStr">
        <is>
          <t>8⁴, 16⁸, 80⁴</t>
        </is>
      </c>
      <c r="L6105" t="inlineStr">
        <is>
          <t>40B³, 100C⁹</t>
        </is>
      </c>
      <c r="M6105" t="inlineStr"/>
      <c r="N6105" t="inlineStr">
        <is>
          <t>4A⁰, 40B³, 5B⁰, 8A⁰, 1A⁰, 25C², 20B¹, 100C⁹</t>
        </is>
      </c>
      <c r="O6105" t="inlineStr"/>
    </row>
    <row r="6106">
      <c r="A6106">
        <f>HYPERLINK("https://mathstats.uncg.edu/sites/pauli/congruence/csg19.html#group200H19", "200H¹⁹")</f>
        <v/>
      </c>
      <c r="B6106" t="n">
        <v>19</v>
      </c>
      <c r="C6106" t="inlineStr"/>
      <c r="D6106" t="inlineStr">
        <is>
          <t>240</t>
        </is>
      </c>
      <c r="E6106" t="inlineStr">
        <is>
          <t>2</t>
        </is>
      </c>
      <c r="F6106" t="inlineStr">
        <is>
          <t>120</t>
        </is>
      </c>
      <c r="G6106" t="inlineStr">
        <is>
          <t>4</t>
        </is>
      </c>
      <c r="H6106" t="inlineStr">
        <is>
          <t>0</t>
        </is>
      </c>
      <c r="I6106" t="inlineStr">
        <is>
          <t>40¹, 200¹</t>
        </is>
      </c>
      <c r="J6106" t="n">
        <v>2</v>
      </c>
      <c r="K6106" t="inlineStr">
        <is>
          <t>8⁴, 16⁸, 80⁴</t>
        </is>
      </c>
      <c r="L6106" t="inlineStr">
        <is>
          <t>40B³, 100D⁹</t>
        </is>
      </c>
      <c r="M6106" t="inlineStr"/>
      <c r="N6106" t="inlineStr">
        <is>
          <t>4A⁰, 40B³, 5B⁰, 100D⁹, 8A⁰, 1A⁰, 20B¹, 25D²</t>
        </is>
      </c>
      <c r="O6106" t="inlineStr"/>
    </row>
    <row r="6107">
      <c r="A6107">
        <f>HYPERLINK("https://mathstats.uncg.edu/sites/pauli/congruence/csg19.html#group200I19", "200I¹⁹")</f>
        <v/>
      </c>
      <c r="B6107" t="n">
        <v>19</v>
      </c>
      <c r="C6107" t="inlineStr"/>
      <c r="D6107" t="inlineStr">
        <is>
          <t>360</t>
        </is>
      </c>
      <c r="E6107" t="inlineStr">
        <is>
          <t>1</t>
        </is>
      </c>
      <c r="F6107" t="inlineStr">
        <is>
          <t>180</t>
        </is>
      </c>
      <c r="G6107" t="inlineStr">
        <is>
          <t>0</t>
        </is>
      </c>
      <c r="H6107" t="inlineStr">
        <is>
          <t>0</t>
        </is>
      </c>
      <c r="I6107" t="inlineStr">
        <is>
          <t>1¹⁰, 2⁵, 8⁵, 25², 50¹, 200¹</t>
        </is>
      </c>
      <c r="J6107" t="n">
        <v>24</v>
      </c>
      <c r="K6107" t="inlineStr">
        <is>
          <t>1⁸, 2², 4⁸, 8², 20⁴, 40¹</t>
        </is>
      </c>
      <c r="L6107" t="inlineStr">
        <is>
          <t>40E³, 100C⁷</t>
        </is>
      </c>
      <c r="M6107" t="inlineStr"/>
      <c r="N6107" t="inlineStr">
        <is>
          <t>5B⁰, 10C⁰, 25A⁰, 40E³, 20D¹, 2B⁰, 4B⁰, 50B², 1A⁰, 100C⁷</t>
        </is>
      </c>
      <c r="O6107" t="inlineStr"/>
    </row>
    <row r="6108">
      <c r="A6108">
        <f>HYPERLINK("https://mathstats.uncg.edu/sites/pauli/congruence/csg19.html#group200J19", "200J¹⁹")</f>
        <v/>
      </c>
      <c r="B6108" t="n">
        <v>19</v>
      </c>
      <c r="C6108" t="inlineStr">
        <is>
          <t>Γ₀(200)</t>
        </is>
      </c>
      <c r="D6108" t="inlineStr">
        <is>
          <t>360</t>
        </is>
      </c>
      <c r="E6108" t="inlineStr">
        <is>
          <t>1</t>
        </is>
      </c>
      <c r="F6108" t="inlineStr">
        <is>
          <t>180</t>
        </is>
      </c>
      <c r="G6108" t="inlineStr">
        <is>
          <t>0</t>
        </is>
      </c>
      <c r="H6108" t="inlineStr">
        <is>
          <t>0</t>
        </is>
      </c>
      <c r="I6108" t="inlineStr">
        <is>
          <t>1¹⁰, 2⁵, 8⁵, 25², 50¹, 200¹</t>
        </is>
      </c>
      <c r="J6108" t="n">
        <v>24</v>
      </c>
      <c r="K6108" t="inlineStr">
        <is>
          <t>1⁸, 2², 4⁸, 8², 20⁴, 40¹</t>
        </is>
      </c>
      <c r="L6108" t="inlineStr">
        <is>
          <t>40F³, 100C⁷</t>
        </is>
      </c>
      <c r="M6108" t="inlineStr"/>
      <c r="N6108" t="inlineStr">
        <is>
          <t>40F³, 5B⁰, 10C⁰, 25A⁰, 20D¹, 8C⁰, 2B⁰, 4B⁰, 50B², 1A⁰, 100C⁷</t>
        </is>
      </c>
      <c r="O6108" t="inlineStr"/>
    </row>
    <row r="6109">
      <c r="A6109">
        <f>HYPERLINK("https://mathstats.uncg.edu/sites/pauli/congruence/csg19.html#group203A19", "203A¹⁹")</f>
        <v/>
      </c>
      <c r="B6109" t="n">
        <v>19</v>
      </c>
      <c r="C6109" t="inlineStr">
        <is>
          <t>Γ₀(203)</t>
        </is>
      </c>
      <c r="D6109" t="inlineStr">
        <is>
          <t>240</t>
        </is>
      </c>
      <c r="E6109" t="inlineStr">
        <is>
          <t>1</t>
        </is>
      </c>
      <c r="F6109" t="inlineStr">
        <is>
          <t>240</t>
        </is>
      </c>
      <c r="G6109" t="inlineStr">
        <is>
          <t>0</t>
        </is>
      </c>
      <c r="H6109" t="inlineStr">
        <is>
          <t>0</t>
        </is>
      </c>
      <c r="I6109" t="inlineStr">
        <is>
          <t>1¹, 7¹, 29¹, 203¹</t>
        </is>
      </c>
      <c r="J6109" t="n">
        <v>4</v>
      </c>
      <c r="K6109" t="inlineStr">
        <is>
          <t>1⁴, 6², 28², 168¹</t>
        </is>
      </c>
      <c r="L6109" t="inlineStr">
        <is>
          <t>7B⁰, 29A²</t>
        </is>
      </c>
      <c r="M6109" t="inlineStr"/>
      <c r="N6109" t="inlineStr">
        <is>
          <t>1A⁰, 7B⁰, 29A²</t>
        </is>
      </c>
      <c r="O6109" t="inlineStr"/>
    </row>
    <row r="6110">
      <c r="A6110">
        <f>HYPERLINK("https://mathstats.uncg.edu/sites/pauli/congruence/csg19.html#group205A19", "205A¹⁹")</f>
        <v/>
      </c>
      <c r="B6110" t="n">
        <v>19</v>
      </c>
      <c r="C6110" t="inlineStr">
        <is>
          <t>Γ₀(205)</t>
        </is>
      </c>
      <c r="D6110" t="inlineStr">
        <is>
          <t>252</t>
        </is>
      </c>
      <c r="E6110" t="inlineStr">
        <is>
          <t>1</t>
        </is>
      </c>
      <c r="F6110" t="inlineStr">
        <is>
          <t>252</t>
        </is>
      </c>
      <c r="G6110" t="inlineStr">
        <is>
          <t>4</t>
        </is>
      </c>
      <c r="H6110" t="inlineStr">
        <is>
          <t>0</t>
        </is>
      </c>
      <c r="I6110" t="inlineStr">
        <is>
          <t>1¹, 5¹, 41¹, 205¹</t>
        </is>
      </c>
      <c r="J6110" t="n">
        <v>4</v>
      </c>
      <c r="K6110" t="inlineStr">
        <is>
          <t>1⁴, 4², 40², 160¹</t>
        </is>
      </c>
      <c r="L6110" t="inlineStr">
        <is>
          <t>5B⁰, 41A³</t>
        </is>
      </c>
      <c r="M6110" t="inlineStr"/>
      <c r="N6110" t="inlineStr">
        <is>
          <t>5B⁰, 1A⁰, 41A³</t>
        </is>
      </c>
      <c r="O6110" t="inlineStr"/>
    </row>
    <row r="6111">
      <c r="A6111">
        <f>HYPERLINK("https://mathstats.uncg.edu/sites/pauli/congruence/csg19.html#group209A19", "209A¹⁹")</f>
        <v/>
      </c>
      <c r="B6111" t="n">
        <v>19</v>
      </c>
      <c r="C6111" t="inlineStr">
        <is>
          <t>Γ₀(209)</t>
        </is>
      </c>
      <c r="D6111" t="inlineStr">
        <is>
          <t>240</t>
        </is>
      </c>
      <c r="E6111" t="inlineStr">
        <is>
          <t>1</t>
        </is>
      </c>
      <c r="F6111" t="inlineStr">
        <is>
          <t>240</t>
        </is>
      </c>
      <c r="G6111" t="inlineStr">
        <is>
          <t>0</t>
        </is>
      </c>
      <c r="H6111" t="inlineStr">
        <is>
          <t>0</t>
        </is>
      </c>
      <c r="I6111" t="inlineStr">
        <is>
          <t>1¹, 11¹, 19¹, 209¹</t>
        </is>
      </c>
      <c r="J6111" t="n">
        <v>4</v>
      </c>
      <c r="K6111" t="inlineStr">
        <is>
          <t>1⁴, 10², 18², 180¹</t>
        </is>
      </c>
      <c r="L6111" t="inlineStr">
        <is>
          <t>11A¹, 19A¹</t>
        </is>
      </c>
      <c r="M6111" t="inlineStr"/>
      <c r="N6111" t="inlineStr">
        <is>
          <t>19A¹, 1A⁰, 11A¹</t>
        </is>
      </c>
      <c r="O6111" t="inlineStr"/>
    </row>
    <row r="6112">
      <c r="A6112">
        <f>HYPERLINK("https://mathstats.uncg.edu/sites/pauli/congruence/csg19.html#group217A19", "217A¹⁹")</f>
        <v/>
      </c>
      <c r="B6112" t="n">
        <v>19</v>
      </c>
      <c r="C6112" t="inlineStr">
        <is>
          <t>Γ₀(217)</t>
        </is>
      </c>
      <c r="D6112" t="inlineStr">
        <is>
          <t>256</t>
        </is>
      </c>
      <c r="E6112" t="inlineStr">
        <is>
          <t>1</t>
        </is>
      </c>
      <c r="F6112" t="inlineStr">
        <is>
          <t>256</t>
        </is>
      </c>
      <c r="G6112" t="inlineStr">
        <is>
          <t>0</t>
        </is>
      </c>
      <c r="H6112" t="inlineStr">
        <is>
          <t>4</t>
        </is>
      </c>
      <c r="I6112" t="inlineStr">
        <is>
          <t>1¹, 7¹, 31¹, 217¹</t>
        </is>
      </c>
      <c r="J6112" t="n">
        <v>4</v>
      </c>
      <c r="K6112" t="inlineStr">
        <is>
          <t>1⁴, 6², 30², 180¹</t>
        </is>
      </c>
      <c r="L6112" t="inlineStr">
        <is>
          <t>7B⁰, 31A²</t>
        </is>
      </c>
      <c r="M6112" t="inlineStr"/>
      <c r="N6112" t="inlineStr">
        <is>
          <t>31A², 7B⁰, 1A⁰</t>
        </is>
      </c>
      <c r="O6112" t="inlineStr"/>
    </row>
    <row r="6113">
      <c r="A6113">
        <f>HYPERLINK("https://mathstats.uncg.edu/sites/pauli/congruence/csg19.html#group220A19", "220A¹⁹")</f>
        <v/>
      </c>
      <c r="B6113" t="n">
        <v>19</v>
      </c>
      <c r="C6113" t="inlineStr"/>
      <c r="D6113" t="inlineStr">
        <is>
          <t>264</t>
        </is>
      </c>
      <c r="E6113" t="inlineStr">
        <is>
          <t>2</t>
        </is>
      </c>
      <c r="F6113" t="inlineStr">
        <is>
          <t>66</t>
        </is>
      </c>
      <c r="G6113" t="inlineStr">
        <is>
          <t>12</t>
        </is>
      </c>
      <c r="H6113" t="inlineStr">
        <is>
          <t>0</t>
        </is>
      </c>
      <c r="I6113" t="inlineStr">
        <is>
          <t>44¹, 220¹</t>
        </is>
      </c>
      <c r="J6113" t="n">
        <v>2</v>
      </c>
      <c r="K6113" t="inlineStr">
        <is>
          <t>4², 16¹, 20⁴, 80²</t>
        </is>
      </c>
      <c r="L6113" t="inlineStr">
        <is>
          <t>20C¹, 110A⁸</t>
        </is>
      </c>
      <c r="M6113" t="inlineStr"/>
      <c r="N6113" t="inlineStr">
        <is>
          <t>11A⁰, 20C¹, 55A⁴, 110A⁸, 5B⁰, 1A⁰, 10B⁰</t>
        </is>
      </c>
      <c r="O6113" t="inlineStr"/>
    </row>
    <row r="6114">
      <c r="A6114">
        <f>HYPERLINK("https://mathstats.uncg.edu/sites/pauli/congruence/csg19.html#group220B19", "220B¹⁹")</f>
        <v/>
      </c>
      <c r="B6114" t="n">
        <v>19</v>
      </c>
      <c r="C6114" t="inlineStr"/>
      <c r="D6114" t="inlineStr">
        <is>
          <t>264</t>
        </is>
      </c>
      <c r="E6114" t="inlineStr">
        <is>
          <t>2</t>
        </is>
      </c>
      <c r="F6114" t="inlineStr">
        <is>
          <t>66</t>
        </is>
      </c>
      <c r="G6114" t="inlineStr">
        <is>
          <t>12</t>
        </is>
      </c>
      <c r="H6114" t="inlineStr">
        <is>
          <t>0</t>
        </is>
      </c>
      <c r="I6114" t="inlineStr">
        <is>
          <t>44¹, 220¹</t>
        </is>
      </c>
      <c r="J6114" t="n">
        <v>2</v>
      </c>
      <c r="K6114" t="inlineStr">
        <is>
          <t>4², 16¹, 20⁴, 80²</t>
        </is>
      </c>
      <c r="L6114" t="inlineStr">
        <is>
          <t>20C¹, 110A⁸</t>
        </is>
      </c>
      <c r="M6114" t="inlineStr"/>
      <c r="N6114" t="inlineStr">
        <is>
          <t>11A⁰, 20C¹, 55A⁴, 110A⁸, 5B⁰, 1A⁰, 10B⁰</t>
        </is>
      </c>
      <c r="O6114" t="inlineStr"/>
    </row>
    <row r="6115">
      <c r="A6115">
        <f>HYPERLINK("https://mathstats.uncg.edu/sites/pauli/congruence/csg19.html#group220C19", "220C¹⁹")</f>
        <v/>
      </c>
      <c r="B6115" t="n">
        <v>19</v>
      </c>
      <c r="C6115" t="inlineStr"/>
      <c r="D6115" t="inlineStr">
        <is>
          <t>264</t>
        </is>
      </c>
      <c r="E6115" t="inlineStr">
        <is>
          <t>2</t>
        </is>
      </c>
      <c r="F6115" t="inlineStr">
        <is>
          <t>264</t>
        </is>
      </c>
      <c r="G6115" t="inlineStr">
        <is>
          <t>12</t>
        </is>
      </c>
      <c r="H6115" t="inlineStr">
        <is>
          <t>0</t>
        </is>
      </c>
      <c r="I6115" t="inlineStr">
        <is>
          <t>44¹, 220¹</t>
        </is>
      </c>
      <c r="J6115" t="n">
        <v>2</v>
      </c>
      <c r="K6115" t="inlineStr">
        <is>
          <t>4⁴, 16², 20⁸, 80⁴</t>
        </is>
      </c>
      <c r="L6115" t="inlineStr">
        <is>
          <t>20B¹, 44A², 55A⁴</t>
        </is>
      </c>
      <c r="M6115" t="inlineStr"/>
      <c r="N6115" t="inlineStr">
        <is>
          <t>11A⁰, 55A⁴, 44A², 4A⁰, 5B⁰, 1A⁰, 20B¹</t>
        </is>
      </c>
      <c r="O6115" t="inlineStr"/>
    </row>
    <row r="6116">
      <c r="A6116">
        <f>HYPERLINK("https://mathstats.uncg.edu/sites/pauli/congruence/csg19.html#group221A19", "221A¹⁹")</f>
        <v/>
      </c>
      <c r="B6116" t="n">
        <v>19</v>
      </c>
      <c r="C6116" t="inlineStr">
        <is>
          <t>Γ₀(221)</t>
        </is>
      </c>
      <c r="D6116" t="inlineStr">
        <is>
          <t>252</t>
        </is>
      </c>
      <c r="E6116" t="inlineStr">
        <is>
          <t>1</t>
        </is>
      </c>
      <c r="F6116" t="inlineStr">
        <is>
          <t>252</t>
        </is>
      </c>
      <c r="G6116" t="inlineStr">
        <is>
          <t>4</t>
        </is>
      </c>
      <c r="H6116" t="inlineStr">
        <is>
          <t>0</t>
        </is>
      </c>
      <c r="I6116" t="inlineStr">
        <is>
          <t>1¹, 13¹, 17¹, 221¹</t>
        </is>
      </c>
      <c r="J6116" t="n">
        <v>4</v>
      </c>
      <c r="K6116" t="inlineStr">
        <is>
          <t>1⁴, 12², 16², 192¹</t>
        </is>
      </c>
      <c r="L6116" t="inlineStr">
        <is>
          <t>13A⁰, 17A¹</t>
        </is>
      </c>
      <c r="M6116" t="inlineStr"/>
      <c r="N6116" t="inlineStr">
        <is>
          <t>13A⁰, 1A⁰, 17A¹</t>
        </is>
      </c>
      <c r="O6116" t="inlineStr"/>
    </row>
    <row r="6117">
      <c r="A6117">
        <f>HYPERLINK("https://mathstats.uncg.edu/sites/pauli/congruence/csg19.html#group222A19", "222A¹⁹")</f>
        <v/>
      </c>
      <c r="B6117" t="n">
        <v>19</v>
      </c>
      <c r="C6117" t="inlineStr"/>
      <c r="D6117" t="inlineStr">
        <is>
          <t>228</t>
        </is>
      </c>
      <c r="E6117" t="inlineStr">
        <is>
          <t>1</t>
        </is>
      </c>
      <c r="F6117" t="inlineStr">
        <is>
          <t>38</t>
        </is>
      </c>
      <c r="G6117" t="inlineStr">
        <is>
          <t>0</t>
        </is>
      </c>
      <c r="H6117" t="inlineStr">
        <is>
          <t>0</t>
        </is>
      </c>
      <c r="I6117" t="inlineStr">
        <is>
          <t>6¹, 222¹</t>
        </is>
      </c>
      <c r="J6117" t="n">
        <v>2</v>
      </c>
      <c r="K6117" t="inlineStr">
        <is>
          <t>1², 36¹</t>
        </is>
      </c>
      <c r="L6117" t="inlineStr">
        <is>
          <t>6A¹, 74A⁵, 111A⁸</t>
        </is>
      </c>
      <c r="M6117" t="inlineStr"/>
      <c r="N6117" t="inlineStr">
        <is>
          <t>37A², 2A⁰, 74A⁵, 111A⁸, 6A¹, 3A⁰, 1A⁰</t>
        </is>
      </c>
      <c r="O6117" t="inlineStr"/>
    </row>
    <row r="6118">
      <c r="A6118">
        <f>HYPERLINK("https://mathstats.uncg.edu/sites/pauli/congruence/csg19.html#group222B19", "222B¹⁹")</f>
        <v/>
      </c>
      <c r="B6118" t="n">
        <v>19</v>
      </c>
      <c r="C6118" t="inlineStr"/>
      <c r="D6118" t="inlineStr">
        <is>
          <t>228</t>
        </is>
      </c>
      <c r="E6118" t="inlineStr">
        <is>
          <t>2</t>
        </is>
      </c>
      <c r="F6118" t="inlineStr">
        <is>
          <t>38</t>
        </is>
      </c>
      <c r="G6118" t="inlineStr">
        <is>
          <t>0</t>
        </is>
      </c>
      <c r="H6118" t="inlineStr">
        <is>
          <t>0</t>
        </is>
      </c>
      <c r="I6118" t="inlineStr">
        <is>
          <t>6¹, 222¹</t>
        </is>
      </c>
      <c r="J6118" t="n">
        <v>2</v>
      </c>
      <c r="K6118" t="inlineStr">
        <is>
          <t>2², 72¹</t>
        </is>
      </c>
      <c r="L6118" t="inlineStr">
        <is>
          <t>74A⁵, 111B⁸</t>
        </is>
      </c>
      <c r="M6118" t="inlineStr"/>
      <c r="N6118" t="inlineStr">
        <is>
          <t>37A², 74A⁵, 2A⁰, 111B⁸, 1A⁰</t>
        </is>
      </c>
      <c r="O6118" t="inlineStr"/>
    </row>
    <row r="6119">
      <c r="A6119">
        <f>HYPERLINK("https://mathstats.uncg.edu/sites/pauli/congruence/csg19.html#group224A19", "224A¹⁹")</f>
        <v/>
      </c>
      <c r="B6119" t="n">
        <v>19</v>
      </c>
      <c r="C6119" t="inlineStr"/>
      <c r="D6119" t="inlineStr">
        <is>
          <t>336</t>
        </is>
      </c>
      <c r="E6119" t="inlineStr">
        <is>
          <t>2</t>
        </is>
      </c>
      <c r="F6119" t="inlineStr">
        <is>
          <t>84</t>
        </is>
      </c>
      <c r="G6119" t="inlineStr">
        <is>
          <t>36</t>
        </is>
      </c>
      <c r="H6119" t="inlineStr">
        <is>
          <t>0</t>
        </is>
      </c>
      <c r="I6119" t="inlineStr">
        <is>
          <t>112¹, 224¹</t>
        </is>
      </c>
      <c r="J6119" t="n">
        <v>2</v>
      </c>
      <c r="K6119" t="inlineStr">
        <is>
          <t>4⁶, 12¹²</t>
        </is>
      </c>
      <c r="L6119" t="inlineStr">
        <is>
          <t>32B¹, 112B⁸</t>
        </is>
      </c>
      <c r="M6119" t="inlineStr"/>
      <c r="N6119" t="inlineStr">
        <is>
          <t>14B¹, 4C⁰, 8B⁰, 2B⁰, 1A⁰, 16B⁰, 28C², 32B¹, 112B⁸, 7A⁰, 56B⁴</t>
        </is>
      </c>
      <c r="O6119" t="inlineStr"/>
    </row>
    <row r="6120">
      <c r="A6120">
        <f>HYPERLINK("https://mathstats.uncg.edu/sites/pauli/congruence/csg19.html#group225A19", "225A¹⁹")</f>
        <v/>
      </c>
      <c r="B6120" t="n">
        <v>19</v>
      </c>
      <c r="C6120" t="inlineStr">
        <is>
          <t>Γ₀(225)</t>
        </is>
      </c>
      <c r="D6120" t="inlineStr">
        <is>
          <t>360</t>
        </is>
      </c>
      <c r="E6120" t="inlineStr">
        <is>
          <t>1</t>
        </is>
      </c>
      <c r="F6120" t="inlineStr">
        <is>
          <t>120</t>
        </is>
      </c>
      <c r="G6120" t="inlineStr">
        <is>
          <t>0</t>
        </is>
      </c>
      <c r="H6120" t="inlineStr">
        <is>
          <t>0</t>
        </is>
      </c>
      <c r="I6120" t="inlineStr">
        <is>
          <t>1¹⁵, 9⁵, 25³, 225¹</t>
        </is>
      </c>
      <c r="J6120" t="n">
        <v>24</v>
      </c>
      <c r="K6120" t="inlineStr">
        <is>
          <t>1⁴, 2², 4⁴, 8², 20², 40¹</t>
        </is>
      </c>
      <c r="L6120" t="inlineStr">
        <is>
          <t>45D³, 75A⁵</t>
        </is>
      </c>
      <c r="M6120" t="inlineStr"/>
      <c r="N6120" t="inlineStr">
        <is>
          <t>3B⁰, 15C¹, 75A⁵, 5B⁰, 9B⁰, 45D³, 25A⁰, 1A⁰</t>
        </is>
      </c>
      <c r="O6120" t="inlineStr"/>
    </row>
    <row r="6121">
      <c r="A6121">
        <f>HYPERLINK("https://mathstats.uncg.edu/sites/pauli/congruence/csg19.html#group226A19", "226A¹⁹")</f>
        <v/>
      </c>
      <c r="B6121" t="n">
        <v>19</v>
      </c>
      <c r="C6121" t="inlineStr"/>
      <c r="D6121" t="inlineStr">
        <is>
          <t>228</t>
        </is>
      </c>
      <c r="E6121" t="inlineStr">
        <is>
          <t>1</t>
        </is>
      </c>
      <c r="F6121" t="inlineStr">
        <is>
          <t>114</t>
        </is>
      </c>
      <c r="G6121" t="inlineStr">
        <is>
          <t>0</t>
        </is>
      </c>
      <c r="H6121" t="inlineStr">
        <is>
          <t>0</t>
        </is>
      </c>
      <c r="I6121" t="inlineStr">
        <is>
          <t>2¹, 226¹</t>
        </is>
      </c>
      <c r="J6121" t="n">
        <v>2</v>
      </c>
      <c r="K6121" t="inlineStr">
        <is>
          <t>1², 112¹</t>
        </is>
      </c>
      <c r="L6121" t="inlineStr">
        <is>
          <t>113A⁹</t>
        </is>
      </c>
      <c r="M6121" t="inlineStr"/>
      <c r="N6121" t="inlineStr">
        <is>
          <t>1A⁰, 113A⁹</t>
        </is>
      </c>
      <c r="O6121" t="inlineStr"/>
    </row>
    <row r="6122">
      <c r="A6122">
        <f>HYPERLINK("https://mathstats.uncg.edu/sites/pauli/congruence/csg19.html#group226B19", "226B¹⁹")</f>
        <v/>
      </c>
      <c r="B6122" t="n">
        <v>19</v>
      </c>
      <c r="C6122" t="inlineStr"/>
      <c r="D6122" t="inlineStr">
        <is>
          <t>228</t>
        </is>
      </c>
      <c r="E6122" t="inlineStr">
        <is>
          <t>1</t>
        </is>
      </c>
      <c r="F6122" t="inlineStr">
        <is>
          <t>114</t>
        </is>
      </c>
      <c r="G6122" t="inlineStr">
        <is>
          <t>0</t>
        </is>
      </c>
      <c r="H6122" t="inlineStr">
        <is>
          <t>0</t>
        </is>
      </c>
      <c r="I6122" t="inlineStr">
        <is>
          <t>2¹, 226¹</t>
        </is>
      </c>
      <c r="J6122" t="n">
        <v>2</v>
      </c>
      <c r="K6122" t="inlineStr">
        <is>
          <t>1², 112¹</t>
        </is>
      </c>
      <c r="L6122" t="inlineStr">
        <is>
          <t>2A⁰, 113A⁹</t>
        </is>
      </c>
      <c r="M6122" t="inlineStr"/>
      <c r="N6122" t="inlineStr">
        <is>
          <t>2A⁰, 1A⁰, 113A⁹</t>
        </is>
      </c>
      <c r="O6122" t="inlineStr"/>
    </row>
    <row r="6123">
      <c r="A6123">
        <f>HYPERLINK("https://mathstats.uncg.edu/sites/pauli/congruence/csg19.html#group227A19", "227A¹⁹")</f>
        <v/>
      </c>
      <c r="B6123" t="n">
        <v>19</v>
      </c>
      <c r="C6123" t="inlineStr">
        <is>
          <t>Γ₀(227)</t>
        </is>
      </c>
      <c r="D6123" t="inlineStr">
        <is>
          <t>228</t>
        </is>
      </c>
      <c r="E6123" t="inlineStr">
        <is>
          <t>1</t>
        </is>
      </c>
      <c r="F6123" t="inlineStr">
        <is>
          <t>228</t>
        </is>
      </c>
      <c r="G6123" t="inlineStr">
        <is>
          <t>0</t>
        </is>
      </c>
      <c r="H6123" t="inlineStr">
        <is>
          <t>0</t>
        </is>
      </c>
      <c r="I6123" t="inlineStr">
        <is>
          <t>1¹, 227¹</t>
        </is>
      </c>
      <c r="J6123" t="n">
        <v>2</v>
      </c>
      <c r="K6123" t="inlineStr">
        <is>
          <t>1², 226¹</t>
        </is>
      </c>
      <c r="L6123" t="inlineStr">
        <is>
          <t>1A⁰</t>
        </is>
      </c>
      <c r="M6123" t="inlineStr"/>
      <c r="N6123" t="inlineStr">
        <is>
          <t>1A⁰</t>
        </is>
      </c>
      <c r="O6123" t="inlineStr"/>
    </row>
    <row r="6124">
      <c r="A6124">
        <f>HYPERLINK("https://mathstats.uncg.edu/sites/pauli/congruence/csg19.html#group232A19", "232A¹⁹")</f>
        <v/>
      </c>
      <c r="B6124" t="n">
        <v>19</v>
      </c>
      <c r="C6124" t="inlineStr"/>
      <c r="D6124" t="inlineStr">
        <is>
          <t>240</t>
        </is>
      </c>
      <c r="E6124" t="inlineStr">
        <is>
          <t>2</t>
        </is>
      </c>
      <c r="F6124" t="inlineStr">
        <is>
          <t>120</t>
        </is>
      </c>
      <c r="G6124" t="inlineStr">
        <is>
          <t>4</t>
        </is>
      </c>
      <c r="H6124" t="inlineStr">
        <is>
          <t>0</t>
        </is>
      </c>
      <c r="I6124" t="inlineStr">
        <is>
          <t>8¹, 232¹</t>
        </is>
      </c>
      <c r="J6124" t="n">
        <v>2</v>
      </c>
      <c r="K6124" t="inlineStr">
        <is>
          <t>4⁴, 112²</t>
        </is>
      </c>
      <c r="L6124" t="inlineStr">
        <is>
          <t>116A⁹</t>
        </is>
      </c>
      <c r="M6124" t="inlineStr"/>
      <c r="N6124" t="inlineStr">
        <is>
          <t>1A⁰, 116A⁹, 29A², 4A⁰</t>
        </is>
      </c>
      <c r="O6124" t="inlineStr"/>
    </row>
    <row r="6125">
      <c r="A6125">
        <f>HYPERLINK("https://mathstats.uncg.edu/sites/pauli/congruence/csg19.html#group232B19", "232B¹⁹")</f>
        <v/>
      </c>
      <c r="B6125" t="n">
        <v>19</v>
      </c>
      <c r="C6125" t="inlineStr"/>
      <c r="D6125" t="inlineStr">
        <is>
          <t>240</t>
        </is>
      </c>
      <c r="E6125" t="inlineStr">
        <is>
          <t>2</t>
        </is>
      </c>
      <c r="F6125" t="inlineStr">
        <is>
          <t>120</t>
        </is>
      </c>
      <c r="G6125" t="inlineStr">
        <is>
          <t>4</t>
        </is>
      </c>
      <c r="H6125" t="inlineStr">
        <is>
          <t>0</t>
        </is>
      </c>
      <c r="I6125" t="inlineStr">
        <is>
          <t>8¹, 232¹</t>
        </is>
      </c>
      <c r="J6125" t="n">
        <v>2</v>
      </c>
      <c r="K6125" t="inlineStr">
        <is>
          <t>4⁴, 112²</t>
        </is>
      </c>
      <c r="L6125" t="inlineStr">
        <is>
          <t>8A⁰, 116A⁹</t>
        </is>
      </c>
      <c r="M6125" t="inlineStr"/>
      <c r="N6125" t="inlineStr">
        <is>
          <t>8A⁰, 116A⁹, 1A⁰, 4A⁰, 29A²</t>
        </is>
      </c>
      <c r="O6125" t="inlineStr"/>
    </row>
    <row r="6126">
      <c r="A6126">
        <f>HYPERLINK("https://mathstats.uncg.edu/sites/pauli/congruence/csg19.html#group233A19", "233A¹⁹")</f>
        <v/>
      </c>
      <c r="B6126" t="n">
        <v>19</v>
      </c>
      <c r="C6126" t="inlineStr">
        <is>
          <t>Γ₀(233)</t>
        </is>
      </c>
      <c r="D6126" t="inlineStr">
        <is>
          <t>234</t>
        </is>
      </c>
      <c r="E6126" t="inlineStr">
        <is>
          <t>1</t>
        </is>
      </c>
      <c r="F6126" t="inlineStr">
        <is>
          <t>234</t>
        </is>
      </c>
      <c r="G6126" t="inlineStr">
        <is>
          <t>2</t>
        </is>
      </c>
      <c r="H6126" t="inlineStr">
        <is>
          <t>0</t>
        </is>
      </c>
      <c r="I6126" t="inlineStr">
        <is>
          <t>1¹, 233¹</t>
        </is>
      </c>
      <c r="J6126" t="n">
        <v>2</v>
      </c>
      <c r="K6126" t="inlineStr">
        <is>
          <t>1², 232¹</t>
        </is>
      </c>
      <c r="L6126" t="inlineStr">
        <is>
          <t>1A⁰</t>
        </is>
      </c>
      <c r="M6126" t="inlineStr"/>
      <c r="N6126" t="inlineStr">
        <is>
          <t>1A⁰</t>
        </is>
      </c>
      <c r="O6126" t="inlineStr"/>
    </row>
    <row r="6127">
      <c r="A6127">
        <f>HYPERLINK("https://mathstats.uncg.edu/sites/pauli/congruence/csg19.html#group234A19", "234A¹⁹")</f>
        <v/>
      </c>
      <c r="B6127" t="n">
        <v>19</v>
      </c>
      <c r="C6127" t="inlineStr"/>
      <c r="D6127" t="inlineStr">
        <is>
          <t>252</t>
        </is>
      </c>
      <c r="E6127" t="inlineStr">
        <is>
          <t>1</t>
        </is>
      </c>
      <c r="F6127" t="inlineStr">
        <is>
          <t>126</t>
        </is>
      </c>
      <c r="G6127" t="inlineStr">
        <is>
          <t>8</t>
        </is>
      </c>
      <c r="H6127" t="inlineStr">
        <is>
          <t>0</t>
        </is>
      </c>
      <c r="I6127" t="inlineStr">
        <is>
          <t>18¹, 234¹</t>
        </is>
      </c>
      <c r="J6127" t="n">
        <v>2</v>
      </c>
      <c r="K6127" t="inlineStr">
        <is>
          <t>1², 2², 6², 12¹, 24¹, 72¹</t>
        </is>
      </c>
      <c r="L6127" t="inlineStr">
        <is>
          <t>18A¹, 78B⁵, 117A⁸</t>
        </is>
      </c>
      <c r="M6127" t="inlineStr"/>
      <c r="N6127" t="inlineStr">
        <is>
          <t>117A⁸, 39A², 6B⁰, 78B⁵, 9A⁰, 13A⁰, 3A⁰, 1A⁰, 18A¹</t>
        </is>
      </c>
      <c r="O6127" t="inlineStr"/>
    </row>
    <row r="6128">
      <c r="A6128">
        <f>HYPERLINK("https://mathstats.uncg.edu/sites/pauli/congruence/csg19.html#group234B19", "234B¹⁹")</f>
        <v/>
      </c>
      <c r="B6128" t="n">
        <v>19</v>
      </c>
      <c r="C6128" t="inlineStr"/>
      <c r="D6128" t="inlineStr">
        <is>
          <t>252</t>
        </is>
      </c>
      <c r="E6128" t="inlineStr">
        <is>
          <t>1</t>
        </is>
      </c>
      <c r="F6128" t="inlineStr">
        <is>
          <t>252</t>
        </is>
      </c>
      <c r="G6128" t="inlineStr">
        <is>
          <t>8</t>
        </is>
      </c>
      <c r="H6128" t="inlineStr">
        <is>
          <t>0</t>
        </is>
      </c>
      <c r="I6128" t="inlineStr">
        <is>
          <t>18¹, 234¹</t>
        </is>
      </c>
      <c r="J6128" t="n">
        <v>2</v>
      </c>
      <c r="K6128" t="inlineStr">
        <is>
          <t>2⁶, 6⁴, 24³, 72²</t>
        </is>
      </c>
      <c r="L6128" t="inlineStr">
        <is>
          <t>18B¹, 78B⁵</t>
        </is>
      </c>
      <c r="M6128" t="inlineStr"/>
      <c r="N6128" t="inlineStr">
        <is>
          <t>39A², 6B⁰, 78B⁵, 13A⁰, 18B¹, 3A⁰, 1A⁰</t>
        </is>
      </c>
      <c r="O6128" t="inlineStr"/>
    </row>
    <row r="6129">
      <c r="A6129">
        <f>HYPERLINK("https://mathstats.uncg.edu/sites/pauli/congruence/csg19.html#group237A19", "237A¹⁹")</f>
        <v/>
      </c>
      <c r="B6129" t="n">
        <v>19</v>
      </c>
      <c r="C6129" t="inlineStr"/>
      <c r="D6129" t="inlineStr">
        <is>
          <t>240</t>
        </is>
      </c>
      <c r="E6129" t="inlineStr">
        <is>
          <t>2</t>
        </is>
      </c>
      <c r="F6129" t="inlineStr">
        <is>
          <t>80</t>
        </is>
      </c>
      <c r="G6129" t="inlineStr">
        <is>
          <t>0</t>
        </is>
      </c>
      <c r="H6129" t="inlineStr">
        <is>
          <t>3</t>
        </is>
      </c>
      <c r="I6129" t="inlineStr">
        <is>
          <t>3¹, 237¹</t>
        </is>
      </c>
      <c r="J6129" t="n">
        <v>2</v>
      </c>
      <c r="K6129" t="inlineStr">
        <is>
          <t>2², 156¹</t>
        </is>
      </c>
      <c r="L6129" t="inlineStr">
        <is>
          <t>79A⁶</t>
        </is>
      </c>
      <c r="M6129" t="inlineStr"/>
      <c r="N6129" t="inlineStr">
        <is>
          <t>79A⁶, 1A⁰</t>
        </is>
      </c>
      <c r="O6129" t="inlineStr"/>
    </row>
    <row r="6130">
      <c r="A6130">
        <f>HYPERLINK("https://mathstats.uncg.edu/sites/pauli/congruence/csg19.html#group238A19", "238A¹⁹")</f>
        <v/>
      </c>
      <c r="B6130" t="n">
        <v>19</v>
      </c>
      <c r="C6130" t="inlineStr"/>
      <c r="D6130" t="inlineStr">
        <is>
          <t>252</t>
        </is>
      </c>
      <c r="E6130" t="inlineStr">
        <is>
          <t>2</t>
        </is>
      </c>
      <c r="F6130" t="inlineStr">
        <is>
          <t>126</t>
        </is>
      </c>
      <c r="G6130" t="inlineStr">
        <is>
          <t>8</t>
        </is>
      </c>
      <c r="H6130" t="inlineStr">
        <is>
          <t>0</t>
        </is>
      </c>
      <c r="I6130" t="inlineStr">
        <is>
          <t>14¹, 238¹</t>
        </is>
      </c>
      <c r="J6130" t="n">
        <v>2</v>
      </c>
      <c r="K6130" t="inlineStr">
        <is>
          <t>2², 6⁴, 32¹, 96²</t>
        </is>
      </c>
      <c r="L6130" t="inlineStr">
        <is>
          <t>119A⁹</t>
        </is>
      </c>
      <c r="M6130" t="inlineStr"/>
      <c r="N6130" t="inlineStr">
        <is>
          <t>119A⁹, 1A⁰, 17A¹, 7A⁰</t>
        </is>
      </c>
      <c r="O6130" t="inlineStr"/>
    </row>
    <row r="6131">
      <c r="A6131">
        <f>HYPERLINK("https://mathstats.uncg.edu/sites/pauli/congruence/csg19.html#group238B19", "238B¹⁹")</f>
        <v/>
      </c>
      <c r="B6131" t="n">
        <v>19</v>
      </c>
      <c r="C6131" t="inlineStr"/>
      <c r="D6131" t="inlineStr">
        <is>
          <t>252</t>
        </is>
      </c>
      <c r="E6131" t="inlineStr">
        <is>
          <t>2</t>
        </is>
      </c>
      <c r="F6131" t="inlineStr">
        <is>
          <t>126</t>
        </is>
      </c>
      <c r="G6131" t="inlineStr">
        <is>
          <t>8</t>
        </is>
      </c>
      <c r="H6131" t="inlineStr">
        <is>
          <t>0</t>
        </is>
      </c>
      <c r="I6131" t="inlineStr">
        <is>
          <t>14¹, 238¹</t>
        </is>
      </c>
      <c r="J6131" t="n">
        <v>2</v>
      </c>
      <c r="K6131" t="inlineStr">
        <is>
          <t>2², 6⁴, 32¹, 96²</t>
        </is>
      </c>
      <c r="L6131" t="inlineStr">
        <is>
          <t>14A⁰, 119A⁹</t>
        </is>
      </c>
      <c r="M6131" t="inlineStr"/>
      <c r="N6131" t="inlineStr">
        <is>
          <t>119A⁹, 14A⁰, 17A¹, 1A⁰, 7A⁰</t>
        </is>
      </c>
      <c r="O6131" t="inlineStr"/>
    </row>
    <row r="6132">
      <c r="A6132">
        <f>HYPERLINK("https://mathstats.uncg.edu/sites/pauli/congruence/csg19.html#group240A19", "240A¹⁹")</f>
        <v/>
      </c>
      <c r="B6132" t="n">
        <v>19</v>
      </c>
      <c r="C6132" t="inlineStr"/>
      <c r="D6132" t="inlineStr">
        <is>
          <t>240</t>
        </is>
      </c>
      <c r="E6132" t="inlineStr">
        <is>
          <t>2</t>
        </is>
      </c>
      <c r="F6132" t="inlineStr">
        <is>
          <t>40</t>
        </is>
      </c>
      <c r="G6132" t="inlineStr">
        <is>
          <t>6</t>
        </is>
      </c>
      <c r="H6132" t="inlineStr">
        <is>
          <t>0</t>
        </is>
      </c>
      <c r="I6132" t="inlineStr">
        <is>
          <t>240¹</t>
        </is>
      </c>
      <c r="J6132" t="n">
        <v>1</v>
      </c>
      <c r="K6132" t="inlineStr">
        <is>
          <t>8², 32²</t>
        </is>
      </c>
      <c r="L6132" t="inlineStr">
        <is>
          <t>48A³, 80A⁴, 120A⁹</t>
        </is>
      </c>
      <c r="M6132" t="inlineStr"/>
      <c r="N6132" t="inlineStr">
        <is>
          <t>120A⁹, 5A⁰, 80A⁴, 48A³, 12A⁰, 24A¹, 16A⁰, 4A⁰, 60A⁴, 8A⁰, 20A¹, 3A⁰, 1A⁰, 40A², 15A¹</t>
        </is>
      </c>
      <c r="O6132" t="inlineStr"/>
    </row>
    <row r="6133">
      <c r="A6133">
        <f>HYPERLINK("https://mathstats.uncg.edu/sites/pauli/congruence/csg19.html#group240B19", "240B¹⁹")</f>
        <v/>
      </c>
      <c r="B6133" t="n">
        <v>19</v>
      </c>
      <c r="C6133" t="inlineStr"/>
      <c r="D6133" t="inlineStr">
        <is>
          <t>240</t>
        </is>
      </c>
      <c r="E6133" t="inlineStr">
        <is>
          <t>2</t>
        </is>
      </c>
      <c r="F6133" t="inlineStr">
        <is>
          <t>120</t>
        </is>
      </c>
      <c r="G6133" t="inlineStr">
        <is>
          <t>6</t>
        </is>
      </c>
      <c r="H6133" t="inlineStr">
        <is>
          <t>0</t>
        </is>
      </c>
      <c r="I6133" t="inlineStr">
        <is>
          <t>240¹</t>
        </is>
      </c>
      <c r="J6133" t="n">
        <v>1</v>
      </c>
      <c r="K6133" t="inlineStr">
        <is>
          <t>8², 16², 32², 64²</t>
        </is>
      </c>
      <c r="L6133" t="inlineStr">
        <is>
          <t>48B³, 120A⁹</t>
        </is>
      </c>
      <c r="M6133" t="inlineStr"/>
      <c r="N6133" t="inlineStr">
        <is>
          <t>120A⁹, 5A⁰, 12A⁰, 24A¹, 4A⁰, 60A⁴, 8A⁰, 20A¹, 3A⁰, 1A⁰, 40A², 15A¹, 48B³</t>
        </is>
      </c>
      <c r="O6133" t="inlineStr"/>
    </row>
    <row r="6134">
      <c r="A6134">
        <f>HYPERLINK("https://mathstats.uncg.edu/sites/pauli/congruence/csg19.html#group241A19", "241A¹⁹")</f>
        <v/>
      </c>
      <c r="B6134" t="n">
        <v>19</v>
      </c>
      <c r="C6134" t="inlineStr">
        <is>
          <t>Γ₀(241)</t>
        </is>
      </c>
      <c r="D6134" t="inlineStr">
        <is>
          <t>242</t>
        </is>
      </c>
      <c r="E6134" t="inlineStr">
        <is>
          <t>1</t>
        </is>
      </c>
      <c r="F6134" t="inlineStr">
        <is>
          <t>242</t>
        </is>
      </c>
      <c r="G6134" t="inlineStr">
        <is>
          <t>2</t>
        </is>
      </c>
      <c r="H6134" t="inlineStr">
        <is>
          <t>2</t>
        </is>
      </c>
      <c r="I6134" t="inlineStr">
        <is>
          <t>1¹, 241¹</t>
        </is>
      </c>
      <c r="J6134" t="n">
        <v>2</v>
      </c>
      <c r="K6134" t="inlineStr">
        <is>
          <t>1², 240¹</t>
        </is>
      </c>
      <c r="L6134" t="inlineStr">
        <is>
          <t>1A⁰</t>
        </is>
      </c>
      <c r="M6134" t="inlineStr"/>
      <c r="N6134" t="inlineStr">
        <is>
          <t>1A⁰</t>
        </is>
      </c>
      <c r="O6134" t="inlineStr"/>
    </row>
    <row r="6135">
      <c r="A6135">
        <f>HYPERLINK("https://mathstats.uncg.edu/sites/pauli/congruence/csg19.html#group243A19", "243A¹⁹")</f>
        <v/>
      </c>
      <c r="B6135" t="n">
        <v>19</v>
      </c>
      <c r="C6135" t="inlineStr">
        <is>
          <t>Γ₀(243)</t>
        </is>
      </c>
      <c r="D6135" t="inlineStr">
        <is>
          <t>324</t>
        </is>
      </c>
      <c r="E6135" t="inlineStr">
        <is>
          <t>1</t>
        </is>
      </c>
      <c r="F6135" t="inlineStr">
        <is>
          <t>108</t>
        </is>
      </c>
      <c r="G6135" t="inlineStr">
        <is>
          <t>0</t>
        </is>
      </c>
      <c r="H6135" t="inlineStr">
        <is>
          <t>0</t>
        </is>
      </c>
      <c r="I6135" t="inlineStr">
        <is>
          <t>1⁹, 3⁶, 27², 243¹</t>
        </is>
      </c>
      <c r="J6135" t="n">
        <v>18</v>
      </c>
      <c r="K6135" t="inlineStr">
        <is>
          <t>1², 2², 6², 18², 54¹</t>
        </is>
      </c>
      <c r="L6135" t="inlineStr">
        <is>
          <t>81A⁴</t>
        </is>
      </c>
      <c r="M6135" t="inlineStr"/>
      <c r="N6135" t="inlineStr">
        <is>
          <t>3B⁰, 81A⁴, 9B⁰, 27A¹, 1A⁰</t>
        </is>
      </c>
      <c r="O6135" t="inlineStr"/>
    </row>
    <row r="6136">
      <c r="A6136">
        <f>HYPERLINK("https://mathstats.uncg.edu/sites/pauli/congruence/csg19.html#group244A19", "244A¹⁹")</f>
        <v/>
      </c>
      <c r="B6136" t="n">
        <v>19</v>
      </c>
      <c r="C6136" t="inlineStr"/>
      <c r="D6136" t="inlineStr">
        <is>
          <t>248</t>
        </is>
      </c>
      <c r="E6136" t="inlineStr">
        <is>
          <t>1</t>
        </is>
      </c>
      <c r="F6136" t="inlineStr">
        <is>
          <t>248</t>
        </is>
      </c>
      <c r="G6136" t="inlineStr">
        <is>
          <t>4</t>
        </is>
      </c>
      <c r="H6136" t="inlineStr">
        <is>
          <t>2</t>
        </is>
      </c>
      <c r="I6136" t="inlineStr">
        <is>
          <t>4¹, 244¹</t>
        </is>
      </c>
      <c r="J6136" t="n">
        <v>2</v>
      </c>
      <c r="K6136" t="inlineStr">
        <is>
          <t>2⁴, 120²</t>
        </is>
      </c>
      <c r="L6136" t="inlineStr">
        <is>
          <t>4A⁰, 61A⁴</t>
        </is>
      </c>
      <c r="M6136" t="inlineStr"/>
      <c r="N6136" t="inlineStr">
        <is>
          <t>1A⁰, 4A⁰, 61A⁴</t>
        </is>
      </c>
      <c r="O6136" t="inlineStr"/>
    </row>
    <row r="6137">
      <c r="A6137">
        <f>HYPERLINK("https://mathstats.uncg.edu/sites/pauli/congruence/csg19.html#group245A19", "245A¹⁹")</f>
        <v/>
      </c>
      <c r="B6137" t="n">
        <v>19</v>
      </c>
      <c r="C6137" t="inlineStr"/>
      <c r="D6137" t="inlineStr">
        <is>
          <t>280</t>
        </is>
      </c>
      <c r="E6137" t="inlineStr">
        <is>
          <t>1</t>
        </is>
      </c>
      <c r="F6137" t="inlineStr">
        <is>
          <t>280</t>
        </is>
      </c>
      <c r="G6137" t="inlineStr">
        <is>
          <t>0</t>
        </is>
      </c>
      <c r="H6137" t="inlineStr">
        <is>
          <t>4</t>
        </is>
      </c>
      <c r="I6137" t="inlineStr">
        <is>
          <t>5⁷, 245¹</t>
        </is>
      </c>
      <c r="J6137" t="n">
        <v>8</v>
      </c>
      <c r="K6137" t="inlineStr">
        <is>
          <t>1², 4², 6², 24², 42¹, 168¹</t>
        </is>
      </c>
      <c r="L6137" t="inlineStr">
        <is>
          <t>49A¹, 35B²</t>
        </is>
      </c>
      <c r="M6137" t="inlineStr"/>
      <c r="N6137" t="inlineStr">
        <is>
          <t>49A¹, 5A⁰, 35B², 1A⁰, 7B⁰</t>
        </is>
      </c>
      <c r="O6137" t="inlineStr"/>
    </row>
    <row r="6138">
      <c r="A6138">
        <f>HYPERLINK("https://mathstats.uncg.edu/sites/pauli/congruence/csg19.html#group246A19", "246A¹⁹")</f>
        <v/>
      </c>
      <c r="B6138" t="n">
        <v>19</v>
      </c>
      <c r="C6138" t="inlineStr"/>
      <c r="D6138" t="inlineStr">
        <is>
          <t>252</t>
        </is>
      </c>
      <c r="E6138" t="inlineStr">
        <is>
          <t>1</t>
        </is>
      </c>
      <c r="F6138" t="inlineStr">
        <is>
          <t>126</t>
        </is>
      </c>
      <c r="G6138" t="inlineStr">
        <is>
          <t>8</t>
        </is>
      </c>
      <c r="H6138" t="inlineStr">
        <is>
          <t>0</t>
        </is>
      </c>
      <c r="I6138" t="inlineStr">
        <is>
          <t>6¹, 246¹</t>
        </is>
      </c>
      <c r="J6138" t="n">
        <v>2</v>
      </c>
      <c r="K6138" t="inlineStr">
        <is>
          <t>1², 2², 40¹, 80¹</t>
        </is>
      </c>
      <c r="L6138" t="inlineStr">
        <is>
          <t>123A⁹</t>
        </is>
      </c>
      <c r="M6138" t="inlineStr"/>
      <c r="N6138" t="inlineStr">
        <is>
          <t>3A⁰, 123A⁹, 1A⁰, 41A³</t>
        </is>
      </c>
      <c r="O6138" t="inlineStr"/>
    </row>
    <row r="6139">
      <c r="A6139">
        <f>HYPERLINK("https://mathstats.uncg.edu/sites/pauli/congruence/csg19.html#group246B19", "246B¹⁹")</f>
        <v/>
      </c>
      <c r="B6139" t="n">
        <v>19</v>
      </c>
      <c r="C6139" t="inlineStr"/>
      <c r="D6139" t="inlineStr">
        <is>
          <t>252</t>
        </is>
      </c>
      <c r="E6139" t="inlineStr">
        <is>
          <t>1</t>
        </is>
      </c>
      <c r="F6139" t="inlineStr">
        <is>
          <t>126</t>
        </is>
      </c>
      <c r="G6139" t="inlineStr">
        <is>
          <t>8</t>
        </is>
      </c>
      <c r="H6139" t="inlineStr">
        <is>
          <t>0</t>
        </is>
      </c>
      <c r="I6139" t="inlineStr">
        <is>
          <t>6¹, 246¹</t>
        </is>
      </c>
      <c r="J6139" t="n">
        <v>2</v>
      </c>
      <c r="K6139" t="inlineStr">
        <is>
          <t>1², 2², 40¹, 80¹</t>
        </is>
      </c>
      <c r="L6139" t="inlineStr">
        <is>
          <t>6B⁰, 123A⁹</t>
        </is>
      </c>
      <c r="M6139" t="inlineStr"/>
      <c r="N6139" t="inlineStr">
        <is>
          <t>123A⁹, 6B⁰, 41A³, 3A⁰, 1A⁰</t>
        </is>
      </c>
      <c r="O6139" t="inlineStr"/>
    </row>
    <row r="6140">
      <c r="A6140">
        <f>HYPERLINK("https://mathstats.uncg.edu/sites/pauli/congruence/csg19.html#group250A19", "250A¹⁹")</f>
        <v/>
      </c>
      <c r="B6140" t="n">
        <v>19</v>
      </c>
      <c r="C6140" t="inlineStr"/>
      <c r="D6140" t="inlineStr">
        <is>
          <t>300</t>
        </is>
      </c>
      <c r="E6140" t="inlineStr">
        <is>
          <t>1</t>
        </is>
      </c>
      <c r="F6140" t="inlineStr">
        <is>
          <t>150</t>
        </is>
      </c>
      <c r="G6140" t="inlineStr">
        <is>
          <t>0</t>
        </is>
      </c>
      <c r="H6140" t="inlineStr">
        <is>
          <t>0</t>
        </is>
      </c>
      <c r="I6140" t="inlineStr">
        <is>
          <t>2¹⁰, 10³, 250¹</t>
        </is>
      </c>
      <c r="J6140" t="n">
        <v>14</v>
      </c>
      <c r="K6140" t="inlineStr">
        <is>
          <t>2², 4⁴, 20⁴, 100²</t>
        </is>
      </c>
      <c r="L6140" t="inlineStr">
        <is>
          <t>50A³, 125A⁶</t>
        </is>
      </c>
      <c r="M6140" t="inlineStr"/>
      <c r="N6140" t="inlineStr">
        <is>
          <t>50A³, 25A⁰, 5B⁰, 10A¹, 2A⁰, 1A⁰, 125A⁶</t>
        </is>
      </c>
      <c r="O6140" t="inlineStr"/>
    </row>
    <row r="6141">
      <c r="A6141">
        <f>HYPERLINK("https://mathstats.uncg.edu/sites/pauli/congruence/csg19.html#group250B19", "250B¹⁹")</f>
        <v/>
      </c>
      <c r="B6141" t="n">
        <v>19</v>
      </c>
      <c r="C6141" t="inlineStr"/>
      <c r="D6141" t="inlineStr">
        <is>
          <t>300</t>
        </is>
      </c>
      <c r="E6141" t="inlineStr">
        <is>
          <t>1</t>
        </is>
      </c>
      <c r="F6141" t="inlineStr">
        <is>
          <t>150</t>
        </is>
      </c>
      <c r="G6141" t="inlineStr">
        <is>
          <t>0</t>
        </is>
      </c>
      <c r="H6141" t="inlineStr">
        <is>
          <t>0</t>
        </is>
      </c>
      <c r="I6141" t="inlineStr">
        <is>
          <t>2¹⁰, 10³, 250¹</t>
        </is>
      </c>
      <c r="J6141" t="n">
        <v>14</v>
      </c>
      <c r="K6141" t="inlineStr">
        <is>
          <t>2², 4⁴, 20⁴, 100²</t>
        </is>
      </c>
      <c r="L6141" t="inlineStr">
        <is>
          <t>50A³, 125B⁶</t>
        </is>
      </c>
      <c r="M6141" t="inlineStr"/>
      <c r="N6141" t="inlineStr">
        <is>
          <t>50A³, 25A⁰, 5B⁰, 10A¹, 2A⁰, 125B⁶, 1A⁰</t>
        </is>
      </c>
      <c r="O6141" t="inlineStr"/>
    </row>
    <row r="6142">
      <c r="A6142">
        <f>HYPERLINK("https://mathstats.uncg.edu/sites/pauli/congruence/csg19.html#group256A19", "256A¹⁹")</f>
        <v/>
      </c>
      <c r="B6142" t="n">
        <v>19</v>
      </c>
      <c r="C6142" t="inlineStr"/>
      <c r="D6142" t="inlineStr">
        <is>
          <t>384</t>
        </is>
      </c>
      <c r="E6142" t="inlineStr">
        <is>
          <t>1</t>
        </is>
      </c>
      <c r="F6142" t="inlineStr">
        <is>
          <t>48</t>
        </is>
      </c>
      <c r="G6142" t="inlineStr">
        <is>
          <t>0</t>
        </is>
      </c>
      <c r="H6142" t="inlineStr">
        <is>
          <t>0</t>
        </is>
      </c>
      <c r="I6142" t="inlineStr">
        <is>
          <t>1¹⁶, 2⁸, 16², 64¹, 256¹</t>
        </is>
      </c>
      <c r="J6142" t="n">
        <v>28</v>
      </c>
      <c r="K6142" t="inlineStr">
        <is>
          <t>2⁴, 4⁶, 8⁴, 16²</t>
        </is>
      </c>
      <c r="L6142" t="inlineStr">
        <is>
          <t>128A⁷</t>
        </is>
      </c>
      <c r="M6142" t="inlineStr"/>
      <c r="N6142" t="inlineStr">
        <is>
          <t>32A¹, 4B⁰, 16C⁰, 128A⁷, 8C⁰, 2B⁰, 64A³, 1A⁰</t>
        </is>
      </c>
      <c r="O6142" t="inlineStr"/>
    </row>
    <row r="6143">
      <c r="A6143">
        <f>HYPERLINK("https://mathstats.uncg.edu/sites/pauli/congruence/csg19.html#group256B19", "256B¹⁹")</f>
        <v/>
      </c>
      <c r="B6143" t="n">
        <v>19</v>
      </c>
      <c r="C6143" t="inlineStr"/>
      <c r="D6143" t="inlineStr">
        <is>
          <t>384</t>
        </is>
      </c>
      <c r="E6143" t="inlineStr">
        <is>
          <t>1</t>
        </is>
      </c>
      <c r="F6143" t="inlineStr">
        <is>
          <t>48</t>
        </is>
      </c>
      <c r="G6143" t="inlineStr">
        <is>
          <t>0</t>
        </is>
      </c>
      <c r="H6143" t="inlineStr">
        <is>
          <t>0</t>
        </is>
      </c>
      <c r="I6143" t="inlineStr">
        <is>
          <t>1¹⁶, 2⁸, 16², 64¹, 256¹</t>
        </is>
      </c>
      <c r="J6143" t="n">
        <v>28</v>
      </c>
      <c r="K6143" t="inlineStr">
        <is>
          <t>2⁴, 4⁶, 8⁴, 16²</t>
        </is>
      </c>
      <c r="L6143" t="inlineStr">
        <is>
          <t>128A⁷</t>
        </is>
      </c>
      <c r="M6143" t="inlineStr"/>
      <c r="N6143" t="inlineStr">
        <is>
          <t>32A¹, 4B⁰, 16C⁰, 128A⁷, 8C⁰, 2B⁰, 64A³, 1A⁰</t>
        </is>
      </c>
      <c r="O6143" t="inlineStr"/>
    </row>
    <row r="6144">
      <c r="A6144">
        <f>HYPERLINK("https://mathstats.uncg.edu/sites/pauli/congruence/csg19.html#group273A19", "273A¹⁹")</f>
        <v/>
      </c>
      <c r="B6144" t="n">
        <v>19</v>
      </c>
      <c r="C6144" t="inlineStr"/>
      <c r="D6144" t="inlineStr">
        <is>
          <t>294</t>
        </is>
      </c>
      <c r="E6144" t="inlineStr">
        <is>
          <t>2</t>
        </is>
      </c>
      <c r="F6144" t="inlineStr">
        <is>
          <t>98</t>
        </is>
      </c>
      <c r="G6144" t="inlineStr">
        <is>
          <t>18</t>
        </is>
      </c>
      <c r="H6144" t="inlineStr">
        <is>
          <t>3</t>
        </is>
      </c>
      <c r="I6144" t="inlineStr">
        <is>
          <t>21¹, 273¹</t>
        </is>
      </c>
      <c r="J6144" t="n">
        <v>2</v>
      </c>
      <c r="K6144" t="inlineStr">
        <is>
          <t>4², 12⁴, 48¹, 144²</t>
        </is>
      </c>
      <c r="L6144" t="inlineStr">
        <is>
          <t>39A¹, 91A⁶</t>
        </is>
      </c>
      <c r="M6144" t="inlineStr"/>
      <c r="N6144" t="inlineStr">
        <is>
          <t>13A⁰, 91A⁶, 39A¹, 1A⁰, 7A⁰</t>
        </is>
      </c>
      <c r="O6144" t="inlineStr"/>
    </row>
    <row r="6145">
      <c r="A6145">
        <f>HYPERLINK("https://mathstats.uncg.edu/sites/pauli/congruence/csg19.html#group273B19", "273B¹⁹")</f>
        <v/>
      </c>
      <c r="B6145" t="n">
        <v>19</v>
      </c>
      <c r="C6145" t="inlineStr"/>
      <c r="D6145" t="inlineStr">
        <is>
          <t>294</t>
        </is>
      </c>
      <c r="E6145" t="inlineStr">
        <is>
          <t>2</t>
        </is>
      </c>
      <c r="F6145" t="inlineStr">
        <is>
          <t>98</t>
        </is>
      </c>
      <c r="G6145" t="inlineStr">
        <is>
          <t>18</t>
        </is>
      </c>
      <c r="H6145" t="inlineStr">
        <is>
          <t>3</t>
        </is>
      </c>
      <c r="I6145" t="inlineStr">
        <is>
          <t>21¹, 273¹</t>
        </is>
      </c>
      <c r="J6145" t="n">
        <v>2</v>
      </c>
      <c r="K6145" t="inlineStr">
        <is>
          <t>4², 12⁴, 48¹, 144²</t>
        </is>
      </c>
      <c r="L6145" t="inlineStr">
        <is>
          <t>39A¹, 91A⁶</t>
        </is>
      </c>
      <c r="M6145" t="inlineStr"/>
      <c r="N6145" t="inlineStr">
        <is>
          <t>13A⁰, 91A⁶, 39A¹, 1A⁰, 7A⁰</t>
        </is>
      </c>
      <c r="O6145" t="inlineStr"/>
    </row>
    <row r="6146">
      <c r="A6146">
        <f>HYPERLINK("https://mathstats.uncg.edu/sites/pauli/congruence/csg20.html#group17A20", "17A²⁰")</f>
        <v/>
      </c>
      <c r="B6146" t="n">
        <v>20</v>
      </c>
      <c r="C6146" t="inlineStr"/>
      <c r="D6146" t="inlineStr">
        <is>
          <t>408</t>
        </is>
      </c>
      <c r="E6146" t="inlineStr">
        <is>
          <t>1</t>
        </is>
      </c>
      <c r="F6146" t="inlineStr">
        <is>
          <t>408</t>
        </is>
      </c>
      <c r="G6146" t="inlineStr">
        <is>
          <t>8</t>
        </is>
      </c>
      <c r="H6146" t="inlineStr">
        <is>
          <t>3</t>
        </is>
      </c>
      <c r="I6146" t="inlineStr">
        <is>
          <t>17²⁴</t>
        </is>
      </c>
      <c r="J6146" t="n">
        <v>24</v>
      </c>
      <c r="K6146" t="inlineStr">
        <is>
          <t>8¹, 16²⁵</t>
        </is>
      </c>
      <c r="L6146" t="inlineStr">
        <is>
          <t>17A⁴, 17B⁴, 17A⁶</t>
        </is>
      </c>
      <c r="M6146" t="inlineStr"/>
      <c r="N6146" t="inlineStr">
        <is>
          <t>17B⁴, 1A⁰, 17A⁴, 17A⁶</t>
        </is>
      </c>
      <c r="O6146" t="inlineStr"/>
    </row>
    <row r="6147">
      <c r="A6147">
        <f>HYPERLINK("https://mathstats.uncg.edu/sites/pauli/congruence/csg20.html#group19A20", "19A²⁰")</f>
        <v/>
      </c>
      <c r="B6147" t="n">
        <v>20</v>
      </c>
      <c r="C6147" t="inlineStr"/>
      <c r="D6147" t="inlineStr">
        <is>
          <t>342</t>
        </is>
      </c>
      <c r="E6147" t="inlineStr">
        <is>
          <t>1</t>
        </is>
      </c>
      <c r="F6147" t="inlineStr">
        <is>
          <t>171</t>
        </is>
      </c>
      <c r="G6147" t="inlineStr">
        <is>
          <t>2</t>
        </is>
      </c>
      <c r="H6147" t="inlineStr">
        <is>
          <t>0</t>
        </is>
      </c>
      <c r="I6147" t="inlineStr">
        <is>
          <t>19¹⁸</t>
        </is>
      </c>
      <c r="J6147" t="n">
        <v>18</v>
      </c>
      <c r="K6147" t="inlineStr">
        <is>
          <t>9¹, 18⁹</t>
        </is>
      </c>
      <c r="L6147" t="inlineStr">
        <is>
          <t>19A⁸</t>
        </is>
      </c>
      <c r="M6147" t="inlineStr"/>
      <c r="N6147" t="inlineStr">
        <is>
          <t>1A⁰, 19A⁸</t>
        </is>
      </c>
      <c r="O6147" t="inlineStr"/>
    </row>
    <row r="6148">
      <c r="A6148">
        <f>HYPERLINK("https://mathstats.uncg.edu/sites/pauli/congruence/csg20.html#group20A20", "20A²⁰")</f>
        <v/>
      </c>
      <c r="B6148" t="n">
        <v>20</v>
      </c>
      <c r="C6148" t="inlineStr"/>
      <c r="D6148" t="inlineStr">
        <is>
          <t>360</t>
        </is>
      </c>
      <c r="E6148" t="inlineStr">
        <is>
          <t>1</t>
        </is>
      </c>
      <c r="F6148" t="inlineStr">
        <is>
          <t>90</t>
        </is>
      </c>
      <c r="G6148" t="inlineStr">
        <is>
          <t>8</t>
        </is>
      </c>
      <c r="H6148" t="inlineStr">
        <is>
          <t>0</t>
        </is>
      </c>
      <c r="I6148" t="inlineStr">
        <is>
          <t>20¹⁸</t>
        </is>
      </c>
      <c r="J6148" t="n">
        <v>18</v>
      </c>
      <c r="K6148" t="inlineStr">
        <is>
          <t>2⁵, 4⁸, 8⁶</t>
        </is>
      </c>
      <c r="L6148" t="inlineStr">
        <is>
          <t>20C⁸, 20F¹⁰</t>
        </is>
      </c>
      <c r="M6148" t="inlineStr"/>
      <c r="N6148" t="inlineStr">
        <is>
          <t>20F¹⁰, 10C³, 5A⁰, 10I¹, 20E⁴, 10B¹, 20B², 4C⁰, 5E⁰, 20P³, 2B⁰, 10E¹, 1A⁰, 20C⁸</t>
        </is>
      </c>
      <c r="O6148" t="inlineStr"/>
    </row>
    <row r="6149">
      <c r="A6149">
        <f>HYPERLINK("https://mathstats.uncg.edu/sites/pauli/congruence/csg20.html#group20B20", "20B²⁰")</f>
        <v/>
      </c>
      <c r="B6149" t="n">
        <v>20</v>
      </c>
      <c r="C6149" t="inlineStr"/>
      <c r="D6149" t="inlineStr">
        <is>
          <t>360</t>
        </is>
      </c>
      <c r="E6149" t="inlineStr">
        <is>
          <t>1</t>
        </is>
      </c>
      <c r="F6149" t="inlineStr">
        <is>
          <t>90</t>
        </is>
      </c>
      <c r="G6149" t="inlineStr">
        <is>
          <t>8</t>
        </is>
      </c>
      <c r="H6149" t="inlineStr">
        <is>
          <t>0</t>
        </is>
      </c>
      <c r="I6149" t="inlineStr">
        <is>
          <t>20¹⁸</t>
        </is>
      </c>
      <c r="J6149" t="n">
        <v>18</v>
      </c>
      <c r="K6149" t="inlineStr">
        <is>
          <t>1², 2⁴, 4⁸, 8⁶</t>
        </is>
      </c>
      <c r="L6149" t="inlineStr">
        <is>
          <t>20B⁶, 20C⁸, 20B¹⁰, 20F¹⁰</t>
        </is>
      </c>
      <c r="M6149" t="inlineStr"/>
      <c r="N6149" t="inlineStr">
        <is>
          <t>5A⁰, 20E⁴, 20B⁶, 10B¹, 20B², 4C⁰, 20A¹, 20C⁴, 2B⁰, 10E¹, 1A⁰, 20C⁸, 20F¹⁰, 10C³, 10I¹, 4A⁰, 5E⁰, 20P³, 4F⁰, 20B¹⁰, 20D³</t>
        </is>
      </c>
      <c r="O6149" t="inlineStr"/>
    </row>
    <row r="6150">
      <c r="A6150">
        <f>HYPERLINK("https://mathstats.uncg.edu/sites/pauli/congruence/csg20.html#group25A20", "25A²⁰")</f>
        <v/>
      </c>
      <c r="B6150" t="n">
        <v>20</v>
      </c>
      <c r="C6150" t="inlineStr"/>
      <c r="D6150" t="inlineStr">
        <is>
          <t>300</t>
        </is>
      </c>
      <c r="E6150" t="inlineStr">
        <is>
          <t>1</t>
        </is>
      </c>
      <c r="F6150" t="inlineStr">
        <is>
          <t>10</t>
        </is>
      </c>
      <c r="G6150" t="inlineStr">
        <is>
          <t>0</t>
        </is>
      </c>
      <c r="H6150" t="inlineStr">
        <is>
          <t>0</t>
        </is>
      </c>
      <c r="I6150" t="inlineStr">
        <is>
          <t>25¹²</t>
        </is>
      </c>
      <c r="J6150" t="n">
        <v>12</v>
      </c>
      <c r="K6150" t="inlineStr">
        <is>
          <t>2¹, 4²</t>
        </is>
      </c>
      <c r="L6150" t="inlineStr">
        <is>
          <t>5H⁰, 25E⁴, 25A¹⁰</t>
        </is>
      </c>
      <c r="M6150" t="inlineStr"/>
      <c r="N6150" t="inlineStr">
        <is>
          <t>5A⁰, 25E⁴, 25A¹⁰, 5C⁰, 25E², 5B⁰, 5E⁰, 5F⁰, 5D⁰, 1A⁰, 5H⁰, 5G⁰</t>
        </is>
      </c>
      <c r="O6150" t="inlineStr"/>
    </row>
    <row r="6151">
      <c r="A6151">
        <f>HYPERLINK("https://mathstats.uncg.edu/sites/pauli/congruence/csg20.html#group26A20", "26A²⁰")</f>
        <v/>
      </c>
      <c r="B6151" t="n">
        <v>20</v>
      </c>
      <c r="C6151" t="inlineStr"/>
      <c r="D6151" t="inlineStr">
        <is>
          <t>364</t>
        </is>
      </c>
      <c r="E6151" t="inlineStr">
        <is>
          <t>1</t>
        </is>
      </c>
      <c r="F6151" t="inlineStr">
        <is>
          <t>91</t>
        </is>
      </c>
      <c r="G6151" t="inlineStr">
        <is>
          <t>12</t>
        </is>
      </c>
      <c r="H6151" t="inlineStr">
        <is>
          <t>4</t>
        </is>
      </c>
      <c r="I6151" t="inlineStr">
        <is>
          <t>26¹⁴</t>
        </is>
      </c>
      <c r="J6151" t="n">
        <v>14</v>
      </c>
      <c r="K6151" t="inlineStr">
        <is>
          <t>2¹, 6², 12¹⁴</t>
        </is>
      </c>
      <c r="L6151" t="inlineStr">
        <is>
          <t>13A⁷, 26C⁹, 26B¹⁰</t>
        </is>
      </c>
      <c r="M6151" t="inlineStr"/>
      <c r="N6151" t="inlineStr">
        <is>
          <t>13C³, 1A⁰, 13A⁷, 26C⁹, 26B¹⁰</t>
        </is>
      </c>
      <c r="O6151" t="inlineStr"/>
    </row>
    <row r="6152">
      <c r="A6152">
        <f>HYPERLINK("https://mathstats.uncg.edu/sites/pauli/congruence/csg20.html#group26B20", "26B²⁰")</f>
        <v/>
      </c>
      <c r="B6152" t="n">
        <v>20</v>
      </c>
      <c r="C6152" t="inlineStr"/>
      <c r="D6152" t="inlineStr">
        <is>
          <t>364</t>
        </is>
      </c>
      <c r="E6152" t="inlineStr">
        <is>
          <t>1</t>
        </is>
      </c>
      <c r="F6152" t="inlineStr">
        <is>
          <t>91</t>
        </is>
      </c>
      <c r="G6152" t="inlineStr">
        <is>
          <t>12</t>
        </is>
      </c>
      <c r="H6152" t="inlineStr">
        <is>
          <t>4</t>
        </is>
      </c>
      <c r="I6152" t="inlineStr">
        <is>
          <t>26¹⁴</t>
        </is>
      </c>
      <c r="J6152" t="n">
        <v>14</v>
      </c>
      <c r="K6152" t="inlineStr">
        <is>
          <t>2¹, 6², 12¹⁴</t>
        </is>
      </c>
      <c r="L6152" t="inlineStr">
        <is>
          <t>13B⁷, 26C⁹, 26C¹⁰</t>
        </is>
      </c>
      <c r="M6152" t="inlineStr"/>
      <c r="N6152" t="inlineStr">
        <is>
          <t>13C³, 26C¹⁰, 13B⁷, 1A⁰, 26C⁹</t>
        </is>
      </c>
      <c r="O6152" t="inlineStr"/>
    </row>
    <row r="6153">
      <c r="A6153">
        <f>HYPERLINK("https://mathstats.uncg.edu/sites/pauli/congruence/csg20.html#group33A20", "33A²⁰")</f>
        <v/>
      </c>
      <c r="B6153" t="n">
        <v>20</v>
      </c>
      <c r="C6153" t="inlineStr"/>
      <c r="D6153" t="inlineStr">
        <is>
          <t>330</t>
        </is>
      </c>
      <c r="E6153" t="inlineStr">
        <is>
          <t>1</t>
        </is>
      </c>
      <c r="F6153" t="inlineStr">
        <is>
          <t>165</t>
        </is>
      </c>
      <c r="G6153" t="inlineStr">
        <is>
          <t>14</t>
        </is>
      </c>
      <c r="H6153" t="inlineStr">
        <is>
          <t>0</t>
        </is>
      </c>
      <c r="I6153" t="inlineStr">
        <is>
          <t>33¹⁰</t>
        </is>
      </c>
      <c r="J6153" t="n">
        <v>10</v>
      </c>
      <c r="K6153" t="inlineStr">
        <is>
          <t>5¹, 10⁶, 20⁵</t>
        </is>
      </c>
      <c r="L6153" t="inlineStr">
        <is>
          <t>3C⁰, 33A⁷</t>
        </is>
      </c>
      <c r="M6153" t="inlineStr"/>
      <c r="N6153" t="inlineStr">
        <is>
          <t>3C⁰, 11C¹, 3A⁰, 1A⁰, 33A⁷</t>
        </is>
      </c>
      <c r="O6153" t="inlineStr"/>
    </row>
    <row r="6154">
      <c r="A6154">
        <f>HYPERLINK("https://mathstats.uncg.edu/sites/pauli/congruence/csg20.html#group34A20", "34A²⁰")</f>
        <v/>
      </c>
      <c r="B6154" t="n">
        <v>20</v>
      </c>
      <c r="C6154" t="inlineStr"/>
      <c r="D6154" t="inlineStr">
        <is>
          <t>306</t>
        </is>
      </c>
      <c r="E6154" t="inlineStr">
        <is>
          <t>1</t>
        </is>
      </c>
      <c r="F6154" t="inlineStr">
        <is>
          <t>153</t>
        </is>
      </c>
      <c r="G6154" t="inlineStr">
        <is>
          <t>8</t>
        </is>
      </c>
      <c r="H6154" t="inlineStr">
        <is>
          <t>0</t>
        </is>
      </c>
      <c r="I6154" t="inlineStr">
        <is>
          <t>34⁹</t>
        </is>
      </c>
      <c r="J6154" t="n">
        <v>9</v>
      </c>
      <c r="K6154" t="inlineStr">
        <is>
          <t>2¹, 8², 16¹⁸</t>
        </is>
      </c>
      <c r="L6154" t="inlineStr">
        <is>
          <t>17A⁷</t>
        </is>
      </c>
      <c r="M6154" t="inlineStr"/>
      <c r="N6154" t="inlineStr">
        <is>
          <t>1A⁰, 17A⁷</t>
        </is>
      </c>
      <c r="O6154" t="inlineStr"/>
    </row>
    <row r="6155">
      <c r="A6155">
        <f>HYPERLINK("https://mathstats.uncg.edu/sites/pauli/congruence/csg20.html#group34B20", "34B²⁰")</f>
        <v/>
      </c>
      <c r="B6155" t="n">
        <v>20</v>
      </c>
      <c r="C6155" t="inlineStr"/>
      <c r="D6155" t="inlineStr">
        <is>
          <t>306</t>
        </is>
      </c>
      <c r="E6155" t="inlineStr">
        <is>
          <t>1</t>
        </is>
      </c>
      <c r="F6155" t="inlineStr">
        <is>
          <t>153</t>
        </is>
      </c>
      <c r="G6155" t="inlineStr">
        <is>
          <t>8</t>
        </is>
      </c>
      <c r="H6155" t="inlineStr">
        <is>
          <t>0</t>
        </is>
      </c>
      <c r="I6155" t="inlineStr">
        <is>
          <t>34⁹</t>
        </is>
      </c>
      <c r="J6155" t="n">
        <v>9</v>
      </c>
      <c r="K6155" t="inlineStr">
        <is>
          <t>2¹, 8², 16¹⁸</t>
        </is>
      </c>
      <c r="L6155" t="inlineStr">
        <is>
          <t>17A⁷</t>
        </is>
      </c>
      <c r="M6155" t="inlineStr"/>
      <c r="N6155" t="inlineStr">
        <is>
          <t>1A⁰, 17A⁷</t>
        </is>
      </c>
      <c r="O6155" t="inlineStr"/>
    </row>
    <row r="6156">
      <c r="A6156">
        <f>HYPERLINK("https://mathstats.uncg.edu/sites/pauli/congruence/csg20.html#group36A20", "36A²⁰")</f>
        <v/>
      </c>
      <c r="B6156" t="n">
        <v>20</v>
      </c>
      <c r="C6156" t="inlineStr"/>
      <c r="D6156" t="inlineStr">
        <is>
          <t>324</t>
        </is>
      </c>
      <c r="E6156" t="inlineStr">
        <is>
          <t>1</t>
        </is>
      </c>
      <c r="F6156" t="inlineStr">
        <is>
          <t>162</t>
        </is>
      </c>
      <c r="G6156" t="inlineStr">
        <is>
          <t>14</t>
        </is>
      </c>
      <c r="H6156" t="inlineStr">
        <is>
          <t>0</t>
        </is>
      </c>
      <c r="I6156" t="inlineStr">
        <is>
          <t>36⁹</t>
        </is>
      </c>
      <c r="J6156" t="n">
        <v>9</v>
      </c>
      <c r="K6156" t="inlineStr">
        <is>
          <t>3², 6¹⁰, 12⁸</t>
        </is>
      </c>
      <c r="L6156" t="inlineStr">
        <is>
          <t>36I⁶, 36L⁸</t>
        </is>
      </c>
      <c r="M6156" t="inlineStr"/>
      <c r="N6156" t="inlineStr">
        <is>
          <t>12C⁰, 36I⁶, 36L⁸, 18J³, 9A⁰, 36B², 9G⁰, 4C⁰, 2B⁰, 12M¹, 18E¹, 3A⁰, 1A⁰, 6D⁰</t>
        </is>
      </c>
      <c r="O6156" t="inlineStr"/>
    </row>
    <row r="6157">
      <c r="A6157">
        <f>HYPERLINK("https://mathstats.uncg.edu/sites/pauli/congruence/csg20.html#group36B20", "36B²⁰")</f>
        <v/>
      </c>
      <c r="B6157" t="n">
        <v>20</v>
      </c>
      <c r="C6157" t="inlineStr"/>
      <c r="D6157" t="inlineStr">
        <is>
          <t>324</t>
        </is>
      </c>
      <c r="E6157" t="inlineStr">
        <is>
          <t>1</t>
        </is>
      </c>
      <c r="F6157" t="inlineStr">
        <is>
          <t>162</t>
        </is>
      </c>
      <c r="G6157" t="inlineStr">
        <is>
          <t>14</t>
        </is>
      </c>
      <c r="H6157" t="inlineStr">
        <is>
          <t>0</t>
        </is>
      </c>
      <c r="I6157" t="inlineStr">
        <is>
          <t>36⁹</t>
        </is>
      </c>
      <c r="J6157" t="n">
        <v>9</v>
      </c>
      <c r="K6157" t="inlineStr">
        <is>
          <t>3², 6¹⁰, 12⁸</t>
        </is>
      </c>
      <c r="L6157" t="inlineStr">
        <is>
          <t>36J⁵, 36F⁶, 36L⁸</t>
        </is>
      </c>
      <c r="M6157" t="inlineStr"/>
      <c r="N6157" t="inlineStr">
        <is>
          <t>36J⁵, 12C⁰, 36L⁸, 9G⁰, 36B², 4C⁰, 2B⁰, 1A⁰, 36A¹, 36F⁶, 12A⁰, 4A⁰, 18J³, 9A⁰, 12J¹, 4F⁰, 18E¹, 3A⁰, 6D⁰</t>
        </is>
      </c>
      <c r="O6157" t="inlineStr"/>
    </row>
    <row r="6158">
      <c r="A6158">
        <f>HYPERLINK("https://mathstats.uncg.edu/sites/pauli/congruence/csg20.html#group36C20", "36C²⁰")</f>
        <v/>
      </c>
      <c r="B6158" t="n">
        <v>20</v>
      </c>
      <c r="C6158" t="inlineStr"/>
      <c r="D6158" t="inlineStr">
        <is>
          <t>324</t>
        </is>
      </c>
      <c r="E6158" t="inlineStr">
        <is>
          <t>2</t>
        </is>
      </c>
      <c r="F6158" t="inlineStr">
        <is>
          <t>162</t>
        </is>
      </c>
      <c r="G6158" t="inlineStr">
        <is>
          <t>14</t>
        </is>
      </c>
      <c r="H6158" t="inlineStr">
        <is>
          <t>0</t>
        </is>
      </c>
      <c r="I6158" t="inlineStr">
        <is>
          <t>36⁹</t>
        </is>
      </c>
      <c r="J6158" t="n">
        <v>9</v>
      </c>
      <c r="K6158" t="inlineStr">
        <is>
          <t>6¹⁸, 12¹⁸</t>
        </is>
      </c>
      <c r="L6158" t="inlineStr">
        <is>
          <t>36E⁶, 36I⁶, 36L⁸</t>
        </is>
      </c>
      <c r="M6158" t="inlineStr"/>
      <c r="N6158" t="inlineStr">
        <is>
          <t>12C⁰, 36I⁶, 36E⁶, 36L⁸, 18J³, 9A⁰, 36B², 9G⁰, 4C⁰, 2B⁰, 12M¹, 18E¹, 3A⁰, 1A⁰, 6D⁰</t>
        </is>
      </c>
      <c r="O6158" t="inlineStr"/>
    </row>
    <row r="6159">
      <c r="A6159">
        <f>HYPERLINK("https://mathstats.uncg.edu/sites/pauli/congruence/csg20.html#group38A20", "38A²⁰")</f>
        <v/>
      </c>
      <c r="B6159" t="n">
        <v>20</v>
      </c>
      <c r="C6159" t="inlineStr"/>
      <c r="D6159" t="inlineStr">
        <is>
          <t>342</t>
        </is>
      </c>
      <c r="E6159" t="inlineStr">
        <is>
          <t>1</t>
        </is>
      </c>
      <c r="F6159" t="inlineStr">
        <is>
          <t>171</t>
        </is>
      </c>
      <c r="G6159" t="inlineStr">
        <is>
          <t>20</t>
        </is>
      </c>
      <c r="H6159" t="inlineStr">
        <is>
          <t>0</t>
        </is>
      </c>
      <c r="I6159" t="inlineStr">
        <is>
          <t>38⁹</t>
        </is>
      </c>
      <c r="J6159" t="n">
        <v>9</v>
      </c>
      <c r="K6159" t="inlineStr">
        <is>
          <t>9¹, 18⁹</t>
        </is>
      </c>
      <c r="L6159" t="inlineStr">
        <is>
          <t>19A⁸</t>
        </is>
      </c>
      <c r="M6159" t="inlineStr"/>
      <c r="N6159" t="inlineStr">
        <is>
          <t>1A⁰, 19A⁸</t>
        </is>
      </c>
      <c r="O6159" t="inlineStr"/>
    </row>
    <row r="6160">
      <c r="A6160">
        <f>HYPERLINK("https://mathstats.uncg.edu/sites/pauli/congruence/csg20.html#group40A20", "40A²⁰")</f>
        <v/>
      </c>
      <c r="B6160" t="n">
        <v>20</v>
      </c>
      <c r="C6160" t="inlineStr"/>
      <c r="D6160" t="inlineStr">
        <is>
          <t>360</t>
        </is>
      </c>
      <c r="E6160" t="inlineStr">
        <is>
          <t>1</t>
        </is>
      </c>
      <c r="F6160" t="inlineStr">
        <is>
          <t>90</t>
        </is>
      </c>
      <c r="G6160" t="inlineStr">
        <is>
          <t>8</t>
        </is>
      </c>
      <c r="H6160" t="inlineStr">
        <is>
          <t>0</t>
        </is>
      </c>
      <c r="I6160" t="inlineStr">
        <is>
          <t>10¹², 40⁶</t>
        </is>
      </c>
      <c r="J6160" t="n">
        <v>18</v>
      </c>
      <c r="K6160" t="inlineStr">
        <is>
          <t>2⁵, 4⁸, 8⁶</t>
        </is>
      </c>
      <c r="L6160" t="inlineStr">
        <is>
          <t>20C⁸, 40G¹⁰</t>
        </is>
      </c>
      <c r="M6160" t="inlineStr"/>
      <c r="N6160" t="inlineStr">
        <is>
          <t>10C³, 5A⁰, 10I¹, 20E⁴, 10B¹, 20B², 4C⁰, 5E⁰, 20P³, 1A⁰, 2B⁰, 10E¹, 40G¹⁰, 20C⁸</t>
        </is>
      </c>
      <c r="O6160" t="inlineStr"/>
    </row>
    <row r="6161">
      <c r="A6161">
        <f>HYPERLINK("https://mathstats.uncg.edu/sites/pauli/congruence/csg20.html#group40B20", "40B²⁰")</f>
        <v/>
      </c>
      <c r="B6161" t="n">
        <v>20</v>
      </c>
      <c r="C6161" t="inlineStr"/>
      <c r="D6161" t="inlineStr">
        <is>
          <t>360</t>
        </is>
      </c>
      <c r="E6161" t="inlineStr">
        <is>
          <t>1</t>
        </is>
      </c>
      <c r="F6161" t="inlineStr">
        <is>
          <t>90</t>
        </is>
      </c>
      <c r="G6161" t="inlineStr">
        <is>
          <t>8</t>
        </is>
      </c>
      <c r="H6161" t="inlineStr">
        <is>
          <t>0</t>
        </is>
      </c>
      <c r="I6161" t="inlineStr">
        <is>
          <t>10¹², 40⁶</t>
        </is>
      </c>
      <c r="J6161" t="n">
        <v>18</v>
      </c>
      <c r="K6161" t="inlineStr">
        <is>
          <t>1², 2⁴, 4⁸, 8⁶</t>
        </is>
      </c>
      <c r="L6161" t="inlineStr">
        <is>
          <t>20C⁸, 40E¹⁰, 40G¹⁰</t>
        </is>
      </c>
      <c r="M6161" t="inlineStr"/>
      <c r="N6161" t="inlineStr">
        <is>
          <t>5A⁰, 20E⁴, 8D⁰, 10B¹, 20B², 4C⁰, 2B⁰, 10E¹, 1A⁰, 20C⁸, 10C³, 40C⁴, 40E¹⁰, 10I¹, 5E⁰, 20P³, 40G¹⁰</t>
        </is>
      </c>
      <c r="O6161" t="inlineStr"/>
    </row>
    <row r="6162">
      <c r="A6162">
        <f>HYPERLINK("https://mathstats.uncg.edu/sites/pauli/congruence/csg20.html#group44A20", "44A²⁰")</f>
        <v/>
      </c>
      <c r="B6162" t="n">
        <v>20</v>
      </c>
      <c r="C6162" t="inlineStr"/>
      <c r="D6162" t="inlineStr">
        <is>
          <t>264</t>
        </is>
      </c>
      <c r="E6162" t="inlineStr">
        <is>
          <t>2</t>
        </is>
      </c>
      <c r="F6162" t="inlineStr">
        <is>
          <t>11</t>
        </is>
      </c>
      <c r="G6162" t="inlineStr">
        <is>
          <t>0</t>
        </is>
      </c>
      <c r="H6162" t="inlineStr">
        <is>
          <t>0</t>
        </is>
      </c>
      <c r="I6162" t="inlineStr">
        <is>
          <t>44⁶</t>
        </is>
      </c>
      <c r="J6162" t="n">
        <v>6</v>
      </c>
      <c r="K6162" t="inlineStr">
        <is>
          <t>2¹, 10²</t>
        </is>
      </c>
      <c r="L6162" t="inlineStr">
        <is>
          <t>4G⁰, 44A⁶, 44A⁹, 44A¹⁰</t>
        </is>
      </c>
      <c r="M6162" t="inlineStr"/>
      <c r="N6162" t="inlineStr">
        <is>
          <t>2A⁰, 44A¹⁰, 22A¹, 44A², 44C⁴, 4C⁰, 4G⁰, 2B⁰, 4E⁰, 22B², 4B⁰, 44A⁵, 1A⁰, 44A⁶, 11A⁰, 4A⁰, 4D⁰, 22A⁵, 4F⁰, 44A⁹, 2C⁰</t>
        </is>
      </c>
      <c r="O6162" t="inlineStr"/>
    </row>
    <row r="6163">
      <c r="A6163">
        <f>HYPERLINK("https://mathstats.uncg.edu/sites/pauli/congruence/csg20.html#group44B20", "44B²⁰")</f>
        <v/>
      </c>
      <c r="B6163" t="n">
        <v>20</v>
      </c>
      <c r="C6163" t="inlineStr"/>
      <c r="D6163" t="inlineStr">
        <is>
          <t>330</t>
        </is>
      </c>
      <c r="E6163" t="inlineStr">
        <is>
          <t>1</t>
        </is>
      </c>
      <c r="F6163" t="inlineStr">
        <is>
          <t>165</t>
        </is>
      </c>
      <c r="G6163" t="inlineStr">
        <is>
          <t>14</t>
        </is>
      </c>
      <c r="H6163" t="inlineStr">
        <is>
          <t>0</t>
        </is>
      </c>
      <c r="I6163" t="inlineStr">
        <is>
          <t>22⁵, 44⁵</t>
        </is>
      </c>
      <c r="J6163" t="n">
        <v>10</v>
      </c>
      <c r="K6163" t="inlineStr">
        <is>
          <t>5³, 10¹⁵</t>
        </is>
      </c>
      <c r="L6163" t="inlineStr">
        <is>
          <t>4C⁰, 22A⁸</t>
        </is>
      </c>
      <c r="M6163" t="inlineStr"/>
      <c r="N6163" t="inlineStr">
        <is>
          <t>11C¹, 2B⁰, 1A⁰, 22A⁸, 4C⁰</t>
        </is>
      </c>
      <c r="O6163" t="inlineStr"/>
    </row>
    <row r="6164">
      <c r="A6164">
        <f>HYPERLINK("https://mathstats.uncg.edu/sites/pauli/congruence/csg20.html#group45A20", "45A²⁰")</f>
        <v/>
      </c>
      <c r="B6164" t="n">
        <v>20</v>
      </c>
      <c r="C6164" t="inlineStr"/>
      <c r="D6164" t="inlineStr">
        <is>
          <t>270</t>
        </is>
      </c>
      <c r="E6164" t="inlineStr">
        <is>
          <t>1</t>
        </is>
      </c>
      <c r="F6164" t="inlineStr">
        <is>
          <t>135</t>
        </is>
      </c>
      <c r="G6164" t="inlineStr">
        <is>
          <t>2</t>
        </is>
      </c>
      <c r="H6164" t="inlineStr">
        <is>
          <t>0</t>
        </is>
      </c>
      <c r="I6164" t="inlineStr">
        <is>
          <t>45⁶</t>
        </is>
      </c>
      <c r="J6164" t="n">
        <v>6</v>
      </c>
      <c r="K6164" t="inlineStr">
        <is>
          <t>3¹, 6⁴, 12¹, 24⁴</t>
        </is>
      </c>
      <c r="L6164" t="inlineStr">
        <is>
          <t>9B², 45C⁶, 45A⁷, 45B⁹</t>
        </is>
      </c>
      <c r="M6164" t="inlineStr"/>
      <c r="N6164" t="inlineStr">
        <is>
          <t>45C⁶, 5A⁰, 45A⁷, 9G⁰, 9B², 9E⁰, 1A⁰, 9B¹, 45B⁹, 15A², 9A⁰, 3C⁰, 3A⁰, 15A¹, 45A³</t>
        </is>
      </c>
      <c r="O6164" t="inlineStr"/>
    </row>
    <row r="6165">
      <c r="A6165">
        <f>HYPERLINK("https://mathstats.uncg.edu/sites/pauli/congruence/csg20.html#group48A20", "48A²⁰")</f>
        <v/>
      </c>
      <c r="B6165" t="n">
        <v>20</v>
      </c>
      <c r="C6165" t="inlineStr"/>
      <c r="D6165" t="inlineStr">
        <is>
          <t>288</t>
        </is>
      </c>
      <c r="E6165" t="inlineStr">
        <is>
          <t>1</t>
        </is>
      </c>
      <c r="F6165" t="inlineStr">
        <is>
          <t>24</t>
        </is>
      </c>
      <c r="G6165" t="inlineStr">
        <is>
          <t>0</t>
        </is>
      </c>
      <c r="H6165" t="inlineStr">
        <is>
          <t>0</t>
        </is>
      </c>
      <c r="I6165" t="inlineStr">
        <is>
          <t>24⁸, 48²</t>
        </is>
      </c>
      <c r="J6165" t="n">
        <v>10</v>
      </c>
      <c r="K6165" t="inlineStr">
        <is>
          <t>4², 8²</t>
        </is>
      </c>
      <c r="L6165" t="inlineStr">
        <is>
          <t>16A⁴, 48G⁸, 48H⁸, 24C¹⁰</t>
        </is>
      </c>
      <c r="M6165" t="inlineStr"/>
      <c r="N6165" t="inlineStr">
        <is>
          <t>24C¹⁰, 24A³, 16A⁴, 12C⁰, 8A¹, 8D⁰, 4C⁰, 8B², 8A⁰, 2B⁰, 48H⁸, 1A⁰, 8D¹, 8K⁰, 24J³, 16L¹, 24H⁴, 12A⁰, 8C¹, 24A¹, 4A⁰, 24C¹, 48G⁸, 12J¹, 4F⁰, 3A⁰, 16K¹, 6D⁰, 24B⁵</t>
        </is>
      </c>
      <c r="O6165" t="inlineStr"/>
    </row>
    <row r="6166">
      <c r="A6166">
        <f>HYPERLINK("https://mathstats.uncg.edu/sites/pauli/congruence/csg20.html#group48B20", "48B²⁰")</f>
        <v/>
      </c>
      <c r="B6166" t="n">
        <v>20</v>
      </c>
      <c r="C6166" t="inlineStr"/>
      <c r="D6166" t="inlineStr">
        <is>
          <t>288</t>
        </is>
      </c>
      <c r="E6166" t="inlineStr">
        <is>
          <t>1</t>
        </is>
      </c>
      <c r="F6166" t="inlineStr">
        <is>
          <t>72</t>
        </is>
      </c>
      <c r="G6166" t="inlineStr">
        <is>
          <t>0</t>
        </is>
      </c>
      <c r="H6166" t="inlineStr">
        <is>
          <t>0</t>
        </is>
      </c>
      <c r="I6166" t="inlineStr">
        <is>
          <t>24⁸, 48²</t>
        </is>
      </c>
      <c r="J6166" t="n">
        <v>10</v>
      </c>
      <c r="K6166" t="inlineStr">
        <is>
          <t>4², 8⁴, 16²</t>
        </is>
      </c>
      <c r="L6166" t="inlineStr">
        <is>
          <t>48U⁸, 48V⁸, 24C¹⁰</t>
        </is>
      </c>
      <c r="M6166" t="inlineStr"/>
      <c r="N6166" t="inlineStr">
        <is>
          <t>24C¹⁰, 24A³, 12C⁰, 8A¹, 8D⁰, 4C⁰, 8B², 8A⁰, 48U⁸, 2B⁰, 48V⁸, 1A⁰, 8D¹, 8K⁰, 24J³, 24H⁴, 12A⁰, 8C¹, 24A¹, 4A⁰, 24C¹, 12J¹, 4F⁰, 3A⁰, 6D⁰, 24B⁵</t>
        </is>
      </c>
      <c r="O6166" t="inlineStr"/>
    </row>
    <row r="6167">
      <c r="A6167">
        <f>HYPERLINK("https://mathstats.uncg.edu/sites/pauli/congruence/csg20.html#group48C20", "48C²⁰")</f>
        <v/>
      </c>
      <c r="B6167" t="n">
        <v>20</v>
      </c>
      <c r="C6167" t="inlineStr"/>
      <c r="D6167" t="inlineStr">
        <is>
          <t>288</t>
        </is>
      </c>
      <c r="E6167" t="inlineStr">
        <is>
          <t>1</t>
        </is>
      </c>
      <c r="F6167" t="inlineStr">
        <is>
          <t>72</t>
        </is>
      </c>
      <c r="G6167" t="inlineStr">
        <is>
          <t>8</t>
        </is>
      </c>
      <c r="H6167" t="inlineStr">
        <is>
          <t>0</t>
        </is>
      </c>
      <c r="I6167" t="inlineStr">
        <is>
          <t>48⁶</t>
        </is>
      </c>
      <c r="J6167" t="n">
        <v>6</v>
      </c>
      <c r="K6167" t="inlineStr">
        <is>
          <t>8², 16⁸</t>
        </is>
      </c>
      <c r="L6167" t="inlineStr">
        <is>
          <t>24L⁸, 48G¹⁰</t>
        </is>
      </c>
      <c r="M6167" t="inlineStr"/>
      <c r="N6167" t="inlineStr">
        <is>
          <t>24E¹, 12C⁰, 4C⁰, 24D¹, 8A⁰, 2B⁰, 24P³, 1A⁰, 8D¹, 48G¹⁰, 24H⁴, 12A⁰, 24A¹, 4A⁰, 24L⁸, 12J¹, 24R³, 4F⁰, 3A⁰, 6D⁰, 48B³</t>
        </is>
      </c>
      <c r="O6167" t="inlineStr"/>
    </row>
    <row r="6168">
      <c r="A6168">
        <f>HYPERLINK("https://mathstats.uncg.edu/sites/pauli/congruence/csg20.html#group48D20", "48D²⁰")</f>
        <v/>
      </c>
      <c r="B6168" t="n">
        <v>20</v>
      </c>
      <c r="C6168" t="inlineStr"/>
      <c r="D6168" t="inlineStr">
        <is>
          <t>288</t>
        </is>
      </c>
      <c r="E6168" t="inlineStr">
        <is>
          <t>1</t>
        </is>
      </c>
      <c r="F6168" t="inlineStr">
        <is>
          <t>72</t>
        </is>
      </c>
      <c r="G6168" t="inlineStr">
        <is>
          <t>8</t>
        </is>
      </c>
      <c r="H6168" t="inlineStr">
        <is>
          <t>0</t>
        </is>
      </c>
      <c r="I6168" t="inlineStr">
        <is>
          <t>48⁶</t>
        </is>
      </c>
      <c r="J6168" t="n">
        <v>6</v>
      </c>
      <c r="K6168" t="inlineStr">
        <is>
          <t>8², 16⁸</t>
        </is>
      </c>
      <c r="L6168" t="inlineStr">
        <is>
          <t>24L⁸, 48G¹⁰</t>
        </is>
      </c>
      <c r="M6168" t="inlineStr"/>
      <c r="N6168" t="inlineStr">
        <is>
          <t>24E¹, 12C⁰, 4C⁰, 24D¹, 8A⁰, 2B⁰, 24P³, 1A⁰, 8D¹, 48G¹⁰, 24H⁴, 12A⁰, 24A¹, 4A⁰, 24L⁸, 12J¹, 24R³, 4F⁰, 3A⁰, 6D⁰, 48B³</t>
        </is>
      </c>
      <c r="O6168" t="inlineStr"/>
    </row>
    <row r="6169">
      <c r="A6169">
        <f>HYPERLINK("https://mathstats.uncg.edu/sites/pauli/congruence/csg20.html#group48E20", "48E²⁰")</f>
        <v/>
      </c>
      <c r="B6169" t="n">
        <v>20</v>
      </c>
      <c r="C6169" t="inlineStr"/>
      <c r="D6169" t="inlineStr">
        <is>
          <t>288</t>
        </is>
      </c>
      <c r="E6169" t="inlineStr">
        <is>
          <t>1</t>
        </is>
      </c>
      <c r="F6169" t="inlineStr">
        <is>
          <t>144</t>
        </is>
      </c>
      <c r="G6169" t="inlineStr">
        <is>
          <t>8</t>
        </is>
      </c>
      <c r="H6169" t="inlineStr">
        <is>
          <t>0</t>
        </is>
      </c>
      <c r="I6169" t="inlineStr">
        <is>
          <t>48⁶</t>
        </is>
      </c>
      <c r="J6169" t="n">
        <v>6</v>
      </c>
      <c r="K6169" t="inlineStr">
        <is>
          <t>16¹⁸</t>
        </is>
      </c>
      <c r="L6169" t="inlineStr">
        <is>
          <t>48E⁶, 24M⁸</t>
        </is>
      </c>
      <c r="M6169" t="inlineStr"/>
      <c r="N6169" t="inlineStr">
        <is>
          <t>24O⁴, 12I², 6B⁰, 12C⁰, 3A⁰, 4C⁰, 12F⁰, 2B⁰, 48E⁶, 24B¹, 12M¹, 24M⁸, 1A⁰, 12A⁰, 4A⁰, 6D⁰, 12J¹, 12D⁰, 4F⁰, 6H⁰, 12H⁰, 24G², 24H²</t>
        </is>
      </c>
      <c r="O6169" t="inlineStr"/>
    </row>
    <row r="6170">
      <c r="A6170">
        <f>HYPERLINK("https://mathstats.uncg.edu/sites/pauli/congruence/csg20.html#group48F20", "48F²⁰")</f>
        <v/>
      </c>
      <c r="B6170" t="n">
        <v>20</v>
      </c>
      <c r="C6170" t="inlineStr"/>
      <c r="D6170" t="inlineStr">
        <is>
          <t>288</t>
        </is>
      </c>
      <c r="E6170" t="inlineStr">
        <is>
          <t>1</t>
        </is>
      </c>
      <c r="F6170" t="inlineStr">
        <is>
          <t>144</t>
        </is>
      </c>
      <c r="G6170" t="inlineStr">
        <is>
          <t>8</t>
        </is>
      </c>
      <c r="H6170" t="inlineStr">
        <is>
          <t>0</t>
        </is>
      </c>
      <c r="I6170" t="inlineStr">
        <is>
          <t>48⁶</t>
        </is>
      </c>
      <c r="J6170" t="n">
        <v>6</v>
      </c>
      <c r="K6170" t="inlineStr">
        <is>
          <t>16¹⁸</t>
        </is>
      </c>
      <c r="L6170" t="inlineStr">
        <is>
          <t>48F⁶, 24M⁸</t>
        </is>
      </c>
      <c r="M6170" t="inlineStr"/>
      <c r="N6170" t="inlineStr">
        <is>
          <t>24O⁴, 12I², 6B⁰, 12C⁰, 4C⁰, 12F⁰, 2B⁰, 24B¹, 12M¹, 12H⁰, 1A⁰, 24M⁸, 48F⁶, 12A⁰, 4A⁰, 6D⁰, 12J¹, 12D⁰, 4F⁰, 6H⁰, 3A⁰, 24G², 24H²</t>
        </is>
      </c>
      <c r="O6170" t="inlineStr"/>
    </row>
    <row r="6171">
      <c r="A6171">
        <f>HYPERLINK("https://mathstats.uncg.edu/sites/pauli/congruence/csg20.html#group48G20", "48G²⁰")</f>
        <v/>
      </c>
      <c r="B6171" t="n">
        <v>20</v>
      </c>
      <c r="C6171" t="inlineStr"/>
      <c r="D6171" t="inlineStr">
        <is>
          <t>288</t>
        </is>
      </c>
      <c r="E6171" t="inlineStr">
        <is>
          <t>2</t>
        </is>
      </c>
      <c r="F6171" t="inlineStr">
        <is>
          <t>72</t>
        </is>
      </c>
      <c r="G6171" t="inlineStr">
        <is>
          <t>8</t>
        </is>
      </c>
      <c r="H6171" t="inlineStr">
        <is>
          <t>0</t>
        </is>
      </c>
      <c r="I6171" t="inlineStr">
        <is>
          <t>48⁶</t>
        </is>
      </c>
      <c r="J6171" t="n">
        <v>6</v>
      </c>
      <c r="K6171" t="inlineStr">
        <is>
          <t>8⁶, 16⁶</t>
        </is>
      </c>
      <c r="L6171" t="inlineStr">
        <is>
          <t>48G⁶, 24N⁸, 48G¹⁰</t>
        </is>
      </c>
      <c r="M6171" t="inlineStr"/>
      <c r="N6171" t="inlineStr">
        <is>
          <t>24O⁴, 12I², 6B⁰, 12C⁰, 4C⁰, 12F⁰, 8A⁰, 2B⁰, 24B¹, 12M¹, 12H⁰, 1A⁰, 48G⁶, 8D¹, 48G¹⁰, 12A⁰, 24K², 24A¹, 24H⁴, 4A⁰, 24N⁸, 12J¹, 12D⁰, 4F⁰, 6H⁰, 3A⁰, 6D⁰, 48B³</t>
        </is>
      </c>
      <c r="O6171" t="inlineStr"/>
    </row>
    <row r="6172">
      <c r="A6172">
        <f>HYPERLINK("https://mathstats.uncg.edu/sites/pauli/congruence/csg20.html#group48H20", "48H²⁰")</f>
        <v/>
      </c>
      <c r="B6172" t="n">
        <v>20</v>
      </c>
      <c r="C6172" t="inlineStr"/>
      <c r="D6172" t="inlineStr">
        <is>
          <t>288</t>
        </is>
      </c>
      <c r="E6172" t="inlineStr">
        <is>
          <t>2</t>
        </is>
      </c>
      <c r="F6172" t="inlineStr">
        <is>
          <t>72</t>
        </is>
      </c>
      <c r="G6172" t="inlineStr">
        <is>
          <t>8</t>
        </is>
      </c>
      <c r="H6172" t="inlineStr">
        <is>
          <t>0</t>
        </is>
      </c>
      <c r="I6172" t="inlineStr">
        <is>
          <t>48⁶</t>
        </is>
      </c>
      <c r="J6172" t="n">
        <v>6</v>
      </c>
      <c r="K6172" t="inlineStr">
        <is>
          <t>8⁶, 16⁶</t>
        </is>
      </c>
      <c r="L6172" t="inlineStr">
        <is>
          <t>24L⁸, 48F¹⁰, 48G¹⁰</t>
        </is>
      </c>
      <c r="M6172" t="inlineStr"/>
      <c r="N6172" t="inlineStr">
        <is>
          <t>24E¹, 12C⁰, 16A⁰, 4C⁰, 24D¹, 8A⁰, 16G³, 2B⁰, 48F¹⁰, 24P³, 1A⁰, 8D¹, 48G¹⁰, 24H⁴, 12A⁰, 24A¹, 48A³, 4A⁰, 24L⁸, 12J¹, 24R³, 4F⁰, 3A⁰, 6D⁰, 48B³</t>
        </is>
      </c>
      <c r="O6172" t="inlineStr"/>
    </row>
    <row r="6173">
      <c r="A6173">
        <f>HYPERLINK("https://mathstats.uncg.edu/sites/pauli/congruence/csg20.html#group48I20", "48I²⁰")</f>
        <v/>
      </c>
      <c r="B6173" t="n">
        <v>20</v>
      </c>
      <c r="C6173" t="inlineStr"/>
      <c r="D6173" t="inlineStr">
        <is>
          <t>288</t>
        </is>
      </c>
      <c r="E6173" t="inlineStr">
        <is>
          <t>2</t>
        </is>
      </c>
      <c r="F6173" t="inlineStr">
        <is>
          <t>72</t>
        </is>
      </c>
      <c r="G6173" t="inlineStr">
        <is>
          <t>8</t>
        </is>
      </c>
      <c r="H6173" t="inlineStr">
        <is>
          <t>0</t>
        </is>
      </c>
      <c r="I6173" t="inlineStr">
        <is>
          <t>48⁶</t>
        </is>
      </c>
      <c r="J6173" t="n">
        <v>6</v>
      </c>
      <c r="K6173" t="inlineStr">
        <is>
          <t>8⁶, 16⁶</t>
        </is>
      </c>
      <c r="L6173" t="inlineStr">
        <is>
          <t>48H⁶, 24N⁸, 48F¹⁰, 48G¹⁰</t>
        </is>
      </c>
      <c r="M6173" t="inlineStr"/>
      <c r="N6173" t="inlineStr">
        <is>
          <t>24O⁴, 12I², 6B⁰, 12C⁰, 16A⁰, 4C⁰, 48H⁶, 8A⁰, 12F⁰, 16G³, 2B⁰, 48F¹⁰, 12M¹, 24B¹, 12H⁰, 1A⁰, 8D¹, 48G¹⁰, 24H⁴, 12A⁰, 24A¹, 24K², 48A³, 4A⁰, 24N⁸, 12J¹, 12D⁰, 4F⁰, 6H⁰, 3A⁰, 6D⁰, 48B³</t>
        </is>
      </c>
      <c r="O6173" t="inlineStr"/>
    </row>
    <row r="6174">
      <c r="A6174">
        <f>HYPERLINK("https://mathstats.uncg.edu/sites/pauli/congruence/csg20.html#group50A20", "50A²⁰")</f>
        <v/>
      </c>
      <c r="B6174" t="n">
        <v>20</v>
      </c>
      <c r="C6174" t="inlineStr"/>
      <c r="D6174" t="inlineStr">
        <is>
          <t>300</t>
        </is>
      </c>
      <c r="E6174" t="inlineStr">
        <is>
          <t>1</t>
        </is>
      </c>
      <c r="F6174" t="inlineStr">
        <is>
          <t>150</t>
        </is>
      </c>
      <c r="G6174" t="inlineStr">
        <is>
          <t>4</t>
        </is>
      </c>
      <c r="H6174" t="inlineStr">
        <is>
          <t>0</t>
        </is>
      </c>
      <c r="I6174" t="inlineStr">
        <is>
          <t>10⁵, 50⁵</t>
        </is>
      </c>
      <c r="J6174" t="n">
        <v>10</v>
      </c>
      <c r="K6174" t="inlineStr">
        <is>
          <t>1², 4¹², 20⁵</t>
        </is>
      </c>
      <c r="L6174" t="inlineStr">
        <is>
          <t>10C², 50A², 50C⁴, 50B⁴, 50D⁴, 50A⁴, 25A⁸</t>
        </is>
      </c>
      <c r="M6174" t="inlineStr"/>
      <c r="N6174" t="inlineStr">
        <is>
          <t>5A⁰, 50B⁴, 10D⁰, 5B⁰, 5G⁰, 50C⁴, 10E¹, 1A⁰, 25C², 25B², 10B⁰, 25D², 25A⁸, 25A², 50A², 10C², 25A⁰, 5E⁰, 50D⁴, 5C⁰, 50A⁴</t>
        </is>
      </c>
      <c r="O6174" t="inlineStr"/>
    </row>
    <row r="6175">
      <c r="A6175">
        <f>HYPERLINK("https://mathstats.uncg.edu/sites/pauli/congruence/csg20.html#group55A20", "55A²⁰")</f>
        <v/>
      </c>
      <c r="B6175" t="n">
        <v>20</v>
      </c>
      <c r="C6175" t="inlineStr"/>
      <c r="D6175" t="inlineStr">
        <is>
          <t>330</t>
        </is>
      </c>
      <c r="E6175" t="inlineStr">
        <is>
          <t>1</t>
        </is>
      </c>
      <c r="F6175" t="inlineStr">
        <is>
          <t>330</t>
        </is>
      </c>
      <c r="G6175" t="inlineStr">
        <is>
          <t>14</t>
        </is>
      </c>
      <c r="H6175" t="inlineStr">
        <is>
          <t>0</t>
        </is>
      </c>
      <c r="I6175" t="inlineStr">
        <is>
          <t>11⁵, 55⁵</t>
        </is>
      </c>
      <c r="J6175" t="n">
        <v>10</v>
      </c>
      <c r="K6175" t="inlineStr">
        <is>
          <t>5², 10¹⁰, 20¹, 40⁵</t>
        </is>
      </c>
      <c r="L6175" t="inlineStr">
        <is>
          <t>5B⁰, 11C¹</t>
        </is>
      </c>
      <c r="M6175" t="inlineStr"/>
      <c r="N6175" t="inlineStr">
        <is>
          <t>5B⁰, 11C¹, 1A⁰</t>
        </is>
      </c>
      <c r="O6175" t="inlineStr"/>
    </row>
    <row r="6176">
      <c r="A6176">
        <f>HYPERLINK("https://mathstats.uncg.edu/sites/pauli/congruence/csg20.html#group63A20", "63A²⁰")</f>
        <v/>
      </c>
      <c r="B6176" t="n">
        <v>20</v>
      </c>
      <c r="C6176" t="inlineStr"/>
      <c r="D6176" t="inlineStr">
        <is>
          <t>252</t>
        </is>
      </c>
      <c r="E6176" t="inlineStr">
        <is>
          <t>2</t>
        </is>
      </c>
      <c r="F6176" t="inlineStr">
        <is>
          <t>21</t>
        </is>
      </c>
      <c r="G6176" t="inlineStr">
        <is>
          <t>0</t>
        </is>
      </c>
      <c r="H6176" t="inlineStr">
        <is>
          <t>0</t>
        </is>
      </c>
      <c r="I6176" t="inlineStr">
        <is>
          <t>63⁴</t>
        </is>
      </c>
      <c r="J6176" t="n">
        <v>4</v>
      </c>
      <c r="K6176" t="inlineStr">
        <is>
          <t>2¹, 4¹, 6², 12²</t>
        </is>
      </c>
      <c r="L6176" t="inlineStr">
        <is>
          <t>9A², 21A⁶, 63E⁶, 63B⁹, 63A⁹</t>
        </is>
      </c>
      <c r="M6176" t="inlineStr"/>
      <c r="N6176" t="inlineStr">
        <is>
          <t>3B⁰, 63A⁹, 21D², 63E⁶, 21A⁰, 63B⁹, 1A⁰, 21A⁶, 9B¹, 63A², 9D⁰, 21B², 9A², 9A⁰, 3C⁰, 3A⁰, 3D⁰, 7A⁰</t>
        </is>
      </c>
      <c r="O6176" t="inlineStr"/>
    </row>
    <row r="6177">
      <c r="A6177">
        <f>HYPERLINK("https://mathstats.uncg.edu/sites/pauli/congruence/csg20.html#group66A20", "66A²⁰")</f>
        <v/>
      </c>
      <c r="B6177" t="n">
        <v>20</v>
      </c>
      <c r="C6177" t="inlineStr"/>
      <c r="D6177" t="inlineStr">
        <is>
          <t>264</t>
        </is>
      </c>
      <c r="E6177" t="inlineStr">
        <is>
          <t>2</t>
        </is>
      </c>
      <c r="F6177" t="inlineStr">
        <is>
          <t>44</t>
        </is>
      </c>
      <c r="G6177" t="inlineStr">
        <is>
          <t>0</t>
        </is>
      </c>
      <c r="H6177" t="inlineStr">
        <is>
          <t>0</t>
        </is>
      </c>
      <c r="I6177" t="inlineStr">
        <is>
          <t>22³, 66³</t>
        </is>
      </c>
      <c r="J6177" t="n">
        <v>6</v>
      </c>
      <c r="K6177" t="inlineStr">
        <is>
          <t>2², 4¹, 10⁴, 20²</t>
        </is>
      </c>
      <c r="L6177" t="inlineStr">
        <is>
          <t>6I⁰, 22A⁵, 66E⁶, 66A¹⁰</t>
        </is>
      </c>
      <c r="M6177" t="inlineStr"/>
      <c r="N6177" t="inlineStr">
        <is>
          <t>3B⁰, 2A⁰, 22A¹, 33B³, 6I⁰, 6C⁰, 66E⁶, 2B⁰, 22B², 1A⁰, 66A¹⁰, 11A⁰, 22A⁵, 6F⁰, 2C⁰</t>
        </is>
      </c>
      <c r="O6177" t="inlineStr"/>
    </row>
    <row r="6178">
      <c r="A6178">
        <f>HYPERLINK("https://mathstats.uncg.edu/sites/pauli/congruence/csg20.html#group66B20", "66B²⁰")</f>
        <v/>
      </c>
      <c r="B6178" t="n">
        <v>20</v>
      </c>
      <c r="C6178" t="inlineStr"/>
      <c r="D6178" t="inlineStr">
        <is>
          <t>330</t>
        </is>
      </c>
      <c r="E6178" t="inlineStr">
        <is>
          <t>2</t>
        </is>
      </c>
      <c r="F6178" t="inlineStr">
        <is>
          <t>55</t>
        </is>
      </c>
      <c r="G6178" t="inlineStr">
        <is>
          <t>24</t>
        </is>
      </c>
      <c r="H6178" t="inlineStr">
        <is>
          <t>0</t>
        </is>
      </c>
      <c r="I6178" t="inlineStr">
        <is>
          <t>66⁵</t>
        </is>
      </c>
      <c r="J6178" t="n">
        <v>5</v>
      </c>
      <c r="K6178" t="inlineStr">
        <is>
          <t>10¹¹</t>
        </is>
      </c>
      <c r="L6178" t="inlineStr">
        <is>
          <t>22C⁵, 33A⁷</t>
        </is>
      </c>
      <c r="M6178" t="inlineStr"/>
      <c r="N6178" t="inlineStr">
        <is>
          <t>11C¹, 22C⁵, 3A⁰, 1A⁰, 33A⁷</t>
        </is>
      </c>
      <c r="O6178" t="inlineStr"/>
    </row>
    <row r="6179">
      <c r="A6179">
        <f>HYPERLINK("https://mathstats.uncg.edu/sites/pauli/congruence/csg20.html#group72A20", "72A²⁰")</f>
        <v/>
      </c>
      <c r="B6179" t="n">
        <v>20</v>
      </c>
      <c r="C6179" t="inlineStr"/>
      <c r="D6179" t="inlineStr">
        <is>
          <t>288</t>
        </is>
      </c>
      <c r="E6179" t="inlineStr">
        <is>
          <t>1</t>
        </is>
      </c>
      <c r="F6179" t="inlineStr">
        <is>
          <t>48</t>
        </is>
      </c>
      <c r="G6179" t="inlineStr">
        <is>
          <t>0</t>
        </is>
      </c>
      <c r="H6179" t="inlineStr">
        <is>
          <t>0</t>
        </is>
      </c>
      <c r="I6179" t="inlineStr">
        <is>
          <t>12⁴, 24¹, 36⁴, 72¹</t>
        </is>
      </c>
      <c r="J6179" t="n">
        <v>10</v>
      </c>
      <c r="K6179" t="inlineStr">
        <is>
          <t>2⁴, 4⁶, 8²</t>
        </is>
      </c>
      <c r="L6179" t="inlineStr">
        <is>
          <t>24R⁴, 36J¹⁰</t>
        </is>
      </c>
      <c r="M6179" t="inlineStr"/>
      <c r="N6179" t="inlineStr">
        <is>
          <t>3B⁰, 36J¹⁰, 12F¹, 4C⁰, 18D², 2B⁰, 9C⁰, 36A⁵, 8K⁰, 1A⁰, 36C³, 4A⁰, 12A¹, 24R⁴, 12G², 4F⁰, 6F⁰</t>
        </is>
      </c>
      <c r="O6179" t="inlineStr"/>
    </row>
    <row r="6180">
      <c r="A6180">
        <f>HYPERLINK("https://mathstats.uncg.edu/sites/pauli/congruence/csg20.html#group72B20", "72B²⁰")</f>
        <v/>
      </c>
      <c r="B6180" t="n">
        <v>20</v>
      </c>
      <c r="C6180" t="inlineStr"/>
      <c r="D6180" t="inlineStr">
        <is>
          <t>288</t>
        </is>
      </c>
      <c r="E6180" t="inlineStr">
        <is>
          <t>1</t>
        </is>
      </c>
      <c r="F6180" t="inlineStr">
        <is>
          <t>48</t>
        </is>
      </c>
      <c r="G6180" t="inlineStr">
        <is>
          <t>0</t>
        </is>
      </c>
      <c r="H6180" t="inlineStr">
        <is>
          <t>0</t>
        </is>
      </c>
      <c r="I6180" t="inlineStr">
        <is>
          <t>12⁴, 24¹, 36⁴, 72¹</t>
        </is>
      </c>
      <c r="J6180" t="n">
        <v>10</v>
      </c>
      <c r="K6180" t="inlineStr">
        <is>
          <t>2⁴, 4⁶, 8²</t>
        </is>
      </c>
      <c r="L6180" t="inlineStr">
        <is>
          <t>24R⁴, 36K¹⁰</t>
        </is>
      </c>
      <c r="M6180" t="inlineStr"/>
      <c r="N6180" t="inlineStr">
        <is>
          <t>3B⁰, 12F¹, 4C⁰, 18E², 36B⁵, 2B⁰, 36K¹⁰, 1A⁰, 8K⁰, 4A⁰, 12A¹, 24R⁴, 9A¹, 36C⁴, 12G², 4F⁰, 6F⁰</t>
        </is>
      </c>
      <c r="O6180" t="inlineStr"/>
    </row>
    <row r="6181">
      <c r="A6181">
        <f>HYPERLINK("https://mathstats.uncg.edu/sites/pauli/congruence/csg20.html#group72C20", "72C²⁰")</f>
        <v/>
      </c>
      <c r="B6181" t="n">
        <v>20</v>
      </c>
      <c r="C6181" t="inlineStr"/>
      <c r="D6181" t="inlineStr">
        <is>
          <t>288</t>
        </is>
      </c>
      <c r="E6181" t="inlineStr">
        <is>
          <t>2</t>
        </is>
      </c>
      <c r="F6181" t="inlineStr">
        <is>
          <t>48</t>
        </is>
      </c>
      <c r="G6181" t="inlineStr">
        <is>
          <t>0</t>
        </is>
      </c>
      <c r="H6181" t="inlineStr">
        <is>
          <t>6</t>
        </is>
      </c>
      <c r="I6181" t="inlineStr">
        <is>
          <t>24³, 72³</t>
        </is>
      </c>
      <c r="J6181" t="n">
        <v>6</v>
      </c>
      <c r="K6181" t="inlineStr">
        <is>
          <t>4⁴, 8⁴, 24²</t>
        </is>
      </c>
      <c r="L6181" t="inlineStr">
        <is>
          <t>72A⁶, 36I⁹</t>
        </is>
      </c>
      <c r="M6181" t="inlineStr"/>
      <c r="N6181" t="inlineStr">
        <is>
          <t>3B⁰, 9J⁰, 72A⁶, 24A², 4A⁰, 12A¹, 8A⁰, 36I⁹, 9C⁰, 1A⁰, 36C³</t>
        </is>
      </c>
      <c r="O6181" t="inlineStr"/>
    </row>
    <row r="6182">
      <c r="A6182">
        <f>HYPERLINK("https://mathstats.uncg.edu/sites/pauli/congruence/csg20.html#group72D20", "72D²⁰")</f>
        <v/>
      </c>
      <c r="B6182" t="n">
        <v>20</v>
      </c>
      <c r="C6182" t="inlineStr"/>
      <c r="D6182" t="inlineStr">
        <is>
          <t>324</t>
        </is>
      </c>
      <c r="E6182" t="inlineStr">
        <is>
          <t>1</t>
        </is>
      </c>
      <c r="F6182" t="inlineStr">
        <is>
          <t>162</t>
        </is>
      </c>
      <c r="G6182" t="inlineStr">
        <is>
          <t>14</t>
        </is>
      </c>
      <c r="H6182" t="inlineStr">
        <is>
          <t>0</t>
        </is>
      </c>
      <c r="I6182" t="inlineStr">
        <is>
          <t>18⁶, 72³</t>
        </is>
      </c>
      <c r="J6182" t="n">
        <v>9</v>
      </c>
      <c r="K6182" t="inlineStr">
        <is>
          <t>3², 6¹⁰, 12⁸</t>
        </is>
      </c>
      <c r="L6182" t="inlineStr">
        <is>
          <t>72C⁶, 36L⁸</t>
        </is>
      </c>
      <c r="M6182" t="inlineStr"/>
      <c r="N6182" t="inlineStr">
        <is>
          <t>72C⁶, 12C⁰, 8D⁰, 36L⁸, 9A⁰, 36B², 4C⁰, 18J³, 24C¹, 9G⁰, 2B⁰, 18E¹, 3A⁰, 1A⁰, 6D⁰</t>
        </is>
      </c>
      <c r="O6182" t="inlineStr"/>
    </row>
    <row r="6183">
      <c r="A6183">
        <f>HYPERLINK("https://mathstats.uncg.edu/sites/pauli/congruence/csg20.html#group72E20", "72E²⁰")</f>
        <v/>
      </c>
      <c r="B6183" t="n">
        <v>20</v>
      </c>
      <c r="C6183" t="inlineStr"/>
      <c r="D6183" t="inlineStr">
        <is>
          <t>324</t>
        </is>
      </c>
      <c r="E6183" t="inlineStr">
        <is>
          <t>1</t>
        </is>
      </c>
      <c r="F6183" t="inlineStr">
        <is>
          <t>162</t>
        </is>
      </c>
      <c r="G6183" t="inlineStr">
        <is>
          <t>14</t>
        </is>
      </c>
      <c r="H6183" t="inlineStr">
        <is>
          <t>0</t>
        </is>
      </c>
      <c r="I6183" t="inlineStr">
        <is>
          <t>18⁶, 72³</t>
        </is>
      </c>
      <c r="J6183" t="n">
        <v>9</v>
      </c>
      <c r="K6183" t="inlineStr">
        <is>
          <t>3², 6¹⁰, 12⁸</t>
        </is>
      </c>
      <c r="L6183" t="inlineStr">
        <is>
          <t>72E⁶, 36L⁸</t>
        </is>
      </c>
      <c r="M6183" t="inlineStr"/>
      <c r="N6183" t="inlineStr">
        <is>
          <t>24E¹, 12C⁰, 72E⁶, 36L⁸, 18J³, 9A⁰, 36B², 9G⁰, 4C⁰, 2B⁰, 18E¹, 3A⁰, 1A⁰, 6D⁰</t>
        </is>
      </c>
      <c r="O6183" t="inlineStr"/>
    </row>
    <row r="6184">
      <c r="A6184">
        <f>HYPERLINK("https://mathstats.uncg.edu/sites/pauli/congruence/csg20.html#group72F20", "72F²⁰")</f>
        <v/>
      </c>
      <c r="B6184" t="n">
        <v>20</v>
      </c>
      <c r="C6184" t="inlineStr"/>
      <c r="D6184" t="inlineStr">
        <is>
          <t>324</t>
        </is>
      </c>
      <c r="E6184" t="inlineStr">
        <is>
          <t>2</t>
        </is>
      </c>
      <c r="F6184" t="inlineStr">
        <is>
          <t>162</t>
        </is>
      </c>
      <c r="G6184" t="inlineStr">
        <is>
          <t>14</t>
        </is>
      </c>
      <c r="H6184" t="inlineStr">
        <is>
          <t>0</t>
        </is>
      </c>
      <c r="I6184" t="inlineStr">
        <is>
          <t>18⁶, 72³</t>
        </is>
      </c>
      <c r="J6184" t="n">
        <v>9</v>
      </c>
      <c r="K6184" t="inlineStr">
        <is>
          <t>6¹⁸, 12¹⁸</t>
        </is>
      </c>
      <c r="L6184" t="inlineStr">
        <is>
          <t>72D⁶, 72E⁶, 36L⁸</t>
        </is>
      </c>
      <c r="M6184" t="inlineStr"/>
      <c r="N6184" t="inlineStr">
        <is>
          <t>24E¹, 12C⁰, 72E⁶, 72D⁶, 36L⁸, 9A⁰, 36B², 4C⁰, 18J³, 9G⁰, 2B⁰, 18E¹, 3A⁰, 1A⁰, 6D⁰</t>
        </is>
      </c>
      <c r="O6184" t="inlineStr"/>
    </row>
    <row r="6185">
      <c r="A6185">
        <f>HYPERLINK("https://mathstats.uncg.edu/sites/pauli/congruence/csg20.html#group77A20", "77A²⁰")</f>
        <v/>
      </c>
      <c r="B6185" t="n">
        <v>20</v>
      </c>
      <c r="C6185" t="inlineStr"/>
      <c r="D6185" t="inlineStr">
        <is>
          <t>264</t>
        </is>
      </c>
      <c r="E6185" t="inlineStr">
        <is>
          <t>2</t>
        </is>
      </c>
      <c r="F6185" t="inlineStr">
        <is>
          <t>88</t>
        </is>
      </c>
      <c r="G6185" t="inlineStr">
        <is>
          <t>0</t>
        </is>
      </c>
      <c r="H6185" t="inlineStr">
        <is>
          <t>0</t>
        </is>
      </c>
      <c r="I6185" t="inlineStr">
        <is>
          <t>11³, 77³</t>
        </is>
      </c>
      <c r="J6185" t="n">
        <v>6</v>
      </c>
      <c r="K6185" t="inlineStr">
        <is>
          <t>2², 10⁴, 12¹, 60²</t>
        </is>
      </c>
      <c r="L6185" t="inlineStr">
        <is>
          <t>7E⁰, 77A⁶</t>
        </is>
      </c>
      <c r="M6185" t="inlineStr"/>
      <c r="N6185" t="inlineStr">
        <is>
          <t>11A⁰, 7E⁰, 1A⁰, 7B⁰, 77A⁶</t>
        </is>
      </c>
      <c r="O6185" t="inlineStr"/>
    </row>
    <row r="6186">
      <c r="A6186">
        <f>HYPERLINK("https://mathstats.uncg.edu/sites/pauli/congruence/csg20.html#group84A20", "84A²⁰")</f>
        <v/>
      </c>
      <c r="B6186" t="n">
        <v>20</v>
      </c>
      <c r="C6186" t="inlineStr"/>
      <c r="D6186" t="inlineStr">
        <is>
          <t>252</t>
        </is>
      </c>
      <c r="E6186" t="inlineStr">
        <is>
          <t>2</t>
        </is>
      </c>
      <c r="F6186" t="inlineStr">
        <is>
          <t>21</t>
        </is>
      </c>
      <c r="G6186" t="inlineStr">
        <is>
          <t>0</t>
        </is>
      </c>
      <c r="H6186" t="inlineStr">
        <is>
          <t>0</t>
        </is>
      </c>
      <c r="I6186" t="inlineStr">
        <is>
          <t>42², 84²</t>
        </is>
      </c>
      <c r="J6186" t="n">
        <v>4</v>
      </c>
      <c r="K6186" t="inlineStr">
        <is>
          <t>2³, 6⁶</t>
        </is>
      </c>
      <c r="L6186" t="inlineStr">
        <is>
          <t>28A⁶, 42I⁷, 84B⁹, 84A¹⁰</t>
        </is>
      </c>
      <c r="M6186" t="inlineStr"/>
      <c r="N6186" t="inlineStr">
        <is>
          <t>14A⁰, 84A¹⁰, 42A¹, 14B¹, 14C², 21A⁰, 28A³, 2B⁰, 4B⁰, 1A⁰, 42I⁷, 28A⁶, 84B⁹, 12B¹, 28B³, 3A⁰, 42C³, 6D⁰, 7A⁰</t>
        </is>
      </c>
      <c r="O6186" t="inlineStr"/>
    </row>
    <row r="6187">
      <c r="A6187">
        <f>HYPERLINK("https://mathstats.uncg.edu/sites/pauli/congruence/csg20.html#group84B20", "84B²⁰")</f>
        <v/>
      </c>
      <c r="B6187" t="n">
        <v>20</v>
      </c>
      <c r="C6187" t="inlineStr"/>
      <c r="D6187" t="inlineStr">
        <is>
          <t>252</t>
        </is>
      </c>
      <c r="E6187" t="inlineStr">
        <is>
          <t>2</t>
        </is>
      </c>
      <c r="F6187" t="inlineStr">
        <is>
          <t>21</t>
        </is>
      </c>
      <c r="G6187" t="inlineStr">
        <is>
          <t>0</t>
        </is>
      </c>
      <c r="H6187" t="inlineStr">
        <is>
          <t>0</t>
        </is>
      </c>
      <c r="I6187" t="inlineStr">
        <is>
          <t>42², 84²</t>
        </is>
      </c>
      <c r="J6187" t="n">
        <v>4</v>
      </c>
      <c r="K6187" t="inlineStr">
        <is>
          <t>2³, 6⁶</t>
        </is>
      </c>
      <c r="L6187" t="inlineStr">
        <is>
          <t>28B⁶, 84B⁷, 84B⁹, 42C¹⁰</t>
        </is>
      </c>
      <c r="M6187" t="inlineStr"/>
      <c r="N6187" t="inlineStr">
        <is>
          <t>2A⁰, 28B⁶, 14B¹, 14B³, 2C⁰, 6C¹, 14A¹, 21A⁰, 2B⁰, 42A⁴, 1A⁰, 42C¹⁰, 84B⁷, 6A⁰, 42A³, 6D⁰, 84B⁹, 6A¹, 28B³, 3A⁰, 42C³, 28B², 7A⁰</t>
        </is>
      </c>
      <c r="O6187" t="inlineStr"/>
    </row>
    <row r="6188">
      <c r="A6188">
        <f>HYPERLINK("https://mathstats.uncg.edu/sites/pauli/congruence/csg20.html#group84C20", "84C²⁰")</f>
        <v/>
      </c>
      <c r="B6188" t="n">
        <v>20</v>
      </c>
      <c r="C6188" t="inlineStr"/>
      <c r="D6188" t="inlineStr">
        <is>
          <t>252</t>
        </is>
      </c>
      <c r="E6188" t="inlineStr">
        <is>
          <t>2</t>
        </is>
      </c>
      <c r="F6188" t="inlineStr">
        <is>
          <t>21</t>
        </is>
      </c>
      <c r="G6188" t="inlineStr">
        <is>
          <t>0</t>
        </is>
      </c>
      <c r="H6188" t="inlineStr">
        <is>
          <t>0</t>
        </is>
      </c>
      <c r="I6188" t="inlineStr">
        <is>
          <t>42², 84²</t>
        </is>
      </c>
      <c r="J6188" t="n">
        <v>4</v>
      </c>
      <c r="K6188" t="inlineStr">
        <is>
          <t>2³, 6⁶</t>
        </is>
      </c>
      <c r="L6188" t="inlineStr">
        <is>
          <t>12B², 28C⁶, 84B⁶, 42C¹⁰, 84A¹⁰</t>
        </is>
      </c>
      <c r="M6188" t="inlineStr"/>
      <c r="N6188" t="inlineStr">
        <is>
          <t>2A⁰, 12C⁰, 84A¹⁰, 14B¹, 14B³, 2C⁰, 6C¹, 4C⁰, 12B², 21A⁰, 28A³, 14A¹, 2B⁰, 4E⁰, 42A⁴, 4B⁰, 1A⁰, 42C¹⁰, 28C², 6A⁰, 42A³, 12B¹, 28C⁶, 6A¹, 3A⁰, 42C³, 84B⁶, 6D⁰, 7A⁰</t>
        </is>
      </c>
      <c r="O6188" t="inlineStr"/>
    </row>
    <row r="6189">
      <c r="A6189">
        <f>HYPERLINK("https://mathstats.uncg.edu/sites/pauli/congruence/csg20.html#group84D20", "84D²⁰")</f>
        <v/>
      </c>
      <c r="B6189" t="n">
        <v>20</v>
      </c>
      <c r="C6189" t="inlineStr"/>
      <c r="D6189" t="inlineStr">
        <is>
          <t>252</t>
        </is>
      </c>
      <c r="E6189" t="inlineStr">
        <is>
          <t>2</t>
        </is>
      </c>
      <c r="F6189" t="inlineStr">
        <is>
          <t>63</t>
        </is>
      </c>
      <c r="G6189" t="inlineStr">
        <is>
          <t>0</t>
        </is>
      </c>
      <c r="H6189" t="inlineStr">
        <is>
          <t>0</t>
        </is>
      </c>
      <c r="I6189" t="inlineStr">
        <is>
          <t>42², 84²</t>
        </is>
      </c>
      <c r="J6189" t="n">
        <v>4</v>
      </c>
      <c r="K6189" t="inlineStr">
        <is>
          <t>2³, 4³, 6⁶, 12⁶</t>
        </is>
      </c>
      <c r="L6189" t="inlineStr">
        <is>
          <t>12C², 42C⁸, 84C⁹</t>
        </is>
      </c>
      <c r="M6189" t="inlineStr"/>
      <c r="N6189" t="inlineStr">
        <is>
          <t>21D², 14B¹, 6G⁰, 21A⁰, 2B⁰, 1A⁰, 84C⁹, 12C¹, 3C⁰, 42C⁸, 3A⁰, 12C², 42C³, 6D⁰, 7A⁰</t>
        </is>
      </c>
      <c r="O6189" t="inlineStr"/>
    </row>
    <row r="6190">
      <c r="A6190">
        <f>HYPERLINK("https://mathstats.uncg.edu/sites/pauli/congruence/csg20.html#group84E20", "84E²⁰")</f>
        <v/>
      </c>
      <c r="B6190" t="n">
        <v>20</v>
      </c>
      <c r="C6190" t="inlineStr"/>
      <c r="D6190" t="inlineStr">
        <is>
          <t>252</t>
        </is>
      </c>
      <c r="E6190" t="inlineStr">
        <is>
          <t>2</t>
        </is>
      </c>
      <c r="F6190" t="inlineStr">
        <is>
          <t>63</t>
        </is>
      </c>
      <c r="G6190" t="inlineStr">
        <is>
          <t>0</t>
        </is>
      </c>
      <c r="H6190" t="inlineStr">
        <is>
          <t>0</t>
        </is>
      </c>
      <c r="I6190" t="inlineStr">
        <is>
          <t>42², 84²</t>
        </is>
      </c>
      <c r="J6190" t="n">
        <v>4</v>
      </c>
      <c r="K6190" t="inlineStr">
        <is>
          <t>2³, 4³, 6⁶, 12⁶</t>
        </is>
      </c>
      <c r="L6190" t="inlineStr">
        <is>
          <t>42D⁸, 84G⁸, 84A¹⁰</t>
        </is>
      </c>
      <c r="M6190" t="inlineStr"/>
      <c r="N6190" t="inlineStr">
        <is>
          <t>84A¹⁰, 42D⁸, 14B¹, 84G⁸, 21A⁰, 28A³, 2B⁰, 4B⁰, 1A⁰, 42A², 12B¹, 3A⁰, 42C³, 6D⁰, 7A⁰</t>
        </is>
      </c>
      <c r="O6190" t="inlineStr"/>
    </row>
    <row r="6191">
      <c r="A6191">
        <f>HYPERLINK("https://mathstats.uncg.edu/sites/pauli/congruence/csg20.html#group84F20", "84F²⁰")</f>
        <v/>
      </c>
      <c r="B6191" t="n">
        <v>20</v>
      </c>
      <c r="C6191" t="inlineStr"/>
      <c r="D6191" t="inlineStr">
        <is>
          <t>252</t>
        </is>
      </c>
      <c r="E6191" t="inlineStr">
        <is>
          <t>2</t>
        </is>
      </c>
      <c r="F6191" t="inlineStr">
        <is>
          <t>63</t>
        </is>
      </c>
      <c r="G6191" t="inlineStr">
        <is>
          <t>0</t>
        </is>
      </c>
      <c r="H6191" t="inlineStr">
        <is>
          <t>0</t>
        </is>
      </c>
      <c r="I6191" t="inlineStr">
        <is>
          <t>42², 84²</t>
        </is>
      </c>
      <c r="J6191" t="n">
        <v>4</v>
      </c>
      <c r="K6191" t="inlineStr">
        <is>
          <t>2³, 4³, 6⁶, 12⁶</t>
        </is>
      </c>
      <c r="L6191" t="inlineStr">
        <is>
          <t>84F⁸, 84G⁸, 42C¹⁰</t>
        </is>
      </c>
      <c r="M6191" t="inlineStr"/>
      <c r="N6191" t="inlineStr">
        <is>
          <t>2A⁰, 14B³, 14B¹, 84G⁸, 6C¹, 14A¹, 21A⁰, 2B⁰, 42A⁴, 84F⁸, 1A⁰, 42C¹⁰, 6A⁰, 42A³, 6A¹, 3A⁰, 2C⁰, 6D⁰, 7A⁰, 42C³</t>
        </is>
      </c>
      <c r="O6191" t="inlineStr"/>
    </row>
    <row r="6192">
      <c r="A6192">
        <f>HYPERLINK("https://mathstats.uncg.edu/sites/pauli/congruence/csg20.html#group84G20", "84G²⁰")</f>
        <v/>
      </c>
      <c r="B6192" t="n">
        <v>20</v>
      </c>
      <c r="C6192" t="inlineStr"/>
      <c r="D6192" t="inlineStr">
        <is>
          <t>252</t>
        </is>
      </c>
      <c r="E6192" t="inlineStr">
        <is>
          <t>2</t>
        </is>
      </c>
      <c r="F6192" t="inlineStr">
        <is>
          <t>63</t>
        </is>
      </c>
      <c r="G6192" t="inlineStr">
        <is>
          <t>0</t>
        </is>
      </c>
      <c r="H6192" t="inlineStr">
        <is>
          <t>0</t>
        </is>
      </c>
      <c r="I6192" t="inlineStr">
        <is>
          <t>42², 84²</t>
        </is>
      </c>
      <c r="J6192" t="n">
        <v>4</v>
      </c>
      <c r="K6192" t="inlineStr">
        <is>
          <t>2³, 4³, 6⁶, 12⁶</t>
        </is>
      </c>
      <c r="L6192" t="inlineStr">
        <is>
          <t>12D², 42L⁷, 84C⁹, 84A¹⁰</t>
        </is>
      </c>
      <c r="M6192" t="inlineStr"/>
      <c r="N6192" t="inlineStr">
        <is>
          <t>6B⁰, 42B¹, 84A¹⁰, 14B¹, 12D², 21A⁰, 28A³, 2B⁰, 4B⁰, 1A⁰, 84C⁹, 12C¹, 42L⁷, 12B¹, 6H⁰, 3A⁰, 42C³, 6D⁰, 7A⁰</t>
        </is>
      </c>
      <c r="O6192" t="inlineStr"/>
    </row>
    <row r="6193">
      <c r="A6193">
        <f>HYPERLINK("https://mathstats.uncg.edu/sites/pauli/congruence/csg20.html#group84H20", "84H²⁰")</f>
        <v/>
      </c>
      <c r="B6193" t="n">
        <v>20</v>
      </c>
      <c r="C6193" t="inlineStr"/>
      <c r="D6193" t="inlineStr">
        <is>
          <t>252</t>
        </is>
      </c>
      <c r="E6193" t="inlineStr">
        <is>
          <t>2</t>
        </is>
      </c>
      <c r="F6193" t="inlineStr">
        <is>
          <t>63</t>
        </is>
      </c>
      <c r="G6193" t="inlineStr">
        <is>
          <t>0</t>
        </is>
      </c>
      <c r="H6193" t="inlineStr">
        <is>
          <t>0</t>
        </is>
      </c>
      <c r="I6193" t="inlineStr">
        <is>
          <t>42², 84²</t>
        </is>
      </c>
      <c r="J6193" t="n">
        <v>4</v>
      </c>
      <c r="K6193" t="inlineStr">
        <is>
          <t>2³, 4³, 6⁶, 12⁶</t>
        </is>
      </c>
      <c r="L6193" t="inlineStr">
        <is>
          <t>12E², 84C⁷, 84C⁹, 42C¹⁰</t>
        </is>
      </c>
      <c r="M6193" t="inlineStr"/>
      <c r="N6193" t="inlineStr">
        <is>
          <t>2A⁰, 14B¹, 14B³, 6C¹, 14A¹, 12E², 21A⁰, 2B⁰, 42A⁴, 1A⁰, 84C⁹, 42C¹⁰, 12C¹, 6A⁰, 84C⁷, 42A³, 6A¹, 12D⁰, 3A⁰, 2C⁰, 6D⁰, 7A⁰, 42C³</t>
        </is>
      </c>
      <c r="O6193" t="inlineStr"/>
    </row>
    <row r="6194">
      <c r="A6194">
        <f>HYPERLINK("https://mathstats.uncg.edu/sites/pauli/congruence/csg20.html#group84I20", "84I²⁰")</f>
        <v/>
      </c>
      <c r="B6194" t="n">
        <v>20</v>
      </c>
      <c r="C6194" t="inlineStr"/>
      <c r="D6194" t="inlineStr">
        <is>
          <t>288</t>
        </is>
      </c>
      <c r="E6194" t="inlineStr">
        <is>
          <t>1</t>
        </is>
      </c>
      <c r="F6194" t="inlineStr">
        <is>
          <t>24</t>
        </is>
      </c>
      <c r="G6194" t="inlineStr">
        <is>
          <t>0</t>
        </is>
      </c>
      <c r="H6194" t="inlineStr">
        <is>
          <t>0</t>
        </is>
      </c>
      <c r="I6194" t="inlineStr">
        <is>
          <t>6⁴, 12¹, 42⁴, 84¹</t>
        </is>
      </c>
      <c r="J6194" t="n">
        <v>10</v>
      </c>
      <c r="K6194" t="inlineStr">
        <is>
          <t>1⁶, 6³</t>
        </is>
      </c>
      <c r="L6194" t="inlineStr">
        <is>
          <t>28D⁴, 42E¹⁰</t>
        </is>
      </c>
      <c r="M6194" t="inlineStr"/>
      <c r="N6194" t="inlineStr">
        <is>
          <t>2A⁰, 6C¹, 42E¹⁰, 2B⁰, 14E², 1A⁰, 28D⁴, 42B², 6A⁰, 42B⁴, 21A², 42A⁵, 7B⁰, 14B⁰, 14C¹, 6A¹, 3A⁰, 2C⁰, 6D⁰</t>
        </is>
      </c>
      <c r="O6194" t="inlineStr"/>
    </row>
    <row r="6195">
      <c r="A6195">
        <f>HYPERLINK("https://mathstats.uncg.edu/sites/pauli/congruence/csg20.html#group84J20", "84J²⁰")</f>
        <v/>
      </c>
      <c r="B6195" t="n">
        <v>20</v>
      </c>
      <c r="C6195" t="inlineStr"/>
      <c r="D6195" t="inlineStr">
        <is>
          <t>288</t>
        </is>
      </c>
      <c r="E6195" t="inlineStr">
        <is>
          <t>1</t>
        </is>
      </c>
      <c r="F6195" t="inlineStr">
        <is>
          <t>48</t>
        </is>
      </c>
      <c r="G6195" t="inlineStr">
        <is>
          <t>0</t>
        </is>
      </c>
      <c r="H6195" t="inlineStr">
        <is>
          <t>0</t>
        </is>
      </c>
      <c r="I6195" t="inlineStr">
        <is>
          <t>3², 6¹, 12², 21², 42¹, 84²</t>
        </is>
      </c>
      <c r="J6195" t="n">
        <v>10</v>
      </c>
      <c r="K6195" t="inlineStr">
        <is>
          <t>1⁸, 2², 6⁴, 12¹</t>
        </is>
      </c>
      <c r="L6195" t="inlineStr">
        <is>
          <t>28E⁴, 84B¹⁰</t>
        </is>
      </c>
      <c r="M6195" t="inlineStr"/>
      <c r="N6195" t="inlineStr">
        <is>
          <t>28E⁴, 3A⁰, 21A², 84B¹⁰, 42A⁵, 7B⁰, 28D², 14C¹, 12B¹, 2B⁰, 4B⁰, 1A⁰, 6D⁰</t>
        </is>
      </c>
      <c r="O6195" t="inlineStr"/>
    </row>
    <row r="6196">
      <c r="A6196">
        <f>HYPERLINK("https://mathstats.uncg.edu/sites/pauli/congruence/csg20.html#group84K20", "84K²⁰")</f>
        <v/>
      </c>
      <c r="B6196" t="n">
        <v>20</v>
      </c>
      <c r="C6196" t="inlineStr"/>
      <c r="D6196" t="inlineStr">
        <is>
          <t>288</t>
        </is>
      </c>
      <c r="E6196" t="inlineStr">
        <is>
          <t>1</t>
        </is>
      </c>
      <c r="F6196" t="inlineStr">
        <is>
          <t>72</t>
        </is>
      </c>
      <c r="G6196" t="inlineStr">
        <is>
          <t>0</t>
        </is>
      </c>
      <c r="H6196" t="inlineStr">
        <is>
          <t>0</t>
        </is>
      </c>
      <c r="I6196" t="inlineStr">
        <is>
          <t>6⁴, 12¹, 42⁴, 84¹</t>
        </is>
      </c>
      <c r="J6196" t="n">
        <v>10</v>
      </c>
      <c r="K6196" t="inlineStr">
        <is>
          <t>1⁶, 2⁶, 6³, 12³</t>
        </is>
      </c>
      <c r="L6196" t="inlineStr">
        <is>
          <t>42E¹⁰</t>
        </is>
      </c>
      <c r="M6196" t="inlineStr"/>
      <c r="N6196" t="inlineStr">
        <is>
          <t>2A⁰, 6C¹, 42E¹⁰, 2B⁰, 14E², 1A⁰, 42B², 6A⁰, 42B⁴, 21A², 42A⁵, 7B⁰, 14B⁰, 14C¹, 6A¹, 3A⁰, 2C⁰, 6D⁰</t>
        </is>
      </c>
      <c r="O6196" t="inlineStr"/>
    </row>
    <row r="6197">
      <c r="A6197">
        <f>HYPERLINK("https://mathstats.uncg.edu/sites/pauli/congruence/csg20.html#group84L20", "84L²⁰")</f>
        <v/>
      </c>
      <c r="B6197" t="n">
        <v>20</v>
      </c>
      <c r="C6197" t="inlineStr"/>
      <c r="D6197" t="inlineStr">
        <is>
          <t>288</t>
        </is>
      </c>
      <c r="E6197" t="inlineStr">
        <is>
          <t>1</t>
        </is>
      </c>
      <c r="F6197" t="inlineStr">
        <is>
          <t>144</t>
        </is>
      </c>
      <c r="G6197" t="inlineStr">
        <is>
          <t>0</t>
        </is>
      </c>
      <c r="H6197" t="inlineStr">
        <is>
          <t>0</t>
        </is>
      </c>
      <c r="I6197" t="inlineStr">
        <is>
          <t>3², 6¹, 12², 21², 42¹, 84²</t>
        </is>
      </c>
      <c r="J6197" t="n">
        <v>10</v>
      </c>
      <c r="K6197" t="inlineStr">
        <is>
          <t>1⁸, 2¹⁰, 4², 6⁴, 12⁵, 24¹</t>
        </is>
      </c>
      <c r="L6197" t="inlineStr">
        <is>
          <t>84B¹⁰</t>
        </is>
      </c>
      <c r="M6197" t="inlineStr"/>
      <c r="N6197" t="inlineStr">
        <is>
          <t>3A⁰, 21A², 84B¹⁰, 42A⁵, 7B⁰, 28D², 14C¹, 12B¹, 2B⁰, 4B⁰, 1A⁰, 6D⁰</t>
        </is>
      </c>
      <c r="O6197" t="inlineStr"/>
    </row>
    <row r="6198">
      <c r="A6198">
        <f>HYPERLINK("https://mathstats.uncg.edu/sites/pauli/congruence/csg20.html#group84M20", "84M²⁰")</f>
        <v/>
      </c>
      <c r="B6198" t="n">
        <v>20</v>
      </c>
      <c r="C6198" t="inlineStr"/>
      <c r="D6198" t="inlineStr">
        <is>
          <t>288</t>
        </is>
      </c>
      <c r="E6198" t="inlineStr">
        <is>
          <t>2</t>
        </is>
      </c>
      <c r="F6198" t="inlineStr">
        <is>
          <t>24</t>
        </is>
      </c>
      <c r="G6198" t="inlineStr">
        <is>
          <t>0</t>
        </is>
      </c>
      <c r="H6198" t="inlineStr">
        <is>
          <t>0</t>
        </is>
      </c>
      <c r="I6198" t="inlineStr">
        <is>
          <t>6⁴, 12¹, 42⁴, 84¹</t>
        </is>
      </c>
      <c r="J6198" t="n">
        <v>10</v>
      </c>
      <c r="K6198" t="inlineStr">
        <is>
          <t>2⁶, 12³</t>
        </is>
      </c>
      <c r="L6198" t="inlineStr">
        <is>
          <t>28D⁴, 42J¹⁰</t>
        </is>
      </c>
      <c r="M6198" t="inlineStr"/>
      <c r="N6198" t="inlineStr">
        <is>
          <t>2A⁰, 42J¹⁰, 42B⁵, 7B⁰, 14B⁰, 42C², 14C¹, 2B⁰, 14E², 1A⁰, 2C⁰, 28D⁴, 42B³, 21A¹</t>
        </is>
      </c>
      <c r="O6198" t="inlineStr"/>
    </row>
    <row r="6199">
      <c r="A6199">
        <f>HYPERLINK("https://mathstats.uncg.edu/sites/pauli/congruence/csg20.html#group84N20", "84N²⁰")</f>
        <v/>
      </c>
      <c r="B6199" t="n">
        <v>20</v>
      </c>
      <c r="C6199" t="inlineStr"/>
      <c r="D6199" t="inlineStr">
        <is>
          <t>288</t>
        </is>
      </c>
      <c r="E6199" t="inlineStr">
        <is>
          <t>2</t>
        </is>
      </c>
      <c r="F6199" t="inlineStr">
        <is>
          <t>48</t>
        </is>
      </c>
      <c r="G6199" t="inlineStr">
        <is>
          <t>0</t>
        </is>
      </c>
      <c r="H6199" t="inlineStr">
        <is>
          <t>0</t>
        </is>
      </c>
      <c r="I6199" t="inlineStr">
        <is>
          <t>3², 6¹, 12², 21², 42¹, 84²</t>
        </is>
      </c>
      <c r="J6199" t="n">
        <v>10</v>
      </c>
      <c r="K6199" t="inlineStr">
        <is>
          <t>2⁸, 4², 12⁴, 24¹</t>
        </is>
      </c>
      <c r="L6199" t="inlineStr">
        <is>
          <t>28E⁴, 84D¹⁰</t>
        </is>
      </c>
      <c r="M6199" t="inlineStr"/>
      <c r="N6199" t="inlineStr">
        <is>
          <t>28E⁴, 42B⁵, 7B⁰, 28D², 14C¹, 2B⁰, 4B⁰, 84D¹⁰, 1A⁰, 21A¹</t>
        </is>
      </c>
      <c r="O6199" t="inlineStr"/>
    </row>
    <row r="6200">
      <c r="A6200">
        <f>HYPERLINK("https://mathstats.uncg.edu/sites/pauli/congruence/csg20.html#group86A20", "86A²⁰")</f>
        <v/>
      </c>
      <c r="B6200" t="n">
        <v>20</v>
      </c>
      <c r="C6200" t="inlineStr"/>
      <c r="D6200" t="inlineStr">
        <is>
          <t>264</t>
        </is>
      </c>
      <c r="E6200" t="inlineStr">
        <is>
          <t>1</t>
        </is>
      </c>
      <c r="F6200" t="inlineStr">
        <is>
          <t>44</t>
        </is>
      </c>
      <c r="G6200" t="inlineStr">
        <is>
          <t>0</t>
        </is>
      </c>
      <c r="H6200" t="inlineStr">
        <is>
          <t>0</t>
        </is>
      </c>
      <c r="I6200" t="inlineStr">
        <is>
          <t>2³, 86³</t>
        </is>
      </c>
      <c r="J6200" t="n">
        <v>6</v>
      </c>
      <c r="K6200" t="inlineStr">
        <is>
          <t>1², 42¹</t>
        </is>
      </c>
      <c r="L6200" t="inlineStr">
        <is>
          <t>86A⁶, 43A⁹</t>
        </is>
      </c>
      <c r="M6200" t="inlineStr"/>
      <c r="N6200" t="inlineStr">
        <is>
          <t>2A⁰, 86A⁶, 43A⁹, 1A⁰, 43A³</t>
        </is>
      </c>
      <c r="O6200" t="inlineStr"/>
    </row>
    <row r="6201">
      <c r="A6201">
        <f>HYPERLINK("https://mathstats.uncg.edu/sites/pauli/congruence/csg20.html#group86B20", "86B²⁰")</f>
        <v/>
      </c>
      <c r="B6201" t="n">
        <v>20</v>
      </c>
      <c r="C6201" t="inlineStr"/>
      <c r="D6201" t="inlineStr">
        <is>
          <t>264</t>
        </is>
      </c>
      <c r="E6201" t="inlineStr">
        <is>
          <t>1</t>
        </is>
      </c>
      <c r="F6201" t="inlineStr">
        <is>
          <t>44</t>
        </is>
      </c>
      <c r="G6201" t="inlineStr">
        <is>
          <t>0</t>
        </is>
      </c>
      <c r="H6201" t="inlineStr">
        <is>
          <t>0</t>
        </is>
      </c>
      <c r="I6201" t="inlineStr">
        <is>
          <t>2³, 86³</t>
        </is>
      </c>
      <c r="J6201" t="n">
        <v>6</v>
      </c>
      <c r="K6201" t="inlineStr">
        <is>
          <t>1², 42¹</t>
        </is>
      </c>
      <c r="L6201" t="inlineStr">
        <is>
          <t>2C⁰, 86A⁶, 86A¹⁰</t>
        </is>
      </c>
      <c r="M6201" t="inlineStr"/>
      <c r="N6201" t="inlineStr">
        <is>
          <t>2A⁰, 43A³, 86A⁶, 2B⁰, 1A⁰, 2C⁰, 86A¹⁰</t>
        </is>
      </c>
      <c r="O6201" t="inlineStr"/>
    </row>
    <row r="6202">
      <c r="A6202">
        <f>HYPERLINK("https://mathstats.uncg.edu/sites/pauli/congruence/csg20.html#group88A20", "88A²⁰")</f>
        <v/>
      </c>
      <c r="B6202" t="n">
        <v>20</v>
      </c>
      <c r="C6202" t="inlineStr"/>
      <c r="D6202" t="inlineStr">
        <is>
          <t>264</t>
        </is>
      </c>
      <c r="E6202" t="inlineStr">
        <is>
          <t>2</t>
        </is>
      </c>
      <c r="F6202" t="inlineStr">
        <is>
          <t>33</t>
        </is>
      </c>
      <c r="G6202" t="inlineStr">
        <is>
          <t>0</t>
        </is>
      </c>
      <c r="H6202" t="inlineStr">
        <is>
          <t>0</t>
        </is>
      </c>
      <c r="I6202" t="inlineStr">
        <is>
          <t>22⁴, 88²</t>
        </is>
      </c>
      <c r="J6202" t="n">
        <v>6</v>
      </c>
      <c r="K6202" t="inlineStr">
        <is>
          <t>2³, 10⁶</t>
        </is>
      </c>
      <c r="L6202" t="inlineStr">
        <is>
          <t>8G⁰, 88A⁹, 44A¹⁰, 88A¹⁰</t>
        </is>
      </c>
      <c r="M6202" t="inlineStr"/>
      <c r="N6202" t="inlineStr">
        <is>
          <t>2A⁰, 44A¹⁰, 22A¹, 8D⁰, 44C⁴, 4C⁰, 8C⁰, 88A¹⁰, 2B⁰, 22B², 4B⁰, 44A⁵, 1A⁰, 4E⁰, 88A⁹, 11A⁰, 8G⁰, 22A⁵, 2C⁰</t>
        </is>
      </c>
      <c r="O6202" t="inlineStr"/>
    </row>
    <row r="6203">
      <c r="A6203">
        <f>HYPERLINK("https://mathstats.uncg.edu/sites/pauli/congruence/csg20.html#group88B20", "88B²⁰")</f>
        <v/>
      </c>
      <c r="B6203" t="n">
        <v>20</v>
      </c>
      <c r="C6203" t="inlineStr"/>
      <c r="D6203" t="inlineStr">
        <is>
          <t>264</t>
        </is>
      </c>
      <c r="E6203" t="inlineStr">
        <is>
          <t>2</t>
        </is>
      </c>
      <c r="F6203" t="inlineStr">
        <is>
          <t>132</t>
        </is>
      </c>
      <c r="G6203" t="inlineStr">
        <is>
          <t>0</t>
        </is>
      </c>
      <c r="H6203" t="inlineStr">
        <is>
          <t>0</t>
        </is>
      </c>
      <c r="I6203" t="inlineStr">
        <is>
          <t>11², 22¹, 44¹, 88²</t>
        </is>
      </c>
      <c r="J6203" t="n">
        <v>6</v>
      </c>
      <c r="K6203" t="inlineStr">
        <is>
          <t>2⁴, 4², 8¹, 10⁸, 20⁴, 40²</t>
        </is>
      </c>
      <c r="L6203" t="inlineStr">
        <is>
          <t>8I⁰, 88A¹⁰</t>
        </is>
      </c>
      <c r="M6203" t="inlineStr"/>
      <c r="N6203" t="inlineStr">
        <is>
          <t>11A⁰, 4B⁰, 22B², 8C⁰, 88A¹⁰, 8I⁰, 2B⁰, 44A⁵, 1A⁰</t>
        </is>
      </c>
      <c r="O6203" t="inlineStr"/>
    </row>
    <row r="6204">
      <c r="A6204">
        <f>HYPERLINK("https://mathstats.uncg.edu/sites/pauli/congruence/csg20.html#group88C20", "88C²⁰")</f>
        <v/>
      </c>
      <c r="B6204" t="n">
        <v>20</v>
      </c>
      <c r="C6204" t="inlineStr"/>
      <c r="D6204" t="inlineStr">
        <is>
          <t>264</t>
        </is>
      </c>
      <c r="E6204" t="inlineStr">
        <is>
          <t>2</t>
        </is>
      </c>
      <c r="F6204" t="inlineStr">
        <is>
          <t>132</t>
        </is>
      </c>
      <c r="G6204" t="inlineStr">
        <is>
          <t>0</t>
        </is>
      </c>
      <c r="H6204" t="inlineStr">
        <is>
          <t>0</t>
        </is>
      </c>
      <c r="I6204" t="inlineStr">
        <is>
          <t>22², 44³, 88¹</t>
        </is>
      </c>
      <c r="J6204" t="n">
        <v>6</v>
      </c>
      <c r="K6204" t="inlineStr">
        <is>
          <t>2⁸, 4², 10¹⁶, 20⁴</t>
        </is>
      </c>
      <c r="L6204" t="inlineStr">
        <is>
          <t>8J⁰, 44A¹⁰</t>
        </is>
      </c>
      <c r="M6204" t="inlineStr"/>
      <c r="N6204" t="inlineStr">
        <is>
          <t>2A⁰, 44A¹⁰, 22A¹, 44C⁴, 4C⁰, 2B⁰, 4E⁰, 22B², 4B⁰, 44A⁵, 1A⁰, 11A⁰, 22A⁵, 8J⁰, 2C⁰</t>
        </is>
      </c>
      <c r="O6204" t="inlineStr"/>
    </row>
    <row r="6205">
      <c r="A6205">
        <f>HYPERLINK("https://mathstats.uncg.edu/sites/pauli/congruence/csg20.html#group88D20", "88D²⁰")</f>
        <v/>
      </c>
      <c r="B6205" t="n">
        <v>20</v>
      </c>
      <c r="C6205" t="inlineStr"/>
      <c r="D6205" t="inlineStr">
        <is>
          <t>264</t>
        </is>
      </c>
      <c r="E6205" t="inlineStr">
        <is>
          <t>2</t>
        </is>
      </c>
      <c r="F6205" t="inlineStr">
        <is>
          <t>132</t>
        </is>
      </c>
      <c r="G6205" t="inlineStr">
        <is>
          <t>6</t>
        </is>
      </c>
      <c r="H6205" t="inlineStr">
        <is>
          <t>0</t>
        </is>
      </c>
      <c r="I6205" t="inlineStr">
        <is>
          <t>88³</t>
        </is>
      </c>
      <c r="J6205" t="n">
        <v>3</v>
      </c>
      <c r="K6205" t="inlineStr">
        <is>
          <t>4², 8², 20⁴, 40⁴</t>
        </is>
      </c>
      <c r="L6205" t="inlineStr">
        <is>
          <t>8D¹, 88A⁵, 88B⁵, 44A⁹</t>
        </is>
      </c>
      <c r="M6205" t="inlineStr"/>
      <c r="N6205" t="inlineStr">
        <is>
          <t>11A⁰, 44A², 44C⁴, 4A⁰, 4C⁰, 22B², 8A⁰, 88B⁵, 2B⁰, 1A⁰, 4F⁰, 88A⁵, 44A⁹, 8D¹</t>
        </is>
      </c>
      <c r="O6205" t="inlineStr"/>
    </row>
    <row r="6206">
      <c r="A6206">
        <f>HYPERLINK("https://mathstats.uncg.edu/sites/pauli/congruence/csg20.html#group88E20", "88E²⁰")</f>
        <v/>
      </c>
      <c r="B6206" t="n">
        <v>20</v>
      </c>
      <c r="C6206" t="inlineStr"/>
      <c r="D6206" t="inlineStr">
        <is>
          <t>288</t>
        </is>
      </c>
      <c r="E6206" t="inlineStr">
        <is>
          <t>1</t>
        </is>
      </c>
      <c r="F6206" t="inlineStr">
        <is>
          <t>144</t>
        </is>
      </c>
      <c r="G6206" t="inlineStr">
        <is>
          <t>0</t>
        </is>
      </c>
      <c r="H6206" t="inlineStr">
        <is>
          <t>0</t>
        </is>
      </c>
      <c r="I6206" t="inlineStr">
        <is>
          <t>4⁴, 8¹, 44⁴, 88¹</t>
        </is>
      </c>
      <c r="J6206" t="n">
        <v>10</v>
      </c>
      <c r="K6206" t="inlineStr">
        <is>
          <t>2⁴, 4⁴, 20², 40²</t>
        </is>
      </c>
      <c r="L6206" t="inlineStr">
        <is>
          <t>8K⁰, 44C¹⁰</t>
        </is>
      </c>
      <c r="M6206" t="inlineStr"/>
      <c r="N6206" t="inlineStr">
        <is>
          <t>44C¹⁰, 44B⁴, 4C⁰, 44B⁵, 2B⁰, 22C², 1A⁰, 8K⁰, 4A⁰, 11A¹, 4F⁰</t>
        </is>
      </c>
      <c r="O6206" t="inlineStr"/>
    </row>
    <row r="6207">
      <c r="A6207">
        <f>HYPERLINK("https://mathstats.uncg.edu/sites/pauli/congruence/csg20.html#group90A20", "90A²⁰")</f>
        <v/>
      </c>
      <c r="B6207" t="n">
        <v>20</v>
      </c>
      <c r="C6207" t="inlineStr"/>
      <c r="D6207" t="inlineStr">
        <is>
          <t>270</t>
        </is>
      </c>
      <c r="E6207" t="inlineStr">
        <is>
          <t>1</t>
        </is>
      </c>
      <c r="F6207" t="inlineStr">
        <is>
          <t>45</t>
        </is>
      </c>
      <c r="G6207" t="inlineStr">
        <is>
          <t>6</t>
        </is>
      </c>
      <c r="H6207" t="inlineStr">
        <is>
          <t>0</t>
        </is>
      </c>
      <c r="I6207" t="inlineStr">
        <is>
          <t>45², 90²</t>
        </is>
      </c>
      <c r="J6207" t="n">
        <v>4</v>
      </c>
      <c r="K6207" t="inlineStr">
        <is>
          <t>1³, 2³, 4³, 8³</t>
        </is>
      </c>
      <c r="L6207" t="inlineStr">
        <is>
          <t>18I², 30A⁶, 45A⁶, 90D¹⁰</t>
        </is>
      </c>
      <c r="M6207" t="inlineStr"/>
      <c r="N6207" t="inlineStr">
        <is>
          <t>5A⁰, 45A⁶, 90D¹⁰, 10B¹, 6G⁰, 2B⁰, 1A⁰, 30D³, 9D⁰, 15A², 9A⁰, 6D⁰, 3C⁰, 30A⁶, 18E¹, 3A⁰, 18I², 15A¹, 45A³</t>
        </is>
      </c>
      <c r="O6207" t="inlineStr"/>
    </row>
    <row r="6208">
      <c r="A6208">
        <f>HYPERLINK("https://mathstats.uncg.edu/sites/pauli/congruence/csg20.html#group90B20", "90B²⁰")</f>
        <v/>
      </c>
      <c r="B6208" t="n">
        <v>20</v>
      </c>
      <c r="C6208" t="inlineStr"/>
      <c r="D6208" t="inlineStr">
        <is>
          <t>270</t>
        </is>
      </c>
      <c r="E6208" t="inlineStr">
        <is>
          <t>1</t>
        </is>
      </c>
      <c r="F6208" t="inlineStr">
        <is>
          <t>90</t>
        </is>
      </c>
      <c r="G6208" t="inlineStr">
        <is>
          <t>6</t>
        </is>
      </c>
      <c r="H6208" t="inlineStr">
        <is>
          <t>0</t>
        </is>
      </c>
      <c r="I6208" t="inlineStr">
        <is>
          <t>45², 90²</t>
        </is>
      </c>
      <c r="J6208" t="n">
        <v>4</v>
      </c>
      <c r="K6208" t="inlineStr">
        <is>
          <t>2³, 4³, 8⁹</t>
        </is>
      </c>
      <c r="L6208" t="inlineStr">
        <is>
          <t>30A⁶, 45B⁶</t>
        </is>
      </c>
      <c r="M6208" t="inlineStr"/>
      <c r="N6208" t="inlineStr">
        <is>
          <t>5A⁰, 10B¹, 6G⁰, 2B⁰, 1A⁰, 45B⁶, 30D³, 15A², 6D⁰, 3C⁰, 30A⁶, 3A⁰, 15A¹</t>
        </is>
      </c>
      <c r="O6208" t="inlineStr"/>
    </row>
    <row r="6209">
      <c r="A6209">
        <f>HYPERLINK("https://mathstats.uncg.edu/sites/pauli/congruence/csg20.html#group90C20", "90C²⁰")</f>
        <v/>
      </c>
      <c r="B6209" t="n">
        <v>20</v>
      </c>
      <c r="C6209" t="inlineStr"/>
      <c r="D6209" t="inlineStr">
        <is>
          <t>270</t>
        </is>
      </c>
      <c r="E6209" t="inlineStr">
        <is>
          <t>2</t>
        </is>
      </c>
      <c r="F6209" t="inlineStr">
        <is>
          <t>135</t>
        </is>
      </c>
      <c r="G6209" t="inlineStr">
        <is>
          <t>8</t>
        </is>
      </c>
      <c r="H6209" t="inlineStr">
        <is>
          <t>0</t>
        </is>
      </c>
      <c r="I6209" t="inlineStr">
        <is>
          <t>90³</t>
        </is>
      </c>
      <c r="J6209" t="n">
        <v>3</v>
      </c>
      <c r="K6209" t="inlineStr">
        <is>
          <t>6⁹, 24⁹</t>
        </is>
      </c>
      <c r="L6209" t="inlineStr">
        <is>
          <t>18K², 90A⁶, 90A⁷, 45B⁹</t>
        </is>
      </c>
      <c r="M6209" t="inlineStr"/>
      <c r="N6209" t="inlineStr">
        <is>
          <t>5A⁰, 90A⁶, 6B⁰, 9G⁰, 18K², 1A⁰, 18A⁰, 45B⁹, 30A², 90A⁷, 9A⁰, 3A⁰, 18A¹, 15A¹, 45A³</t>
        </is>
      </c>
      <c r="O6209" t="inlineStr"/>
    </row>
    <row r="6210">
      <c r="A6210">
        <f>HYPERLINK("https://mathstats.uncg.edu/sites/pauli/congruence/csg20.html#group90D20", "90D²⁰")</f>
        <v/>
      </c>
      <c r="B6210" t="n">
        <v>20</v>
      </c>
      <c r="C6210" t="inlineStr"/>
      <c r="D6210" t="inlineStr">
        <is>
          <t>270</t>
        </is>
      </c>
      <c r="E6210" t="inlineStr">
        <is>
          <t>2</t>
        </is>
      </c>
      <c r="F6210" t="inlineStr">
        <is>
          <t>135</t>
        </is>
      </c>
      <c r="G6210" t="inlineStr">
        <is>
          <t>8</t>
        </is>
      </c>
      <c r="H6210" t="inlineStr">
        <is>
          <t>0</t>
        </is>
      </c>
      <c r="I6210" t="inlineStr">
        <is>
          <t>90³</t>
        </is>
      </c>
      <c r="J6210" t="n">
        <v>3</v>
      </c>
      <c r="K6210" t="inlineStr">
        <is>
          <t>2⁹, 6⁶, 8⁹, 24⁶</t>
        </is>
      </c>
      <c r="L6210" t="inlineStr">
        <is>
          <t>18L², 30B⁶, 90A⁶, 90D¹⁰</t>
        </is>
      </c>
      <c r="M6210" t="inlineStr"/>
      <c r="N6210" t="inlineStr">
        <is>
          <t>5A⁰, 90A⁶, 6B⁰, 90D¹⁰, 10B¹, 6H⁰, 2B⁰, 30B⁶, 1A⁰, 18A⁰, 18L², 30D³, 30A², 6D⁰, 9A⁰, 18E¹, 3A⁰, 15A¹, 45A³</t>
        </is>
      </c>
      <c r="O6210" t="inlineStr"/>
    </row>
    <row r="6211">
      <c r="A6211">
        <f>HYPERLINK("https://mathstats.uncg.edu/sites/pauli/congruence/csg20.html#group90E20", "90E²⁰")</f>
        <v/>
      </c>
      <c r="B6211" t="n">
        <v>20</v>
      </c>
      <c r="C6211" t="inlineStr"/>
      <c r="D6211" t="inlineStr">
        <is>
          <t>270</t>
        </is>
      </c>
      <c r="E6211" t="inlineStr">
        <is>
          <t>2</t>
        </is>
      </c>
      <c r="F6211" t="inlineStr">
        <is>
          <t>270</t>
        </is>
      </c>
      <c r="G6211" t="inlineStr">
        <is>
          <t>8</t>
        </is>
      </c>
      <c r="H6211" t="inlineStr">
        <is>
          <t>0</t>
        </is>
      </c>
      <c r="I6211" t="inlineStr">
        <is>
          <t>90³</t>
        </is>
      </c>
      <c r="J6211" t="n">
        <v>3</v>
      </c>
      <c r="K6211" t="inlineStr">
        <is>
          <t>6¹⁸, 24¹⁸</t>
        </is>
      </c>
      <c r="L6211" t="inlineStr">
        <is>
          <t>18M², 90A⁶, 90B⁷</t>
        </is>
      </c>
      <c r="M6211" t="inlineStr"/>
      <c r="N6211" t="inlineStr">
        <is>
          <t>5A⁰, 90A⁶, 6B⁰, 3A⁰, 30A², 90B⁷, 9A⁰, 18B¹, 18M², 1A⁰, 18A⁰, 15A¹, 45A³</t>
        </is>
      </c>
      <c r="O6211" t="inlineStr"/>
    </row>
    <row r="6212">
      <c r="A6212">
        <f>HYPERLINK("https://mathstats.uncg.edu/sites/pauli/congruence/csg20.html#group90F20", "90F²⁰")</f>
        <v/>
      </c>
      <c r="B6212" t="n">
        <v>20</v>
      </c>
      <c r="C6212" t="inlineStr"/>
      <c r="D6212" t="inlineStr">
        <is>
          <t>324</t>
        </is>
      </c>
      <c r="E6212" t="inlineStr">
        <is>
          <t>1</t>
        </is>
      </c>
      <c r="F6212" t="inlineStr">
        <is>
          <t>162</t>
        </is>
      </c>
      <c r="G6212" t="inlineStr">
        <is>
          <t>20</t>
        </is>
      </c>
      <c r="H6212" t="inlineStr">
        <is>
          <t>0</t>
        </is>
      </c>
      <c r="I6212" t="inlineStr">
        <is>
          <t>18³, 90³</t>
        </is>
      </c>
      <c r="J6212" t="n">
        <v>6</v>
      </c>
      <c r="K6212" t="inlineStr">
        <is>
          <t>1⁶, 2⁶, 4³, 6⁶, 8³, 24³</t>
        </is>
      </c>
      <c r="L6212" t="inlineStr">
        <is>
          <t>30H⁴, 90A⁴, 90E¹⁰</t>
        </is>
      </c>
      <c r="M6212" t="inlineStr"/>
      <c r="N6212" t="inlineStr">
        <is>
          <t>30A⁰, 45A², 90A⁴, 10G⁰, 90E¹⁰, 5B⁰, 2B⁰, 1A⁰, 10B⁰, 15B⁰, 30E², 9A⁰, 10C⁰, 30H⁴, 18E¹, 3A⁰, 6D⁰</t>
        </is>
      </c>
      <c r="O6212" t="inlineStr"/>
    </row>
    <row r="6213">
      <c r="A6213">
        <f>HYPERLINK("https://mathstats.uncg.edu/sites/pauli/congruence/csg20.html#group90G20", "90G²⁰")</f>
        <v/>
      </c>
      <c r="B6213" t="n">
        <v>20</v>
      </c>
      <c r="C6213" t="inlineStr"/>
      <c r="D6213" t="inlineStr">
        <is>
          <t>324</t>
        </is>
      </c>
      <c r="E6213" t="inlineStr">
        <is>
          <t>2</t>
        </is>
      </c>
      <c r="F6213" t="inlineStr">
        <is>
          <t>162</t>
        </is>
      </c>
      <c r="G6213" t="inlineStr">
        <is>
          <t>16</t>
        </is>
      </c>
      <c r="H6213" t="inlineStr">
        <is>
          <t>0</t>
        </is>
      </c>
      <c r="I6213" t="inlineStr">
        <is>
          <t>9², 18², 45², 90²</t>
        </is>
      </c>
      <c r="J6213" t="n">
        <v>8</v>
      </c>
      <c r="K6213" t="inlineStr">
        <is>
          <t>2¹⁸, 6¹², 8⁹, 24⁶</t>
        </is>
      </c>
      <c r="L6213" t="inlineStr">
        <is>
          <t>30I⁴, 45C⁴, 90E¹⁰</t>
        </is>
      </c>
      <c r="M6213" t="inlineStr"/>
      <c r="N6213" t="inlineStr">
        <is>
          <t>45A², 90E¹⁰, 5B⁰, 2B⁰, 1A⁰, 15B⁰, 30E², 9A⁰, 30I⁴, 45C⁴, 10C⁰, 18E¹, 3A⁰, 6D⁰, 15C⁰</t>
        </is>
      </c>
      <c r="O6213" t="inlineStr"/>
    </row>
    <row r="6214">
      <c r="A6214">
        <f>HYPERLINK("https://mathstats.uncg.edu/sites/pauli/congruence/csg20.html#group91A20", "91A²⁰")</f>
        <v/>
      </c>
      <c r="B6214" t="n">
        <v>20</v>
      </c>
      <c r="C6214" t="inlineStr"/>
      <c r="D6214" t="inlineStr">
        <is>
          <t>294</t>
        </is>
      </c>
      <c r="E6214" t="inlineStr">
        <is>
          <t>1</t>
        </is>
      </c>
      <c r="F6214" t="inlineStr">
        <is>
          <t>294</t>
        </is>
      </c>
      <c r="G6214" t="inlineStr">
        <is>
          <t>10</t>
        </is>
      </c>
      <c r="H6214" t="inlineStr">
        <is>
          <t>0</t>
        </is>
      </c>
      <c r="I6214" t="inlineStr">
        <is>
          <t>7³, 91³</t>
        </is>
      </c>
      <c r="J6214" t="n">
        <v>6</v>
      </c>
      <c r="K6214" t="inlineStr">
        <is>
          <t>3², 6⁶, 36¹, 72³</t>
        </is>
      </c>
      <c r="L6214" t="inlineStr">
        <is>
          <t>7D⁰, 91A⁶</t>
        </is>
      </c>
      <c r="M6214" t="inlineStr"/>
      <c r="N6214" t="inlineStr">
        <is>
          <t>13A⁰, 91A⁶, 7D⁰, 1A⁰, 7A⁰</t>
        </is>
      </c>
      <c r="O6214" t="inlineStr"/>
    </row>
    <row r="6215">
      <c r="A6215">
        <f>HYPERLINK("https://mathstats.uncg.edu/sites/pauli/congruence/csg20.html#group92A20", "92A²⁰")</f>
        <v/>
      </c>
      <c r="B6215" t="n">
        <v>20</v>
      </c>
      <c r="C6215" t="inlineStr"/>
      <c r="D6215" t="inlineStr">
        <is>
          <t>288</t>
        </is>
      </c>
      <c r="E6215" t="inlineStr">
        <is>
          <t>1</t>
        </is>
      </c>
      <c r="F6215" t="inlineStr">
        <is>
          <t>72</t>
        </is>
      </c>
      <c r="G6215" t="inlineStr">
        <is>
          <t>0</t>
        </is>
      </c>
      <c r="H6215" t="inlineStr">
        <is>
          <t>0</t>
        </is>
      </c>
      <c r="I6215" t="inlineStr">
        <is>
          <t>2⁴, 4¹, 46⁴, 92¹</t>
        </is>
      </c>
      <c r="J6215" t="n">
        <v>10</v>
      </c>
      <c r="K6215" t="inlineStr">
        <is>
          <t>1⁶, 22³</t>
        </is>
      </c>
      <c r="L6215" t="inlineStr">
        <is>
          <t>46A¹⁰</t>
        </is>
      </c>
      <c r="M6215" t="inlineStr"/>
      <c r="N6215" t="inlineStr">
        <is>
          <t>2A⁰, 46A⁵, 23A², 2B⁰, 46A¹⁰, 1A⁰, 2C⁰, 46A⁴</t>
        </is>
      </c>
      <c r="O6215" t="inlineStr"/>
    </row>
    <row r="6216">
      <c r="A6216">
        <f>HYPERLINK("https://mathstats.uncg.edu/sites/pauli/congruence/csg20.html#group92B20", "92B²⁰")</f>
        <v/>
      </c>
      <c r="B6216" t="n">
        <v>20</v>
      </c>
      <c r="C6216" t="inlineStr"/>
      <c r="D6216" t="inlineStr">
        <is>
          <t>288</t>
        </is>
      </c>
      <c r="E6216" t="inlineStr">
        <is>
          <t>1</t>
        </is>
      </c>
      <c r="F6216" t="inlineStr">
        <is>
          <t>144</t>
        </is>
      </c>
      <c r="G6216" t="inlineStr">
        <is>
          <t>0</t>
        </is>
      </c>
      <c r="H6216" t="inlineStr">
        <is>
          <t>0</t>
        </is>
      </c>
      <c r="I6216" t="inlineStr">
        <is>
          <t>1², 2¹, 4², 23², 46¹, 92²</t>
        </is>
      </c>
      <c r="J6216" t="n">
        <v>10</v>
      </c>
      <c r="K6216" t="inlineStr">
        <is>
          <t>1⁸, 2², 22⁴, 44¹</t>
        </is>
      </c>
      <c r="L6216" t="inlineStr">
        <is>
          <t>92A¹⁰</t>
        </is>
      </c>
      <c r="M6216" t="inlineStr"/>
      <c r="N6216" t="inlineStr">
        <is>
          <t>92A¹⁰, 2B⁰, 23A², 4B⁰, 1A⁰, 46A⁵</t>
        </is>
      </c>
      <c r="O6216" t="inlineStr"/>
    </row>
    <row r="6217">
      <c r="A6217">
        <f>HYPERLINK("https://mathstats.uncg.edu/sites/pauli/congruence/csg20.html#group95A20", "95A²⁰")</f>
        <v/>
      </c>
      <c r="B6217" t="n">
        <v>20</v>
      </c>
      <c r="C6217" t="inlineStr"/>
      <c r="D6217" t="inlineStr">
        <is>
          <t>285</t>
        </is>
      </c>
      <c r="E6217" t="inlineStr">
        <is>
          <t>2</t>
        </is>
      </c>
      <c r="F6217" t="inlineStr">
        <is>
          <t>285</t>
        </is>
      </c>
      <c r="G6217" t="inlineStr">
        <is>
          <t>5</t>
        </is>
      </c>
      <c r="H6217" t="inlineStr">
        <is>
          <t>6</t>
        </is>
      </c>
      <c r="I6217" t="inlineStr">
        <is>
          <t>95³</t>
        </is>
      </c>
      <c r="J6217" t="n">
        <v>3</v>
      </c>
      <c r="K6217" t="inlineStr">
        <is>
          <t>6¹, 18⁶, 24¹, 72⁶</t>
        </is>
      </c>
      <c r="L6217" t="inlineStr">
        <is>
          <t>5A⁰, 19A²</t>
        </is>
      </c>
      <c r="M6217" t="inlineStr"/>
      <c r="N6217" t="inlineStr">
        <is>
          <t>19A², 1A⁰, 5A⁰</t>
        </is>
      </c>
      <c r="O6217" t="inlineStr"/>
    </row>
    <row r="6218">
      <c r="A6218">
        <f>HYPERLINK("https://mathstats.uncg.edu/sites/pauli/congruence/csg20.html#group96A20", "96A²⁰")</f>
        <v/>
      </c>
      <c r="B6218" t="n">
        <v>20</v>
      </c>
      <c r="C6218" t="inlineStr"/>
      <c r="D6218" t="inlineStr">
        <is>
          <t>288</t>
        </is>
      </c>
      <c r="E6218" t="inlineStr">
        <is>
          <t>1</t>
        </is>
      </c>
      <c r="F6218" t="inlineStr">
        <is>
          <t>24</t>
        </is>
      </c>
      <c r="G6218" t="inlineStr">
        <is>
          <t>0</t>
        </is>
      </c>
      <c r="H6218" t="inlineStr">
        <is>
          <t>0</t>
        </is>
      </c>
      <c r="I6218" t="inlineStr">
        <is>
          <t>12⁸, 96²</t>
        </is>
      </c>
      <c r="J6218" t="n">
        <v>10</v>
      </c>
      <c r="K6218" t="inlineStr">
        <is>
          <t>1², 2¹, 4¹, 8²</t>
        </is>
      </c>
      <c r="L6218" t="inlineStr">
        <is>
          <t>32C⁴, 96C⁸, 96D⁸, 48C¹⁰</t>
        </is>
      </c>
      <c r="M6218" t="inlineStr"/>
      <c r="N6218" t="inlineStr">
        <is>
          <t>24A³, 12C⁰, 4C⁰, 96D⁸, 32D¹, 2B⁰, 1A⁰, 16E⁰, 48E⁴, 48D³, 3A⁰, 16D², 8A¹, 32C⁴, 8D⁰, 12A⁰, 8C¹, 32C¹, 4A⁰, 96C⁸, 16C¹, 24C¹, 12J¹, 4F⁰, 48C¹⁰, 6D⁰, 24B⁵</t>
        </is>
      </c>
      <c r="O6218" t="inlineStr"/>
    </row>
    <row r="6219">
      <c r="A6219">
        <f>HYPERLINK("https://mathstats.uncg.edu/sites/pauli/congruence/csg20.html#group96B20", "96B²⁰")</f>
        <v/>
      </c>
      <c r="B6219" t="n">
        <v>20</v>
      </c>
      <c r="C6219" t="inlineStr"/>
      <c r="D6219" t="inlineStr">
        <is>
          <t>288</t>
        </is>
      </c>
      <c r="E6219" t="inlineStr">
        <is>
          <t>1</t>
        </is>
      </c>
      <c r="F6219" t="inlineStr">
        <is>
          <t>72</t>
        </is>
      </c>
      <c r="G6219" t="inlineStr">
        <is>
          <t>0</t>
        </is>
      </c>
      <c r="H6219" t="inlineStr">
        <is>
          <t>0</t>
        </is>
      </c>
      <c r="I6219" t="inlineStr">
        <is>
          <t>12⁸, 96²</t>
        </is>
      </c>
      <c r="J6219" t="n">
        <v>10</v>
      </c>
      <c r="K6219" t="inlineStr">
        <is>
          <t>1², 2³, 4², 8³, 16²</t>
        </is>
      </c>
      <c r="L6219" t="inlineStr">
        <is>
          <t>96E⁸, 96F⁸, 48C¹⁰</t>
        </is>
      </c>
      <c r="M6219" t="inlineStr"/>
      <c r="N6219" t="inlineStr">
        <is>
          <t>24A³, 12C⁰, 4C⁰, 2B⁰, 1A⁰, 16E⁰, 48E⁴, 48D³, 3A⁰, 16D², 8A¹, 8D⁰, 96E⁸, 12A⁰, 96F⁸, 8C¹, 4A⁰, 16C¹, 24C¹, 12J¹, 4F⁰, 48C¹⁰, 6D⁰, 24B⁵</t>
        </is>
      </c>
      <c r="O6219" t="inlineStr"/>
    </row>
    <row r="6220">
      <c r="A6220">
        <f>HYPERLINK("https://mathstats.uncg.edu/sites/pauli/congruence/csg20.html#group96C20", "96C²⁰")</f>
        <v/>
      </c>
      <c r="B6220" t="n">
        <v>20</v>
      </c>
      <c r="C6220" t="inlineStr"/>
      <c r="D6220" t="inlineStr">
        <is>
          <t>288</t>
        </is>
      </c>
      <c r="E6220" t="inlineStr">
        <is>
          <t>1</t>
        </is>
      </c>
      <c r="F6220" t="inlineStr">
        <is>
          <t>72</t>
        </is>
      </c>
      <c r="G6220" t="inlineStr">
        <is>
          <t>8</t>
        </is>
      </c>
      <c r="H6220" t="inlineStr">
        <is>
          <t>0</t>
        </is>
      </c>
      <c r="I6220" t="inlineStr">
        <is>
          <t>24⁴, 96²</t>
        </is>
      </c>
      <c r="J6220" t="n">
        <v>6</v>
      </c>
      <c r="K6220" t="inlineStr">
        <is>
          <t>4⁶, 8³, 16⁶</t>
        </is>
      </c>
      <c r="L6220" t="inlineStr">
        <is>
          <t>48Q⁸, 96D¹⁰</t>
        </is>
      </c>
      <c r="M6220" t="inlineStr"/>
      <c r="N6220" t="inlineStr">
        <is>
          <t>24Q³, 12C⁰, 48G³, 8D⁰, 4C⁰, 24D¹, 12M¹, 2B⁰, 48Q⁸, 1A⁰, 48E⁴, 16C¹, 24C¹, 3A⁰, 6D⁰, 96D¹⁰</t>
        </is>
      </c>
      <c r="O6220" t="inlineStr"/>
    </row>
    <row r="6221">
      <c r="A6221">
        <f>HYPERLINK("https://mathstats.uncg.edu/sites/pauli/congruence/csg20.html#group96D20", "96D²⁰")</f>
        <v/>
      </c>
      <c r="B6221" t="n">
        <v>20</v>
      </c>
      <c r="C6221" t="inlineStr"/>
      <c r="D6221" t="inlineStr">
        <is>
          <t>288</t>
        </is>
      </c>
      <c r="E6221" t="inlineStr">
        <is>
          <t>1</t>
        </is>
      </c>
      <c r="F6221" t="inlineStr">
        <is>
          <t>72</t>
        </is>
      </c>
      <c r="G6221" t="inlineStr">
        <is>
          <t>8</t>
        </is>
      </c>
      <c r="H6221" t="inlineStr">
        <is>
          <t>0</t>
        </is>
      </c>
      <c r="I6221" t="inlineStr">
        <is>
          <t>24⁴, 96²</t>
        </is>
      </c>
      <c r="J6221" t="n">
        <v>6</v>
      </c>
      <c r="K6221" t="inlineStr">
        <is>
          <t>4⁶, 8³, 16⁶</t>
        </is>
      </c>
      <c r="L6221" t="inlineStr">
        <is>
          <t>48Q⁸, 96D¹⁰</t>
        </is>
      </c>
      <c r="M6221" t="inlineStr"/>
      <c r="N6221" t="inlineStr">
        <is>
          <t>24Q³, 12C⁰, 48G³, 8D⁰, 4C⁰, 24D¹, 12M¹, 2B⁰, 48Q⁸, 1A⁰, 48E⁴, 16C¹, 24C¹, 3A⁰, 6D⁰, 96D¹⁰</t>
        </is>
      </c>
      <c r="O6221" t="inlineStr"/>
    </row>
    <row r="6222">
      <c r="A6222">
        <f>HYPERLINK("https://mathstats.uncg.edu/sites/pauli/congruence/csg20.html#group96E20", "96E²⁰")</f>
        <v/>
      </c>
      <c r="B6222" t="n">
        <v>20</v>
      </c>
      <c r="C6222" t="inlineStr"/>
      <c r="D6222" t="inlineStr">
        <is>
          <t>288</t>
        </is>
      </c>
      <c r="E6222" t="inlineStr">
        <is>
          <t>1</t>
        </is>
      </c>
      <c r="F6222" t="inlineStr">
        <is>
          <t>144</t>
        </is>
      </c>
      <c r="G6222" t="inlineStr">
        <is>
          <t>8</t>
        </is>
      </c>
      <c r="H6222" t="inlineStr">
        <is>
          <t>0</t>
        </is>
      </c>
      <c r="I6222" t="inlineStr">
        <is>
          <t>24⁴, 96²</t>
        </is>
      </c>
      <c r="J6222" t="n">
        <v>6</v>
      </c>
      <c r="K6222" t="inlineStr">
        <is>
          <t>4², 8¹¹, 16¹²</t>
        </is>
      </c>
      <c r="L6222" t="inlineStr">
        <is>
          <t>48N⁸</t>
        </is>
      </c>
      <c r="M6222" t="inlineStr"/>
      <c r="N6222" t="inlineStr">
        <is>
          <t>24O², 24E¹, 6B⁰, 12C⁰, 3A⁰, 48H⁴, 8D⁰, 4C⁰, 2B⁰, 1A⁰, 24C¹, 48N⁸, 12D⁰, 6H⁰, 12H⁰, 6D⁰</t>
        </is>
      </c>
      <c r="O6222" t="inlineStr"/>
    </row>
    <row r="6223">
      <c r="A6223">
        <f>HYPERLINK("https://mathstats.uncg.edu/sites/pauli/congruence/csg20.html#group96F20", "96F²⁰")</f>
        <v/>
      </c>
      <c r="B6223" t="n">
        <v>20</v>
      </c>
      <c r="C6223" t="inlineStr"/>
      <c r="D6223" t="inlineStr">
        <is>
          <t>288</t>
        </is>
      </c>
      <c r="E6223" t="inlineStr">
        <is>
          <t>1</t>
        </is>
      </c>
      <c r="F6223" t="inlineStr">
        <is>
          <t>144</t>
        </is>
      </c>
      <c r="G6223" t="inlineStr">
        <is>
          <t>8</t>
        </is>
      </c>
      <c r="H6223" t="inlineStr">
        <is>
          <t>0</t>
        </is>
      </c>
      <c r="I6223" t="inlineStr">
        <is>
          <t>24⁴, 96²</t>
        </is>
      </c>
      <c r="J6223" t="n">
        <v>6</v>
      </c>
      <c r="K6223" t="inlineStr">
        <is>
          <t>4², 8¹¹, 16¹²</t>
        </is>
      </c>
      <c r="L6223" t="inlineStr">
        <is>
          <t>48N⁸</t>
        </is>
      </c>
      <c r="M6223" t="inlineStr"/>
      <c r="N6223" t="inlineStr">
        <is>
          <t>24O², 24E¹, 6B⁰, 12C⁰, 3A⁰, 48H⁴, 8D⁰, 4C⁰, 2B⁰, 1A⁰, 24C¹, 48N⁸, 12D⁰, 6H⁰, 12H⁰, 6D⁰</t>
        </is>
      </c>
      <c r="O6223" t="inlineStr"/>
    </row>
    <row r="6224">
      <c r="A6224">
        <f>HYPERLINK("https://mathstats.uncg.edu/sites/pauli/congruence/csg20.html#group96G20", "96G²⁰")</f>
        <v/>
      </c>
      <c r="B6224" t="n">
        <v>20</v>
      </c>
      <c r="C6224" t="inlineStr"/>
      <c r="D6224" t="inlineStr">
        <is>
          <t>288</t>
        </is>
      </c>
      <c r="E6224" t="inlineStr">
        <is>
          <t>2</t>
        </is>
      </c>
      <c r="F6224" t="inlineStr">
        <is>
          <t>24</t>
        </is>
      </c>
      <c r="G6224" t="inlineStr">
        <is>
          <t>12</t>
        </is>
      </c>
      <c r="H6224" t="inlineStr">
        <is>
          <t>0</t>
        </is>
      </c>
      <c r="I6224" t="inlineStr">
        <is>
          <t>48², 96²</t>
        </is>
      </c>
      <c r="J6224" t="n">
        <v>4</v>
      </c>
      <c r="K6224" t="inlineStr">
        <is>
          <t>2⁸, 4⁴, 8²</t>
        </is>
      </c>
      <c r="L6224" t="inlineStr">
        <is>
          <t>32C⁶, 48F⁸, 96C⁹, 96E⁹</t>
        </is>
      </c>
      <c r="M6224" t="inlineStr"/>
      <c r="N6224" t="inlineStr">
        <is>
          <t>48F⁸, 12C⁰, 4C⁰, 2B⁰, 32G³, 1A⁰, 16E², 16D¹, 24A⁰, 3A⁰, 8D⁰, 8B⁰, 24L², 96E⁹, 8H⁰, 12A⁰, 32C⁶, 48E³, 4A⁰, 24C¹, 32E³, 12J¹, 96C⁹, 4F⁰, 6D⁰</t>
        </is>
      </c>
      <c r="O6224" t="inlineStr"/>
    </row>
    <row r="6225">
      <c r="A6225">
        <f>HYPERLINK("https://mathstats.uncg.edu/sites/pauli/congruence/csg20.html#group96H20", "96H²⁰")</f>
        <v/>
      </c>
      <c r="B6225" t="n">
        <v>20</v>
      </c>
      <c r="C6225" t="inlineStr"/>
      <c r="D6225" t="inlineStr">
        <is>
          <t>288</t>
        </is>
      </c>
      <c r="E6225" t="inlineStr">
        <is>
          <t>2</t>
        </is>
      </c>
      <c r="F6225" t="inlineStr">
        <is>
          <t>24</t>
        </is>
      </c>
      <c r="G6225" t="inlineStr">
        <is>
          <t>12</t>
        </is>
      </c>
      <c r="H6225" t="inlineStr">
        <is>
          <t>0</t>
        </is>
      </c>
      <c r="I6225" t="inlineStr">
        <is>
          <t>48², 96²</t>
        </is>
      </c>
      <c r="J6225" t="n">
        <v>4</v>
      </c>
      <c r="K6225" t="inlineStr">
        <is>
          <t>2⁸, 4⁴, 8²</t>
        </is>
      </c>
      <c r="L6225" t="inlineStr">
        <is>
          <t>32D⁶, 48F⁸, 96F⁹, 96D⁹</t>
        </is>
      </c>
      <c r="M6225" t="inlineStr"/>
      <c r="N6225" t="inlineStr">
        <is>
          <t>48F⁸, 12C⁰, 96F⁹, 4C⁰, 2B⁰, 32F³, 1A⁰, 16E², 16D¹, 24A⁰, 6D⁰, 3A⁰, 8D⁰, 32D⁶, 8B⁰, 24L², 8H⁰, 12A⁰, 48E³, 96D⁹, 4A⁰, 24C¹, 12J¹, 4F⁰, 32H³</t>
        </is>
      </c>
      <c r="O6225" t="inlineStr"/>
    </row>
    <row r="6226">
      <c r="A6226">
        <f>HYPERLINK("https://mathstats.uncg.edu/sites/pauli/congruence/csg20.html#group96I20", "96I²⁰")</f>
        <v/>
      </c>
      <c r="B6226" t="n">
        <v>20</v>
      </c>
      <c r="C6226" t="inlineStr"/>
      <c r="D6226" t="inlineStr">
        <is>
          <t>288</t>
        </is>
      </c>
      <c r="E6226" t="inlineStr">
        <is>
          <t>2</t>
        </is>
      </c>
      <c r="F6226" t="inlineStr">
        <is>
          <t>24</t>
        </is>
      </c>
      <c r="G6226" t="inlineStr">
        <is>
          <t>12</t>
        </is>
      </c>
      <c r="H6226" t="inlineStr">
        <is>
          <t>0</t>
        </is>
      </c>
      <c r="I6226" t="inlineStr">
        <is>
          <t>48², 96²</t>
        </is>
      </c>
      <c r="J6226" t="n">
        <v>4</v>
      </c>
      <c r="K6226" t="inlineStr">
        <is>
          <t>2⁸, 4⁴, 8²</t>
        </is>
      </c>
      <c r="L6226" t="inlineStr">
        <is>
          <t>32E⁶, 48X⁸, 96C⁹, 96F⁹</t>
        </is>
      </c>
      <c r="M6226" t="inlineStr"/>
      <c r="N6226" t="inlineStr">
        <is>
          <t>12C⁰, 48X⁸, 96F⁹, 4C⁰, 8B⁰, 32H³, 16B¹, 8L⁰, 2B⁰, 1A⁰, 48C³, 16D¹, 32E⁶, 48E³, 16F², 24A⁰, 24M², 32E³, 96C⁹, 3A⁰, 6D⁰</t>
        </is>
      </c>
      <c r="O6226" t="inlineStr"/>
    </row>
    <row r="6227">
      <c r="A6227">
        <f>HYPERLINK("https://mathstats.uncg.edu/sites/pauli/congruence/csg20.html#group96J20", "96J²⁰")</f>
        <v/>
      </c>
      <c r="B6227" t="n">
        <v>20</v>
      </c>
      <c r="C6227" t="inlineStr"/>
      <c r="D6227" t="inlineStr">
        <is>
          <t>288</t>
        </is>
      </c>
      <c r="E6227" t="inlineStr">
        <is>
          <t>2</t>
        </is>
      </c>
      <c r="F6227" t="inlineStr">
        <is>
          <t>24</t>
        </is>
      </c>
      <c r="G6227" t="inlineStr">
        <is>
          <t>12</t>
        </is>
      </c>
      <c r="H6227" t="inlineStr">
        <is>
          <t>0</t>
        </is>
      </c>
      <c r="I6227" t="inlineStr">
        <is>
          <t>48², 96²</t>
        </is>
      </c>
      <c r="J6227" t="n">
        <v>4</v>
      </c>
      <c r="K6227" t="inlineStr">
        <is>
          <t>2⁸, 4⁴, 8²</t>
        </is>
      </c>
      <c r="L6227" t="inlineStr">
        <is>
          <t>32F⁶, 48X⁸, 96E⁹, 96D⁹</t>
        </is>
      </c>
      <c r="M6227" t="inlineStr"/>
      <c r="N6227" t="inlineStr">
        <is>
          <t>32F⁶, 12C⁰, 48X⁸, 4C⁰, 8B⁰, 16B¹, 8L⁰, 2B⁰, 32G³, 32F³, 1A⁰, 96E⁹, 48C³, 16D¹, 48E³, 16F², 96D⁹, 24A⁰, 24M², 3A⁰, 6D⁰</t>
        </is>
      </c>
      <c r="O6227" t="inlineStr"/>
    </row>
    <row r="6228">
      <c r="A6228">
        <f>HYPERLINK("https://mathstats.uncg.edu/sites/pauli/congruence/csg20.html#group96K20", "96K²⁰")</f>
        <v/>
      </c>
      <c r="B6228" t="n">
        <v>20</v>
      </c>
      <c r="C6228" t="inlineStr"/>
      <c r="D6228" t="inlineStr">
        <is>
          <t>288</t>
        </is>
      </c>
      <c r="E6228" t="inlineStr">
        <is>
          <t>2</t>
        </is>
      </c>
      <c r="F6228" t="inlineStr">
        <is>
          <t>72</t>
        </is>
      </c>
      <c r="G6228" t="inlineStr">
        <is>
          <t>8</t>
        </is>
      </c>
      <c r="H6228" t="inlineStr">
        <is>
          <t>0</t>
        </is>
      </c>
      <c r="I6228" t="inlineStr">
        <is>
          <t>24⁴, 96²</t>
        </is>
      </c>
      <c r="J6228" t="n">
        <v>6</v>
      </c>
      <c r="K6228" t="inlineStr">
        <is>
          <t>4⁴, 8⁸, 16⁴</t>
        </is>
      </c>
      <c r="L6228" t="inlineStr">
        <is>
          <t>48O⁸, 96D¹⁰</t>
        </is>
      </c>
      <c r="M6228" t="inlineStr"/>
      <c r="N6228" t="inlineStr">
        <is>
          <t>24O², 24E¹, 6B⁰, 12C⁰, 8D⁰, 48H⁴, 48O⁸, 4C⁰, 2B⁰, 12H⁰, 1A⁰, 48E⁴, 16C¹, 24C¹, 12D⁰, 6H⁰, 3A⁰, 6D⁰, 96D¹⁰</t>
        </is>
      </c>
      <c r="O6228" t="inlineStr"/>
    </row>
    <row r="6229">
      <c r="A6229">
        <f>HYPERLINK("https://mathstats.uncg.edu/sites/pauli/congruence/csg20.html#group96L20", "96L²⁰")</f>
        <v/>
      </c>
      <c r="B6229" t="n">
        <v>20</v>
      </c>
      <c r="C6229" t="inlineStr"/>
      <c r="D6229" t="inlineStr">
        <is>
          <t>288</t>
        </is>
      </c>
      <c r="E6229" t="inlineStr">
        <is>
          <t>2</t>
        </is>
      </c>
      <c r="F6229" t="inlineStr">
        <is>
          <t>72</t>
        </is>
      </c>
      <c r="G6229" t="inlineStr">
        <is>
          <t>8</t>
        </is>
      </c>
      <c r="H6229" t="inlineStr">
        <is>
          <t>0</t>
        </is>
      </c>
      <c r="I6229" t="inlineStr">
        <is>
          <t>24⁴, 96²</t>
        </is>
      </c>
      <c r="J6229" t="n">
        <v>6</v>
      </c>
      <c r="K6229" t="inlineStr">
        <is>
          <t>2², 4⁵, 8⁷, 16⁴</t>
        </is>
      </c>
      <c r="L6229" t="inlineStr">
        <is>
          <t>48O⁸, 96C¹⁰, 96D¹⁰</t>
        </is>
      </c>
      <c r="M6229" t="inlineStr"/>
      <c r="N6229" t="inlineStr">
        <is>
          <t>24O², 24E¹, 6B⁰, 12C⁰, 8D⁰, 48H⁴, 48O⁸, 4C⁰, 2B⁰, 32I³, 12H⁰, 1A⁰, 48E⁴, 16C¹, 24C¹, 12D⁰, 6H⁰, 3A⁰, 6D⁰, 96D¹⁰, 96C¹⁰</t>
        </is>
      </c>
      <c r="O6229" t="inlineStr"/>
    </row>
    <row r="6230">
      <c r="A6230">
        <f>HYPERLINK("https://mathstats.uncg.edu/sites/pauli/congruence/csg20.html#group96M20", "96M²⁰")</f>
        <v/>
      </c>
      <c r="B6230" t="n">
        <v>20</v>
      </c>
      <c r="C6230" t="inlineStr"/>
      <c r="D6230" t="inlineStr">
        <is>
          <t>288</t>
        </is>
      </c>
      <c r="E6230" t="inlineStr">
        <is>
          <t>2</t>
        </is>
      </c>
      <c r="F6230" t="inlineStr">
        <is>
          <t>72</t>
        </is>
      </c>
      <c r="G6230" t="inlineStr">
        <is>
          <t>8</t>
        </is>
      </c>
      <c r="H6230" t="inlineStr">
        <is>
          <t>0</t>
        </is>
      </c>
      <c r="I6230" t="inlineStr">
        <is>
          <t>24⁴, 96²</t>
        </is>
      </c>
      <c r="J6230" t="n">
        <v>6</v>
      </c>
      <c r="K6230" t="inlineStr">
        <is>
          <t>2², 4⁵, 8⁷, 16⁴</t>
        </is>
      </c>
      <c r="L6230" t="inlineStr">
        <is>
          <t>48Q⁸, 96C¹⁰, 96D¹⁰</t>
        </is>
      </c>
      <c r="M6230" t="inlineStr"/>
      <c r="N6230" t="inlineStr">
        <is>
          <t>24Q³, 12C⁰, 48G³, 8D⁰, 4C⁰, 24D¹, 12M¹, 2B⁰, 32I³, 48Q⁸, 1A⁰, 48E⁴, 16C¹, 24C¹, 3A⁰, 6D⁰, 96D¹⁰, 96C¹⁰</t>
        </is>
      </c>
      <c r="O6230" t="inlineStr"/>
    </row>
    <row r="6231">
      <c r="A6231">
        <f>HYPERLINK("https://mathstats.uncg.edu/sites/pauli/congruence/csg20.html#group96N20", "96N²⁰")</f>
        <v/>
      </c>
      <c r="B6231" t="n">
        <v>20</v>
      </c>
      <c r="C6231" t="inlineStr"/>
      <c r="D6231" t="inlineStr">
        <is>
          <t>288</t>
        </is>
      </c>
      <c r="E6231" t="inlineStr">
        <is>
          <t>2</t>
        </is>
      </c>
      <c r="F6231" t="inlineStr">
        <is>
          <t>72</t>
        </is>
      </c>
      <c r="G6231" t="inlineStr">
        <is>
          <t>12</t>
        </is>
      </c>
      <c r="H6231" t="inlineStr">
        <is>
          <t>0</t>
        </is>
      </c>
      <c r="I6231" t="inlineStr">
        <is>
          <t>48², 96²</t>
        </is>
      </c>
      <c r="J6231" t="n">
        <v>4</v>
      </c>
      <c r="K6231" t="inlineStr">
        <is>
          <t>2⁸, 4¹², 8⁶, 16²</t>
        </is>
      </c>
      <c r="L6231" t="inlineStr">
        <is>
          <t>48F⁸, 96H⁹, 96K⁹</t>
        </is>
      </c>
      <c r="M6231" t="inlineStr"/>
      <c r="N6231" t="inlineStr">
        <is>
          <t>48F⁸, 12C⁰, 8D⁰, 4C⁰, 8B⁰, 2B⁰, 24L², 1A⁰, 16E², 8H⁰, 16D¹, 12A⁰, 48E³, 24A⁰, 4A⁰, 96K⁹, 24C¹, 96H⁹, 12J¹, 4F⁰, 3A⁰, 6D⁰</t>
        </is>
      </c>
      <c r="O6231" t="inlineStr"/>
    </row>
    <row r="6232">
      <c r="A6232">
        <f>HYPERLINK("https://mathstats.uncg.edu/sites/pauli/congruence/csg20.html#group96O20", "96O²⁰")</f>
        <v/>
      </c>
      <c r="B6232" t="n">
        <v>20</v>
      </c>
      <c r="C6232" t="inlineStr"/>
      <c r="D6232" t="inlineStr">
        <is>
          <t>288</t>
        </is>
      </c>
      <c r="E6232" t="inlineStr">
        <is>
          <t>2</t>
        </is>
      </c>
      <c r="F6232" t="inlineStr">
        <is>
          <t>72</t>
        </is>
      </c>
      <c r="G6232" t="inlineStr">
        <is>
          <t>12</t>
        </is>
      </c>
      <c r="H6232" t="inlineStr">
        <is>
          <t>0</t>
        </is>
      </c>
      <c r="I6232" t="inlineStr">
        <is>
          <t>48², 96²</t>
        </is>
      </c>
      <c r="J6232" t="n">
        <v>4</v>
      </c>
      <c r="K6232" t="inlineStr">
        <is>
          <t>2⁸, 4¹², 8⁶, 16²</t>
        </is>
      </c>
      <c r="L6232" t="inlineStr">
        <is>
          <t>48F⁸, 96I⁹, 96J⁹</t>
        </is>
      </c>
      <c r="M6232" t="inlineStr"/>
      <c r="N6232" t="inlineStr">
        <is>
          <t>48F⁸, 12C⁰, 8D⁰, 4C⁰, 8B⁰, 2B⁰, 24L², 96J⁹, 1A⁰, 16E², 8H⁰, 96I⁹, 16D¹, 12A⁰, 48E³, 24A⁰, 4A⁰, 24C¹, 12J¹, 4F⁰, 3A⁰, 6D⁰</t>
        </is>
      </c>
      <c r="O6232" t="inlineStr"/>
    </row>
    <row r="6233">
      <c r="A6233">
        <f>HYPERLINK("https://mathstats.uncg.edu/sites/pauli/congruence/csg20.html#group96P20", "96P²⁰")</f>
        <v/>
      </c>
      <c r="B6233" t="n">
        <v>20</v>
      </c>
      <c r="C6233" t="inlineStr"/>
      <c r="D6233" t="inlineStr">
        <is>
          <t>288</t>
        </is>
      </c>
      <c r="E6233" t="inlineStr">
        <is>
          <t>2</t>
        </is>
      </c>
      <c r="F6233" t="inlineStr">
        <is>
          <t>72</t>
        </is>
      </c>
      <c r="G6233" t="inlineStr">
        <is>
          <t>12</t>
        </is>
      </c>
      <c r="H6233" t="inlineStr">
        <is>
          <t>0</t>
        </is>
      </c>
      <c r="I6233" t="inlineStr">
        <is>
          <t>48², 96²</t>
        </is>
      </c>
      <c r="J6233" t="n">
        <v>4</v>
      </c>
      <c r="K6233" t="inlineStr">
        <is>
          <t>2⁸, 4¹², 8⁶, 16²</t>
        </is>
      </c>
      <c r="L6233" t="inlineStr">
        <is>
          <t>48X⁸, 96H⁹, 96J⁹</t>
        </is>
      </c>
      <c r="M6233" t="inlineStr"/>
      <c r="N6233" t="inlineStr">
        <is>
          <t>12C⁰, 48X⁸, 4C⁰, 8B⁰, 16B¹, 8L⁰, 2B⁰, 96J⁹, 1A⁰, 48C³, 16D¹, 48E³, 24A⁰, 16F², 24M², 96H⁹, 3A⁰, 6D⁰</t>
        </is>
      </c>
      <c r="O6233" t="inlineStr"/>
    </row>
    <row r="6234">
      <c r="A6234">
        <f>HYPERLINK("https://mathstats.uncg.edu/sites/pauli/congruence/csg20.html#group96Q20", "96Q²⁰")</f>
        <v/>
      </c>
      <c r="B6234" t="n">
        <v>20</v>
      </c>
      <c r="C6234" t="inlineStr"/>
      <c r="D6234" t="inlineStr">
        <is>
          <t>288</t>
        </is>
      </c>
      <c r="E6234" t="inlineStr">
        <is>
          <t>2</t>
        </is>
      </c>
      <c r="F6234" t="inlineStr">
        <is>
          <t>72</t>
        </is>
      </c>
      <c r="G6234" t="inlineStr">
        <is>
          <t>12</t>
        </is>
      </c>
      <c r="H6234" t="inlineStr">
        <is>
          <t>0</t>
        </is>
      </c>
      <c r="I6234" t="inlineStr">
        <is>
          <t>48², 96²</t>
        </is>
      </c>
      <c r="J6234" t="n">
        <v>4</v>
      </c>
      <c r="K6234" t="inlineStr">
        <is>
          <t>2⁸, 4¹², 8⁶, 16²</t>
        </is>
      </c>
      <c r="L6234" t="inlineStr">
        <is>
          <t>48X⁸, 96I⁹, 96K⁹</t>
        </is>
      </c>
      <c r="M6234" t="inlineStr"/>
      <c r="N6234" t="inlineStr">
        <is>
          <t>12C⁰, 48X⁸, 4C⁰, 8B⁰, 16B¹, 8L⁰, 2B⁰, 1A⁰, 48C³, 96I⁹, 16D¹, 48E³, 16F², 24A⁰, 96K⁹, 24M², 3A⁰, 6D⁰</t>
        </is>
      </c>
      <c r="O6234" t="inlineStr"/>
    </row>
    <row r="6235">
      <c r="A6235">
        <f>HYPERLINK("https://mathstats.uncg.edu/sites/pauli/congruence/csg20.html#group96R20", "96R²⁰")</f>
        <v/>
      </c>
      <c r="B6235" t="n">
        <v>20</v>
      </c>
      <c r="C6235" t="inlineStr"/>
      <c r="D6235" t="inlineStr">
        <is>
          <t>288</t>
        </is>
      </c>
      <c r="E6235" t="inlineStr">
        <is>
          <t>2</t>
        </is>
      </c>
      <c r="F6235" t="inlineStr">
        <is>
          <t>72</t>
        </is>
      </c>
      <c r="G6235" t="inlineStr">
        <is>
          <t>12</t>
        </is>
      </c>
      <c r="H6235" t="inlineStr">
        <is>
          <t>0</t>
        </is>
      </c>
      <c r="I6235" t="inlineStr">
        <is>
          <t>48², 96²</t>
        </is>
      </c>
      <c r="J6235" t="n">
        <v>4</v>
      </c>
      <c r="K6235" t="inlineStr">
        <is>
          <t>2⁸, 4¹², 8⁶, 16²</t>
        </is>
      </c>
      <c r="L6235" t="inlineStr">
        <is>
          <t>48AB⁸, 96C⁹, 96J⁹</t>
        </is>
      </c>
      <c r="M6235" t="inlineStr"/>
      <c r="N6235" t="inlineStr">
        <is>
          <t>48AB⁸, 24E¹, 12C⁰, 4C⁰, 8B⁰, 24P², 2B⁰, 12M¹, 96J⁹, 1A⁰, 48H³, 16D¹, 48E³, 24A⁰, 32E³, 96C⁹, 3A⁰, 6D⁰</t>
        </is>
      </c>
      <c r="O6235" t="inlineStr"/>
    </row>
    <row r="6236">
      <c r="A6236">
        <f>HYPERLINK("https://mathstats.uncg.edu/sites/pauli/congruence/csg20.html#group96S20", "96S²⁰")</f>
        <v/>
      </c>
      <c r="B6236" t="n">
        <v>20</v>
      </c>
      <c r="C6236" t="inlineStr"/>
      <c r="D6236" t="inlineStr">
        <is>
          <t>288</t>
        </is>
      </c>
      <c r="E6236" t="inlineStr">
        <is>
          <t>2</t>
        </is>
      </c>
      <c r="F6236" t="inlineStr">
        <is>
          <t>72</t>
        </is>
      </c>
      <c r="G6236" t="inlineStr">
        <is>
          <t>12</t>
        </is>
      </c>
      <c r="H6236" t="inlineStr">
        <is>
          <t>0</t>
        </is>
      </c>
      <c r="I6236" t="inlineStr">
        <is>
          <t>48², 96²</t>
        </is>
      </c>
      <c r="J6236" t="n">
        <v>4</v>
      </c>
      <c r="K6236" t="inlineStr">
        <is>
          <t>2⁸, 4¹², 8⁶, 16²</t>
        </is>
      </c>
      <c r="L6236" t="inlineStr">
        <is>
          <t>48AB⁸, 96D⁹, 96K⁹</t>
        </is>
      </c>
      <c r="M6236" t="inlineStr"/>
      <c r="N6236" t="inlineStr">
        <is>
          <t>48AB⁸, 24E¹, 12C⁰, 4C⁰, 8B⁰, 24P², 2B⁰, 12M¹, 32F³, 1A⁰, 48H³, 16D¹, 48E³, 24A⁰, 96D⁹, 96K⁹, 3A⁰, 6D⁰</t>
        </is>
      </c>
      <c r="O6236" t="inlineStr"/>
    </row>
    <row r="6237">
      <c r="A6237">
        <f>HYPERLINK("https://mathstats.uncg.edu/sites/pauli/congruence/csg20.html#group96T20", "96T²⁰")</f>
        <v/>
      </c>
      <c r="B6237" t="n">
        <v>20</v>
      </c>
      <c r="C6237" t="inlineStr"/>
      <c r="D6237" t="inlineStr">
        <is>
          <t>288</t>
        </is>
      </c>
      <c r="E6237" t="inlineStr">
        <is>
          <t>2</t>
        </is>
      </c>
      <c r="F6237" t="inlineStr">
        <is>
          <t>72</t>
        </is>
      </c>
      <c r="G6237" t="inlineStr">
        <is>
          <t>12</t>
        </is>
      </c>
      <c r="H6237" t="inlineStr">
        <is>
          <t>0</t>
        </is>
      </c>
      <c r="I6237" t="inlineStr">
        <is>
          <t>48², 96²</t>
        </is>
      </c>
      <c r="J6237" t="n">
        <v>4</v>
      </c>
      <c r="K6237" t="inlineStr">
        <is>
          <t>2⁸, 4¹², 8⁶, 16²</t>
        </is>
      </c>
      <c r="L6237" t="inlineStr">
        <is>
          <t>48AB⁸, 96E⁹, 96I⁹</t>
        </is>
      </c>
      <c r="M6237" t="inlineStr"/>
      <c r="N6237" t="inlineStr">
        <is>
          <t>48AB⁸, 24E¹, 12C⁰, 4C⁰, 8B⁰, 24P², 2B⁰, 12M¹, 32G³, 1A⁰, 96E⁹, 48H³, 96I⁹, 16D¹, 48E³, 24A⁰, 3A⁰, 6D⁰</t>
        </is>
      </c>
      <c r="O6237" t="inlineStr"/>
    </row>
    <row r="6238">
      <c r="A6238">
        <f>HYPERLINK("https://mathstats.uncg.edu/sites/pauli/congruence/csg20.html#group96U20", "96U²⁰")</f>
        <v/>
      </c>
      <c r="B6238" t="n">
        <v>20</v>
      </c>
      <c r="C6238" t="inlineStr"/>
      <c r="D6238" t="inlineStr">
        <is>
          <t>288</t>
        </is>
      </c>
      <c r="E6238" t="inlineStr">
        <is>
          <t>2</t>
        </is>
      </c>
      <c r="F6238" t="inlineStr">
        <is>
          <t>72</t>
        </is>
      </c>
      <c r="G6238" t="inlineStr">
        <is>
          <t>12</t>
        </is>
      </c>
      <c r="H6238" t="inlineStr">
        <is>
          <t>0</t>
        </is>
      </c>
      <c r="I6238" t="inlineStr">
        <is>
          <t>48², 96²</t>
        </is>
      </c>
      <c r="J6238" t="n">
        <v>4</v>
      </c>
      <c r="K6238" t="inlineStr">
        <is>
          <t>2⁸, 4¹², 8⁶, 16²</t>
        </is>
      </c>
      <c r="L6238" t="inlineStr">
        <is>
          <t>48AB⁸, 96F⁹, 96H⁹</t>
        </is>
      </c>
      <c r="M6238" t="inlineStr"/>
      <c r="N6238" t="inlineStr">
        <is>
          <t>48AB⁸, 24E¹, 12C⁰, 96F⁹, 4C⁰, 8B⁰, 32H³, 24P², 2B⁰, 12M¹, 1A⁰, 48H³, 16D¹, 48E³, 24A⁰, 96H⁹, 3A⁰, 6D⁰</t>
        </is>
      </c>
      <c r="O6238" t="inlineStr"/>
    </row>
    <row r="6239">
      <c r="A6239">
        <f>HYPERLINK("https://mathstats.uncg.edu/sites/pauli/congruence/csg20.html#group96V20", "96V²⁰")</f>
        <v/>
      </c>
      <c r="B6239" t="n">
        <v>20</v>
      </c>
      <c r="C6239" t="inlineStr"/>
      <c r="D6239" t="inlineStr">
        <is>
          <t>288</t>
        </is>
      </c>
      <c r="E6239" t="inlineStr">
        <is>
          <t>2</t>
        </is>
      </c>
      <c r="F6239" t="inlineStr">
        <is>
          <t>72</t>
        </is>
      </c>
      <c r="G6239" t="inlineStr">
        <is>
          <t>12</t>
        </is>
      </c>
      <c r="H6239" t="inlineStr">
        <is>
          <t>0</t>
        </is>
      </c>
      <c r="I6239" t="inlineStr">
        <is>
          <t>48², 96²</t>
        </is>
      </c>
      <c r="J6239" t="n">
        <v>4</v>
      </c>
      <c r="K6239" t="inlineStr">
        <is>
          <t>2⁸, 4¹², 8⁶, 16²</t>
        </is>
      </c>
      <c r="L6239" t="inlineStr">
        <is>
          <t>48AD⁸, 96C⁹, 96K⁹</t>
        </is>
      </c>
      <c r="M6239" t="inlineStr"/>
      <c r="N6239" t="inlineStr">
        <is>
          <t>16D¹, 12C⁰, 48E³, 24A⁰, 96K⁹, 4C⁰, 8B⁰, 24Q², 32E³, 2B⁰, 96C⁹, 48F³, 3A⁰, 1A⁰, 48AD⁸, 6D⁰</t>
        </is>
      </c>
      <c r="O6239" t="inlineStr"/>
    </row>
    <row r="6240">
      <c r="A6240">
        <f>HYPERLINK("https://mathstats.uncg.edu/sites/pauli/congruence/csg20.html#group96W20", "96W²⁰")</f>
        <v/>
      </c>
      <c r="B6240" t="n">
        <v>20</v>
      </c>
      <c r="C6240" t="inlineStr"/>
      <c r="D6240" t="inlineStr">
        <is>
          <t>288</t>
        </is>
      </c>
      <c r="E6240" t="inlineStr">
        <is>
          <t>2</t>
        </is>
      </c>
      <c r="F6240" t="inlineStr">
        <is>
          <t>72</t>
        </is>
      </c>
      <c r="G6240" t="inlineStr">
        <is>
          <t>12</t>
        </is>
      </c>
      <c r="H6240" t="inlineStr">
        <is>
          <t>0</t>
        </is>
      </c>
      <c r="I6240" t="inlineStr">
        <is>
          <t>48², 96²</t>
        </is>
      </c>
      <c r="J6240" t="n">
        <v>4</v>
      </c>
      <c r="K6240" t="inlineStr">
        <is>
          <t>2⁸, 4¹², 8⁶, 16²</t>
        </is>
      </c>
      <c r="L6240" t="inlineStr">
        <is>
          <t>48AD⁸, 96D⁹, 96J⁹</t>
        </is>
      </c>
      <c r="M6240" t="inlineStr"/>
      <c r="N6240" t="inlineStr">
        <is>
          <t>32F³, 16D¹, 12C⁰, 3A⁰, 48E³, 24A⁰, 96D⁹, 4C⁰, 8B⁰, 24Q², 2B⁰, 48F³, 96J⁹, 1A⁰, 48AD⁸, 6D⁰</t>
        </is>
      </c>
      <c r="O6240" t="inlineStr"/>
    </row>
    <row r="6241">
      <c r="A6241">
        <f>HYPERLINK("https://mathstats.uncg.edu/sites/pauli/congruence/csg20.html#group96X20", "96X²⁰")</f>
        <v/>
      </c>
      <c r="B6241" t="n">
        <v>20</v>
      </c>
      <c r="C6241" t="inlineStr"/>
      <c r="D6241" t="inlineStr">
        <is>
          <t>288</t>
        </is>
      </c>
      <c r="E6241" t="inlineStr">
        <is>
          <t>2</t>
        </is>
      </c>
      <c r="F6241" t="inlineStr">
        <is>
          <t>72</t>
        </is>
      </c>
      <c r="G6241" t="inlineStr">
        <is>
          <t>12</t>
        </is>
      </c>
      <c r="H6241" t="inlineStr">
        <is>
          <t>0</t>
        </is>
      </c>
      <c r="I6241" t="inlineStr">
        <is>
          <t>48², 96²</t>
        </is>
      </c>
      <c r="J6241" t="n">
        <v>4</v>
      </c>
      <c r="K6241" t="inlineStr">
        <is>
          <t>2⁸, 4¹², 8⁶, 16²</t>
        </is>
      </c>
      <c r="L6241" t="inlineStr">
        <is>
          <t>48AD⁸, 96E⁹, 96H⁹</t>
        </is>
      </c>
      <c r="M6241" t="inlineStr"/>
      <c r="N6241" t="inlineStr">
        <is>
          <t>16D¹, 12C⁰, 48E³, 24A⁰, 48AD⁸, 4C⁰, 8B⁰, 96H⁹, 24Q², 2B⁰, 32G³, 48F³, 3A⁰, 1A⁰, 96E⁹, 6D⁰</t>
        </is>
      </c>
      <c r="O6241" t="inlineStr"/>
    </row>
    <row r="6242">
      <c r="A6242">
        <f>HYPERLINK("https://mathstats.uncg.edu/sites/pauli/congruence/csg20.html#group96Y20", "96Y²⁰")</f>
        <v/>
      </c>
      <c r="B6242" t="n">
        <v>20</v>
      </c>
      <c r="C6242" t="inlineStr"/>
      <c r="D6242" t="inlineStr">
        <is>
          <t>288</t>
        </is>
      </c>
      <c r="E6242" t="inlineStr">
        <is>
          <t>2</t>
        </is>
      </c>
      <c r="F6242" t="inlineStr">
        <is>
          <t>72</t>
        </is>
      </c>
      <c r="G6242" t="inlineStr">
        <is>
          <t>12</t>
        </is>
      </c>
      <c r="H6242" t="inlineStr">
        <is>
          <t>0</t>
        </is>
      </c>
      <c r="I6242" t="inlineStr">
        <is>
          <t>48², 96²</t>
        </is>
      </c>
      <c r="J6242" t="n">
        <v>4</v>
      </c>
      <c r="K6242" t="inlineStr">
        <is>
          <t>2⁸, 4¹², 8⁶, 16²</t>
        </is>
      </c>
      <c r="L6242" t="inlineStr">
        <is>
          <t>48AD⁸, 96F⁹, 96I⁹</t>
        </is>
      </c>
      <c r="M6242" t="inlineStr"/>
      <c r="N6242" t="inlineStr">
        <is>
          <t>96I⁹, 16D¹, 12C⁰, 48E³, 96F⁹, 24A⁰, 4C⁰, 8B⁰, 32H³, 24Q², 2B⁰, 48F³, 3A⁰, 1A⁰, 48AD⁸, 6D⁰</t>
        </is>
      </c>
      <c r="O6242" t="inlineStr"/>
    </row>
    <row r="6243">
      <c r="A6243">
        <f>HYPERLINK("https://mathstats.uncg.edu/sites/pauli/congruence/csg20.html#group96Z20", "96Z²⁰")</f>
        <v/>
      </c>
      <c r="B6243" t="n">
        <v>20</v>
      </c>
      <c r="C6243" t="inlineStr"/>
      <c r="D6243" t="inlineStr">
        <is>
          <t>288</t>
        </is>
      </c>
      <c r="E6243" t="inlineStr">
        <is>
          <t>2</t>
        </is>
      </c>
      <c r="F6243" t="inlineStr">
        <is>
          <t>72</t>
        </is>
      </c>
      <c r="G6243" t="inlineStr">
        <is>
          <t>12</t>
        </is>
      </c>
      <c r="H6243" t="inlineStr">
        <is>
          <t>0</t>
        </is>
      </c>
      <c r="I6243" t="inlineStr">
        <is>
          <t>48², 96²</t>
        </is>
      </c>
      <c r="J6243" t="n">
        <v>4</v>
      </c>
      <c r="K6243" t="inlineStr">
        <is>
          <t>4²⁴, 8¹², 16⁶</t>
        </is>
      </c>
      <c r="L6243" t="inlineStr">
        <is>
          <t>48AB⁸, 96H⁹, 96K⁹</t>
        </is>
      </c>
      <c r="M6243" t="inlineStr"/>
      <c r="N6243" t="inlineStr">
        <is>
          <t>48AB⁸, 24E¹, 12C⁰, 4C⁰, 8B⁰, 24P², 2B⁰, 12M¹, 1A⁰, 48H³, 16D¹, 48E³, 24A⁰, 96K⁹, 96H⁹, 3A⁰, 6D⁰</t>
        </is>
      </c>
      <c r="O6243" t="inlineStr"/>
    </row>
    <row r="6244">
      <c r="A6244">
        <f>HYPERLINK("https://mathstats.uncg.edu/sites/pauli/congruence/csg20.html#group96AA20", "96AA²⁰")</f>
        <v/>
      </c>
      <c r="B6244" t="n">
        <v>20</v>
      </c>
      <c r="C6244" t="inlineStr"/>
      <c r="D6244" t="inlineStr">
        <is>
          <t>288</t>
        </is>
      </c>
      <c r="E6244" t="inlineStr">
        <is>
          <t>2</t>
        </is>
      </c>
      <c r="F6244" t="inlineStr">
        <is>
          <t>72</t>
        </is>
      </c>
      <c r="G6244" t="inlineStr">
        <is>
          <t>12</t>
        </is>
      </c>
      <c r="H6244" t="inlineStr">
        <is>
          <t>0</t>
        </is>
      </c>
      <c r="I6244" t="inlineStr">
        <is>
          <t>48², 96²</t>
        </is>
      </c>
      <c r="J6244" t="n">
        <v>4</v>
      </c>
      <c r="K6244" t="inlineStr">
        <is>
          <t>4²⁴, 8¹², 16⁶</t>
        </is>
      </c>
      <c r="L6244" t="inlineStr">
        <is>
          <t>48AB⁸, 96H⁹, 96K⁹</t>
        </is>
      </c>
      <c r="M6244" t="inlineStr"/>
      <c r="N6244" t="inlineStr">
        <is>
          <t>48AB⁸, 24E¹, 12C⁰, 4C⁰, 8B⁰, 24P², 2B⁰, 12M¹, 1A⁰, 48H³, 16D¹, 48E³, 24A⁰, 96K⁹, 96H⁹, 3A⁰, 6D⁰</t>
        </is>
      </c>
      <c r="O6244" t="inlineStr"/>
    </row>
    <row r="6245">
      <c r="A6245">
        <f>HYPERLINK("https://mathstats.uncg.edu/sites/pauli/congruence/csg20.html#group96AB20", "96AB²⁰")</f>
        <v/>
      </c>
      <c r="B6245" t="n">
        <v>20</v>
      </c>
      <c r="C6245" t="inlineStr"/>
      <c r="D6245" t="inlineStr">
        <is>
          <t>288</t>
        </is>
      </c>
      <c r="E6245" t="inlineStr">
        <is>
          <t>2</t>
        </is>
      </c>
      <c r="F6245" t="inlineStr">
        <is>
          <t>72</t>
        </is>
      </c>
      <c r="G6245" t="inlineStr">
        <is>
          <t>12</t>
        </is>
      </c>
      <c r="H6245" t="inlineStr">
        <is>
          <t>0</t>
        </is>
      </c>
      <c r="I6245" t="inlineStr">
        <is>
          <t>48², 96²</t>
        </is>
      </c>
      <c r="J6245" t="n">
        <v>4</v>
      </c>
      <c r="K6245" t="inlineStr">
        <is>
          <t>4²⁴, 8¹², 16⁶</t>
        </is>
      </c>
      <c r="L6245" t="inlineStr">
        <is>
          <t>48AB⁸, 96I⁹, 96J⁹</t>
        </is>
      </c>
      <c r="M6245" t="inlineStr"/>
      <c r="N6245" t="inlineStr">
        <is>
          <t>48AB⁸, 24E¹, 12C⁰, 4C⁰, 8B⁰, 24P², 2B⁰, 12M¹, 96J⁹, 1A⁰, 48H³, 96I⁹, 16D¹, 48E³, 24A⁰, 3A⁰, 6D⁰</t>
        </is>
      </c>
      <c r="O6245" t="inlineStr"/>
    </row>
    <row r="6246">
      <c r="A6246">
        <f>HYPERLINK("https://mathstats.uncg.edu/sites/pauli/congruence/csg20.html#group96AC20", "96AC²⁰")</f>
        <v/>
      </c>
      <c r="B6246" t="n">
        <v>20</v>
      </c>
      <c r="C6246" t="inlineStr"/>
      <c r="D6246" t="inlineStr">
        <is>
          <t>288</t>
        </is>
      </c>
      <c r="E6246" t="inlineStr">
        <is>
          <t>2</t>
        </is>
      </c>
      <c r="F6246" t="inlineStr">
        <is>
          <t>72</t>
        </is>
      </c>
      <c r="G6246" t="inlineStr">
        <is>
          <t>12</t>
        </is>
      </c>
      <c r="H6246" t="inlineStr">
        <is>
          <t>0</t>
        </is>
      </c>
      <c r="I6246" t="inlineStr">
        <is>
          <t>48², 96²</t>
        </is>
      </c>
      <c r="J6246" t="n">
        <v>4</v>
      </c>
      <c r="K6246" t="inlineStr">
        <is>
          <t>4²⁴, 8¹², 16⁶</t>
        </is>
      </c>
      <c r="L6246" t="inlineStr">
        <is>
          <t>48AB⁸, 96I⁹, 96J⁹</t>
        </is>
      </c>
      <c r="M6246" t="inlineStr"/>
      <c r="N6246" t="inlineStr">
        <is>
          <t>48AB⁸, 24E¹, 12C⁰, 4C⁰, 8B⁰, 24P², 2B⁰, 12M¹, 96J⁹, 1A⁰, 48H³, 96I⁹, 16D¹, 48E³, 24A⁰, 3A⁰, 6D⁰</t>
        </is>
      </c>
      <c r="O6246" t="inlineStr"/>
    </row>
    <row r="6247">
      <c r="A6247">
        <f>HYPERLINK("https://mathstats.uncg.edu/sites/pauli/congruence/csg20.html#group96AD20", "96AD²⁰")</f>
        <v/>
      </c>
      <c r="B6247" t="n">
        <v>20</v>
      </c>
      <c r="C6247" t="inlineStr"/>
      <c r="D6247" t="inlineStr">
        <is>
          <t>288</t>
        </is>
      </c>
      <c r="E6247" t="inlineStr">
        <is>
          <t>2</t>
        </is>
      </c>
      <c r="F6247" t="inlineStr">
        <is>
          <t>72</t>
        </is>
      </c>
      <c r="G6247" t="inlineStr">
        <is>
          <t>12</t>
        </is>
      </c>
      <c r="H6247" t="inlineStr">
        <is>
          <t>0</t>
        </is>
      </c>
      <c r="I6247" t="inlineStr">
        <is>
          <t>48², 96²</t>
        </is>
      </c>
      <c r="J6247" t="n">
        <v>4</v>
      </c>
      <c r="K6247" t="inlineStr">
        <is>
          <t>4²⁴, 8¹², 16⁶</t>
        </is>
      </c>
      <c r="L6247" t="inlineStr">
        <is>
          <t>48AD⁸, 96H⁹, 96J⁹</t>
        </is>
      </c>
      <c r="M6247" t="inlineStr"/>
      <c r="N6247" t="inlineStr">
        <is>
          <t>16D¹, 12C⁰, 3A⁰, 48E³, 24A⁰, 4C⁰, 8B⁰, 96H⁹, 24Q², 2B⁰, 48F³, 96J⁹, 1A⁰, 48AD⁸, 6D⁰</t>
        </is>
      </c>
      <c r="O6247" t="inlineStr"/>
    </row>
    <row r="6248">
      <c r="A6248">
        <f>HYPERLINK("https://mathstats.uncg.edu/sites/pauli/congruence/csg20.html#group96AE20", "96AE²⁰")</f>
        <v/>
      </c>
      <c r="B6248" t="n">
        <v>20</v>
      </c>
      <c r="C6248" t="inlineStr"/>
      <c r="D6248" t="inlineStr">
        <is>
          <t>288</t>
        </is>
      </c>
      <c r="E6248" t="inlineStr">
        <is>
          <t>2</t>
        </is>
      </c>
      <c r="F6248" t="inlineStr">
        <is>
          <t>72</t>
        </is>
      </c>
      <c r="G6248" t="inlineStr">
        <is>
          <t>12</t>
        </is>
      </c>
      <c r="H6248" t="inlineStr">
        <is>
          <t>0</t>
        </is>
      </c>
      <c r="I6248" t="inlineStr">
        <is>
          <t>48², 96²</t>
        </is>
      </c>
      <c r="J6248" t="n">
        <v>4</v>
      </c>
      <c r="K6248" t="inlineStr">
        <is>
          <t>4²⁴, 8¹², 16⁶</t>
        </is>
      </c>
      <c r="L6248" t="inlineStr">
        <is>
          <t>48AD⁸, 96H⁹, 96J⁹</t>
        </is>
      </c>
      <c r="M6248" t="inlineStr"/>
      <c r="N6248" t="inlineStr">
        <is>
          <t>16D¹, 12C⁰, 3A⁰, 48E³, 24A⁰, 4C⁰, 8B⁰, 96H⁹, 24Q², 2B⁰, 48F³, 96J⁹, 1A⁰, 48AD⁸, 6D⁰</t>
        </is>
      </c>
      <c r="O6248" t="inlineStr"/>
    </row>
    <row r="6249">
      <c r="A6249">
        <f>HYPERLINK("https://mathstats.uncg.edu/sites/pauli/congruence/csg20.html#group96AF20", "96AF²⁰")</f>
        <v/>
      </c>
      <c r="B6249" t="n">
        <v>20</v>
      </c>
      <c r="C6249" t="inlineStr"/>
      <c r="D6249" t="inlineStr">
        <is>
          <t>288</t>
        </is>
      </c>
      <c r="E6249" t="inlineStr">
        <is>
          <t>2</t>
        </is>
      </c>
      <c r="F6249" t="inlineStr">
        <is>
          <t>72</t>
        </is>
      </c>
      <c r="G6249" t="inlineStr">
        <is>
          <t>12</t>
        </is>
      </c>
      <c r="H6249" t="inlineStr">
        <is>
          <t>0</t>
        </is>
      </c>
      <c r="I6249" t="inlineStr">
        <is>
          <t>48², 96²</t>
        </is>
      </c>
      <c r="J6249" t="n">
        <v>4</v>
      </c>
      <c r="K6249" t="inlineStr">
        <is>
          <t>4²⁴, 8¹², 16⁶</t>
        </is>
      </c>
      <c r="L6249" t="inlineStr">
        <is>
          <t>48AD⁸, 96I⁹, 96K⁹</t>
        </is>
      </c>
      <c r="M6249" t="inlineStr"/>
      <c r="N6249" t="inlineStr">
        <is>
          <t>96I⁹, 16D¹, 12C⁰, 48E³, 24A⁰, 96K⁹, 4C⁰, 8B⁰, 24Q², 2B⁰, 48F³, 3A⁰, 1A⁰, 48AD⁸, 6D⁰</t>
        </is>
      </c>
      <c r="O6249" t="inlineStr"/>
    </row>
    <row r="6250">
      <c r="A6250">
        <f>HYPERLINK("https://mathstats.uncg.edu/sites/pauli/congruence/csg20.html#group96AG20", "96AG²⁰")</f>
        <v/>
      </c>
      <c r="B6250" t="n">
        <v>20</v>
      </c>
      <c r="C6250" t="inlineStr"/>
      <c r="D6250" t="inlineStr">
        <is>
          <t>288</t>
        </is>
      </c>
      <c r="E6250" t="inlineStr">
        <is>
          <t>2</t>
        </is>
      </c>
      <c r="F6250" t="inlineStr">
        <is>
          <t>72</t>
        </is>
      </c>
      <c r="G6250" t="inlineStr">
        <is>
          <t>12</t>
        </is>
      </c>
      <c r="H6250" t="inlineStr">
        <is>
          <t>0</t>
        </is>
      </c>
      <c r="I6250" t="inlineStr">
        <is>
          <t>48², 96²</t>
        </is>
      </c>
      <c r="J6250" t="n">
        <v>4</v>
      </c>
      <c r="K6250" t="inlineStr">
        <is>
          <t>4²⁴, 8¹², 16⁶</t>
        </is>
      </c>
      <c r="L6250" t="inlineStr">
        <is>
          <t>48AD⁸, 96I⁹, 96K⁹</t>
        </is>
      </c>
      <c r="M6250" t="inlineStr"/>
      <c r="N6250" t="inlineStr">
        <is>
          <t>96I⁹, 16D¹, 12C⁰, 48E³, 24A⁰, 96K⁹, 4C⁰, 8B⁰, 24Q², 2B⁰, 48F³, 3A⁰, 1A⁰, 48AD⁸, 6D⁰</t>
        </is>
      </c>
      <c r="O6250" t="inlineStr"/>
    </row>
    <row r="6251">
      <c r="A6251">
        <f>HYPERLINK("https://mathstats.uncg.edu/sites/pauli/congruence/csg20.html#group99A20", "99A²⁰")</f>
        <v/>
      </c>
      <c r="B6251" t="n">
        <v>20</v>
      </c>
      <c r="C6251" t="inlineStr"/>
      <c r="D6251" t="inlineStr">
        <is>
          <t>297</t>
        </is>
      </c>
      <c r="E6251" t="inlineStr">
        <is>
          <t>2</t>
        </is>
      </c>
      <c r="F6251" t="inlineStr">
        <is>
          <t>297</t>
        </is>
      </c>
      <c r="G6251" t="inlineStr">
        <is>
          <t>9</t>
        </is>
      </c>
      <c r="H6251" t="inlineStr">
        <is>
          <t>6</t>
        </is>
      </c>
      <c r="I6251" t="inlineStr">
        <is>
          <t>99³</t>
        </is>
      </c>
      <c r="J6251" t="n">
        <v>3</v>
      </c>
      <c r="K6251" t="inlineStr">
        <is>
          <t>6¹, 12⁴, 30², 60⁸</t>
        </is>
      </c>
      <c r="L6251" t="inlineStr">
        <is>
          <t>9F⁰, 11A⁰</t>
        </is>
      </c>
      <c r="M6251" t="inlineStr"/>
      <c r="N6251" t="inlineStr">
        <is>
          <t>11A⁰, 9F⁰, 1A⁰</t>
        </is>
      </c>
      <c r="O6251" t="inlineStr"/>
    </row>
    <row r="6252">
      <c r="A6252">
        <f>HYPERLINK("https://mathstats.uncg.edu/sites/pauli/congruence/csg20.html#group105A20", "105A²⁰")</f>
        <v/>
      </c>
      <c r="B6252" t="n">
        <v>20</v>
      </c>
      <c r="C6252" t="inlineStr"/>
      <c r="D6252" t="inlineStr">
        <is>
          <t>252</t>
        </is>
      </c>
      <c r="E6252" t="inlineStr">
        <is>
          <t>2</t>
        </is>
      </c>
      <c r="F6252" t="inlineStr">
        <is>
          <t>42</t>
        </is>
      </c>
      <c r="G6252" t="inlineStr">
        <is>
          <t>0</t>
        </is>
      </c>
      <c r="H6252" t="inlineStr">
        <is>
          <t>0</t>
        </is>
      </c>
      <c r="I6252" t="inlineStr">
        <is>
          <t>21², 105²</t>
        </is>
      </c>
      <c r="J6252" t="n">
        <v>4</v>
      </c>
      <c r="K6252" t="inlineStr">
        <is>
          <t>2², 6⁴, 8¹, 24²</t>
        </is>
      </c>
      <c r="L6252" t="inlineStr">
        <is>
          <t>15B², 35A⁶, 105C⁶</t>
        </is>
      </c>
      <c r="M6252" t="inlineStr"/>
      <c r="N6252" t="inlineStr">
        <is>
          <t>35C², 15B⁰, 105C⁶, 15B², 5B⁰, 5D⁰, 21A⁰, 3A⁰, 1A⁰, 35A⁶, 7A⁰</t>
        </is>
      </c>
      <c r="O6252" t="inlineStr"/>
    </row>
    <row r="6253">
      <c r="A6253">
        <f>HYPERLINK("https://mathstats.uncg.edu/sites/pauli/congruence/csg20.html#group108A20", "108A²⁰")</f>
        <v/>
      </c>
      <c r="B6253" t="n">
        <v>20</v>
      </c>
      <c r="C6253" t="inlineStr"/>
      <c r="D6253" t="inlineStr">
        <is>
          <t>288</t>
        </is>
      </c>
      <c r="E6253" t="inlineStr">
        <is>
          <t>1</t>
        </is>
      </c>
      <c r="F6253" t="inlineStr">
        <is>
          <t>96</t>
        </is>
      </c>
      <c r="G6253" t="inlineStr">
        <is>
          <t>0</t>
        </is>
      </c>
      <c r="H6253" t="inlineStr">
        <is>
          <t>9</t>
        </is>
      </c>
      <c r="I6253" t="inlineStr">
        <is>
          <t>36², 108²</t>
        </is>
      </c>
      <c r="J6253" t="n">
        <v>4</v>
      </c>
      <c r="K6253" t="inlineStr">
        <is>
          <t>4¹², 12⁴</t>
        </is>
      </c>
      <c r="L6253" t="inlineStr">
        <is>
          <t>54C³, 36G⁵</t>
        </is>
      </c>
      <c r="M6253" t="inlineStr"/>
      <c r="N6253" t="inlineStr">
        <is>
          <t>3B⁰, 2A⁰, 12I¹, 18B⁰, 6C⁰, 9C⁰, 1A⁰, 36G⁵, 54C³, 36C³, 4A⁰, 4D⁰, 12A¹</t>
        </is>
      </c>
      <c r="O6253" t="inlineStr"/>
    </row>
    <row r="6254">
      <c r="A6254">
        <f>HYPERLINK("https://mathstats.uncg.edu/sites/pauli/congruence/csg20.html#group108B20", "108B²⁰")</f>
        <v/>
      </c>
      <c r="B6254" t="n">
        <v>20</v>
      </c>
      <c r="C6254" t="inlineStr"/>
      <c r="D6254" t="inlineStr">
        <is>
          <t>324</t>
        </is>
      </c>
      <c r="E6254" t="inlineStr">
        <is>
          <t>2</t>
        </is>
      </c>
      <c r="F6254" t="inlineStr">
        <is>
          <t>324</t>
        </is>
      </c>
      <c r="G6254" t="inlineStr">
        <is>
          <t>26</t>
        </is>
      </c>
      <c r="H6254" t="inlineStr">
        <is>
          <t>0</t>
        </is>
      </c>
      <c r="I6254" t="inlineStr">
        <is>
          <t>108³</t>
        </is>
      </c>
      <c r="J6254" t="n">
        <v>3</v>
      </c>
      <c r="K6254" t="inlineStr">
        <is>
          <t>12¹⁸, 36¹²</t>
        </is>
      </c>
      <c r="L6254" t="inlineStr">
        <is>
          <t>27B³, 36J⁵</t>
        </is>
      </c>
      <c r="M6254" t="inlineStr"/>
      <c r="N6254" t="inlineStr">
        <is>
          <t>36A¹, 36J⁵, 12A⁰, 4A⁰, 9G⁰, 9A⁰, 27B³, 3A⁰, 1A⁰</t>
        </is>
      </c>
      <c r="O6254" t="inlineStr"/>
    </row>
    <row r="6255">
      <c r="A6255">
        <f>HYPERLINK("https://mathstats.uncg.edu/sites/pauli/congruence/csg20.html#group117A20", "117A²⁰")</f>
        <v/>
      </c>
      <c r="B6255" t="n">
        <v>20</v>
      </c>
      <c r="C6255" t="inlineStr"/>
      <c r="D6255" t="inlineStr">
        <is>
          <t>252</t>
        </is>
      </c>
      <c r="E6255" t="inlineStr">
        <is>
          <t>1</t>
        </is>
      </c>
      <c r="F6255" t="inlineStr">
        <is>
          <t>126</t>
        </is>
      </c>
      <c r="G6255" t="inlineStr">
        <is>
          <t>0</t>
        </is>
      </c>
      <c r="H6255" t="inlineStr">
        <is>
          <t>0</t>
        </is>
      </c>
      <c r="I6255" t="inlineStr">
        <is>
          <t>9², 117²</t>
        </is>
      </c>
      <c r="J6255" t="n">
        <v>4</v>
      </c>
      <c r="K6255" t="inlineStr">
        <is>
          <t>1², 2², 6², 12¹, 24¹, 72¹</t>
        </is>
      </c>
      <c r="L6255" t="inlineStr">
        <is>
          <t>39A⁶, 117A⁸</t>
        </is>
      </c>
      <c r="M6255" t="inlineStr"/>
      <c r="N6255" t="inlineStr">
        <is>
          <t>117A⁸, 39A², 9A⁰, 13A⁰, 13B⁰, 39A⁶, 3A⁰, 1A⁰</t>
        </is>
      </c>
      <c r="O6255" t="inlineStr"/>
    </row>
    <row r="6256">
      <c r="A6256">
        <f>HYPERLINK("https://mathstats.uncg.edu/sites/pauli/congruence/csg20.html#group120A20", "120A²⁰")</f>
        <v/>
      </c>
      <c r="B6256" t="n">
        <v>20</v>
      </c>
      <c r="C6256" t="inlineStr"/>
      <c r="D6256" t="inlineStr">
        <is>
          <t>240</t>
        </is>
      </c>
      <c r="E6256" t="inlineStr">
        <is>
          <t>1</t>
        </is>
      </c>
      <c r="F6256" t="inlineStr">
        <is>
          <t>20</t>
        </is>
      </c>
      <c r="G6256" t="inlineStr">
        <is>
          <t>0</t>
        </is>
      </c>
      <c r="H6256" t="inlineStr">
        <is>
          <t>0</t>
        </is>
      </c>
      <c r="I6256" t="inlineStr">
        <is>
          <t>120²</t>
        </is>
      </c>
      <c r="J6256" t="n">
        <v>2</v>
      </c>
      <c r="K6256" t="inlineStr">
        <is>
          <t>2², 8²</t>
        </is>
      </c>
      <c r="L6256" t="inlineStr">
        <is>
          <t>24A⁴, 40D⁴, 120A⁹, 60A¹⁰</t>
        </is>
      </c>
      <c r="M6256" t="inlineStr"/>
      <c r="N6256" t="inlineStr">
        <is>
          <t>2A⁰, 120A⁹, 40D⁴, 5A⁰, 30A³, 8A⁰, 24A⁴, 8E⁰, 20A¹, 1A⁰, 60A¹⁰, 12A⁰, 24A¹, 10A⁰, 20D², 4A⁰, 4D⁰, 60A⁴, 12A², 6A¹, 3A⁰, 40A², 15A¹</t>
        </is>
      </c>
      <c r="O6256" t="inlineStr"/>
    </row>
    <row r="6257">
      <c r="A6257">
        <f>HYPERLINK("https://mathstats.uncg.edu/sites/pauli/congruence/csg20.html#group120B20", "120B²⁰")</f>
        <v/>
      </c>
      <c r="B6257" t="n">
        <v>20</v>
      </c>
      <c r="C6257" t="inlineStr"/>
      <c r="D6257" t="inlineStr">
        <is>
          <t>240</t>
        </is>
      </c>
      <c r="E6257" t="inlineStr">
        <is>
          <t>1</t>
        </is>
      </c>
      <c r="F6257" t="inlineStr">
        <is>
          <t>60</t>
        </is>
      </c>
      <c r="G6257" t="inlineStr">
        <is>
          <t>0</t>
        </is>
      </c>
      <c r="H6257" t="inlineStr">
        <is>
          <t>0</t>
        </is>
      </c>
      <c r="I6257" t="inlineStr">
        <is>
          <t>120²</t>
        </is>
      </c>
      <c r="J6257" t="n">
        <v>2</v>
      </c>
      <c r="K6257" t="inlineStr">
        <is>
          <t>2², 4², 8², 16²</t>
        </is>
      </c>
      <c r="L6257" t="inlineStr">
        <is>
          <t>24B⁴, 120B⁹, 60A¹⁰</t>
        </is>
      </c>
      <c r="M6257" t="inlineStr"/>
      <c r="N6257" t="inlineStr">
        <is>
          <t>2A⁰, 30A³, 5A⁰, 120B⁹, 20A¹, 24B¹, 1A⁰, 60A¹⁰, 12A⁰, 20D², 10A⁰, 4A⁰, 4D⁰, 24B⁴, 60A⁴, 12A², 6A¹, 3A⁰, 15A¹</t>
        </is>
      </c>
      <c r="O6257" t="inlineStr"/>
    </row>
    <row r="6258">
      <c r="A6258">
        <f>HYPERLINK("https://mathstats.uncg.edu/sites/pauli/congruence/csg20.html#group125A20", "125A²⁰")</f>
        <v/>
      </c>
      <c r="B6258" t="n">
        <v>20</v>
      </c>
      <c r="C6258" t="inlineStr"/>
      <c r="D6258" t="inlineStr">
        <is>
          <t>300</t>
        </is>
      </c>
      <c r="E6258" t="inlineStr">
        <is>
          <t>1</t>
        </is>
      </c>
      <c r="F6258" t="inlineStr">
        <is>
          <t>30</t>
        </is>
      </c>
      <c r="G6258" t="inlineStr">
        <is>
          <t>0</t>
        </is>
      </c>
      <c r="H6258" t="inlineStr">
        <is>
          <t>0</t>
        </is>
      </c>
      <c r="I6258" t="inlineStr">
        <is>
          <t>5¹⁰, 125²</t>
        </is>
      </c>
      <c r="J6258" t="n">
        <v>12</v>
      </c>
      <c r="K6258" t="inlineStr">
        <is>
          <t>2², 4⁴, 20²</t>
        </is>
      </c>
      <c r="L6258" t="inlineStr">
        <is>
          <t>25B⁰, 125A¹⁰</t>
        </is>
      </c>
      <c r="M6258" t="inlineStr"/>
      <c r="N6258" t="inlineStr">
        <is>
          <t>25A⁰, 5B⁰, 5D⁰, 1A⁰, 125A¹⁰, 25B⁰</t>
        </is>
      </c>
      <c r="O6258" t="inlineStr"/>
    </row>
    <row r="6259">
      <c r="A6259">
        <f>HYPERLINK("https://mathstats.uncg.edu/sites/pauli/congruence/csg20.html#group125B20", "125B²⁰")</f>
        <v/>
      </c>
      <c r="B6259" t="n">
        <v>20</v>
      </c>
      <c r="C6259" t="inlineStr"/>
      <c r="D6259" t="inlineStr">
        <is>
          <t>300</t>
        </is>
      </c>
      <c r="E6259" t="inlineStr">
        <is>
          <t>1</t>
        </is>
      </c>
      <c r="F6259" t="inlineStr">
        <is>
          <t>30</t>
        </is>
      </c>
      <c r="G6259" t="inlineStr">
        <is>
          <t>0</t>
        </is>
      </c>
      <c r="H6259" t="inlineStr">
        <is>
          <t>0</t>
        </is>
      </c>
      <c r="I6259" t="inlineStr">
        <is>
          <t>5¹⁰, 125²</t>
        </is>
      </c>
      <c r="J6259" t="n">
        <v>12</v>
      </c>
      <c r="K6259" t="inlineStr">
        <is>
          <t>2², 4⁴, 20²</t>
        </is>
      </c>
      <c r="L6259" t="inlineStr">
        <is>
          <t>25B⁰, 125B¹⁰</t>
        </is>
      </c>
      <c r="M6259" t="inlineStr"/>
      <c r="N6259" t="inlineStr">
        <is>
          <t>25A⁰, 5B⁰, 5D⁰, 125B¹⁰, 1A⁰, 25B⁰</t>
        </is>
      </c>
      <c r="O6259" t="inlineStr"/>
    </row>
    <row r="6260">
      <c r="A6260">
        <f>HYPERLINK("https://mathstats.uncg.edu/sites/pauli/congruence/csg20.html#group126A20", "126A²⁰")</f>
        <v/>
      </c>
      <c r="B6260" t="n">
        <v>20</v>
      </c>
      <c r="C6260" t="inlineStr"/>
      <c r="D6260" t="inlineStr">
        <is>
          <t>252</t>
        </is>
      </c>
      <c r="E6260" t="inlineStr">
        <is>
          <t>2</t>
        </is>
      </c>
      <c r="F6260" t="inlineStr">
        <is>
          <t>63</t>
        </is>
      </c>
      <c r="G6260" t="inlineStr">
        <is>
          <t>4</t>
        </is>
      </c>
      <c r="H6260" t="inlineStr">
        <is>
          <t>0</t>
        </is>
      </c>
      <c r="I6260" t="inlineStr">
        <is>
          <t>126²</t>
        </is>
      </c>
      <c r="J6260" t="n">
        <v>2</v>
      </c>
      <c r="K6260" t="inlineStr">
        <is>
          <t>4³, 12⁸, 36⁴</t>
        </is>
      </c>
      <c r="L6260" t="inlineStr">
        <is>
          <t>42A⁶, 126A⁷, 126B⁸, 63B⁹</t>
        </is>
      </c>
      <c r="M6260" t="inlineStr"/>
      <c r="N6260" t="inlineStr">
        <is>
          <t>21D², 126A⁷, 42A², 42A⁶, 9A⁰, 63A², 21A⁰, 3C⁰, 1A⁰, 3A⁰, 63B⁹, 126B⁸, 9B¹, 7A⁰</t>
        </is>
      </c>
      <c r="O6260" t="inlineStr"/>
    </row>
    <row r="6261">
      <c r="A6261">
        <f>HYPERLINK("https://mathstats.uncg.edu/sites/pauli/congruence/csg20.html#group126B20", "126B²⁰")</f>
        <v/>
      </c>
      <c r="B6261" t="n">
        <v>20</v>
      </c>
      <c r="C6261" t="inlineStr"/>
      <c r="D6261" t="inlineStr">
        <is>
          <t>252</t>
        </is>
      </c>
      <c r="E6261" t="inlineStr">
        <is>
          <t>2</t>
        </is>
      </c>
      <c r="F6261" t="inlineStr">
        <is>
          <t>63</t>
        </is>
      </c>
      <c r="G6261" t="inlineStr">
        <is>
          <t>4</t>
        </is>
      </c>
      <c r="H6261" t="inlineStr">
        <is>
          <t>0</t>
        </is>
      </c>
      <c r="I6261" t="inlineStr">
        <is>
          <t>126²</t>
        </is>
      </c>
      <c r="J6261" t="n">
        <v>2</v>
      </c>
      <c r="K6261" t="inlineStr">
        <is>
          <t>4³, 12⁸, 36⁴</t>
        </is>
      </c>
      <c r="L6261" t="inlineStr">
        <is>
          <t>42A⁶, 126A⁷, 126C⁸, 63A⁹</t>
        </is>
      </c>
      <c r="M6261" t="inlineStr"/>
      <c r="N6261" t="inlineStr">
        <is>
          <t>126C⁸, 63A⁹, 21D², 126A⁷, 42A², 42A⁶, 9A⁰, 21A⁰, 3C⁰, 7A⁰, 3A⁰, 1A⁰, 9B¹, 63A²</t>
        </is>
      </c>
      <c r="O6261" t="inlineStr"/>
    </row>
    <row r="6262">
      <c r="A6262">
        <f>HYPERLINK("https://mathstats.uncg.edu/sites/pauli/congruence/csg20.html#group126C20", "126C²⁰")</f>
        <v/>
      </c>
      <c r="B6262" t="n">
        <v>20</v>
      </c>
      <c r="C6262" t="inlineStr"/>
      <c r="D6262" t="inlineStr">
        <is>
          <t>252</t>
        </is>
      </c>
      <c r="E6262" t="inlineStr">
        <is>
          <t>2</t>
        </is>
      </c>
      <c r="F6262" t="inlineStr">
        <is>
          <t>84</t>
        </is>
      </c>
      <c r="G6262" t="inlineStr">
        <is>
          <t>0</t>
        </is>
      </c>
      <c r="H6262" t="inlineStr">
        <is>
          <t>0</t>
        </is>
      </c>
      <c r="I6262" t="inlineStr">
        <is>
          <t>21¹, 42¹, 63¹, 126¹</t>
        </is>
      </c>
      <c r="J6262" t="n">
        <v>4</v>
      </c>
      <c r="K6262" t="inlineStr">
        <is>
          <t>2⁶, 4³, 6¹², 12⁶</t>
        </is>
      </c>
      <c r="L6262" t="inlineStr">
        <is>
          <t>18D², 42C⁶, 63C⁶</t>
        </is>
      </c>
      <c r="M6262" t="inlineStr"/>
      <c r="N6262" t="inlineStr">
        <is>
          <t>3B⁰, 21B², 63C⁶, 14B¹, 42C⁶, 6F⁰, 18D², 2B⁰, 9C⁰, 1A⁰, 7A⁰</t>
        </is>
      </c>
      <c r="O6262" t="inlineStr"/>
    </row>
    <row r="6263">
      <c r="A6263">
        <f>HYPERLINK("https://mathstats.uncg.edu/sites/pauli/congruence/csg20.html#group126D20", "126D²⁰")</f>
        <v/>
      </c>
      <c r="B6263" t="n">
        <v>20</v>
      </c>
      <c r="C6263" t="inlineStr"/>
      <c r="D6263" t="inlineStr">
        <is>
          <t>252</t>
        </is>
      </c>
      <c r="E6263" t="inlineStr">
        <is>
          <t>2</t>
        </is>
      </c>
      <c r="F6263" t="inlineStr">
        <is>
          <t>84</t>
        </is>
      </c>
      <c r="G6263" t="inlineStr">
        <is>
          <t>0</t>
        </is>
      </c>
      <c r="H6263" t="inlineStr">
        <is>
          <t>0</t>
        </is>
      </c>
      <c r="I6263" t="inlineStr">
        <is>
          <t>21¹, 42¹, 63¹, 126¹</t>
        </is>
      </c>
      <c r="J6263" t="n">
        <v>4</v>
      </c>
      <c r="K6263" t="inlineStr">
        <is>
          <t>2⁶, 4³, 6¹², 12⁶</t>
        </is>
      </c>
      <c r="L6263" t="inlineStr">
        <is>
          <t>18E², 42C⁶, 63A⁷</t>
        </is>
      </c>
      <c r="M6263" t="inlineStr"/>
      <c r="N6263" t="inlineStr">
        <is>
          <t>3B⁰, 21B², 14B¹, 42C⁶, 9A¹, 18E², 1A⁰, 2B⁰, 6F⁰, 63A⁷, 7A⁰</t>
        </is>
      </c>
      <c r="O6263" t="inlineStr"/>
    </row>
    <row r="6264">
      <c r="A6264">
        <f>HYPERLINK("https://mathstats.uncg.edu/sites/pauli/congruence/csg20.html#group126E20", "126E²⁰")</f>
        <v/>
      </c>
      <c r="B6264" t="n">
        <v>20</v>
      </c>
      <c r="C6264" t="inlineStr"/>
      <c r="D6264" t="inlineStr">
        <is>
          <t>252</t>
        </is>
      </c>
      <c r="E6264" t="inlineStr">
        <is>
          <t>2</t>
        </is>
      </c>
      <c r="F6264" t="inlineStr">
        <is>
          <t>126</t>
        </is>
      </c>
      <c r="G6264" t="inlineStr">
        <is>
          <t>0</t>
        </is>
      </c>
      <c r="H6264" t="inlineStr">
        <is>
          <t>0</t>
        </is>
      </c>
      <c r="I6264" t="inlineStr">
        <is>
          <t>42³, 126¹</t>
        </is>
      </c>
      <c r="J6264" t="n">
        <v>4</v>
      </c>
      <c r="K6264" t="inlineStr">
        <is>
          <t>2¹, 4¹, 6³, 12⁴, 18², 36⁴</t>
        </is>
      </c>
      <c r="L6264" t="inlineStr">
        <is>
          <t>18F², 42C⁷, 63B⁸</t>
        </is>
      </c>
      <c r="M6264" t="inlineStr"/>
      <c r="N6264" t="inlineStr">
        <is>
          <t>18F², 2A⁰, 21D², 6B⁰, 3A⁰, 14A¹, 21A⁰, 42A⁴, 9E⁰, 1A⁰, 6B¹, 3C⁰, 6A¹, 42B¹, 42C⁷, 7A⁰, 63B⁸</t>
        </is>
      </c>
      <c r="O6264" t="inlineStr"/>
    </row>
    <row r="6265">
      <c r="A6265">
        <f>HYPERLINK("https://mathstats.uncg.edu/sites/pauli/congruence/csg20.html#group132A20", "132A²⁰")</f>
        <v/>
      </c>
      <c r="B6265" t="n">
        <v>20</v>
      </c>
      <c r="C6265" t="inlineStr"/>
      <c r="D6265" t="inlineStr">
        <is>
          <t>264</t>
        </is>
      </c>
      <c r="E6265" t="inlineStr">
        <is>
          <t>2</t>
        </is>
      </c>
      <c r="F6265" t="inlineStr">
        <is>
          <t>88</t>
        </is>
      </c>
      <c r="G6265" t="inlineStr">
        <is>
          <t>0</t>
        </is>
      </c>
      <c r="H6265" t="inlineStr">
        <is>
          <t>6</t>
        </is>
      </c>
      <c r="I6265" t="inlineStr">
        <is>
          <t>132²</t>
        </is>
      </c>
      <c r="J6265" t="n">
        <v>2</v>
      </c>
      <c r="K6265" t="inlineStr">
        <is>
          <t>8², 40⁴</t>
        </is>
      </c>
      <c r="L6265" t="inlineStr">
        <is>
          <t>12E¹, 66A⁴, 44A⁶</t>
        </is>
      </c>
      <c r="M6265" t="inlineStr"/>
      <c r="N6265" t="inlineStr">
        <is>
          <t>44A⁶, 11A⁰, 2A⁰, 22A¹, 44A², 6A⁰, 4A⁰, 4D⁰, 12E¹, 1A⁰, 66A⁴</t>
        </is>
      </c>
      <c r="O6265" t="inlineStr"/>
    </row>
    <row r="6266">
      <c r="A6266">
        <f>HYPERLINK("https://mathstats.uncg.edu/sites/pauli/congruence/csg20.html#group132B20", "132B²⁰")</f>
        <v/>
      </c>
      <c r="B6266" t="n">
        <v>20</v>
      </c>
      <c r="C6266" t="inlineStr"/>
      <c r="D6266" t="inlineStr">
        <is>
          <t>264</t>
        </is>
      </c>
      <c r="E6266" t="inlineStr">
        <is>
          <t>2</t>
        </is>
      </c>
      <c r="F6266" t="inlineStr">
        <is>
          <t>132</t>
        </is>
      </c>
      <c r="G6266" t="inlineStr">
        <is>
          <t>0</t>
        </is>
      </c>
      <c r="H6266" t="inlineStr">
        <is>
          <t>0</t>
        </is>
      </c>
      <c r="I6266" t="inlineStr">
        <is>
          <t>11², 33², 44¹, 132¹</t>
        </is>
      </c>
      <c r="J6266" t="n">
        <v>6</v>
      </c>
      <c r="K6266" t="inlineStr">
        <is>
          <t>2⁶, 4³, 10¹², 20⁶</t>
        </is>
      </c>
      <c r="L6266" t="inlineStr">
        <is>
          <t>12E⁰, 44A⁵, 66A¹⁰</t>
        </is>
      </c>
      <c r="M6266" t="inlineStr"/>
      <c r="N6266" t="inlineStr">
        <is>
          <t>11A⁰, 3B⁰, 4B⁰, 33B³, 6F⁰, 2B⁰, 22B², 44A⁵, 1A⁰, 66A¹⁰, 12E⁰</t>
        </is>
      </c>
      <c r="O6266" t="inlineStr"/>
    </row>
    <row r="6267">
      <c r="A6267">
        <f>HYPERLINK("https://mathstats.uncg.edu/sites/pauli/congruence/csg20.html#group132C20", "132C²⁰")</f>
        <v/>
      </c>
      <c r="B6267" t="n">
        <v>20</v>
      </c>
      <c r="C6267" t="inlineStr"/>
      <c r="D6267" t="inlineStr">
        <is>
          <t>264</t>
        </is>
      </c>
      <c r="E6267" t="inlineStr">
        <is>
          <t>2</t>
        </is>
      </c>
      <c r="F6267" t="inlineStr">
        <is>
          <t>264</t>
        </is>
      </c>
      <c r="G6267" t="inlineStr">
        <is>
          <t>0</t>
        </is>
      </c>
      <c r="H6267" t="inlineStr">
        <is>
          <t>6</t>
        </is>
      </c>
      <c r="I6267" t="inlineStr">
        <is>
          <t>132²</t>
        </is>
      </c>
      <c r="J6267" t="n">
        <v>2</v>
      </c>
      <c r="K6267" t="inlineStr">
        <is>
          <t>8⁶, 40¹²</t>
        </is>
      </c>
      <c r="L6267" t="inlineStr">
        <is>
          <t>12H¹, 66A⁴</t>
        </is>
      </c>
      <c r="M6267" t="inlineStr"/>
      <c r="N6267" t="inlineStr">
        <is>
          <t>11A⁰, 2A⁰, 1A⁰, 12H¹, 22A¹, 66A⁴, 6A⁰</t>
        </is>
      </c>
      <c r="O6267" t="inlineStr"/>
    </row>
    <row r="6268">
      <c r="A6268">
        <f>HYPERLINK("https://mathstats.uncg.edu/sites/pauli/congruence/csg20.html#group140A20", "140A²⁰")</f>
        <v/>
      </c>
      <c r="B6268" t="n">
        <v>20</v>
      </c>
      <c r="C6268" t="inlineStr"/>
      <c r="D6268" t="inlineStr">
        <is>
          <t>252</t>
        </is>
      </c>
      <c r="E6268" t="inlineStr">
        <is>
          <t>2</t>
        </is>
      </c>
      <c r="F6268" t="inlineStr">
        <is>
          <t>126</t>
        </is>
      </c>
      <c r="G6268" t="inlineStr">
        <is>
          <t>0</t>
        </is>
      </c>
      <c r="H6268" t="inlineStr">
        <is>
          <t>0</t>
        </is>
      </c>
      <c r="I6268" t="inlineStr">
        <is>
          <t>14¹, 28¹, 70¹, 140¹</t>
        </is>
      </c>
      <c r="J6268" t="n">
        <v>4</v>
      </c>
      <c r="K6268" t="inlineStr">
        <is>
          <t>2⁶, 6¹², 8³, 24⁶</t>
        </is>
      </c>
      <c r="L6268" t="inlineStr">
        <is>
          <t>20C², 70B⁸</t>
        </is>
      </c>
      <c r="M6268" t="inlineStr"/>
      <c r="N6268" t="inlineStr">
        <is>
          <t>35C², 14B¹, 5B⁰, 70B⁸, 10C⁰, 2B⁰, 1A⁰, 20C², 7A⁰</t>
        </is>
      </c>
      <c r="O6268" t="inlineStr"/>
    </row>
    <row r="6269">
      <c r="A6269">
        <f>HYPERLINK("https://mathstats.uncg.edu/sites/pauli/congruence/csg20.html#group140B20", "140B²⁰")</f>
        <v/>
      </c>
      <c r="B6269" t="n">
        <v>20</v>
      </c>
      <c r="C6269" t="inlineStr"/>
      <c r="D6269" t="inlineStr">
        <is>
          <t>280</t>
        </is>
      </c>
      <c r="E6269" t="inlineStr">
        <is>
          <t>2</t>
        </is>
      </c>
      <c r="F6269" t="inlineStr">
        <is>
          <t>140</t>
        </is>
      </c>
      <c r="G6269" t="inlineStr">
        <is>
          <t>8</t>
        </is>
      </c>
      <c r="H6269" t="inlineStr">
        <is>
          <t>4</t>
        </is>
      </c>
      <c r="I6269" t="inlineStr">
        <is>
          <t>140²</t>
        </is>
      </c>
      <c r="J6269" t="n">
        <v>2</v>
      </c>
      <c r="K6269" t="inlineStr">
        <is>
          <t>4², 12⁴, 16², 48⁴</t>
        </is>
      </c>
      <c r="L6269" t="inlineStr">
        <is>
          <t>28E², 70A⁴, 140A¹⁰</t>
        </is>
      </c>
      <c r="M6269" t="inlineStr"/>
      <c r="N6269" t="inlineStr">
        <is>
          <t>140A¹⁰, 28E², 5A⁰, 14A⁰, 70A⁴, 4A⁰, 20A¹, 28A¹, 1A⁰, 35A², 7A⁰</t>
        </is>
      </c>
      <c r="O6269" t="inlineStr"/>
    </row>
    <row r="6270">
      <c r="A6270">
        <f>HYPERLINK("https://mathstats.uncg.edu/sites/pauli/congruence/csg20.html#group140C20", "140C²⁰")</f>
        <v/>
      </c>
      <c r="B6270" t="n">
        <v>20</v>
      </c>
      <c r="C6270" t="inlineStr"/>
      <c r="D6270" t="inlineStr">
        <is>
          <t>280</t>
        </is>
      </c>
      <c r="E6270" t="inlineStr">
        <is>
          <t>2</t>
        </is>
      </c>
      <c r="F6270" t="inlineStr">
        <is>
          <t>280</t>
        </is>
      </c>
      <c r="G6270" t="inlineStr">
        <is>
          <t>12</t>
        </is>
      </c>
      <c r="H6270" t="inlineStr">
        <is>
          <t>1</t>
        </is>
      </c>
      <c r="I6270" t="inlineStr">
        <is>
          <t>140²</t>
        </is>
      </c>
      <c r="J6270" t="n">
        <v>2</v>
      </c>
      <c r="K6270" t="inlineStr">
        <is>
          <t>8², 16⁴, 24⁴, 48⁸</t>
        </is>
      </c>
      <c r="L6270" t="inlineStr">
        <is>
          <t>28A¹, 20E², 35B⁴</t>
        </is>
      </c>
      <c r="M6270" t="inlineStr"/>
      <c r="N6270" t="inlineStr">
        <is>
          <t>4A⁰, 35B⁴, 5C⁰, 28A¹, 1A⁰, 20E², 7A⁰</t>
        </is>
      </c>
      <c r="O6270" t="inlineStr"/>
    </row>
    <row r="6271">
      <c r="A6271">
        <f>HYPERLINK("https://mathstats.uncg.edu/sites/pauli/congruence/csg20.html#group144A20", "144A²⁰")</f>
        <v/>
      </c>
      <c r="B6271" t="n">
        <v>20</v>
      </c>
      <c r="C6271" t="inlineStr"/>
      <c r="D6271" t="inlineStr">
        <is>
          <t>288</t>
        </is>
      </c>
      <c r="E6271" t="inlineStr">
        <is>
          <t>1</t>
        </is>
      </c>
      <c r="F6271" t="inlineStr">
        <is>
          <t>48</t>
        </is>
      </c>
      <c r="G6271" t="inlineStr">
        <is>
          <t>0</t>
        </is>
      </c>
      <c r="H6271" t="inlineStr">
        <is>
          <t>0</t>
        </is>
      </c>
      <c r="I6271" t="inlineStr">
        <is>
          <t>6⁴, 18⁴, 48¹, 144¹</t>
        </is>
      </c>
      <c r="J6271" t="n">
        <v>10</v>
      </c>
      <c r="K6271" t="inlineStr">
        <is>
          <t>1⁴, 2⁴, 4⁵, 8²</t>
        </is>
      </c>
      <c r="L6271" t="inlineStr">
        <is>
          <t>48J⁴, 72C¹⁰</t>
        </is>
      </c>
      <c r="M6271" t="inlineStr"/>
      <c r="N6271" t="inlineStr">
        <is>
          <t>3B⁰, 16E⁰, 24I², 72C¹⁰, 8D⁰, 12F¹, 48J⁴, 4C⁰, 18D², 1A⁰, 2B⁰, 9C⁰, 36A⁵, 6F⁰</t>
        </is>
      </c>
      <c r="O6271" t="inlineStr"/>
    </row>
    <row r="6272">
      <c r="A6272">
        <f>HYPERLINK("https://mathstats.uncg.edu/sites/pauli/congruence/csg20.html#group144B20", "144B²⁰")</f>
        <v/>
      </c>
      <c r="B6272" t="n">
        <v>20</v>
      </c>
      <c r="C6272" t="inlineStr"/>
      <c r="D6272" t="inlineStr">
        <is>
          <t>288</t>
        </is>
      </c>
      <c r="E6272" t="inlineStr">
        <is>
          <t>1</t>
        </is>
      </c>
      <c r="F6272" t="inlineStr">
        <is>
          <t>48</t>
        </is>
      </c>
      <c r="G6272" t="inlineStr">
        <is>
          <t>0</t>
        </is>
      </c>
      <c r="H6272" t="inlineStr">
        <is>
          <t>0</t>
        </is>
      </c>
      <c r="I6272" t="inlineStr">
        <is>
          <t>6⁴, 18⁴, 48¹, 144¹</t>
        </is>
      </c>
      <c r="J6272" t="n">
        <v>10</v>
      </c>
      <c r="K6272" t="inlineStr">
        <is>
          <t>1⁴, 2⁴, 4⁵, 8²</t>
        </is>
      </c>
      <c r="L6272" t="inlineStr">
        <is>
          <t>48J⁴, 72D¹⁰</t>
        </is>
      </c>
      <c r="M6272" t="inlineStr"/>
      <c r="N6272" t="inlineStr">
        <is>
          <t>3B⁰, 16E⁰, 24I², 8D⁰, 12F¹, 48J⁴, 4C⁰, 18E², 72D¹⁰, 9A¹, 1A⁰, 36B⁵, 2B⁰, 6F⁰</t>
        </is>
      </c>
      <c r="O6272" t="inlineStr"/>
    </row>
    <row r="6273">
      <c r="A6273">
        <f>HYPERLINK("https://mathstats.uncg.edu/sites/pauli/congruence/csg20.html#group144C20", "144C²⁰")</f>
        <v/>
      </c>
      <c r="B6273" t="n">
        <v>20</v>
      </c>
      <c r="C6273" t="inlineStr"/>
      <c r="D6273" t="inlineStr">
        <is>
          <t>288</t>
        </is>
      </c>
      <c r="E6273" t="inlineStr">
        <is>
          <t>2</t>
        </is>
      </c>
      <c r="F6273" t="inlineStr">
        <is>
          <t>72</t>
        </is>
      </c>
      <c r="G6273" t="inlineStr">
        <is>
          <t>16</t>
        </is>
      </c>
      <c r="H6273" t="inlineStr">
        <is>
          <t>0</t>
        </is>
      </c>
      <c r="I6273" t="inlineStr">
        <is>
          <t>144²</t>
        </is>
      </c>
      <c r="J6273" t="n">
        <v>2</v>
      </c>
      <c r="K6273" t="inlineStr">
        <is>
          <t>16⁶, 48⁴</t>
        </is>
      </c>
      <c r="L6273" t="inlineStr">
        <is>
          <t>48G⁶, 72J⁸, 144B¹⁰, 144D¹⁰</t>
        </is>
      </c>
      <c r="M6273" t="inlineStr"/>
      <c r="N6273" t="inlineStr">
        <is>
          <t>72J⁸, 36D², 6B⁰, 144D¹⁰, 8A⁰, 144B¹⁰, 12F⁰, 72C⁴, 24B¹, 1A⁰, 48G⁶, 18A⁰, 72A⁴, 36A¹, 12A⁰, 24A¹, 24K², 4A⁰, 9A⁰, 3A⁰, 48B³</t>
        </is>
      </c>
      <c r="O6273" t="inlineStr"/>
    </row>
    <row r="6274">
      <c r="A6274">
        <f>HYPERLINK("https://mathstats.uncg.edu/sites/pauli/congruence/csg20.html#group144D20", "144D²⁰")</f>
        <v/>
      </c>
      <c r="B6274" t="n">
        <v>20</v>
      </c>
      <c r="C6274" t="inlineStr"/>
      <c r="D6274" t="inlineStr">
        <is>
          <t>288</t>
        </is>
      </c>
      <c r="E6274" t="inlineStr">
        <is>
          <t>2</t>
        </is>
      </c>
      <c r="F6274" t="inlineStr">
        <is>
          <t>72</t>
        </is>
      </c>
      <c r="G6274" t="inlineStr">
        <is>
          <t>16</t>
        </is>
      </c>
      <c r="H6274" t="inlineStr">
        <is>
          <t>0</t>
        </is>
      </c>
      <c r="I6274" t="inlineStr">
        <is>
          <t>144²</t>
        </is>
      </c>
      <c r="J6274" t="n">
        <v>2</v>
      </c>
      <c r="K6274" t="inlineStr">
        <is>
          <t>16⁶, 48⁴</t>
        </is>
      </c>
      <c r="L6274" t="inlineStr">
        <is>
          <t>48G⁶, 72K⁸, 144B¹⁰, 144C¹⁰</t>
        </is>
      </c>
      <c r="M6274" t="inlineStr"/>
      <c r="N6274" t="inlineStr">
        <is>
          <t>36D², 6B⁰, 144C¹⁰, 12F⁰, 144B¹⁰, 8A⁰, 24B¹, 72D⁴, 1A⁰, 48G⁶, 18A⁰, 72A⁴, 72K⁸, 36A¹, 12A⁰, 24K², 24A¹, 4A⁰, 9A⁰, 3A⁰, 48B³</t>
        </is>
      </c>
      <c r="O6274" t="inlineStr"/>
    </row>
    <row r="6275">
      <c r="A6275">
        <f>HYPERLINK("https://mathstats.uncg.edu/sites/pauli/congruence/csg20.html#group144E20", "144E²⁰")</f>
        <v/>
      </c>
      <c r="B6275" t="n">
        <v>20</v>
      </c>
      <c r="C6275" t="inlineStr"/>
      <c r="D6275" t="inlineStr">
        <is>
          <t>288</t>
        </is>
      </c>
      <c r="E6275" t="inlineStr">
        <is>
          <t>2</t>
        </is>
      </c>
      <c r="F6275" t="inlineStr">
        <is>
          <t>72</t>
        </is>
      </c>
      <c r="G6275" t="inlineStr">
        <is>
          <t>16</t>
        </is>
      </c>
      <c r="H6275" t="inlineStr">
        <is>
          <t>0</t>
        </is>
      </c>
      <c r="I6275" t="inlineStr">
        <is>
          <t>144²</t>
        </is>
      </c>
      <c r="J6275" t="n">
        <v>2</v>
      </c>
      <c r="K6275" t="inlineStr">
        <is>
          <t>16⁶, 48⁴</t>
        </is>
      </c>
      <c r="L6275" t="inlineStr">
        <is>
          <t>48H⁶, 72J⁸, 144A¹⁰, 144C¹⁰</t>
        </is>
      </c>
      <c r="M6275" t="inlineStr"/>
      <c r="N6275" t="inlineStr">
        <is>
          <t>72J⁸, 36D², 6B⁰, 16A⁰, 144C¹⁰, 48H⁶, 12F⁰, 72C⁴, 8A⁰, 24B¹, 1A⁰, 18A⁰, 72A⁴, 36A¹, 144A¹⁰, 12A⁰, 24K², 24A¹, 48A³, 4A⁰, 9A⁰, 3A⁰, 48B³</t>
        </is>
      </c>
      <c r="O6275" t="inlineStr"/>
    </row>
    <row r="6276">
      <c r="A6276">
        <f>HYPERLINK("https://mathstats.uncg.edu/sites/pauli/congruence/csg20.html#group144F20", "144F²⁰")</f>
        <v/>
      </c>
      <c r="B6276" t="n">
        <v>20</v>
      </c>
      <c r="C6276" t="inlineStr"/>
      <c r="D6276" t="inlineStr">
        <is>
          <t>288</t>
        </is>
      </c>
      <c r="E6276" t="inlineStr">
        <is>
          <t>2</t>
        </is>
      </c>
      <c r="F6276" t="inlineStr">
        <is>
          <t>72</t>
        </is>
      </c>
      <c r="G6276" t="inlineStr">
        <is>
          <t>16</t>
        </is>
      </c>
      <c r="H6276" t="inlineStr">
        <is>
          <t>0</t>
        </is>
      </c>
      <c r="I6276" t="inlineStr">
        <is>
          <t>144²</t>
        </is>
      </c>
      <c r="J6276" t="n">
        <v>2</v>
      </c>
      <c r="K6276" t="inlineStr">
        <is>
          <t>16⁶, 48⁴</t>
        </is>
      </c>
      <c r="L6276" t="inlineStr">
        <is>
          <t>48H⁶, 72K⁸, 144A¹⁰, 144D¹⁰</t>
        </is>
      </c>
      <c r="M6276" t="inlineStr"/>
      <c r="N6276" t="inlineStr">
        <is>
          <t>36D², 6B⁰, 16A⁰, 144D¹⁰, 48H⁶, 12F⁰, 8A⁰, 24B¹, 72D⁴, 1A⁰, 18A⁰, 72A⁴, 72K⁸, 36A¹, 144A¹⁰, 12A⁰, 24K², 24A¹, 48A³, 4A⁰, 9A⁰, 3A⁰, 48B³</t>
        </is>
      </c>
      <c r="O6276" t="inlineStr"/>
    </row>
    <row r="6277">
      <c r="A6277">
        <f>HYPERLINK("https://mathstats.uncg.edu/sites/pauli/congruence/csg20.html#group144G20", "144G²⁰")</f>
        <v/>
      </c>
      <c r="B6277" t="n">
        <v>20</v>
      </c>
      <c r="C6277" t="inlineStr"/>
      <c r="D6277" t="inlineStr">
        <is>
          <t>288</t>
        </is>
      </c>
      <c r="E6277" t="inlineStr">
        <is>
          <t>2</t>
        </is>
      </c>
      <c r="F6277" t="inlineStr">
        <is>
          <t>144</t>
        </is>
      </c>
      <c r="G6277" t="inlineStr">
        <is>
          <t>16</t>
        </is>
      </c>
      <c r="H6277" t="inlineStr">
        <is>
          <t>0</t>
        </is>
      </c>
      <c r="I6277" t="inlineStr">
        <is>
          <t>144²</t>
        </is>
      </c>
      <c r="J6277" t="n">
        <v>2</v>
      </c>
      <c r="K6277" t="inlineStr">
        <is>
          <t>16¹², 48⁸</t>
        </is>
      </c>
      <c r="L6277" t="inlineStr">
        <is>
          <t>48E⁶, 72H⁸</t>
        </is>
      </c>
      <c r="M6277" t="inlineStr"/>
      <c r="N6277" t="inlineStr">
        <is>
          <t>36D², 6B⁰, 72B⁴, 72H⁸, 12F⁰, 72C⁴, 48E⁶, 24B¹, 1A⁰, 18A⁰, 36A¹, 12A⁰, 4A⁰, 9A⁰, 3A⁰, 24G²</t>
        </is>
      </c>
      <c r="O6277" t="inlineStr"/>
    </row>
    <row r="6278">
      <c r="A6278">
        <f>HYPERLINK("https://mathstats.uncg.edu/sites/pauli/congruence/csg20.html#group144H20", "144H²⁰")</f>
        <v/>
      </c>
      <c r="B6278" t="n">
        <v>20</v>
      </c>
      <c r="C6278" t="inlineStr"/>
      <c r="D6278" t="inlineStr">
        <is>
          <t>288</t>
        </is>
      </c>
      <c r="E6278" t="inlineStr">
        <is>
          <t>2</t>
        </is>
      </c>
      <c r="F6278" t="inlineStr">
        <is>
          <t>144</t>
        </is>
      </c>
      <c r="G6278" t="inlineStr">
        <is>
          <t>16</t>
        </is>
      </c>
      <c r="H6278" t="inlineStr">
        <is>
          <t>0</t>
        </is>
      </c>
      <c r="I6278" t="inlineStr">
        <is>
          <t>144²</t>
        </is>
      </c>
      <c r="J6278" t="n">
        <v>2</v>
      </c>
      <c r="K6278" t="inlineStr">
        <is>
          <t>16¹², 48⁸</t>
        </is>
      </c>
      <c r="L6278" t="inlineStr">
        <is>
          <t>48F⁶, 72I⁸</t>
        </is>
      </c>
      <c r="M6278" t="inlineStr"/>
      <c r="N6278" t="inlineStr">
        <is>
          <t>36D², 6B⁰, 72B⁴, 12F⁰, 24B¹, 72D⁴, 1A⁰, 18A⁰, 48F⁶, 72I⁸, 36A¹, 12A⁰, 4A⁰, 9A⁰, 3A⁰, 24H²</t>
        </is>
      </c>
      <c r="O6278" t="inlineStr"/>
    </row>
    <row r="6279">
      <c r="A6279">
        <f>HYPERLINK("https://mathstats.uncg.edu/sites/pauli/congruence/csg20.html#group150A20", "150A²⁰")</f>
        <v/>
      </c>
      <c r="B6279" t="n">
        <v>20</v>
      </c>
      <c r="C6279" t="inlineStr"/>
      <c r="D6279" t="inlineStr">
        <is>
          <t>270</t>
        </is>
      </c>
      <c r="E6279" t="inlineStr">
        <is>
          <t>1</t>
        </is>
      </c>
      <c r="F6279" t="inlineStr">
        <is>
          <t>90</t>
        </is>
      </c>
      <c r="G6279" t="inlineStr">
        <is>
          <t>6</t>
        </is>
      </c>
      <c r="H6279" t="inlineStr">
        <is>
          <t>0</t>
        </is>
      </c>
      <c r="I6279" t="inlineStr">
        <is>
          <t>15¹, 30¹, 75¹, 150¹</t>
        </is>
      </c>
      <c r="J6279" t="n">
        <v>4</v>
      </c>
      <c r="K6279" t="inlineStr">
        <is>
          <t>2⁶, 4¹², 20⁶</t>
        </is>
      </c>
      <c r="L6279" t="inlineStr">
        <is>
          <t>30E², 50A⁶, 75A⁶</t>
        </is>
      </c>
      <c r="M6279" t="inlineStr"/>
      <c r="N6279" t="inlineStr">
        <is>
          <t>50A⁶, 15B⁰, 25A², 3A⁰, 30E², 5B⁰, 10C⁰, 2B⁰, 75A⁶, 1A⁰, 6D⁰</t>
        </is>
      </c>
      <c r="O6279" t="inlineStr"/>
    </row>
    <row r="6280">
      <c r="A6280">
        <f>HYPERLINK("https://mathstats.uncg.edu/sites/pauli/congruence/csg20.html#group150B20", "150B²⁰")</f>
        <v/>
      </c>
      <c r="B6280" t="n">
        <v>20</v>
      </c>
      <c r="C6280" t="inlineStr"/>
      <c r="D6280" t="inlineStr">
        <is>
          <t>270</t>
        </is>
      </c>
      <c r="E6280" t="inlineStr">
        <is>
          <t>1</t>
        </is>
      </c>
      <c r="F6280" t="inlineStr">
        <is>
          <t>90</t>
        </is>
      </c>
      <c r="G6280" t="inlineStr">
        <is>
          <t>6</t>
        </is>
      </c>
      <c r="H6280" t="inlineStr">
        <is>
          <t>0</t>
        </is>
      </c>
      <c r="I6280" t="inlineStr">
        <is>
          <t>15¹, 30¹, 75¹, 150¹</t>
        </is>
      </c>
      <c r="J6280" t="n">
        <v>4</v>
      </c>
      <c r="K6280" t="inlineStr">
        <is>
          <t>2⁶, 4¹², 20⁶</t>
        </is>
      </c>
      <c r="L6280" t="inlineStr">
        <is>
          <t>30E², 50B⁶, 75B⁶</t>
        </is>
      </c>
      <c r="M6280" t="inlineStr"/>
      <c r="N6280" t="inlineStr">
        <is>
          <t>15B⁰, 30E², 5B⁰, 10C⁰, 1A⁰, 2B⁰, 50B⁶, 3A⁰, 75B⁶, 6D⁰, 25B²</t>
        </is>
      </c>
      <c r="O6280" t="inlineStr"/>
    </row>
    <row r="6281">
      <c r="A6281">
        <f>HYPERLINK("https://mathstats.uncg.edu/sites/pauli/congruence/csg20.html#group150C20", "150C²⁰")</f>
        <v/>
      </c>
      <c r="B6281" t="n">
        <v>20</v>
      </c>
      <c r="C6281" t="inlineStr"/>
      <c r="D6281" t="inlineStr">
        <is>
          <t>270</t>
        </is>
      </c>
      <c r="E6281" t="inlineStr">
        <is>
          <t>1</t>
        </is>
      </c>
      <c r="F6281" t="inlineStr">
        <is>
          <t>90</t>
        </is>
      </c>
      <c r="G6281" t="inlineStr">
        <is>
          <t>6</t>
        </is>
      </c>
      <c r="H6281" t="inlineStr">
        <is>
          <t>0</t>
        </is>
      </c>
      <c r="I6281" t="inlineStr">
        <is>
          <t>15¹, 30¹, 75¹, 150¹</t>
        </is>
      </c>
      <c r="J6281" t="n">
        <v>4</v>
      </c>
      <c r="K6281" t="inlineStr">
        <is>
          <t>2⁶, 4¹², 20⁶</t>
        </is>
      </c>
      <c r="L6281" t="inlineStr">
        <is>
          <t>30E², 50C⁶, 75C⁶</t>
        </is>
      </c>
      <c r="M6281" t="inlineStr"/>
      <c r="N6281" t="inlineStr">
        <is>
          <t>15B⁰, 30E², 50C⁶, 75C⁶, 5B⁰, 10C⁰, 2B⁰, 3A⁰, 1A⁰, 25C², 6D⁰</t>
        </is>
      </c>
      <c r="O6281" t="inlineStr"/>
    </row>
    <row r="6282">
      <c r="A6282">
        <f>HYPERLINK("https://mathstats.uncg.edu/sites/pauli/congruence/csg20.html#group150D20", "150D²⁰")</f>
        <v/>
      </c>
      <c r="B6282" t="n">
        <v>20</v>
      </c>
      <c r="C6282" t="inlineStr"/>
      <c r="D6282" t="inlineStr">
        <is>
          <t>270</t>
        </is>
      </c>
      <c r="E6282" t="inlineStr">
        <is>
          <t>1</t>
        </is>
      </c>
      <c r="F6282" t="inlineStr">
        <is>
          <t>90</t>
        </is>
      </c>
      <c r="G6282" t="inlineStr">
        <is>
          <t>6</t>
        </is>
      </c>
      <c r="H6282" t="inlineStr">
        <is>
          <t>0</t>
        </is>
      </c>
      <c r="I6282" t="inlineStr">
        <is>
          <t>15¹, 30¹, 75¹, 150¹</t>
        </is>
      </c>
      <c r="J6282" t="n">
        <v>4</v>
      </c>
      <c r="K6282" t="inlineStr">
        <is>
          <t>2⁶, 4¹², 20⁶</t>
        </is>
      </c>
      <c r="L6282" t="inlineStr">
        <is>
          <t>30E², 50D⁶, 75D⁶</t>
        </is>
      </c>
      <c r="M6282" t="inlineStr"/>
      <c r="N6282" t="inlineStr">
        <is>
          <t>15B⁰, 30E², 50D⁶, 5B⁰, 10C⁰, 2B⁰, 75D⁶, 3A⁰, 1A⁰, 6D⁰, 25D²</t>
        </is>
      </c>
      <c r="O6282" t="inlineStr"/>
    </row>
    <row r="6283">
      <c r="A6283">
        <f>HYPERLINK("https://mathstats.uncg.edu/sites/pauli/congruence/csg20.html#group150E20", "150E²⁰")</f>
        <v/>
      </c>
      <c r="B6283" t="n">
        <v>20</v>
      </c>
      <c r="C6283" t="inlineStr"/>
      <c r="D6283" t="inlineStr">
        <is>
          <t>300</t>
        </is>
      </c>
      <c r="E6283" t="inlineStr">
        <is>
          <t>1</t>
        </is>
      </c>
      <c r="F6283" t="inlineStr">
        <is>
          <t>100</t>
        </is>
      </c>
      <c r="G6283" t="inlineStr">
        <is>
          <t>0</t>
        </is>
      </c>
      <c r="H6283" t="inlineStr">
        <is>
          <t>15</t>
        </is>
      </c>
      <c r="I6283" t="inlineStr">
        <is>
          <t>150²</t>
        </is>
      </c>
      <c r="J6283" t="n">
        <v>2</v>
      </c>
      <c r="K6283" t="inlineStr">
        <is>
          <t>4¹, 8², 40²</t>
        </is>
      </c>
      <c r="L6283" t="inlineStr">
        <is>
          <t>30B⁴, 50E⁵</t>
        </is>
      </c>
      <c r="M6283" t="inlineStr"/>
      <c r="N6283" t="inlineStr">
        <is>
          <t>2A⁰, 30B⁴, 6A⁰, 50E⁵, 5C⁰, 25E², 10C¹, 1A⁰</t>
        </is>
      </c>
      <c r="O6283" t="inlineStr"/>
    </row>
    <row r="6284">
      <c r="A6284">
        <f>HYPERLINK("https://mathstats.uncg.edu/sites/pauli/congruence/csg20.html#group154A20", "154A²⁰")</f>
        <v/>
      </c>
      <c r="B6284" t="n">
        <v>20</v>
      </c>
      <c r="C6284" t="inlineStr"/>
      <c r="D6284" t="inlineStr">
        <is>
          <t>252</t>
        </is>
      </c>
      <c r="E6284" t="inlineStr">
        <is>
          <t>2</t>
        </is>
      </c>
      <c r="F6284" t="inlineStr">
        <is>
          <t>252</t>
        </is>
      </c>
      <c r="G6284" t="inlineStr">
        <is>
          <t>0</t>
        </is>
      </c>
      <c r="H6284" t="inlineStr">
        <is>
          <t>0</t>
        </is>
      </c>
      <c r="I6284" t="inlineStr">
        <is>
          <t>7¹, 14¹, 77¹, 154¹</t>
        </is>
      </c>
      <c r="J6284" t="n">
        <v>4</v>
      </c>
      <c r="K6284" t="inlineStr">
        <is>
          <t>2⁶, 6¹², 20³, 60⁶</t>
        </is>
      </c>
      <c r="L6284" t="inlineStr">
        <is>
          <t>22C², 77A⁷</t>
        </is>
      </c>
      <c r="M6284" t="inlineStr"/>
      <c r="N6284" t="inlineStr">
        <is>
          <t>77A⁷, 2B⁰, 22C², 1A⁰, 11A¹, 7A⁰</t>
        </is>
      </c>
      <c r="O6284" t="inlineStr"/>
    </row>
    <row r="6285">
      <c r="A6285">
        <f>HYPERLINK("https://mathstats.uncg.edu/sites/pauli/congruence/csg20.html#group156A20", "156A²⁰")</f>
        <v/>
      </c>
      <c r="B6285" t="n">
        <v>20</v>
      </c>
      <c r="C6285" t="inlineStr"/>
      <c r="D6285" t="inlineStr">
        <is>
          <t>252</t>
        </is>
      </c>
      <c r="E6285" t="inlineStr">
        <is>
          <t>1</t>
        </is>
      </c>
      <c r="F6285" t="inlineStr">
        <is>
          <t>42</t>
        </is>
      </c>
      <c r="G6285" t="inlineStr">
        <is>
          <t>0</t>
        </is>
      </c>
      <c r="H6285" t="inlineStr">
        <is>
          <t>0</t>
        </is>
      </c>
      <c r="I6285" t="inlineStr">
        <is>
          <t>6¹, 12¹, 78¹, 156¹</t>
        </is>
      </c>
      <c r="J6285" t="n">
        <v>4</v>
      </c>
      <c r="K6285" t="inlineStr">
        <is>
          <t>1⁶, 12³</t>
        </is>
      </c>
      <c r="L6285" t="inlineStr">
        <is>
          <t>52A⁶, 78A⁸</t>
        </is>
      </c>
      <c r="M6285" t="inlineStr"/>
      <c r="N6285" t="inlineStr">
        <is>
          <t>78A⁸, 39A², 52A⁶, 13A⁰, 2B⁰, 3A⁰, 1A⁰, 26A², 6D⁰</t>
        </is>
      </c>
      <c r="O6285" t="inlineStr"/>
    </row>
    <row r="6286">
      <c r="A6286">
        <f>HYPERLINK("https://mathstats.uncg.edu/sites/pauli/congruence/csg20.html#group156B20", "156B²⁰")</f>
        <v/>
      </c>
      <c r="B6286" t="n">
        <v>20</v>
      </c>
      <c r="C6286" t="inlineStr"/>
      <c r="D6286" t="inlineStr">
        <is>
          <t>252</t>
        </is>
      </c>
      <c r="E6286" t="inlineStr">
        <is>
          <t>2</t>
        </is>
      </c>
      <c r="F6286" t="inlineStr">
        <is>
          <t>42</t>
        </is>
      </c>
      <c r="G6286" t="inlineStr">
        <is>
          <t>0</t>
        </is>
      </c>
      <c r="H6286" t="inlineStr">
        <is>
          <t>0</t>
        </is>
      </c>
      <c r="I6286" t="inlineStr">
        <is>
          <t>6¹, 12¹, 78¹, 156¹</t>
        </is>
      </c>
      <c r="J6286" t="n">
        <v>4</v>
      </c>
      <c r="K6286" t="inlineStr">
        <is>
          <t>2⁶, 24³</t>
        </is>
      </c>
      <c r="L6286" t="inlineStr">
        <is>
          <t>52A⁶, 78B⁸</t>
        </is>
      </c>
      <c r="M6286" t="inlineStr"/>
      <c r="N6286" t="inlineStr">
        <is>
          <t>13A⁰, 26A², 2B⁰, 52A⁶, 39A¹, 1A⁰, 78B⁸</t>
        </is>
      </c>
      <c r="O6286" t="inlineStr"/>
    </row>
    <row r="6287">
      <c r="A6287">
        <f>HYPERLINK("https://mathstats.uncg.edu/sites/pauli/congruence/csg20.html#group160A20", "160A²⁰")</f>
        <v/>
      </c>
      <c r="B6287" t="n">
        <v>20</v>
      </c>
      <c r="C6287" t="inlineStr"/>
      <c r="D6287" t="inlineStr">
        <is>
          <t>240</t>
        </is>
      </c>
      <c r="E6287" t="inlineStr">
        <is>
          <t>1</t>
        </is>
      </c>
      <c r="F6287" t="inlineStr">
        <is>
          <t>120</t>
        </is>
      </c>
      <c r="G6287" t="inlineStr">
        <is>
          <t>0</t>
        </is>
      </c>
      <c r="H6287" t="inlineStr">
        <is>
          <t>0</t>
        </is>
      </c>
      <c r="I6287" t="inlineStr">
        <is>
          <t>80¹, 160¹</t>
        </is>
      </c>
      <c r="J6287" t="n">
        <v>2</v>
      </c>
      <c r="K6287" t="inlineStr">
        <is>
          <t>2⁸, 8⁹, 32¹</t>
        </is>
      </c>
      <c r="L6287" t="inlineStr">
        <is>
          <t>32A⁴, 80B¹⁰</t>
        </is>
      </c>
      <c r="M6287" t="inlineStr"/>
      <c r="N6287" t="inlineStr">
        <is>
          <t>5A⁰, 8A¹, 10B¹, 20B², 4C⁰, 2B⁰, 32A⁴, 1A⁰, 16B², 80B¹⁰, 40A⁵</t>
        </is>
      </c>
      <c r="O6287" t="inlineStr"/>
    </row>
    <row r="6288">
      <c r="A6288">
        <f>HYPERLINK("https://mathstats.uncg.edu/sites/pauli/congruence/csg20.html#group160B20", "160B²⁰")</f>
        <v/>
      </c>
      <c r="B6288" t="n">
        <v>20</v>
      </c>
      <c r="C6288" t="inlineStr"/>
      <c r="D6288" t="inlineStr">
        <is>
          <t>240</t>
        </is>
      </c>
      <c r="E6288" t="inlineStr">
        <is>
          <t>1</t>
        </is>
      </c>
      <c r="F6288" t="inlineStr">
        <is>
          <t>120</t>
        </is>
      </c>
      <c r="G6288" t="inlineStr">
        <is>
          <t>0</t>
        </is>
      </c>
      <c r="H6288" t="inlineStr">
        <is>
          <t>0</t>
        </is>
      </c>
      <c r="I6288" t="inlineStr">
        <is>
          <t>80¹, 160¹</t>
        </is>
      </c>
      <c r="J6288" t="n">
        <v>2</v>
      </c>
      <c r="K6288" t="inlineStr">
        <is>
          <t>2⁸, 8⁹, 32¹</t>
        </is>
      </c>
      <c r="L6288" t="inlineStr">
        <is>
          <t>32B⁴, 80B¹⁰</t>
        </is>
      </c>
      <c r="M6288" t="inlineStr"/>
      <c r="N6288" t="inlineStr">
        <is>
          <t>5A⁰, 16B², 8A¹, 80B¹⁰, 10B¹, 20B², 4C⁰, 2B⁰, 40A⁵, 1A⁰, 32B⁴</t>
        </is>
      </c>
      <c r="O6288" t="inlineStr"/>
    </row>
    <row r="6289">
      <c r="A6289">
        <f>HYPERLINK("https://mathstats.uncg.edu/sites/pauli/congruence/csg20.html#group166A20", "166A²⁰")</f>
        <v/>
      </c>
      <c r="B6289" t="n">
        <v>20</v>
      </c>
      <c r="C6289" t="inlineStr">
        <is>
          <t>Γ₀(166)</t>
        </is>
      </c>
      <c r="D6289" t="inlineStr">
        <is>
          <t>252</t>
        </is>
      </c>
      <c r="E6289" t="inlineStr">
        <is>
          <t>1</t>
        </is>
      </c>
      <c r="F6289" t="inlineStr">
        <is>
          <t>252</t>
        </is>
      </c>
      <c r="G6289" t="inlineStr">
        <is>
          <t>0</t>
        </is>
      </c>
      <c r="H6289" t="inlineStr">
        <is>
          <t>0</t>
        </is>
      </c>
      <c r="I6289" t="inlineStr">
        <is>
          <t>1¹, 2¹, 83¹, 166¹</t>
        </is>
      </c>
      <c r="J6289" t="n">
        <v>4</v>
      </c>
      <c r="K6289" t="inlineStr">
        <is>
          <t>1⁶, 82³</t>
        </is>
      </c>
      <c r="L6289" t="inlineStr">
        <is>
          <t>2B⁰, 83A⁷</t>
        </is>
      </c>
      <c r="M6289" t="inlineStr"/>
      <c r="N6289" t="inlineStr">
        <is>
          <t>1A⁰, 2B⁰, 83A⁷</t>
        </is>
      </c>
      <c r="O6289" t="inlineStr"/>
    </row>
    <row r="6290">
      <c r="A6290">
        <f>HYPERLINK("https://mathstats.uncg.edu/sites/pauli/congruence/csg20.html#group168A20", "168A²⁰")</f>
        <v/>
      </c>
      <c r="B6290" t="n">
        <v>20</v>
      </c>
      <c r="C6290" t="inlineStr"/>
      <c r="D6290" t="inlineStr">
        <is>
          <t>252</t>
        </is>
      </c>
      <c r="E6290" t="inlineStr">
        <is>
          <t>2</t>
        </is>
      </c>
      <c r="F6290" t="inlineStr">
        <is>
          <t>42</t>
        </is>
      </c>
      <c r="G6290" t="inlineStr">
        <is>
          <t>0</t>
        </is>
      </c>
      <c r="H6290" t="inlineStr">
        <is>
          <t>0</t>
        </is>
      </c>
      <c r="I6290" t="inlineStr">
        <is>
          <t>21², 42¹, 168¹</t>
        </is>
      </c>
      <c r="J6290" t="n">
        <v>4</v>
      </c>
      <c r="K6290" t="inlineStr">
        <is>
          <t>2⁴, 4¹, 6⁸, 12²</t>
        </is>
      </c>
      <c r="L6290" t="inlineStr">
        <is>
          <t>56B⁶, 84A¹⁰</t>
        </is>
      </c>
      <c r="M6290" t="inlineStr"/>
      <c r="N6290" t="inlineStr">
        <is>
          <t>84A¹⁰, 14B¹, 21A⁰, 28A³, 2B⁰, 4B⁰, 1A⁰, 56B⁶, 12B¹, 3A⁰, 42C³, 6D⁰, 7A⁰</t>
        </is>
      </c>
      <c r="O6290" t="inlineStr"/>
    </row>
    <row r="6291">
      <c r="A6291">
        <f>HYPERLINK("https://mathstats.uncg.edu/sites/pauli/congruence/csg20.html#group168B20", "168B²⁰")</f>
        <v/>
      </c>
      <c r="B6291" t="n">
        <v>20</v>
      </c>
      <c r="C6291" t="inlineStr"/>
      <c r="D6291" t="inlineStr">
        <is>
          <t>252</t>
        </is>
      </c>
      <c r="E6291" t="inlineStr">
        <is>
          <t>2</t>
        </is>
      </c>
      <c r="F6291" t="inlineStr">
        <is>
          <t>42</t>
        </is>
      </c>
      <c r="G6291" t="inlineStr">
        <is>
          <t>0</t>
        </is>
      </c>
      <c r="H6291" t="inlineStr">
        <is>
          <t>0</t>
        </is>
      </c>
      <c r="I6291" t="inlineStr">
        <is>
          <t>21², 42¹, 168¹</t>
        </is>
      </c>
      <c r="J6291" t="n">
        <v>4</v>
      </c>
      <c r="K6291" t="inlineStr">
        <is>
          <t>2⁴, 4¹, 6⁸, 12²</t>
        </is>
      </c>
      <c r="L6291" t="inlineStr">
        <is>
          <t>24B², 56C⁶, 84A¹⁰</t>
        </is>
      </c>
      <c r="M6291" t="inlineStr"/>
      <c r="N6291" t="inlineStr">
        <is>
          <t>56C⁶, 84A¹⁰, 14B¹, 21A⁰, 28A³, 8C⁰, 2B⁰, 4B⁰, 1A⁰, 24B², 12B¹, 3A⁰, 42C³, 6D⁰, 7A⁰</t>
        </is>
      </c>
      <c r="O6291" t="inlineStr"/>
    </row>
    <row r="6292">
      <c r="A6292">
        <f>HYPERLINK("https://mathstats.uncg.edu/sites/pauli/congruence/csg20.html#group168C20", "168C²⁰")</f>
        <v/>
      </c>
      <c r="B6292" t="n">
        <v>20</v>
      </c>
      <c r="C6292" t="inlineStr"/>
      <c r="D6292" t="inlineStr">
        <is>
          <t>252</t>
        </is>
      </c>
      <c r="E6292" t="inlineStr">
        <is>
          <t>2</t>
        </is>
      </c>
      <c r="F6292" t="inlineStr">
        <is>
          <t>126</t>
        </is>
      </c>
      <c r="G6292" t="inlineStr">
        <is>
          <t>0</t>
        </is>
      </c>
      <c r="H6292" t="inlineStr">
        <is>
          <t>0</t>
        </is>
      </c>
      <c r="I6292" t="inlineStr">
        <is>
          <t>21², 42¹, 168¹</t>
        </is>
      </c>
      <c r="J6292" t="n">
        <v>4</v>
      </c>
      <c r="K6292" t="inlineStr">
        <is>
          <t>2⁴, 4⁵, 6⁸, 8¹, 12¹⁰, 24²</t>
        </is>
      </c>
      <c r="L6292" t="inlineStr">
        <is>
          <t>84A¹⁰</t>
        </is>
      </c>
      <c r="M6292" t="inlineStr"/>
      <c r="N6292" t="inlineStr">
        <is>
          <t>84A¹⁰, 14B¹, 4B⁰, 21A⁰, 28A³, 12B¹, 2B⁰, 3A⁰, 1A⁰, 42C³, 6D⁰, 7A⁰</t>
        </is>
      </c>
      <c r="O6292" t="inlineStr"/>
    </row>
    <row r="6293">
      <c r="A6293">
        <f>HYPERLINK("https://mathstats.uncg.edu/sites/pauli/congruence/csg20.html#group168D20", "168D²⁰")</f>
        <v/>
      </c>
      <c r="B6293" t="n">
        <v>20</v>
      </c>
      <c r="C6293" t="inlineStr"/>
      <c r="D6293" t="inlineStr">
        <is>
          <t>252</t>
        </is>
      </c>
      <c r="E6293" t="inlineStr">
        <is>
          <t>2</t>
        </is>
      </c>
      <c r="F6293" t="inlineStr">
        <is>
          <t>126</t>
        </is>
      </c>
      <c r="G6293" t="inlineStr">
        <is>
          <t>0</t>
        </is>
      </c>
      <c r="H6293" t="inlineStr">
        <is>
          <t>0</t>
        </is>
      </c>
      <c r="I6293" t="inlineStr">
        <is>
          <t>21², 42¹, 168¹</t>
        </is>
      </c>
      <c r="J6293" t="n">
        <v>4</v>
      </c>
      <c r="K6293" t="inlineStr">
        <is>
          <t>2⁴, 4⁵, 6⁸, 8¹, 12¹⁰, 24²</t>
        </is>
      </c>
      <c r="L6293" t="inlineStr">
        <is>
          <t>24D², 84A¹⁰</t>
        </is>
      </c>
      <c r="M6293" t="inlineStr"/>
      <c r="N6293" t="inlineStr">
        <is>
          <t>84A¹⁰, 14B¹, 21A⁰, 28A³, 2B⁰, 4B⁰, 1A⁰, 24D², 12B¹, 3A⁰, 42C³, 6D⁰, 7A⁰</t>
        </is>
      </c>
      <c r="O6293" t="inlineStr"/>
    </row>
    <row r="6294">
      <c r="A6294">
        <f>HYPERLINK("https://mathstats.uncg.edu/sites/pauli/congruence/csg20.html#group168E20", "168E²⁰")</f>
        <v/>
      </c>
      <c r="B6294" t="n">
        <v>20</v>
      </c>
      <c r="C6294" t="inlineStr"/>
      <c r="D6294" t="inlineStr">
        <is>
          <t>288</t>
        </is>
      </c>
      <c r="E6294" t="inlineStr">
        <is>
          <t>1</t>
        </is>
      </c>
      <c r="F6294" t="inlineStr">
        <is>
          <t>24</t>
        </is>
      </c>
      <c r="G6294" t="inlineStr">
        <is>
          <t>0</t>
        </is>
      </c>
      <c r="H6294" t="inlineStr">
        <is>
          <t>0</t>
        </is>
      </c>
      <c r="I6294" t="inlineStr">
        <is>
          <t>3⁴, 21⁴, 24¹, 168¹</t>
        </is>
      </c>
      <c r="J6294" t="n">
        <v>10</v>
      </c>
      <c r="K6294" t="inlineStr">
        <is>
          <t>1⁶, 6³</t>
        </is>
      </c>
      <c r="L6294" t="inlineStr">
        <is>
          <t>56C⁴, 84B¹⁰</t>
        </is>
      </c>
      <c r="M6294" t="inlineStr"/>
      <c r="N6294" t="inlineStr">
        <is>
          <t>56C⁴, 21A², 84B¹⁰, 3A⁰, 42A⁵, 7B⁰, 28D², 14C¹, 12B¹, 2B⁰, 4B⁰, 1A⁰, 6D⁰</t>
        </is>
      </c>
      <c r="O6294" t="inlineStr"/>
    </row>
    <row r="6295">
      <c r="A6295">
        <f>HYPERLINK("https://mathstats.uncg.edu/sites/pauli/congruence/csg20.html#group168F20", "168F²⁰")</f>
        <v/>
      </c>
      <c r="B6295" t="n">
        <v>20</v>
      </c>
      <c r="C6295" t="inlineStr"/>
      <c r="D6295" t="inlineStr">
        <is>
          <t>288</t>
        </is>
      </c>
      <c r="E6295" t="inlineStr">
        <is>
          <t>1</t>
        </is>
      </c>
      <c r="F6295" t="inlineStr">
        <is>
          <t>72</t>
        </is>
      </c>
      <c r="G6295" t="inlineStr">
        <is>
          <t>0</t>
        </is>
      </c>
      <c r="H6295" t="inlineStr">
        <is>
          <t>0</t>
        </is>
      </c>
      <c r="I6295" t="inlineStr">
        <is>
          <t>3⁴, 21⁴, 24¹, 168¹</t>
        </is>
      </c>
      <c r="J6295" t="n">
        <v>10</v>
      </c>
      <c r="K6295" t="inlineStr">
        <is>
          <t>1⁶, 2⁶, 6³, 12³</t>
        </is>
      </c>
      <c r="L6295" t="inlineStr">
        <is>
          <t>84B¹⁰</t>
        </is>
      </c>
      <c r="M6295" t="inlineStr"/>
      <c r="N6295" t="inlineStr">
        <is>
          <t>3A⁰, 21A², 84B¹⁰, 42A⁵, 7B⁰, 28D², 14C¹, 12B¹, 2B⁰, 4B⁰, 1A⁰, 6D⁰</t>
        </is>
      </c>
      <c r="O6295" t="inlineStr"/>
    </row>
    <row r="6296">
      <c r="A6296">
        <f>HYPERLINK("https://mathstats.uncg.edu/sites/pauli/congruence/csg20.html#group168G20", "168G²⁰")</f>
        <v/>
      </c>
      <c r="B6296" t="n">
        <v>20</v>
      </c>
      <c r="C6296" t="inlineStr"/>
      <c r="D6296" t="inlineStr">
        <is>
          <t>288</t>
        </is>
      </c>
      <c r="E6296" t="inlineStr">
        <is>
          <t>2</t>
        </is>
      </c>
      <c r="F6296" t="inlineStr">
        <is>
          <t>24</t>
        </is>
      </c>
      <c r="G6296" t="inlineStr">
        <is>
          <t>0</t>
        </is>
      </c>
      <c r="H6296" t="inlineStr">
        <is>
          <t>0</t>
        </is>
      </c>
      <c r="I6296" t="inlineStr">
        <is>
          <t>3⁴, 21⁴, 24¹, 168¹</t>
        </is>
      </c>
      <c r="J6296" t="n">
        <v>10</v>
      </c>
      <c r="K6296" t="inlineStr">
        <is>
          <t>2⁶, 12³</t>
        </is>
      </c>
      <c r="L6296" t="inlineStr">
        <is>
          <t>56C⁴, 84D¹⁰</t>
        </is>
      </c>
      <c r="M6296" t="inlineStr"/>
      <c r="N6296" t="inlineStr">
        <is>
          <t>56C⁴, 42B⁵, 7B⁰, 28D², 14C¹, 2B⁰, 4B⁰, 84D¹⁰, 1A⁰, 21A¹</t>
        </is>
      </c>
      <c r="O6296" t="inlineStr"/>
    </row>
    <row r="6297">
      <c r="A6297">
        <f>HYPERLINK("https://mathstats.uncg.edu/sites/pauli/congruence/csg20.html#group172A20", "172A²⁰")</f>
        <v/>
      </c>
      <c r="B6297" t="n">
        <v>20</v>
      </c>
      <c r="C6297" t="inlineStr">
        <is>
          <t>Γ₀(172)</t>
        </is>
      </c>
      <c r="D6297" t="inlineStr">
        <is>
          <t>264</t>
        </is>
      </c>
      <c r="E6297" t="inlineStr">
        <is>
          <t>1</t>
        </is>
      </c>
      <c r="F6297" t="inlineStr">
        <is>
          <t>132</t>
        </is>
      </c>
      <c r="G6297" t="inlineStr">
        <is>
          <t>0</t>
        </is>
      </c>
      <c r="H6297" t="inlineStr">
        <is>
          <t>0</t>
        </is>
      </c>
      <c r="I6297" t="inlineStr">
        <is>
          <t>1², 4¹, 43², 172¹</t>
        </is>
      </c>
      <c r="J6297" t="n">
        <v>6</v>
      </c>
      <c r="K6297" t="inlineStr">
        <is>
          <t>1⁶, 42³</t>
        </is>
      </c>
      <c r="L6297" t="inlineStr">
        <is>
          <t>4B⁰, 86A¹⁰</t>
        </is>
      </c>
      <c r="M6297" t="inlineStr"/>
      <c r="N6297" t="inlineStr">
        <is>
          <t>2B⁰, 4B⁰, 1A⁰, 43A³, 86A¹⁰</t>
        </is>
      </c>
      <c r="O6297" t="inlineStr"/>
    </row>
    <row r="6298">
      <c r="A6298">
        <f>HYPERLINK("https://mathstats.uncg.edu/sites/pauli/congruence/csg20.html#group174A20", "174A²⁰")</f>
        <v/>
      </c>
      <c r="B6298" t="n">
        <v>20</v>
      </c>
      <c r="C6298" t="inlineStr"/>
      <c r="D6298" t="inlineStr">
        <is>
          <t>270</t>
        </is>
      </c>
      <c r="E6298" t="inlineStr">
        <is>
          <t>1</t>
        </is>
      </c>
      <c r="F6298" t="inlineStr">
        <is>
          <t>90</t>
        </is>
      </c>
      <c r="G6298" t="inlineStr">
        <is>
          <t>6</t>
        </is>
      </c>
      <c r="H6298" t="inlineStr">
        <is>
          <t>0</t>
        </is>
      </c>
      <c r="I6298" t="inlineStr">
        <is>
          <t>3¹, 6¹, 87¹, 174¹</t>
        </is>
      </c>
      <c r="J6298" t="n">
        <v>4</v>
      </c>
      <c r="K6298" t="inlineStr">
        <is>
          <t>1⁶, 28³</t>
        </is>
      </c>
      <c r="L6298" t="inlineStr">
        <is>
          <t>6D⁰, 58A⁶, 87A⁶</t>
        </is>
      </c>
      <c r="M6298" t="inlineStr"/>
      <c r="N6298" t="inlineStr">
        <is>
          <t>29A², 58A⁶, 87A⁶, 2B⁰, 3A⁰, 1A⁰, 6D⁰</t>
        </is>
      </c>
      <c r="O6298" t="inlineStr"/>
    </row>
    <row r="6299">
      <c r="A6299">
        <f>HYPERLINK("https://mathstats.uncg.edu/sites/pauli/congruence/csg20.html#group176A20", "176A²⁰")</f>
        <v/>
      </c>
      <c r="B6299" t="n">
        <v>20</v>
      </c>
      <c r="C6299" t="inlineStr"/>
      <c r="D6299" t="inlineStr">
        <is>
          <t>264</t>
        </is>
      </c>
      <c r="E6299" t="inlineStr">
        <is>
          <t>2</t>
        </is>
      </c>
      <c r="F6299" t="inlineStr">
        <is>
          <t>66</t>
        </is>
      </c>
      <c r="G6299" t="inlineStr">
        <is>
          <t>0</t>
        </is>
      </c>
      <c r="H6299" t="inlineStr">
        <is>
          <t>0</t>
        </is>
      </c>
      <c r="I6299" t="inlineStr">
        <is>
          <t>11⁴, 44¹, 176¹</t>
        </is>
      </c>
      <c r="J6299" t="n">
        <v>6</v>
      </c>
      <c r="K6299" t="inlineStr">
        <is>
          <t>2⁴, 4¹, 10⁸, 20²</t>
        </is>
      </c>
      <c r="L6299" t="inlineStr">
        <is>
          <t>16C⁰, 88A¹⁰</t>
        </is>
      </c>
      <c r="M6299" t="inlineStr"/>
      <c r="N6299" t="inlineStr">
        <is>
          <t>11A⁰, 44A⁵, 16C⁰, 8C⁰, 88A¹⁰, 2B⁰, 22B², 4B⁰, 1A⁰</t>
        </is>
      </c>
      <c r="O6299" t="inlineStr"/>
    </row>
    <row r="6300">
      <c r="A6300">
        <f>HYPERLINK("https://mathstats.uncg.edu/sites/pauli/congruence/csg20.html#group176B20", "176B²⁰")</f>
        <v/>
      </c>
      <c r="B6300" t="n">
        <v>20</v>
      </c>
      <c r="C6300" t="inlineStr"/>
      <c r="D6300" t="inlineStr">
        <is>
          <t>264</t>
        </is>
      </c>
      <c r="E6300" t="inlineStr">
        <is>
          <t>2</t>
        </is>
      </c>
      <c r="F6300" t="inlineStr">
        <is>
          <t>132</t>
        </is>
      </c>
      <c r="G6300" t="inlineStr">
        <is>
          <t>0</t>
        </is>
      </c>
      <c r="H6300" t="inlineStr">
        <is>
          <t>0</t>
        </is>
      </c>
      <c r="I6300" t="inlineStr">
        <is>
          <t>11², 22³, 176¹</t>
        </is>
      </c>
      <c r="J6300" t="n">
        <v>6</v>
      </c>
      <c r="K6300" t="inlineStr">
        <is>
          <t>2⁴, 4², 8¹, 10⁸, 20⁴, 40²</t>
        </is>
      </c>
      <c r="L6300" t="inlineStr">
        <is>
          <t>16D⁰, 88A¹⁰</t>
        </is>
      </c>
      <c r="M6300" t="inlineStr"/>
      <c r="N6300" t="inlineStr">
        <is>
          <t>11A⁰, 4B⁰, 16D⁰, 8C⁰, 88A¹⁰, 2B⁰, 22B², 44A⁵, 1A⁰</t>
        </is>
      </c>
      <c r="O6300" t="inlineStr"/>
    </row>
    <row r="6301">
      <c r="A6301">
        <f>HYPERLINK("https://mathstats.uncg.edu/sites/pauli/congruence/csg20.html#group176C20", "176C²⁰")</f>
        <v/>
      </c>
      <c r="B6301" t="n">
        <v>20</v>
      </c>
      <c r="C6301" t="inlineStr"/>
      <c r="D6301" t="inlineStr">
        <is>
          <t>264</t>
        </is>
      </c>
      <c r="E6301" t="inlineStr">
        <is>
          <t>2</t>
        </is>
      </c>
      <c r="F6301" t="inlineStr">
        <is>
          <t>132</t>
        </is>
      </c>
      <c r="G6301" t="inlineStr">
        <is>
          <t>6</t>
        </is>
      </c>
      <c r="H6301" t="inlineStr">
        <is>
          <t>0</t>
        </is>
      </c>
      <c r="I6301" t="inlineStr">
        <is>
          <t>44², 176¹</t>
        </is>
      </c>
      <c r="J6301" t="n">
        <v>3</v>
      </c>
      <c r="K6301" t="inlineStr">
        <is>
          <t>2², 4¹, 8², 10⁴, 20², 40⁴</t>
        </is>
      </c>
      <c r="L6301" t="inlineStr">
        <is>
          <t>16C¹, 88A⁹</t>
        </is>
      </c>
      <c r="M6301" t="inlineStr"/>
      <c r="N6301" t="inlineStr">
        <is>
          <t>11A⁰, 8D⁰, 44C⁴, 16C¹, 4C⁰, 2B⁰, 22B², 1A⁰, 88A⁹</t>
        </is>
      </c>
      <c r="O6301" t="inlineStr"/>
    </row>
    <row r="6302">
      <c r="A6302">
        <f>HYPERLINK("https://mathstats.uncg.edu/sites/pauli/congruence/csg20.html#group176D20", "176D²⁰")</f>
        <v/>
      </c>
      <c r="B6302" t="n">
        <v>20</v>
      </c>
      <c r="C6302" t="inlineStr"/>
      <c r="D6302" t="inlineStr">
        <is>
          <t>288</t>
        </is>
      </c>
      <c r="E6302" t="inlineStr">
        <is>
          <t>1</t>
        </is>
      </c>
      <c r="F6302" t="inlineStr">
        <is>
          <t>144</t>
        </is>
      </c>
      <c r="G6302" t="inlineStr">
        <is>
          <t>0</t>
        </is>
      </c>
      <c r="H6302" t="inlineStr">
        <is>
          <t>0</t>
        </is>
      </c>
      <c r="I6302" t="inlineStr">
        <is>
          <t>2⁴, 16¹, 22⁴, 176¹</t>
        </is>
      </c>
      <c r="J6302" t="n">
        <v>10</v>
      </c>
      <c r="K6302" t="inlineStr">
        <is>
          <t>1⁴, 2², 4⁴, 10², 20¹, 40²</t>
        </is>
      </c>
      <c r="L6302" t="inlineStr">
        <is>
          <t>16E⁰, 88C¹⁰</t>
        </is>
      </c>
      <c r="M6302" t="inlineStr"/>
      <c r="N6302" t="inlineStr">
        <is>
          <t>16E⁰, 8D⁰, 11A¹, 4C⁰, 44B⁵, 2B⁰, 22C², 1A⁰, 88C¹⁰</t>
        </is>
      </c>
      <c r="O6302" t="inlineStr"/>
    </row>
    <row r="6303">
      <c r="A6303">
        <f>HYPERLINK("https://mathstats.uncg.edu/sites/pauli/congruence/csg20.html#group180A20", "180A²⁰")</f>
        <v/>
      </c>
      <c r="B6303" t="n">
        <v>20</v>
      </c>
      <c r="C6303" t="inlineStr"/>
      <c r="D6303" t="inlineStr">
        <is>
          <t>240</t>
        </is>
      </c>
      <c r="E6303" t="inlineStr">
        <is>
          <t>1</t>
        </is>
      </c>
      <c r="F6303" t="inlineStr">
        <is>
          <t>20</t>
        </is>
      </c>
      <c r="G6303" t="inlineStr">
        <is>
          <t>0</t>
        </is>
      </c>
      <c r="H6303" t="inlineStr">
        <is>
          <t>0</t>
        </is>
      </c>
      <c r="I6303" t="inlineStr">
        <is>
          <t>60¹, 180¹</t>
        </is>
      </c>
      <c r="J6303" t="n">
        <v>2</v>
      </c>
      <c r="K6303" t="inlineStr">
        <is>
          <t>1², 2¹, 4², 8¹</t>
        </is>
      </c>
      <c r="L6303" t="inlineStr">
        <is>
          <t>36A⁴, 60B⁴, 90A¹⁰</t>
        </is>
      </c>
      <c r="M6303" t="inlineStr"/>
      <c r="N6303" t="inlineStr">
        <is>
          <t>3B⁰, 2A⁰, 18B², 5A⁰, 10A⁰, 90A¹⁰, 45A⁵, 30D², 60B⁴, 9A¹, 36A⁴, 6C⁰, 15B¹, 1A⁰, 12B⁰</t>
        </is>
      </c>
      <c r="O6303" t="inlineStr"/>
    </row>
    <row r="6304">
      <c r="A6304">
        <f>HYPERLINK("https://mathstats.uncg.edu/sites/pauli/congruence/csg20.html#group180B20", "180B²⁰")</f>
        <v/>
      </c>
      <c r="B6304" t="n">
        <v>20</v>
      </c>
      <c r="C6304" t="inlineStr"/>
      <c r="D6304" t="inlineStr">
        <is>
          <t>240</t>
        </is>
      </c>
      <c r="E6304" t="inlineStr">
        <is>
          <t>1</t>
        </is>
      </c>
      <c r="F6304" t="inlineStr">
        <is>
          <t>40</t>
        </is>
      </c>
      <c r="G6304" t="inlineStr">
        <is>
          <t>0</t>
        </is>
      </c>
      <c r="H6304" t="inlineStr">
        <is>
          <t>0</t>
        </is>
      </c>
      <c r="I6304" t="inlineStr">
        <is>
          <t>60¹, 180¹</t>
        </is>
      </c>
      <c r="J6304" t="n">
        <v>2</v>
      </c>
      <c r="K6304" t="inlineStr">
        <is>
          <t>2⁴, 8⁴</t>
        </is>
      </c>
      <c r="L6304" t="inlineStr">
        <is>
          <t>36B⁴, 60B⁴, 90B¹⁰</t>
        </is>
      </c>
      <c r="M6304" t="inlineStr"/>
      <c r="N6304" t="inlineStr">
        <is>
          <t>3B⁰, 2A⁰, 5A⁰, 10A⁰, 30D², 60B⁴, 6C⁰, 15B¹, 90B¹⁰, 36B⁴, 12B⁰, 1A⁰, 18C²</t>
        </is>
      </c>
      <c r="O6304" t="inlineStr"/>
    </row>
    <row r="6305">
      <c r="A6305">
        <f>HYPERLINK("https://mathstats.uncg.edu/sites/pauli/congruence/csg20.html#group180C20", "180C²⁰")</f>
        <v/>
      </c>
      <c r="B6305" t="n">
        <v>20</v>
      </c>
      <c r="C6305" t="inlineStr"/>
      <c r="D6305" t="inlineStr">
        <is>
          <t>240</t>
        </is>
      </c>
      <c r="E6305" t="inlineStr">
        <is>
          <t>1</t>
        </is>
      </c>
      <c r="F6305" t="inlineStr">
        <is>
          <t>80</t>
        </is>
      </c>
      <c r="G6305" t="inlineStr">
        <is>
          <t>0</t>
        </is>
      </c>
      <c r="H6305" t="inlineStr">
        <is>
          <t>0</t>
        </is>
      </c>
      <c r="I6305" t="inlineStr">
        <is>
          <t>60¹, 180¹</t>
        </is>
      </c>
      <c r="J6305" t="n">
        <v>2</v>
      </c>
      <c r="K6305" t="inlineStr">
        <is>
          <t>2⁴, 4², 8⁴, 16²</t>
        </is>
      </c>
      <c r="L6305" t="inlineStr">
        <is>
          <t>36C⁴, 45A⁵, 60A⁶</t>
        </is>
      </c>
      <c r="M6305" t="inlineStr"/>
      <c r="N6305" t="inlineStr">
        <is>
          <t>3B⁰, 5A⁰, 45A⁵, 4A⁰, 12A¹, 9A¹, 15B¹, 36C⁴, 20A¹, 60A⁶, 1A⁰</t>
        </is>
      </c>
      <c r="O6305" t="inlineStr"/>
    </row>
    <row r="6306">
      <c r="A6306">
        <f>HYPERLINK("https://mathstats.uncg.edu/sites/pauli/congruence/csg20.html#group180D20", "180D²⁰")</f>
        <v/>
      </c>
      <c r="B6306" t="n">
        <v>20</v>
      </c>
      <c r="C6306" t="inlineStr"/>
      <c r="D6306" t="inlineStr">
        <is>
          <t>240</t>
        </is>
      </c>
      <c r="E6306" t="inlineStr">
        <is>
          <t>2</t>
        </is>
      </c>
      <c r="F6306" t="inlineStr">
        <is>
          <t>20</t>
        </is>
      </c>
      <c r="G6306" t="inlineStr">
        <is>
          <t>0</t>
        </is>
      </c>
      <c r="H6306" t="inlineStr">
        <is>
          <t>0</t>
        </is>
      </c>
      <c r="I6306" t="inlineStr">
        <is>
          <t>60¹, 180¹</t>
        </is>
      </c>
      <c r="J6306" t="n">
        <v>2</v>
      </c>
      <c r="K6306" t="inlineStr">
        <is>
          <t>2², 4¹, 8⁴</t>
        </is>
      </c>
      <c r="L6306" t="inlineStr">
        <is>
          <t>60B⁴, 90C¹⁰</t>
        </is>
      </c>
      <c r="M6306" t="inlineStr"/>
      <c r="N6306" t="inlineStr">
        <is>
          <t>3B⁰, 90C¹⁰, 2A⁰, 5A⁰, 10A⁰, 30D², 60B⁴, 6C⁰, 15B¹, 45B⁵, 1A⁰, 12B⁰</t>
        </is>
      </c>
      <c r="O6306" t="inlineStr"/>
    </row>
    <row r="6307">
      <c r="A6307">
        <f>HYPERLINK("https://mathstats.uncg.edu/sites/pauli/congruence/csg20.html#group180E20", "180E²⁰")</f>
        <v/>
      </c>
      <c r="B6307" t="n">
        <v>20</v>
      </c>
      <c r="C6307" t="inlineStr"/>
      <c r="D6307" t="inlineStr">
        <is>
          <t>240</t>
        </is>
      </c>
      <c r="E6307" t="inlineStr">
        <is>
          <t>2</t>
        </is>
      </c>
      <c r="F6307" t="inlineStr">
        <is>
          <t>80</t>
        </is>
      </c>
      <c r="G6307" t="inlineStr">
        <is>
          <t>0</t>
        </is>
      </c>
      <c r="H6307" t="inlineStr">
        <is>
          <t>0</t>
        </is>
      </c>
      <c r="I6307" t="inlineStr">
        <is>
          <t>60¹, 180¹</t>
        </is>
      </c>
      <c r="J6307" t="n">
        <v>2</v>
      </c>
      <c r="K6307" t="inlineStr">
        <is>
          <t>4⁴, 8², 16⁸</t>
        </is>
      </c>
      <c r="L6307" t="inlineStr">
        <is>
          <t>45B⁵, 60A⁶</t>
        </is>
      </c>
      <c r="M6307" t="inlineStr"/>
      <c r="N6307" t="inlineStr">
        <is>
          <t>3B⁰, 5A⁰, 4A⁰, 12A¹, 15B¹, 20A¹, 45B⁵, 60A⁶, 1A⁰</t>
        </is>
      </c>
      <c r="O6307" t="inlineStr"/>
    </row>
    <row r="6308">
      <c r="A6308">
        <f>HYPERLINK("https://mathstats.uncg.edu/sites/pauli/congruence/csg20.html#group180F20", "180F²⁰")</f>
        <v/>
      </c>
      <c r="B6308" t="n">
        <v>20</v>
      </c>
      <c r="C6308" t="inlineStr"/>
      <c r="D6308" t="inlineStr">
        <is>
          <t>270</t>
        </is>
      </c>
      <c r="E6308" t="inlineStr">
        <is>
          <t>1</t>
        </is>
      </c>
      <c r="F6308" t="inlineStr">
        <is>
          <t>135</t>
        </is>
      </c>
      <c r="G6308" t="inlineStr">
        <is>
          <t>10</t>
        </is>
      </c>
      <c r="H6308" t="inlineStr">
        <is>
          <t>0</t>
        </is>
      </c>
      <c r="I6308" t="inlineStr">
        <is>
          <t>90¹, 180¹</t>
        </is>
      </c>
      <c r="J6308" t="n">
        <v>2</v>
      </c>
      <c r="K6308" t="inlineStr">
        <is>
          <t>1³, 2³, 4³, 6³, 8³, 24³</t>
        </is>
      </c>
      <c r="L6308" t="inlineStr">
        <is>
          <t>36B², 60B⁶, 90D¹⁰</t>
        </is>
      </c>
      <c r="M6308" t="inlineStr"/>
      <c r="N6308" t="inlineStr">
        <is>
          <t>5A⁰, 12C⁰, 90D¹⁰, 10B¹, 36B², 20B², 60B⁶, 4C⁰, 2B⁰, 1A⁰, 30D³, 6D⁰, 9A⁰, 18E¹, 3A⁰, 15A¹, 45A³</t>
        </is>
      </c>
      <c r="O6308" t="inlineStr"/>
    </row>
    <row r="6309">
      <c r="A6309">
        <f>HYPERLINK("https://mathstats.uncg.edu/sites/pauli/congruence/csg20.html#group180G20", "180G²⁰")</f>
        <v/>
      </c>
      <c r="B6309" t="n">
        <v>20</v>
      </c>
      <c r="C6309" t="inlineStr"/>
      <c r="D6309" t="inlineStr">
        <is>
          <t>270</t>
        </is>
      </c>
      <c r="E6309" t="inlineStr">
        <is>
          <t>2</t>
        </is>
      </c>
      <c r="F6309" t="inlineStr">
        <is>
          <t>135</t>
        </is>
      </c>
      <c r="G6309" t="inlineStr">
        <is>
          <t>8</t>
        </is>
      </c>
      <c r="H6309" t="inlineStr">
        <is>
          <t>0</t>
        </is>
      </c>
      <c r="I6309" t="inlineStr">
        <is>
          <t>45², 180¹</t>
        </is>
      </c>
      <c r="J6309" t="n">
        <v>3</v>
      </c>
      <c r="K6309" t="inlineStr">
        <is>
          <t>2⁹, 6⁶, 8⁹, 24⁶</t>
        </is>
      </c>
      <c r="L6309" t="inlineStr">
        <is>
          <t>36C², 60C⁶, 90D¹⁰</t>
        </is>
      </c>
      <c r="M6309" t="inlineStr"/>
      <c r="N6309" t="inlineStr">
        <is>
          <t>30D³, 5A⁰, 60C⁶, 15A¹, 90D¹⁰, 10B¹, 9A⁰, 2B⁰, 12D⁰, 18E¹, 3A⁰, 1A⁰, 6D⁰, 36C², 45A³</t>
        </is>
      </c>
      <c r="O6309" t="inlineStr"/>
    </row>
    <row r="6310">
      <c r="A6310">
        <f>HYPERLINK("https://mathstats.uncg.edu/sites/pauli/congruence/csg20.html#group180H20", "180H²⁰")</f>
        <v/>
      </c>
      <c r="B6310" t="n">
        <v>20</v>
      </c>
      <c r="C6310" t="inlineStr"/>
      <c r="D6310" t="inlineStr">
        <is>
          <t>324</t>
        </is>
      </c>
      <c r="E6310" t="inlineStr">
        <is>
          <t>1</t>
        </is>
      </c>
      <c r="F6310" t="inlineStr">
        <is>
          <t>162</t>
        </is>
      </c>
      <c r="G6310" t="inlineStr">
        <is>
          <t>20</t>
        </is>
      </c>
      <c r="H6310" t="inlineStr">
        <is>
          <t>0</t>
        </is>
      </c>
      <c r="I6310" t="inlineStr">
        <is>
          <t>9², 36¹, 45², 180¹</t>
        </is>
      </c>
      <c r="J6310" t="n">
        <v>6</v>
      </c>
      <c r="K6310" t="inlineStr">
        <is>
          <t>1⁶, 2⁶, 4³, 6⁶, 8³, 24³</t>
        </is>
      </c>
      <c r="L6310" t="inlineStr">
        <is>
          <t>60C⁴, 90E¹⁰</t>
        </is>
      </c>
      <c r="M6310" t="inlineStr"/>
      <c r="N6310" t="inlineStr">
        <is>
          <t>20A⁰, 45A², 15B⁰, 30E², 9A⁰, 90E¹⁰, 5B⁰, 60C⁴, 10C⁰, 2B⁰, 18E¹, 3A⁰, 1A⁰, 6D⁰</t>
        </is>
      </c>
      <c r="O6310" t="inlineStr"/>
    </row>
    <row r="6311">
      <c r="A6311">
        <f>HYPERLINK("https://mathstats.uncg.edu/sites/pauli/congruence/csg20.html#group184A20", "184A²⁰")</f>
        <v/>
      </c>
      <c r="B6311" t="n">
        <v>20</v>
      </c>
      <c r="C6311" t="inlineStr"/>
      <c r="D6311" t="inlineStr">
        <is>
          <t>288</t>
        </is>
      </c>
      <c r="E6311" t="inlineStr">
        <is>
          <t>1</t>
        </is>
      </c>
      <c r="F6311" t="inlineStr">
        <is>
          <t>72</t>
        </is>
      </c>
      <c r="G6311" t="inlineStr">
        <is>
          <t>0</t>
        </is>
      </c>
      <c r="H6311" t="inlineStr">
        <is>
          <t>0</t>
        </is>
      </c>
      <c r="I6311" t="inlineStr">
        <is>
          <t>1⁴, 8¹, 23⁴, 184¹</t>
        </is>
      </c>
      <c r="J6311" t="n">
        <v>10</v>
      </c>
      <c r="K6311" t="inlineStr">
        <is>
          <t>1⁶, 22³</t>
        </is>
      </c>
      <c r="L6311" t="inlineStr">
        <is>
          <t>92A¹⁰</t>
        </is>
      </c>
      <c r="M6311" t="inlineStr"/>
      <c r="N6311" t="inlineStr">
        <is>
          <t>92A¹⁰, 2B⁰, 23A², 4B⁰, 1A⁰, 46A⁵</t>
        </is>
      </c>
      <c r="O6311" t="inlineStr"/>
    </row>
    <row r="6312">
      <c r="A6312">
        <f>HYPERLINK("https://mathstats.uncg.edu/sites/pauli/congruence/csg20.html#group189A20", "189A²⁰")</f>
        <v/>
      </c>
      <c r="B6312" t="n">
        <v>20</v>
      </c>
      <c r="C6312" t="inlineStr"/>
      <c r="D6312" t="inlineStr">
        <is>
          <t>252</t>
        </is>
      </c>
      <c r="E6312" t="inlineStr">
        <is>
          <t>2</t>
        </is>
      </c>
      <c r="F6312" t="inlineStr">
        <is>
          <t>84</t>
        </is>
      </c>
      <c r="G6312" t="inlineStr">
        <is>
          <t>0</t>
        </is>
      </c>
      <c r="H6312" t="inlineStr">
        <is>
          <t>0</t>
        </is>
      </c>
      <c r="I6312" t="inlineStr">
        <is>
          <t>21³, 189¹</t>
        </is>
      </c>
      <c r="J6312" t="n">
        <v>4</v>
      </c>
      <c r="K6312" t="inlineStr">
        <is>
          <t>2², 4², 6⁴, 12⁵, 36²</t>
        </is>
      </c>
      <c r="L6312" t="inlineStr">
        <is>
          <t>27A², 63B⁶</t>
        </is>
      </c>
      <c r="M6312" t="inlineStr"/>
      <c r="N6312" t="inlineStr">
        <is>
          <t>63B⁶, 3B⁰, 9B⁰, 27A², 21B², 1A⁰, 7A⁰</t>
        </is>
      </c>
      <c r="O6312" t="inlineStr"/>
    </row>
    <row r="6313">
      <c r="A6313">
        <f>HYPERLINK("https://mathstats.uncg.edu/sites/pauli/congruence/csg20.html#group189B20", "189B²⁰")</f>
        <v/>
      </c>
      <c r="B6313" t="n">
        <v>20</v>
      </c>
      <c r="C6313" t="inlineStr"/>
      <c r="D6313" t="inlineStr">
        <is>
          <t>252</t>
        </is>
      </c>
      <c r="E6313" t="inlineStr">
        <is>
          <t>2</t>
        </is>
      </c>
      <c r="F6313" t="inlineStr">
        <is>
          <t>84</t>
        </is>
      </c>
      <c r="G6313" t="inlineStr">
        <is>
          <t>0</t>
        </is>
      </c>
      <c r="H6313" t="inlineStr">
        <is>
          <t>3</t>
        </is>
      </c>
      <c r="I6313" t="inlineStr">
        <is>
          <t>63¹, 189¹</t>
        </is>
      </c>
      <c r="J6313" t="n">
        <v>2</v>
      </c>
      <c r="K6313" t="inlineStr">
        <is>
          <t>2², 4², 6⁴, 12⁵, 36²</t>
        </is>
      </c>
      <c r="L6313" t="inlineStr">
        <is>
          <t>27B², 63C⁶</t>
        </is>
      </c>
      <c r="M6313" t="inlineStr"/>
      <c r="N6313" t="inlineStr">
        <is>
          <t>3B⁰, 21B², 9C⁰, 63C⁶, 27B², 1A⁰, 7A⁰</t>
        </is>
      </c>
      <c r="O6313" t="inlineStr"/>
    </row>
    <row r="6314">
      <c r="A6314">
        <f>HYPERLINK("https://mathstats.uncg.edu/sites/pauli/congruence/csg20.html#group189C20", "189C²⁰")</f>
        <v/>
      </c>
      <c r="B6314" t="n">
        <v>20</v>
      </c>
      <c r="C6314" t="inlineStr"/>
      <c r="D6314" t="inlineStr">
        <is>
          <t>288</t>
        </is>
      </c>
      <c r="E6314" t="inlineStr">
        <is>
          <t>2</t>
        </is>
      </c>
      <c r="F6314" t="inlineStr">
        <is>
          <t>96</t>
        </is>
      </c>
      <c r="G6314" t="inlineStr">
        <is>
          <t>0</t>
        </is>
      </c>
      <c r="H6314" t="inlineStr">
        <is>
          <t>9</t>
        </is>
      </c>
      <c r="I6314" t="inlineStr">
        <is>
          <t>9¹, 27¹, 63¹, 189¹</t>
        </is>
      </c>
      <c r="J6314" t="n">
        <v>4</v>
      </c>
      <c r="K6314" t="inlineStr">
        <is>
          <t>2¹², 6⁴, 12⁶, 36²</t>
        </is>
      </c>
      <c r="L6314" t="inlineStr">
        <is>
          <t>63B⁵</t>
        </is>
      </c>
      <c r="M6314" t="inlineStr"/>
      <c r="N6314" t="inlineStr">
        <is>
          <t>3B⁰, 63B⁵, 21B¹, 9C⁰, 1A⁰, 7B⁰</t>
        </is>
      </c>
      <c r="O6314" t="inlineStr"/>
    </row>
    <row r="6315">
      <c r="A6315">
        <f>HYPERLINK("https://mathstats.uncg.edu/sites/pauli/congruence/csg20.html#group198A20", "198A²⁰")</f>
        <v/>
      </c>
      <c r="B6315" t="n">
        <v>20</v>
      </c>
      <c r="C6315" t="inlineStr"/>
      <c r="D6315" t="inlineStr">
        <is>
          <t>264</t>
        </is>
      </c>
      <c r="E6315" t="inlineStr">
        <is>
          <t>2</t>
        </is>
      </c>
      <c r="F6315" t="inlineStr">
        <is>
          <t>88</t>
        </is>
      </c>
      <c r="G6315" t="inlineStr">
        <is>
          <t>0</t>
        </is>
      </c>
      <c r="H6315" t="inlineStr">
        <is>
          <t>6</t>
        </is>
      </c>
      <c r="I6315" t="inlineStr">
        <is>
          <t>66¹, 198¹</t>
        </is>
      </c>
      <c r="J6315" t="n">
        <v>2</v>
      </c>
      <c r="K6315" t="inlineStr">
        <is>
          <t>4⁴, 20⁸</t>
        </is>
      </c>
      <c r="L6315" t="inlineStr">
        <is>
          <t>18D¹, 66E⁶</t>
        </is>
      </c>
      <c r="M6315" t="inlineStr"/>
      <c r="N6315" t="inlineStr">
        <is>
          <t>11A⁰, 3B⁰, 2A⁰, 22A¹, 33B³, 6C⁰, 66E⁶, 1A⁰, 18D¹</t>
        </is>
      </c>
      <c r="O6315" t="inlineStr"/>
    </row>
    <row r="6316">
      <c r="A6316">
        <f>HYPERLINK("https://mathstats.uncg.edu/sites/pauli/congruence/csg20.html#group210A20", "210A²⁰")</f>
        <v/>
      </c>
      <c r="B6316" t="n">
        <v>20</v>
      </c>
      <c r="C6316" t="inlineStr"/>
      <c r="D6316" t="inlineStr">
        <is>
          <t>240</t>
        </is>
      </c>
      <c r="E6316" t="inlineStr">
        <is>
          <t>1</t>
        </is>
      </c>
      <c r="F6316" t="inlineStr">
        <is>
          <t>40</t>
        </is>
      </c>
      <c r="G6316" t="inlineStr">
        <is>
          <t>0</t>
        </is>
      </c>
      <c r="H6316" t="inlineStr">
        <is>
          <t>0</t>
        </is>
      </c>
      <c r="I6316" t="inlineStr">
        <is>
          <t>30¹, 210¹</t>
        </is>
      </c>
      <c r="J6316" t="n">
        <v>2</v>
      </c>
      <c r="K6316" t="inlineStr">
        <is>
          <t>1², 4², 6¹, 24¹</t>
        </is>
      </c>
      <c r="L6316" t="inlineStr">
        <is>
          <t>30A³, 42B⁴, 70B⁴, 105A¹⁰</t>
        </is>
      </c>
      <c r="M6316" t="inlineStr"/>
      <c r="N6316" t="inlineStr">
        <is>
          <t>2A⁰, 30A³, 5A⁰, 105A¹⁰, 1A⁰, 10A⁰, 21A², 42B⁴, 70B⁴, 7B⁰, 14B⁰, 6A¹, 35B², 3A⁰, 15A¹</t>
        </is>
      </c>
      <c r="O6316" t="inlineStr"/>
    </row>
    <row r="6317">
      <c r="A6317">
        <f>HYPERLINK("https://mathstats.uncg.edu/sites/pauli/congruence/csg20.html#group210B20", "210B²⁰")</f>
        <v/>
      </c>
      <c r="B6317" t="n">
        <v>20</v>
      </c>
      <c r="C6317" t="inlineStr"/>
      <c r="D6317" t="inlineStr">
        <is>
          <t>240</t>
        </is>
      </c>
      <c r="E6317" t="inlineStr">
        <is>
          <t>1</t>
        </is>
      </c>
      <c r="F6317" t="inlineStr">
        <is>
          <t>120</t>
        </is>
      </c>
      <c r="G6317" t="inlineStr">
        <is>
          <t>0</t>
        </is>
      </c>
      <c r="H6317" t="inlineStr">
        <is>
          <t>0</t>
        </is>
      </c>
      <c r="I6317" t="inlineStr">
        <is>
          <t>30¹, 210¹</t>
        </is>
      </c>
      <c r="J6317" t="n">
        <v>2</v>
      </c>
      <c r="K6317" t="inlineStr">
        <is>
          <t>1², 2², 4², 6¹, 8², 12¹, 24¹, 48¹</t>
        </is>
      </c>
      <c r="L6317" t="inlineStr">
        <is>
          <t>30A², 42C⁴, 105A¹⁰</t>
        </is>
      </c>
      <c r="M6317" t="inlineStr"/>
      <c r="N6317" t="inlineStr">
        <is>
          <t>5A⁰, 30A², 6B⁰, 21A², 7B⁰, 35B², 42C⁴, 3A⁰, 105A¹⁰, 1A⁰, 15A¹</t>
        </is>
      </c>
      <c r="O6317" t="inlineStr"/>
    </row>
    <row r="6318">
      <c r="A6318">
        <f>HYPERLINK("https://mathstats.uncg.edu/sites/pauli/congruence/csg20.html#group216A20", "216A²⁰")</f>
        <v/>
      </c>
      <c r="B6318" t="n">
        <v>20</v>
      </c>
      <c r="C6318" t="inlineStr"/>
      <c r="D6318" t="inlineStr">
        <is>
          <t>288</t>
        </is>
      </c>
      <c r="E6318" t="inlineStr">
        <is>
          <t>2</t>
        </is>
      </c>
      <c r="F6318" t="inlineStr">
        <is>
          <t>48</t>
        </is>
      </c>
      <c r="G6318" t="inlineStr">
        <is>
          <t>0</t>
        </is>
      </c>
      <c r="H6318" t="inlineStr">
        <is>
          <t>12</t>
        </is>
      </c>
      <c r="I6318" t="inlineStr">
        <is>
          <t>72¹, 216¹</t>
        </is>
      </c>
      <c r="J6318" t="n">
        <v>2</v>
      </c>
      <c r="K6318" t="inlineStr">
        <is>
          <t>4⁴, 8⁴, 24²</t>
        </is>
      </c>
      <c r="L6318" t="inlineStr">
        <is>
          <t>72A⁶, 108E¹⁰</t>
        </is>
      </c>
      <c r="M6318" t="inlineStr"/>
      <c r="N6318" t="inlineStr">
        <is>
          <t>3B⁰, 72A⁶, 24A², 4A⁰, 12A¹, 108E¹⁰, 8A⁰, 27B¹, 9C⁰, 1A⁰, 36C³</t>
        </is>
      </c>
      <c r="O6318" t="inlineStr"/>
    </row>
    <row r="6319">
      <c r="A6319">
        <f>HYPERLINK("https://mathstats.uncg.edu/sites/pauli/congruence/csg20.html#group220A20", "220A²⁰")</f>
        <v/>
      </c>
      <c r="B6319" t="n">
        <v>20</v>
      </c>
      <c r="C6319" t="inlineStr"/>
      <c r="D6319" t="inlineStr">
        <is>
          <t>240</t>
        </is>
      </c>
      <c r="E6319" t="inlineStr">
        <is>
          <t>1</t>
        </is>
      </c>
      <c r="F6319" t="inlineStr">
        <is>
          <t>60</t>
        </is>
      </c>
      <c r="G6319" t="inlineStr">
        <is>
          <t>0</t>
        </is>
      </c>
      <c r="H6319" t="inlineStr">
        <is>
          <t>0</t>
        </is>
      </c>
      <c r="I6319" t="inlineStr">
        <is>
          <t>20¹, 220¹</t>
        </is>
      </c>
      <c r="J6319" t="n">
        <v>2</v>
      </c>
      <c r="K6319" t="inlineStr">
        <is>
          <t>1², 4², 10¹, 40¹</t>
        </is>
      </c>
      <c r="L6319" t="inlineStr">
        <is>
          <t>44A⁴, 110A¹⁰</t>
        </is>
      </c>
      <c r="M6319" t="inlineStr"/>
      <c r="N6319" t="inlineStr">
        <is>
          <t>2A⁰, 44A⁴, 5A⁰, 10A⁰, 110A¹⁰, 11A¹, 22A², 55A⁵, 1A⁰</t>
        </is>
      </c>
      <c r="O6319" t="inlineStr"/>
    </row>
    <row r="6320">
      <c r="A6320">
        <f>HYPERLINK("https://mathstats.uncg.edu/sites/pauli/congruence/csg20.html#group220B20", "220B²⁰")</f>
        <v/>
      </c>
      <c r="B6320" t="n">
        <v>20</v>
      </c>
      <c r="C6320" t="inlineStr"/>
      <c r="D6320" t="inlineStr">
        <is>
          <t>240</t>
        </is>
      </c>
      <c r="E6320" t="inlineStr">
        <is>
          <t>1</t>
        </is>
      </c>
      <c r="F6320" t="inlineStr">
        <is>
          <t>240</t>
        </is>
      </c>
      <c r="G6320" t="inlineStr">
        <is>
          <t>0</t>
        </is>
      </c>
      <c r="H6320" t="inlineStr">
        <is>
          <t>0</t>
        </is>
      </c>
      <c r="I6320" t="inlineStr">
        <is>
          <t>20¹, 220¹</t>
        </is>
      </c>
      <c r="J6320" t="n">
        <v>2</v>
      </c>
      <c r="K6320" t="inlineStr">
        <is>
          <t>2⁴, 8⁴, 20², 80²</t>
        </is>
      </c>
      <c r="L6320" t="inlineStr">
        <is>
          <t>20A¹, 44B⁴, 55A⁵</t>
        </is>
      </c>
      <c r="M6320" t="inlineStr"/>
      <c r="N6320" t="inlineStr">
        <is>
          <t>5A⁰, 11A¹, 4A⁰, 44B⁴, 20A¹, 55A⁵, 1A⁰</t>
        </is>
      </c>
      <c r="O6320" t="inlineStr"/>
    </row>
    <row r="6321">
      <c r="A6321">
        <f>HYPERLINK("https://mathstats.uncg.edu/sites/pauli/congruence/csg20.html#group225A20", "225A²⁰")</f>
        <v/>
      </c>
      <c r="B6321" t="n">
        <v>20</v>
      </c>
      <c r="C6321" t="inlineStr"/>
      <c r="D6321" t="inlineStr">
        <is>
          <t>270</t>
        </is>
      </c>
      <c r="E6321" t="inlineStr">
        <is>
          <t>1</t>
        </is>
      </c>
      <c r="F6321" t="inlineStr">
        <is>
          <t>270</t>
        </is>
      </c>
      <c r="G6321" t="inlineStr">
        <is>
          <t>10</t>
        </is>
      </c>
      <c r="H6321" t="inlineStr">
        <is>
          <t>0</t>
        </is>
      </c>
      <c r="I6321" t="inlineStr">
        <is>
          <t>45¹, 225¹</t>
        </is>
      </c>
      <c r="J6321" t="n">
        <v>2</v>
      </c>
      <c r="K6321" t="inlineStr">
        <is>
          <t>2², 4⁶, 8⁴, 12², 20², 24⁴, 40², 120²</t>
        </is>
      </c>
      <c r="L6321" t="inlineStr">
        <is>
          <t>45A², 75A⁶</t>
        </is>
      </c>
      <c r="M6321" t="inlineStr"/>
      <c r="N6321" t="inlineStr">
        <is>
          <t>75A⁶, 45A², 15B⁰, 25A², 9A⁰, 5B⁰, 3A⁰, 1A⁰</t>
        </is>
      </c>
      <c r="O6321" t="inlineStr"/>
    </row>
    <row r="6322">
      <c r="A6322">
        <f>HYPERLINK("https://mathstats.uncg.edu/sites/pauli/congruence/csg20.html#group225B20", "225B²⁰")</f>
        <v/>
      </c>
      <c r="B6322" t="n">
        <v>20</v>
      </c>
      <c r="C6322" t="inlineStr"/>
      <c r="D6322" t="inlineStr">
        <is>
          <t>270</t>
        </is>
      </c>
      <c r="E6322" t="inlineStr">
        <is>
          <t>1</t>
        </is>
      </c>
      <c r="F6322" t="inlineStr">
        <is>
          <t>270</t>
        </is>
      </c>
      <c r="G6322" t="inlineStr">
        <is>
          <t>10</t>
        </is>
      </c>
      <c r="H6322" t="inlineStr">
        <is>
          <t>0</t>
        </is>
      </c>
      <c r="I6322" t="inlineStr">
        <is>
          <t>45¹, 225¹</t>
        </is>
      </c>
      <c r="J6322" t="n">
        <v>2</v>
      </c>
      <c r="K6322" t="inlineStr">
        <is>
          <t>2², 4⁶, 8⁴, 12², 20², 24⁴, 40², 120²</t>
        </is>
      </c>
      <c r="L6322" t="inlineStr">
        <is>
          <t>45A², 75B⁶</t>
        </is>
      </c>
      <c r="M6322" t="inlineStr"/>
      <c r="N6322" t="inlineStr">
        <is>
          <t>45A², 15B⁰, 75B⁶, 9A⁰, 5B⁰, 3A⁰, 1A⁰, 25B²</t>
        </is>
      </c>
      <c r="O6322" t="inlineStr"/>
    </row>
    <row r="6323">
      <c r="A6323">
        <f>HYPERLINK("https://mathstats.uncg.edu/sites/pauli/congruence/csg20.html#group225C20", "225C²⁰")</f>
        <v/>
      </c>
      <c r="B6323" t="n">
        <v>20</v>
      </c>
      <c r="C6323" t="inlineStr"/>
      <c r="D6323" t="inlineStr">
        <is>
          <t>270</t>
        </is>
      </c>
      <c r="E6323" t="inlineStr">
        <is>
          <t>1</t>
        </is>
      </c>
      <c r="F6323" t="inlineStr">
        <is>
          <t>270</t>
        </is>
      </c>
      <c r="G6323" t="inlineStr">
        <is>
          <t>10</t>
        </is>
      </c>
      <c r="H6323" t="inlineStr">
        <is>
          <t>0</t>
        </is>
      </c>
      <c r="I6323" t="inlineStr">
        <is>
          <t>45¹, 225¹</t>
        </is>
      </c>
      <c r="J6323" t="n">
        <v>2</v>
      </c>
      <c r="K6323" t="inlineStr">
        <is>
          <t>2², 4⁶, 8⁴, 12², 20², 24⁴, 40², 120²</t>
        </is>
      </c>
      <c r="L6323" t="inlineStr">
        <is>
          <t>45A², 75C⁶</t>
        </is>
      </c>
      <c r="M6323" t="inlineStr"/>
      <c r="N6323" t="inlineStr">
        <is>
          <t>45A², 15B⁰, 9A⁰, 75C⁶, 5B⁰, 3A⁰, 1A⁰, 25C²</t>
        </is>
      </c>
      <c r="O6323" t="inlineStr"/>
    </row>
    <row r="6324">
      <c r="A6324">
        <f>HYPERLINK("https://mathstats.uncg.edu/sites/pauli/congruence/csg20.html#group225D20", "225D²⁰")</f>
        <v/>
      </c>
      <c r="B6324" t="n">
        <v>20</v>
      </c>
      <c r="C6324" t="inlineStr"/>
      <c r="D6324" t="inlineStr">
        <is>
          <t>270</t>
        </is>
      </c>
      <c r="E6324" t="inlineStr">
        <is>
          <t>1</t>
        </is>
      </c>
      <c r="F6324" t="inlineStr">
        <is>
          <t>270</t>
        </is>
      </c>
      <c r="G6324" t="inlineStr">
        <is>
          <t>10</t>
        </is>
      </c>
      <c r="H6324" t="inlineStr">
        <is>
          <t>0</t>
        </is>
      </c>
      <c r="I6324" t="inlineStr">
        <is>
          <t>45¹, 225¹</t>
        </is>
      </c>
      <c r="J6324" t="n">
        <v>2</v>
      </c>
      <c r="K6324" t="inlineStr">
        <is>
          <t>2², 4⁶, 8⁴, 12², 20², 24⁴, 40², 120²</t>
        </is>
      </c>
      <c r="L6324" t="inlineStr">
        <is>
          <t>45A², 75D⁶</t>
        </is>
      </c>
      <c r="M6324" t="inlineStr"/>
      <c r="N6324" t="inlineStr">
        <is>
          <t>45A², 15B⁰, 9A⁰, 5B⁰, 75D⁶, 3A⁰, 1A⁰, 25D²</t>
        </is>
      </c>
      <c r="O6324" t="inlineStr"/>
    </row>
    <row r="6325">
      <c r="A6325">
        <f>HYPERLINK("https://mathstats.uncg.edu/sites/pauli/congruence/csg20.html#group228A20", "228A²⁰")</f>
        <v/>
      </c>
      <c r="B6325" t="n">
        <v>20</v>
      </c>
      <c r="C6325" t="inlineStr"/>
      <c r="D6325" t="inlineStr">
        <is>
          <t>240</t>
        </is>
      </c>
      <c r="E6325" t="inlineStr">
        <is>
          <t>1</t>
        </is>
      </c>
      <c r="F6325" t="inlineStr">
        <is>
          <t>20</t>
        </is>
      </c>
      <c r="G6325" t="inlineStr">
        <is>
          <t>0</t>
        </is>
      </c>
      <c r="H6325" t="inlineStr">
        <is>
          <t>0</t>
        </is>
      </c>
      <c r="I6325" t="inlineStr">
        <is>
          <t>12¹, 228¹</t>
        </is>
      </c>
      <c r="J6325" t="n">
        <v>2</v>
      </c>
      <c r="K6325" t="inlineStr">
        <is>
          <t>1², 18¹</t>
        </is>
      </c>
      <c r="L6325" t="inlineStr">
        <is>
          <t>76A⁴, 114A¹⁰</t>
        </is>
      </c>
      <c r="M6325" t="inlineStr"/>
      <c r="N6325" t="inlineStr">
        <is>
          <t>19A¹, 2A⁰, 38A², 114A¹⁰, 57A⁵, 76A⁴, 6A¹, 3A⁰, 1A⁰</t>
        </is>
      </c>
      <c r="O6325" t="inlineStr"/>
    </row>
    <row r="6326">
      <c r="A6326">
        <f>HYPERLINK("https://mathstats.uncg.edu/sites/pauli/congruence/csg20.html#group228B20", "228B²⁰")</f>
        <v/>
      </c>
      <c r="B6326" t="n">
        <v>20</v>
      </c>
      <c r="C6326" t="inlineStr"/>
      <c r="D6326" t="inlineStr">
        <is>
          <t>240</t>
        </is>
      </c>
      <c r="E6326" t="inlineStr">
        <is>
          <t>1</t>
        </is>
      </c>
      <c r="F6326" t="inlineStr">
        <is>
          <t>60</t>
        </is>
      </c>
      <c r="G6326" t="inlineStr">
        <is>
          <t>0</t>
        </is>
      </c>
      <c r="H6326" t="inlineStr">
        <is>
          <t>0</t>
        </is>
      </c>
      <c r="I6326" t="inlineStr">
        <is>
          <t>12¹, 228¹</t>
        </is>
      </c>
      <c r="J6326" t="n">
        <v>2</v>
      </c>
      <c r="K6326" t="inlineStr">
        <is>
          <t>1², 2², 18¹, 36¹</t>
        </is>
      </c>
      <c r="L6326" t="inlineStr">
        <is>
          <t>114A¹⁰</t>
        </is>
      </c>
      <c r="M6326" t="inlineStr"/>
      <c r="N6326" t="inlineStr">
        <is>
          <t>19A¹, 2A⁰, 38A², 114A¹⁰, 57A⁵, 6A¹, 3A⁰, 1A⁰</t>
        </is>
      </c>
      <c r="O6326" t="inlineStr"/>
    </row>
    <row r="6327">
      <c r="A6327">
        <f>HYPERLINK("https://mathstats.uncg.edu/sites/pauli/congruence/csg20.html#group228C20", "228C²⁰")</f>
        <v/>
      </c>
      <c r="B6327" t="n">
        <v>20</v>
      </c>
      <c r="C6327" t="inlineStr"/>
      <c r="D6327" t="inlineStr">
        <is>
          <t>240</t>
        </is>
      </c>
      <c r="E6327" t="inlineStr">
        <is>
          <t>1</t>
        </is>
      </c>
      <c r="F6327" t="inlineStr">
        <is>
          <t>80</t>
        </is>
      </c>
      <c r="G6327" t="inlineStr">
        <is>
          <t>0</t>
        </is>
      </c>
      <c r="H6327" t="inlineStr">
        <is>
          <t>0</t>
        </is>
      </c>
      <c r="I6327" t="inlineStr">
        <is>
          <t>12¹, 228¹</t>
        </is>
      </c>
      <c r="J6327" t="n">
        <v>2</v>
      </c>
      <c r="K6327" t="inlineStr">
        <is>
          <t>2⁴, 36²</t>
        </is>
      </c>
      <c r="L6327" t="inlineStr">
        <is>
          <t>12A⁰, 57A⁵, 76A⁶</t>
        </is>
      </c>
      <c r="M6327" t="inlineStr"/>
      <c r="N6327" t="inlineStr">
        <is>
          <t>19A¹, 12A⁰, 4A⁰, 76A⁶, 57A⁵, 3A⁰, 1A⁰</t>
        </is>
      </c>
      <c r="O6327" t="inlineStr"/>
    </row>
    <row r="6328">
      <c r="A6328">
        <f>HYPERLINK("https://mathstats.uncg.edu/sites/pauli/congruence/csg20.html#group228D20", "228D²⁰")</f>
        <v/>
      </c>
      <c r="B6328" t="n">
        <v>20</v>
      </c>
      <c r="C6328" t="inlineStr"/>
      <c r="D6328" t="inlineStr">
        <is>
          <t>240</t>
        </is>
      </c>
      <c r="E6328" t="inlineStr">
        <is>
          <t>2</t>
        </is>
      </c>
      <c r="F6328" t="inlineStr">
        <is>
          <t>20</t>
        </is>
      </c>
      <c r="G6328" t="inlineStr">
        <is>
          <t>0</t>
        </is>
      </c>
      <c r="H6328" t="inlineStr">
        <is>
          <t>0</t>
        </is>
      </c>
      <c r="I6328" t="inlineStr">
        <is>
          <t>12¹, 228¹</t>
        </is>
      </c>
      <c r="J6328" t="n">
        <v>2</v>
      </c>
      <c r="K6328" t="inlineStr">
        <is>
          <t>2², 36¹</t>
        </is>
      </c>
      <c r="L6328" t="inlineStr">
        <is>
          <t>76A⁴, 114C¹⁰</t>
        </is>
      </c>
      <c r="M6328" t="inlineStr"/>
      <c r="N6328" t="inlineStr">
        <is>
          <t>2A⁰, 19A¹, 38A², 114C¹⁰, 57B⁵, 76A⁴, 1A⁰</t>
        </is>
      </c>
      <c r="O6328" t="inlineStr"/>
    </row>
    <row r="6329">
      <c r="A6329">
        <f>HYPERLINK("https://mathstats.uncg.edu/sites/pauli/congruence/csg20.html#group228E20", "228E²⁰")</f>
        <v/>
      </c>
      <c r="B6329" t="n">
        <v>20</v>
      </c>
      <c r="C6329" t="inlineStr"/>
      <c r="D6329" t="inlineStr">
        <is>
          <t>240</t>
        </is>
      </c>
      <c r="E6329" t="inlineStr">
        <is>
          <t>2</t>
        </is>
      </c>
      <c r="F6329" t="inlineStr">
        <is>
          <t>80</t>
        </is>
      </c>
      <c r="G6329" t="inlineStr">
        <is>
          <t>0</t>
        </is>
      </c>
      <c r="H6329" t="inlineStr">
        <is>
          <t>0</t>
        </is>
      </c>
      <c r="I6329" t="inlineStr">
        <is>
          <t>12¹, 228¹</t>
        </is>
      </c>
      <c r="J6329" t="n">
        <v>2</v>
      </c>
      <c r="K6329" t="inlineStr">
        <is>
          <t>4⁴, 72²</t>
        </is>
      </c>
      <c r="L6329" t="inlineStr">
        <is>
          <t>57B⁵, 76A⁶</t>
        </is>
      </c>
      <c r="M6329" t="inlineStr"/>
      <c r="N6329" t="inlineStr">
        <is>
          <t>19A¹, 76A⁶, 57B⁵, 1A⁰, 4A⁰</t>
        </is>
      </c>
      <c r="O6329" t="inlineStr"/>
    </row>
    <row r="6330">
      <c r="A6330">
        <f>HYPERLINK("https://mathstats.uncg.edu/sites/pauli/congruence/csg20.html#group230A20", "230A²⁰")</f>
        <v/>
      </c>
      <c r="B6330" t="n">
        <v>20</v>
      </c>
      <c r="C6330" t="inlineStr"/>
      <c r="D6330" t="inlineStr">
        <is>
          <t>240</t>
        </is>
      </c>
      <c r="E6330" t="inlineStr">
        <is>
          <t>1</t>
        </is>
      </c>
      <c r="F6330" t="inlineStr">
        <is>
          <t>120</t>
        </is>
      </c>
      <c r="G6330" t="inlineStr">
        <is>
          <t>0</t>
        </is>
      </c>
      <c r="H6330" t="inlineStr">
        <is>
          <t>0</t>
        </is>
      </c>
      <c r="I6330" t="inlineStr">
        <is>
          <t>10¹, 230¹</t>
        </is>
      </c>
      <c r="J6330" t="n">
        <v>2</v>
      </c>
      <c r="K6330" t="inlineStr">
        <is>
          <t>1², 4², 22¹, 88¹</t>
        </is>
      </c>
      <c r="L6330" t="inlineStr">
        <is>
          <t>10A⁰, 46A⁴, 115A¹⁰</t>
        </is>
      </c>
      <c r="M6330" t="inlineStr"/>
      <c r="N6330" t="inlineStr">
        <is>
          <t>2A⁰, 5A⁰, 10A⁰, 23A², 115A¹⁰, 1A⁰, 46A⁴</t>
        </is>
      </c>
      <c r="O6330" t="inlineStr"/>
    </row>
    <row r="6331">
      <c r="A6331">
        <f>HYPERLINK("https://mathstats.uncg.edu/sites/pauli/congruence/csg20.html#group231A20", "231A²⁰")</f>
        <v/>
      </c>
      <c r="B6331" t="n">
        <v>20</v>
      </c>
      <c r="C6331" t="inlineStr"/>
      <c r="D6331" t="inlineStr">
        <is>
          <t>264</t>
        </is>
      </c>
      <c r="E6331" t="inlineStr">
        <is>
          <t>2</t>
        </is>
      </c>
      <c r="F6331" t="inlineStr">
        <is>
          <t>88</t>
        </is>
      </c>
      <c r="G6331" t="inlineStr">
        <is>
          <t>0</t>
        </is>
      </c>
      <c r="H6331" t="inlineStr">
        <is>
          <t>6</t>
        </is>
      </c>
      <c r="I6331" t="inlineStr">
        <is>
          <t>33¹, 231¹</t>
        </is>
      </c>
      <c r="J6331" t="n">
        <v>2</v>
      </c>
      <c r="K6331" t="inlineStr">
        <is>
          <t>4², 20⁴, 24¹, 120²</t>
        </is>
      </c>
      <c r="L6331" t="inlineStr">
        <is>
          <t>21A¹, 77A⁶</t>
        </is>
      </c>
      <c r="M6331" t="inlineStr"/>
      <c r="N6331" t="inlineStr">
        <is>
          <t>11A⁰, 1A⁰, 7B⁰, 77A⁶, 21A¹</t>
        </is>
      </c>
      <c r="O6331" t="inlineStr"/>
    </row>
    <row r="6332">
      <c r="A6332">
        <f>HYPERLINK("https://mathstats.uncg.edu/sites/pauli/congruence/csg20.html#group231B20", "231B²⁰")</f>
        <v/>
      </c>
      <c r="B6332" t="n">
        <v>20</v>
      </c>
      <c r="C6332" t="inlineStr"/>
      <c r="D6332" t="inlineStr">
        <is>
          <t>264</t>
        </is>
      </c>
      <c r="E6332" t="inlineStr">
        <is>
          <t>2</t>
        </is>
      </c>
      <c r="F6332" t="inlineStr">
        <is>
          <t>88</t>
        </is>
      </c>
      <c r="G6332" t="inlineStr">
        <is>
          <t>0</t>
        </is>
      </c>
      <c r="H6332" t="inlineStr">
        <is>
          <t>6</t>
        </is>
      </c>
      <c r="I6332" t="inlineStr">
        <is>
          <t>33¹, 231¹</t>
        </is>
      </c>
      <c r="J6332" t="n">
        <v>2</v>
      </c>
      <c r="K6332" t="inlineStr">
        <is>
          <t>4², 20⁴, 24¹, 120²</t>
        </is>
      </c>
      <c r="L6332" t="inlineStr">
        <is>
          <t>21A¹, 77A⁶</t>
        </is>
      </c>
      <c r="M6332" t="inlineStr"/>
      <c r="N6332" t="inlineStr">
        <is>
          <t>11A⁰, 1A⁰, 7B⁰, 77A⁶, 21A¹</t>
        </is>
      </c>
      <c r="O6332" t="inlineStr"/>
    </row>
    <row r="6333">
      <c r="A6333">
        <f>HYPERLINK("https://mathstats.uncg.edu/sites/pauli/congruence/csg20.html#group234A20", "234A²⁰")</f>
        <v/>
      </c>
      <c r="B6333" t="n">
        <v>20</v>
      </c>
      <c r="C6333" t="inlineStr"/>
      <c r="D6333" t="inlineStr">
        <is>
          <t>252</t>
        </is>
      </c>
      <c r="E6333" t="inlineStr">
        <is>
          <t>2</t>
        </is>
      </c>
      <c r="F6333" t="inlineStr">
        <is>
          <t>126</t>
        </is>
      </c>
      <c r="G6333" t="inlineStr">
        <is>
          <t>4</t>
        </is>
      </c>
      <c r="H6333" t="inlineStr">
        <is>
          <t>0</t>
        </is>
      </c>
      <c r="I6333" t="inlineStr">
        <is>
          <t>18¹, 234¹</t>
        </is>
      </c>
      <c r="J6333" t="n">
        <v>2</v>
      </c>
      <c r="K6333" t="inlineStr">
        <is>
          <t>2⁶, 6⁴, 24³, 72²</t>
        </is>
      </c>
      <c r="L6333" t="inlineStr">
        <is>
          <t>78A⁶, 117A⁸</t>
        </is>
      </c>
      <c r="M6333" t="inlineStr"/>
      <c r="N6333" t="inlineStr">
        <is>
          <t>117A⁸, 13A⁰, 39A², 78A⁶, 3A⁰, 1A⁰, 9A⁰</t>
        </is>
      </c>
      <c r="O6333" t="inlineStr"/>
    </row>
    <row r="6334">
      <c r="A6334">
        <f>HYPERLINK("https://mathstats.uncg.edu/sites/pauli/congruence/csg20.html#group235A20", "235A²⁰")</f>
        <v/>
      </c>
      <c r="B6334" t="n">
        <v>20</v>
      </c>
      <c r="C6334" t="inlineStr"/>
      <c r="D6334" t="inlineStr">
        <is>
          <t>240</t>
        </is>
      </c>
      <c r="E6334" t="inlineStr">
        <is>
          <t>1</t>
        </is>
      </c>
      <c r="F6334" t="inlineStr">
        <is>
          <t>240</t>
        </is>
      </c>
      <c r="G6334" t="inlineStr">
        <is>
          <t>0</t>
        </is>
      </c>
      <c r="H6334" t="inlineStr">
        <is>
          <t>0</t>
        </is>
      </c>
      <c r="I6334" t="inlineStr">
        <is>
          <t>5¹, 235¹</t>
        </is>
      </c>
      <c r="J6334" t="n">
        <v>2</v>
      </c>
      <c r="K6334" t="inlineStr">
        <is>
          <t>1², 4², 46¹, 184¹</t>
        </is>
      </c>
      <c r="L6334" t="inlineStr">
        <is>
          <t>5A⁰, 47A⁴</t>
        </is>
      </c>
      <c r="M6334" t="inlineStr"/>
      <c r="N6334" t="inlineStr">
        <is>
          <t>47A⁴, 1A⁰, 5A⁰</t>
        </is>
      </c>
      <c r="O6334" t="inlineStr"/>
    </row>
    <row r="6335">
      <c r="A6335">
        <f>HYPERLINK("https://mathstats.uncg.edu/sites/pauli/congruence/csg20.html#group236A20", "236A²⁰")</f>
        <v/>
      </c>
      <c r="B6335" t="n">
        <v>20</v>
      </c>
      <c r="C6335" t="inlineStr"/>
      <c r="D6335" t="inlineStr">
        <is>
          <t>240</t>
        </is>
      </c>
      <c r="E6335" t="inlineStr">
        <is>
          <t>1</t>
        </is>
      </c>
      <c r="F6335" t="inlineStr">
        <is>
          <t>60</t>
        </is>
      </c>
      <c r="G6335" t="inlineStr">
        <is>
          <t>0</t>
        </is>
      </c>
      <c r="H6335" t="inlineStr">
        <is>
          <t>0</t>
        </is>
      </c>
      <c r="I6335" t="inlineStr">
        <is>
          <t>4¹, 236¹</t>
        </is>
      </c>
      <c r="J6335" t="n">
        <v>2</v>
      </c>
      <c r="K6335" t="inlineStr">
        <is>
          <t>1², 58¹</t>
        </is>
      </c>
      <c r="L6335" t="inlineStr">
        <is>
          <t>118A¹⁰</t>
        </is>
      </c>
      <c r="M6335" t="inlineStr"/>
      <c r="N6335" t="inlineStr">
        <is>
          <t>2A⁰, 1A⁰, 59A⁵, 118A¹⁰</t>
        </is>
      </c>
      <c r="O6335" t="inlineStr"/>
    </row>
    <row r="6336">
      <c r="A6336">
        <f>HYPERLINK("https://mathstats.uncg.edu/sites/pauli/congruence/csg20.html#group236B20", "236B²⁰")</f>
        <v/>
      </c>
      <c r="B6336" t="n">
        <v>20</v>
      </c>
      <c r="C6336" t="inlineStr"/>
      <c r="D6336" t="inlineStr">
        <is>
          <t>240</t>
        </is>
      </c>
      <c r="E6336" t="inlineStr">
        <is>
          <t>1</t>
        </is>
      </c>
      <c r="F6336" t="inlineStr">
        <is>
          <t>240</t>
        </is>
      </c>
      <c r="G6336" t="inlineStr">
        <is>
          <t>0</t>
        </is>
      </c>
      <c r="H6336" t="inlineStr">
        <is>
          <t>0</t>
        </is>
      </c>
      <c r="I6336" t="inlineStr">
        <is>
          <t>4¹, 236¹</t>
        </is>
      </c>
      <c r="J6336" t="n">
        <v>2</v>
      </c>
      <c r="K6336" t="inlineStr">
        <is>
          <t>2⁴, 116²</t>
        </is>
      </c>
      <c r="L6336" t="inlineStr">
        <is>
          <t>4A⁰, 59A⁵</t>
        </is>
      </c>
      <c r="M6336" t="inlineStr"/>
      <c r="N6336" t="inlineStr">
        <is>
          <t>1A⁰, 4A⁰, 59A⁵</t>
        </is>
      </c>
      <c r="O6336" t="inlineStr"/>
    </row>
    <row r="6337">
      <c r="A6337">
        <f>HYPERLINK("https://mathstats.uncg.edu/sites/pauli/congruence/csg20.html#group237A20", "237A²⁰")</f>
        <v/>
      </c>
      <c r="B6337" t="n">
        <v>20</v>
      </c>
      <c r="C6337" t="inlineStr"/>
      <c r="D6337" t="inlineStr">
        <is>
          <t>240</t>
        </is>
      </c>
      <c r="E6337" t="inlineStr">
        <is>
          <t>1</t>
        </is>
      </c>
      <c r="F6337" t="inlineStr">
        <is>
          <t>80</t>
        </is>
      </c>
      <c r="G6337" t="inlineStr">
        <is>
          <t>0</t>
        </is>
      </c>
      <c r="H6337" t="inlineStr">
        <is>
          <t>0</t>
        </is>
      </c>
      <c r="I6337" t="inlineStr">
        <is>
          <t>3¹, 237¹</t>
        </is>
      </c>
      <c r="J6337" t="n">
        <v>2</v>
      </c>
      <c r="K6337" t="inlineStr">
        <is>
          <t>1², 78¹</t>
        </is>
      </c>
      <c r="L6337" t="inlineStr">
        <is>
          <t>3A⁰, 79A⁶</t>
        </is>
      </c>
      <c r="M6337" t="inlineStr"/>
      <c r="N6337" t="inlineStr">
        <is>
          <t>3A⁰, 79A⁶, 1A⁰</t>
        </is>
      </c>
      <c r="O6337" t="inlineStr"/>
    </row>
    <row r="6338">
      <c r="A6338">
        <f>HYPERLINK("https://mathstats.uncg.edu/sites/pauli/congruence/csg20.html#group239A20", "239A²⁰")</f>
        <v/>
      </c>
      <c r="B6338" t="n">
        <v>20</v>
      </c>
      <c r="C6338" t="inlineStr">
        <is>
          <t>Γ₀(239)</t>
        </is>
      </c>
      <c r="D6338" t="inlineStr">
        <is>
          <t>240</t>
        </is>
      </c>
      <c r="E6338" t="inlineStr">
        <is>
          <t>1</t>
        </is>
      </c>
      <c r="F6338" t="inlineStr">
        <is>
          <t>240</t>
        </is>
      </c>
      <c r="G6338" t="inlineStr">
        <is>
          <t>0</t>
        </is>
      </c>
      <c r="H6338" t="inlineStr">
        <is>
          <t>0</t>
        </is>
      </c>
      <c r="I6338" t="inlineStr">
        <is>
          <t>1¹, 239¹</t>
        </is>
      </c>
      <c r="J6338" t="n">
        <v>2</v>
      </c>
      <c r="K6338" t="inlineStr">
        <is>
          <t>1², 238¹</t>
        </is>
      </c>
      <c r="L6338" t="inlineStr">
        <is>
          <t>1A⁰</t>
        </is>
      </c>
      <c r="M6338" t="inlineStr"/>
      <c r="N6338" t="inlineStr">
        <is>
          <t>1A⁰</t>
        </is>
      </c>
      <c r="O6338" t="inlineStr"/>
    </row>
    <row r="6339">
      <c r="A6339">
        <f>HYPERLINK("https://mathstats.uncg.edu/sites/pauli/congruence/csg20.html#group248A20", "248A²⁰")</f>
        <v/>
      </c>
      <c r="B6339" t="n">
        <v>20</v>
      </c>
      <c r="C6339" t="inlineStr"/>
      <c r="D6339" t="inlineStr">
        <is>
          <t>256</t>
        </is>
      </c>
      <c r="E6339" t="inlineStr">
        <is>
          <t>2</t>
        </is>
      </c>
      <c r="F6339" t="inlineStr">
        <is>
          <t>128</t>
        </is>
      </c>
      <c r="G6339" t="inlineStr">
        <is>
          <t>0</t>
        </is>
      </c>
      <c r="H6339" t="inlineStr">
        <is>
          <t>4</t>
        </is>
      </c>
      <c r="I6339" t="inlineStr">
        <is>
          <t>8¹, 248¹</t>
        </is>
      </c>
      <c r="J6339" t="n">
        <v>2</v>
      </c>
      <c r="K6339" t="inlineStr">
        <is>
          <t>4⁴, 120²</t>
        </is>
      </c>
      <c r="L6339" t="inlineStr">
        <is>
          <t>8A⁰, 124A¹⁰</t>
        </is>
      </c>
      <c r="M6339" t="inlineStr"/>
      <c r="N6339" t="inlineStr">
        <is>
          <t>8A⁰, 124A¹⁰, 31A², 1A⁰, 4A⁰</t>
        </is>
      </c>
      <c r="O6339" t="inlineStr"/>
    </row>
    <row r="6340">
      <c r="A6340">
        <f>HYPERLINK("https://mathstats.uncg.edu/sites/pauli/congruence/csg20.html#group250A20", "250A²⁰")</f>
        <v/>
      </c>
      <c r="B6340" t="n">
        <v>20</v>
      </c>
      <c r="C6340" t="inlineStr"/>
      <c r="D6340" t="inlineStr">
        <is>
          <t>300</t>
        </is>
      </c>
      <c r="E6340" t="inlineStr">
        <is>
          <t>1</t>
        </is>
      </c>
      <c r="F6340" t="inlineStr">
        <is>
          <t>150</t>
        </is>
      </c>
      <c r="G6340" t="inlineStr">
        <is>
          <t>4</t>
        </is>
      </c>
      <c r="H6340" t="inlineStr">
        <is>
          <t>0</t>
        </is>
      </c>
      <c r="I6340" t="inlineStr">
        <is>
          <t>2⁵, 10⁴, 250¹</t>
        </is>
      </c>
      <c r="J6340" t="n">
        <v>10</v>
      </c>
      <c r="K6340" t="inlineStr">
        <is>
          <t>1², 4², 20², 100¹</t>
        </is>
      </c>
      <c r="L6340" t="inlineStr">
        <is>
          <t>50A², 125A⁸</t>
        </is>
      </c>
      <c r="M6340" t="inlineStr"/>
      <c r="N6340" t="inlineStr">
        <is>
          <t>25A⁰, 5B⁰, 50A², 1A⁰, 125A⁸, 10B⁰</t>
        </is>
      </c>
      <c r="O6340" t="inlineStr"/>
    </row>
    <row r="6341">
      <c r="A6341">
        <f>HYPERLINK("https://mathstats.uncg.edu/sites/pauli/congruence/csg20.html#group254A20", "254A²⁰")</f>
        <v/>
      </c>
      <c r="B6341" t="n">
        <v>20</v>
      </c>
      <c r="C6341" t="inlineStr"/>
      <c r="D6341" t="inlineStr">
        <is>
          <t>256</t>
        </is>
      </c>
      <c r="E6341" t="inlineStr">
        <is>
          <t>1</t>
        </is>
      </c>
      <c r="F6341" t="inlineStr">
        <is>
          <t>128</t>
        </is>
      </c>
      <c r="G6341" t="inlineStr">
        <is>
          <t>0</t>
        </is>
      </c>
      <c r="H6341" t="inlineStr">
        <is>
          <t>4</t>
        </is>
      </c>
      <c r="I6341" t="inlineStr">
        <is>
          <t>2¹, 254¹</t>
        </is>
      </c>
      <c r="J6341" t="n">
        <v>2</v>
      </c>
      <c r="K6341" t="inlineStr">
        <is>
          <t>1², 126¹</t>
        </is>
      </c>
      <c r="L6341" t="inlineStr">
        <is>
          <t>2A⁰, 127A¹⁰</t>
        </is>
      </c>
      <c r="M6341" t="inlineStr"/>
      <c r="N6341" t="inlineStr">
        <is>
          <t>2A⁰, 1A⁰, 127A¹⁰</t>
        </is>
      </c>
      <c r="O6341" t="inlineStr"/>
    </row>
    <row r="6342">
      <c r="A6342">
        <f>HYPERLINK("https://mathstats.uncg.edu/sites/pauli/congruence/csg20.html#group258A20", "258A²⁰")</f>
        <v/>
      </c>
      <c r="B6342" t="n">
        <v>20</v>
      </c>
      <c r="C6342" t="inlineStr"/>
      <c r="D6342" t="inlineStr">
        <is>
          <t>264</t>
        </is>
      </c>
      <c r="E6342" t="inlineStr">
        <is>
          <t>1</t>
        </is>
      </c>
      <c r="F6342" t="inlineStr">
        <is>
          <t>88</t>
        </is>
      </c>
      <c r="G6342" t="inlineStr">
        <is>
          <t>0</t>
        </is>
      </c>
      <c r="H6342" t="inlineStr">
        <is>
          <t>6</t>
        </is>
      </c>
      <c r="I6342" t="inlineStr">
        <is>
          <t>6¹, 258¹</t>
        </is>
      </c>
      <c r="J6342" t="n">
        <v>2</v>
      </c>
      <c r="K6342" t="inlineStr">
        <is>
          <t>2², 84¹</t>
        </is>
      </c>
      <c r="L6342" t="inlineStr">
        <is>
          <t>6A⁰, 86A⁶</t>
        </is>
      </c>
      <c r="M6342" t="inlineStr"/>
      <c r="N6342" t="inlineStr">
        <is>
          <t>2A⁰, 86A⁶, 6A⁰, 1A⁰, 43A³</t>
        </is>
      </c>
      <c r="O6342" t="inlineStr"/>
    </row>
    <row r="6343">
      <c r="A6343">
        <f>HYPERLINK("https://mathstats.uncg.edu/sites/pauli/congruence/csg20.html#group258B20", "258B²⁰")</f>
        <v/>
      </c>
      <c r="B6343" t="n">
        <v>20</v>
      </c>
      <c r="C6343" t="inlineStr"/>
      <c r="D6343" t="inlineStr">
        <is>
          <t>264</t>
        </is>
      </c>
      <c r="E6343" t="inlineStr">
        <is>
          <t>2</t>
        </is>
      </c>
      <c r="F6343" t="inlineStr">
        <is>
          <t>44</t>
        </is>
      </c>
      <c r="G6343" t="inlineStr">
        <is>
          <t>0</t>
        </is>
      </c>
      <c r="H6343" t="inlineStr">
        <is>
          <t>6</t>
        </is>
      </c>
      <c r="I6343" t="inlineStr">
        <is>
          <t>6¹, 258¹</t>
        </is>
      </c>
      <c r="J6343" t="n">
        <v>2</v>
      </c>
      <c r="K6343" t="inlineStr">
        <is>
          <t>2², 84¹</t>
        </is>
      </c>
      <c r="L6343" t="inlineStr">
        <is>
          <t>86A⁶, 129A¹⁰</t>
        </is>
      </c>
      <c r="M6343" t="inlineStr"/>
      <c r="N6343" t="inlineStr">
        <is>
          <t>2A⁰, 86A⁶, 129A¹⁰, 1A⁰, 43A³</t>
        </is>
      </c>
      <c r="O6343" t="inlineStr"/>
    </row>
    <row r="6344">
      <c r="A6344">
        <f>HYPERLINK("https://mathstats.uncg.edu/sites/pauli/congruence/csg20.html#group259A20", "259A²⁰")</f>
        <v/>
      </c>
      <c r="B6344" t="n">
        <v>20</v>
      </c>
      <c r="C6344" t="inlineStr"/>
      <c r="D6344" t="inlineStr">
        <is>
          <t>266</t>
        </is>
      </c>
      <c r="E6344" t="inlineStr">
        <is>
          <t>2</t>
        </is>
      </c>
      <c r="F6344" t="inlineStr">
        <is>
          <t>266</t>
        </is>
      </c>
      <c r="G6344" t="inlineStr">
        <is>
          <t>6</t>
        </is>
      </c>
      <c r="H6344" t="inlineStr">
        <is>
          <t>2</t>
        </is>
      </c>
      <c r="I6344" t="inlineStr">
        <is>
          <t>7¹, 259¹</t>
        </is>
      </c>
      <c r="J6344" t="n">
        <v>2</v>
      </c>
      <c r="K6344" t="inlineStr">
        <is>
          <t>2², 6⁴, 72¹, 216²</t>
        </is>
      </c>
      <c r="L6344" t="inlineStr">
        <is>
          <t>7A⁰, 37A²</t>
        </is>
      </c>
      <c r="M6344" t="inlineStr"/>
      <c r="N6344" t="inlineStr">
        <is>
          <t>37A², 1A⁰, 7A⁰</t>
        </is>
      </c>
      <c r="O6344" t="inlineStr"/>
    </row>
    <row r="6345">
      <c r="A6345">
        <f>HYPERLINK("https://mathstats.uncg.edu/sites/pauli/congruence/csg20.html#group261A20", "261A²⁰")</f>
        <v/>
      </c>
      <c r="B6345" t="n">
        <v>20</v>
      </c>
      <c r="C6345" t="inlineStr"/>
      <c r="D6345" t="inlineStr">
        <is>
          <t>270</t>
        </is>
      </c>
      <c r="E6345" t="inlineStr">
        <is>
          <t>1</t>
        </is>
      </c>
      <c r="F6345" t="inlineStr">
        <is>
          <t>270</t>
        </is>
      </c>
      <c r="G6345" t="inlineStr">
        <is>
          <t>10</t>
        </is>
      </c>
      <c r="H6345" t="inlineStr">
        <is>
          <t>0</t>
        </is>
      </c>
      <c r="I6345" t="inlineStr">
        <is>
          <t>9¹, 261¹</t>
        </is>
      </c>
      <c r="J6345" t="n">
        <v>2</v>
      </c>
      <c r="K6345" t="inlineStr">
        <is>
          <t>1², 2², 6², 28¹, 56¹, 168¹</t>
        </is>
      </c>
      <c r="L6345" t="inlineStr">
        <is>
          <t>9A⁰, 87A⁶</t>
        </is>
      </c>
      <c r="M6345" t="inlineStr"/>
      <c r="N6345" t="inlineStr">
        <is>
          <t>87A⁶, 3A⁰, 1A⁰, 29A², 9A⁰</t>
        </is>
      </c>
      <c r="O6345" t="inlineStr"/>
    </row>
    <row r="6346">
      <c r="A6346">
        <f>HYPERLINK("https://mathstats.uncg.edu/sites/pauli/congruence/csg20.html#group268A20", "268A²⁰")</f>
        <v/>
      </c>
      <c r="B6346" t="n">
        <v>20</v>
      </c>
      <c r="C6346" t="inlineStr"/>
      <c r="D6346" t="inlineStr">
        <is>
          <t>272</t>
        </is>
      </c>
      <c r="E6346" t="inlineStr">
        <is>
          <t>1</t>
        </is>
      </c>
      <c r="F6346" t="inlineStr">
        <is>
          <t>68</t>
        </is>
      </c>
      <c r="G6346" t="inlineStr">
        <is>
          <t>0</t>
        </is>
      </c>
      <c r="H6346" t="inlineStr">
        <is>
          <t>8</t>
        </is>
      </c>
      <c r="I6346" t="inlineStr">
        <is>
          <t>4¹, 268¹</t>
        </is>
      </c>
      <c r="J6346" t="n">
        <v>2</v>
      </c>
      <c r="K6346" t="inlineStr">
        <is>
          <t>1², 66¹</t>
        </is>
      </c>
      <c r="L6346" t="inlineStr">
        <is>
          <t>134A¹⁰</t>
        </is>
      </c>
      <c r="M6346" t="inlineStr"/>
      <c r="N6346" t="inlineStr">
        <is>
          <t>2A⁰, 1A⁰, 134A¹⁰, 67A⁵</t>
        </is>
      </c>
      <c r="O6346" t="inlineStr"/>
    </row>
    <row r="6347">
      <c r="A6347">
        <f>HYPERLINK("https://mathstats.uncg.edu/sites/pauli/congruence/csg20.html#group273A20", "273A²⁰")</f>
        <v/>
      </c>
      <c r="B6347" t="n">
        <v>20</v>
      </c>
      <c r="C6347" t="inlineStr"/>
      <c r="D6347" t="inlineStr">
        <is>
          <t>294</t>
        </is>
      </c>
      <c r="E6347" t="inlineStr">
        <is>
          <t>2</t>
        </is>
      </c>
      <c r="F6347" t="inlineStr">
        <is>
          <t>98</t>
        </is>
      </c>
      <c r="G6347" t="inlineStr">
        <is>
          <t>18</t>
        </is>
      </c>
      <c r="H6347" t="inlineStr">
        <is>
          <t>0</t>
        </is>
      </c>
      <c r="I6347" t="inlineStr">
        <is>
          <t>21¹, 273¹</t>
        </is>
      </c>
      <c r="J6347" t="n">
        <v>2</v>
      </c>
      <c r="K6347" t="inlineStr">
        <is>
          <t>2², 6⁴, 24¹, 72²</t>
        </is>
      </c>
      <c r="L6347" t="inlineStr">
        <is>
          <t>21A⁰, 39A², 91A⁶</t>
        </is>
      </c>
      <c r="M6347" t="inlineStr"/>
      <c r="N6347" t="inlineStr">
        <is>
          <t>39A², 13A⁰, 21A⁰, 91A⁶, 3A⁰, 1A⁰, 7A⁰</t>
        </is>
      </c>
      <c r="O6347" t="inlineStr"/>
    </row>
    <row r="6348">
      <c r="A6348">
        <f>HYPERLINK("https://mathstats.uncg.edu/sites/pauli/congruence/csg20.html#group286A20", "286A²⁰")</f>
        <v/>
      </c>
      <c r="B6348" t="n">
        <v>20</v>
      </c>
      <c r="C6348" t="inlineStr"/>
      <c r="D6348" t="inlineStr">
        <is>
          <t>308</t>
        </is>
      </c>
      <c r="E6348" t="inlineStr">
        <is>
          <t>2</t>
        </is>
      </c>
      <c r="F6348" t="inlineStr">
        <is>
          <t>154</t>
        </is>
      </c>
      <c r="G6348" t="inlineStr">
        <is>
          <t>12</t>
        </is>
      </c>
      <c r="H6348" t="inlineStr">
        <is>
          <t>8</t>
        </is>
      </c>
      <c r="I6348" t="inlineStr">
        <is>
          <t>22¹, 286¹</t>
        </is>
      </c>
      <c r="J6348" t="n">
        <v>2</v>
      </c>
      <c r="K6348" t="inlineStr">
        <is>
          <t>2², 10⁴, 24¹, 120²</t>
        </is>
      </c>
      <c r="L6348" t="inlineStr">
        <is>
          <t>26A⁰, 143A¹⁰</t>
        </is>
      </c>
      <c r="M6348" t="inlineStr"/>
      <c r="N6348" t="inlineStr">
        <is>
          <t>143A¹⁰, 11A⁰, 13A⁰, 26A⁰, 1A⁰</t>
        </is>
      </c>
      <c r="O6348" t="inlineStr"/>
    </row>
    <row r="6349">
      <c r="A6349">
        <f>HYPERLINK("https://mathstats.uncg.edu/sites/pauli/congruence/csg21.html#group16A21", "16A²¹")</f>
        <v/>
      </c>
      <c r="B6349" t="n">
        <v>21</v>
      </c>
      <c r="C6349" t="inlineStr"/>
      <c r="D6349" t="inlineStr">
        <is>
          <t>384</t>
        </is>
      </c>
      <c r="E6349" t="inlineStr">
        <is>
          <t>1</t>
        </is>
      </c>
      <c r="F6349" t="inlineStr">
        <is>
          <t>1</t>
        </is>
      </c>
      <c r="G6349" t="inlineStr">
        <is>
          <t>0</t>
        </is>
      </c>
      <c r="H6349" t="inlineStr">
        <is>
          <t>0</t>
        </is>
      </c>
      <c r="I6349" t="inlineStr">
        <is>
          <t>16²⁴</t>
        </is>
      </c>
      <c r="J6349" t="n">
        <v>24</v>
      </c>
      <c r="K6349" t="inlineStr">
        <is>
          <t>1¹</t>
        </is>
      </c>
      <c r="L6349" t="inlineStr">
        <is>
          <t>16A⁷, 16B⁹, 16L⁹</t>
        </is>
      </c>
      <c r="M6349" t="inlineStr"/>
      <c r="N6349" t="inlineStr">
        <is>
          <t>2A⁰, 16G⁰, 16F⁵, 16I¹, 4C⁰, 16A³, 4G⁰, 2B⁰, 4E⁰, 8C⁰, 8E¹, 4B⁰, 8F¹, 1A⁰, 16L⁹, 16A², 16B⁰, 16E⁰, 8G⁰, 4D⁰, 16F¹, 16D², 8A¹, 16C², 8A³, 16C³, 16A⁷, 8D⁰, 16B³, 8B⁰, 16B¹, 8B¹, 16I³, 8H⁰, 16B⁵, 8F⁰, 8C¹, 16L³, 16B⁹, 4A⁰, 8I¹, 16C¹, 16D⁰, 16G², 4F⁰, 2C⁰</t>
        </is>
      </c>
      <c r="O6349" t="inlineStr"/>
    </row>
    <row r="6350">
      <c r="A6350">
        <f>HYPERLINK("https://mathstats.uncg.edu/sites/pauli/congruence/csg21.html#group16B21", "16B²¹")</f>
        <v/>
      </c>
      <c r="B6350" t="n">
        <v>21</v>
      </c>
      <c r="C6350" t="inlineStr"/>
      <c r="D6350" t="inlineStr">
        <is>
          <t>384</t>
        </is>
      </c>
      <c r="E6350" t="inlineStr">
        <is>
          <t>1</t>
        </is>
      </c>
      <c r="F6350" t="inlineStr">
        <is>
          <t>1</t>
        </is>
      </c>
      <c r="G6350" t="inlineStr">
        <is>
          <t>0</t>
        </is>
      </c>
      <c r="H6350" t="inlineStr">
        <is>
          <t>0</t>
        </is>
      </c>
      <c r="I6350" t="inlineStr">
        <is>
          <t>16²⁴</t>
        </is>
      </c>
      <c r="J6350" t="n">
        <v>24</v>
      </c>
      <c r="K6350" t="inlineStr">
        <is>
          <t>1¹</t>
        </is>
      </c>
      <c r="L6350" t="inlineStr">
        <is>
          <t>8A⁵, 16K⁵, 16C¹⁰, 16A¹¹</t>
        </is>
      </c>
      <c r="M6350" t="inlineStr"/>
      <c r="N6350" t="inlineStr">
        <is>
          <t>2A⁰, 8B³, 16B⁶, 16A¹¹, 4C⁰, 8C², 8A⁰, 16J⁵, 4G⁰, 2B⁰, 4E⁰, 8C⁰, 8E¹, 4B⁰, 8J¹, 1A⁰, 8F¹, 8H¹, 8K⁰, 8G⁰, 16H², 4D⁰, 8G¹, 8M⁰, 8P⁰, 16K⁵, 8N⁰, 16A⁰, 8A¹, 8A³, 8K¹, 8D⁰, 8B², 8B⁰, 8E⁰, 16G³, 8B¹, 16C¹⁰, 8I⁰, 8A⁵, 8D¹, 16A⁶, 8H⁰, 8A², 8F⁰, 8C¹, 4A⁰, 8I¹, 16F⁰, 8L⁰, 16I⁵, 4F⁰, 8J⁰, 2C⁰, 8O⁰</t>
        </is>
      </c>
      <c r="O6350" t="inlineStr"/>
    </row>
    <row r="6351">
      <c r="A6351">
        <f>HYPERLINK("https://mathstats.uncg.edu/sites/pauli/congruence/csg21.html#group16C21", "16C²¹")</f>
        <v/>
      </c>
      <c r="B6351" t="n">
        <v>21</v>
      </c>
      <c r="C6351" t="inlineStr"/>
      <c r="D6351" t="inlineStr">
        <is>
          <t>384</t>
        </is>
      </c>
      <c r="E6351" t="inlineStr">
        <is>
          <t>1</t>
        </is>
      </c>
      <c r="F6351" t="inlineStr">
        <is>
          <t>3</t>
        </is>
      </c>
      <c r="G6351" t="inlineStr">
        <is>
          <t>0</t>
        </is>
      </c>
      <c r="H6351" t="inlineStr">
        <is>
          <t>0</t>
        </is>
      </c>
      <c r="I6351" t="inlineStr">
        <is>
          <t>16²⁴</t>
        </is>
      </c>
      <c r="J6351" t="n">
        <v>24</v>
      </c>
      <c r="K6351" t="inlineStr">
        <is>
          <t>1³</t>
        </is>
      </c>
      <c r="L6351" t="inlineStr">
        <is>
          <t>16A⁹, 16B⁹, 16K⁹</t>
        </is>
      </c>
      <c r="M6351" t="inlineStr"/>
      <c r="N6351" t="inlineStr">
        <is>
          <t>2A⁰, 16G⁰, 16F⁵, 16I¹, 4C⁰, 16A³, 4G⁰, 2B⁰, 16K⁹, 4E⁰, 8C⁰, 8E¹, 4B⁰, 8F¹, 1A⁰, 16A¹, 16E², 16A², 16B⁰, 16E⁰, 16D¹, 16B², 8G⁰, 4D⁰, 16C⁰, 16F¹, 16H¹, 16E³, 16D², 16D³, 8A¹, 16C², 8A³, 16C³, 8D⁰, 16E¹, 16B³, 8B⁰, 16B¹, 8B¹, 16I³, 16H³, 8H⁰, 16B⁵, 8F⁰, 8C¹, 16L³, 16B⁹, 16A⁹, 4A⁰, 8I¹, 16C¹, 16D⁰, 16A⁵, 16C⁴, 4F⁰, 2C⁰</t>
        </is>
      </c>
      <c r="O6351" t="inlineStr"/>
    </row>
    <row r="6352">
      <c r="A6352">
        <f>HYPERLINK("https://mathstats.uncg.edu/sites/pauli/congruence/csg21.html#group16D21", "16D²¹")</f>
        <v/>
      </c>
      <c r="B6352" t="n">
        <v>21</v>
      </c>
      <c r="C6352" t="inlineStr"/>
      <c r="D6352" t="inlineStr">
        <is>
          <t>384</t>
        </is>
      </c>
      <c r="E6352" t="inlineStr">
        <is>
          <t>1</t>
        </is>
      </c>
      <c r="F6352" t="inlineStr">
        <is>
          <t>6</t>
        </is>
      </c>
      <c r="G6352" t="inlineStr">
        <is>
          <t>0</t>
        </is>
      </c>
      <c r="H6352" t="inlineStr">
        <is>
          <t>0</t>
        </is>
      </c>
      <c r="I6352" t="inlineStr">
        <is>
          <t>16²⁴</t>
        </is>
      </c>
      <c r="J6352" t="n">
        <v>24</v>
      </c>
      <c r="K6352" t="inlineStr">
        <is>
          <t>1², 2²</t>
        </is>
      </c>
      <c r="L6352" t="inlineStr">
        <is>
          <t>16B⁷, 16D⁹, 16A¹⁰, 16B¹⁰, 16A¹¹, 16D¹¹</t>
        </is>
      </c>
      <c r="M6352" t="inlineStr"/>
      <c r="N6352" t="inlineStr">
        <is>
          <t>16D⁹, 2A⁰, 16G⁰, 8B³, 16B⁶, 16A¹¹, 16A⁴, 16I¹, 4C⁰, 16J⁵, 8A⁰, 16B⁷, 16P³, 4G⁰, 2B⁰, 4E⁰, 8C⁰, 4B⁰, 8F¹, 1A⁰, 8K⁰, 8H¹, 16E², 16A¹⁰, 16E⁰, 16B⁴, 16D¹, 16B², 16B¹⁰, 8G⁰, 4D⁰, 16Q³, 16K¹, 16D¹¹, 16E³, 16D², 8N⁰, 16D³, 8A¹, 16C², 16H⁵, 16A⁰, 8D⁰, 16I², 8B², 8B⁰, 8E⁰, 16G³, 8B¹, 16I³, 8D¹, 16A⁶, 8H⁰, 8A², 16L¹, 8C¹, 4A⁰, 16I⁵, 16C¹, 16D⁰, 16A⁵, 16F⁰, 4F⁰, 8J⁰, 2C⁰</t>
        </is>
      </c>
      <c r="O6352" t="inlineStr"/>
    </row>
    <row r="6353">
      <c r="A6353">
        <f>HYPERLINK("https://mathstats.uncg.edu/sites/pauli/congruence/csg21.html#group16E21", "16E²¹")</f>
        <v/>
      </c>
      <c r="B6353" t="n">
        <v>21</v>
      </c>
      <c r="C6353" t="inlineStr"/>
      <c r="D6353" t="inlineStr">
        <is>
          <t>384</t>
        </is>
      </c>
      <c r="E6353" t="inlineStr">
        <is>
          <t>1</t>
        </is>
      </c>
      <c r="F6353" t="inlineStr">
        <is>
          <t>6</t>
        </is>
      </c>
      <c r="G6353" t="inlineStr">
        <is>
          <t>0</t>
        </is>
      </c>
      <c r="H6353" t="inlineStr">
        <is>
          <t>0</t>
        </is>
      </c>
      <c r="I6353" t="inlineStr">
        <is>
          <t>16²⁴</t>
        </is>
      </c>
      <c r="J6353" t="n">
        <v>24</v>
      </c>
      <c r="K6353" t="inlineStr">
        <is>
          <t>1², 2²</t>
        </is>
      </c>
      <c r="L6353" t="inlineStr">
        <is>
          <t>16B⁷, 16C⁹, 16I⁹, 16J⁹, 16A¹¹, 16B¹¹, 16C¹¹</t>
        </is>
      </c>
      <c r="M6353" t="inlineStr"/>
      <c r="N6353" t="inlineStr">
        <is>
          <t>2A⁰, 8B³, 16B⁶, 16A⁴, 16A¹¹, 4C⁰, 16J⁵, 8A⁰, 16B⁷, 16A³, 4G⁰, 2B⁰, 4E⁰, 8C⁰, 16A¹, 4B⁰, 8F¹, 8K⁰, 1A⁰, 8H¹, 16A², 16B⁰, 16E⁵, 8G⁰, 4D⁰, 16C⁰, 16F¹, 16Q³, 16H¹, 16K¹, 16I⁹, 16B¹¹, 16C⁹, 8N⁰, 8A¹, 16A⁰, 16C³, 8D⁰, 16E¹, 16I², 8B², 8B⁰, 16B³, 16B¹, 8E⁰, 16G³, 8B¹, 16P³, 16J⁹, 8D¹, 16A⁶, 16H³, 8H⁰, 8A², 16K³, 16B⁵, 16L¹, 8C¹, 4A⁰, 16I⁵, 16F⁰, 16C¹¹, 4F⁰, 8J⁰, 2C⁰</t>
        </is>
      </c>
      <c r="O6353" t="inlineStr"/>
    </row>
    <row r="6354">
      <c r="A6354">
        <f>HYPERLINK("https://mathstats.uncg.edu/sites/pauli/congruence/csg21.html#group16F21", "16F²¹")</f>
        <v/>
      </c>
      <c r="B6354" t="n">
        <v>21</v>
      </c>
      <c r="C6354" t="inlineStr"/>
      <c r="D6354" t="inlineStr">
        <is>
          <t>384</t>
        </is>
      </c>
      <c r="E6354" t="inlineStr">
        <is>
          <t>1</t>
        </is>
      </c>
      <c r="F6354" t="inlineStr">
        <is>
          <t>48</t>
        </is>
      </c>
      <c r="G6354" t="inlineStr">
        <is>
          <t>0</t>
        </is>
      </c>
      <c r="H6354" t="inlineStr">
        <is>
          <t>0</t>
        </is>
      </c>
      <c r="I6354" t="inlineStr">
        <is>
          <t>16²⁴</t>
        </is>
      </c>
      <c r="J6354" t="n">
        <v>24</v>
      </c>
      <c r="K6354" t="inlineStr">
        <is>
          <t>4², 8⁵</t>
        </is>
      </c>
      <c r="L6354" t="inlineStr">
        <is>
          <t>16C⁶, 16H⁹, 16A¹⁰, 16B¹⁰, 16C¹⁰, 16B¹¹, 16C¹¹</t>
        </is>
      </c>
      <c r="M6354" t="inlineStr"/>
      <c r="N6354" t="inlineStr">
        <is>
          <t>16F⁵, 16I¹, 4C⁰, 8C², 8A⁰, 16P³, 8L⁰, 2B⁰, 8K⁰, 1A⁰, 8H¹, 16E², 16A¹⁰, 16A², 16E⁰, 16B⁴, 16D¹, 16E⁵, 16B¹⁰, 16H², 8M⁰, 16Q³, 16C⁶, 16H¹, 16K¹, 8P⁰, 16B¹¹, 16A⁰, 16C³, 8D⁰, 8B⁰, 16G⁵, 16G³, 16B¹, 16C¹⁰, 16L², 8D¹, 8H⁰, 16L¹, 8F⁰, 16F², 4A⁰, 8I¹, 16C¹, 16F³, 16I⁵, 16H⁹, 16C⁴, 16C¹¹, 4F⁰, 16J⁵</t>
        </is>
      </c>
      <c r="O6354" t="inlineStr"/>
    </row>
    <row r="6355">
      <c r="A6355">
        <f>HYPERLINK("https://mathstats.uncg.edu/sites/pauli/congruence/csg21.html#group20A21", "20A²¹")</f>
        <v/>
      </c>
      <c r="B6355" t="n">
        <v>21</v>
      </c>
      <c r="C6355" t="inlineStr"/>
      <c r="D6355" t="inlineStr">
        <is>
          <t>360</t>
        </is>
      </c>
      <c r="E6355" t="inlineStr">
        <is>
          <t>1</t>
        </is>
      </c>
      <c r="F6355" t="inlineStr">
        <is>
          <t>90</t>
        </is>
      </c>
      <c r="G6355" t="inlineStr">
        <is>
          <t>4</t>
        </is>
      </c>
      <c r="H6355" t="inlineStr">
        <is>
          <t>0</t>
        </is>
      </c>
      <c r="I6355" t="inlineStr">
        <is>
          <t>20¹⁸</t>
        </is>
      </c>
      <c r="J6355" t="n">
        <v>18</v>
      </c>
      <c r="K6355" t="inlineStr">
        <is>
          <t>2³, 4³, 8⁹</t>
        </is>
      </c>
      <c r="L6355" t="inlineStr">
        <is>
          <t>20M³, 20H⁵, 10A⁶, 20E⁷, 20I⁷</t>
        </is>
      </c>
      <c r="M6355" t="inlineStr"/>
      <c r="N6355" t="inlineStr">
        <is>
          <t>20C¹, 5A⁰, 10G⁰, 10D⁰, 5B⁰, 2B⁰, 1A⁰, 10J¹, 20E⁷, 10I¹, 10F², 10C², 10C⁰, 5G⁰, 10A⁶, 20H⁵, 20M³, 10B¹, 20I⁷, 10E¹, 20F¹, 10B⁰, 10F¹, 10C³, 10E², 5E⁰, 5C⁰</t>
        </is>
      </c>
      <c r="O6355" t="inlineStr"/>
    </row>
    <row r="6356">
      <c r="A6356">
        <f>HYPERLINK("https://mathstats.uncg.edu/sites/pauli/congruence/csg21.html#group20B21", "20B²¹")</f>
        <v/>
      </c>
      <c r="B6356" t="n">
        <v>21</v>
      </c>
      <c r="C6356" t="inlineStr"/>
      <c r="D6356" t="inlineStr">
        <is>
          <t>360</t>
        </is>
      </c>
      <c r="E6356" t="inlineStr">
        <is>
          <t>1</t>
        </is>
      </c>
      <c r="F6356" t="inlineStr">
        <is>
          <t>90</t>
        </is>
      </c>
      <c r="G6356" t="inlineStr">
        <is>
          <t>4</t>
        </is>
      </c>
      <c r="H6356" t="inlineStr">
        <is>
          <t>0</t>
        </is>
      </c>
      <c r="I6356" t="inlineStr">
        <is>
          <t>20¹⁸</t>
        </is>
      </c>
      <c r="J6356" t="n">
        <v>18</v>
      </c>
      <c r="K6356" t="inlineStr">
        <is>
          <t>1², 2⁴, 4⁸, 8⁶</t>
        </is>
      </c>
      <c r="L6356" t="inlineStr">
        <is>
          <t>20K³, 20G⁷, 20B⁹, 20F¹⁰</t>
        </is>
      </c>
      <c r="M6356" t="inlineStr"/>
      <c r="N6356" t="inlineStr">
        <is>
          <t>20E¹, 5A⁰, 20E⁴, 10B¹, 20B², 4C⁰, 20B⁹, 5B⁰, 2B⁰, 20K³, 1A⁰, 20F³, 10F¹, 20F¹⁰, 10I¹, 10F², 20G⁷, 20C⁵, 10C⁰, 5E⁰, 5C⁰, 5G⁰</t>
        </is>
      </c>
      <c r="O6356" t="inlineStr"/>
    </row>
    <row r="6357">
      <c r="A6357">
        <f>HYPERLINK("https://mathstats.uncg.edu/sites/pauli/congruence/csg21.html#group20C21", "20C²¹")</f>
        <v/>
      </c>
      <c r="B6357" t="n">
        <v>21</v>
      </c>
      <c r="C6357" t="inlineStr"/>
      <c r="D6357" t="inlineStr">
        <is>
          <t>360</t>
        </is>
      </c>
      <c r="E6357" t="inlineStr">
        <is>
          <t>1</t>
        </is>
      </c>
      <c r="F6357" t="inlineStr">
        <is>
          <t>90</t>
        </is>
      </c>
      <c r="G6357" t="inlineStr">
        <is>
          <t>4</t>
        </is>
      </c>
      <c r="H6357" t="inlineStr">
        <is>
          <t>0</t>
        </is>
      </c>
      <c r="I6357" t="inlineStr">
        <is>
          <t>20¹⁸</t>
        </is>
      </c>
      <c r="J6357" t="n">
        <v>18</v>
      </c>
      <c r="K6357" t="inlineStr">
        <is>
          <t>1², 2⁴, 4⁸, 8⁶</t>
        </is>
      </c>
      <c r="L6357" t="inlineStr">
        <is>
          <t>20L³, 20F⁷, 20H⁷, 20B⁹, 20B¹⁰, 20F¹⁰</t>
        </is>
      </c>
      <c r="M6357" t="inlineStr"/>
      <c r="N6357" t="inlineStr">
        <is>
          <t>20E¹, 5A⁰, 20E⁴, 10B¹, 20B², 4C⁰, 5C⁰, 20B⁹, 5B⁰, 20A¹, 2B⁰, 20C⁴, 20F⁷, 1A⁰, 20F³, 20B¹, 10F¹, 20F¹⁰, 10I¹, 20H⁷, 10F², 4A⁰, 20C⁵, 5E⁰, 10C⁰, 4F⁰, 20B¹⁰, 20E², 5G⁰, 20L³, 20D³</t>
        </is>
      </c>
      <c r="O6357" t="inlineStr"/>
    </row>
    <row r="6358">
      <c r="A6358">
        <f>HYPERLINK("https://mathstats.uncg.edu/sites/pauli/congruence/csg21.html#group21A21", "21A²¹")</f>
        <v/>
      </c>
      <c r="B6358" t="n">
        <v>21</v>
      </c>
      <c r="C6358" t="inlineStr"/>
      <c r="D6358" t="inlineStr">
        <is>
          <t>336</t>
        </is>
      </c>
      <c r="E6358" t="inlineStr">
        <is>
          <t>1</t>
        </is>
      </c>
      <c r="F6358" t="inlineStr">
        <is>
          <t>28</t>
        </is>
      </c>
      <c r="G6358" t="inlineStr">
        <is>
          <t>0</t>
        </is>
      </c>
      <c r="H6358" t="inlineStr">
        <is>
          <t>0</t>
        </is>
      </c>
      <c r="I6358" t="inlineStr">
        <is>
          <t>21¹⁶</t>
        </is>
      </c>
      <c r="J6358" t="n">
        <v>16</v>
      </c>
      <c r="K6358" t="inlineStr">
        <is>
          <t>1¹, 3¹, 6⁴</t>
        </is>
      </c>
      <c r="L6358" t="inlineStr">
        <is>
          <t>21A⁶, 21B⁶, 21B⁹</t>
        </is>
      </c>
      <c r="M6358" t="inlineStr"/>
      <c r="N6358" t="inlineStr">
        <is>
          <t>3B⁰, 21D², 21B², 21B⁶, 3D⁰, 7F⁰, 21A⁰, 3C⁰, 1A⁰, 21B⁹, 3A⁰, 21A⁶, 21C³, 7A⁰</t>
        </is>
      </c>
      <c r="O6358" t="inlineStr"/>
    </row>
    <row r="6359">
      <c r="A6359">
        <f>HYPERLINK("https://mathstats.uncg.edu/sites/pauli/congruence/csg21.html#group21B21", "21B²¹")</f>
        <v/>
      </c>
      <c r="B6359" t="n">
        <v>21</v>
      </c>
      <c r="C6359" t="inlineStr"/>
      <c r="D6359" t="inlineStr">
        <is>
          <t>336</t>
        </is>
      </c>
      <c r="E6359" t="inlineStr">
        <is>
          <t>1</t>
        </is>
      </c>
      <c r="F6359" t="inlineStr">
        <is>
          <t>84</t>
        </is>
      </c>
      <c r="G6359" t="inlineStr">
        <is>
          <t>0</t>
        </is>
      </c>
      <c r="H6359" t="inlineStr">
        <is>
          <t>0</t>
        </is>
      </c>
      <c r="I6359" t="inlineStr">
        <is>
          <t>21¹⁶</t>
        </is>
      </c>
      <c r="J6359" t="n">
        <v>16</v>
      </c>
      <c r="K6359" t="inlineStr">
        <is>
          <t>1¹, 2¹, 3¹, 6⁵, 12⁴</t>
        </is>
      </c>
      <c r="L6359" t="inlineStr">
        <is>
          <t>21A³, 21B⁵, 21C⁷, 21B⁹, 21A¹¹</t>
        </is>
      </c>
      <c r="M6359" t="inlineStr"/>
      <c r="N6359" t="inlineStr">
        <is>
          <t>21D², 21B⁵, 21D¹, 21C², 21A⁰, 21C⁷, 1A⁰, 21C³, 21A³, 21A², 7B⁰, 7C⁰, 21A¹¹, 7F⁰, 3C⁰, 21B⁹, 3A⁰, 7B¹, 7A⁰</t>
        </is>
      </c>
      <c r="O6359" t="inlineStr"/>
    </row>
    <row r="6360">
      <c r="A6360">
        <f>HYPERLINK("https://mathstats.uncg.edu/sites/pauli/congruence/csg21.html#group21C21", "21C²¹")</f>
        <v/>
      </c>
      <c r="B6360" t="n">
        <v>21</v>
      </c>
      <c r="C6360" t="inlineStr"/>
      <c r="D6360" t="inlineStr">
        <is>
          <t>448</t>
        </is>
      </c>
      <c r="E6360" t="inlineStr">
        <is>
          <t>1</t>
        </is>
      </c>
      <c r="F6360" t="inlineStr">
        <is>
          <t>112</t>
        </is>
      </c>
      <c r="G6360" t="inlineStr">
        <is>
          <t>0</t>
        </is>
      </c>
      <c r="H6360" t="inlineStr">
        <is>
          <t>4</t>
        </is>
      </c>
      <c r="I6360" t="inlineStr">
        <is>
          <t>7¹⁶, 21¹⁶</t>
        </is>
      </c>
      <c r="J6360" t="n">
        <v>32</v>
      </c>
      <c r="K6360" t="inlineStr">
        <is>
          <t>1², 2¹, 3², 6⁹, 12⁴</t>
        </is>
      </c>
      <c r="L6360" t="inlineStr">
        <is>
          <t>21F¹, 21C¹¹</t>
        </is>
      </c>
      <c r="M6360" t="inlineStr"/>
      <c r="N6360" t="inlineStr">
        <is>
          <t>21B³, 3B⁰, 21B², 21B¹, 21B⁶, 7B⁰, 7C⁰, 7F⁰, 1A⁰, 21C¹¹, 7B¹, 21F¹, 7A⁰</t>
        </is>
      </c>
      <c r="O6360" t="inlineStr"/>
    </row>
    <row r="6361">
      <c r="A6361">
        <f>HYPERLINK("https://mathstats.uncg.edu/sites/pauli/congruence/csg21.html#group22A21", "22A²¹")</f>
        <v/>
      </c>
      <c r="B6361" t="n">
        <v>21</v>
      </c>
      <c r="C6361" t="inlineStr"/>
      <c r="D6361" t="inlineStr">
        <is>
          <t>330</t>
        </is>
      </c>
      <c r="E6361" t="inlineStr">
        <is>
          <t>1</t>
        </is>
      </c>
      <c r="F6361" t="inlineStr">
        <is>
          <t>55</t>
        </is>
      </c>
      <c r="G6361" t="inlineStr">
        <is>
          <t>0</t>
        </is>
      </c>
      <c r="H6361" t="inlineStr">
        <is>
          <t>0</t>
        </is>
      </c>
      <c r="I6361" t="inlineStr">
        <is>
          <t>22¹⁵</t>
        </is>
      </c>
      <c r="J6361" t="n">
        <v>15</v>
      </c>
      <c r="K6361" t="inlineStr">
        <is>
          <t>5¹, 10⁵</t>
        </is>
      </c>
      <c r="L6361" t="inlineStr">
        <is>
          <t>2C⁰, 22A⁷, 22A⁸</t>
        </is>
      </c>
      <c r="M6361" t="inlineStr"/>
      <c r="N6361" t="inlineStr">
        <is>
          <t>2A⁰, 11C¹, 22A⁷, 2B⁰, 1A⁰, 2C⁰, 22A⁸</t>
        </is>
      </c>
      <c r="O6361" t="inlineStr"/>
    </row>
    <row r="6362">
      <c r="A6362">
        <f>HYPERLINK("https://mathstats.uncg.edu/sites/pauli/congruence/csg21.html#group22B21", "22B²¹")</f>
        <v/>
      </c>
      <c r="B6362" t="n">
        <v>21</v>
      </c>
      <c r="C6362" t="inlineStr"/>
      <c r="D6362" t="inlineStr">
        <is>
          <t>330</t>
        </is>
      </c>
      <c r="E6362" t="inlineStr">
        <is>
          <t>1</t>
        </is>
      </c>
      <c r="F6362" t="inlineStr">
        <is>
          <t>55</t>
        </is>
      </c>
      <c r="G6362" t="inlineStr">
        <is>
          <t>0</t>
        </is>
      </c>
      <c r="H6362" t="inlineStr">
        <is>
          <t>0</t>
        </is>
      </c>
      <c r="I6362" t="inlineStr">
        <is>
          <t>22¹⁵</t>
        </is>
      </c>
      <c r="J6362" t="n">
        <v>15</v>
      </c>
      <c r="K6362" t="inlineStr">
        <is>
          <t>5¹, 10⁵</t>
        </is>
      </c>
      <c r="L6362" t="inlineStr">
        <is>
          <t>11A⁵, 22B⁵, 22A⁷</t>
        </is>
      </c>
      <c r="M6362" t="inlineStr"/>
      <c r="N6362" t="inlineStr">
        <is>
          <t>11A⁰, 2A⁰, 11C¹, 22A¹, 22A⁷, 22B⁵, 11A⁵, 11B¹, 1A⁰</t>
        </is>
      </c>
      <c r="O6362" t="inlineStr"/>
    </row>
    <row r="6363">
      <c r="A6363">
        <f>HYPERLINK("https://mathstats.uncg.edu/sites/pauli/congruence/csg21.html#group22C21", "22C²¹")</f>
        <v/>
      </c>
      <c r="B6363" t="n">
        <v>21</v>
      </c>
      <c r="C6363" t="inlineStr"/>
      <c r="D6363" t="inlineStr">
        <is>
          <t>330</t>
        </is>
      </c>
      <c r="E6363" t="inlineStr">
        <is>
          <t>1</t>
        </is>
      </c>
      <c r="F6363" t="inlineStr">
        <is>
          <t>55</t>
        </is>
      </c>
      <c r="G6363" t="inlineStr">
        <is>
          <t>0</t>
        </is>
      </c>
      <c r="H6363" t="inlineStr">
        <is>
          <t>0</t>
        </is>
      </c>
      <c r="I6363" t="inlineStr">
        <is>
          <t>22¹⁵</t>
        </is>
      </c>
      <c r="J6363" t="n">
        <v>15</v>
      </c>
      <c r="K6363" t="inlineStr">
        <is>
          <t>5¹, 10⁵</t>
        </is>
      </c>
      <c r="L6363" t="inlineStr">
        <is>
          <t>22A⁵, 22B⁵, 22B⁹</t>
        </is>
      </c>
      <c r="M6363" t="inlineStr"/>
      <c r="N6363" t="inlineStr">
        <is>
          <t>11A⁰, 2A⁰, 22A¹, 22B⁵, 22A⁵, 2B⁰, 11B¹, 22B², 1A⁰, 2C⁰, 22B⁹</t>
        </is>
      </c>
      <c r="O6363" t="inlineStr"/>
    </row>
    <row r="6364">
      <c r="A6364">
        <f>HYPERLINK("https://mathstats.uncg.edu/sites/pauli/congruence/csg21.html#group24A21", "24A²¹")</f>
        <v/>
      </c>
      <c r="B6364" t="n">
        <v>21</v>
      </c>
      <c r="C6364" t="inlineStr"/>
      <c r="D6364" t="inlineStr">
        <is>
          <t>384</t>
        </is>
      </c>
      <c r="E6364" t="inlineStr">
        <is>
          <t>1</t>
        </is>
      </c>
      <c r="F6364" t="inlineStr">
        <is>
          <t>4</t>
        </is>
      </c>
      <c r="G6364" t="inlineStr">
        <is>
          <t>0</t>
        </is>
      </c>
      <c r="H6364" t="inlineStr">
        <is>
          <t>0</t>
        </is>
      </c>
      <c r="I6364" t="inlineStr">
        <is>
          <t>8¹², 24¹²</t>
        </is>
      </c>
      <c r="J6364" t="n">
        <v>24</v>
      </c>
      <c r="K6364" t="inlineStr">
        <is>
          <t>1², 2¹</t>
        </is>
      </c>
      <c r="L6364" t="inlineStr">
        <is>
          <t>8A³, 24E⁷, 24AF⁹, 24I¹¹</t>
        </is>
      </c>
      <c r="M6364" t="inlineStr"/>
      <c r="N6364" t="inlineStr">
        <is>
          <t>2A⁰, 24I¹¹, 24V³, 24G¹, 4C⁰, 4G⁰, 2B⁰, 8C⁰, 4E⁰, 8E¹, 4B⁰, 8F¹, 1A⁰, 8G⁰, 4D⁰, 12A¹, 6F⁰, 24C⁴, 3B⁰, 24K⁵, 8A¹, 12I¹, 8A³, 8D⁰, 24B³, 12F¹, 6I⁰, 6C⁰, 8B⁰, 8B¹, 12P¹, 24E⁷, 8H⁰, 24C³, 24I⁵, 8F⁰, 8C¹, 24I², 4A⁰, 8I¹, 12G², 12K³, 4F⁰, 24J⁵, 2C⁰, 12E⁰, 24AF⁹</t>
        </is>
      </c>
      <c r="O6364" t="inlineStr"/>
    </row>
    <row r="6365">
      <c r="A6365">
        <f>HYPERLINK("https://mathstats.uncg.edu/sites/pauli/congruence/csg21.html#group24B21", "24B²¹")</f>
        <v/>
      </c>
      <c r="B6365" t="n">
        <v>21</v>
      </c>
      <c r="C6365" t="inlineStr"/>
      <c r="D6365" t="inlineStr">
        <is>
          <t>384</t>
        </is>
      </c>
      <c r="E6365" t="inlineStr">
        <is>
          <t>1</t>
        </is>
      </c>
      <c r="F6365" t="inlineStr">
        <is>
          <t>4</t>
        </is>
      </c>
      <c r="G6365" t="inlineStr">
        <is>
          <t>0</t>
        </is>
      </c>
      <c r="H6365" t="inlineStr">
        <is>
          <t>0</t>
        </is>
      </c>
      <c r="I6365" t="inlineStr">
        <is>
          <t>8¹², 24¹²</t>
        </is>
      </c>
      <c r="J6365" t="n">
        <v>24</v>
      </c>
      <c r="K6365" t="inlineStr">
        <is>
          <t>1², 2¹</t>
        </is>
      </c>
      <c r="L6365" t="inlineStr">
        <is>
          <t>12E⁵, 24Q⁵, 24A¹¹, 24B¹¹</t>
        </is>
      </c>
      <c r="M6365" t="inlineStr"/>
      <c r="N6365" t="inlineStr">
        <is>
          <t>2A⁰, 24A², 4C⁰, 12I⁰, 8A⁰, 12J⁰, 4G⁰, 2B⁰, 4E⁰, 4B⁰, 1A⁰, 12E⁵, 12F², 24B¹¹, 4D⁰, 12L³, 12A¹, 12R¹, 24B⁶, 6F⁰, 3B⁰, 12I¹, 12V¹, 6I⁰, 12F¹, 6C⁰, 8E⁰, 24A¹¹, 12P¹, 24G³, 8D¹, 24F³, 8A², 4A⁰, 12G², 12K³, 24Q⁵, 4F⁰, 2C⁰, 12E⁰, 12B⁰</t>
        </is>
      </c>
      <c r="O6365" t="inlineStr"/>
    </row>
    <row r="6366">
      <c r="A6366">
        <f>HYPERLINK("https://mathstats.uncg.edu/sites/pauli/congruence/csg21.html#group24C21", "24C²¹")</f>
        <v/>
      </c>
      <c r="B6366" t="n">
        <v>21</v>
      </c>
      <c r="C6366" t="inlineStr"/>
      <c r="D6366" t="inlineStr">
        <is>
          <t>384</t>
        </is>
      </c>
      <c r="E6366" t="inlineStr">
        <is>
          <t>1</t>
        </is>
      </c>
      <c r="F6366" t="inlineStr">
        <is>
          <t>12</t>
        </is>
      </c>
      <c r="G6366" t="inlineStr">
        <is>
          <t>0</t>
        </is>
      </c>
      <c r="H6366" t="inlineStr">
        <is>
          <t>0</t>
        </is>
      </c>
      <c r="I6366" t="inlineStr">
        <is>
          <t>8¹², 24¹²</t>
        </is>
      </c>
      <c r="J6366" t="n">
        <v>24</v>
      </c>
      <c r="K6366" t="inlineStr">
        <is>
          <t>1⁶, 2³</t>
        </is>
      </c>
      <c r="L6366" t="inlineStr">
        <is>
          <t>24AF⁷, 24AC⁹, 24B¹¹</t>
        </is>
      </c>
      <c r="M6366" t="inlineStr"/>
      <c r="N6366" t="inlineStr">
        <is>
          <t>2A⁰, 24A², 4C⁰, 8A⁰, 4G⁰, 2B⁰, 4E⁰, 4B⁰, 1A⁰, 24U³, 24B¹¹, 4D⁰, 12A¹, 24H⁵, 24B⁶, 6F⁰, 24AC⁹, 3B⁰, 24AF⁷, 12I¹, 24Z³, 6I⁰, 12F¹, 6C⁰, 8E⁰, 12P¹, 24G³, 8D¹, 8A², 24B⁰, 4A⁰, 12G², 12K³, 4F⁰, 24F², 2C⁰, 12E⁰</t>
        </is>
      </c>
      <c r="O6366" t="inlineStr"/>
    </row>
    <row r="6367">
      <c r="A6367">
        <f>HYPERLINK("https://mathstats.uncg.edu/sites/pauli/congruence/csg21.html#group24D21", "24D²¹")</f>
        <v/>
      </c>
      <c r="B6367" t="n">
        <v>21</v>
      </c>
      <c r="C6367" t="inlineStr"/>
      <c r="D6367" t="inlineStr">
        <is>
          <t>384</t>
        </is>
      </c>
      <c r="E6367" t="inlineStr">
        <is>
          <t>1</t>
        </is>
      </c>
      <c r="F6367" t="inlineStr">
        <is>
          <t>12</t>
        </is>
      </c>
      <c r="G6367" t="inlineStr">
        <is>
          <t>0</t>
        </is>
      </c>
      <c r="H6367" t="inlineStr">
        <is>
          <t>0</t>
        </is>
      </c>
      <c r="I6367" t="inlineStr">
        <is>
          <t>8¹², 24¹²</t>
        </is>
      </c>
      <c r="J6367" t="n">
        <v>24</v>
      </c>
      <c r="K6367" t="inlineStr">
        <is>
          <t>1⁶, 2³</t>
        </is>
      </c>
      <c r="L6367" t="inlineStr">
        <is>
          <t>24AF⁷, 24AF⁹, 24A¹¹</t>
        </is>
      </c>
      <c r="M6367" t="inlineStr"/>
      <c r="N6367" t="inlineStr">
        <is>
          <t>2A⁰, 24V³, 24G¹, 4C⁰, 4G⁰, 2B⁰, 4E⁰, 8C⁰, 4B⁰, 8F¹, 1A⁰, 8G⁰, 4D⁰, 12A¹, 6F⁰, 3B⁰, 24AF⁷, 12I¹, 24Z³, 24K⁵, 8A¹, 24B³, 12F¹, 6I⁰, 8D⁰, 6C⁰, 8B⁰, 8B¹, 24A¹¹, 12P¹, 24F³, 24C³, 8H⁰, 24I⁵, 8C¹, 24I², 4A⁰, 12G², 12K³, 4F⁰, 24J⁵, 2C⁰, 12E⁰, 24AF⁹</t>
        </is>
      </c>
      <c r="O6367" t="inlineStr"/>
    </row>
    <row r="6368">
      <c r="A6368">
        <f>HYPERLINK("https://mathstats.uncg.edu/sites/pauli/congruence/csg21.html#group24E21", "24E²¹")</f>
        <v/>
      </c>
      <c r="B6368" t="n">
        <v>21</v>
      </c>
      <c r="C6368" t="inlineStr"/>
      <c r="D6368" t="inlineStr">
        <is>
          <t>384</t>
        </is>
      </c>
      <c r="E6368" t="inlineStr">
        <is>
          <t>1</t>
        </is>
      </c>
      <c r="F6368" t="inlineStr">
        <is>
          <t>12</t>
        </is>
      </c>
      <c r="G6368" t="inlineStr">
        <is>
          <t>0</t>
        </is>
      </c>
      <c r="H6368" t="inlineStr">
        <is>
          <t>0</t>
        </is>
      </c>
      <c r="I6368" t="inlineStr">
        <is>
          <t>8¹², 24¹²</t>
        </is>
      </c>
      <c r="J6368" t="n">
        <v>24</v>
      </c>
      <c r="K6368" t="inlineStr">
        <is>
          <t>1⁶, 2³</t>
        </is>
      </c>
      <c r="L6368" t="inlineStr">
        <is>
          <t>24AG⁷, 24AC⁹, 24A¹¹</t>
        </is>
      </c>
      <c r="M6368" t="inlineStr"/>
      <c r="N6368" t="inlineStr">
        <is>
          <t>2A⁰, 3B⁰, 8N⁰, 12I¹, 24AA³, 6I⁰, 12F¹, 2C⁰, 4C⁰, 6C⁰, 24AG⁷, 4G⁰, 2B⁰, 4E⁰, 24A¹¹, 12P¹, 4B⁰, 1A⁰, 8K⁰, 24F³, 24U³, 24B⁰, 4A⁰, 4D⁰, 12A¹, 24R⁴, 24H⁵, 12G², 12K³, 4F⁰, 24F², 6F⁰, 24AC⁹, 12E⁰, 8J⁰</t>
        </is>
      </c>
      <c r="O6368" t="inlineStr"/>
    </row>
    <row r="6369">
      <c r="A6369">
        <f>HYPERLINK("https://mathstats.uncg.edu/sites/pauli/congruence/csg21.html#group24F21", "24F²¹")</f>
        <v/>
      </c>
      <c r="B6369" t="n">
        <v>21</v>
      </c>
      <c r="C6369" t="inlineStr"/>
      <c r="D6369" t="inlineStr">
        <is>
          <t>384</t>
        </is>
      </c>
      <c r="E6369" t="inlineStr">
        <is>
          <t>1</t>
        </is>
      </c>
      <c r="F6369" t="inlineStr">
        <is>
          <t>12</t>
        </is>
      </c>
      <c r="G6369" t="inlineStr">
        <is>
          <t>0</t>
        </is>
      </c>
      <c r="H6369" t="inlineStr">
        <is>
          <t>0</t>
        </is>
      </c>
      <c r="I6369" t="inlineStr">
        <is>
          <t>8¹², 24¹²</t>
        </is>
      </c>
      <c r="J6369" t="n">
        <v>24</v>
      </c>
      <c r="K6369" t="inlineStr">
        <is>
          <t>1⁶, 2³</t>
        </is>
      </c>
      <c r="L6369" t="inlineStr">
        <is>
          <t>24AC⁹, 24AF⁹, 24H¹¹</t>
        </is>
      </c>
      <c r="M6369" t="inlineStr"/>
      <c r="N6369" t="inlineStr">
        <is>
          <t>2A⁰, 24V³, 24G¹, 4C⁰, 4G⁰, 2B⁰, 4E⁰, 8C⁰, 4B⁰, 8F¹, 1A⁰, 24U³, 8G⁰, 4D⁰, 12A¹, 24H⁵, 6F⁰, 24AC⁹, 3B⁰, 24H¹¹, 12I¹, 24K⁵, 8A¹, 24B³, 8D⁰, 6I⁰, 12F¹, 6C⁰, 8B⁰, 8B¹, 12P¹, 24C³, 8H⁰, 24I⁵, 8C¹, 24I², 24B⁰, 4A⁰, 12G², 12K³, 4F⁰, 24J⁵, 24F², 2C⁰, 12E⁰, 24AF⁹</t>
        </is>
      </c>
      <c r="O6369" t="inlineStr"/>
    </row>
    <row r="6370">
      <c r="A6370">
        <f>HYPERLINK("https://mathstats.uncg.edu/sites/pauli/congruence/csg21.html#group24G21", "24G²¹")</f>
        <v/>
      </c>
      <c r="B6370" t="n">
        <v>21</v>
      </c>
      <c r="C6370" t="inlineStr"/>
      <c r="D6370" t="inlineStr">
        <is>
          <t>384</t>
        </is>
      </c>
      <c r="E6370" t="inlineStr">
        <is>
          <t>1</t>
        </is>
      </c>
      <c r="F6370" t="inlineStr">
        <is>
          <t>12</t>
        </is>
      </c>
      <c r="G6370" t="inlineStr">
        <is>
          <t>0</t>
        </is>
      </c>
      <c r="H6370" t="inlineStr">
        <is>
          <t>0</t>
        </is>
      </c>
      <c r="I6370" t="inlineStr">
        <is>
          <t>8¹², 24¹²</t>
        </is>
      </c>
      <c r="J6370" t="n">
        <v>24</v>
      </c>
      <c r="K6370" t="inlineStr">
        <is>
          <t>1⁶, 2³</t>
        </is>
      </c>
      <c r="L6370" t="inlineStr">
        <is>
          <t>8B³, 24AG⁷, 24AF⁹, 24B¹¹, 24F¹¹, 24G¹¹</t>
        </is>
      </c>
      <c r="M6370" t="inlineStr"/>
      <c r="N6370" t="inlineStr">
        <is>
          <t>2A⁰, 8B³, 24V³, 24AA³, 24A², 24G¹, 4C⁰, 8A⁰, 4G⁰, 2B⁰, 4E⁰, 8C⁰, 4B⁰, 8F¹, 1A⁰, 8K⁰, 8H¹, 24F¹¹, 8G⁰, 24B¹¹, 24G¹¹, 4D⁰, 12A¹, 24B⁶, 6F⁰, 3B⁰, 8N⁰, 24K⁵, 8A¹, 12I¹, 24B³, 8D⁰, 12F¹, 6I⁰, 6C⁰, 8B², 8B⁰, 24AG⁷, 8E⁰, 8B¹, 24G³, 12P¹, 8D¹, 8H⁰, 24C³, 8A², 24I⁵, 8C¹, 24I², 4A⁰, 24R⁴, 12G², 12K³, 4F⁰, 24J⁵, 8J⁰, 2C⁰, 12E⁰, 24AF⁹</t>
        </is>
      </c>
      <c r="O6370" t="inlineStr"/>
    </row>
    <row r="6371">
      <c r="A6371">
        <f>HYPERLINK("https://mathstats.uncg.edu/sites/pauli/congruence/csg21.html#group24H21", "24H²¹")</f>
        <v/>
      </c>
      <c r="B6371" t="n">
        <v>21</v>
      </c>
      <c r="C6371" t="inlineStr"/>
      <c r="D6371" t="inlineStr">
        <is>
          <t>384</t>
        </is>
      </c>
      <c r="E6371" t="inlineStr">
        <is>
          <t>1</t>
        </is>
      </c>
      <c r="F6371" t="inlineStr">
        <is>
          <t>32</t>
        </is>
      </c>
      <c r="G6371" t="inlineStr">
        <is>
          <t>0</t>
        </is>
      </c>
      <c r="H6371" t="inlineStr">
        <is>
          <t>12</t>
        </is>
      </c>
      <c r="I6371" t="inlineStr">
        <is>
          <t>24¹⁶</t>
        </is>
      </c>
      <c r="J6371" t="n">
        <v>16</v>
      </c>
      <c r="K6371" t="inlineStr">
        <is>
          <t>4⁸</t>
        </is>
      </c>
      <c r="L6371" t="inlineStr">
        <is>
          <t>24Q⁵, 12F⁷, 24D¹¹, 24E¹¹</t>
        </is>
      </c>
      <c r="M6371" t="inlineStr"/>
      <c r="N6371" t="inlineStr">
        <is>
          <t>2A⁰, 3B⁰, 12I¹, 12H¹, 12F⁷, 24A², 24E², 6C⁰, 12E¹, 8A⁰, 8E⁰, 24D¹¹, 24G³, 1A⁰, 24E¹¹, 24F³, 12D⁴, 6A⁰, 4A⁰, 4D⁰, 12A¹, 6J⁰, 24Q⁵, 12R¹, 12O¹, 24J², 12B⁰</t>
        </is>
      </c>
      <c r="O6371" t="inlineStr"/>
    </row>
    <row r="6372">
      <c r="A6372">
        <f>HYPERLINK("https://mathstats.uncg.edu/sites/pauli/congruence/csg21.html#group24I21", "24I²¹")</f>
        <v/>
      </c>
      <c r="B6372" t="n">
        <v>21</v>
      </c>
      <c r="C6372" t="inlineStr"/>
      <c r="D6372" t="inlineStr">
        <is>
          <t>384</t>
        </is>
      </c>
      <c r="E6372" t="inlineStr">
        <is>
          <t>1</t>
        </is>
      </c>
      <c r="F6372" t="inlineStr">
        <is>
          <t>96</t>
        </is>
      </c>
      <c r="G6372" t="inlineStr">
        <is>
          <t>0</t>
        </is>
      </c>
      <c r="H6372" t="inlineStr">
        <is>
          <t>0</t>
        </is>
      </c>
      <c r="I6372" t="inlineStr">
        <is>
          <t>8¹², 24¹²</t>
        </is>
      </c>
      <c r="J6372" t="n">
        <v>24</v>
      </c>
      <c r="K6372" t="inlineStr">
        <is>
          <t>2⁴, 4¹², 8⁵</t>
        </is>
      </c>
      <c r="L6372" t="inlineStr">
        <is>
          <t>24AI⁹, 24G¹¹, 24H¹¹</t>
        </is>
      </c>
      <c r="M6372" t="inlineStr"/>
      <c r="N6372" t="inlineStr">
        <is>
          <t>3B⁰, 24H¹¹, 24K⁵, 8A¹, 8D⁰, 12F¹, 24A², 4C⁰, 8B², 8A⁰, 2B⁰, 1A⁰, 8K⁰, 8D¹, 24C³, 8C¹, 24I², 24M⁵, 4A⁰, 24G¹¹, 12A¹, 24R⁴, 24AI⁹, 12G², 4F⁰, 24B⁶, 6F⁰</t>
        </is>
      </c>
      <c r="O6372" t="inlineStr"/>
    </row>
    <row r="6373">
      <c r="A6373">
        <f>HYPERLINK("https://mathstats.uncg.edu/sites/pauli/congruence/csg21.html#group24J21", "24J²¹")</f>
        <v/>
      </c>
      <c r="B6373" t="n">
        <v>21</v>
      </c>
      <c r="C6373" t="inlineStr"/>
      <c r="D6373" t="inlineStr">
        <is>
          <t>384</t>
        </is>
      </c>
      <c r="E6373" t="inlineStr">
        <is>
          <t>1</t>
        </is>
      </c>
      <c r="F6373" t="inlineStr">
        <is>
          <t>96</t>
        </is>
      </c>
      <c r="G6373" t="inlineStr">
        <is>
          <t>0</t>
        </is>
      </c>
      <c r="H6373" t="inlineStr">
        <is>
          <t>0</t>
        </is>
      </c>
      <c r="I6373" t="inlineStr">
        <is>
          <t>8¹², 24¹²</t>
        </is>
      </c>
      <c r="J6373" t="n">
        <v>24</v>
      </c>
      <c r="K6373" t="inlineStr">
        <is>
          <t>2⁴, 4¹², 8⁵</t>
        </is>
      </c>
      <c r="L6373" t="inlineStr">
        <is>
          <t>8C², 24F⁷, 24AJ⁹, 24F¹¹, 24I¹¹</t>
        </is>
      </c>
      <c r="M6373" t="inlineStr"/>
      <c r="N6373" t="inlineStr">
        <is>
          <t>24I¹¹, 24N⁵, 24A², 4C⁰, 8C², 8A⁰, 8L⁰, 2B⁰, 1A⁰, 8K⁰, 8H¹, 24F¹¹, 24AJ⁹, 12A¹, 24B⁶, 8M⁰, 8P⁰, 6F⁰, 24C⁴, 3B⁰, 24B³, 8D⁰, 12F¹, 8B⁰, 8D¹, 8H⁰, 8F⁰, 24I², 4A⁰, 8I¹, 24F⁷, 24R⁴, 12G², 24J⁵, 4F⁰</t>
        </is>
      </c>
      <c r="O6373" t="inlineStr"/>
    </row>
    <row r="6374">
      <c r="A6374">
        <f>HYPERLINK("https://mathstats.uncg.edu/sites/pauli/congruence/csg21.html#group24K21", "24K²¹")</f>
        <v/>
      </c>
      <c r="B6374" t="n">
        <v>21</v>
      </c>
      <c r="C6374" t="inlineStr"/>
      <c r="D6374" t="inlineStr">
        <is>
          <t>384</t>
        </is>
      </c>
      <c r="E6374" t="inlineStr">
        <is>
          <t>1</t>
        </is>
      </c>
      <c r="F6374" t="inlineStr">
        <is>
          <t>96</t>
        </is>
      </c>
      <c r="G6374" t="inlineStr">
        <is>
          <t>16</t>
        </is>
      </c>
      <c r="H6374" t="inlineStr">
        <is>
          <t>0</t>
        </is>
      </c>
      <c r="I6374" t="inlineStr">
        <is>
          <t>24¹⁶</t>
        </is>
      </c>
      <c r="J6374" t="n">
        <v>16</v>
      </c>
      <c r="K6374" t="inlineStr">
        <is>
          <t>8¹²</t>
        </is>
      </c>
      <c r="L6374" t="inlineStr">
        <is>
          <t>12M³, 24AL⁹</t>
        </is>
      </c>
      <c r="M6374" t="inlineStr"/>
      <c r="N6374" t="inlineStr">
        <is>
          <t>12G¹, 24AL⁹, 12D¹, 6B⁰, 24O⁵, 12F⁰, 1A⁰, 24F¹, 12A⁰, 8F⁰, 6E⁰, 4A⁰, 12M³, 12Q¹, 3C⁰, 24AB³, 3A⁰</t>
        </is>
      </c>
      <c r="O6374" t="inlineStr"/>
    </row>
    <row r="6375">
      <c r="A6375">
        <f>HYPERLINK("https://mathstats.uncg.edu/sites/pauli/congruence/csg21.html#group24L21", "24L²¹")</f>
        <v/>
      </c>
      <c r="B6375" t="n">
        <v>21</v>
      </c>
      <c r="C6375" t="inlineStr"/>
      <c r="D6375" t="inlineStr">
        <is>
          <t>384</t>
        </is>
      </c>
      <c r="E6375" t="inlineStr">
        <is>
          <t>1</t>
        </is>
      </c>
      <c r="F6375" t="inlineStr">
        <is>
          <t>96</t>
        </is>
      </c>
      <c r="G6375" t="inlineStr">
        <is>
          <t>16</t>
        </is>
      </c>
      <c r="H6375" t="inlineStr">
        <is>
          <t>0</t>
        </is>
      </c>
      <c r="I6375" t="inlineStr">
        <is>
          <t>24¹⁶</t>
        </is>
      </c>
      <c r="J6375" t="n">
        <v>16</v>
      </c>
      <c r="K6375" t="inlineStr">
        <is>
          <t>8¹²</t>
        </is>
      </c>
      <c r="L6375" t="inlineStr">
        <is>
          <t>24L⁵, 24AL⁹</t>
        </is>
      </c>
      <c r="M6375" t="inlineStr"/>
      <c r="N6375" t="inlineStr">
        <is>
          <t>12G¹, 24AL⁹, 6B⁰, 24O⁵, 12F⁰, 1A⁰, 24F¹, 12A⁰, 8F⁰, 6E⁰, 4A⁰, 12Q¹, 3C⁰, 24AB³, 3A⁰, 24L⁵</t>
        </is>
      </c>
      <c r="O6375" t="inlineStr"/>
    </row>
    <row r="6376">
      <c r="A6376">
        <f>HYPERLINK("https://mathstats.uncg.edu/sites/pauli/congruence/csg21.html#group24M21", "24M²¹")</f>
        <v/>
      </c>
      <c r="B6376" t="n">
        <v>21</v>
      </c>
      <c r="C6376" t="inlineStr"/>
      <c r="D6376" t="inlineStr">
        <is>
          <t>384</t>
        </is>
      </c>
      <c r="E6376" t="inlineStr">
        <is>
          <t>2</t>
        </is>
      </c>
      <c r="F6376" t="inlineStr">
        <is>
          <t>48</t>
        </is>
      </c>
      <c r="G6376" t="inlineStr">
        <is>
          <t>16</t>
        </is>
      </c>
      <c r="H6376" t="inlineStr">
        <is>
          <t>0</t>
        </is>
      </c>
      <c r="I6376" t="inlineStr">
        <is>
          <t>24¹⁶</t>
        </is>
      </c>
      <c r="J6376" t="n">
        <v>16</v>
      </c>
      <c r="K6376" t="inlineStr">
        <is>
          <t>4⁸, 8⁸</t>
        </is>
      </c>
      <c r="L6376" t="inlineStr">
        <is>
          <t>24P⁵, 24AL⁹, 24AM⁹, 24AN⁹, 24AO⁹, 24L¹¹, 24M¹¹</t>
        </is>
      </c>
      <c r="M6376" t="inlineStr"/>
      <c r="N6376" t="inlineStr">
        <is>
          <t>24AO⁹, 24L¹¹, 24S⁴, 8A⁰, 1A⁰, 24A¹, 12Q¹, 3C⁰, 8M⁰, 3A⁰, 24G², 24T⁴, 24P⁵, 24AM⁹, 12G¹, 24AL⁹, 6B⁰, 24D³, 24AN⁹, 24O⁵, 12F⁰, 24B¹, 24M¹¹, 24F¹, 24E³, 12A⁰, 8F⁰, 24K², 6E⁰, 4A⁰, 24AB³, 24H²</t>
        </is>
      </c>
      <c r="O6376" t="inlineStr"/>
    </row>
    <row r="6377">
      <c r="A6377">
        <f>HYPERLINK("https://mathstats.uncg.edu/sites/pauli/congruence/csg21.html#group26A21", "26A²¹")</f>
        <v/>
      </c>
      <c r="B6377" t="n">
        <v>21</v>
      </c>
      <c r="C6377" t="inlineStr"/>
      <c r="D6377" t="inlineStr">
        <is>
          <t>312</t>
        </is>
      </c>
      <c r="E6377" t="inlineStr">
        <is>
          <t>1</t>
        </is>
      </c>
      <c r="F6377" t="inlineStr">
        <is>
          <t>78</t>
        </is>
      </c>
      <c r="G6377" t="inlineStr">
        <is>
          <t>0</t>
        </is>
      </c>
      <c r="H6377" t="inlineStr">
        <is>
          <t>0</t>
        </is>
      </c>
      <c r="I6377" t="inlineStr">
        <is>
          <t>26¹²</t>
        </is>
      </c>
      <c r="J6377" t="n">
        <v>12</v>
      </c>
      <c r="K6377" t="inlineStr">
        <is>
          <t>6¹, 12⁶</t>
        </is>
      </c>
      <c r="L6377" t="inlineStr">
        <is>
          <t>13A⁸, 26A⁸, 26A¹¹</t>
        </is>
      </c>
      <c r="M6377" t="inlineStr"/>
      <c r="N6377" t="inlineStr">
        <is>
          <t>13A⁸, 13A³, 2A⁰, 26A⁸, 26A¹¹, 1A⁰</t>
        </is>
      </c>
      <c r="O6377" t="inlineStr"/>
    </row>
    <row r="6378">
      <c r="A6378">
        <f>HYPERLINK("https://mathstats.uncg.edu/sites/pauli/congruence/csg21.html#group28A21", "28A²¹")</f>
        <v/>
      </c>
      <c r="B6378" t="n">
        <v>21</v>
      </c>
      <c r="C6378" t="inlineStr"/>
      <c r="D6378" t="inlineStr">
        <is>
          <t>336</t>
        </is>
      </c>
      <c r="E6378" t="inlineStr">
        <is>
          <t>1</t>
        </is>
      </c>
      <c r="F6378" t="inlineStr">
        <is>
          <t>42</t>
        </is>
      </c>
      <c r="G6378" t="inlineStr">
        <is>
          <t>8</t>
        </is>
      </c>
      <c r="H6378" t="inlineStr">
        <is>
          <t>0</t>
        </is>
      </c>
      <c r="I6378" t="inlineStr">
        <is>
          <t>28¹²</t>
        </is>
      </c>
      <c r="J6378" t="n">
        <v>12</v>
      </c>
      <c r="K6378" t="inlineStr">
        <is>
          <t>6¹, 12³</t>
        </is>
      </c>
      <c r="L6378" t="inlineStr">
        <is>
          <t>28F⁵, 28G⁵, 14B⁷</t>
        </is>
      </c>
      <c r="M6378" t="inlineStr"/>
      <c r="N6378" t="inlineStr">
        <is>
          <t>28F⁵, 14A⁰, 14B², 14B⁷, 28G⁵, 7D⁰, 7G⁰, 14G¹, 7C¹, 1A⁰, 7C⁰, 7A¹, 7F⁰, 14F³, 14E¹, 7A⁰</t>
        </is>
      </c>
      <c r="O6378" t="inlineStr"/>
    </row>
    <row r="6379">
      <c r="A6379">
        <f>HYPERLINK("https://mathstats.uncg.edu/sites/pauli/congruence/csg21.html#group28B21", "28B²¹")</f>
        <v/>
      </c>
      <c r="B6379" t="n">
        <v>21</v>
      </c>
      <c r="C6379" t="inlineStr"/>
      <c r="D6379" t="inlineStr">
        <is>
          <t>336</t>
        </is>
      </c>
      <c r="E6379" t="inlineStr">
        <is>
          <t>1</t>
        </is>
      </c>
      <c r="F6379" t="inlineStr">
        <is>
          <t>84</t>
        </is>
      </c>
      <c r="G6379" t="inlineStr">
        <is>
          <t>0</t>
        </is>
      </c>
      <c r="H6379" t="inlineStr">
        <is>
          <t>0</t>
        </is>
      </c>
      <c r="I6379" t="inlineStr">
        <is>
          <t>14⁸, 28⁸</t>
        </is>
      </c>
      <c r="J6379" t="n">
        <v>16</v>
      </c>
      <c r="K6379" t="inlineStr">
        <is>
          <t>1³, 3³, 6¹²</t>
        </is>
      </c>
      <c r="L6379" t="inlineStr">
        <is>
          <t>28A⁶, 14D⁷, 28A⁹, 28A¹¹</t>
        </is>
      </c>
      <c r="M6379" t="inlineStr"/>
      <c r="N6379" t="inlineStr">
        <is>
          <t>14A⁰, 14B¹, 14C², 28A³, 28A⁹, 14D⁷, 2B⁰, 14G¹, 4B⁰, 1A⁰, 14D³, 28A¹¹, 28A⁶, 7F⁰, 28B³, 7A⁰</t>
        </is>
      </c>
      <c r="O6379" t="inlineStr"/>
    </row>
    <row r="6380">
      <c r="A6380">
        <f>HYPERLINK("https://mathstats.uncg.edu/sites/pauli/congruence/csg21.html#group28C21", "28C²¹")</f>
        <v/>
      </c>
      <c r="B6380" t="n">
        <v>21</v>
      </c>
      <c r="C6380" t="inlineStr"/>
      <c r="D6380" t="inlineStr">
        <is>
          <t>336</t>
        </is>
      </c>
      <c r="E6380" t="inlineStr">
        <is>
          <t>1</t>
        </is>
      </c>
      <c r="F6380" t="inlineStr">
        <is>
          <t>84</t>
        </is>
      </c>
      <c r="G6380" t="inlineStr">
        <is>
          <t>0</t>
        </is>
      </c>
      <c r="H6380" t="inlineStr">
        <is>
          <t>0</t>
        </is>
      </c>
      <c r="I6380" t="inlineStr">
        <is>
          <t>14⁸, 28⁸</t>
        </is>
      </c>
      <c r="J6380" t="n">
        <v>16</v>
      </c>
      <c r="K6380" t="inlineStr">
        <is>
          <t>1³, 3³, 6¹²</t>
        </is>
      </c>
      <c r="L6380" t="inlineStr">
        <is>
          <t>28B⁶, 28E⁷, 14B⁹, 28A¹¹</t>
        </is>
      </c>
      <c r="M6380" t="inlineStr"/>
      <c r="N6380" t="inlineStr">
        <is>
          <t>2A⁰, 28E⁷, 28B⁶, 14B¹, 14B³, 14A¹, 2B⁰, 1A⁰, 14D³, 28A¹¹, 14C³, 14B⁹, 7F⁰, 28B³, 2C⁰, 28B², 7A⁰</t>
        </is>
      </c>
      <c r="O6380" t="inlineStr"/>
    </row>
    <row r="6381">
      <c r="A6381">
        <f>HYPERLINK("https://mathstats.uncg.edu/sites/pauli/congruence/csg21.html#group28D21", "28D²¹")</f>
        <v/>
      </c>
      <c r="B6381" t="n">
        <v>21</v>
      </c>
      <c r="C6381" t="inlineStr"/>
      <c r="D6381" t="inlineStr">
        <is>
          <t>336</t>
        </is>
      </c>
      <c r="E6381" t="inlineStr">
        <is>
          <t>1</t>
        </is>
      </c>
      <c r="F6381" t="inlineStr">
        <is>
          <t>84</t>
        </is>
      </c>
      <c r="G6381" t="inlineStr">
        <is>
          <t>0</t>
        </is>
      </c>
      <c r="H6381" t="inlineStr">
        <is>
          <t>0</t>
        </is>
      </c>
      <c r="I6381" t="inlineStr">
        <is>
          <t>14⁸, 28⁸</t>
        </is>
      </c>
      <c r="J6381" t="n">
        <v>16</v>
      </c>
      <c r="K6381" t="inlineStr">
        <is>
          <t>1³, 3³, 6¹²</t>
        </is>
      </c>
      <c r="L6381" t="inlineStr">
        <is>
          <t>28C⁶, 14B⁹, 28A⁹, 28B⁹</t>
        </is>
      </c>
      <c r="M6381" t="inlineStr"/>
      <c r="N6381" t="inlineStr">
        <is>
          <t>2A⁰, 14B¹, 28B⁹, 14B³, 4C⁰, 14A¹, 28A⁹, 28A³, 2B⁰, 4E⁰, 4B⁰, 1A⁰, 14D³, 28C², 14C³, 14B⁹, 7F⁰, 28C⁶, 2C⁰, 7A⁰</t>
        </is>
      </c>
      <c r="O6381" t="inlineStr"/>
    </row>
    <row r="6382">
      <c r="A6382">
        <f>HYPERLINK("https://mathstats.uncg.edu/sites/pauli/congruence/csg21.html#group28E21", "28E²¹")</f>
        <v/>
      </c>
      <c r="B6382" t="n">
        <v>21</v>
      </c>
      <c r="C6382" t="inlineStr"/>
      <c r="D6382" t="inlineStr">
        <is>
          <t>336</t>
        </is>
      </c>
      <c r="E6382" t="inlineStr">
        <is>
          <t>1</t>
        </is>
      </c>
      <c r="F6382" t="inlineStr">
        <is>
          <t>84</t>
        </is>
      </c>
      <c r="G6382" t="inlineStr">
        <is>
          <t>0</t>
        </is>
      </c>
      <c r="H6382" t="inlineStr">
        <is>
          <t>0</t>
        </is>
      </c>
      <c r="I6382" t="inlineStr">
        <is>
          <t>14⁸, 28⁸</t>
        </is>
      </c>
      <c r="J6382" t="n">
        <v>16</v>
      </c>
      <c r="K6382" t="inlineStr">
        <is>
          <t>1³, 3³, 6¹²</t>
        </is>
      </c>
      <c r="L6382" t="inlineStr">
        <is>
          <t>28C³, 28B⁵, 14C⁷, 28B⁹, 28A¹¹</t>
        </is>
      </c>
      <c r="M6382" t="inlineStr"/>
      <c r="N6382" t="inlineStr">
        <is>
          <t>14B¹, 28B⁹, 14C⁷, 4C⁰, 2B⁰, 28B⁵, 1A⁰, 14D³, 28C², 28A¹¹, 14A², 7B⁰, 7C⁰, 14C¹, 7F⁰, 28B³, 28C³, 7B¹, 7A⁰</t>
        </is>
      </c>
      <c r="O6382" t="inlineStr"/>
    </row>
    <row r="6383">
      <c r="A6383">
        <f>HYPERLINK("https://mathstats.uncg.edu/sites/pauli/congruence/csg21.html#group28F21", "28F²¹")</f>
        <v/>
      </c>
      <c r="B6383" t="n">
        <v>21</v>
      </c>
      <c r="C6383" t="inlineStr"/>
      <c r="D6383" t="inlineStr">
        <is>
          <t>336</t>
        </is>
      </c>
      <c r="E6383" t="inlineStr">
        <is>
          <t>1</t>
        </is>
      </c>
      <c r="F6383" t="inlineStr">
        <is>
          <t>84</t>
        </is>
      </c>
      <c r="G6383" t="inlineStr">
        <is>
          <t>8</t>
        </is>
      </c>
      <c r="H6383" t="inlineStr">
        <is>
          <t>0</t>
        </is>
      </c>
      <c r="I6383" t="inlineStr">
        <is>
          <t>28¹²</t>
        </is>
      </c>
      <c r="J6383" t="n">
        <v>12</v>
      </c>
      <c r="K6383" t="inlineStr">
        <is>
          <t>6², 12⁶</t>
        </is>
      </c>
      <c r="L6383" t="inlineStr">
        <is>
          <t>7C¹, 28H⁶, 28C⁹, 28B¹¹</t>
        </is>
      </c>
      <c r="M6383" t="inlineStr"/>
      <c r="N6383" t="inlineStr">
        <is>
          <t>28D³, 28H⁶, 7D⁰, 4A⁰, 7C⁰, 7A¹, 7F⁰, 7G⁰, 7C¹, 28B⁴, 28A¹, 1A⁰, 28C⁹, 28B¹¹, 7A⁰</t>
        </is>
      </c>
      <c r="O6383" t="inlineStr"/>
    </row>
    <row r="6384">
      <c r="A6384">
        <f>HYPERLINK("https://mathstats.uncg.edu/sites/pauli/congruence/csg21.html#group28G21", "28G²¹")</f>
        <v/>
      </c>
      <c r="B6384" t="n">
        <v>21</v>
      </c>
      <c r="C6384" t="inlineStr"/>
      <c r="D6384" t="inlineStr">
        <is>
          <t>336</t>
        </is>
      </c>
      <c r="E6384" t="inlineStr">
        <is>
          <t>1</t>
        </is>
      </c>
      <c r="F6384" t="inlineStr">
        <is>
          <t>84</t>
        </is>
      </c>
      <c r="G6384" t="inlineStr">
        <is>
          <t>8</t>
        </is>
      </c>
      <c r="H6384" t="inlineStr">
        <is>
          <t>0</t>
        </is>
      </c>
      <c r="I6384" t="inlineStr">
        <is>
          <t>28¹²</t>
        </is>
      </c>
      <c r="J6384" t="n">
        <v>12</v>
      </c>
      <c r="K6384" t="inlineStr">
        <is>
          <t>2³, 6³, 12¹²</t>
        </is>
      </c>
      <c r="L6384" t="inlineStr">
        <is>
          <t>28F⁵, 14D⁷</t>
        </is>
      </c>
      <c r="M6384" t="inlineStr"/>
      <c r="N6384" t="inlineStr">
        <is>
          <t>28F⁵, 14A⁰, 14B¹, 14C², 14D⁷, 2B⁰, 14G¹, 1A⁰, 14D³, 7F⁰, 7A⁰</t>
        </is>
      </c>
      <c r="O6384" t="inlineStr"/>
    </row>
    <row r="6385">
      <c r="A6385">
        <f>HYPERLINK("https://mathstats.uncg.edu/sites/pauli/congruence/csg21.html#group28H21", "28H²¹")</f>
        <v/>
      </c>
      <c r="B6385" t="n">
        <v>21</v>
      </c>
      <c r="C6385" t="inlineStr"/>
      <c r="D6385" t="inlineStr">
        <is>
          <t>336</t>
        </is>
      </c>
      <c r="E6385" t="inlineStr">
        <is>
          <t>1</t>
        </is>
      </c>
      <c r="F6385" t="inlineStr">
        <is>
          <t>84</t>
        </is>
      </c>
      <c r="G6385" t="inlineStr">
        <is>
          <t>8</t>
        </is>
      </c>
      <c r="H6385" t="inlineStr">
        <is>
          <t>0</t>
        </is>
      </c>
      <c r="I6385" t="inlineStr">
        <is>
          <t>28¹²</t>
        </is>
      </c>
      <c r="J6385" t="n">
        <v>12</v>
      </c>
      <c r="K6385" t="inlineStr">
        <is>
          <t>2³, 6³, 12¹²</t>
        </is>
      </c>
      <c r="L6385" t="inlineStr">
        <is>
          <t>28G⁵, 14D⁷</t>
        </is>
      </c>
      <c r="M6385" t="inlineStr"/>
      <c r="N6385" t="inlineStr">
        <is>
          <t>14A⁰, 28G⁵, 14B¹, 14C², 14D⁷, 2B⁰, 14G¹, 1A⁰, 14D³, 7F⁰, 7A⁰</t>
        </is>
      </c>
      <c r="O6385" t="inlineStr"/>
    </row>
    <row r="6386">
      <c r="A6386">
        <f>HYPERLINK("https://mathstats.uncg.edu/sites/pauli/congruence/csg21.html#group28I21", "28I²¹")</f>
        <v/>
      </c>
      <c r="B6386" t="n">
        <v>21</v>
      </c>
      <c r="C6386" t="inlineStr"/>
      <c r="D6386" t="inlineStr">
        <is>
          <t>336</t>
        </is>
      </c>
      <c r="E6386" t="inlineStr">
        <is>
          <t>1</t>
        </is>
      </c>
      <c r="F6386" t="inlineStr">
        <is>
          <t>168</t>
        </is>
      </c>
      <c r="G6386" t="inlineStr">
        <is>
          <t>8</t>
        </is>
      </c>
      <c r="H6386" t="inlineStr">
        <is>
          <t>0</t>
        </is>
      </c>
      <c r="I6386" t="inlineStr">
        <is>
          <t>28¹²</t>
        </is>
      </c>
      <c r="J6386" t="n">
        <v>12</v>
      </c>
      <c r="K6386" t="inlineStr">
        <is>
          <t>1², 2², 3², 6¹⁰, 12⁸</t>
        </is>
      </c>
      <c r="L6386" t="inlineStr">
        <is>
          <t>28C⁵, 28B⁹</t>
        </is>
      </c>
      <c r="M6386" t="inlineStr"/>
      <c r="N6386" t="inlineStr">
        <is>
          <t>28C², 14B¹, 28B⁹, 4C⁰, 7F⁰, 28C⁵, 2B⁰, 1A⁰, 7A⁰, 14D³</t>
        </is>
      </c>
      <c r="O6386" t="inlineStr"/>
    </row>
    <row r="6387">
      <c r="A6387">
        <f>HYPERLINK("https://mathstats.uncg.edu/sites/pauli/congruence/csg21.html#group28J21", "28J²¹")</f>
        <v/>
      </c>
      <c r="B6387" t="n">
        <v>21</v>
      </c>
      <c r="C6387" t="inlineStr"/>
      <c r="D6387" t="inlineStr">
        <is>
          <t>336</t>
        </is>
      </c>
      <c r="E6387" t="inlineStr">
        <is>
          <t>1</t>
        </is>
      </c>
      <c r="F6387" t="inlineStr">
        <is>
          <t>168</t>
        </is>
      </c>
      <c r="G6387" t="inlineStr">
        <is>
          <t>8</t>
        </is>
      </c>
      <c r="H6387" t="inlineStr">
        <is>
          <t>0</t>
        </is>
      </c>
      <c r="I6387" t="inlineStr">
        <is>
          <t>28¹²</t>
        </is>
      </c>
      <c r="J6387" t="n">
        <v>12</v>
      </c>
      <c r="K6387" t="inlineStr">
        <is>
          <t>1², 2², 3², 6¹⁰, 12⁸</t>
        </is>
      </c>
      <c r="L6387" t="inlineStr">
        <is>
          <t>28D⁵, 28H⁶, 28B⁹</t>
        </is>
      </c>
      <c r="M6387" t="inlineStr"/>
      <c r="N6387" t="inlineStr">
        <is>
          <t>28C², 28H⁶, 14B¹, 28B⁹, 4A⁰, 28D⁵, 4C⁰, 7F⁰, 2B⁰, 4F⁰, 28A¹, 1A⁰, 7A⁰, 14D³</t>
        </is>
      </c>
      <c r="O6387" t="inlineStr"/>
    </row>
    <row r="6388">
      <c r="A6388">
        <f>HYPERLINK("https://mathstats.uncg.edu/sites/pauli/congruence/csg21.html#group28K21", "28K²¹")</f>
        <v/>
      </c>
      <c r="B6388" t="n">
        <v>21</v>
      </c>
      <c r="C6388" t="inlineStr"/>
      <c r="D6388" t="inlineStr">
        <is>
          <t>336</t>
        </is>
      </c>
      <c r="E6388" t="inlineStr">
        <is>
          <t>2</t>
        </is>
      </c>
      <c r="F6388" t="inlineStr">
        <is>
          <t>56</t>
        </is>
      </c>
      <c r="G6388" t="inlineStr">
        <is>
          <t>0</t>
        </is>
      </c>
      <c r="H6388" t="inlineStr">
        <is>
          <t>6</t>
        </is>
      </c>
      <c r="I6388" t="inlineStr">
        <is>
          <t>28¹²</t>
        </is>
      </c>
      <c r="J6388" t="n">
        <v>12</v>
      </c>
      <c r="K6388" t="inlineStr">
        <is>
          <t>4⁴, 12⁸</t>
        </is>
      </c>
      <c r="L6388" t="inlineStr">
        <is>
          <t>14E³, 28A⁷, 28E⁹</t>
        </is>
      </c>
      <c r="M6388" t="inlineStr"/>
      <c r="N6388" t="inlineStr">
        <is>
          <t>2A⁰, 14A⁰, 28E⁹, 28D³, 28E², 14A¹, 14D¹, 1A⁰, 14F¹, 14E³, 4A⁰, 28A⁴, 7C⁰, 4D⁰, 28A⁷, 28A¹, 7A⁰</t>
        </is>
      </c>
      <c r="O6388" t="inlineStr"/>
    </row>
    <row r="6389">
      <c r="A6389">
        <f>HYPERLINK("https://mathstats.uncg.edu/sites/pauli/congruence/csg21.html#group28L21", "28L²¹")</f>
        <v/>
      </c>
      <c r="B6389" t="n">
        <v>21</v>
      </c>
      <c r="C6389" t="inlineStr"/>
      <c r="D6389" t="inlineStr">
        <is>
          <t>336</t>
        </is>
      </c>
      <c r="E6389" t="inlineStr">
        <is>
          <t>2</t>
        </is>
      </c>
      <c r="F6389" t="inlineStr">
        <is>
          <t>168</t>
        </is>
      </c>
      <c r="G6389" t="inlineStr">
        <is>
          <t>0</t>
        </is>
      </c>
      <c r="H6389" t="inlineStr">
        <is>
          <t>6</t>
        </is>
      </c>
      <c r="I6389" t="inlineStr">
        <is>
          <t>28¹²</t>
        </is>
      </c>
      <c r="J6389" t="n">
        <v>12</v>
      </c>
      <c r="K6389" t="inlineStr">
        <is>
          <t>12²⁸</t>
        </is>
      </c>
      <c r="L6389" t="inlineStr">
        <is>
          <t>14E³, 28D⁹</t>
        </is>
      </c>
      <c r="M6389" t="inlineStr"/>
      <c r="N6389" t="inlineStr">
        <is>
          <t>2A⁰, 14A⁰, 14D¹, 28D⁹, 14F¹, 14E³, 7C⁰, 14A¹, 1A⁰, 7A⁰</t>
        </is>
      </c>
      <c r="O6389" t="inlineStr"/>
    </row>
    <row r="6390">
      <c r="A6390">
        <f>HYPERLINK("https://mathstats.uncg.edu/sites/pauli/congruence/csg21.html#group28M21", "28M²¹")</f>
        <v/>
      </c>
      <c r="B6390" t="n">
        <v>21</v>
      </c>
      <c r="C6390" t="inlineStr"/>
      <c r="D6390" t="inlineStr">
        <is>
          <t>384</t>
        </is>
      </c>
      <c r="E6390" t="inlineStr">
        <is>
          <t>1</t>
        </is>
      </c>
      <c r="F6390" t="inlineStr">
        <is>
          <t>8</t>
        </is>
      </c>
      <c r="G6390" t="inlineStr">
        <is>
          <t>0</t>
        </is>
      </c>
      <c r="H6390" t="inlineStr">
        <is>
          <t>0</t>
        </is>
      </c>
      <c r="I6390" t="inlineStr">
        <is>
          <t>4¹², 28¹²</t>
        </is>
      </c>
      <c r="J6390" t="n">
        <v>24</v>
      </c>
      <c r="K6390" t="inlineStr">
        <is>
          <t>1², 6¹</t>
        </is>
      </c>
      <c r="L6390" t="inlineStr">
        <is>
          <t>28I⁵, 28F⁹, 28E¹¹, 28F¹¹</t>
        </is>
      </c>
      <c r="M6390" t="inlineStr"/>
      <c r="N6390" t="inlineStr">
        <is>
          <t>2A⁰, 28A⁰, 28F¹¹, 28D², 4C⁰, 4G⁰, 2B⁰, 28I⁵, 4E⁰, 14E², 4B⁰, 28E⁶, 1A⁰, 28E³, 28D⁴, 28G⁶, 28A², 28E⁴, 28E¹¹, 28E⁵, 28F⁹, 7B⁰, 4A⁰, 4D⁰, 14C¹, 14B⁰, 4F⁰, 28C³, 2C⁰</t>
        </is>
      </c>
      <c r="O6390" t="inlineStr"/>
    </row>
    <row r="6391">
      <c r="A6391">
        <f>HYPERLINK("https://mathstats.uncg.edu/sites/pauli/congruence/csg21.html#group28N21", "28N²¹")</f>
        <v/>
      </c>
      <c r="B6391" t="n">
        <v>21</v>
      </c>
      <c r="C6391" t="inlineStr"/>
      <c r="D6391" t="inlineStr">
        <is>
          <t>384</t>
        </is>
      </c>
      <c r="E6391" t="inlineStr">
        <is>
          <t>1</t>
        </is>
      </c>
      <c r="F6391" t="inlineStr">
        <is>
          <t>32</t>
        </is>
      </c>
      <c r="G6391" t="inlineStr">
        <is>
          <t>0</t>
        </is>
      </c>
      <c r="H6391" t="inlineStr">
        <is>
          <t>0</t>
        </is>
      </c>
      <c r="I6391" t="inlineStr">
        <is>
          <t>4¹², 28¹²</t>
        </is>
      </c>
      <c r="J6391" t="n">
        <v>24</v>
      </c>
      <c r="K6391" t="inlineStr">
        <is>
          <t>2⁴, 12²</t>
        </is>
      </c>
      <c r="L6391" t="inlineStr">
        <is>
          <t>28I⁵, 28D⁶, 28G¹¹</t>
        </is>
      </c>
      <c r="M6391" t="inlineStr"/>
      <c r="N6391" t="inlineStr">
        <is>
          <t>2A⁰, 28F⁶, 28A⁰, 4A⁰, 7B⁰, 4D⁰, 28D⁶, 14D², 14B⁰, 7E⁰, 28I⁵, 28E³, 1A⁰, 28G¹¹, 28A²</t>
        </is>
      </c>
      <c r="O6391" t="inlineStr"/>
    </row>
    <row r="6392">
      <c r="A6392">
        <f>HYPERLINK("https://mathstats.uncg.edu/sites/pauli/congruence/csg21.html#group30A21", "30A²¹")</f>
        <v/>
      </c>
      <c r="B6392" t="n">
        <v>21</v>
      </c>
      <c r="C6392" t="inlineStr"/>
      <c r="D6392" t="inlineStr">
        <is>
          <t>360</t>
        </is>
      </c>
      <c r="E6392" t="inlineStr">
        <is>
          <t>1</t>
        </is>
      </c>
      <c r="F6392" t="inlineStr">
        <is>
          <t>45</t>
        </is>
      </c>
      <c r="G6392" t="inlineStr">
        <is>
          <t>16</t>
        </is>
      </c>
      <c r="H6392" t="inlineStr">
        <is>
          <t>0</t>
        </is>
      </c>
      <c r="I6392" t="inlineStr">
        <is>
          <t>30¹²</t>
        </is>
      </c>
      <c r="J6392" t="n">
        <v>12</v>
      </c>
      <c r="K6392" t="inlineStr">
        <is>
          <t>1¹, 2², 4⁴, 8³</t>
        </is>
      </c>
      <c r="L6392" t="inlineStr">
        <is>
          <t>15A⁸, 30O⁹, 30A¹⁰, 30I¹⁰, 30A¹¹</t>
        </is>
      </c>
      <c r="M6392" t="inlineStr"/>
      <c r="N6392" t="inlineStr">
        <is>
          <t>15A⁸, 30A¹¹, 5A⁰, 6B⁰, 30A¹⁰, 30I¹⁰, 15F¹, 30A⁴, 15H³, 10E¹, 1A⁰, 30O⁹, 15C⁴, 30F⁴, 30A², 30L⁵, 30E⁴, 15A², 6E⁰, 5E⁰, 3C⁰, 3A⁰, 15A¹, 15A⁰</t>
        </is>
      </c>
      <c r="O6392" t="inlineStr"/>
    </row>
    <row r="6393">
      <c r="A6393">
        <f>HYPERLINK("https://mathstats.uncg.edu/sites/pauli/congruence/csg21.html#group30B21", "30B²¹")</f>
        <v/>
      </c>
      <c r="B6393" t="n">
        <v>21</v>
      </c>
      <c r="C6393" t="inlineStr"/>
      <c r="D6393" t="inlineStr">
        <is>
          <t>360</t>
        </is>
      </c>
      <c r="E6393" t="inlineStr">
        <is>
          <t>1</t>
        </is>
      </c>
      <c r="F6393" t="inlineStr">
        <is>
          <t>45</t>
        </is>
      </c>
      <c r="G6393" t="inlineStr">
        <is>
          <t>16</t>
        </is>
      </c>
      <c r="H6393" t="inlineStr">
        <is>
          <t>0</t>
        </is>
      </c>
      <c r="I6393" t="inlineStr">
        <is>
          <t>30¹²</t>
        </is>
      </c>
      <c r="J6393" t="n">
        <v>12</v>
      </c>
      <c r="K6393" t="inlineStr">
        <is>
          <t>1¹, 2², 4⁴, 8³</t>
        </is>
      </c>
      <c r="L6393" t="inlineStr">
        <is>
          <t>30D¹, 30Q⁵, 15B⁸, 30O⁹, 30B¹⁰, 30D¹⁰, 30E¹⁰, 30B¹¹</t>
        </is>
      </c>
      <c r="M6393" t="inlineStr"/>
      <c r="N6393" t="inlineStr">
        <is>
          <t>30A⁰, 5A⁰, 10D⁰, 30B¹⁰, 5B⁰, 15D², 15F¹, 30H³, 1A⁰, 30O⁹, 30D¹⁰, 30D¹, 30F⁴, 30L⁵, 30E⁴, 10C², 3A⁰, 30B¹¹, 5G⁰, 15A¹, 15H³, 15C⁰, 15D⁴, 6B⁰, 30E¹⁰, 10E¹, 30F², 10B⁰, 30Q⁵, 15D¹, 15B⁰, 30A², 5E⁰, 15B⁸, 5C⁰, 30C¹, 15A⁰</t>
        </is>
      </c>
      <c r="O6393" t="inlineStr"/>
    </row>
    <row r="6394">
      <c r="A6394">
        <f>HYPERLINK("https://mathstats.uncg.edu/sites/pauli/congruence/csg21.html#group30C21", "30C²¹")</f>
        <v/>
      </c>
      <c r="B6394" t="n">
        <v>21</v>
      </c>
      <c r="C6394" t="inlineStr"/>
      <c r="D6394" t="inlineStr">
        <is>
          <t>360</t>
        </is>
      </c>
      <c r="E6394" t="inlineStr">
        <is>
          <t>1</t>
        </is>
      </c>
      <c r="F6394" t="inlineStr">
        <is>
          <t>90</t>
        </is>
      </c>
      <c r="G6394" t="inlineStr">
        <is>
          <t>8</t>
        </is>
      </c>
      <c r="H6394" t="inlineStr">
        <is>
          <t>0</t>
        </is>
      </c>
      <c r="I6394" t="inlineStr">
        <is>
          <t>15⁸, 30⁸</t>
        </is>
      </c>
      <c r="J6394" t="n">
        <v>16</v>
      </c>
      <c r="K6394" t="inlineStr">
        <is>
          <t>2³, 4⁹, 8⁶</t>
        </is>
      </c>
      <c r="L6394" t="inlineStr">
        <is>
          <t>15A⁵, 30H¹⁰, 30C¹¹</t>
        </is>
      </c>
      <c r="M6394" t="inlineStr"/>
      <c r="N6394" t="inlineStr">
        <is>
          <t>30K⁵, 30C¹¹, 15D¹, 30H¹⁰, 5C⁰, 6G⁰, 15A⁵, 3C⁰, 2B⁰, 15D², 15C³, 3A⁰, 1A⁰, 6D⁰, 10F¹</t>
        </is>
      </c>
      <c r="O6394" t="inlineStr"/>
    </row>
    <row r="6395">
      <c r="A6395">
        <f>HYPERLINK("https://mathstats.uncg.edu/sites/pauli/congruence/csg21.html#group30D21", "30D²¹")</f>
        <v/>
      </c>
      <c r="B6395" t="n">
        <v>21</v>
      </c>
      <c r="C6395" t="inlineStr"/>
      <c r="D6395" t="inlineStr">
        <is>
          <t>360</t>
        </is>
      </c>
      <c r="E6395" t="inlineStr">
        <is>
          <t>1</t>
        </is>
      </c>
      <c r="F6395" t="inlineStr">
        <is>
          <t>90</t>
        </is>
      </c>
      <c r="G6395" t="inlineStr">
        <is>
          <t>16</t>
        </is>
      </c>
      <c r="H6395" t="inlineStr">
        <is>
          <t>0</t>
        </is>
      </c>
      <c r="I6395" t="inlineStr">
        <is>
          <t>30¹²</t>
        </is>
      </c>
      <c r="J6395" t="n">
        <v>12</v>
      </c>
      <c r="K6395" t="inlineStr">
        <is>
          <t>2³, 4⁹, 8⁶</t>
        </is>
      </c>
      <c r="L6395" t="inlineStr">
        <is>
          <t>30Q⁵, 30C¹⁰, 30H¹⁰, 30D¹¹</t>
        </is>
      </c>
      <c r="M6395" t="inlineStr"/>
      <c r="N6395" t="inlineStr">
        <is>
          <t>30D¹¹, 6B⁰, 30H¹⁰, 10D⁰, 15D², 2B⁰, 30H³, 30F², 1A⁰, 30C¹⁰, 10F¹, 30K⁵, 30Q⁵, 15D¹, 10E², 6H⁰, 3A⁰, 5C⁰, 6D⁰</t>
        </is>
      </c>
      <c r="O6395" t="inlineStr"/>
    </row>
    <row r="6396">
      <c r="A6396">
        <f>HYPERLINK("https://mathstats.uncg.edu/sites/pauli/congruence/csg21.html#group30E21", "30E²¹")</f>
        <v/>
      </c>
      <c r="B6396" t="n">
        <v>21</v>
      </c>
      <c r="C6396" t="inlineStr"/>
      <c r="D6396" t="inlineStr">
        <is>
          <t>360</t>
        </is>
      </c>
      <c r="E6396" t="inlineStr">
        <is>
          <t>1</t>
        </is>
      </c>
      <c r="F6396" t="inlineStr">
        <is>
          <t>180</t>
        </is>
      </c>
      <c r="G6396" t="inlineStr">
        <is>
          <t>16</t>
        </is>
      </c>
      <c r="H6396" t="inlineStr">
        <is>
          <t>0</t>
        </is>
      </c>
      <c r="I6396" t="inlineStr">
        <is>
          <t>30¹²</t>
        </is>
      </c>
      <c r="J6396" t="n">
        <v>12</v>
      </c>
      <c r="K6396" t="inlineStr">
        <is>
          <t>4¹⁵, 8¹⁵</t>
        </is>
      </c>
      <c r="L6396" t="inlineStr">
        <is>
          <t>30Q⁵, 30G¹⁰</t>
        </is>
      </c>
      <c r="M6396" t="inlineStr"/>
      <c r="N6396" t="inlineStr">
        <is>
          <t>30Q⁵, 15D¹, 10J¹, 6B⁰, 30H³, 30F², 10D⁰, 15D², 1A⁰, 30G¹⁰, 3A⁰, 5C⁰</t>
        </is>
      </c>
      <c r="O6396" t="inlineStr"/>
    </row>
    <row r="6397">
      <c r="A6397">
        <f>HYPERLINK("https://mathstats.uncg.edu/sites/pauli/congruence/csg21.html#group30F21", "30F²¹")</f>
        <v/>
      </c>
      <c r="B6397" t="n">
        <v>21</v>
      </c>
      <c r="C6397" t="inlineStr"/>
      <c r="D6397" t="inlineStr">
        <is>
          <t>360</t>
        </is>
      </c>
      <c r="E6397" t="inlineStr">
        <is>
          <t>2</t>
        </is>
      </c>
      <c r="F6397" t="inlineStr">
        <is>
          <t>45</t>
        </is>
      </c>
      <c r="G6397" t="inlineStr">
        <is>
          <t>16</t>
        </is>
      </c>
      <c r="H6397" t="inlineStr">
        <is>
          <t>0</t>
        </is>
      </c>
      <c r="I6397" t="inlineStr">
        <is>
          <t>30¹²</t>
        </is>
      </c>
      <c r="J6397" t="n">
        <v>12</v>
      </c>
      <c r="K6397" t="inlineStr">
        <is>
          <t>2¹, 4⁴, 8⁹</t>
        </is>
      </c>
      <c r="L6397" t="inlineStr">
        <is>
          <t>15C⁷, 30O⁹, 30D¹⁰, 30E¹⁰, 30I¹⁰, 30E¹¹</t>
        </is>
      </c>
      <c r="M6397" t="inlineStr"/>
      <c r="N6397" t="inlineStr">
        <is>
          <t>15C⁷, 15E², 5A⁰, 6B⁰, 30I¹⁰, 30E¹⁰, 15F¹, 30E¹¹, 15H³, 10E¹, 1A⁰, 30O⁹, 30D¹⁰, 30F⁴, 30A², 30L⁵, 30E⁴, 5E⁰, 3A⁰, 15A¹, 15A⁰</t>
        </is>
      </c>
      <c r="O6397" t="inlineStr"/>
    </row>
    <row r="6398">
      <c r="A6398">
        <f>HYPERLINK("https://mathstats.uncg.edu/sites/pauli/congruence/csg21.html#group30G21", "30G²¹")</f>
        <v/>
      </c>
      <c r="B6398" t="n">
        <v>21</v>
      </c>
      <c r="C6398" t="inlineStr"/>
      <c r="D6398" t="inlineStr">
        <is>
          <t>432</t>
        </is>
      </c>
      <c r="E6398" t="inlineStr">
        <is>
          <t>1</t>
        </is>
      </c>
      <c r="F6398" t="inlineStr">
        <is>
          <t>18</t>
        </is>
      </c>
      <c r="G6398" t="inlineStr">
        <is>
          <t>0</t>
        </is>
      </c>
      <c r="H6398" t="inlineStr">
        <is>
          <t>0</t>
        </is>
      </c>
      <c r="I6398" t="inlineStr">
        <is>
          <t>3⁸, 6⁸, 15⁸, 30⁸</t>
        </is>
      </c>
      <c r="J6398" t="n">
        <v>32</v>
      </c>
      <c r="K6398" t="inlineStr">
        <is>
          <t>1⁶, 4³</t>
        </is>
      </c>
      <c r="L6398" t="inlineStr">
        <is>
          <t>15C⁵, 30S⁵, 30Q⁹, 30G¹¹, 30H¹¹</t>
        </is>
      </c>
      <c r="M6398" t="inlineStr"/>
      <c r="N6398" t="inlineStr">
        <is>
          <t>5B⁰, 6G⁰, 5D⁰, 30C⁶, 2B⁰, 30O⁵, 30H¹¹, 15H¹, 1A⁰, 15B², 10C⁰, 3C⁰, 30S⁵, 6K⁰, 3A⁰, 6F⁰, 15C⁰, 3B⁰, 30G¹¹, 15G¹, 15F³, 10F⁰, 15C¹, 15B⁰, 15C⁵, 30E², 15E³, 30Q⁹, 30I⁴, 30K³, 3D⁰, 6D⁰, 15E¹</t>
        </is>
      </c>
      <c r="O6398" t="inlineStr"/>
    </row>
    <row r="6399">
      <c r="A6399">
        <f>HYPERLINK("https://mathstats.uncg.edu/sites/pauli/congruence/csg21.html#group30H21", "30H²¹")</f>
        <v/>
      </c>
      <c r="B6399" t="n">
        <v>21</v>
      </c>
      <c r="C6399" t="inlineStr"/>
      <c r="D6399" t="inlineStr">
        <is>
          <t>432</t>
        </is>
      </c>
      <c r="E6399" t="inlineStr">
        <is>
          <t>1</t>
        </is>
      </c>
      <c r="F6399" t="inlineStr">
        <is>
          <t>54</t>
        </is>
      </c>
      <c r="G6399" t="inlineStr">
        <is>
          <t>16</t>
        </is>
      </c>
      <c r="H6399" t="inlineStr">
        <is>
          <t>0</t>
        </is>
      </c>
      <c r="I6399" t="inlineStr">
        <is>
          <t>6¹², 30¹²</t>
        </is>
      </c>
      <c r="J6399" t="n">
        <v>24</v>
      </c>
      <c r="K6399" t="inlineStr">
        <is>
          <t>1⁶, 2⁶, 4³, 8³</t>
        </is>
      </c>
      <c r="L6399" t="inlineStr">
        <is>
          <t>30R⁵, 30Q⁹, 30R⁹, 30I¹¹, 30J¹¹, 30K¹¹</t>
        </is>
      </c>
      <c r="M6399" t="inlineStr"/>
      <c r="N6399" t="inlineStr">
        <is>
          <t>30J¹¹, 30A⁰, 10G⁰, 30J³, 30R⁹, 5B⁰, 6G⁰, 2B⁰, 30O⁵, 15H¹, 1A⁰, 30P⁵, 30D¹, 30D⁶, 30K¹¹, 10C⁰, 3C⁰, 6H⁰, 3A⁰, 30I¹¹, 15C⁰, 30L³, 6B⁰, 30I³, 30C¹, 10B⁰, 15B⁰, 30R⁵, 30E², 6E⁰, 6L⁰, 30Q⁹, 30I⁴, 30H⁴, 6D⁰, 15E¹, 30C²</t>
        </is>
      </c>
      <c r="O6399" t="inlineStr"/>
    </row>
    <row r="6400">
      <c r="A6400">
        <f>HYPERLINK("https://mathstats.uncg.edu/sites/pauli/congruence/csg21.html#group32A21", "32A²¹")</f>
        <v/>
      </c>
      <c r="B6400" t="n">
        <v>21</v>
      </c>
      <c r="C6400" t="inlineStr"/>
      <c r="D6400" t="inlineStr">
        <is>
          <t>384</t>
        </is>
      </c>
      <c r="E6400" t="inlineStr">
        <is>
          <t>1</t>
        </is>
      </c>
      <c r="F6400" t="inlineStr">
        <is>
          <t>3</t>
        </is>
      </c>
      <c r="G6400" t="inlineStr">
        <is>
          <t>0</t>
        </is>
      </c>
      <c r="H6400" t="inlineStr">
        <is>
          <t>0</t>
        </is>
      </c>
      <c r="I6400" t="inlineStr">
        <is>
          <t>8¹⁶, 32⁸</t>
        </is>
      </c>
      <c r="J6400" t="n">
        <v>24</v>
      </c>
      <c r="K6400" t="inlineStr">
        <is>
          <t>1³</t>
        </is>
      </c>
      <c r="L6400" t="inlineStr">
        <is>
          <t>16C⁹, 32A⁹, 32K⁹</t>
        </is>
      </c>
      <c r="M6400" t="inlineStr"/>
      <c r="N6400" t="inlineStr">
        <is>
          <t>8A⁰, 2B⁰, 4B⁰, 8K⁰, 1A⁰, 8H¹, 32C³, 16A², 16B⁰, 4D⁰, 16C⁰, 16C⁹, 8N⁰, 8A¹, 8D⁰, 16E¹, 32A⁹, 8B², 8B⁰, 16B³, 16B¹, 8E⁰, 8D¹, 32J³, 32K⁹, 16K³, 8C¹, 4F⁰, 8J⁰, 2C⁰, 2A⁰, 8B³, 4C⁰, 16A³, 4G⁰, 8C⁰, 4E⁰, 16A¹, 8F¹, 32A¹, 8G⁰, 32A⁵, 16F¹, 16H¹, 16C³, 8B¹, 16H³, 8H⁰, 8A², 16B⁵, 4A⁰, 16E⁵</t>
        </is>
      </c>
      <c r="O6400" t="inlineStr"/>
    </row>
    <row r="6401">
      <c r="A6401">
        <f>HYPERLINK("https://mathstats.uncg.edu/sites/pauli/congruence/csg21.html#group32B21", "32B²¹")</f>
        <v/>
      </c>
      <c r="B6401" t="n">
        <v>21</v>
      </c>
      <c r="C6401" t="inlineStr"/>
      <c r="D6401" t="inlineStr">
        <is>
          <t>384</t>
        </is>
      </c>
      <c r="E6401" t="inlineStr">
        <is>
          <t>1</t>
        </is>
      </c>
      <c r="F6401" t="inlineStr">
        <is>
          <t>3</t>
        </is>
      </c>
      <c r="G6401" t="inlineStr">
        <is>
          <t>0</t>
        </is>
      </c>
      <c r="H6401" t="inlineStr">
        <is>
          <t>0</t>
        </is>
      </c>
      <c r="I6401" t="inlineStr">
        <is>
          <t>8¹⁶, 32⁸</t>
        </is>
      </c>
      <c r="J6401" t="n">
        <v>24</v>
      </c>
      <c r="K6401" t="inlineStr">
        <is>
          <t>1³</t>
        </is>
      </c>
      <c r="L6401" t="inlineStr">
        <is>
          <t>16C⁹, 32B⁹, 32L⁹</t>
        </is>
      </c>
      <c r="M6401" t="inlineStr"/>
      <c r="N6401" t="inlineStr">
        <is>
          <t>2A⁰, 8B³, 4C⁰, 8A⁰, 16A³, 4G⁰, 2B⁰, 4E⁰, 8C⁰, 16A¹, 4B⁰, 8F¹, 8K⁰, 1A⁰, 8H¹, 16A², 16B⁰, 16E⁵, 32B⁵, 8G⁰, 4D⁰, 16C⁰, 32A⁰, 32L⁹, 16F¹, 16H¹, 32B³, 16C⁹, 8N⁰, 8A¹, 16C³, 8D⁰, 16E¹, 8B², 8B⁰, 16B³, 16B¹, 8E⁰, 32A³, 8B¹, 32K³, 8D¹, 16H³, 8H⁰, 8A², 16K³, 16B⁵, 8C¹, 4A⁰, 32B⁹, 32A², 4F⁰, 8J⁰, 2C⁰</t>
        </is>
      </c>
      <c r="O6401" t="inlineStr"/>
    </row>
    <row r="6402">
      <c r="A6402">
        <f>HYPERLINK("https://mathstats.uncg.edu/sites/pauli/congruence/csg21.html#group32C21", "32C²¹")</f>
        <v/>
      </c>
      <c r="B6402" t="n">
        <v>21</v>
      </c>
      <c r="C6402" t="inlineStr"/>
      <c r="D6402" t="inlineStr">
        <is>
          <t>384</t>
        </is>
      </c>
      <c r="E6402" t="inlineStr">
        <is>
          <t>1</t>
        </is>
      </c>
      <c r="F6402" t="inlineStr">
        <is>
          <t>3</t>
        </is>
      </c>
      <c r="G6402" t="inlineStr">
        <is>
          <t>0</t>
        </is>
      </c>
      <c r="H6402" t="inlineStr">
        <is>
          <t>0</t>
        </is>
      </c>
      <c r="I6402" t="inlineStr">
        <is>
          <t>8¹⁶, 32⁸</t>
        </is>
      </c>
      <c r="J6402" t="n">
        <v>24</v>
      </c>
      <c r="K6402" t="inlineStr">
        <is>
          <t>1³</t>
        </is>
      </c>
      <c r="L6402" t="inlineStr">
        <is>
          <t>16M⁵, 32A¹⁰, 32A¹¹, 32B¹¹</t>
        </is>
      </c>
      <c r="M6402" t="inlineStr"/>
      <c r="N6402" t="inlineStr">
        <is>
          <t>2A⁰, 16G⁰, 16I¹, 16M⁵, 4C⁰, 4G⁰, 2B⁰, 32B¹¹, 8C⁰, 4E⁰, 4B⁰, 8F¹, 1A⁰, 8L⁰, 16J³, 8K⁰, 16H⁰, 16E⁰, 8G⁰, 32A¹⁰, 4D⁰, 8G¹, 16C⁰, 16M¹, 8P⁰, 32A¹¹, 32I⁵, 16H¹, 16D², 8N⁰, 8A¹, 16C², 8D⁰, 8K¹, 16E¹, 32H⁵, 8B⁰, 32I³, 8B¹, 8I⁰, 32A⁶, 16L², 16I³, 16A¹, 16H³, 8H⁰, 8C¹, 16G¹, 4A⁰, 16C¹, 16D⁰, 32B⁶, 4F⁰, 8J⁰, 2C⁰, 8O⁰</t>
        </is>
      </c>
      <c r="O6402" t="inlineStr"/>
    </row>
    <row r="6403">
      <c r="A6403">
        <f>HYPERLINK("https://mathstats.uncg.edu/sites/pauli/congruence/csg21.html#group32D21", "32D²¹")</f>
        <v/>
      </c>
      <c r="B6403" t="n">
        <v>21</v>
      </c>
      <c r="C6403" t="inlineStr"/>
      <c r="D6403" t="inlineStr">
        <is>
          <t>384</t>
        </is>
      </c>
      <c r="E6403" t="inlineStr">
        <is>
          <t>1</t>
        </is>
      </c>
      <c r="F6403" t="inlineStr">
        <is>
          <t>6</t>
        </is>
      </c>
      <c r="G6403" t="inlineStr">
        <is>
          <t>0</t>
        </is>
      </c>
      <c r="H6403" t="inlineStr">
        <is>
          <t>0</t>
        </is>
      </c>
      <c r="I6403" t="inlineStr">
        <is>
          <t>8¹⁶, 32⁸</t>
        </is>
      </c>
      <c r="J6403" t="n">
        <v>24</v>
      </c>
      <c r="K6403" t="inlineStr">
        <is>
          <t>1², 2²</t>
        </is>
      </c>
      <c r="L6403" t="inlineStr">
        <is>
          <t>32L⁷, 16D⁹, 32B¹⁰, 32C¹⁰, 32A¹¹, 32H¹¹</t>
        </is>
      </c>
      <c r="M6403" t="inlineStr"/>
      <c r="N6403" t="inlineStr">
        <is>
          <t>16D⁹, 2A⁰, 16G⁰, 8B³, 16I¹, 4C⁰, 8A⁰, 4G⁰, 2B⁰, 4E⁰, 8C⁰, 32D¹, 4B⁰, 8F¹, 1A⁰, 8K⁰, 8H¹, 16E², 32Q³, 16E⁰, 16B⁴, 16D¹, 16B², 8G⁰, 4D⁰, 32A¹¹, 32L⁷, 32I⁵, 16E³, 16D², 8N⁰, 16D³, 8A¹, 16C², 16H⁵, 32C⁴, 8D⁰, 8B², 8B⁰, 32H¹¹, 8E⁰, 32H⁵, 32I³, 8B¹, 32P³, 32A⁶, 16I³, 8D¹, 8H⁰, 8A², 32C¹⁰, 8C¹, 32C¹, 32B², 4A⁰, 32B¹⁰, 16C¹, 16D⁰, 16A⁵, 4F⁰, 32B⁶, 8J⁰, 2C⁰</t>
        </is>
      </c>
      <c r="O6403" t="inlineStr"/>
    </row>
    <row r="6404">
      <c r="A6404">
        <f>HYPERLINK("https://mathstats.uncg.edu/sites/pauli/congruence/csg21.html#group32E21", "32E²¹")</f>
        <v/>
      </c>
      <c r="B6404" t="n">
        <v>21</v>
      </c>
      <c r="C6404" t="inlineStr"/>
      <c r="D6404" t="inlineStr">
        <is>
          <t>384</t>
        </is>
      </c>
      <c r="E6404" t="inlineStr">
        <is>
          <t>1</t>
        </is>
      </c>
      <c r="F6404" t="inlineStr">
        <is>
          <t>6</t>
        </is>
      </c>
      <c r="G6404" t="inlineStr">
        <is>
          <t>0</t>
        </is>
      </c>
      <c r="H6404" t="inlineStr">
        <is>
          <t>0</t>
        </is>
      </c>
      <c r="I6404" t="inlineStr">
        <is>
          <t>8¹⁶, 32⁸</t>
        </is>
      </c>
      <c r="J6404" t="n">
        <v>24</v>
      </c>
      <c r="K6404" t="inlineStr">
        <is>
          <t>1², 2²</t>
        </is>
      </c>
      <c r="L6404" t="inlineStr">
        <is>
          <t>32L⁷, 16B⁹, 32M⁹, 32N⁹, 32A¹¹, 32C¹¹, 32D¹¹</t>
        </is>
      </c>
      <c r="M6404" t="inlineStr"/>
      <c r="N6404" t="inlineStr">
        <is>
          <t>2A⁰, 16G⁰, 16F⁵, 16I¹, 32M⁹, 4C⁰, 16A³, 4G⁰, 32D¹¹, 2B⁰, 8C⁰, 4E⁰, 4B⁰, 8F¹, 1A⁰, 8E¹, 32D¹, 32Q³, 16A², 16B⁰, 16E⁰, 8G⁰, 4D⁰, 16F¹, 32A¹¹, 32L⁷, 32N⁹, 32I⁵, 16D², 32C¹¹, 8A¹, 16C², 32C⁴, 16C³, 8D⁰, 8A³, 32H⁵, 8B⁰, 16B¹, 16B³, 32I³, 8B¹, 32A⁶, 16I³, 8H⁰, 16B⁵, 8F⁰, 8C¹, 16L³, 16B⁹, 32C¹, 32B², 4A⁰, 8I¹, 16C¹, 16D⁰, 32B⁶, 4F⁰, 32P³, 2C⁰</t>
        </is>
      </c>
      <c r="O6404" t="inlineStr"/>
    </row>
    <row r="6405">
      <c r="A6405">
        <f>HYPERLINK("https://mathstats.uncg.edu/sites/pauli/congruence/csg21.html#group32F21", "32F²¹")</f>
        <v/>
      </c>
      <c r="B6405" t="n">
        <v>21</v>
      </c>
      <c r="C6405" t="inlineStr"/>
      <c r="D6405" t="inlineStr">
        <is>
          <t>384</t>
        </is>
      </c>
      <c r="E6405" t="inlineStr">
        <is>
          <t>1</t>
        </is>
      </c>
      <c r="F6405" t="inlineStr">
        <is>
          <t>6</t>
        </is>
      </c>
      <c r="G6405" t="inlineStr">
        <is>
          <t>0</t>
        </is>
      </c>
      <c r="H6405" t="inlineStr">
        <is>
          <t>0</t>
        </is>
      </c>
      <c r="I6405" t="inlineStr">
        <is>
          <t>8¹⁶, 32⁸</t>
        </is>
      </c>
      <c r="J6405" t="n">
        <v>24</v>
      </c>
      <c r="K6405" t="inlineStr">
        <is>
          <t>1⁴, 2¹</t>
        </is>
      </c>
      <c r="L6405" t="inlineStr">
        <is>
          <t>16A⁹, 32B⁹, 32A⁹</t>
        </is>
      </c>
      <c r="M6405" t="inlineStr"/>
      <c r="N6405" t="inlineStr">
        <is>
          <t>2A⁰, 4C⁰, 4G⁰, 2B⁰, 8C⁰, 4E⁰, 8E¹, 4B⁰, 8F¹, 1A⁰, 16A¹, 16E², 32C³, 16D¹, 16B², 32A¹, 32B⁵, 8G⁰, 4D⁰, 16C⁰, 32A⁰, 32A⁵, 16H¹, 16E³, 32B³, 16D³, 8A¹, 8A³, 8D⁰, 16E¹, 32A⁹, 32A³, 8B⁰, 8B¹, 32K³, 32J³, 16H³, 8H⁰, 8F⁰, 8C¹, 16A⁹, 4A⁰, 8I¹, 16A⁵, 16C⁴, 32B⁹, 32A², 4F⁰, 2C⁰</t>
        </is>
      </c>
      <c r="O6405" t="inlineStr"/>
    </row>
    <row r="6406">
      <c r="A6406">
        <f>HYPERLINK("https://mathstats.uncg.edu/sites/pauli/congruence/csg21.html#group32G21", "32G²¹")</f>
        <v/>
      </c>
      <c r="B6406" t="n">
        <v>21</v>
      </c>
      <c r="C6406" t="inlineStr"/>
      <c r="D6406" t="inlineStr">
        <is>
          <t>384</t>
        </is>
      </c>
      <c r="E6406" t="inlineStr">
        <is>
          <t>1</t>
        </is>
      </c>
      <c r="F6406" t="inlineStr">
        <is>
          <t>12</t>
        </is>
      </c>
      <c r="G6406" t="inlineStr">
        <is>
          <t>0</t>
        </is>
      </c>
      <c r="H6406" t="inlineStr">
        <is>
          <t>0</t>
        </is>
      </c>
      <c r="I6406" t="inlineStr">
        <is>
          <t>8¹⁶, 32⁸</t>
        </is>
      </c>
      <c r="J6406" t="n">
        <v>24</v>
      </c>
      <c r="K6406" t="inlineStr">
        <is>
          <t>1⁴, 2², 4¹</t>
        </is>
      </c>
      <c r="L6406" t="inlineStr">
        <is>
          <t>16C⁷, 32C⁹, 32B¹¹</t>
        </is>
      </c>
      <c r="M6406" t="inlineStr"/>
      <c r="N6406" t="inlineStr">
        <is>
          <t>2A⁰, 32C⁹, 16C², 8D⁰, 16E¹, 4C⁰, 32A³, 16A¹, 8C⁰, 32B¹¹, 16C⁷, 4E⁰, 2B⁰, 8I⁰, 16J³, 4B⁰, 1A⁰, 32J³, 32A⁶, 16K², 32A¹, 8O⁰, 32B⁵, 8G⁰, 16C⁰, 16C¹, 32I³, 8J⁰, 2C⁰, 32B³</t>
        </is>
      </c>
      <c r="O6406" t="inlineStr"/>
    </row>
    <row r="6407">
      <c r="A6407">
        <f>HYPERLINK("https://mathstats.uncg.edu/sites/pauli/congruence/csg21.html#group32H21", "32H²¹")</f>
        <v/>
      </c>
      <c r="B6407" t="n">
        <v>21</v>
      </c>
      <c r="C6407" t="inlineStr"/>
      <c r="D6407" t="inlineStr">
        <is>
          <t>384</t>
        </is>
      </c>
      <c r="E6407" t="inlineStr">
        <is>
          <t>1</t>
        </is>
      </c>
      <c r="F6407" t="inlineStr">
        <is>
          <t>12</t>
        </is>
      </c>
      <c r="G6407" t="inlineStr">
        <is>
          <t>0</t>
        </is>
      </c>
      <c r="H6407" t="inlineStr">
        <is>
          <t>0</t>
        </is>
      </c>
      <c r="I6407" t="inlineStr">
        <is>
          <t>8¹⁶, 32⁸</t>
        </is>
      </c>
      <c r="J6407" t="n">
        <v>24</v>
      </c>
      <c r="K6407" t="inlineStr">
        <is>
          <t>1⁴, 2², 4¹</t>
        </is>
      </c>
      <c r="L6407" t="inlineStr">
        <is>
          <t>16C⁷, 32D⁹, 32B¹¹</t>
        </is>
      </c>
      <c r="M6407" t="inlineStr"/>
      <c r="N6407" t="inlineStr">
        <is>
          <t>2A⁰, 16C², 8D⁰, 16E¹, 4C⁰, 32D⁹, 16A¹, 8C⁰, 32B¹¹, 16C⁷, 4E⁰, 2B⁰, 32K³, 16J³, 8I⁰, 4B⁰, 1A⁰, 32C³, 32A⁶, 16K², 8G⁰, 16C⁰, 16C¹, 32A⁰, 32A⁵, 32A², 32I³, 8J⁰, 2C⁰, 8O⁰</t>
        </is>
      </c>
      <c r="O6407" t="inlineStr"/>
    </row>
    <row r="6408">
      <c r="A6408">
        <f>HYPERLINK("https://mathstats.uncg.edu/sites/pauli/congruence/csg21.html#group32I21", "32I²¹")</f>
        <v/>
      </c>
      <c r="B6408" t="n">
        <v>21</v>
      </c>
      <c r="C6408" t="inlineStr"/>
      <c r="D6408" t="inlineStr">
        <is>
          <t>384</t>
        </is>
      </c>
      <c r="E6408" t="inlineStr">
        <is>
          <t>1</t>
        </is>
      </c>
      <c r="F6408" t="inlineStr">
        <is>
          <t>24</t>
        </is>
      </c>
      <c r="G6408" t="inlineStr">
        <is>
          <t>16</t>
        </is>
      </c>
      <c r="H6408" t="inlineStr">
        <is>
          <t>0</t>
        </is>
      </c>
      <c r="I6408" t="inlineStr">
        <is>
          <t>16⁸, 32⁸</t>
        </is>
      </c>
      <c r="J6408" t="n">
        <v>16</v>
      </c>
      <c r="K6408" t="inlineStr">
        <is>
          <t>4², 8²</t>
        </is>
      </c>
      <c r="L6408" t="inlineStr">
        <is>
          <t>16I⁹, 32F⁹, 32K⁹</t>
        </is>
      </c>
      <c r="M6408" t="inlineStr"/>
      <c r="N6408" t="inlineStr">
        <is>
          <t>16A⁰, 32E⁵, 32F⁹, 8D⁰, 4C⁰, 8B⁰, 8A⁰, 16B¹, 32L³, 2B⁰, 16P³, 16G³, 1A⁰, 8K⁰, 8D¹, 8H¹, 16B⁰, 32K⁹, 8H⁰, 16K³, 4A⁰, 32B¹, 4F⁰, 16F¹, 16H¹, 16J⁵, 16I⁹</t>
        </is>
      </c>
      <c r="O6408" t="inlineStr"/>
    </row>
    <row r="6409">
      <c r="A6409">
        <f>HYPERLINK("https://mathstats.uncg.edu/sites/pauli/congruence/csg21.html#group32J21", "32J²¹")</f>
        <v/>
      </c>
      <c r="B6409" t="n">
        <v>21</v>
      </c>
      <c r="C6409" t="inlineStr"/>
      <c r="D6409" t="inlineStr">
        <is>
          <t>384</t>
        </is>
      </c>
      <c r="E6409" t="inlineStr">
        <is>
          <t>1</t>
        </is>
      </c>
      <c r="F6409" t="inlineStr">
        <is>
          <t>24</t>
        </is>
      </c>
      <c r="G6409" t="inlineStr">
        <is>
          <t>16</t>
        </is>
      </c>
      <c r="H6409" t="inlineStr">
        <is>
          <t>0</t>
        </is>
      </c>
      <c r="I6409" t="inlineStr">
        <is>
          <t>16⁸, 32⁸</t>
        </is>
      </c>
      <c r="J6409" t="n">
        <v>16</v>
      </c>
      <c r="K6409" t="inlineStr">
        <is>
          <t>4², 8²</t>
        </is>
      </c>
      <c r="L6409" t="inlineStr">
        <is>
          <t>16J⁹, 32F⁹, 32L⁹</t>
        </is>
      </c>
      <c r="M6409" t="inlineStr"/>
      <c r="N6409" t="inlineStr">
        <is>
          <t>32E⁵, 32F⁹, 8D⁰, 4C⁰, 8B⁰, 8A⁰, 16B¹, 16F¹, 2B⁰, 32L³, 1A⁰, 16J⁹, 8K⁰, 8D¹, 8H¹, 16B⁰, 8H⁰, 16L¹, 16K³, 4A⁰, 16I⁵, 32B¹, 4F⁰, 32L⁹, 16Q³, 16H¹, 16K¹</t>
        </is>
      </c>
      <c r="O6409" t="inlineStr"/>
    </row>
    <row r="6410">
      <c r="A6410">
        <f>HYPERLINK("https://mathstats.uncg.edu/sites/pauli/congruence/csg21.html#group32K21", "32K²¹")</f>
        <v/>
      </c>
      <c r="B6410" t="n">
        <v>21</v>
      </c>
      <c r="C6410" t="inlineStr"/>
      <c r="D6410" t="inlineStr">
        <is>
          <t>384</t>
        </is>
      </c>
      <c r="E6410" t="inlineStr">
        <is>
          <t>1</t>
        </is>
      </c>
      <c r="F6410" t="inlineStr">
        <is>
          <t>24</t>
        </is>
      </c>
      <c r="G6410" t="inlineStr">
        <is>
          <t>16</t>
        </is>
      </c>
      <c r="H6410" t="inlineStr">
        <is>
          <t>0</t>
        </is>
      </c>
      <c r="I6410" t="inlineStr">
        <is>
          <t>16⁸, 32⁸</t>
        </is>
      </c>
      <c r="J6410" t="n">
        <v>16</v>
      </c>
      <c r="K6410" t="inlineStr">
        <is>
          <t>1², 2¹, 4¹, 8²</t>
        </is>
      </c>
      <c r="L6410" t="inlineStr">
        <is>
          <t>16K⁹, 32G⁹, 32M⁹</t>
        </is>
      </c>
      <c r="M6410" t="inlineStr"/>
      <c r="N6410" t="inlineStr">
        <is>
          <t>32F⁵, 16I¹, 32M⁹, 8D⁰, 4C⁰, 32H⁵, 8B⁰, 16B¹, 32L³, 32I³, 16K⁹, 2B⁰, 32G⁹, 1A⁰, 8H⁰, 16B⁰, 16E⁰, 8F⁰, 16L³, 4A⁰, 8I¹, 16C¹, 32B¹, 4F⁰, 16F¹, 32P³</t>
        </is>
      </c>
      <c r="O6410" t="inlineStr"/>
    </row>
    <row r="6411">
      <c r="A6411">
        <f>HYPERLINK("https://mathstats.uncg.edu/sites/pauli/congruence/csg21.html#group32L21", "32L²¹")</f>
        <v/>
      </c>
      <c r="B6411" t="n">
        <v>21</v>
      </c>
      <c r="C6411" t="inlineStr"/>
      <c r="D6411" t="inlineStr">
        <is>
          <t>384</t>
        </is>
      </c>
      <c r="E6411" t="inlineStr">
        <is>
          <t>1</t>
        </is>
      </c>
      <c r="F6411" t="inlineStr">
        <is>
          <t>24</t>
        </is>
      </c>
      <c r="G6411" t="inlineStr">
        <is>
          <t>16</t>
        </is>
      </c>
      <c r="H6411" t="inlineStr">
        <is>
          <t>0</t>
        </is>
      </c>
      <c r="I6411" t="inlineStr">
        <is>
          <t>16⁸, 32⁸</t>
        </is>
      </c>
      <c r="J6411" t="n">
        <v>16</v>
      </c>
      <c r="K6411" t="inlineStr">
        <is>
          <t>2⁴, 8²</t>
        </is>
      </c>
      <c r="L6411" t="inlineStr">
        <is>
          <t>16L⁹, 32G⁹, 32N⁹</t>
        </is>
      </c>
      <c r="M6411" t="inlineStr"/>
      <c r="N6411" t="inlineStr">
        <is>
          <t>32I⁵, 32F⁵, 16I¹, 8D⁰, 4C⁰, 8B⁰, 16B¹, 32D¹, 2B⁰, 32L³, 32G⁹, 1A⁰, 16L⁹, 32Q³, 8H⁰, 16B⁰, 16E⁰, 8F⁰, 16L³, 32C¹, 4A⁰, 8I¹, 16C¹, 32B¹, 16G², 4F⁰, 16F¹, 32N⁹</t>
        </is>
      </c>
      <c r="O6411" t="inlineStr"/>
    </row>
    <row r="6412">
      <c r="A6412">
        <f>HYPERLINK("https://mathstats.uncg.edu/sites/pauli/congruence/csg21.html#group32M21", "32M²¹")</f>
        <v/>
      </c>
      <c r="B6412" t="n">
        <v>21</v>
      </c>
      <c r="C6412" t="inlineStr"/>
      <c r="D6412" t="inlineStr">
        <is>
          <t>384</t>
        </is>
      </c>
      <c r="E6412" t="inlineStr">
        <is>
          <t>1</t>
        </is>
      </c>
      <c r="F6412" t="inlineStr">
        <is>
          <t>24</t>
        </is>
      </c>
      <c r="G6412" t="inlineStr">
        <is>
          <t>16</t>
        </is>
      </c>
      <c r="H6412" t="inlineStr">
        <is>
          <t>0</t>
        </is>
      </c>
      <c r="I6412" t="inlineStr">
        <is>
          <t>16⁸, 32⁸</t>
        </is>
      </c>
      <c r="J6412" t="n">
        <v>16</v>
      </c>
      <c r="K6412" t="inlineStr">
        <is>
          <t>2², 4⁵</t>
        </is>
      </c>
      <c r="L6412" t="inlineStr">
        <is>
          <t>16D⁷, 32F⁹, 32G⁹, 32H⁹, 32F¹¹, 32G¹¹, 32E¹¹</t>
        </is>
      </c>
      <c r="M6412" t="inlineStr"/>
      <c r="N6412" t="inlineStr">
        <is>
          <t>32L⁵, 32E⁵, 16I¹, 32F⁹, 4C⁰, 8C², 8A⁰, 8L⁰, 2B⁰, 32G⁵, 1A⁰, 32F¹¹, 16E², 8K⁰, 8H¹, 32N³, 16B⁰, 16E⁰, 32E¹¹, 16D¹, 16B⁴, 16D⁷, 32D³, 32B¹, 16F¹, 8P⁰, 8M⁰, 16H¹, 32F⁵, 32H⁹, 8D⁰, 16M³, 8B⁰, 16B¹, 32G⁹, 16J¹, 16L², 8D¹, 8H⁰, 16K³, 8F⁰, 16L³, 16F², 4A⁰, 8I¹, 16C¹, 16C⁴, 32G¹¹, 4F⁰, 32L³</t>
        </is>
      </c>
      <c r="O6412" t="inlineStr"/>
    </row>
    <row r="6413">
      <c r="A6413">
        <f>HYPERLINK("https://mathstats.uncg.edu/sites/pauli/congruence/csg21.html#group32N21", "32N²¹")</f>
        <v/>
      </c>
      <c r="B6413" t="n">
        <v>21</v>
      </c>
      <c r="C6413" t="inlineStr"/>
      <c r="D6413" t="inlineStr">
        <is>
          <t>384</t>
        </is>
      </c>
      <c r="E6413" t="inlineStr">
        <is>
          <t>1</t>
        </is>
      </c>
      <c r="F6413" t="inlineStr">
        <is>
          <t>48</t>
        </is>
      </c>
      <c r="G6413" t="inlineStr">
        <is>
          <t>0</t>
        </is>
      </c>
      <c r="H6413" t="inlineStr">
        <is>
          <t>0</t>
        </is>
      </c>
      <c r="I6413" t="inlineStr">
        <is>
          <t>4⁸, 8⁴, 16⁴, 32⁸</t>
        </is>
      </c>
      <c r="J6413" t="n">
        <v>24</v>
      </c>
      <c r="K6413" t="inlineStr">
        <is>
          <t>1⁴, 2², 4², 8², 16¹</t>
        </is>
      </c>
      <c r="L6413" t="inlineStr">
        <is>
          <t>32I⁹</t>
        </is>
      </c>
      <c r="M6413" t="inlineStr"/>
      <c r="N6413" t="inlineStr">
        <is>
          <t>16N³, 32C⁵, 16G¹, 32O³, 16D⁰, 32A³, 16A¹, 8C⁰, 2B⁰, 8I⁰, 1A⁰, 4B⁰, 32I⁹, 32C³</t>
        </is>
      </c>
      <c r="O6413" t="inlineStr"/>
    </row>
    <row r="6414">
      <c r="A6414">
        <f>HYPERLINK("https://mathstats.uncg.edu/sites/pauli/congruence/csg21.html#group32O21", "32O²¹")</f>
        <v/>
      </c>
      <c r="B6414" t="n">
        <v>21</v>
      </c>
      <c r="C6414" t="inlineStr"/>
      <c r="D6414" t="inlineStr">
        <is>
          <t>384</t>
        </is>
      </c>
      <c r="E6414" t="inlineStr">
        <is>
          <t>1</t>
        </is>
      </c>
      <c r="F6414" t="inlineStr">
        <is>
          <t>48</t>
        </is>
      </c>
      <c r="G6414" t="inlineStr">
        <is>
          <t>0</t>
        </is>
      </c>
      <c r="H6414" t="inlineStr">
        <is>
          <t>0</t>
        </is>
      </c>
      <c r="I6414" t="inlineStr">
        <is>
          <t>4⁸, 8⁴, 16⁴, 32⁸</t>
        </is>
      </c>
      <c r="J6414" t="n">
        <v>24</v>
      </c>
      <c r="K6414" t="inlineStr">
        <is>
          <t>1⁴, 2², 4², 8², 16¹</t>
        </is>
      </c>
      <c r="L6414" t="inlineStr">
        <is>
          <t>32J⁹</t>
        </is>
      </c>
      <c r="M6414" t="inlineStr"/>
      <c r="N6414" t="inlineStr">
        <is>
          <t>16N³, 16G¹, 32O³, 32J⁹, 16D⁰, 32D⁵, 16A¹, 8C⁰, 2B⁰, 8I⁰, 4B⁰, 1A⁰, 32C³, 32B³</t>
        </is>
      </c>
      <c r="O6414" t="inlineStr"/>
    </row>
    <row r="6415">
      <c r="A6415">
        <f>HYPERLINK("https://mathstats.uncg.edu/sites/pauli/congruence/csg21.html#group32P21", "32P²¹")</f>
        <v/>
      </c>
      <c r="B6415" t="n">
        <v>21</v>
      </c>
      <c r="C6415" t="inlineStr"/>
      <c r="D6415" t="inlineStr">
        <is>
          <t>384</t>
        </is>
      </c>
      <c r="E6415" t="inlineStr">
        <is>
          <t>1</t>
        </is>
      </c>
      <c r="F6415" t="inlineStr">
        <is>
          <t>48</t>
        </is>
      </c>
      <c r="G6415" t="inlineStr">
        <is>
          <t>0</t>
        </is>
      </c>
      <c r="H6415" t="inlineStr">
        <is>
          <t>0</t>
        </is>
      </c>
      <c r="I6415" t="inlineStr">
        <is>
          <t>8¹⁶, 32⁸</t>
        </is>
      </c>
      <c r="J6415" t="n">
        <v>24</v>
      </c>
      <c r="K6415" t="inlineStr">
        <is>
          <t>2², 4³, 8⁴</t>
        </is>
      </c>
      <c r="L6415" t="inlineStr">
        <is>
          <t>32H⁶, 16H⁹, 32A¹⁰, 32B¹⁰, 32C¹⁰, 32C¹¹, 32D¹¹</t>
        </is>
      </c>
      <c r="M6415" t="inlineStr"/>
      <c r="N6415" t="inlineStr">
        <is>
          <t>16F⁵, 16I¹, 4C⁰, 8C², 8A⁰, 32D¹, 32D¹¹, 2B⁰, 8L⁰, 1A⁰, 8K⁰, 32Q³, 8H¹, 16E², 16A², 16E⁰, 16B⁴, 16D¹, 32A¹⁰, 8P⁰, 8M⁰, 32I⁵, 16H¹, 32C¹¹, 16C³, 8D⁰, 32H⁵, 8B⁰, 16B¹, 16G⁵, 32I³, 16L², 8D¹, 8H⁰, 8F⁰, 32C¹⁰, 32C¹, 16F², 4A⁰, 32B¹⁰, 8I¹, 16C¹, 16F³, 16H⁹, 16C⁴, 4F⁰, 32H⁶, 32P³, 16E⁵</t>
        </is>
      </c>
      <c r="O6415" t="inlineStr"/>
    </row>
    <row r="6416">
      <c r="A6416">
        <f>HYPERLINK("https://mathstats.uncg.edu/sites/pauli/congruence/csg21.html#group32Q21", "32Q²¹")</f>
        <v/>
      </c>
      <c r="B6416" t="n">
        <v>21</v>
      </c>
      <c r="C6416" t="inlineStr"/>
      <c r="D6416" t="inlineStr">
        <is>
          <t>384</t>
        </is>
      </c>
      <c r="E6416" t="inlineStr">
        <is>
          <t>1</t>
        </is>
      </c>
      <c r="F6416" t="inlineStr">
        <is>
          <t>48</t>
        </is>
      </c>
      <c r="G6416" t="inlineStr">
        <is>
          <t>0</t>
        </is>
      </c>
      <c r="H6416" t="inlineStr">
        <is>
          <t>0</t>
        </is>
      </c>
      <c r="I6416" t="inlineStr">
        <is>
          <t>8⁸, 16¹², 32⁴</t>
        </is>
      </c>
      <c r="J6416" t="n">
        <v>24</v>
      </c>
      <c r="K6416" t="inlineStr">
        <is>
          <t>1⁸, 2⁴, 4⁴, 8²</t>
        </is>
      </c>
      <c r="L6416" t="inlineStr">
        <is>
          <t>16F⁹</t>
        </is>
      </c>
      <c r="M6416" t="inlineStr"/>
      <c r="N6416" t="inlineStr">
        <is>
          <t>2A⁰, 16D³, 8A¹, 16C⁵, 16O³, 4C⁰, 16A³, 8B⁰, 16B¹, 8L⁰, 2B⁰, 8B¹, 4E⁰, 4B⁰, 1A⁰, 16F⁹, 16D¹, 16B², 16F², 8G¹, 8J⁰, 2C⁰</t>
        </is>
      </c>
      <c r="O6416" t="inlineStr"/>
    </row>
    <row r="6417">
      <c r="A6417">
        <f>HYPERLINK("https://mathstats.uncg.edu/sites/pauli/congruence/csg21.html#group32R21", "32R²¹")</f>
        <v/>
      </c>
      <c r="B6417" t="n">
        <v>21</v>
      </c>
      <c r="C6417" t="inlineStr"/>
      <c r="D6417" t="inlineStr">
        <is>
          <t>384</t>
        </is>
      </c>
      <c r="E6417" t="inlineStr">
        <is>
          <t>1</t>
        </is>
      </c>
      <c r="F6417" t="inlineStr">
        <is>
          <t>48</t>
        </is>
      </c>
      <c r="G6417" t="inlineStr">
        <is>
          <t>0</t>
        </is>
      </c>
      <c r="H6417" t="inlineStr">
        <is>
          <t>0</t>
        </is>
      </c>
      <c r="I6417" t="inlineStr">
        <is>
          <t>8⁸, 16¹², 32⁴</t>
        </is>
      </c>
      <c r="J6417" t="n">
        <v>24</v>
      </c>
      <c r="K6417" t="inlineStr">
        <is>
          <t>1⁸, 2⁴, 4⁴, 8²</t>
        </is>
      </c>
      <c r="L6417" t="inlineStr">
        <is>
          <t>16G⁹</t>
        </is>
      </c>
      <c r="M6417" t="inlineStr"/>
      <c r="N6417" t="inlineStr">
        <is>
          <t>2A⁰, 16D³, 16D⁵, 8A¹, 16O³, 4C⁰, 8B⁰, 16B³, 16S³, 8L⁰, 2B⁰, 8B¹, 4E⁰, 16J¹, 4B⁰, 1A⁰, 16A², 16B⁰, 16G⁹, 16D¹, 16B², 8G¹, 16F³, 16R³, 8J⁰, 2C⁰</t>
        </is>
      </c>
      <c r="O6417" t="inlineStr"/>
    </row>
    <row r="6418">
      <c r="A6418">
        <f>HYPERLINK("https://mathstats.uncg.edu/sites/pauli/congruence/csg21.html#group32S21", "32S²¹")</f>
        <v/>
      </c>
      <c r="B6418" t="n">
        <v>21</v>
      </c>
      <c r="C6418" t="inlineStr"/>
      <c r="D6418" t="inlineStr">
        <is>
          <t>384</t>
        </is>
      </c>
      <c r="E6418" t="inlineStr">
        <is>
          <t>1</t>
        </is>
      </c>
      <c r="F6418" t="inlineStr">
        <is>
          <t>48</t>
        </is>
      </c>
      <c r="G6418" t="inlineStr">
        <is>
          <t>16</t>
        </is>
      </c>
      <c r="H6418" t="inlineStr">
        <is>
          <t>0</t>
        </is>
      </c>
      <c r="I6418" t="inlineStr">
        <is>
          <t>16⁸, 32⁸</t>
        </is>
      </c>
      <c r="J6418" t="n">
        <v>16</v>
      </c>
      <c r="K6418" t="inlineStr">
        <is>
          <t>4¹², 8², 16²</t>
        </is>
      </c>
      <c r="L6418" t="inlineStr">
        <is>
          <t>32O⁹</t>
        </is>
      </c>
      <c r="M6418" t="inlineStr"/>
      <c r="N6418" t="inlineStr">
        <is>
          <t>16B⁰, 16D¹, 16R³, 32K⁵, 4C⁰, 8B⁰, 8L⁰, 2B⁰, 32B¹, 32G³, 32O⁹, 16J¹, 1A⁰, 32H³, 32N³</t>
        </is>
      </c>
      <c r="O6418" t="inlineStr"/>
    </row>
    <row r="6419">
      <c r="A6419">
        <f>HYPERLINK("https://mathstats.uncg.edu/sites/pauli/congruence/csg21.html#group32T21", "32T²¹")</f>
        <v/>
      </c>
      <c r="B6419" t="n">
        <v>21</v>
      </c>
      <c r="C6419" t="inlineStr"/>
      <c r="D6419" t="inlineStr">
        <is>
          <t>384</t>
        </is>
      </c>
      <c r="E6419" t="inlineStr">
        <is>
          <t>1</t>
        </is>
      </c>
      <c r="F6419" t="inlineStr">
        <is>
          <t>48</t>
        </is>
      </c>
      <c r="G6419" t="inlineStr">
        <is>
          <t>16</t>
        </is>
      </c>
      <c r="H6419" t="inlineStr">
        <is>
          <t>0</t>
        </is>
      </c>
      <c r="I6419" t="inlineStr">
        <is>
          <t>16⁸, 32⁸</t>
        </is>
      </c>
      <c r="J6419" t="n">
        <v>16</v>
      </c>
      <c r="K6419" t="inlineStr">
        <is>
          <t>4¹², 8², 16²</t>
        </is>
      </c>
      <c r="L6419" t="inlineStr">
        <is>
          <t>32O⁹</t>
        </is>
      </c>
      <c r="M6419" t="inlineStr"/>
      <c r="N6419" t="inlineStr">
        <is>
          <t>16B⁰, 16D¹, 16R³, 32K⁵, 4C⁰, 8B⁰, 8L⁰, 2B⁰, 32B¹, 32G³, 32O⁹, 16J¹, 1A⁰, 32H³, 32N³</t>
        </is>
      </c>
      <c r="O6419" t="inlineStr"/>
    </row>
    <row r="6420">
      <c r="A6420">
        <f>HYPERLINK("https://mathstats.uncg.edu/sites/pauli/congruence/csg21.html#group32U21", "32U²¹")</f>
        <v/>
      </c>
      <c r="B6420" t="n">
        <v>21</v>
      </c>
      <c r="C6420" t="inlineStr"/>
      <c r="D6420" t="inlineStr">
        <is>
          <t>384</t>
        </is>
      </c>
      <c r="E6420" t="inlineStr">
        <is>
          <t>1</t>
        </is>
      </c>
      <c r="F6420" t="inlineStr">
        <is>
          <t>48</t>
        </is>
      </c>
      <c r="G6420" t="inlineStr">
        <is>
          <t>16</t>
        </is>
      </c>
      <c r="H6420" t="inlineStr">
        <is>
          <t>0</t>
        </is>
      </c>
      <c r="I6420" t="inlineStr">
        <is>
          <t>16⁸, 32⁸</t>
        </is>
      </c>
      <c r="J6420" t="n">
        <v>16</v>
      </c>
      <c r="K6420" t="inlineStr">
        <is>
          <t>4¹², 8², 16²</t>
        </is>
      </c>
      <c r="L6420" t="inlineStr">
        <is>
          <t>32P⁹</t>
        </is>
      </c>
      <c r="M6420" t="inlineStr"/>
      <c r="N6420" t="inlineStr">
        <is>
          <t>16B⁰, 32P⁹, 16D¹, 32J⁵, 4C⁰, 8B⁰, 16S³, 8L⁰, 2B⁰, 32E³, 32B¹, 32F³, 16J¹, 1A⁰, 32N³</t>
        </is>
      </c>
      <c r="O6420" t="inlineStr"/>
    </row>
    <row r="6421">
      <c r="A6421">
        <f>HYPERLINK("https://mathstats.uncg.edu/sites/pauli/congruence/csg21.html#group32V21", "32V²¹")</f>
        <v/>
      </c>
      <c r="B6421" t="n">
        <v>21</v>
      </c>
      <c r="C6421" t="inlineStr"/>
      <c r="D6421" t="inlineStr">
        <is>
          <t>384</t>
        </is>
      </c>
      <c r="E6421" t="inlineStr">
        <is>
          <t>1</t>
        </is>
      </c>
      <c r="F6421" t="inlineStr">
        <is>
          <t>48</t>
        </is>
      </c>
      <c r="G6421" t="inlineStr">
        <is>
          <t>16</t>
        </is>
      </c>
      <c r="H6421" t="inlineStr">
        <is>
          <t>0</t>
        </is>
      </c>
      <c r="I6421" t="inlineStr">
        <is>
          <t>16⁸, 32⁸</t>
        </is>
      </c>
      <c r="J6421" t="n">
        <v>16</v>
      </c>
      <c r="K6421" t="inlineStr">
        <is>
          <t>4¹², 8², 16²</t>
        </is>
      </c>
      <c r="L6421" t="inlineStr">
        <is>
          <t>32P⁹</t>
        </is>
      </c>
      <c r="M6421" t="inlineStr"/>
      <c r="N6421" t="inlineStr">
        <is>
          <t>16B⁰, 32P⁹, 16D¹, 32J⁵, 4C⁰, 8B⁰, 16S³, 8L⁰, 2B⁰, 32E³, 32B¹, 32F³, 16J¹, 1A⁰, 32N³</t>
        </is>
      </c>
      <c r="O6421" t="inlineStr"/>
    </row>
    <row r="6422">
      <c r="A6422">
        <f>HYPERLINK("https://mathstats.uncg.edu/sites/pauli/congruence/csg21.html#group32W21", "32W²¹")</f>
        <v/>
      </c>
      <c r="B6422" t="n">
        <v>21</v>
      </c>
      <c r="C6422" t="inlineStr"/>
      <c r="D6422" t="inlineStr">
        <is>
          <t>384</t>
        </is>
      </c>
      <c r="E6422" t="inlineStr">
        <is>
          <t>1</t>
        </is>
      </c>
      <c r="F6422" t="inlineStr">
        <is>
          <t>96</t>
        </is>
      </c>
      <c r="G6422" t="inlineStr">
        <is>
          <t>8</t>
        </is>
      </c>
      <c r="H6422" t="inlineStr">
        <is>
          <t>0</t>
        </is>
      </c>
      <c r="I6422" t="inlineStr">
        <is>
          <t>16¹⁶, 32⁴</t>
        </is>
      </c>
      <c r="J6422" t="n">
        <v>20</v>
      </c>
      <c r="K6422" t="inlineStr">
        <is>
          <t>8², 16⁵</t>
        </is>
      </c>
      <c r="L6422" t="inlineStr">
        <is>
          <t>16J⁹</t>
        </is>
      </c>
      <c r="M6422" t="inlineStr"/>
      <c r="N6422" t="inlineStr">
        <is>
          <t>8D⁰, 4C⁰, 8B⁰, 8A⁰, 16B¹, 2B⁰, 8K⁰, 16J⁹, 1A⁰, 8H¹, 8D¹, 8H⁰, 16B⁰, 16L¹, 16K³, 4A⁰, 16I⁵, 4F⁰, 16F¹, 16Q³, 16H¹, 16K¹</t>
        </is>
      </c>
      <c r="O6422" t="inlineStr"/>
    </row>
    <row r="6423">
      <c r="A6423">
        <f>HYPERLINK("https://mathstats.uncg.edu/sites/pauli/congruence/csg21.html#group32X21", "32X²¹")</f>
        <v/>
      </c>
      <c r="B6423" t="n">
        <v>21</v>
      </c>
      <c r="C6423" t="inlineStr"/>
      <c r="D6423" t="inlineStr">
        <is>
          <t>384</t>
        </is>
      </c>
      <c r="E6423" t="inlineStr">
        <is>
          <t>1</t>
        </is>
      </c>
      <c r="F6423" t="inlineStr">
        <is>
          <t>96</t>
        </is>
      </c>
      <c r="G6423" t="inlineStr">
        <is>
          <t>8</t>
        </is>
      </c>
      <c r="H6423" t="inlineStr">
        <is>
          <t>0</t>
        </is>
      </c>
      <c r="I6423" t="inlineStr">
        <is>
          <t>16¹⁶, 32⁴</t>
        </is>
      </c>
      <c r="J6423" t="n">
        <v>20</v>
      </c>
      <c r="K6423" t="inlineStr">
        <is>
          <t>8², 16⁵</t>
        </is>
      </c>
      <c r="L6423" t="inlineStr">
        <is>
          <t>16I⁹, 32Q⁹, 32R⁹</t>
        </is>
      </c>
      <c r="M6423" t="inlineStr"/>
      <c r="N6423" t="inlineStr">
        <is>
          <t>16A⁰, 8D⁰, 4C⁰, 8B⁰, 32R⁹, 16P³, 8A⁰, 2B⁰, 16B¹, 16G³, 1A⁰, 8K⁰, 8D¹, 8H¹, 8H⁰, 16B⁰, 16K³, 4A⁰, 32Q⁹, 4F⁰, 16F¹, 16H¹, 16J⁵, 16I⁹</t>
        </is>
      </c>
      <c r="O6423" t="inlineStr"/>
    </row>
    <row r="6424">
      <c r="A6424">
        <f>HYPERLINK("https://mathstats.uncg.edu/sites/pauli/congruence/csg21.html#group32Y21", "32Y²¹")</f>
        <v/>
      </c>
      <c r="B6424" t="n">
        <v>21</v>
      </c>
      <c r="C6424" t="inlineStr"/>
      <c r="D6424" t="inlineStr">
        <is>
          <t>384</t>
        </is>
      </c>
      <c r="E6424" t="inlineStr">
        <is>
          <t>2</t>
        </is>
      </c>
      <c r="F6424" t="inlineStr">
        <is>
          <t>24</t>
        </is>
      </c>
      <c r="G6424" t="inlineStr">
        <is>
          <t>16</t>
        </is>
      </c>
      <c r="H6424" t="inlineStr">
        <is>
          <t>0</t>
        </is>
      </c>
      <c r="I6424" t="inlineStr">
        <is>
          <t>16⁸, 32⁸</t>
        </is>
      </c>
      <c r="J6424" t="n">
        <v>16</v>
      </c>
      <c r="K6424" t="inlineStr">
        <is>
          <t>2⁸, 4⁴, 8²</t>
        </is>
      </c>
      <c r="L6424" t="inlineStr">
        <is>
          <t>16E⁷, 32H⁹, 32O⁹, 32P⁹, 32I¹¹, 32J¹¹, 32K¹¹</t>
        </is>
      </c>
      <c r="M6424" t="inlineStr"/>
      <c r="N6424" t="inlineStr">
        <is>
          <t>32L⁵, 32F⁶, 32J⁵, 32K⁵, 4C⁰, 16S³, 8L⁰, 2B⁰, 16E⁷, 32F³, 32G⁵, 32G³, 1A⁰, 16E², 32J¹¹, 32N³, 16B⁰, 16D¹, 32D³, 32B¹, 16R³, 16F¹, 8P⁰, 32I¹¹, 32H⁹, 32K¹¹, 8D⁰, 16M³, 32D⁶, 8B⁰, 16B¹, 32O⁹, 16J¹, 8H⁰, 32P⁹, 32E⁶, 32C⁶, 16F², 4A⁰, 32E³, 4F⁰, 32L³, 32H³</t>
        </is>
      </c>
      <c r="O6424" t="inlineStr"/>
    </row>
    <row r="6425">
      <c r="A6425">
        <f>HYPERLINK("https://mathstats.uncg.edu/sites/pauli/congruence/csg21.html#group33A21", "33A²¹")</f>
        <v/>
      </c>
      <c r="B6425" t="n">
        <v>21</v>
      </c>
      <c r="C6425" t="inlineStr"/>
      <c r="D6425" t="inlineStr">
        <is>
          <t>330</t>
        </is>
      </c>
      <c r="E6425" t="inlineStr">
        <is>
          <t>1</t>
        </is>
      </c>
      <c r="F6425" t="inlineStr">
        <is>
          <t>110</t>
        </is>
      </c>
      <c r="G6425" t="inlineStr">
        <is>
          <t>6</t>
        </is>
      </c>
      <c r="H6425" t="inlineStr">
        <is>
          <t>3</t>
        </is>
      </c>
      <c r="I6425" t="inlineStr">
        <is>
          <t>33¹⁰</t>
        </is>
      </c>
      <c r="J6425" t="n">
        <v>10</v>
      </c>
      <c r="K6425" t="inlineStr">
        <is>
          <t>10¹, 20⁵</t>
        </is>
      </c>
      <c r="L6425" t="inlineStr">
        <is>
          <t>11A⁴</t>
        </is>
      </c>
      <c r="M6425" t="inlineStr"/>
      <c r="N6425" t="inlineStr">
        <is>
          <t>11A⁴, 11C¹, 1A⁰</t>
        </is>
      </c>
      <c r="O6425" t="inlineStr"/>
    </row>
    <row r="6426">
      <c r="A6426">
        <f>HYPERLINK("https://mathstats.uncg.edu/sites/pauli/congruence/csg21.html#group33B21", "33B²¹")</f>
        <v/>
      </c>
      <c r="B6426" t="n">
        <v>21</v>
      </c>
      <c r="C6426" t="inlineStr"/>
      <c r="D6426" t="inlineStr">
        <is>
          <t>360</t>
        </is>
      </c>
      <c r="E6426" t="inlineStr">
        <is>
          <t>1</t>
        </is>
      </c>
      <c r="F6426" t="inlineStr">
        <is>
          <t>36</t>
        </is>
      </c>
      <c r="G6426" t="inlineStr">
        <is>
          <t>0</t>
        </is>
      </c>
      <c r="H6426" t="inlineStr">
        <is>
          <t>0</t>
        </is>
      </c>
      <c r="I6426" t="inlineStr">
        <is>
          <t>3¹⁰, 33¹⁰</t>
        </is>
      </c>
      <c r="J6426" t="n">
        <v>20</v>
      </c>
      <c r="K6426" t="inlineStr">
        <is>
          <t>1², 2², 10¹, 20¹</t>
        </is>
      </c>
      <c r="L6426" t="inlineStr">
        <is>
          <t>33A⁵, 33A¹¹</t>
        </is>
      </c>
      <c r="M6426" t="inlineStr"/>
      <c r="N6426" t="inlineStr">
        <is>
          <t>33A¹¹, 11A¹, 33A⁵, 3C⁰, 3A⁰, 33A³, 1A⁰, 11D¹</t>
        </is>
      </c>
      <c r="O6426" t="inlineStr"/>
    </row>
    <row r="6427">
      <c r="A6427">
        <f>HYPERLINK("https://mathstats.uncg.edu/sites/pauli/congruence/csg21.html#group33C21", "33C²¹")</f>
        <v/>
      </c>
      <c r="B6427" t="n">
        <v>21</v>
      </c>
      <c r="C6427" t="inlineStr">
        <is>
          <t>Γ₁(33)</t>
        </is>
      </c>
      <c r="D6427" t="inlineStr">
        <is>
          <t>480</t>
        </is>
      </c>
      <c r="E6427" t="inlineStr">
        <is>
          <t>1</t>
        </is>
      </c>
      <c r="F6427" t="inlineStr">
        <is>
          <t>48</t>
        </is>
      </c>
      <c r="G6427" t="inlineStr">
        <is>
          <t>0</t>
        </is>
      </c>
      <c r="H6427" t="inlineStr">
        <is>
          <t>0</t>
        </is>
      </c>
      <c r="I6427" t="inlineStr">
        <is>
          <t>1¹⁰, 3¹⁰, 11¹⁰, 33¹⁰</t>
        </is>
      </c>
      <c r="J6427" t="n">
        <v>40</v>
      </c>
      <c r="K6427" t="inlineStr">
        <is>
          <t>1⁴, 2², 10², 20¹</t>
        </is>
      </c>
      <c r="L6427" t="inlineStr">
        <is>
          <t>33B⁵, 33B¹¹</t>
        </is>
      </c>
      <c r="M6427" t="inlineStr"/>
      <c r="N6427" t="inlineStr">
        <is>
          <t>33B⁵, 3B⁰, 11A¹, 33B¹¹, 1A⁰, 11D¹, 33C³</t>
        </is>
      </c>
      <c r="O6427" t="inlineStr"/>
    </row>
    <row r="6428">
      <c r="A6428">
        <f>HYPERLINK("https://mathstats.uncg.edu/sites/pauli/congruence/csg21.html#group34A21", "34A²¹")</f>
        <v/>
      </c>
      <c r="B6428" t="n">
        <v>21</v>
      </c>
      <c r="C6428" t="inlineStr">
        <is>
          <t>Γ₁(34)</t>
        </is>
      </c>
      <c r="D6428" t="inlineStr">
        <is>
          <t>432</t>
        </is>
      </c>
      <c r="E6428" t="inlineStr">
        <is>
          <t>1</t>
        </is>
      </c>
      <c r="F6428" t="inlineStr">
        <is>
          <t>54</t>
        </is>
      </c>
      <c r="G6428" t="inlineStr">
        <is>
          <t>0</t>
        </is>
      </c>
      <c r="H6428" t="inlineStr">
        <is>
          <t>0</t>
        </is>
      </c>
      <c r="I6428" t="inlineStr">
        <is>
          <t>1⁸, 2⁸, 17⁸, 34⁸</t>
        </is>
      </c>
      <c r="J6428" t="n">
        <v>32</v>
      </c>
      <c r="K6428" t="inlineStr">
        <is>
          <t>1⁶, 16³</t>
        </is>
      </c>
      <c r="L6428" t="inlineStr">
        <is>
          <t>17A⁵, 34B⁹</t>
        </is>
      </c>
      <c r="M6428" t="inlineStr"/>
      <c r="N6428" t="inlineStr">
        <is>
          <t>17A⁵, 34C³, 17B¹, 34C⁵, 34B⁹, 17A¹, 17C¹, 2B⁰, 1A⁰</t>
        </is>
      </c>
      <c r="O6428" t="inlineStr"/>
    </row>
    <row r="6429">
      <c r="A6429">
        <f>HYPERLINK("https://mathstats.uncg.edu/sites/pauli/congruence/csg21.html#group34B21", "34B²¹")</f>
        <v/>
      </c>
      <c r="B6429" t="n">
        <v>21</v>
      </c>
      <c r="C6429" t="inlineStr"/>
      <c r="D6429" t="inlineStr">
        <is>
          <t>432</t>
        </is>
      </c>
      <c r="E6429" t="inlineStr">
        <is>
          <t>1</t>
        </is>
      </c>
      <c r="F6429" t="inlineStr">
        <is>
          <t>54</t>
        </is>
      </c>
      <c r="G6429" t="inlineStr">
        <is>
          <t>16</t>
        </is>
      </c>
      <c r="H6429" t="inlineStr">
        <is>
          <t>0</t>
        </is>
      </c>
      <c r="I6429" t="inlineStr">
        <is>
          <t>2¹², 34¹²</t>
        </is>
      </c>
      <c r="J6429" t="n">
        <v>24</v>
      </c>
      <c r="K6429" t="inlineStr">
        <is>
          <t>1⁶, 16³</t>
        </is>
      </c>
      <c r="L6429" t="inlineStr">
        <is>
          <t>34D⁵, 34B⁹</t>
        </is>
      </c>
      <c r="M6429" t="inlineStr"/>
      <c r="N6429" t="inlineStr">
        <is>
          <t>34C³, 17B¹, 34C⁵, 34B⁹, 17C¹, 34D⁵, 17A¹, 2B⁰, 1A⁰</t>
        </is>
      </c>
      <c r="O6429" t="inlineStr"/>
    </row>
    <row r="6430">
      <c r="A6430">
        <f>HYPERLINK("https://mathstats.uncg.edu/sites/pauli/congruence/csg21.html#group35A21", "35A²¹")</f>
        <v/>
      </c>
      <c r="B6430" t="n">
        <v>21</v>
      </c>
      <c r="C6430" t="inlineStr"/>
      <c r="D6430" t="inlineStr">
        <is>
          <t>336</t>
        </is>
      </c>
      <c r="E6430" t="inlineStr">
        <is>
          <t>1</t>
        </is>
      </c>
      <c r="F6430" t="inlineStr">
        <is>
          <t>168</t>
        </is>
      </c>
      <c r="G6430" t="inlineStr">
        <is>
          <t>0</t>
        </is>
      </c>
      <c r="H6430" t="inlineStr">
        <is>
          <t>0</t>
        </is>
      </c>
      <c r="I6430" t="inlineStr">
        <is>
          <t>7⁸, 35⁸</t>
        </is>
      </c>
      <c r="J6430" t="n">
        <v>16</v>
      </c>
      <c r="K6430" t="inlineStr">
        <is>
          <t>1², 3², 4¹, 6⁸, 12¹, 24⁴</t>
        </is>
      </c>
      <c r="L6430" t="inlineStr">
        <is>
          <t>35A⁶, 35D⁹</t>
        </is>
      </c>
      <c r="M6430" t="inlineStr"/>
      <c r="N6430" t="inlineStr">
        <is>
          <t>35C², 5B⁰, 7F⁰, 5D⁰, 1A⁰, 35A⁶, 35D⁹, 7A⁰</t>
        </is>
      </c>
      <c r="O6430" t="inlineStr"/>
    </row>
    <row r="6431">
      <c r="A6431">
        <f>HYPERLINK("https://mathstats.uncg.edu/sites/pauli/congruence/csg21.html#group35B21", "35B²¹")</f>
        <v/>
      </c>
      <c r="B6431" t="n">
        <v>21</v>
      </c>
      <c r="C6431" t="inlineStr"/>
      <c r="D6431" t="inlineStr">
        <is>
          <t>336</t>
        </is>
      </c>
      <c r="E6431" t="inlineStr">
        <is>
          <t>1</t>
        </is>
      </c>
      <c r="F6431" t="inlineStr">
        <is>
          <t>168</t>
        </is>
      </c>
      <c r="G6431" t="inlineStr">
        <is>
          <t>0</t>
        </is>
      </c>
      <c r="H6431" t="inlineStr">
        <is>
          <t>0</t>
        </is>
      </c>
      <c r="I6431" t="inlineStr">
        <is>
          <t>7⁸, 35⁸</t>
        </is>
      </c>
      <c r="J6431" t="n">
        <v>16</v>
      </c>
      <c r="K6431" t="inlineStr">
        <is>
          <t>1², 3², 4¹, 6⁸, 12¹, 24⁴</t>
        </is>
      </c>
      <c r="L6431" t="inlineStr">
        <is>
          <t>7B¹, 35A³, 35B⁵, 35D⁹</t>
        </is>
      </c>
      <c r="M6431" t="inlineStr"/>
      <c r="N6431" t="inlineStr">
        <is>
          <t>35C², 7B⁰, 7C⁰, 5B⁰, 7F⁰, 35B⁵, 1A⁰, 35A³, 7B¹, 35D⁹, 7A⁰</t>
        </is>
      </c>
      <c r="O6431" t="inlineStr"/>
    </row>
    <row r="6432">
      <c r="A6432">
        <f>HYPERLINK("https://mathstats.uncg.edu/sites/pauli/congruence/csg21.html#group36A21", "36A²¹")</f>
        <v/>
      </c>
      <c r="B6432" t="n">
        <v>21</v>
      </c>
      <c r="C6432" t="inlineStr"/>
      <c r="D6432" t="inlineStr">
        <is>
          <t>288</t>
        </is>
      </c>
      <c r="E6432" t="inlineStr">
        <is>
          <t>1</t>
        </is>
      </c>
      <c r="F6432" t="inlineStr">
        <is>
          <t>12</t>
        </is>
      </c>
      <c r="G6432" t="inlineStr">
        <is>
          <t>0</t>
        </is>
      </c>
      <c r="H6432" t="inlineStr">
        <is>
          <t>0</t>
        </is>
      </c>
      <c r="I6432" t="inlineStr">
        <is>
          <t>36⁸</t>
        </is>
      </c>
      <c r="J6432" t="n">
        <v>8</v>
      </c>
      <c r="K6432" t="inlineStr">
        <is>
          <t>2², 4²</t>
        </is>
      </c>
      <c r="L6432" t="inlineStr">
        <is>
          <t>12A⁵, 18A⁵, 36M⁵, 36K⁹, 36C¹¹, 36D¹¹, 36F¹¹</t>
        </is>
      </c>
      <c r="M6432" t="inlineStr"/>
      <c r="N6432" t="inlineStr">
        <is>
          <t>2A⁰, 36C¹¹, 18A⁵, 18A³, 36K⁹, 12A⁵, 36A⁶, 1A⁰, 9B¹, 18A⁰, 9A², 6B¹, 4D⁰, 36E⁵, 12A¹, 12A², 3C⁰, 12Q¹, 36D¹¹, 6A¹, 3A⁰, 12G¹, 3B⁰, 36D², 6B⁰, 12I¹, 36F¹¹, 12B³, 6C⁰, 36H³, 12C³, 12F⁰, 18A², 36A¹, 12A⁰, 9D⁰, 18D⁰, 6D¹, 6E⁰, 4A⁰, 9A⁰, 36M⁵, 18C³, 18G², 3D⁰, 18A¹, 36L⁴</t>
        </is>
      </c>
      <c r="O6432" t="inlineStr"/>
    </row>
    <row r="6433">
      <c r="A6433">
        <f>HYPERLINK("https://mathstats.uncg.edu/sites/pauli/congruence/csg21.html#group36B21", "36B²¹")</f>
        <v/>
      </c>
      <c r="B6433" t="n">
        <v>21</v>
      </c>
      <c r="C6433" t="inlineStr"/>
      <c r="D6433" t="inlineStr">
        <is>
          <t>288</t>
        </is>
      </c>
      <c r="E6433" t="inlineStr">
        <is>
          <t>1</t>
        </is>
      </c>
      <c r="F6433" t="inlineStr">
        <is>
          <t>24</t>
        </is>
      </c>
      <c r="G6433" t="inlineStr">
        <is>
          <t>0</t>
        </is>
      </c>
      <c r="H6433" t="inlineStr">
        <is>
          <t>0</t>
        </is>
      </c>
      <c r="I6433" t="inlineStr">
        <is>
          <t>36⁸</t>
        </is>
      </c>
      <c r="J6433" t="n">
        <v>8</v>
      </c>
      <c r="K6433" t="inlineStr">
        <is>
          <t>4⁶</t>
        </is>
      </c>
      <c r="L6433" t="inlineStr">
        <is>
          <t>12A⁵, 18B⁵, 36L⁹, 36E¹¹</t>
        </is>
      </c>
      <c r="M6433" t="inlineStr"/>
      <c r="N6433" t="inlineStr">
        <is>
          <t>12G¹, 2A⁰, 3B⁰, 6B⁰, 12I¹, 12B³, 6C⁰, 12C³, 12F⁰, 18B¹, 12A⁵, 1A⁰, 3D⁰, 36N⁴, 12A⁰, 6D¹, 18H², 6E⁰, 6B¹, 4A⁰, 4D⁰, 12A¹, 18B³, 12A², 18B⁵, 12Q¹, 36E¹¹, 3C⁰, 6A¹, 3A⁰, 36L⁹</t>
        </is>
      </c>
      <c r="O6433" t="inlineStr"/>
    </row>
    <row r="6434">
      <c r="A6434">
        <f>HYPERLINK("https://mathstats.uncg.edu/sites/pauli/congruence/csg21.html#group36C21", "36C²¹")</f>
        <v/>
      </c>
      <c r="B6434" t="n">
        <v>21</v>
      </c>
      <c r="C6434" t="inlineStr"/>
      <c r="D6434" t="inlineStr">
        <is>
          <t>324</t>
        </is>
      </c>
      <c r="E6434" t="inlineStr">
        <is>
          <t>1</t>
        </is>
      </c>
      <c r="F6434" t="inlineStr">
        <is>
          <t>81</t>
        </is>
      </c>
      <c r="G6434" t="inlineStr">
        <is>
          <t>4</t>
        </is>
      </c>
      <c r="H6434" t="inlineStr">
        <is>
          <t>0</t>
        </is>
      </c>
      <c r="I6434" t="inlineStr">
        <is>
          <t>18⁶, 36⁶</t>
        </is>
      </c>
      <c r="J6434" t="n">
        <v>12</v>
      </c>
      <c r="K6434" t="inlineStr">
        <is>
          <t>3³, 6¹²</t>
        </is>
      </c>
      <c r="L6434" t="inlineStr">
        <is>
          <t>36I⁵, 36E⁷, 18A⁸, 36L⁸, 36G¹¹</t>
        </is>
      </c>
      <c r="M6434" t="inlineStr"/>
      <c r="N6434" t="inlineStr">
        <is>
          <t>36I⁵, 12C⁰, 18I¹, 36L⁸, 9G⁰, 4C⁰, 36B², 6G⁰, 36E⁴, 2B⁰, 9B², 9E⁰, 1A⁰, 12L¹, 9B¹, 18E³, 18A⁸, 12C¹, 18J³, 9A⁰, 36G¹¹, 36E⁷, 3C⁰, 18E¹, 3A⁰, 6D⁰</t>
        </is>
      </c>
      <c r="O6434" t="inlineStr"/>
    </row>
    <row r="6435">
      <c r="A6435">
        <f>HYPERLINK("https://mathstats.uncg.edu/sites/pauli/congruence/csg21.html#group36D21", "36D²¹")</f>
        <v/>
      </c>
      <c r="B6435" t="n">
        <v>21</v>
      </c>
      <c r="C6435" t="inlineStr"/>
      <c r="D6435" t="inlineStr">
        <is>
          <t>324</t>
        </is>
      </c>
      <c r="E6435" t="inlineStr">
        <is>
          <t>2</t>
        </is>
      </c>
      <c r="F6435" t="inlineStr">
        <is>
          <t>81</t>
        </is>
      </c>
      <c r="G6435" t="inlineStr">
        <is>
          <t>4</t>
        </is>
      </c>
      <c r="H6435" t="inlineStr">
        <is>
          <t>0</t>
        </is>
      </c>
      <c r="I6435" t="inlineStr">
        <is>
          <t>18⁶, 36⁶</t>
        </is>
      </c>
      <c r="J6435" t="n">
        <v>12</v>
      </c>
      <c r="K6435" t="inlineStr">
        <is>
          <t>6²⁷</t>
        </is>
      </c>
      <c r="L6435" t="inlineStr">
        <is>
          <t>36F⁷, 36G⁷, 18B⁸, 36M⁸, 36G¹¹</t>
        </is>
      </c>
      <c r="M6435" t="inlineStr"/>
      <c r="N6435" t="inlineStr">
        <is>
          <t>6B⁰, 9G⁰, 18K², 6H⁰, 18B¹, 36E⁴, 2B⁰, 12N¹, 18M², 1A⁰, 36F⁷, 18A⁰, 18L², 36M⁸, 18D³, 12C¹, 18J³, 9A⁰, 36G¹¹, 18B⁸, 12D⁰, 18E¹, 3A⁰, 36G⁷, 36D³, 18A¹, 6D⁰, 36C²</t>
        </is>
      </c>
      <c r="O6435" t="inlineStr"/>
    </row>
    <row r="6436">
      <c r="A6436">
        <f>HYPERLINK("https://mathstats.uncg.edu/sites/pauli/congruence/csg21.html#group36E21", "36E²¹")</f>
        <v/>
      </c>
      <c r="B6436" t="n">
        <v>21</v>
      </c>
      <c r="C6436" t="inlineStr"/>
      <c r="D6436" t="inlineStr">
        <is>
          <t>432</t>
        </is>
      </c>
      <c r="E6436" t="inlineStr">
        <is>
          <t>1</t>
        </is>
      </c>
      <c r="F6436" t="inlineStr">
        <is>
          <t>18</t>
        </is>
      </c>
      <c r="G6436" t="inlineStr">
        <is>
          <t>0</t>
        </is>
      </c>
      <c r="H6436" t="inlineStr">
        <is>
          <t>0</t>
        </is>
      </c>
      <c r="I6436" t="inlineStr">
        <is>
          <t>6¹², 12¹², 18⁴, 36⁴</t>
        </is>
      </c>
      <c r="J6436" t="n">
        <v>32</v>
      </c>
      <c r="K6436" t="inlineStr">
        <is>
          <t>1⁶, 2⁶</t>
        </is>
      </c>
      <c r="L6436" t="inlineStr">
        <is>
          <t>12B⁵, 18N⁷, 36N⁷, 36P⁹, 36I¹¹, 36L¹¹, 36N¹¹, 36M¹¹</t>
        </is>
      </c>
      <c r="M6436" t="inlineStr"/>
      <c r="N6436" t="inlineStr">
        <is>
          <t>12T¹, 36I⁵, 12C⁰, 6C¹, 12F³, 12B², 12E², 2B⁰, 4B⁰, 12G³, 1A⁰, 36I¹¹, 18N⁴, 18H³, 3C⁰, 18K³, 12B¹, 18G¹, 6H⁰, 6E¹, 3B⁰, 12P¹, 12L¹, 36P⁹, 12G⁰, 6A⁰, 12C¹, 12D³, 36Q⁴, 18P², 12E³, 18F¹, 3D⁰, 2C⁰, 6D⁰, 2A⁰, 12K¹, 12B⁵, 12D², 4C⁰, 6G⁰, 12S¹, 4E⁰, 9E⁰, 12N¹, 18F³, 36M¹¹, 6B¹, 36N¹¹, 6A¹, 6K⁰, 36I³, 3A⁰, 6F⁰, 18F², 18N⁷, 36L¹¹, 6B⁰, 36N⁷, 18I¹, 6I⁰, 6F¹, 6C⁰, 12F¹, 36D⁶, 6D¹, 6E⁰, 6L⁰, 6J⁰, 9H⁰, 12D⁰, 12H⁰, 12C², 12E⁰</t>
        </is>
      </c>
      <c r="O6436" t="inlineStr"/>
    </row>
    <row r="6437">
      <c r="A6437">
        <f>HYPERLINK("https://mathstats.uncg.edu/sites/pauli/congruence/csg21.html#group36F21", "36F²¹")</f>
        <v/>
      </c>
      <c r="B6437" t="n">
        <v>21</v>
      </c>
      <c r="C6437" t="inlineStr"/>
      <c r="D6437" t="inlineStr">
        <is>
          <t>432</t>
        </is>
      </c>
      <c r="E6437" t="inlineStr">
        <is>
          <t>1</t>
        </is>
      </c>
      <c r="F6437" t="inlineStr">
        <is>
          <t>36</t>
        </is>
      </c>
      <c r="G6437" t="inlineStr">
        <is>
          <t>0</t>
        </is>
      </c>
      <c r="H6437" t="inlineStr">
        <is>
          <t>0</t>
        </is>
      </c>
      <c r="I6437" t="inlineStr">
        <is>
          <t>2⁶, 4⁶, 6⁴, 12⁴, 18⁶, 36⁶</t>
        </is>
      </c>
      <c r="J6437" t="n">
        <v>32</v>
      </c>
      <c r="K6437" t="inlineStr">
        <is>
          <t>1⁶, 2⁶, 6³</t>
        </is>
      </c>
      <c r="L6437" t="inlineStr">
        <is>
          <t>36L⁵, 18O⁷, 36O⁷, 36K¹¹</t>
        </is>
      </c>
      <c r="M6437" t="inlineStr"/>
      <c r="N6437" t="inlineStr">
        <is>
          <t>2A⁰, 4C⁰, 2B⁰, 4E⁰, 4B⁰, 1A⁰, 18C⁰, 18Q², 18C¹, 9I⁰, 18I³, 6F⁰, 36G³, 36O⁷, 3B⁰, 36L⁵, 12F¹, 6I⁰, 6C⁰, 9B⁰, 12P¹, 18J¹, 18O⁷, 18E⁰, 18G³, 36K¹¹, 36C¹, 2C⁰, 12E⁰</t>
        </is>
      </c>
      <c r="O6437" t="inlineStr"/>
    </row>
    <row r="6438">
      <c r="A6438">
        <f>HYPERLINK("https://mathstats.uncg.edu/sites/pauli/congruence/csg21.html#group39A21", "39A²¹")</f>
        <v/>
      </c>
      <c r="B6438" t="n">
        <v>21</v>
      </c>
      <c r="C6438" t="inlineStr"/>
      <c r="D6438" t="inlineStr">
        <is>
          <t>312</t>
        </is>
      </c>
      <c r="E6438" t="inlineStr">
        <is>
          <t>1</t>
        </is>
      </c>
      <c r="F6438" t="inlineStr">
        <is>
          <t>312</t>
        </is>
      </c>
      <c r="G6438" t="inlineStr">
        <is>
          <t>0</t>
        </is>
      </c>
      <c r="H6438" t="inlineStr">
        <is>
          <t>0</t>
        </is>
      </c>
      <c r="I6438" t="inlineStr">
        <is>
          <t>13⁶, 39⁶</t>
        </is>
      </c>
      <c r="J6438" t="n">
        <v>12</v>
      </c>
      <c r="K6438" t="inlineStr">
        <is>
          <t>6², 12¹³, 24⁶</t>
        </is>
      </c>
      <c r="L6438" t="inlineStr">
        <is>
          <t>3B⁰, 13A³</t>
        </is>
      </c>
      <c r="M6438" t="inlineStr"/>
      <c r="N6438" t="inlineStr">
        <is>
          <t>3B⁰, 13A³, 1A⁰</t>
        </is>
      </c>
      <c r="O6438" t="inlineStr"/>
    </row>
    <row r="6439">
      <c r="A6439">
        <f>HYPERLINK("https://mathstats.uncg.edu/sites/pauli/congruence/csg21.html#group39B21", "39B²¹")</f>
        <v/>
      </c>
      <c r="B6439" t="n">
        <v>21</v>
      </c>
      <c r="C6439" t="inlineStr"/>
      <c r="D6439" t="inlineStr">
        <is>
          <t>336</t>
        </is>
      </c>
      <c r="E6439" t="inlineStr">
        <is>
          <t>1</t>
        </is>
      </c>
      <c r="F6439" t="inlineStr">
        <is>
          <t>14</t>
        </is>
      </c>
      <c r="G6439" t="inlineStr">
        <is>
          <t>0</t>
        </is>
      </c>
      <c r="H6439" t="inlineStr">
        <is>
          <t>0</t>
        </is>
      </c>
      <c r="I6439" t="inlineStr">
        <is>
          <t>3⁸, 39⁸</t>
        </is>
      </c>
      <c r="J6439" t="n">
        <v>16</v>
      </c>
      <c r="K6439" t="inlineStr">
        <is>
          <t>1², 12¹</t>
        </is>
      </c>
      <c r="L6439" t="inlineStr">
        <is>
          <t>39B⁵, 39A⁹, 39A¹¹, 39B¹¹</t>
        </is>
      </c>
      <c r="M6439" t="inlineStr"/>
      <c r="N6439" t="inlineStr">
        <is>
          <t>39A², 3B⁰, 39A³, 39A⁹, 13A⁰, 39A⁶, 39A¹¹, 1A⁰, 39A⁵, 3C⁰, 39B¹¹, 13B⁰, 39A⁴, 3A⁰, 3D⁰, 39B⁵</t>
        </is>
      </c>
      <c r="O6439" t="inlineStr"/>
    </row>
    <row r="6440">
      <c r="A6440">
        <f>HYPERLINK("https://mathstats.uncg.edu/sites/pauli/congruence/csg21.html#group40A21", "40A²¹")</f>
        <v/>
      </c>
      <c r="B6440" t="n">
        <v>21</v>
      </c>
      <c r="C6440" t="inlineStr"/>
      <c r="D6440" t="inlineStr">
        <is>
          <t>320</t>
        </is>
      </c>
      <c r="E6440" t="inlineStr">
        <is>
          <t>1</t>
        </is>
      </c>
      <c r="F6440" t="inlineStr">
        <is>
          <t>40</t>
        </is>
      </c>
      <c r="G6440" t="inlineStr">
        <is>
          <t>0</t>
        </is>
      </c>
      <c r="H6440" t="inlineStr">
        <is>
          <t>8</t>
        </is>
      </c>
      <c r="I6440" t="inlineStr">
        <is>
          <t>40⁸</t>
        </is>
      </c>
      <c r="J6440" t="n">
        <v>8</v>
      </c>
      <c r="K6440" t="inlineStr">
        <is>
          <t>4², 8⁴</t>
        </is>
      </c>
      <c r="L6440" t="inlineStr">
        <is>
          <t>20A⁹, 40S⁹, 40T⁹</t>
        </is>
      </c>
      <c r="M6440" t="inlineStr"/>
      <c r="N6440" t="inlineStr">
        <is>
          <t>10H¹, 2A⁰, 40S⁹, 5A⁰, 20O³, 10D⁰, 20B⁵, 5F⁰, 20A¹, 20A⁵, 1A⁰, 10A⁰, 20D², 20A⁹, 4A⁰, 4D⁰, 10C¹, 40T⁹, 5C⁰, 20E²</t>
        </is>
      </c>
      <c r="O6440" t="inlineStr"/>
    </row>
    <row r="6441">
      <c r="A6441">
        <f>HYPERLINK("https://mathstats.uncg.edu/sites/pauli/congruence/csg21.html#group40B21", "40B²¹")</f>
        <v/>
      </c>
      <c r="B6441" t="n">
        <v>21</v>
      </c>
      <c r="C6441" t="inlineStr"/>
      <c r="D6441" t="inlineStr">
        <is>
          <t>320</t>
        </is>
      </c>
      <c r="E6441" t="inlineStr">
        <is>
          <t>1</t>
        </is>
      </c>
      <c r="F6441" t="inlineStr">
        <is>
          <t>40</t>
        </is>
      </c>
      <c r="G6441" t="inlineStr">
        <is>
          <t>0</t>
        </is>
      </c>
      <c r="H6441" t="inlineStr">
        <is>
          <t>8</t>
        </is>
      </c>
      <c r="I6441" t="inlineStr">
        <is>
          <t>40⁸</t>
        </is>
      </c>
      <c r="J6441" t="n">
        <v>8</v>
      </c>
      <c r="K6441" t="inlineStr">
        <is>
          <t>4², 8⁴</t>
        </is>
      </c>
      <c r="L6441" t="inlineStr">
        <is>
          <t>40D⁴, 20A⁹, 40U⁹, 40A¹¹, 40B¹¹, 40D¹¹</t>
        </is>
      </c>
      <c r="M6441" t="inlineStr"/>
      <c r="N6441" t="inlineStr">
        <is>
          <t>40F⁵, 2A⁰, 40B¹¹, 40D⁴, 5A⁰, 10H¹, 20O³, 10D⁰, 40U⁹, 40D¹¹, 8A⁰, 8E⁰, 20A¹, 20B⁵, 5F⁰, 20A⁵, 1A⁰, 40E⁵, 10A⁰, 20D², 20A⁹, 4A⁰, 4D⁰, 10C¹, 40A¹¹, 5C⁰, 20E², 40A²</t>
        </is>
      </c>
      <c r="O6441" t="inlineStr"/>
    </row>
    <row r="6442">
      <c r="A6442">
        <f>HYPERLINK("https://mathstats.uncg.edu/sites/pauli/congruence/csg21.html#group40C21", "40C²¹")</f>
        <v/>
      </c>
      <c r="B6442" t="n">
        <v>21</v>
      </c>
      <c r="C6442" t="inlineStr"/>
      <c r="D6442" t="inlineStr">
        <is>
          <t>320</t>
        </is>
      </c>
      <c r="E6442" t="inlineStr">
        <is>
          <t>1</t>
        </is>
      </c>
      <c r="F6442" t="inlineStr">
        <is>
          <t>80</t>
        </is>
      </c>
      <c r="G6442" t="inlineStr">
        <is>
          <t>0</t>
        </is>
      </c>
      <c r="H6442" t="inlineStr">
        <is>
          <t>8</t>
        </is>
      </c>
      <c r="I6442" t="inlineStr">
        <is>
          <t>40⁸</t>
        </is>
      </c>
      <c r="J6442" t="n">
        <v>8</v>
      </c>
      <c r="K6442" t="inlineStr">
        <is>
          <t>4⁴, 16⁴</t>
        </is>
      </c>
      <c r="L6442" t="inlineStr">
        <is>
          <t>8J¹, 40D⁴, 40B¹⁰, 40C¹¹</t>
        </is>
      </c>
      <c r="M6442" t="inlineStr"/>
      <c r="N6442" t="inlineStr">
        <is>
          <t>2A⁰, 40D⁴, 5A⁰, 8A⁰, 8E⁰, 40C¹¹, 20A¹, 8E¹, 8J¹, 1A⁰, 40D⁵, 40B¹⁰, 8F⁰, 20D², 10A⁰, 4A⁰, 4D⁰, 8M⁰, 40A²</t>
        </is>
      </c>
      <c r="O6442" t="inlineStr"/>
    </row>
    <row r="6443">
      <c r="A6443">
        <f>HYPERLINK("https://mathstats.uncg.edu/sites/pauli/congruence/csg21.html#group40D21", "40D²¹")</f>
        <v/>
      </c>
      <c r="B6443" t="n">
        <v>21</v>
      </c>
      <c r="C6443" t="inlineStr"/>
      <c r="D6443" t="inlineStr">
        <is>
          <t>320</t>
        </is>
      </c>
      <c r="E6443" t="inlineStr">
        <is>
          <t>2</t>
        </is>
      </c>
      <c r="F6443" t="inlineStr">
        <is>
          <t>160</t>
        </is>
      </c>
      <c r="G6443" t="inlineStr">
        <is>
          <t>8</t>
        </is>
      </c>
      <c r="H6443" t="inlineStr">
        <is>
          <t>2</t>
        </is>
      </c>
      <c r="I6443" t="inlineStr">
        <is>
          <t>40⁸</t>
        </is>
      </c>
      <c r="J6443" t="n">
        <v>8</v>
      </c>
      <c r="K6443" t="inlineStr">
        <is>
          <t>8⁸, 16¹⁶</t>
        </is>
      </c>
      <c r="L6443" t="inlineStr">
        <is>
          <t>40E⁵, 40A¹⁰</t>
        </is>
      </c>
      <c r="M6443" t="inlineStr"/>
      <c r="N6443" t="inlineStr">
        <is>
          <t>20E², 40E⁵, 8F⁰, 40A¹⁰, 1A⁰, 4A⁰, 5C⁰</t>
        </is>
      </c>
      <c r="O6443" t="inlineStr"/>
    </row>
    <row r="6444">
      <c r="A6444">
        <f>HYPERLINK("https://mathstats.uncg.edu/sites/pauli/congruence/csg21.html#group40E21", "40E²¹")</f>
        <v/>
      </c>
      <c r="B6444" t="n">
        <v>21</v>
      </c>
      <c r="C6444" t="inlineStr"/>
      <c r="D6444" t="inlineStr">
        <is>
          <t>320</t>
        </is>
      </c>
      <c r="E6444" t="inlineStr">
        <is>
          <t>2</t>
        </is>
      </c>
      <c r="F6444" t="inlineStr">
        <is>
          <t>160</t>
        </is>
      </c>
      <c r="G6444" t="inlineStr">
        <is>
          <t>8</t>
        </is>
      </c>
      <c r="H6444" t="inlineStr">
        <is>
          <t>2</t>
        </is>
      </c>
      <c r="I6444" t="inlineStr">
        <is>
          <t>40⁸</t>
        </is>
      </c>
      <c r="J6444" t="n">
        <v>8</v>
      </c>
      <c r="K6444" t="inlineStr">
        <is>
          <t>8⁸, 16¹⁶</t>
        </is>
      </c>
      <c r="L6444" t="inlineStr">
        <is>
          <t>8M⁰, 40F⁵, 40A¹⁰</t>
        </is>
      </c>
      <c r="M6444" t="inlineStr"/>
      <c r="N6444" t="inlineStr">
        <is>
          <t>40F⁵, 8F⁰, 4A⁰, 5C⁰, 8A⁰, 8M⁰, 40A¹⁰, 1A⁰, 20E²</t>
        </is>
      </c>
      <c r="O6444" t="inlineStr"/>
    </row>
    <row r="6445">
      <c r="A6445">
        <f>HYPERLINK("https://mathstats.uncg.edu/sites/pauli/congruence/csg21.html#group40F21", "40F²¹")</f>
        <v/>
      </c>
      <c r="B6445" t="n">
        <v>21</v>
      </c>
      <c r="C6445" t="inlineStr"/>
      <c r="D6445" t="inlineStr">
        <is>
          <t>360</t>
        </is>
      </c>
      <c r="E6445" t="inlineStr">
        <is>
          <t>1</t>
        </is>
      </c>
      <c r="F6445" t="inlineStr">
        <is>
          <t>45</t>
        </is>
      </c>
      <c r="G6445" t="inlineStr">
        <is>
          <t>16</t>
        </is>
      </c>
      <c r="H6445" t="inlineStr">
        <is>
          <t>0</t>
        </is>
      </c>
      <c r="I6445" t="inlineStr">
        <is>
          <t>20⁶, 40⁶</t>
        </is>
      </c>
      <c r="J6445" t="n">
        <v>12</v>
      </c>
      <c r="K6445" t="inlineStr">
        <is>
          <t>1³, 2³, 4⁹</t>
        </is>
      </c>
      <c r="L6445" t="inlineStr">
        <is>
          <t>20C⁸, 40C¹⁰, 40E¹¹</t>
        </is>
      </c>
      <c r="M6445" t="inlineStr"/>
      <c r="N6445" t="inlineStr">
        <is>
          <t>5A⁰, 40A⁴, 20E⁴, 10B¹, 20B², 4C⁰, 8B⁰, 2B⁰, 10E¹, 1A⁰, 20C⁸, 40E¹¹, 10C³, 10I¹, 40C¹⁰, 5E⁰, 20P³</t>
        </is>
      </c>
      <c r="O6445" t="inlineStr"/>
    </row>
    <row r="6446">
      <c r="A6446">
        <f>HYPERLINK("https://mathstats.uncg.edu/sites/pauli/congruence/csg21.html#group40G21", "40G²¹")</f>
        <v/>
      </c>
      <c r="B6446" t="n">
        <v>21</v>
      </c>
      <c r="C6446" t="inlineStr"/>
      <c r="D6446" t="inlineStr">
        <is>
          <t>360</t>
        </is>
      </c>
      <c r="E6446" t="inlineStr">
        <is>
          <t>1</t>
        </is>
      </c>
      <c r="F6446" t="inlineStr">
        <is>
          <t>90</t>
        </is>
      </c>
      <c r="G6446" t="inlineStr">
        <is>
          <t>4</t>
        </is>
      </c>
      <c r="H6446" t="inlineStr">
        <is>
          <t>0</t>
        </is>
      </c>
      <c r="I6446" t="inlineStr">
        <is>
          <t>10¹², 40⁶</t>
        </is>
      </c>
      <c r="J6446" t="n">
        <v>18</v>
      </c>
      <c r="K6446" t="inlineStr">
        <is>
          <t>2³, 4³, 8⁹</t>
        </is>
      </c>
      <c r="L6446" t="inlineStr">
        <is>
          <t>40I³, 20D⁶, 40J⁷</t>
        </is>
      </c>
      <c r="M6446" t="inlineStr"/>
      <c r="N6446" t="inlineStr">
        <is>
          <t>5A⁰, 10B¹, 5B⁰, 40J⁷, 2B⁰, 20F², 1A⁰, 10F¹, 20D⁶, 20A⁰, 10I¹, 40I³, 10F², 10C⁰, 5E⁰, 20P³, 5C⁰, 5G⁰</t>
        </is>
      </c>
      <c r="O6446" t="inlineStr"/>
    </row>
    <row r="6447">
      <c r="A6447">
        <f>HYPERLINK("https://mathstats.uncg.edu/sites/pauli/congruence/csg21.html#group40H21", "40H²¹")</f>
        <v/>
      </c>
      <c r="B6447" t="n">
        <v>21</v>
      </c>
      <c r="C6447" t="inlineStr"/>
      <c r="D6447" t="inlineStr">
        <is>
          <t>360</t>
        </is>
      </c>
      <c r="E6447" t="inlineStr">
        <is>
          <t>1</t>
        </is>
      </c>
      <c r="F6447" t="inlineStr">
        <is>
          <t>90</t>
        </is>
      </c>
      <c r="G6447" t="inlineStr">
        <is>
          <t>4</t>
        </is>
      </c>
      <c r="H6447" t="inlineStr">
        <is>
          <t>0</t>
        </is>
      </c>
      <c r="I6447" t="inlineStr">
        <is>
          <t>10¹², 40⁶</t>
        </is>
      </c>
      <c r="J6447" t="n">
        <v>18</v>
      </c>
      <c r="K6447" t="inlineStr">
        <is>
          <t>1², 2⁴, 4⁸, 8⁶</t>
        </is>
      </c>
      <c r="L6447" t="inlineStr">
        <is>
          <t>40G³, 40H⁷, 20B⁹, 40G¹⁰</t>
        </is>
      </c>
      <c r="M6447" t="inlineStr"/>
      <c r="N6447" t="inlineStr">
        <is>
          <t>20E¹, 5A⁰, 20E⁴, 10B¹, 20B², 4C⁰, 20B⁹, 5B⁰, 2B⁰, 1A⁰, 20F³, 10F¹, 10I¹, 10F², 20C⁵, 40H⁷, 5E⁰, 10C⁰, 40G¹⁰, 5C⁰, 5G⁰, 40G³</t>
        </is>
      </c>
      <c r="O6447" t="inlineStr"/>
    </row>
    <row r="6448">
      <c r="A6448">
        <f>HYPERLINK("https://mathstats.uncg.edu/sites/pauli/congruence/csg21.html#group40I21", "40I²¹")</f>
        <v/>
      </c>
      <c r="B6448" t="n">
        <v>21</v>
      </c>
      <c r="C6448" t="inlineStr"/>
      <c r="D6448" t="inlineStr">
        <is>
          <t>360</t>
        </is>
      </c>
      <c r="E6448" t="inlineStr">
        <is>
          <t>1</t>
        </is>
      </c>
      <c r="F6448" t="inlineStr">
        <is>
          <t>90</t>
        </is>
      </c>
      <c r="G6448" t="inlineStr">
        <is>
          <t>4</t>
        </is>
      </c>
      <c r="H6448" t="inlineStr">
        <is>
          <t>0</t>
        </is>
      </c>
      <c r="I6448" t="inlineStr">
        <is>
          <t>10¹², 40⁶</t>
        </is>
      </c>
      <c r="J6448" t="n">
        <v>18</v>
      </c>
      <c r="K6448" t="inlineStr">
        <is>
          <t>1², 2⁴, 4⁸, 8⁶</t>
        </is>
      </c>
      <c r="L6448" t="inlineStr">
        <is>
          <t>40H³, 40I⁷, 20B⁹, 40E¹⁰, 40G¹⁰</t>
        </is>
      </c>
      <c r="M6448" t="inlineStr"/>
      <c r="N6448" t="inlineStr">
        <is>
          <t>20E¹, 5A⁰, 20E⁴, 40I⁷, 40H³, 8D⁰, 10B¹, 20B², 4C⁰, 5C⁰, 20B⁹, 5B⁰, 2B⁰, 1A⁰, 20F³, 10F¹, 40C⁴, 40E¹⁰, 10I¹, 10F², 20C⁵, 5E⁰, 10C⁰, 40G¹⁰, 5G⁰</t>
        </is>
      </c>
      <c r="O6448" t="inlineStr"/>
    </row>
    <row r="6449">
      <c r="A6449">
        <f>HYPERLINK("https://mathstats.uncg.edu/sites/pauli/congruence/csg21.html#group40J21", "40J²¹")</f>
        <v/>
      </c>
      <c r="B6449" t="n">
        <v>21</v>
      </c>
      <c r="C6449" t="inlineStr"/>
      <c r="D6449" t="inlineStr">
        <is>
          <t>384</t>
        </is>
      </c>
      <c r="E6449" t="inlineStr">
        <is>
          <t>1</t>
        </is>
      </c>
      <c r="F6449" t="inlineStr">
        <is>
          <t>96</t>
        </is>
      </c>
      <c r="G6449" t="inlineStr">
        <is>
          <t>16</t>
        </is>
      </c>
      <c r="H6449" t="inlineStr">
        <is>
          <t>0</t>
        </is>
      </c>
      <c r="I6449" t="inlineStr">
        <is>
          <t>8⁸, 40⁸</t>
        </is>
      </c>
      <c r="J6449" t="n">
        <v>16</v>
      </c>
      <c r="K6449" t="inlineStr">
        <is>
          <t>4¹⁶, 16⁸</t>
        </is>
      </c>
      <c r="L6449" t="inlineStr">
        <is>
          <t>40G⁵, 40V⁹</t>
        </is>
      </c>
      <c r="M6449" t="inlineStr"/>
      <c r="N6449" t="inlineStr">
        <is>
          <t>40I⁵, 40V⁹, 8F⁰, 40G⁵, 4A⁰, 20G¹, 5B⁰, 1A⁰, 20B¹, 10B⁰</t>
        </is>
      </c>
      <c r="O6449" t="inlineStr"/>
    </row>
    <row r="6450">
      <c r="A6450">
        <f>HYPERLINK("https://mathstats.uncg.edu/sites/pauli/congruence/csg21.html#group40K21", "40K²¹")</f>
        <v/>
      </c>
      <c r="B6450" t="n">
        <v>21</v>
      </c>
      <c r="C6450" t="inlineStr"/>
      <c r="D6450" t="inlineStr">
        <is>
          <t>384</t>
        </is>
      </c>
      <c r="E6450" t="inlineStr">
        <is>
          <t>1</t>
        </is>
      </c>
      <c r="F6450" t="inlineStr">
        <is>
          <t>96</t>
        </is>
      </c>
      <c r="G6450" t="inlineStr">
        <is>
          <t>16</t>
        </is>
      </c>
      <c r="H6450" t="inlineStr">
        <is>
          <t>0</t>
        </is>
      </c>
      <c r="I6450" t="inlineStr">
        <is>
          <t>8⁸, 40⁸</t>
        </is>
      </c>
      <c r="J6450" t="n">
        <v>16</v>
      </c>
      <c r="K6450" t="inlineStr">
        <is>
          <t>4¹⁶, 16⁸</t>
        </is>
      </c>
      <c r="L6450" t="inlineStr">
        <is>
          <t>40H⁵, 40V⁹</t>
        </is>
      </c>
      <c r="M6450" t="inlineStr"/>
      <c r="N6450" t="inlineStr">
        <is>
          <t>40I⁵, 40V⁹, 8F⁰, 40H⁵, 4A⁰, 20G¹, 5B⁰, 1A⁰, 20B¹, 10B⁰</t>
        </is>
      </c>
      <c r="O6450" t="inlineStr"/>
    </row>
    <row r="6451">
      <c r="A6451">
        <f>HYPERLINK("https://mathstats.uncg.edu/sites/pauli/congruence/csg21.html#group40L21", "40L²¹")</f>
        <v/>
      </c>
      <c r="B6451" t="n">
        <v>21</v>
      </c>
      <c r="C6451" t="inlineStr"/>
      <c r="D6451" t="inlineStr">
        <is>
          <t>384</t>
        </is>
      </c>
      <c r="E6451" t="inlineStr">
        <is>
          <t>2</t>
        </is>
      </c>
      <c r="F6451" t="inlineStr">
        <is>
          <t>96</t>
        </is>
      </c>
      <c r="G6451" t="inlineStr">
        <is>
          <t>16</t>
        </is>
      </c>
      <c r="H6451" t="inlineStr">
        <is>
          <t>0</t>
        </is>
      </c>
      <c r="I6451" t="inlineStr">
        <is>
          <t>8⁸, 40⁸</t>
        </is>
      </c>
      <c r="J6451" t="n">
        <v>16</v>
      </c>
      <c r="K6451" t="inlineStr">
        <is>
          <t>4¹⁶, 16⁸</t>
        </is>
      </c>
      <c r="L6451" t="inlineStr">
        <is>
          <t>20Q³, 40V⁹</t>
        </is>
      </c>
      <c r="M6451" t="inlineStr"/>
      <c r="N6451" t="inlineStr">
        <is>
          <t>40I⁵, 40V⁹, 20C¹, 8F⁰, 4A⁰, 20G¹, 5B⁰, 1A⁰, 20Q³, 20B¹, 10B⁰</t>
        </is>
      </c>
      <c r="O6451" t="inlineStr"/>
    </row>
    <row r="6452">
      <c r="A6452">
        <f>HYPERLINK("https://mathstats.uncg.edu/sites/pauli/congruence/csg21.html#group40M21", "40M²¹")</f>
        <v/>
      </c>
      <c r="B6452" t="n">
        <v>21</v>
      </c>
      <c r="C6452" t="inlineStr"/>
      <c r="D6452" t="inlineStr">
        <is>
          <t>384</t>
        </is>
      </c>
      <c r="E6452" t="inlineStr">
        <is>
          <t>2</t>
        </is>
      </c>
      <c r="F6452" t="inlineStr">
        <is>
          <t>96</t>
        </is>
      </c>
      <c r="G6452" t="inlineStr">
        <is>
          <t>16</t>
        </is>
      </c>
      <c r="H6452" t="inlineStr">
        <is>
          <t>0</t>
        </is>
      </c>
      <c r="I6452" t="inlineStr">
        <is>
          <t>8⁸, 40⁸</t>
        </is>
      </c>
      <c r="J6452" t="n">
        <v>16</v>
      </c>
      <c r="K6452" t="inlineStr">
        <is>
          <t>4¹⁶, 16⁸</t>
        </is>
      </c>
      <c r="L6452" t="inlineStr">
        <is>
          <t>40J⁵, 40V⁹, 40H¹¹, 40I¹¹</t>
        </is>
      </c>
      <c r="M6452" t="inlineStr"/>
      <c r="N6452" t="inlineStr">
        <is>
          <t>40I⁵, 40H¹¹, 40A³, 5B⁰, 8A⁰, 1A⁰, 20B¹, 10B⁰, 40V⁹, 8F⁰, 40I¹¹, 40J⁵, 4A⁰, 40B³, 20G¹, 8M⁰</t>
        </is>
      </c>
      <c r="O6452" t="inlineStr"/>
    </row>
    <row r="6453">
      <c r="A6453">
        <f>HYPERLINK("https://mathstats.uncg.edu/sites/pauli/congruence/csg21.html#group41A21", "41A²¹")</f>
        <v/>
      </c>
      <c r="B6453" t="n">
        <v>21</v>
      </c>
      <c r="C6453" t="inlineStr"/>
      <c r="D6453" t="inlineStr">
        <is>
          <t>420</t>
        </is>
      </c>
      <c r="E6453" t="inlineStr">
        <is>
          <t>1</t>
        </is>
      </c>
      <c r="F6453" t="inlineStr">
        <is>
          <t>42</t>
        </is>
      </c>
      <c r="G6453" t="inlineStr">
        <is>
          <t>20</t>
        </is>
      </c>
      <c r="H6453" t="inlineStr">
        <is>
          <t>0</t>
        </is>
      </c>
      <c r="I6453" t="inlineStr">
        <is>
          <t>1¹⁰, 41¹⁰</t>
        </is>
      </c>
      <c r="J6453" t="n">
        <v>20</v>
      </c>
      <c r="K6453" t="inlineStr">
        <is>
          <t>1², 40¹</t>
        </is>
      </c>
      <c r="L6453" t="inlineStr">
        <is>
          <t>41A⁵, 41B¹¹</t>
        </is>
      </c>
      <c r="M6453" t="inlineStr"/>
      <c r="N6453" t="inlineStr">
        <is>
          <t>41A³, 41B¹¹, 1A⁰, 41A⁵</t>
        </is>
      </c>
      <c r="O6453" t="inlineStr"/>
    </row>
    <row r="6454">
      <c r="A6454">
        <f>HYPERLINK("https://mathstats.uncg.edu/sites/pauli/congruence/csg21.html#group42A21", "42A²¹")</f>
        <v/>
      </c>
      <c r="B6454" t="n">
        <v>21</v>
      </c>
      <c r="C6454" t="inlineStr"/>
      <c r="D6454" t="inlineStr">
        <is>
          <t>336</t>
        </is>
      </c>
      <c r="E6454" t="inlineStr">
        <is>
          <t>1</t>
        </is>
      </c>
      <c r="F6454" t="inlineStr">
        <is>
          <t>84</t>
        </is>
      </c>
      <c r="G6454" t="inlineStr">
        <is>
          <t>16</t>
        </is>
      </c>
      <c r="H6454" t="inlineStr">
        <is>
          <t>0</t>
        </is>
      </c>
      <c r="I6454" t="inlineStr">
        <is>
          <t>42⁸</t>
        </is>
      </c>
      <c r="J6454" t="n">
        <v>8</v>
      </c>
      <c r="K6454" t="inlineStr">
        <is>
          <t>1¹, 2¹, 3¹, 6⁵, 12⁴</t>
        </is>
      </c>
      <c r="L6454" t="inlineStr">
        <is>
          <t>42F⁴, 21B⁹, 42B⁹</t>
        </is>
      </c>
      <c r="M6454" t="inlineStr"/>
      <c r="N6454" t="inlineStr">
        <is>
          <t>21D², 6B⁰, 42F⁴, 6E⁰, 7F⁰, 21A⁰, 42B⁹, 3C⁰, 21B⁹, 42B¹, 3A⁰, 1A⁰, 21C³, 7A⁰</t>
        </is>
      </c>
      <c r="O6454" t="inlineStr"/>
    </row>
    <row r="6455">
      <c r="A6455">
        <f>HYPERLINK("https://mathstats.uncg.edu/sites/pauli/congruence/csg21.html#group42B21", "42B²¹")</f>
        <v/>
      </c>
      <c r="B6455" t="n">
        <v>21</v>
      </c>
      <c r="C6455" t="inlineStr"/>
      <c r="D6455" t="inlineStr">
        <is>
          <t>336</t>
        </is>
      </c>
      <c r="E6455" t="inlineStr">
        <is>
          <t>1</t>
        </is>
      </c>
      <c r="F6455" t="inlineStr">
        <is>
          <t>84</t>
        </is>
      </c>
      <c r="G6455" t="inlineStr">
        <is>
          <t>16</t>
        </is>
      </c>
      <c r="H6455" t="inlineStr">
        <is>
          <t>0</t>
        </is>
      </c>
      <c r="I6455" t="inlineStr">
        <is>
          <t>42⁸</t>
        </is>
      </c>
      <c r="J6455" t="n">
        <v>8</v>
      </c>
      <c r="K6455" t="inlineStr">
        <is>
          <t>1¹, 2¹, 3¹, 6⁵, 12⁴</t>
        </is>
      </c>
      <c r="L6455" t="inlineStr">
        <is>
          <t>42E⁵, 42N⁷, 21B⁹, 42A¹¹</t>
        </is>
      </c>
      <c r="M6455" t="inlineStr"/>
      <c r="N6455" t="inlineStr">
        <is>
          <t>14A⁰, 21D², 42A¹, 21A⁰, 14G¹, 1A⁰, 21C³, 42A¹¹, 42A², 42E⁵, 7F⁰, 3C⁰, 21B⁹, 42N⁷, 3A⁰, 7A⁰</t>
        </is>
      </c>
      <c r="O6455" t="inlineStr"/>
    </row>
    <row r="6456">
      <c r="A6456">
        <f>HYPERLINK("https://mathstats.uncg.edu/sites/pauli/congruence/csg21.html#group42C21", "42C²¹")</f>
        <v/>
      </c>
      <c r="B6456" t="n">
        <v>21</v>
      </c>
      <c r="C6456" t="inlineStr"/>
      <c r="D6456" t="inlineStr">
        <is>
          <t>336</t>
        </is>
      </c>
      <c r="E6456" t="inlineStr">
        <is>
          <t>1</t>
        </is>
      </c>
      <c r="F6456" t="inlineStr">
        <is>
          <t>336</t>
        </is>
      </c>
      <c r="G6456" t="inlineStr">
        <is>
          <t>0</t>
        </is>
      </c>
      <c r="H6456" t="inlineStr">
        <is>
          <t>0</t>
        </is>
      </c>
      <c r="I6456" t="inlineStr">
        <is>
          <t>7⁴, 14⁴, 21⁴, 42⁴</t>
        </is>
      </c>
      <c r="J6456" t="n">
        <v>16</v>
      </c>
      <c r="K6456" t="inlineStr">
        <is>
          <t>1⁶, 2³, 3⁶, 6²⁷, 12¹²</t>
        </is>
      </c>
      <c r="L6456" t="inlineStr">
        <is>
          <t>14D³, 21B⁶, 42C⁶</t>
        </is>
      </c>
      <c r="M6456" t="inlineStr"/>
      <c r="N6456" t="inlineStr">
        <is>
          <t>3B⁰, 21B², 14B¹, 42C⁶, 7F⁰, 6F⁰, 1A⁰, 2B⁰, 21B⁶, 7A⁰, 14D³</t>
        </is>
      </c>
      <c r="O6456" t="inlineStr"/>
    </row>
    <row r="6457">
      <c r="A6457">
        <f>HYPERLINK("https://mathstats.uncg.edu/sites/pauli/congruence/csg21.html#group42D21", "42D²¹")</f>
        <v/>
      </c>
      <c r="B6457" t="n">
        <v>21</v>
      </c>
      <c r="C6457" t="inlineStr"/>
      <c r="D6457" t="inlineStr">
        <is>
          <t>336</t>
        </is>
      </c>
      <c r="E6457" t="inlineStr">
        <is>
          <t>2</t>
        </is>
      </c>
      <c r="F6457" t="inlineStr">
        <is>
          <t>56</t>
        </is>
      </c>
      <c r="G6457" t="inlineStr">
        <is>
          <t>0</t>
        </is>
      </c>
      <c r="H6457" t="inlineStr">
        <is>
          <t>6</t>
        </is>
      </c>
      <c r="I6457" t="inlineStr">
        <is>
          <t>14⁶, 42⁶</t>
        </is>
      </c>
      <c r="J6457" t="n">
        <v>12</v>
      </c>
      <c r="K6457" t="inlineStr">
        <is>
          <t>2⁴, 4², 6⁸, 12⁴</t>
        </is>
      </c>
      <c r="L6457" t="inlineStr">
        <is>
          <t>14E³, 42F⁷, 42D¹¹</t>
        </is>
      </c>
      <c r="M6457" t="inlineStr"/>
      <c r="N6457" t="inlineStr">
        <is>
          <t>21B³, 2A⁰, 14A⁰, 3B⁰, 14A¹, 42F⁷, 6C⁰, 42D¹¹, 14D¹, 1A⁰, 14F¹, 21B², 14E³, 7C⁰, 42D⁴, 42E⁴, 7A⁰</t>
        </is>
      </c>
      <c r="O6457" t="inlineStr"/>
    </row>
    <row r="6458">
      <c r="A6458">
        <f>HYPERLINK("https://mathstats.uncg.edu/sites/pauli/congruence/csg21.html#group42E21", "42E²¹")</f>
        <v/>
      </c>
      <c r="B6458" t="n">
        <v>21</v>
      </c>
      <c r="C6458" t="inlineStr"/>
      <c r="D6458" t="inlineStr">
        <is>
          <t>336</t>
        </is>
      </c>
      <c r="E6458" t="inlineStr">
        <is>
          <t>2</t>
        </is>
      </c>
      <c r="F6458" t="inlineStr">
        <is>
          <t>84</t>
        </is>
      </c>
      <c r="G6458" t="inlineStr">
        <is>
          <t>16</t>
        </is>
      </c>
      <c r="H6458" t="inlineStr">
        <is>
          <t>0</t>
        </is>
      </c>
      <c r="I6458" t="inlineStr">
        <is>
          <t>42⁸</t>
        </is>
      </c>
      <c r="J6458" t="n">
        <v>8</v>
      </c>
      <c r="K6458" t="inlineStr">
        <is>
          <t>2³, 6³, 12¹²</t>
        </is>
      </c>
      <c r="L6458" t="inlineStr">
        <is>
          <t>42G⁴, 42H⁴, 21C⁷, 42B⁹, 42A¹¹</t>
        </is>
      </c>
      <c r="M6458" t="inlineStr"/>
      <c r="N6458" t="inlineStr">
        <is>
          <t>6B⁰, 42A², 42B¹, 42H⁴, 42G⁴, 21D¹, 7F⁰, 21A⁰, 42B⁹, 21C⁷, 3A⁰, 1A⁰, 21C³, 7A⁰, 42A¹¹</t>
        </is>
      </c>
      <c r="O6458" t="inlineStr"/>
    </row>
    <row r="6459">
      <c r="A6459">
        <f>HYPERLINK("https://mathstats.uncg.edu/sites/pauli/congruence/csg21.html#group42F21", "42F²¹")</f>
        <v/>
      </c>
      <c r="B6459" t="n">
        <v>21</v>
      </c>
      <c r="C6459" t="inlineStr"/>
      <c r="D6459" t="inlineStr">
        <is>
          <t>336</t>
        </is>
      </c>
      <c r="E6459" t="inlineStr">
        <is>
          <t>2</t>
        </is>
      </c>
      <c r="F6459" t="inlineStr">
        <is>
          <t>168</t>
        </is>
      </c>
      <c r="G6459" t="inlineStr">
        <is>
          <t>8</t>
        </is>
      </c>
      <c r="H6459" t="inlineStr">
        <is>
          <t>6</t>
        </is>
      </c>
      <c r="I6459" t="inlineStr">
        <is>
          <t>42⁸</t>
        </is>
      </c>
      <c r="J6459" t="n">
        <v>8</v>
      </c>
      <c r="K6459" t="inlineStr">
        <is>
          <t>12²⁸</t>
        </is>
      </c>
      <c r="L6459" t="inlineStr">
        <is>
          <t>21A⁸</t>
        </is>
      </c>
      <c r="M6459" t="inlineStr"/>
      <c r="N6459" t="inlineStr">
        <is>
          <t>21A⁸, 1A⁰, 7C⁰, 7A⁰, 21C¹</t>
        </is>
      </c>
      <c r="O6459" t="inlineStr"/>
    </row>
    <row r="6460">
      <c r="A6460">
        <f>HYPERLINK("https://mathstats.uncg.edu/sites/pauli/congruence/csg21.html#group42G21", "42G²¹")</f>
        <v/>
      </c>
      <c r="B6460" t="n">
        <v>21</v>
      </c>
      <c r="C6460" t="inlineStr"/>
      <c r="D6460" t="inlineStr">
        <is>
          <t>384</t>
        </is>
      </c>
      <c r="E6460" t="inlineStr">
        <is>
          <t>1</t>
        </is>
      </c>
      <c r="F6460" t="inlineStr">
        <is>
          <t>32</t>
        </is>
      </c>
      <c r="G6460" t="inlineStr">
        <is>
          <t>0</t>
        </is>
      </c>
      <c r="H6460" t="inlineStr">
        <is>
          <t>0</t>
        </is>
      </c>
      <c r="I6460" t="inlineStr">
        <is>
          <t>2⁶, 6⁶, 14⁶, 42⁶</t>
        </is>
      </c>
      <c r="J6460" t="n">
        <v>24</v>
      </c>
      <c r="K6460" t="inlineStr">
        <is>
          <t>1⁴, 2², 6², 12¹</t>
        </is>
      </c>
      <c r="L6460" t="inlineStr">
        <is>
          <t>21E⁵, 42I⁵, 42E¹¹, 42F¹¹</t>
        </is>
      </c>
      <c r="M6460" t="inlineStr"/>
      <c r="N6460" t="inlineStr">
        <is>
          <t>3B⁰, 42I⁵, 2A⁰, 6C⁰, 42E¹¹, 14D², 42F¹¹, 7E⁰, 42D³, 1A⁰, 21F¹, 21B¹, 21D³, 7B⁰, 42E³, 14B⁰, 21E⁵</t>
        </is>
      </c>
      <c r="O6460" t="inlineStr"/>
    </row>
    <row r="6461">
      <c r="A6461">
        <f>HYPERLINK("https://mathstats.uncg.edu/sites/pauli/congruence/csg21.html#group42H21", "42H²¹")</f>
        <v/>
      </c>
      <c r="B6461" t="n">
        <v>21</v>
      </c>
      <c r="C6461" t="inlineStr"/>
      <c r="D6461" t="inlineStr">
        <is>
          <t>384</t>
        </is>
      </c>
      <c r="E6461" t="inlineStr">
        <is>
          <t>1</t>
        </is>
      </c>
      <c r="F6461" t="inlineStr">
        <is>
          <t>32</t>
        </is>
      </c>
      <c r="G6461" t="inlineStr">
        <is>
          <t>0</t>
        </is>
      </c>
      <c r="H6461" t="inlineStr">
        <is>
          <t>0</t>
        </is>
      </c>
      <c r="I6461" t="inlineStr">
        <is>
          <t>2⁶, 6⁶, 14⁶, 42⁶</t>
        </is>
      </c>
      <c r="J6461" t="n">
        <v>24</v>
      </c>
      <c r="K6461" t="inlineStr">
        <is>
          <t>1⁴, 2², 6², 12¹</t>
        </is>
      </c>
      <c r="L6461" t="inlineStr">
        <is>
          <t>42I⁵, 42E⁹, 42G¹¹, 42I¹¹</t>
        </is>
      </c>
      <c r="M6461" t="inlineStr"/>
      <c r="N6461" t="inlineStr">
        <is>
          <t>3B⁰, 42I⁵, 2A⁰, 6I⁰, 6C⁰, 42D³, 2B⁰, 14E², 42G⁵, 1A⁰, 21F¹, 42I¹¹, 21B¹, 7B⁰, 42E³, 14B⁰, 14C¹, 42E⁹, 6F⁰, 2C⁰, 42G¹¹</t>
        </is>
      </c>
      <c r="O6461" t="inlineStr"/>
    </row>
    <row r="6462">
      <c r="A6462">
        <f>HYPERLINK("https://mathstats.uncg.edu/sites/pauli/congruence/csg21.html#group42I21", "42I²¹")</f>
        <v/>
      </c>
      <c r="B6462" t="n">
        <v>21</v>
      </c>
      <c r="C6462" t="inlineStr"/>
      <c r="D6462" t="inlineStr">
        <is>
          <t>384</t>
        </is>
      </c>
      <c r="E6462" t="inlineStr">
        <is>
          <t>1</t>
        </is>
      </c>
      <c r="F6462" t="inlineStr">
        <is>
          <t>64</t>
        </is>
      </c>
      <c r="G6462" t="inlineStr">
        <is>
          <t>0</t>
        </is>
      </c>
      <c r="H6462" t="inlineStr">
        <is>
          <t>12</t>
        </is>
      </c>
      <c r="I6462" t="inlineStr">
        <is>
          <t>6⁸, 42⁸</t>
        </is>
      </c>
      <c r="J6462" t="n">
        <v>16</v>
      </c>
      <c r="K6462" t="inlineStr">
        <is>
          <t>2⁸, 12⁴</t>
        </is>
      </c>
      <c r="L6462" t="inlineStr">
        <is>
          <t>42I⁵, 42H¹¹</t>
        </is>
      </c>
      <c r="M6462" t="inlineStr"/>
      <c r="N6462" t="inlineStr">
        <is>
          <t>3B⁰, 42I⁵, 2A⁰, 42H¹¹, 6C⁰, 42D³, 1A⁰, 21F¹, 42B², 21B¹, 6A⁰, 7B⁰, 42E³, 14B⁰, 6J⁰</t>
        </is>
      </c>
      <c r="O6462" t="inlineStr"/>
    </row>
    <row r="6463">
      <c r="A6463">
        <f>HYPERLINK("https://mathstats.uncg.edu/sites/pauli/congruence/csg21.html#group42J21", "42J²¹")</f>
        <v/>
      </c>
      <c r="B6463" t="n">
        <v>21</v>
      </c>
      <c r="C6463" t="inlineStr"/>
      <c r="D6463" t="inlineStr">
        <is>
          <t>384</t>
        </is>
      </c>
      <c r="E6463" t="inlineStr">
        <is>
          <t>2</t>
        </is>
      </c>
      <c r="F6463" t="inlineStr">
        <is>
          <t>32</t>
        </is>
      </c>
      <c r="G6463" t="inlineStr">
        <is>
          <t>0</t>
        </is>
      </c>
      <c r="H6463" t="inlineStr">
        <is>
          <t>12</t>
        </is>
      </c>
      <c r="I6463" t="inlineStr">
        <is>
          <t>6⁸, 42⁸</t>
        </is>
      </c>
      <c r="J6463" t="n">
        <v>16</v>
      </c>
      <c r="K6463" t="inlineStr">
        <is>
          <t>2⁸, 12⁴</t>
        </is>
      </c>
      <c r="L6463" t="inlineStr">
        <is>
          <t>42I⁵, 21D⁷, 42J¹¹, 42K¹¹</t>
        </is>
      </c>
      <c r="M6463" t="inlineStr"/>
      <c r="N6463" t="inlineStr">
        <is>
          <t>2A⁰, 42I⁵, 3B⁰, 21A¹, 6C⁰, 42K¹¹, 42D³, 1A⁰, 21F¹, 42J¹¹, 21B¹, 7B⁰, 21D⁷, 42E³, 14B⁰, 42C², 21C⁴</t>
        </is>
      </c>
      <c r="O6463" t="inlineStr"/>
    </row>
    <row r="6464">
      <c r="A6464">
        <f>HYPERLINK("https://mathstats.uncg.edu/sites/pauli/congruence/csg21.html#group44A21", "44A²¹")</f>
        <v/>
      </c>
      <c r="B6464" t="n">
        <v>21</v>
      </c>
      <c r="C6464" t="inlineStr"/>
      <c r="D6464" t="inlineStr">
        <is>
          <t>330</t>
        </is>
      </c>
      <c r="E6464" t="inlineStr">
        <is>
          <t>1</t>
        </is>
      </c>
      <c r="F6464" t="inlineStr">
        <is>
          <t>165</t>
        </is>
      </c>
      <c r="G6464" t="inlineStr">
        <is>
          <t>0</t>
        </is>
      </c>
      <c r="H6464" t="inlineStr">
        <is>
          <t>0</t>
        </is>
      </c>
      <c r="I6464" t="inlineStr">
        <is>
          <t>11¹⁰, 44⁵</t>
        </is>
      </c>
      <c r="J6464" t="n">
        <v>15</v>
      </c>
      <c r="K6464" t="inlineStr">
        <is>
          <t>5³, 10¹⁵</t>
        </is>
      </c>
      <c r="L6464" t="inlineStr">
        <is>
          <t>4B⁰, 22A⁸</t>
        </is>
      </c>
      <c r="M6464" t="inlineStr"/>
      <c r="N6464" t="inlineStr">
        <is>
          <t>11C¹, 2B⁰, 4B⁰, 1A⁰, 22A⁸</t>
        </is>
      </c>
      <c r="O6464" t="inlineStr"/>
    </row>
    <row r="6465">
      <c r="A6465">
        <f>HYPERLINK("https://mathstats.uncg.edu/sites/pauli/congruence/csg21.html#group44B21", "44B²¹")</f>
        <v/>
      </c>
      <c r="B6465" t="n">
        <v>21</v>
      </c>
      <c r="C6465" t="inlineStr"/>
      <c r="D6465" t="inlineStr">
        <is>
          <t>330</t>
        </is>
      </c>
      <c r="E6465" t="inlineStr">
        <is>
          <t>1</t>
        </is>
      </c>
      <c r="F6465" t="inlineStr">
        <is>
          <t>165</t>
        </is>
      </c>
      <c r="G6465" t="inlineStr">
        <is>
          <t>0</t>
        </is>
      </c>
      <c r="H6465" t="inlineStr">
        <is>
          <t>0</t>
        </is>
      </c>
      <c r="I6465" t="inlineStr">
        <is>
          <t>11¹⁰, 44⁵</t>
        </is>
      </c>
      <c r="J6465" t="n">
        <v>15</v>
      </c>
      <c r="K6465" t="inlineStr">
        <is>
          <t>5³, 10¹⁵</t>
        </is>
      </c>
      <c r="L6465" t="inlineStr">
        <is>
          <t>44A⁵, 22B⁹</t>
        </is>
      </c>
      <c r="M6465" t="inlineStr"/>
      <c r="N6465" t="inlineStr">
        <is>
          <t>11A⁰, 4B⁰, 2B⁰, 11B¹, 22B², 44A⁵, 1A⁰, 22B⁹</t>
        </is>
      </c>
      <c r="O6465" t="inlineStr"/>
    </row>
    <row r="6466">
      <c r="A6466">
        <f>HYPERLINK("https://mathstats.uncg.edu/sites/pauli/congruence/csg21.html#group44C21", "44C²¹")</f>
        <v/>
      </c>
      <c r="B6466" t="n">
        <v>21</v>
      </c>
      <c r="C6466" t="inlineStr"/>
      <c r="D6466" t="inlineStr">
        <is>
          <t>360</t>
        </is>
      </c>
      <c r="E6466" t="inlineStr">
        <is>
          <t>1</t>
        </is>
      </c>
      <c r="F6466" t="inlineStr">
        <is>
          <t>36</t>
        </is>
      </c>
      <c r="G6466" t="inlineStr">
        <is>
          <t>0</t>
        </is>
      </c>
      <c r="H6466" t="inlineStr">
        <is>
          <t>0</t>
        </is>
      </c>
      <c r="I6466" t="inlineStr">
        <is>
          <t>2⁵, 4⁵, 22⁵, 44⁵</t>
        </is>
      </c>
      <c r="J6466" t="n">
        <v>20</v>
      </c>
      <c r="K6466" t="inlineStr">
        <is>
          <t>1⁶, 10³</t>
        </is>
      </c>
      <c r="L6466" t="inlineStr">
        <is>
          <t>44B⁵, 22C⁶</t>
        </is>
      </c>
      <c r="M6466" t="inlineStr"/>
      <c r="N6466" t="inlineStr">
        <is>
          <t>11A¹, 4C⁰, 22C⁶, 44B⁵, 2B⁰, 22C², 1A⁰, 11D¹</t>
        </is>
      </c>
      <c r="O6466" t="inlineStr"/>
    </row>
    <row r="6467">
      <c r="A6467">
        <f>HYPERLINK("https://mathstats.uncg.edu/sites/pauli/congruence/csg21.html#group45A21", "45A²¹")</f>
        <v/>
      </c>
      <c r="B6467" t="n">
        <v>21</v>
      </c>
      <c r="C6467" t="inlineStr"/>
      <c r="D6467" t="inlineStr">
        <is>
          <t>324</t>
        </is>
      </c>
      <c r="E6467" t="inlineStr">
        <is>
          <t>1</t>
        </is>
      </c>
      <c r="F6467" t="inlineStr">
        <is>
          <t>162</t>
        </is>
      </c>
      <c r="G6467" t="inlineStr">
        <is>
          <t>4</t>
        </is>
      </c>
      <c r="H6467" t="inlineStr">
        <is>
          <t>0</t>
        </is>
      </c>
      <c r="I6467" t="inlineStr">
        <is>
          <t>9⁶, 45⁶</t>
        </is>
      </c>
      <c r="J6467" t="n">
        <v>12</v>
      </c>
      <c r="K6467" t="inlineStr">
        <is>
          <t>3², 6⁸, 12¹, 24⁴</t>
        </is>
      </c>
      <c r="L6467" t="inlineStr">
        <is>
          <t>9B², 45G⁵, 45B⁷, 45D⁸</t>
        </is>
      </c>
      <c r="M6467" t="inlineStr"/>
      <c r="N6467" t="inlineStr">
        <is>
          <t>45A², 15B⁰, 45G⁵, 45D⁸, 9A⁰, 9G⁰, 45B⁷, 5B⁰, 3C⁰, 9B², 9E⁰, 3A⁰, 1A⁰, 9B¹, 15E¹</t>
        </is>
      </c>
      <c r="O6467" t="inlineStr"/>
    </row>
    <row r="6468">
      <c r="A6468">
        <f>HYPERLINK("https://mathstats.uncg.edu/sites/pauli/congruence/csg21.html#group45B21", "45B²¹")</f>
        <v/>
      </c>
      <c r="B6468" t="n">
        <v>21</v>
      </c>
      <c r="C6468" t="inlineStr"/>
      <c r="D6468" t="inlineStr">
        <is>
          <t>360</t>
        </is>
      </c>
      <c r="E6468" t="inlineStr">
        <is>
          <t>1</t>
        </is>
      </c>
      <c r="F6468" t="inlineStr">
        <is>
          <t>30</t>
        </is>
      </c>
      <c r="G6468" t="inlineStr">
        <is>
          <t>24</t>
        </is>
      </c>
      <c r="H6468" t="inlineStr">
        <is>
          <t>0</t>
        </is>
      </c>
      <c r="I6468" t="inlineStr">
        <is>
          <t>45⁸</t>
        </is>
      </c>
      <c r="J6468" t="n">
        <v>8</v>
      </c>
      <c r="K6468" t="inlineStr">
        <is>
          <t>2¹, 4³, 8²</t>
        </is>
      </c>
      <c r="L6468" t="inlineStr">
        <is>
          <t>15A⁵, 45D¹⁰, 45A¹¹</t>
        </is>
      </c>
      <c r="M6468" t="inlineStr"/>
      <c r="N6468" t="inlineStr">
        <is>
          <t>45A¹¹, 15D¹, 9D⁰, 45E⁵, 9A⁰, 15D², 15A⁵, 3C⁰, 1A⁰, 15C³, 3A⁰, 5C⁰, 45D¹⁰</t>
        </is>
      </c>
      <c r="O6468" t="inlineStr"/>
    </row>
    <row r="6469">
      <c r="A6469">
        <f>HYPERLINK("https://mathstats.uncg.edu/sites/pauli/congruence/csg21.html#group45C21", "45C²¹")</f>
        <v/>
      </c>
      <c r="B6469" t="n">
        <v>21</v>
      </c>
      <c r="C6469" t="inlineStr"/>
      <c r="D6469" t="inlineStr">
        <is>
          <t>360</t>
        </is>
      </c>
      <c r="E6469" t="inlineStr">
        <is>
          <t>1</t>
        </is>
      </c>
      <c r="F6469" t="inlineStr">
        <is>
          <t>180</t>
        </is>
      </c>
      <c r="G6469" t="inlineStr">
        <is>
          <t>8</t>
        </is>
      </c>
      <c r="H6469" t="inlineStr">
        <is>
          <t>0</t>
        </is>
      </c>
      <c r="I6469" t="inlineStr">
        <is>
          <t>15¹², 45⁴</t>
        </is>
      </c>
      <c r="J6469" t="n">
        <v>16</v>
      </c>
      <c r="K6469" t="inlineStr">
        <is>
          <t>2¹, 4³, 6¹, 8², 12⁴, 24⁴</t>
        </is>
      </c>
      <c r="L6469" t="inlineStr">
        <is>
          <t>15A⁵, 45E¹¹</t>
        </is>
      </c>
      <c r="M6469" t="inlineStr"/>
      <c r="N6469" t="inlineStr">
        <is>
          <t>15D¹, 15D², 15A⁵, 3C⁰, 1A⁰, 15C³, 9E⁰, 3A⁰, 5C⁰, 45E¹¹</t>
        </is>
      </c>
      <c r="O6469" t="inlineStr"/>
    </row>
    <row r="6470">
      <c r="A6470">
        <f>HYPERLINK("https://mathstats.uncg.edu/sites/pauli/congruence/csg21.html#group45D21", "45D²¹")</f>
        <v/>
      </c>
      <c r="B6470" t="n">
        <v>21</v>
      </c>
      <c r="C6470" t="inlineStr"/>
      <c r="D6470" t="inlineStr">
        <is>
          <t>360</t>
        </is>
      </c>
      <c r="E6470" t="inlineStr">
        <is>
          <t>1</t>
        </is>
      </c>
      <c r="F6470" t="inlineStr">
        <is>
          <t>360</t>
        </is>
      </c>
      <c r="G6470" t="inlineStr">
        <is>
          <t>8</t>
        </is>
      </c>
      <c r="H6470" t="inlineStr">
        <is>
          <t>0</t>
        </is>
      </c>
      <c r="I6470" t="inlineStr">
        <is>
          <t>15¹², 45⁴</t>
        </is>
      </c>
      <c r="J6470" t="n">
        <v>16</v>
      </c>
      <c r="K6470" t="inlineStr">
        <is>
          <t>4¹, 8⁷, 12⁵, 24¹⁰</t>
        </is>
      </c>
      <c r="L6470" t="inlineStr">
        <is>
          <t>15A⁵</t>
        </is>
      </c>
      <c r="M6470" t="inlineStr"/>
      <c r="N6470" t="inlineStr">
        <is>
          <t>15D¹, 15D², 15A⁵, 3C⁰, 1A⁰, 15C³, 3A⁰, 5C⁰</t>
        </is>
      </c>
      <c r="O6470" t="inlineStr"/>
    </row>
    <row r="6471">
      <c r="A6471">
        <f>HYPERLINK("https://mathstats.uncg.edu/sites/pauli/congruence/csg21.html#group45E21", "45E²¹")</f>
        <v/>
      </c>
      <c r="B6471" t="n">
        <v>21</v>
      </c>
      <c r="C6471" t="inlineStr"/>
      <c r="D6471" t="inlineStr">
        <is>
          <t>432</t>
        </is>
      </c>
      <c r="E6471" t="inlineStr">
        <is>
          <t>1</t>
        </is>
      </c>
      <c r="F6471" t="inlineStr">
        <is>
          <t>36</t>
        </is>
      </c>
      <c r="G6471" t="inlineStr">
        <is>
          <t>0</t>
        </is>
      </c>
      <c r="H6471" t="inlineStr">
        <is>
          <t>0</t>
        </is>
      </c>
      <c r="I6471" t="inlineStr">
        <is>
          <t>3¹², 9⁴, 15¹², 45⁴</t>
        </is>
      </c>
      <c r="J6471" t="n">
        <v>32</v>
      </c>
      <c r="K6471" t="inlineStr">
        <is>
          <t>1⁴, 2⁴, 4², 8²</t>
        </is>
      </c>
      <c r="L6471" t="inlineStr">
        <is>
          <t>15C⁵, 45F⁹, 45F¹¹, 45H¹¹</t>
        </is>
      </c>
      <c r="M6471" t="inlineStr"/>
      <c r="N6471" t="inlineStr">
        <is>
          <t>3B⁰, 45F⁹, 45G⁵, 45F¹¹, 5B⁰, 5D⁰, 15G¹, 15F³, 9E⁰, 15H¹, 1A⁰, 15C¹, 15B⁰, 15C⁵, 15E³, 45H¹¹, 15B², 3C⁰, 15C⁰, 9H⁰, 3A⁰, 3D⁰, 15E¹</t>
        </is>
      </c>
      <c r="O6471" t="inlineStr"/>
    </row>
    <row r="6472">
      <c r="A6472">
        <f>HYPERLINK("https://mathstats.uncg.edu/sites/pauli/congruence/csg21.html#group45F21", "45F²¹")</f>
        <v/>
      </c>
      <c r="B6472" t="n">
        <v>21</v>
      </c>
      <c r="C6472" t="inlineStr"/>
      <c r="D6472" t="inlineStr">
        <is>
          <t>432</t>
        </is>
      </c>
      <c r="E6472" t="inlineStr">
        <is>
          <t>1</t>
        </is>
      </c>
      <c r="F6472" t="inlineStr">
        <is>
          <t>72</t>
        </is>
      </c>
      <c r="G6472" t="inlineStr">
        <is>
          <t>0</t>
        </is>
      </c>
      <c r="H6472" t="inlineStr">
        <is>
          <t>0</t>
        </is>
      </c>
      <c r="I6472" t="inlineStr">
        <is>
          <t>1⁶, 3⁴, 5⁶, 9⁶, 15⁴, 45⁶</t>
        </is>
      </c>
      <c r="J6472" t="n">
        <v>32</v>
      </c>
      <c r="K6472" t="inlineStr">
        <is>
          <t>1⁴, 2⁴, 4², 6², 8², 24¹</t>
        </is>
      </c>
      <c r="L6472" t="inlineStr">
        <is>
          <t>45H⁵, 45G¹¹</t>
        </is>
      </c>
      <c r="M6472" t="inlineStr"/>
      <c r="N6472" t="inlineStr">
        <is>
          <t>3B⁰, 15C¹, 5B⁰, 45G¹¹, 45H⁵, 9I⁰, 45D³, 9B⁰, 15G¹, 5D⁰, 1A⁰</t>
        </is>
      </c>
      <c r="O6472" t="inlineStr"/>
    </row>
    <row r="6473">
      <c r="A6473">
        <f>HYPERLINK("https://mathstats.uncg.edu/sites/pauli/congruence/csg21.html#group48A21", "48A²¹")</f>
        <v/>
      </c>
      <c r="B6473" t="n">
        <v>21</v>
      </c>
      <c r="C6473" t="inlineStr"/>
      <c r="D6473" t="inlineStr">
        <is>
          <t>288</t>
        </is>
      </c>
      <c r="E6473" t="inlineStr">
        <is>
          <t>1</t>
        </is>
      </c>
      <c r="F6473" t="inlineStr">
        <is>
          <t>3</t>
        </is>
      </c>
      <c r="G6473" t="inlineStr">
        <is>
          <t>0</t>
        </is>
      </c>
      <c r="H6473" t="inlineStr">
        <is>
          <t>0</t>
        </is>
      </c>
      <c r="I6473" t="inlineStr">
        <is>
          <t>24⁴, 48⁴</t>
        </is>
      </c>
      <c r="J6473" t="n">
        <v>8</v>
      </c>
      <c r="K6473" t="inlineStr">
        <is>
          <t>1³</t>
        </is>
      </c>
      <c r="L6473" t="inlineStr">
        <is>
          <t>48A⁷, 24B⁹, 48H⁹</t>
        </is>
      </c>
      <c r="M6473" t="inlineStr"/>
      <c r="N6473" t="inlineStr">
        <is>
          <t>24A³, 12C⁰, 48A⁷, 4C⁰, 6G⁰, 2B⁰, 24E⁵, 1A⁰, 24H³, 3C⁰, 6K⁰, 3A⁰, 6F⁰, 3B⁰, 8A¹, 12F¹, 24D¹, 24B⁹, 12L¹, 3D⁰, 24C³, 12C¹, 12D³, 48H⁹, 12C², 6D⁰</t>
        </is>
      </c>
      <c r="O6473" t="inlineStr"/>
    </row>
    <row r="6474">
      <c r="A6474">
        <f>HYPERLINK("https://mathstats.uncg.edu/sites/pauli/congruence/csg21.html#group48B21", "48B²¹")</f>
        <v/>
      </c>
      <c r="B6474" t="n">
        <v>21</v>
      </c>
      <c r="C6474" t="inlineStr"/>
      <c r="D6474" t="inlineStr">
        <is>
          <t>288</t>
        </is>
      </c>
      <c r="E6474" t="inlineStr">
        <is>
          <t>1</t>
        </is>
      </c>
      <c r="F6474" t="inlineStr">
        <is>
          <t>3</t>
        </is>
      </c>
      <c r="G6474" t="inlineStr">
        <is>
          <t>0</t>
        </is>
      </c>
      <c r="H6474" t="inlineStr">
        <is>
          <t>0</t>
        </is>
      </c>
      <c r="I6474" t="inlineStr">
        <is>
          <t>24⁴, 48⁴</t>
        </is>
      </c>
      <c r="J6474" t="n">
        <v>8</v>
      </c>
      <c r="K6474" t="inlineStr">
        <is>
          <t>1³</t>
        </is>
      </c>
      <c r="L6474" t="inlineStr">
        <is>
          <t>48B⁷, 24B⁹, 48I⁹</t>
        </is>
      </c>
      <c r="M6474" t="inlineStr"/>
      <c r="N6474" t="inlineStr">
        <is>
          <t>3B⁰, 24A³, 8A¹, 12C⁰, 12F¹, 4C⁰, 24D¹, 6G⁰, 24B⁹, 2B⁰, 48I⁹, 24E⁵, 1A⁰, 12L¹, 3D⁰, 24C³, 12D³, 24H³, 12C¹, 6F⁰, 3C⁰, 6K⁰, 3A⁰, 12C², 6D⁰, 48B⁷</t>
        </is>
      </c>
      <c r="O6474" t="inlineStr"/>
    </row>
    <row r="6475">
      <c r="A6475">
        <f>HYPERLINK("https://mathstats.uncg.edu/sites/pauli/congruence/csg21.html#group48C21", "48C²¹")</f>
        <v/>
      </c>
      <c r="B6475" t="n">
        <v>21</v>
      </c>
      <c r="C6475" t="inlineStr"/>
      <c r="D6475" t="inlineStr">
        <is>
          <t>288</t>
        </is>
      </c>
      <c r="E6475" t="inlineStr">
        <is>
          <t>1</t>
        </is>
      </c>
      <c r="F6475" t="inlineStr">
        <is>
          <t>3</t>
        </is>
      </c>
      <c r="G6475" t="inlineStr">
        <is>
          <t>0</t>
        </is>
      </c>
      <c r="H6475" t="inlineStr">
        <is>
          <t>0</t>
        </is>
      </c>
      <c r="I6475" t="inlineStr">
        <is>
          <t>24⁴, 48⁴</t>
        </is>
      </c>
      <c r="J6475" t="n">
        <v>8</v>
      </c>
      <c r="K6475" t="inlineStr">
        <is>
          <t>1³</t>
        </is>
      </c>
      <c r="L6475" t="inlineStr">
        <is>
          <t>48C⁷, 48N⁷, 24A⁹, 48E¹¹</t>
        </is>
      </c>
      <c r="M6475" t="inlineStr"/>
      <c r="N6475" t="inlineStr">
        <is>
          <t>12C⁰, 4C⁰, 12C², 24I³, 6G⁰, 2B⁰, 24C², 48E¹¹, 1A⁰, 16B⁰, 24A⁹, 24A⁰, 3C⁰, 6K⁰, 3A⁰, 48C⁷, 6F⁰, 3B⁰, 24B³, 12F¹, 8B⁰, 48A⁰, 12L¹, 48C⁴, 12C¹, 12D³, 48N⁷, 24C⁵, 3D⁰, 6D⁰</t>
        </is>
      </c>
      <c r="O6475" t="inlineStr"/>
    </row>
    <row r="6476">
      <c r="A6476">
        <f>HYPERLINK("https://mathstats.uncg.edu/sites/pauli/congruence/csg21.html#group48D21", "48D²¹")</f>
        <v/>
      </c>
      <c r="B6476" t="n">
        <v>21</v>
      </c>
      <c r="C6476" t="inlineStr"/>
      <c r="D6476" t="inlineStr">
        <is>
          <t>288</t>
        </is>
      </c>
      <c r="E6476" t="inlineStr">
        <is>
          <t>1</t>
        </is>
      </c>
      <c r="F6476" t="inlineStr">
        <is>
          <t>3</t>
        </is>
      </c>
      <c r="G6476" t="inlineStr">
        <is>
          <t>0</t>
        </is>
      </c>
      <c r="H6476" t="inlineStr">
        <is>
          <t>0</t>
        </is>
      </c>
      <c r="I6476" t="inlineStr">
        <is>
          <t>24⁴, 48⁴</t>
        </is>
      </c>
      <c r="J6476" t="n">
        <v>8</v>
      </c>
      <c r="K6476" t="inlineStr">
        <is>
          <t>1³</t>
        </is>
      </c>
      <c r="L6476" t="inlineStr">
        <is>
          <t>48D⁷, 48M⁷, 24A⁹, 48H¹¹</t>
        </is>
      </c>
      <c r="M6476" t="inlineStr"/>
      <c r="N6476" t="inlineStr">
        <is>
          <t>12C⁰, 4C⁰, 12C², 24I³, 6G⁰, 2B⁰, 24C², 1A⁰, 48H¹¹, 16A², 24A⁹, 48M⁷, 24A⁰, 3C⁰, 6K⁰, 3A⁰, 6F⁰, 3B⁰, 24B³, 12F¹, 8B⁰, 12L¹, 48D⁷, 12D³, 12C¹, 24C⁵, 48A², 48A⁶, 3D⁰, 6D⁰</t>
        </is>
      </c>
      <c r="O6476" t="inlineStr"/>
    </row>
    <row r="6477">
      <c r="A6477">
        <f>HYPERLINK("https://mathstats.uncg.edu/sites/pauli/congruence/csg21.html#group48E21", "48E²¹")</f>
        <v/>
      </c>
      <c r="B6477" t="n">
        <v>21</v>
      </c>
      <c r="C6477" t="inlineStr"/>
      <c r="D6477" t="inlineStr">
        <is>
          <t>288</t>
        </is>
      </c>
      <c r="E6477" t="inlineStr">
        <is>
          <t>1</t>
        </is>
      </c>
      <c r="F6477" t="inlineStr">
        <is>
          <t>3</t>
        </is>
      </c>
      <c r="G6477" t="inlineStr">
        <is>
          <t>0</t>
        </is>
      </c>
      <c r="H6477" t="inlineStr">
        <is>
          <t>0</t>
        </is>
      </c>
      <c r="I6477" t="inlineStr">
        <is>
          <t>24⁴, 48⁴</t>
        </is>
      </c>
      <c r="J6477" t="n">
        <v>8</v>
      </c>
      <c r="K6477" t="inlineStr">
        <is>
          <t>1³</t>
        </is>
      </c>
      <c r="L6477" t="inlineStr">
        <is>
          <t>16A⁵, 48F⁸, 24C⁹, 48D¹¹, 48J¹¹</t>
        </is>
      </c>
      <c r="M6477" t="inlineStr"/>
      <c r="N6477" t="inlineStr">
        <is>
          <t>2A⁰, 24A³, 48F⁸, 12C⁰, 4C⁰, 24A⁵, 6C¹, 12B², 4G⁰, 2B⁰, 4E⁰, 8C⁰, 4B⁰, 8F¹, 1A⁰, 16E², 12A⁴, 24B², 16D¹, 16B², 48B⁶, 24A⁰, 48D¹¹, 8G⁰, 4D⁰, 12A², 12B¹, 6A¹, 3A⁰, 16E³, 16D³, 8A¹, 48J¹¹, 8D⁰, 12E¹, 8B⁰, 8B¹, 24L², 24D⁴, 8H⁰, 12A⁰, 8C¹, 6A⁰, 48E³, 4A⁰, 16A⁵, 24C¹, 12J¹, 4F⁰, 24C⁹, 2C⁰, 6D⁰, 24B⁵</t>
        </is>
      </c>
      <c r="O6477" t="inlineStr"/>
    </row>
    <row r="6478">
      <c r="A6478">
        <f>HYPERLINK("https://mathstats.uncg.edu/sites/pauli/congruence/csg21.html#group48F21", "48F²¹")</f>
        <v/>
      </c>
      <c r="B6478" t="n">
        <v>21</v>
      </c>
      <c r="C6478" t="inlineStr"/>
      <c r="D6478" t="inlineStr">
        <is>
          <t>288</t>
        </is>
      </c>
      <c r="E6478" t="inlineStr">
        <is>
          <t>1</t>
        </is>
      </c>
      <c r="F6478" t="inlineStr">
        <is>
          <t>3</t>
        </is>
      </c>
      <c r="G6478" t="inlineStr">
        <is>
          <t>0</t>
        </is>
      </c>
      <c r="H6478" t="inlineStr">
        <is>
          <t>0</t>
        </is>
      </c>
      <c r="I6478" t="inlineStr">
        <is>
          <t>24⁴, 48⁴</t>
        </is>
      </c>
      <c r="J6478" t="n">
        <v>8</v>
      </c>
      <c r="K6478" t="inlineStr">
        <is>
          <t>1³</t>
        </is>
      </c>
      <c r="L6478" t="inlineStr">
        <is>
          <t>16B⁵, 48E⁵, 24C⁹, 48A¹¹, 48B¹¹, 48C¹¹</t>
        </is>
      </c>
      <c r="M6478" t="inlineStr"/>
      <c r="N6478" t="inlineStr">
        <is>
          <t>2A⁰, 24A³, 12C⁰, 4C⁰, 24A⁵, 16A³, 6C¹, 12B², 4G⁰, 2B⁰, 4E⁰, 8C⁰, 4B⁰, 8F¹, 1A⁰, 16A², 16B⁰, 12A⁴, 24B², 48B¹¹, 24A⁰, 8G⁰, 4D⁰, 24B⁵, 48A⁶, 12A², 12B¹, 6A¹, 16F¹, 3A⁰, 48E⁵, 8A¹, 16C³, 8D⁰, 12E¹, 16B³, 8B⁰, 16B¹, 48A⁰, 8B¹, 24L², 24D⁴, 8H⁰, 48C³, 16B⁵, 48A¹¹, 8C¹, 6A⁰, 12A⁰, 4A⁰, 24C¹, 12J¹, 4F⁰, 24C⁹, 2C⁰, 6D⁰, 48C¹¹</t>
        </is>
      </c>
      <c r="O6478" t="inlineStr"/>
    </row>
    <row r="6479">
      <c r="A6479">
        <f>HYPERLINK("https://mathstats.uncg.edu/sites/pauli/congruence/csg21.html#group48G21", "48G²¹")</f>
        <v/>
      </c>
      <c r="B6479" t="n">
        <v>21</v>
      </c>
      <c r="C6479" t="inlineStr"/>
      <c r="D6479" t="inlineStr">
        <is>
          <t>288</t>
        </is>
      </c>
      <c r="E6479" t="inlineStr">
        <is>
          <t>1</t>
        </is>
      </c>
      <c r="F6479" t="inlineStr">
        <is>
          <t>6</t>
        </is>
      </c>
      <c r="G6479" t="inlineStr">
        <is>
          <t>0</t>
        </is>
      </c>
      <c r="H6479" t="inlineStr">
        <is>
          <t>0</t>
        </is>
      </c>
      <c r="I6479" t="inlineStr">
        <is>
          <t>24⁴, 48⁴</t>
        </is>
      </c>
      <c r="J6479" t="n">
        <v>8</v>
      </c>
      <c r="K6479" t="inlineStr">
        <is>
          <t>1², 2²</t>
        </is>
      </c>
      <c r="L6479" t="inlineStr">
        <is>
          <t>48E⁷, 24B⁹, 48V⁹</t>
        </is>
      </c>
      <c r="M6479" t="inlineStr"/>
      <c r="N6479" t="inlineStr">
        <is>
          <t>24A³, 12C⁰, 4C⁰, 12C², 6G⁰, 2B⁰, 24E⁵, 1A⁰, 24H³, 3C⁰, 6K⁰, 3A⁰, 6F⁰, 48V⁹, 3B⁰, 8A¹, 12F¹, 24D¹, 24B⁹, 12L¹, 24C³, 48E⁷, 12C¹, 12D³, 3D⁰, 6D⁰</t>
        </is>
      </c>
      <c r="O6479" t="inlineStr"/>
    </row>
    <row r="6480">
      <c r="A6480">
        <f>HYPERLINK("https://mathstats.uncg.edu/sites/pauli/congruence/csg21.html#group48H21", "48H²¹")</f>
        <v/>
      </c>
      <c r="B6480" t="n">
        <v>21</v>
      </c>
      <c r="C6480" t="inlineStr"/>
      <c r="D6480" t="inlineStr">
        <is>
          <t>288</t>
        </is>
      </c>
      <c r="E6480" t="inlineStr">
        <is>
          <t>1</t>
        </is>
      </c>
      <c r="F6480" t="inlineStr">
        <is>
          <t>6</t>
        </is>
      </c>
      <c r="G6480" t="inlineStr">
        <is>
          <t>0</t>
        </is>
      </c>
      <c r="H6480" t="inlineStr">
        <is>
          <t>0</t>
        </is>
      </c>
      <c r="I6480" t="inlineStr">
        <is>
          <t>24⁴, 48⁴</t>
        </is>
      </c>
      <c r="J6480" t="n">
        <v>8</v>
      </c>
      <c r="K6480" t="inlineStr">
        <is>
          <t>1², 2²</t>
        </is>
      </c>
      <c r="L6480" t="inlineStr">
        <is>
          <t>48F⁷, 24A⁹, 48J⁹, 48M⁹</t>
        </is>
      </c>
      <c r="M6480" t="inlineStr"/>
      <c r="N6480" t="inlineStr">
        <is>
          <t>3B⁰, 12C⁰, 24B³, 12F¹, 48M⁹, 48J⁹, 4C⁰, 24I³, 8B⁰, 6G⁰, 16B¹, 2B⁰, 24C², 1A⁰, 12L¹, 3D⁰, 48C³, 24A⁹, 12D³, 12C¹, 24A⁰, 24C⁵, 6F⁰, 3C⁰, 6K⁰, 48F⁷, 48F³, 3A⁰, 12C², 6D⁰</t>
        </is>
      </c>
      <c r="O6480" t="inlineStr"/>
    </row>
    <row r="6481">
      <c r="A6481">
        <f>HYPERLINK("https://mathstats.uncg.edu/sites/pauli/congruence/csg21.html#group48I21", "48I²¹")</f>
        <v/>
      </c>
      <c r="B6481" t="n">
        <v>21</v>
      </c>
      <c r="C6481" t="inlineStr"/>
      <c r="D6481" t="inlineStr">
        <is>
          <t>288</t>
        </is>
      </c>
      <c r="E6481" t="inlineStr">
        <is>
          <t>1</t>
        </is>
      </c>
      <c r="F6481" t="inlineStr">
        <is>
          <t>6</t>
        </is>
      </c>
      <c r="G6481" t="inlineStr">
        <is>
          <t>0</t>
        </is>
      </c>
      <c r="H6481" t="inlineStr">
        <is>
          <t>0</t>
        </is>
      </c>
      <c r="I6481" t="inlineStr">
        <is>
          <t>24⁴, 48⁴</t>
        </is>
      </c>
      <c r="J6481" t="n">
        <v>8</v>
      </c>
      <c r="K6481" t="inlineStr">
        <is>
          <t>1⁴, 2¹</t>
        </is>
      </c>
      <c r="L6481" t="inlineStr">
        <is>
          <t>16C⁵, 48X⁸, 24D⁹, 48A¹¹, 48D¹¹</t>
        </is>
      </c>
      <c r="M6481" t="inlineStr"/>
      <c r="N6481" t="inlineStr">
        <is>
          <t>2A⁰, 24A³, 12C⁰, 16C⁵, 48X⁸, 4C⁰, 24A⁵, 6C¹, 12B², 16A³, 8L⁰, 2B⁰, 4E⁰, 4B⁰, 1A⁰, 16D¹, 16B², 48B⁶, 24A⁰, 48D¹¹, 8G¹, 12B¹, 6A¹, 3A⁰, 16D³, 8A¹, 8B⁰, 16B¹, 8B¹, 24D⁹, 48C³, 48A¹¹, 6A⁰, 48E³, 16F², 24M², 8J⁰, 2C⁰, 6D⁰, 24G⁴</t>
        </is>
      </c>
      <c r="O6481" t="inlineStr"/>
    </row>
    <row r="6482">
      <c r="A6482">
        <f>HYPERLINK("https://mathstats.uncg.edu/sites/pauli/congruence/csg21.html#group48J21", "48J²¹")</f>
        <v/>
      </c>
      <c r="B6482" t="n">
        <v>21</v>
      </c>
      <c r="C6482" t="inlineStr"/>
      <c r="D6482" t="inlineStr">
        <is>
          <t>288</t>
        </is>
      </c>
      <c r="E6482" t="inlineStr">
        <is>
          <t>1</t>
        </is>
      </c>
      <c r="F6482" t="inlineStr">
        <is>
          <t>6</t>
        </is>
      </c>
      <c r="G6482" t="inlineStr">
        <is>
          <t>0</t>
        </is>
      </c>
      <c r="H6482" t="inlineStr">
        <is>
          <t>0</t>
        </is>
      </c>
      <c r="I6482" t="inlineStr">
        <is>
          <t>24⁴, 48⁴</t>
        </is>
      </c>
      <c r="J6482" t="n">
        <v>8</v>
      </c>
      <c r="K6482" t="inlineStr">
        <is>
          <t>1⁴, 2¹</t>
        </is>
      </c>
      <c r="L6482" t="inlineStr">
        <is>
          <t>16D⁵, 48F⁵, 24D⁹, 48B¹¹, 48D¹¹, 48K¹¹</t>
        </is>
      </c>
      <c r="M6482" t="inlineStr"/>
      <c r="N6482" t="inlineStr">
        <is>
          <t>2A⁰, 24A³, 16D⁵, 12C⁰, 4C⁰, 24A⁵, 6C¹, 12B², 8L⁰, 2B⁰, 4E⁰, 4B⁰, 1A⁰, 16A², 16B⁰, 48B¹¹, 16D¹, 16B², 48B⁶, 24A⁰, 48D¹¹, 8G¹, 12B¹, 6A¹, 3A⁰, 48F⁵, 16D³, 8A¹, 48K¹¹, 8B⁰, 16B³, 48A⁰, 8B¹, 16J¹, 24D⁹, 6A⁰, 48E³, 24M², 16F³, 48A⁶, 8J⁰, 2C⁰, 6D⁰, 24G⁴</t>
        </is>
      </c>
      <c r="O6482" t="inlineStr"/>
    </row>
    <row r="6483">
      <c r="A6483">
        <f>HYPERLINK("https://mathstats.uncg.edu/sites/pauli/congruence/csg21.html#group48K21", "48K²¹")</f>
        <v/>
      </c>
      <c r="B6483" t="n">
        <v>21</v>
      </c>
      <c r="C6483" t="inlineStr"/>
      <c r="D6483" t="inlineStr">
        <is>
          <t>288</t>
        </is>
      </c>
      <c r="E6483" t="inlineStr">
        <is>
          <t>1</t>
        </is>
      </c>
      <c r="F6483" t="inlineStr">
        <is>
          <t>9</t>
        </is>
      </c>
      <c r="G6483" t="inlineStr">
        <is>
          <t>0</t>
        </is>
      </c>
      <c r="H6483" t="inlineStr">
        <is>
          <t>0</t>
        </is>
      </c>
      <c r="I6483" t="inlineStr">
        <is>
          <t>24⁴, 48⁴</t>
        </is>
      </c>
      <c r="J6483" t="n">
        <v>8</v>
      </c>
      <c r="K6483" t="inlineStr">
        <is>
          <t>1³, 2³</t>
        </is>
      </c>
      <c r="L6483" t="inlineStr">
        <is>
          <t>48S⁷, 24J⁹, 48J⁹, 48F¹¹</t>
        </is>
      </c>
      <c r="M6483" t="inlineStr"/>
      <c r="N6483" t="inlineStr">
        <is>
          <t>2A⁰, 24A³, 12C⁰, 12K¹, 12D², 6C¹, 24A⁵, 4C⁰, 12B², 24I³, 6G⁰, 2B⁰, 4E⁰, 12E², 24C², 4B⁰, 24E⁵, 1A⁰, 12G³, 48S⁷, 24F⁵, 24A⁰, 6B¹, 3C⁰, 24J⁹, 12B¹, 6A¹, 6H⁰, 3A⁰, 24H¹, 6E¹, 48F¹¹, 6B⁰, 8A¹, 48J⁹, 24D¹, 8B⁰, 8B¹, 12L¹, 24D⁵, 6A⁰, 12C¹, 12D⁰, 48F³, 12H⁰, 2C⁰, 6D⁰</t>
        </is>
      </c>
      <c r="O6483" t="inlineStr"/>
    </row>
    <row r="6484">
      <c r="A6484">
        <f>HYPERLINK("https://mathstats.uncg.edu/sites/pauli/congruence/csg21.html#group48L21", "48L²¹")</f>
        <v/>
      </c>
      <c r="B6484" t="n">
        <v>21</v>
      </c>
      <c r="C6484" t="inlineStr"/>
      <c r="D6484" t="inlineStr">
        <is>
          <t>288</t>
        </is>
      </c>
      <c r="E6484" t="inlineStr">
        <is>
          <t>1</t>
        </is>
      </c>
      <c r="F6484" t="inlineStr">
        <is>
          <t>9</t>
        </is>
      </c>
      <c r="G6484" t="inlineStr">
        <is>
          <t>0</t>
        </is>
      </c>
      <c r="H6484" t="inlineStr">
        <is>
          <t>0</t>
        </is>
      </c>
      <c r="I6484" t="inlineStr">
        <is>
          <t>24⁴, 48⁴</t>
        </is>
      </c>
      <c r="J6484" t="n">
        <v>8</v>
      </c>
      <c r="K6484" t="inlineStr">
        <is>
          <t>1³, 2³</t>
        </is>
      </c>
      <c r="L6484" t="inlineStr">
        <is>
          <t>48R⁸, 24C⁹, 48M¹¹, 48O¹¹</t>
        </is>
      </c>
      <c r="M6484" t="inlineStr"/>
      <c r="N6484" t="inlineStr">
        <is>
          <t>2A⁰, 24A³, 48M¹¹, 12C⁰, 48R⁸, 48O¹¹, 4C⁰, 6C¹, 24A⁵, 12B², 4G⁰, 2B⁰, 4E⁰, 8C⁰, 4B⁰, 8F¹, 1A⁰, 48H³, 12A⁴, 24B², 24A⁰, 48C⁶, 8G⁰, 4D⁰, 12A², 12B¹, 6A¹, 3A⁰, 8A¹, 8D⁰, 12E¹, 8B⁰, 8B¹, 24L², 24D⁴, 8H⁰, 12A⁰, 8C¹, 6A⁰, 4A⁰, 24C¹, 12J¹, 4F⁰, 24C⁹, 2C⁰, 6D⁰, 24B⁵</t>
        </is>
      </c>
      <c r="O6484" t="inlineStr"/>
    </row>
    <row r="6485">
      <c r="A6485">
        <f>HYPERLINK("https://mathstats.uncg.edu/sites/pauli/congruence/csg21.html#group48M21", "48M²¹")</f>
        <v/>
      </c>
      <c r="B6485" t="n">
        <v>21</v>
      </c>
      <c r="C6485" t="inlineStr"/>
      <c r="D6485" t="inlineStr">
        <is>
          <t>288</t>
        </is>
      </c>
      <c r="E6485" t="inlineStr">
        <is>
          <t>1</t>
        </is>
      </c>
      <c r="F6485" t="inlineStr">
        <is>
          <t>9</t>
        </is>
      </c>
      <c r="G6485" t="inlineStr">
        <is>
          <t>0</t>
        </is>
      </c>
      <c r="H6485" t="inlineStr">
        <is>
          <t>0</t>
        </is>
      </c>
      <c r="I6485" t="inlineStr">
        <is>
          <t>24⁴, 48⁴</t>
        </is>
      </c>
      <c r="J6485" t="n">
        <v>8</v>
      </c>
      <c r="K6485" t="inlineStr">
        <is>
          <t>1³, 2³</t>
        </is>
      </c>
      <c r="L6485" t="inlineStr">
        <is>
          <t>24S⁵, 48AH⁷, 48E¹¹, 48G¹¹, 48H¹¹</t>
        </is>
      </c>
      <c r="M6485" t="inlineStr"/>
      <c r="N6485" t="inlineStr">
        <is>
          <t>48G¹¹, 12T¹, 12C⁰, 4C⁰, 24I³, 6G⁰, 2B⁰, 24C², 12N¹, 48E¹¹, 1A⁰, 48H¹¹, 16A², 24H³, 24A⁰, 24S³, 24S⁵, 3C⁰, 6H⁰, 3A⁰, 24H¹, 48AH⁷, 6B⁰, 24D¹, 8B⁰, 12L¹, 48C⁴, 12G⁰, 12C¹, 6E⁰, 6L⁰, 48A², 12D⁰, 48A⁶, 12H⁰, 6D⁰</t>
        </is>
      </c>
      <c r="O6485" t="inlineStr"/>
    </row>
    <row r="6486">
      <c r="A6486">
        <f>HYPERLINK("https://mathstats.uncg.edu/sites/pauli/congruence/csg21.html#group48N21", "48N²¹")</f>
        <v/>
      </c>
      <c r="B6486" t="n">
        <v>21</v>
      </c>
      <c r="C6486" t="inlineStr"/>
      <c r="D6486" t="inlineStr">
        <is>
          <t>288</t>
        </is>
      </c>
      <c r="E6486" t="inlineStr">
        <is>
          <t>1</t>
        </is>
      </c>
      <c r="F6486" t="inlineStr">
        <is>
          <t>9</t>
        </is>
      </c>
      <c r="G6486" t="inlineStr">
        <is>
          <t>0</t>
        </is>
      </c>
      <c r="H6486" t="inlineStr">
        <is>
          <t>0</t>
        </is>
      </c>
      <c r="I6486" t="inlineStr">
        <is>
          <t>24⁴, 48⁴</t>
        </is>
      </c>
      <c r="J6486" t="n">
        <v>8</v>
      </c>
      <c r="K6486" t="inlineStr">
        <is>
          <t>1³, 2³</t>
        </is>
      </c>
      <c r="L6486" t="inlineStr">
        <is>
          <t>48G⁵, 24F⁹, 48B¹¹, 48F¹¹, 48L¹¹</t>
        </is>
      </c>
      <c r="M6486" t="inlineStr"/>
      <c r="N6486" t="inlineStr">
        <is>
          <t>24F⁹, 2A⁰, 24E¹, 24A³, 12C⁰, 4C⁰, 24A⁵, 6C¹, 12B², 24P², 12E², 12M¹, 2B⁰, 4E⁰, 4B⁰, 1A⁰, 16A², 16B⁰, 48B¹¹, 24A⁰, 48A⁶, 24D², 12B¹, 6A¹, 3A⁰, 24G⁵, 48F¹¹, 8A¹, 8B⁰, 16B³, 48A⁰, 8B¹, 48G⁵, 6A⁰, 12C¹, 48L¹¹, 24E⁴, 48F³, 12D⁰, 12C⁴, 2C⁰, 6D⁰</t>
        </is>
      </c>
      <c r="O6486" t="inlineStr"/>
    </row>
    <row r="6487">
      <c r="A6487">
        <f>HYPERLINK("https://mathstats.uncg.edu/sites/pauli/congruence/csg21.html#group48O21", "48O²¹")</f>
        <v/>
      </c>
      <c r="B6487" t="n">
        <v>21</v>
      </c>
      <c r="C6487" t="inlineStr"/>
      <c r="D6487" t="inlineStr">
        <is>
          <t>288</t>
        </is>
      </c>
      <c r="E6487" t="inlineStr">
        <is>
          <t>1</t>
        </is>
      </c>
      <c r="F6487" t="inlineStr">
        <is>
          <t>9</t>
        </is>
      </c>
      <c r="G6487" t="inlineStr">
        <is>
          <t>0</t>
        </is>
      </c>
      <c r="H6487" t="inlineStr">
        <is>
          <t>0</t>
        </is>
      </c>
      <c r="I6487" t="inlineStr">
        <is>
          <t>24⁴, 48⁴</t>
        </is>
      </c>
      <c r="J6487" t="n">
        <v>8</v>
      </c>
      <c r="K6487" t="inlineStr">
        <is>
          <t>1³, 2³</t>
        </is>
      </c>
      <c r="L6487" t="inlineStr">
        <is>
          <t>48M⁷, 48AH⁷, 24J⁹, 48E¹¹, 48I¹¹</t>
        </is>
      </c>
      <c r="M6487" t="inlineStr"/>
      <c r="N6487" t="inlineStr">
        <is>
          <t>2A⁰, 24A³, 12C⁰, 12K¹, 12D², 4C⁰, 6C¹, 24A⁵, 12B², 24I³, 6G⁰, 2B⁰, 4E⁰, 24C², 12E², 48E¹¹, 4B⁰, 1A⁰, 24E⁵, 12G³, 24F⁵, 48M⁷, 24A⁰, 6B¹, 3C⁰, 24J⁹, 12B¹, 6A¹, 6H⁰, 3A⁰, 24H¹, 48AH⁷, 6E¹, 48I¹¹, 6B⁰, 8A¹, 24D¹, 8B⁰, 8B¹, 12L¹, 48C⁴, 24D⁵, 6A⁰, 12C¹, 48A², 12D⁰, 12H⁰, 2C⁰, 6D⁰</t>
        </is>
      </c>
      <c r="O6487" t="inlineStr"/>
    </row>
    <row r="6488">
      <c r="A6488">
        <f>HYPERLINK("https://mathstats.uncg.edu/sites/pauli/congruence/csg21.html#group48P21", "48P²¹")</f>
        <v/>
      </c>
      <c r="B6488" t="n">
        <v>21</v>
      </c>
      <c r="C6488" t="inlineStr"/>
      <c r="D6488" t="inlineStr">
        <is>
          <t>288</t>
        </is>
      </c>
      <c r="E6488" t="inlineStr">
        <is>
          <t>1</t>
        </is>
      </c>
      <c r="F6488" t="inlineStr">
        <is>
          <t>9</t>
        </is>
      </c>
      <c r="G6488" t="inlineStr">
        <is>
          <t>0</t>
        </is>
      </c>
      <c r="H6488" t="inlineStr">
        <is>
          <t>0</t>
        </is>
      </c>
      <c r="I6488" t="inlineStr">
        <is>
          <t>24⁴, 48⁴</t>
        </is>
      </c>
      <c r="J6488" t="n">
        <v>8</v>
      </c>
      <c r="K6488" t="inlineStr">
        <is>
          <t>1³, 2³</t>
        </is>
      </c>
      <c r="L6488" t="inlineStr">
        <is>
          <t>48T⁷, 24J⁹, 48M⁹, 48A¹¹, 48F¹¹</t>
        </is>
      </c>
      <c r="M6488" t="inlineStr"/>
      <c r="N6488" t="inlineStr">
        <is>
          <t>2A⁰, 24A³, 12C⁰, 12K¹, 12D², 48M⁹, 4C⁰, 6C¹, 24A⁵, 12B², 16A³, 24I³, 2B⁰, 4E⁰, 6G⁰, 24C², 4B⁰, 12E², 1A⁰, 24E⁵, 12G³, 24F⁵, 48T⁷, 24A⁰, 6B¹, 3C⁰, 24J⁹, 12B¹, 6A¹, 6H⁰, 3A⁰, 24H¹, 6E¹, 48F¹¹, 6B⁰, 8A¹, 24D¹, 8B⁰, 16B¹, 8B¹, 12L¹, 48C³, 24D⁵, 48A¹¹, 6A⁰, 12C¹, 12D⁰, 48F³, 12H⁰, 2C⁰, 6D⁰</t>
        </is>
      </c>
      <c r="O6488" t="inlineStr"/>
    </row>
    <row r="6489">
      <c r="A6489">
        <f>HYPERLINK("https://mathstats.uncg.edu/sites/pauli/congruence/csg21.html#group48Q21", "48Q²¹")</f>
        <v/>
      </c>
      <c r="B6489" t="n">
        <v>21</v>
      </c>
      <c r="C6489" t="inlineStr"/>
      <c r="D6489" t="inlineStr">
        <is>
          <t>288</t>
        </is>
      </c>
      <c r="E6489" t="inlineStr">
        <is>
          <t>1</t>
        </is>
      </c>
      <c r="F6489" t="inlineStr">
        <is>
          <t>9</t>
        </is>
      </c>
      <c r="G6489" t="inlineStr">
        <is>
          <t>0</t>
        </is>
      </c>
      <c r="H6489" t="inlineStr">
        <is>
          <t>0</t>
        </is>
      </c>
      <c r="I6489" t="inlineStr">
        <is>
          <t>24⁴, 48⁴</t>
        </is>
      </c>
      <c r="J6489" t="n">
        <v>8</v>
      </c>
      <c r="K6489" t="inlineStr">
        <is>
          <t>1³, 2³</t>
        </is>
      </c>
      <c r="L6489" t="inlineStr">
        <is>
          <t>48U⁷, 24C⁹, 48K⁹, 48F¹¹, 48I¹¹</t>
        </is>
      </c>
      <c r="M6489" t="inlineStr"/>
      <c r="N6489" t="inlineStr">
        <is>
          <t>2A⁰, 24A³, 12C⁰, 6C¹, 24A⁵, 4C⁰, 12B², 4G⁰, 2B⁰, 4E⁰, 8C⁰, 4B⁰, 8F¹, 1A⁰, 12A⁴, 24B², 24A⁰, 8G⁰, 4D⁰, 12A², 12B¹, 6A¹, 3A⁰, 48F¹¹, 48I¹¹, 8A¹, 8D⁰, 48K⁹, 12E¹, 8B⁰, 8B¹, 48U⁷, 24L², 24D⁴, 48C⁴, 8H⁰, 12A⁰, 8C¹, 6A⁰, 24C⁹, 4A⁰, 24C¹, 48A², 12J¹, 4F⁰, 48F³, 2C⁰, 6D⁰, 24B⁵</t>
        </is>
      </c>
      <c r="O6489" t="inlineStr"/>
    </row>
    <row r="6490">
      <c r="A6490">
        <f>HYPERLINK("https://mathstats.uncg.edu/sites/pauli/congruence/csg21.html#group48R21", "48R²¹")</f>
        <v/>
      </c>
      <c r="B6490" t="n">
        <v>21</v>
      </c>
      <c r="C6490" t="inlineStr"/>
      <c r="D6490" t="inlineStr">
        <is>
          <t>288</t>
        </is>
      </c>
      <c r="E6490" t="inlineStr">
        <is>
          <t>1</t>
        </is>
      </c>
      <c r="F6490" t="inlineStr">
        <is>
          <t>9</t>
        </is>
      </c>
      <c r="G6490" t="inlineStr">
        <is>
          <t>0</t>
        </is>
      </c>
      <c r="H6490" t="inlineStr">
        <is>
          <t>0</t>
        </is>
      </c>
      <c r="I6490" t="inlineStr">
        <is>
          <t>24⁴, 48⁴</t>
        </is>
      </c>
      <c r="J6490" t="n">
        <v>8</v>
      </c>
      <c r="K6490" t="inlineStr">
        <is>
          <t>1³, 2³</t>
        </is>
      </c>
      <c r="L6490" t="inlineStr">
        <is>
          <t>48V⁷, 24F⁹, 48L⁹, 48A¹¹, 48I¹¹</t>
        </is>
      </c>
      <c r="M6490" t="inlineStr"/>
      <c r="N6490" t="inlineStr">
        <is>
          <t>24F⁹, 2A⁰, 24E¹, 24A³, 12C⁰, 4C⁰, 24A⁵, 6C¹, 12B², 24P², 12E², 12M¹, 2B⁰, 4E⁰, 16A³, 4B⁰, 1A⁰, 24A⁰, 24D², 12B¹, 6A¹, 3A⁰, 24G⁵, 48I¹¹, 8A¹, 8B⁰, 16B¹, 8B¹, 48C⁴, 48C³, 48V⁷, 48L⁹, 48A¹¹, 6A⁰, 12C¹, 24E⁴, 48A², 12D⁰, 12C⁴, 2C⁰, 6D⁰</t>
        </is>
      </c>
      <c r="O6490" t="inlineStr"/>
    </row>
    <row r="6491">
      <c r="A6491">
        <f>HYPERLINK("https://mathstats.uncg.edu/sites/pauli/congruence/csg21.html#group48S21", "48S²¹")</f>
        <v/>
      </c>
      <c r="B6491" t="n">
        <v>21</v>
      </c>
      <c r="C6491" t="inlineStr"/>
      <c r="D6491" t="inlineStr">
        <is>
          <t>288</t>
        </is>
      </c>
      <c r="E6491" t="inlineStr">
        <is>
          <t>1</t>
        </is>
      </c>
      <c r="F6491" t="inlineStr">
        <is>
          <t>9</t>
        </is>
      </c>
      <c r="G6491" t="inlineStr">
        <is>
          <t>0</t>
        </is>
      </c>
      <c r="H6491" t="inlineStr">
        <is>
          <t>0</t>
        </is>
      </c>
      <c r="I6491" t="inlineStr">
        <is>
          <t>24⁴, 48⁴</t>
        </is>
      </c>
      <c r="J6491" t="n">
        <v>8</v>
      </c>
      <c r="K6491" t="inlineStr">
        <is>
          <t>1³, 2³</t>
        </is>
      </c>
      <c r="L6491" t="inlineStr">
        <is>
          <t>48M³, 48N⁷, 24J⁹, 48B¹¹, 48G¹¹, 48H¹¹, 48I¹¹</t>
        </is>
      </c>
      <c r="M6491" t="inlineStr"/>
      <c r="N6491" t="inlineStr">
        <is>
          <t>48G¹¹, 2A⁰, 24A³, 12C⁰, 12K¹, 12D², 4C⁰, 6C¹, 24A⁵, 12B², 24I³, 6G⁰, 2B⁰, 4E⁰, 24C², 12E², 4B⁰, 24E⁵, 1A⁰, 12G³, 48H¹¹, 24F⁵, 16A², 16B⁰, 48B¹¹, 24A⁰, 6B¹, 3C⁰, 24J⁹, 12B¹, 6A¹, 6H⁰, 3A⁰, 24H¹, 6E¹, 48I¹¹, 6B⁰, 8A¹, 24D¹, 8B⁰, 16B³, 48A⁰, 8B¹, 12L¹, 48C⁴, 24D⁵, 6A⁰, 12C¹, 48M³, 48N⁷, 48A², 12D⁰, 48A⁶, 12H⁰, 2C⁰, 6D⁰</t>
        </is>
      </c>
      <c r="O6491" t="inlineStr"/>
    </row>
    <row r="6492">
      <c r="A6492">
        <f>HYPERLINK("https://mathstats.uncg.edu/sites/pauli/congruence/csg21.html#group48T21", "48T²¹")</f>
        <v/>
      </c>
      <c r="B6492" t="n">
        <v>21</v>
      </c>
      <c r="C6492" t="inlineStr"/>
      <c r="D6492" t="inlineStr">
        <is>
          <t>288</t>
        </is>
      </c>
      <c r="E6492" t="inlineStr">
        <is>
          <t>1</t>
        </is>
      </c>
      <c r="F6492" t="inlineStr">
        <is>
          <t>12</t>
        </is>
      </c>
      <c r="G6492" t="inlineStr">
        <is>
          <t>0</t>
        </is>
      </c>
      <c r="H6492" t="inlineStr">
        <is>
          <t>0</t>
        </is>
      </c>
      <c r="I6492" t="inlineStr">
        <is>
          <t>24⁴, 48⁴</t>
        </is>
      </c>
      <c r="J6492" t="n">
        <v>8</v>
      </c>
      <c r="K6492" t="inlineStr">
        <is>
          <t>2², 4²</t>
        </is>
      </c>
      <c r="L6492" t="inlineStr">
        <is>
          <t>16E⁵, 24K⁷, 48O⁷, 48C¹¹</t>
        </is>
      </c>
      <c r="M6492" t="inlineStr"/>
      <c r="N6492" t="inlineStr">
        <is>
          <t>12C⁰, 4C⁰, 8A⁰, 2B⁰, 8K⁰, 1A⁰, 8H¹, 16A², 24A¹, 24A⁰, 3A⁰, 16H¹, 24K⁷, 16C³, 8D⁰, 8B⁰, 16B¹, 24L², 8D¹, 24J³, 8H⁰, 48C³, 24H⁴, 12A⁰, 4A⁰, 24C¹, 12J¹, 4F⁰, 48A⁶, 48O⁷, 16E⁵, 6D⁰, 48C¹¹</t>
        </is>
      </c>
      <c r="O6492" t="inlineStr"/>
    </row>
    <row r="6493">
      <c r="A6493">
        <f>HYPERLINK("https://mathstats.uncg.edu/sites/pauli/congruence/csg21.html#group48U21", "48U²¹")</f>
        <v/>
      </c>
      <c r="B6493" t="n">
        <v>21</v>
      </c>
      <c r="C6493" t="inlineStr"/>
      <c r="D6493" t="inlineStr">
        <is>
          <t>288</t>
        </is>
      </c>
      <c r="E6493" t="inlineStr">
        <is>
          <t>1</t>
        </is>
      </c>
      <c r="F6493" t="inlineStr">
        <is>
          <t>12</t>
        </is>
      </c>
      <c r="G6493" t="inlineStr">
        <is>
          <t>0</t>
        </is>
      </c>
      <c r="H6493" t="inlineStr">
        <is>
          <t>0</t>
        </is>
      </c>
      <c r="I6493" t="inlineStr">
        <is>
          <t>24⁴, 48⁴</t>
        </is>
      </c>
      <c r="J6493" t="n">
        <v>8</v>
      </c>
      <c r="K6493" t="inlineStr">
        <is>
          <t>1², 2¹, 4²</t>
        </is>
      </c>
      <c r="L6493" t="inlineStr">
        <is>
          <t>16F⁵, 24L⁷, 48P⁷, 48C¹¹</t>
        </is>
      </c>
      <c r="M6493" t="inlineStr"/>
      <c r="N6493" t="inlineStr">
        <is>
          <t>16F⁵, 12C⁰, 16I¹, 4C⁰, 48P⁷, 2B⁰, 1A⁰, 16A², 16E⁰, 48E⁴, 24A⁰, 24L⁷, 48D³, 3A⁰, 16C³, 8D⁰, 8B⁰, 16B¹, 24L², 24F¹, 8H⁰, 48C³, 12A⁰, 8F⁰, 4A⁰, 8I¹, 16C¹, 24C¹, 12J¹, 4F⁰, 48A⁶, 6D⁰, 48C¹¹</t>
        </is>
      </c>
      <c r="O6493" t="inlineStr"/>
    </row>
    <row r="6494">
      <c r="A6494">
        <f>HYPERLINK("https://mathstats.uncg.edu/sites/pauli/congruence/csg21.html#group48V21", "48V²¹")</f>
        <v/>
      </c>
      <c r="B6494" t="n">
        <v>21</v>
      </c>
      <c r="C6494" t="inlineStr"/>
      <c r="D6494" t="inlineStr">
        <is>
          <t>288</t>
        </is>
      </c>
      <c r="E6494" t="inlineStr">
        <is>
          <t>1</t>
        </is>
      </c>
      <c r="F6494" t="inlineStr">
        <is>
          <t>12</t>
        </is>
      </c>
      <c r="G6494" t="inlineStr">
        <is>
          <t>0</t>
        </is>
      </c>
      <c r="H6494" t="inlineStr">
        <is>
          <t>0</t>
        </is>
      </c>
      <c r="I6494" t="inlineStr">
        <is>
          <t>24⁴, 48⁴</t>
        </is>
      </c>
      <c r="J6494" t="n">
        <v>8</v>
      </c>
      <c r="K6494" t="inlineStr">
        <is>
          <t>2⁶</t>
        </is>
      </c>
      <c r="L6494" t="inlineStr">
        <is>
          <t>16G⁵, 24D⁶, 48F⁸, 48X⁸, 48C¹¹, 48K¹¹</t>
        </is>
      </c>
      <c r="M6494" t="inlineStr"/>
      <c r="N6494" t="inlineStr">
        <is>
          <t>24D⁶, 48F⁸, 12C⁰, 48X⁸, 4C⁰, 8L⁰, 2B⁰, 1A⁰, 16E², 16A², 16D¹, 24A⁰, 3A⁰, 8P⁰, 16C³, 8D⁰, 48K¹¹, 8B⁰, 16G⁵, 16B¹, 24L², 8H⁰, 48C³, 12A⁰, 48E³, 16F², 4A⁰, 24M², 16F³, 24C¹, 12J¹, 4F⁰, 48A⁶, 6D⁰, 48C¹¹</t>
        </is>
      </c>
      <c r="O6494" t="inlineStr"/>
    </row>
    <row r="6495">
      <c r="A6495">
        <f>HYPERLINK("https://mathstats.uncg.edu/sites/pauli/congruence/csg21.html#group48W21", "48W²¹")</f>
        <v/>
      </c>
      <c r="B6495" t="n">
        <v>21</v>
      </c>
      <c r="C6495" t="inlineStr"/>
      <c r="D6495" t="inlineStr">
        <is>
          <t>288</t>
        </is>
      </c>
      <c r="E6495" t="inlineStr">
        <is>
          <t>1</t>
        </is>
      </c>
      <c r="F6495" t="inlineStr">
        <is>
          <t>12</t>
        </is>
      </c>
      <c r="G6495" t="inlineStr">
        <is>
          <t>0</t>
        </is>
      </c>
      <c r="H6495" t="inlineStr">
        <is>
          <t>0</t>
        </is>
      </c>
      <c r="I6495" t="inlineStr">
        <is>
          <t>24⁴, 48⁴</t>
        </is>
      </c>
      <c r="J6495" t="n">
        <v>8</v>
      </c>
      <c r="K6495" t="inlineStr">
        <is>
          <t>1⁴, 2², 4¹</t>
        </is>
      </c>
      <c r="L6495" t="inlineStr">
        <is>
          <t>48G⁷, 24A⁹, 48W⁹, 48Z⁹</t>
        </is>
      </c>
      <c r="M6495" t="inlineStr"/>
      <c r="N6495" t="inlineStr">
        <is>
          <t>12C⁰, 48Z⁹, 4C⁰, 12C², 24I³, 6G⁰, 2B⁰, 24C², 1A⁰, 48H³, 16D¹, 24A⁹, 24A⁰, 48G⁷, 3C⁰, 6K⁰, 48W⁹, 3A⁰, 6F⁰, 3B⁰, 24B³, 12F¹, 8B⁰, 12L¹, 12C¹, 12D³, 48E³, 24C⁵, 3D⁰, 6D⁰</t>
        </is>
      </c>
      <c r="O6495" t="inlineStr"/>
    </row>
    <row r="6496">
      <c r="A6496">
        <f>HYPERLINK("https://mathstats.uncg.edu/sites/pauli/congruence/csg21.html#group48X21", "48X²¹")</f>
        <v/>
      </c>
      <c r="B6496" t="n">
        <v>21</v>
      </c>
      <c r="C6496" t="inlineStr"/>
      <c r="D6496" t="inlineStr">
        <is>
          <t>288</t>
        </is>
      </c>
      <c r="E6496" t="inlineStr">
        <is>
          <t>1</t>
        </is>
      </c>
      <c r="F6496" t="inlineStr">
        <is>
          <t>12</t>
        </is>
      </c>
      <c r="G6496" t="inlineStr">
        <is>
          <t>0</t>
        </is>
      </c>
      <c r="H6496" t="inlineStr">
        <is>
          <t>0</t>
        </is>
      </c>
      <c r="I6496" t="inlineStr">
        <is>
          <t>24⁴, 48⁴</t>
        </is>
      </c>
      <c r="J6496" t="n">
        <v>8</v>
      </c>
      <c r="K6496" t="inlineStr">
        <is>
          <t>1⁴, 2², 4¹</t>
        </is>
      </c>
      <c r="L6496" t="inlineStr">
        <is>
          <t>48H⁷, 24B⁹, 48P¹¹, 48S¹¹</t>
        </is>
      </c>
      <c r="M6496" t="inlineStr"/>
      <c r="N6496" t="inlineStr">
        <is>
          <t>24A³, 12C⁰, 48H⁷, 4C⁰, 12C², 6G⁰, 2B⁰, 24E⁵, 1A⁰, 48P¹¹, 16B², 48B⁶, 48C⁶, 24H³, 3C⁰, 6K⁰, 3A⁰, 6F⁰, 3B⁰, 8A¹, 12F¹, 24D¹, 24B⁹, 12L¹, 24C³, 12C¹, 12D³, 3D⁰, 48S¹¹, 6D⁰</t>
        </is>
      </c>
      <c r="O6496" t="inlineStr"/>
    </row>
    <row r="6497">
      <c r="A6497">
        <f>HYPERLINK("https://mathstats.uncg.edu/sites/pauli/congruence/csg21.html#group48Y21", "48Y²¹")</f>
        <v/>
      </c>
      <c r="B6497" t="n">
        <v>21</v>
      </c>
      <c r="C6497" t="inlineStr"/>
      <c r="D6497" t="inlineStr">
        <is>
          <t>288</t>
        </is>
      </c>
      <c r="E6497" t="inlineStr">
        <is>
          <t>1</t>
        </is>
      </c>
      <c r="F6497" t="inlineStr">
        <is>
          <t>18</t>
        </is>
      </c>
      <c r="G6497" t="inlineStr">
        <is>
          <t>0</t>
        </is>
      </c>
      <c r="H6497" t="inlineStr">
        <is>
          <t>0</t>
        </is>
      </c>
      <c r="I6497" t="inlineStr">
        <is>
          <t>24⁴, 48⁴</t>
        </is>
      </c>
      <c r="J6497" t="n">
        <v>8</v>
      </c>
      <c r="K6497" t="inlineStr">
        <is>
          <t>2³, 4³</t>
        </is>
      </c>
      <c r="L6497" t="inlineStr">
        <is>
          <t>24G⁹, 48V⁹</t>
        </is>
      </c>
      <c r="M6497" t="inlineStr"/>
      <c r="N6497" t="inlineStr">
        <is>
          <t>2A⁰, 12C⁰, 12K¹, 12D², 4C⁰, 6C¹, 12B², 6G⁰, 12E², 2B⁰, 24G⁹, 4E⁰, 24C², 4B⁰, 12G³, 1A⁰, 24F⁵, 24H³, 6B¹, 24S³, 3C⁰, 6A¹, 12B¹, 6H⁰, 3A⁰, 48V⁹, 6E¹, 6B⁰, 24D¹, 12L¹, 12C¹, 6A⁰, 24C⁵, 12D⁰, 12H⁰, 2C⁰, 6D⁰</t>
        </is>
      </c>
      <c r="O6497" t="inlineStr"/>
    </row>
    <row r="6498">
      <c r="A6498">
        <f>HYPERLINK("https://mathstats.uncg.edu/sites/pauli/congruence/csg21.html#group48Z21", "48Z²¹")</f>
        <v/>
      </c>
      <c r="B6498" t="n">
        <v>21</v>
      </c>
      <c r="C6498" t="inlineStr"/>
      <c r="D6498" t="inlineStr">
        <is>
          <t>288</t>
        </is>
      </c>
      <c r="E6498" t="inlineStr">
        <is>
          <t>1</t>
        </is>
      </c>
      <c r="F6498" t="inlineStr">
        <is>
          <t>18</t>
        </is>
      </c>
      <c r="G6498" t="inlineStr">
        <is>
          <t>0</t>
        </is>
      </c>
      <c r="H6498" t="inlineStr">
        <is>
          <t>0</t>
        </is>
      </c>
      <c r="I6498" t="inlineStr">
        <is>
          <t>24⁴, 48⁴</t>
        </is>
      </c>
      <c r="J6498" t="n">
        <v>8</v>
      </c>
      <c r="K6498" t="inlineStr">
        <is>
          <t>2³, 4³</t>
        </is>
      </c>
      <c r="L6498" t="inlineStr">
        <is>
          <t>24G⁹, 48H⁹, 48I⁹</t>
        </is>
      </c>
      <c r="M6498" t="inlineStr"/>
      <c r="N6498" t="inlineStr">
        <is>
          <t>2A⁰, 12C⁰, 12K¹, 12D², 4C⁰, 6C¹, 12B², 6G⁰, 12E², 2B⁰, 24G⁹, 4E⁰, 24C², 4B⁰, 12G³, 1A⁰, 24F⁵, 24H³, 6B¹, 24S³, 3C⁰, 6A¹, 12B¹, 6H⁰, 3A⁰, 6E¹, 6B⁰, 24D¹, 48I⁹, 12L¹, 12C¹, 6A⁰, 48H⁹, 24C⁵, 12D⁰, 12H⁰, 2C⁰, 6D⁰</t>
        </is>
      </c>
      <c r="O6498" t="inlineStr"/>
    </row>
    <row r="6499">
      <c r="A6499">
        <f>HYPERLINK("https://mathstats.uncg.edu/sites/pauli/congruence/csg21.html#group48AA21", "48AA²¹")</f>
        <v/>
      </c>
      <c r="B6499" t="n">
        <v>21</v>
      </c>
      <c r="C6499" t="inlineStr"/>
      <c r="D6499" t="inlineStr">
        <is>
          <t>288</t>
        </is>
      </c>
      <c r="E6499" t="inlineStr">
        <is>
          <t>1</t>
        </is>
      </c>
      <c r="F6499" t="inlineStr">
        <is>
          <t>18</t>
        </is>
      </c>
      <c r="G6499" t="inlineStr">
        <is>
          <t>0</t>
        </is>
      </c>
      <c r="H6499" t="inlineStr">
        <is>
          <t>0</t>
        </is>
      </c>
      <c r="I6499" t="inlineStr">
        <is>
          <t>24⁴, 48⁴</t>
        </is>
      </c>
      <c r="J6499" t="n">
        <v>8</v>
      </c>
      <c r="K6499" t="inlineStr">
        <is>
          <t>2⁵, 4²</t>
        </is>
      </c>
      <c r="L6499" t="inlineStr">
        <is>
          <t>24V⁵, 48S⁷, 48AB⁹, 48G¹¹, 48L¹¹</t>
        </is>
      </c>
      <c r="M6499" t="inlineStr"/>
      <c r="N6499" t="inlineStr">
        <is>
          <t>48G¹¹, 24E¹, 6B⁰, 12C⁰, 3A⁰, 24N², 4C⁰, 24D¹, 8B⁰, 24P², 2B⁰, 12M¹, 1A⁰, 48S⁷, 48C⁴, 16A², 12H², 24V⁵, 24A⁰, 48L¹¹, 48AB⁹, 48A⁶, 24T³, 48F³, 12D⁰, 6H⁰, 12H⁰, 24H¹, 6D⁰</t>
        </is>
      </c>
      <c r="O6499" t="inlineStr"/>
    </row>
    <row r="6500">
      <c r="A6500">
        <f>HYPERLINK("https://mathstats.uncg.edu/sites/pauli/congruence/csg21.html#group48AB21", "48AB²¹")</f>
        <v/>
      </c>
      <c r="B6500" t="n">
        <v>21</v>
      </c>
      <c r="C6500" t="inlineStr"/>
      <c r="D6500" t="inlineStr">
        <is>
          <t>288</t>
        </is>
      </c>
      <c r="E6500" t="inlineStr">
        <is>
          <t>1</t>
        </is>
      </c>
      <c r="F6500" t="inlineStr">
        <is>
          <t>18</t>
        </is>
      </c>
      <c r="G6500" t="inlineStr">
        <is>
          <t>0</t>
        </is>
      </c>
      <c r="H6500" t="inlineStr">
        <is>
          <t>0</t>
        </is>
      </c>
      <c r="I6500" t="inlineStr">
        <is>
          <t>24⁴, 48⁴</t>
        </is>
      </c>
      <c r="J6500" t="n">
        <v>8</v>
      </c>
      <c r="K6500" t="inlineStr">
        <is>
          <t>1², 2⁴, 4²</t>
        </is>
      </c>
      <c r="L6500" t="inlineStr">
        <is>
          <t>24O⁷, 48AI⁷, 48J⁹, 48H¹¹, 48L¹¹</t>
        </is>
      </c>
      <c r="M6500" t="inlineStr"/>
      <c r="N6500" t="inlineStr">
        <is>
          <t>48AI⁷, 24E¹, 12C⁰, 24P⁴, 24O⁷, 48J⁹, 4C⁰, 8B⁰, 24I³, 24P², 6G⁰, 12M¹, 2B⁰, 24C², 1A⁰, 12L¹, 48H¹¹, 16A², 12C¹, 24A⁰, 48L¹¹, 12I³, 24N³, 48A⁶, 48A², 3C⁰, 48F³, 3A⁰, 6D⁰</t>
        </is>
      </c>
      <c r="O6500" t="inlineStr"/>
    </row>
    <row r="6501">
      <c r="A6501">
        <f>HYPERLINK("https://mathstats.uncg.edu/sites/pauli/congruence/csg21.html#group48AC21", "48AC²¹")</f>
        <v/>
      </c>
      <c r="B6501" t="n">
        <v>21</v>
      </c>
      <c r="C6501" t="inlineStr"/>
      <c r="D6501" t="inlineStr">
        <is>
          <t>288</t>
        </is>
      </c>
      <c r="E6501" t="inlineStr">
        <is>
          <t>1</t>
        </is>
      </c>
      <c r="F6501" t="inlineStr">
        <is>
          <t>18</t>
        </is>
      </c>
      <c r="G6501" t="inlineStr">
        <is>
          <t>0</t>
        </is>
      </c>
      <c r="H6501" t="inlineStr">
        <is>
          <t>0</t>
        </is>
      </c>
      <c r="I6501" t="inlineStr">
        <is>
          <t>24⁴, 48⁴</t>
        </is>
      </c>
      <c r="J6501" t="n">
        <v>8</v>
      </c>
      <c r="K6501" t="inlineStr">
        <is>
          <t>1², 2⁴, 4²</t>
        </is>
      </c>
      <c r="L6501" t="inlineStr">
        <is>
          <t>24O⁷, 48L⁹, 48M⁹, 48AB⁹, 48E¹¹</t>
        </is>
      </c>
      <c r="M6501" t="inlineStr"/>
      <c r="N6501" t="inlineStr">
        <is>
          <t>24E¹, 12C⁰, 24P⁴, 24O⁷, 48M⁹, 4C⁰, 8B⁰, 24I³, 24P², 16B¹, 2B⁰, 12M¹, 6G⁰, 24C², 48E¹¹, 1A⁰, 12L¹, 48C⁴, 48C³, 48L⁹, 12C¹, 24A⁰, 12I³, 24N³, 48AB⁹, 3C⁰, 48F³, 3A⁰, 6D⁰</t>
        </is>
      </c>
      <c r="O6501" t="inlineStr"/>
    </row>
    <row r="6502">
      <c r="A6502">
        <f>HYPERLINK("https://mathstats.uncg.edu/sites/pauli/congruence/csg21.html#group48AD21", "48AD²¹")</f>
        <v/>
      </c>
      <c r="B6502" t="n">
        <v>21</v>
      </c>
      <c r="C6502" t="inlineStr"/>
      <c r="D6502" t="inlineStr">
        <is>
          <t>288</t>
        </is>
      </c>
      <c r="E6502" t="inlineStr">
        <is>
          <t>1</t>
        </is>
      </c>
      <c r="F6502" t="inlineStr">
        <is>
          <t>18</t>
        </is>
      </c>
      <c r="G6502" t="inlineStr">
        <is>
          <t>0</t>
        </is>
      </c>
      <c r="H6502" t="inlineStr">
        <is>
          <t>0</t>
        </is>
      </c>
      <c r="I6502" t="inlineStr">
        <is>
          <t>24⁴, 48⁴</t>
        </is>
      </c>
      <c r="J6502" t="n">
        <v>8</v>
      </c>
      <c r="K6502" t="inlineStr">
        <is>
          <t>1², 2⁴, 4²</t>
        </is>
      </c>
      <c r="L6502" t="inlineStr">
        <is>
          <t>24R⁷, 48J⁹, 48K⁹, 48AB⁹, 48E¹¹</t>
        </is>
      </c>
      <c r="M6502" t="inlineStr"/>
      <c r="N6502" t="inlineStr">
        <is>
          <t>24E¹, 12C⁰, 4C⁰, 24I³, 6G⁰, 24P², 12M¹, 2B⁰, 24C², 48E¹¹, 1A⁰, 24O³, 24R⁷, 24A⁰, 48AB⁹, 3C⁰, 3A⁰, 12G¹, 8D⁰, 48K⁹, 48J⁹, 8B⁰, 24L², 12L¹, 12J³, 48C⁴, 8H⁰, 12A⁰, 12C¹, 4A⁰, 24K⁴, 24C¹, 12J¹, 4F⁰, 48F³, 24L⁴, 6D⁰</t>
        </is>
      </c>
      <c r="O6502" t="inlineStr"/>
    </row>
    <row r="6503">
      <c r="A6503">
        <f>HYPERLINK("https://mathstats.uncg.edu/sites/pauli/congruence/csg21.html#group48AE21", "48AE²¹")</f>
        <v/>
      </c>
      <c r="B6503" t="n">
        <v>21</v>
      </c>
      <c r="C6503" t="inlineStr"/>
      <c r="D6503" t="inlineStr">
        <is>
          <t>288</t>
        </is>
      </c>
      <c r="E6503" t="inlineStr">
        <is>
          <t>1</t>
        </is>
      </c>
      <c r="F6503" t="inlineStr">
        <is>
          <t>18</t>
        </is>
      </c>
      <c r="G6503" t="inlineStr">
        <is>
          <t>0</t>
        </is>
      </c>
      <c r="H6503" t="inlineStr">
        <is>
          <t>0</t>
        </is>
      </c>
      <c r="I6503" t="inlineStr">
        <is>
          <t>24⁴, 48⁴</t>
        </is>
      </c>
      <c r="J6503" t="n">
        <v>8</v>
      </c>
      <c r="K6503" t="inlineStr">
        <is>
          <t>1², 2⁴, 4²</t>
        </is>
      </c>
      <c r="L6503" t="inlineStr">
        <is>
          <t>24W⁵, 48T⁷, 48K⁹, 48L⁹, 48C¹¹, 48G¹¹, 48L¹¹</t>
        </is>
      </c>
      <c r="M6503" t="inlineStr"/>
      <c r="N6503" t="inlineStr">
        <is>
          <t>48G¹¹, 12I², 24E¹, 24O², 24Q³, 12C⁰, 4C⁰, 24P², 2B⁰, 12M¹, 24P³, 1A⁰, 24W⁵, 16A², 48T⁷, 24A⁰, 6H⁰, 3A⁰, 24H¹, 6B⁰, 16C³, 8D⁰, 48K⁹, 24D¹, 8B⁰, 12F⁰, 16B¹, 24L², 48C⁴, 8H⁰, 48C³, 48L⁹, 12A⁰, 48L¹¹, 4A⁰, 24C¹, 48F³, 12J¹, 12D⁰, 4F⁰, 48A⁶, 12H⁰, 6D⁰, 48C¹¹</t>
        </is>
      </c>
      <c r="O6503" t="inlineStr"/>
    </row>
    <row r="6504">
      <c r="A6504">
        <f>HYPERLINK("https://mathstats.uncg.edu/sites/pauli/congruence/csg21.html#group48AF21", "48AF²¹")</f>
        <v/>
      </c>
      <c r="B6504" t="n">
        <v>21</v>
      </c>
      <c r="C6504" t="inlineStr"/>
      <c r="D6504" t="inlineStr">
        <is>
          <t>288</t>
        </is>
      </c>
      <c r="E6504" t="inlineStr">
        <is>
          <t>1</t>
        </is>
      </c>
      <c r="F6504" t="inlineStr">
        <is>
          <t>18</t>
        </is>
      </c>
      <c r="G6504" t="inlineStr">
        <is>
          <t>0</t>
        </is>
      </c>
      <c r="H6504" t="inlineStr">
        <is>
          <t>0</t>
        </is>
      </c>
      <c r="I6504" t="inlineStr">
        <is>
          <t>24⁴, 48⁴</t>
        </is>
      </c>
      <c r="J6504" t="n">
        <v>8</v>
      </c>
      <c r="K6504" t="inlineStr">
        <is>
          <t>1², 2⁴, 4²</t>
        </is>
      </c>
      <c r="L6504" t="inlineStr">
        <is>
          <t>24R⁷, 48U⁷, 48V⁷, 48M⁹, 48C¹¹, 48H¹¹, 48L¹¹</t>
        </is>
      </c>
      <c r="M6504" t="inlineStr"/>
      <c r="N6504" t="inlineStr">
        <is>
          <t>24E¹, 12C⁰, 48M⁹, 4C⁰, 24I³, 6G⁰, 24P², 2B⁰, 12M¹, 24C², 1A⁰, 24O³, 48H¹¹, 16A², 24R⁷, 24A⁰, 48A⁶, 3C⁰, 3A⁰, 12G¹, 16C³, 8D⁰, 8B⁰, 16B¹, 48U⁷, 24L², 12L¹, 12J³, 8H⁰, 48C³, 48V⁷, 12A⁰, 12C¹, 48L¹¹, 4A⁰, 24K⁴, 24C¹, 48A², 12J¹, 4F⁰, 48F³, 24L⁴, 6D⁰, 48C¹¹</t>
        </is>
      </c>
      <c r="O6504" t="inlineStr"/>
    </row>
    <row r="6505">
      <c r="A6505">
        <f>HYPERLINK("https://mathstats.uncg.edu/sites/pauli/congruence/csg21.html#group48AG21", "48AG²¹")</f>
        <v/>
      </c>
      <c r="B6505" t="n">
        <v>21</v>
      </c>
      <c r="C6505" t="inlineStr"/>
      <c r="D6505" t="inlineStr">
        <is>
          <t>288</t>
        </is>
      </c>
      <c r="E6505" t="inlineStr">
        <is>
          <t>1</t>
        </is>
      </c>
      <c r="F6505" t="inlineStr">
        <is>
          <t>18</t>
        </is>
      </c>
      <c r="G6505" t="inlineStr">
        <is>
          <t>0</t>
        </is>
      </c>
      <c r="H6505" t="inlineStr">
        <is>
          <t>0</t>
        </is>
      </c>
      <c r="I6505" t="inlineStr">
        <is>
          <t>24⁴, 48⁴</t>
        </is>
      </c>
      <c r="J6505" t="n">
        <v>8</v>
      </c>
      <c r="K6505" t="inlineStr">
        <is>
          <t>2⁷, 4¹</t>
        </is>
      </c>
      <c r="L6505" t="inlineStr">
        <is>
          <t>48S⁸, 48T⁸, 24F⁹, 48M¹¹, 48T¹¹, 48U¹¹</t>
        </is>
      </c>
      <c r="M6505" t="inlineStr"/>
      <c r="N6505" t="inlineStr">
        <is>
          <t>24F⁹, 2A⁰, 24E¹, 48M¹¹, 24A³, 12C⁰, 48T¹¹, 4C⁰, 24A⁵, 6C¹, 12B², 24P², 12E², 12M¹, 2B⁰, 4E⁰, 4B⁰, 1A⁰, 48H³, 48S⁸, 24A⁰, 48C⁶, 24D², 12B¹, 6A¹, 3A⁰, 24G⁵, 8A¹, 8B⁰, 48T⁸, 8B¹, 6A⁰, 12C¹, 24E⁴, 12D⁰, 12C⁴, 2C⁰, 48U¹¹, 6D⁰</t>
        </is>
      </c>
      <c r="O6505" t="inlineStr"/>
    </row>
    <row r="6506">
      <c r="A6506">
        <f>HYPERLINK("https://mathstats.uncg.edu/sites/pauli/congruence/csg21.html#group48AH21", "48AH²¹")</f>
        <v/>
      </c>
      <c r="B6506" t="n">
        <v>21</v>
      </c>
      <c r="C6506" t="inlineStr"/>
      <c r="D6506" t="inlineStr">
        <is>
          <t>288</t>
        </is>
      </c>
      <c r="E6506" t="inlineStr">
        <is>
          <t>1</t>
        </is>
      </c>
      <c r="F6506" t="inlineStr">
        <is>
          <t>18</t>
        </is>
      </c>
      <c r="G6506" t="inlineStr">
        <is>
          <t>0</t>
        </is>
      </c>
      <c r="H6506" t="inlineStr">
        <is>
          <t>0</t>
        </is>
      </c>
      <c r="I6506" t="inlineStr">
        <is>
          <t>24⁴, 48⁴</t>
        </is>
      </c>
      <c r="J6506" t="n">
        <v>8</v>
      </c>
      <c r="K6506" t="inlineStr">
        <is>
          <t>1⁴, 2⁵, 4¹</t>
        </is>
      </c>
      <c r="L6506" t="inlineStr">
        <is>
          <t>48AA⁸, 24D⁹, 48F¹¹, 48M¹¹</t>
        </is>
      </c>
      <c r="M6506" t="inlineStr"/>
      <c r="N6506" t="inlineStr">
        <is>
          <t>48F¹¹, 2A⁰, 48M¹¹, 24A³, 8A¹, 12C⁰, 4C⁰, 24A⁵, 8B⁰, 6C¹, 12B², 8L⁰, 2B⁰, 8B¹, 4E⁰, 4B⁰, 1A⁰, 48H³, 24D⁹, 6A⁰, 24A⁰, 48C⁶, 8G¹, 24M², 6D⁰, 12B¹, 6A¹, 48F³, 3A⁰, 8J⁰, 2C⁰, 48AA⁸, 24G⁴</t>
        </is>
      </c>
      <c r="O6506" t="inlineStr"/>
    </row>
    <row r="6507">
      <c r="A6507">
        <f>HYPERLINK("https://mathstats.uncg.edu/sites/pauli/congruence/csg21.html#group48AI21", "48AI²¹")</f>
        <v/>
      </c>
      <c r="B6507" t="n">
        <v>21</v>
      </c>
      <c r="C6507" t="inlineStr"/>
      <c r="D6507" t="inlineStr">
        <is>
          <t>288</t>
        </is>
      </c>
      <c r="E6507" t="inlineStr">
        <is>
          <t>1</t>
        </is>
      </c>
      <c r="F6507" t="inlineStr">
        <is>
          <t>18</t>
        </is>
      </c>
      <c r="G6507" t="inlineStr">
        <is>
          <t>0</t>
        </is>
      </c>
      <c r="H6507" t="inlineStr">
        <is>
          <t>0</t>
        </is>
      </c>
      <c r="I6507" t="inlineStr">
        <is>
          <t>24⁴, 48⁴</t>
        </is>
      </c>
      <c r="J6507" t="n">
        <v>8</v>
      </c>
      <c r="K6507" t="inlineStr">
        <is>
          <t>1⁴, 2⁵, 4¹</t>
        </is>
      </c>
      <c r="L6507" t="inlineStr">
        <is>
          <t>48AC⁸, 24S⁹, 48A¹¹, 48M¹¹</t>
        </is>
      </c>
      <c r="M6507" t="inlineStr"/>
      <c r="N6507" t="inlineStr">
        <is>
          <t>2A⁰, 24A³, 48M¹¹, 12C⁰, 8A¹, 4C⁰, 24S⁹, 24A⁵, 6C¹, 12B², 8B⁰, 2B⁰, 4E⁰, 8B¹, 16A³, 4B⁰, 16B¹, 1A⁰, 48H³, 24Q², 48C³, 48A¹¹, 6A⁰, 48C⁶, 24A⁰, 24N⁴, 12B¹, 6A¹, 48AC⁸, 3A⁰, 2C⁰, 6D⁰</t>
        </is>
      </c>
      <c r="O6507" t="inlineStr"/>
    </row>
    <row r="6508">
      <c r="A6508">
        <f>HYPERLINK("https://mathstats.uncg.edu/sites/pauli/congruence/csg21.html#group48AJ21", "48AJ²¹")</f>
        <v/>
      </c>
      <c r="B6508" t="n">
        <v>21</v>
      </c>
      <c r="C6508" t="inlineStr"/>
      <c r="D6508" t="inlineStr">
        <is>
          <t>288</t>
        </is>
      </c>
      <c r="E6508" t="inlineStr">
        <is>
          <t>1</t>
        </is>
      </c>
      <c r="F6508" t="inlineStr">
        <is>
          <t>18</t>
        </is>
      </c>
      <c r="G6508" t="inlineStr">
        <is>
          <t>0</t>
        </is>
      </c>
      <c r="H6508" t="inlineStr">
        <is>
          <t>0</t>
        </is>
      </c>
      <c r="I6508" t="inlineStr">
        <is>
          <t>24⁴, 48⁴</t>
        </is>
      </c>
      <c r="J6508" t="n">
        <v>8</v>
      </c>
      <c r="K6508" t="inlineStr">
        <is>
          <t>1⁴, 2⁵, 4¹</t>
        </is>
      </c>
      <c r="L6508" t="inlineStr">
        <is>
          <t>48AD⁸, 24S⁹, 48D¹¹, 48F¹¹</t>
        </is>
      </c>
      <c r="M6508" t="inlineStr"/>
      <c r="N6508" t="inlineStr">
        <is>
          <t>48F¹¹, 2A⁰, 24A³, 16D³, 12C⁰, 8A¹, 6C¹, 24S⁹, 24A⁵, 4C⁰, 12B², 8B⁰, 2B⁰, 8B¹, 4E⁰, 24Q², 4B⁰, 1A⁰, 48AD⁸, 16D¹, 16B², 6A⁰, 48B⁶, 24A⁰, 48D¹¹, 48E³, 24N⁴, 12B¹, 6A¹, 48F³, 3A⁰, 2C⁰, 6D⁰</t>
        </is>
      </c>
      <c r="O6508" t="inlineStr"/>
    </row>
    <row r="6509">
      <c r="A6509">
        <f>HYPERLINK("https://mathstats.uncg.edu/sites/pauli/congruence/csg21.html#group48AK21", "48AK²¹")</f>
        <v/>
      </c>
      <c r="B6509" t="n">
        <v>21</v>
      </c>
      <c r="C6509" t="inlineStr"/>
      <c r="D6509" t="inlineStr">
        <is>
          <t>288</t>
        </is>
      </c>
      <c r="E6509" t="inlineStr">
        <is>
          <t>1</t>
        </is>
      </c>
      <c r="F6509" t="inlineStr">
        <is>
          <t>18</t>
        </is>
      </c>
      <c r="G6509" t="inlineStr">
        <is>
          <t>0</t>
        </is>
      </c>
      <c r="H6509" t="inlineStr">
        <is>
          <t>0</t>
        </is>
      </c>
      <c r="I6509" t="inlineStr">
        <is>
          <t>24⁴, 48⁴</t>
        </is>
      </c>
      <c r="J6509" t="n">
        <v>8</v>
      </c>
      <c r="K6509" t="inlineStr">
        <is>
          <t>1⁴, 2⁵, 4¹</t>
        </is>
      </c>
      <c r="L6509" t="inlineStr">
        <is>
          <t>48H⁵, 24S⁹, 48B¹¹, 48M¹¹, 48Q¹¹</t>
        </is>
      </c>
      <c r="M6509" t="inlineStr"/>
      <c r="N6509" t="inlineStr">
        <is>
          <t>2A⁰, 24A³, 48M¹¹, 12C⁰, 4C⁰, 24A⁵, 6C¹, 12B², 24Q², 2B⁰, 4E⁰, 4B⁰, 1A⁰, 48H³, 16A², 16B⁰, 48B¹¹, 48C⁶, 24A⁰, 24N⁴, 12B¹, 6A¹, 3A⁰, 8A¹, 24S⁹, 8B⁰, 16B³, 48H⁵, 48A⁰, 8B¹, 6A⁰, 48Q¹¹, 48A⁶, 2C⁰, 6D⁰</t>
        </is>
      </c>
      <c r="O6509" t="inlineStr"/>
    </row>
    <row r="6510">
      <c r="A6510">
        <f>HYPERLINK("https://mathstats.uncg.edu/sites/pauli/congruence/csg21.html#group48AL21", "48AL²¹")</f>
        <v/>
      </c>
      <c r="B6510" t="n">
        <v>21</v>
      </c>
      <c r="C6510" t="inlineStr"/>
      <c r="D6510" t="inlineStr">
        <is>
          <t>288</t>
        </is>
      </c>
      <c r="E6510" t="inlineStr">
        <is>
          <t>1</t>
        </is>
      </c>
      <c r="F6510" t="inlineStr">
        <is>
          <t>18</t>
        </is>
      </c>
      <c r="G6510" t="inlineStr">
        <is>
          <t>0</t>
        </is>
      </c>
      <c r="H6510" t="inlineStr">
        <is>
          <t>0</t>
        </is>
      </c>
      <c r="I6510" t="inlineStr">
        <is>
          <t>24⁴, 48⁴</t>
        </is>
      </c>
      <c r="J6510" t="n">
        <v>8</v>
      </c>
      <c r="K6510" t="inlineStr">
        <is>
          <t>1⁴, 2⁵, 4¹</t>
        </is>
      </c>
      <c r="L6510" t="inlineStr">
        <is>
          <t>48AF⁷, 24D⁹, 48X⁹, 48I¹¹, 48M¹¹</t>
        </is>
      </c>
      <c r="M6510" t="inlineStr"/>
      <c r="N6510" t="inlineStr">
        <is>
          <t>2A⁰, 24A³, 48M¹¹, 12C⁰, 4C⁰, 24A⁵, 6C¹, 12B², 8L⁰, 2B⁰, 4E⁰, 4B⁰, 1A⁰, 48H³, 24A⁰, 48C⁶, 8G¹, 48X⁹, 12B¹, 6A¹, 3A⁰, 8J⁰, 48I¹¹, 8A¹, 8B⁰, 8B¹, 48C⁴, 24D⁹, 6A⁰, 24M², 48A², 48AF⁷, 2C⁰, 6D⁰, 24G⁴</t>
        </is>
      </c>
      <c r="O6510" t="inlineStr"/>
    </row>
    <row r="6511">
      <c r="A6511">
        <f>HYPERLINK("https://mathstats.uncg.edu/sites/pauli/congruence/csg21.html#group48AM21", "48AM²¹")</f>
        <v/>
      </c>
      <c r="B6511" t="n">
        <v>21</v>
      </c>
      <c r="C6511" t="inlineStr"/>
      <c r="D6511" t="inlineStr">
        <is>
          <t>288</t>
        </is>
      </c>
      <c r="E6511" t="inlineStr">
        <is>
          <t>1</t>
        </is>
      </c>
      <c r="F6511" t="inlineStr">
        <is>
          <t>18</t>
        </is>
      </c>
      <c r="G6511" t="inlineStr">
        <is>
          <t>0</t>
        </is>
      </c>
      <c r="H6511" t="inlineStr">
        <is>
          <t>0</t>
        </is>
      </c>
      <c r="I6511" t="inlineStr">
        <is>
          <t>24⁴, 48⁴</t>
        </is>
      </c>
      <c r="J6511" t="n">
        <v>8</v>
      </c>
      <c r="K6511" t="inlineStr">
        <is>
          <t>1⁴, 2⁵, 4¹</t>
        </is>
      </c>
      <c r="L6511" t="inlineStr">
        <is>
          <t>48AG⁷, 24S⁹, 48Y⁹, 48D¹¹, 48I¹¹</t>
        </is>
      </c>
      <c r="M6511" t="inlineStr"/>
      <c r="N6511" t="inlineStr">
        <is>
          <t>2A⁰, 24A³, 12C⁰, 4C⁰, 6C¹, 24A⁵, 12B², 24Q², 2B⁰, 4E⁰, 4B⁰, 1A⁰, 16D¹, 16B², 48B⁶, 24A⁰, 48D¹¹, 24N⁴, 12B¹, 6A¹, 3A⁰, 48AG⁷, 48I¹¹, 16D³, 8A¹, 24S⁹, 8B⁰, 8B¹, 48C⁴, 48Y⁹, 6A⁰, 48E³, 48A², 2C⁰, 6D⁰</t>
        </is>
      </c>
      <c r="O6511" t="inlineStr"/>
    </row>
    <row r="6512">
      <c r="A6512">
        <f>HYPERLINK("https://mathstats.uncg.edu/sites/pauli/congruence/csg21.html#group48AN21", "48AN²¹")</f>
        <v/>
      </c>
      <c r="B6512" t="n">
        <v>21</v>
      </c>
      <c r="C6512" t="inlineStr"/>
      <c r="D6512" t="inlineStr">
        <is>
          <t>288</t>
        </is>
      </c>
      <c r="E6512" t="inlineStr">
        <is>
          <t>1</t>
        </is>
      </c>
      <c r="F6512" t="inlineStr">
        <is>
          <t>18</t>
        </is>
      </c>
      <c r="G6512" t="inlineStr">
        <is>
          <t>0</t>
        </is>
      </c>
      <c r="H6512" t="inlineStr">
        <is>
          <t>0</t>
        </is>
      </c>
      <c r="I6512" t="inlineStr">
        <is>
          <t>24⁴, 48⁴</t>
        </is>
      </c>
      <c r="J6512" t="n">
        <v>8</v>
      </c>
      <c r="K6512" t="inlineStr">
        <is>
          <t>1⁴, 2⁵, 4¹</t>
        </is>
      </c>
      <c r="L6512" t="inlineStr">
        <is>
          <t>48AB⁸, 24F⁹, 48D¹¹, 48M¹¹, 48V¹¹</t>
        </is>
      </c>
      <c r="M6512" t="inlineStr"/>
      <c r="N6512" t="inlineStr">
        <is>
          <t>48AB⁸, 24F⁹, 24E¹, 48M¹¹, 2A⁰, 24A³, 12C⁰, 4C⁰, 24A⁵, 6C¹, 12B², 24P², 12E², 2B⁰, 12M¹, 4E⁰, 4B⁰, 1A⁰, 48H³, 16D¹, 16B², 48B⁶, 24A⁰, 48D¹¹, 48C⁶, 24D², 12B¹, 6A¹, 3A⁰, 24G⁵, 16D³, 8A¹, 8B⁰, 8B¹, 6A⁰, 12C¹, 48E³, 48V¹¹, 24E⁴, 12D⁰, 12C⁴, 2C⁰, 6D⁰</t>
        </is>
      </c>
      <c r="O6512" t="inlineStr"/>
    </row>
    <row r="6513">
      <c r="A6513">
        <f>HYPERLINK("https://mathstats.uncg.edu/sites/pauli/congruence/csg21.html#group48AO21", "48AO²¹")</f>
        <v/>
      </c>
      <c r="B6513" t="n">
        <v>21</v>
      </c>
      <c r="C6513" t="inlineStr"/>
      <c r="D6513" t="inlineStr">
        <is>
          <t>288</t>
        </is>
      </c>
      <c r="E6513" t="inlineStr">
        <is>
          <t>1</t>
        </is>
      </c>
      <c r="F6513" t="inlineStr">
        <is>
          <t>18</t>
        </is>
      </c>
      <c r="G6513" t="inlineStr">
        <is>
          <t>0</t>
        </is>
      </c>
      <c r="H6513" t="inlineStr">
        <is>
          <t>0</t>
        </is>
      </c>
      <c r="I6513" t="inlineStr">
        <is>
          <t>24⁴, 48⁴</t>
        </is>
      </c>
      <c r="J6513" t="n">
        <v>8</v>
      </c>
      <c r="K6513" t="inlineStr">
        <is>
          <t>1⁴, 2⁵, 4¹</t>
        </is>
      </c>
      <c r="L6513" t="inlineStr">
        <is>
          <t>48AD⁷, 24J⁹, 48W⁹, 48M¹¹, 48N¹¹, 48P¹¹</t>
        </is>
      </c>
      <c r="M6513" t="inlineStr"/>
      <c r="N6513" t="inlineStr">
        <is>
          <t>2A⁰, 24A³, 48M¹¹, 12C⁰, 12K¹, 12D², 4C⁰, 24A⁵, 6C¹, 12B², 6G⁰, 24I³, 2B⁰, 4E⁰, 12E², 24C², 4B⁰, 24E⁵, 1A⁰, 48H³, 12G³, 24F⁵, 48P¹¹, 48C⁶, 24A⁰, 6B¹, 3C⁰, 24J⁹, 12B¹, 6A¹, 48W⁹, 3A⁰, 6H⁰, 24H¹, 48N¹¹, 6E¹, 6B⁰, 8A¹, 24D¹, 8B⁰, 8B¹, 12L¹, 48AD⁷, 24D⁵, 6A⁰, 12C¹, 12D⁰, 12H⁰, 2C⁰, 6D⁰</t>
        </is>
      </c>
      <c r="O6513" t="inlineStr"/>
    </row>
    <row r="6514">
      <c r="A6514">
        <f>HYPERLINK("https://mathstats.uncg.edu/sites/pauli/congruence/csg21.html#group48AP21", "48AP²¹")</f>
        <v/>
      </c>
      <c r="B6514" t="n">
        <v>21</v>
      </c>
      <c r="C6514" t="inlineStr"/>
      <c r="D6514" t="inlineStr">
        <is>
          <t>288</t>
        </is>
      </c>
      <c r="E6514" t="inlineStr">
        <is>
          <t>1</t>
        </is>
      </c>
      <c r="F6514" t="inlineStr">
        <is>
          <t>18</t>
        </is>
      </c>
      <c r="G6514" t="inlineStr">
        <is>
          <t>0</t>
        </is>
      </c>
      <c r="H6514" t="inlineStr">
        <is>
          <t>0</t>
        </is>
      </c>
      <c r="I6514" t="inlineStr">
        <is>
          <t>24⁴, 48⁴</t>
        </is>
      </c>
      <c r="J6514" t="n">
        <v>8</v>
      </c>
      <c r="K6514" t="inlineStr">
        <is>
          <t>1⁴, 2⁵, 4¹</t>
        </is>
      </c>
      <c r="L6514" t="inlineStr">
        <is>
          <t>48AE⁷, 24J⁹, 48Z⁹, 48D¹¹, 48M¹¹, 48R¹¹, 48S¹¹</t>
        </is>
      </c>
      <c r="M6514" t="inlineStr"/>
      <c r="N6514" t="inlineStr">
        <is>
          <t>2A⁰, 24A³, 48M¹¹, 12C⁰, 12K¹, 48Z⁹, 12D², 48R¹¹, 4C⁰, 24A⁵, 6C¹, 12B², 24I³, 2B⁰, 4E⁰, 6G⁰, 24C², 4B⁰, 12E², 1A⁰, 48H³, 24E⁵, 12G³, 24F⁵, 16D¹, 16B², 48B⁶, 48C⁶, 48D¹¹, 24A⁰, 6B¹, 3C⁰, 24J⁹, 12B¹, 6A¹, 6H⁰, 3A⁰, 24H¹, 6E¹, 16D³, 8A¹, 6B⁰, 24D¹, 8B⁰, 8B¹, 12L¹, 24D⁵, 6A⁰, 48S¹¹, 48E³, 12C¹, 12D⁰, 48AE⁷, 12H⁰, 2C⁰, 6D⁰</t>
        </is>
      </c>
      <c r="O6514" t="inlineStr"/>
    </row>
    <row r="6515">
      <c r="A6515">
        <f>HYPERLINK("https://mathstats.uncg.edu/sites/pauli/congruence/csg21.html#group48AQ21", "48AQ²¹")</f>
        <v/>
      </c>
      <c r="B6515" t="n">
        <v>21</v>
      </c>
      <c r="C6515" t="inlineStr"/>
      <c r="D6515" t="inlineStr">
        <is>
          <t>288</t>
        </is>
      </c>
      <c r="E6515" t="inlineStr">
        <is>
          <t>1</t>
        </is>
      </c>
      <c r="F6515" t="inlineStr">
        <is>
          <t>24</t>
        </is>
      </c>
      <c r="G6515" t="inlineStr">
        <is>
          <t>0</t>
        </is>
      </c>
      <c r="H6515" t="inlineStr">
        <is>
          <t>0</t>
        </is>
      </c>
      <c r="I6515" t="inlineStr">
        <is>
          <t>24⁴, 48⁴</t>
        </is>
      </c>
      <c r="J6515" t="n">
        <v>8</v>
      </c>
      <c r="K6515" t="inlineStr">
        <is>
          <t>2², 4⁵</t>
        </is>
      </c>
      <c r="L6515" t="inlineStr">
        <is>
          <t>16H⁵, 24C¹⁰, 48C¹⁰, 48J¹¹</t>
        </is>
      </c>
      <c r="M6515" t="inlineStr"/>
      <c r="N6515" t="inlineStr">
        <is>
          <t>24C¹⁰, 24A³, 12C⁰, 4C⁰, 8A⁰, 2B⁰, 1A⁰, 8K⁰, 16E⁰, 16B², 24A¹, 48B⁶, 48E⁴, 48D³, 3A⁰, 16E³, 16D², 8A¹, 48J¹¹, 16H⁵, 8D⁰, 8B², 8D¹, 24J³, 24H⁴, 8C¹, 12A⁰, 4A⁰, 16C¹, 24C¹, 12J¹, 4F⁰, 48C¹⁰, 6D⁰, 24B⁵</t>
        </is>
      </c>
      <c r="O6515" t="inlineStr"/>
    </row>
    <row r="6516">
      <c r="A6516">
        <f>HYPERLINK("https://mathstats.uncg.edu/sites/pauli/congruence/csg21.html#group48AR21", "48AR²¹")</f>
        <v/>
      </c>
      <c r="B6516" t="n">
        <v>21</v>
      </c>
      <c r="C6516" t="inlineStr"/>
      <c r="D6516" t="inlineStr">
        <is>
          <t>288</t>
        </is>
      </c>
      <c r="E6516" t="inlineStr">
        <is>
          <t>1</t>
        </is>
      </c>
      <c r="F6516" t="inlineStr">
        <is>
          <t>36</t>
        </is>
      </c>
      <c r="G6516" t="inlineStr">
        <is>
          <t>0</t>
        </is>
      </c>
      <c r="H6516" t="inlineStr">
        <is>
          <t>0</t>
        </is>
      </c>
      <c r="I6516" t="inlineStr">
        <is>
          <t>24⁴, 48⁴</t>
        </is>
      </c>
      <c r="J6516" t="n">
        <v>8</v>
      </c>
      <c r="K6516" t="inlineStr">
        <is>
          <t>2², 4⁴, 8²</t>
        </is>
      </c>
      <c r="L6516" t="inlineStr">
        <is>
          <t>24AB⁷, 48AB⁷, 48C¹¹</t>
        </is>
      </c>
      <c r="M6516" t="inlineStr"/>
      <c r="N6516" t="inlineStr">
        <is>
          <t>24O⁴, 12C⁰, 16C³, 8D⁰, 4C⁰, 8B⁰, 16B¹, 2B⁰, 24B¹, 24L², 1A⁰, 16A², 8H⁰, 48C³, 48AB⁷, 12A⁰, 24A⁰, 4A⁰, 48A⁶, 24C¹, 24AB⁷, 12J¹, 4F⁰, 24R³, 3A⁰, 6D⁰, 48C¹¹</t>
        </is>
      </c>
      <c r="O6516" t="inlineStr"/>
    </row>
    <row r="6517">
      <c r="A6517">
        <f>HYPERLINK("https://mathstats.uncg.edu/sites/pauli/congruence/csg21.html#group48AS21", "48AS²¹")</f>
        <v/>
      </c>
      <c r="B6517" t="n">
        <v>21</v>
      </c>
      <c r="C6517" t="inlineStr"/>
      <c r="D6517" t="inlineStr">
        <is>
          <t>288</t>
        </is>
      </c>
      <c r="E6517" t="inlineStr">
        <is>
          <t>1</t>
        </is>
      </c>
      <c r="F6517" t="inlineStr">
        <is>
          <t>36</t>
        </is>
      </c>
      <c r="G6517" t="inlineStr">
        <is>
          <t>0</t>
        </is>
      </c>
      <c r="H6517" t="inlineStr">
        <is>
          <t>0</t>
        </is>
      </c>
      <c r="I6517" t="inlineStr">
        <is>
          <t>24⁴, 48⁴</t>
        </is>
      </c>
      <c r="J6517" t="n">
        <v>8</v>
      </c>
      <c r="K6517" t="inlineStr">
        <is>
          <t>1², 2³, 4³, 8²</t>
        </is>
      </c>
      <c r="L6517" t="inlineStr">
        <is>
          <t>24AC⁷, 48AC⁷, 48C¹¹</t>
        </is>
      </c>
      <c r="M6517" t="inlineStr"/>
      <c r="N6517" t="inlineStr">
        <is>
          <t>12C⁰, 24AC⁷, 48G³, 16C³, 48AC⁷, 48H⁴, 8D⁰, 4C⁰, 8B⁰, 16B¹, 2B⁰, 24L², 1A⁰, 16A², 8H⁰, 48C³, 12A⁰, 24A⁰, 4A⁰, 24C¹, 12J¹, 4F⁰, 48A⁶, 3A⁰, 6D⁰, 48C¹¹</t>
        </is>
      </c>
      <c r="O6517" t="inlineStr"/>
    </row>
    <row r="6518">
      <c r="A6518">
        <f>HYPERLINK("https://mathstats.uncg.edu/sites/pauli/congruence/csg21.html#group48AT21", "48AT²¹")</f>
        <v/>
      </c>
      <c r="B6518" t="n">
        <v>21</v>
      </c>
      <c r="C6518" t="inlineStr"/>
      <c r="D6518" t="inlineStr">
        <is>
          <t>288</t>
        </is>
      </c>
      <c r="E6518" t="inlineStr">
        <is>
          <t>1</t>
        </is>
      </c>
      <c r="F6518" t="inlineStr">
        <is>
          <t>36</t>
        </is>
      </c>
      <c r="G6518" t="inlineStr">
        <is>
          <t>0</t>
        </is>
      </c>
      <c r="H6518" t="inlineStr">
        <is>
          <t>0</t>
        </is>
      </c>
      <c r="I6518" t="inlineStr">
        <is>
          <t>24⁴, 48⁴</t>
        </is>
      </c>
      <c r="J6518" t="n">
        <v>8</v>
      </c>
      <c r="K6518" t="inlineStr">
        <is>
          <t>2², 4⁸</t>
        </is>
      </c>
      <c r="L6518" t="inlineStr">
        <is>
          <t>24Q⁹, 48N¹¹, 48O¹¹, 48T¹¹, 48U¹¹</t>
        </is>
      </c>
      <c r="M6518" t="inlineStr"/>
      <c r="N6518" t="inlineStr">
        <is>
          <t>12I², 24O², 24E¹, 24A³, 12C⁰, 48O¹¹, 48T¹¹, 4C⁰, 12M¹, 2B⁰, 24C², 1A⁰, 24Q⁹, 48C⁶, 6H⁰, 3A⁰, 48N¹¹, 24G⁵, 6B⁰, 8A¹, 8D⁰, 12F⁰, 24D⁵, 12A⁰, 8C¹, 4A⁰, 24K⁴, 24C¹, 12J¹, 12D⁰, 4F⁰, 12H⁰, 24L⁴, 48U¹¹, 6D⁰, 24B⁵</t>
        </is>
      </c>
      <c r="O6518" t="inlineStr"/>
    </row>
    <row r="6519">
      <c r="A6519">
        <f>HYPERLINK("https://mathstats.uncg.edu/sites/pauli/congruence/csg21.html#group48AU21", "48AU²¹")</f>
        <v/>
      </c>
      <c r="B6519" t="n">
        <v>21</v>
      </c>
      <c r="C6519" t="inlineStr"/>
      <c r="D6519" t="inlineStr">
        <is>
          <t>288</t>
        </is>
      </c>
      <c r="E6519" t="inlineStr">
        <is>
          <t>1</t>
        </is>
      </c>
      <c r="F6519" t="inlineStr">
        <is>
          <t>36</t>
        </is>
      </c>
      <c r="G6519" t="inlineStr">
        <is>
          <t>0</t>
        </is>
      </c>
      <c r="H6519" t="inlineStr">
        <is>
          <t>0</t>
        </is>
      </c>
      <c r="I6519" t="inlineStr">
        <is>
          <t>24⁴, 48⁴</t>
        </is>
      </c>
      <c r="J6519" t="n">
        <v>8</v>
      </c>
      <c r="K6519" t="inlineStr">
        <is>
          <t>2⁴, 4⁷</t>
        </is>
      </c>
      <c r="L6519" t="inlineStr">
        <is>
          <t>24G⁹, 48AF⁹</t>
        </is>
      </c>
      <c r="M6519" t="inlineStr"/>
      <c r="N6519" t="inlineStr">
        <is>
          <t>2A⁰, 12C⁰, 12K¹, 48AF⁹, 12D², 4C⁰, 6C¹, 12B², 6G⁰, 12E², 2B⁰, 24G⁹, 24C², 4E⁰, 4B⁰, 12G³, 1A⁰, 24F⁵, 24H³, 6B¹, 24S³, 3C⁰, 6A¹, 12B¹, 6H⁰, 3A⁰, 6E¹, 6B⁰, 24D¹, 12L¹, 12C¹, 6A⁰, 24C⁵, 12D⁰, 12H⁰, 2C⁰, 6D⁰</t>
        </is>
      </c>
      <c r="O6519" t="inlineStr"/>
    </row>
    <row r="6520">
      <c r="A6520">
        <f>HYPERLINK("https://mathstats.uncg.edu/sites/pauli/congruence/csg21.html#group48AV21", "48AV²¹")</f>
        <v/>
      </c>
      <c r="B6520" t="n">
        <v>21</v>
      </c>
      <c r="C6520" t="inlineStr"/>
      <c r="D6520" t="inlineStr">
        <is>
          <t>288</t>
        </is>
      </c>
      <c r="E6520" t="inlineStr">
        <is>
          <t>1</t>
        </is>
      </c>
      <c r="F6520" t="inlineStr">
        <is>
          <t>36</t>
        </is>
      </c>
      <c r="G6520" t="inlineStr">
        <is>
          <t>0</t>
        </is>
      </c>
      <c r="H6520" t="inlineStr">
        <is>
          <t>0</t>
        </is>
      </c>
      <c r="I6520" t="inlineStr">
        <is>
          <t>24⁴, 48⁴</t>
        </is>
      </c>
      <c r="J6520" t="n">
        <v>8</v>
      </c>
      <c r="K6520" t="inlineStr">
        <is>
          <t>2⁸, 4³, 8¹</t>
        </is>
      </c>
      <c r="L6520" t="inlineStr">
        <is>
          <t>24E⁹, 48AF⁹</t>
        </is>
      </c>
      <c r="M6520" t="inlineStr"/>
      <c r="N6520" t="inlineStr">
        <is>
          <t>12T¹, 24A³, 12C⁰, 48AF⁹, 4C⁰, 6G⁰, 2B⁰, 24C², 12N¹, 24E⁵, 1A⁰, 24S³, 24E⁹, 3C⁰, 6H⁰, 3A⁰, 6B⁰, 8A¹, 24D¹, 12L¹, 24D⁵, 12G⁰, 12C¹, 6E⁰, 6L⁰, 24C⁵, 12D⁰, 12H⁰, 6D⁰</t>
        </is>
      </c>
      <c r="O6520" t="inlineStr"/>
    </row>
    <row r="6521">
      <c r="A6521">
        <f>HYPERLINK("https://mathstats.uncg.edu/sites/pauli/congruence/csg21.html#group48AW21", "48AW²¹")</f>
        <v/>
      </c>
      <c r="B6521" t="n">
        <v>21</v>
      </c>
      <c r="C6521" t="inlineStr"/>
      <c r="D6521" t="inlineStr">
        <is>
          <t>288</t>
        </is>
      </c>
      <c r="E6521" t="inlineStr">
        <is>
          <t>1</t>
        </is>
      </c>
      <c r="F6521" t="inlineStr">
        <is>
          <t>36</t>
        </is>
      </c>
      <c r="G6521" t="inlineStr">
        <is>
          <t>0</t>
        </is>
      </c>
      <c r="H6521" t="inlineStr">
        <is>
          <t>0</t>
        </is>
      </c>
      <c r="I6521" t="inlineStr">
        <is>
          <t>24⁴, 48⁴</t>
        </is>
      </c>
      <c r="J6521" t="n">
        <v>8</v>
      </c>
      <c r="K6521" t="inlineStr">
        <is>
          <t>2⁸, 4³, 8¹</t>
        </is>
      </c>
      <c r="L6521" t="inlineStr">
        <is>
          <t>24X⁵, 48AD⁷, 48AE⁹, 48G¹¹, 48Q¹¹</t>
        </is>
      </c>
      <c r="M6521" t="inlineStr"/>
      <c r="N6521" t="inlineStr">
        <is>
          <t>24X⁵, 48G¹¹, 6B⁰, 12C⁰, 3A⁰, 4C⁰, 24D¹, 8B⁰, 24Q², 2B⁰, 1A⁰, 48H³, 48AD⁷, 16A², 48C⁴, 24A⁰, 48A⁶, 48AE⁹, 48Q¹¹, 12D⁰, 6H⁰, 12H⁰, 24H¹, 6D⁰</t>
        </is>
      </c>
      <c r="O6521" t="inlineStr"/>
    </row>
    <row r="6522">
      <c r="A6522">
        <f>HYPERLINK("https://mathstats.uncg.edu/sites/pauli/congruence/csg21.html#group48AX21", "48AX²¹")</f>
        <v/>
      </c>
      <c r="B6522" t="n">
        <v>21</v>
      </c>
      <c r="C6522" t="inlineStr"/>
      <c r="D6522" t="inlineStr">
        <is>
          <t>288</t>
        </is>
      </c>
      <c r="E6522" t="inlineStr">
        <is>
          <t>1</t>
        </is>
      </c>
      <c r="F6522" t="inlineStr">
        <is>
          <t>36</t>
        </is>
      </c>
      <c r="G6522" t="inlineStr">
        <is>
          <t>0</t>
        </is>
      </c>
      <c r="H6522" t="inlineStr">
        <is>
          <t>0</t>
        </is>
      </c>
      <c r="I6522" t="inlineStr">
        <is>
          <t>24⁴, 48⁴</t>
        </is>
      </c>
      <c r="J6522" t="n">
        <v>8</v>
      </c>
      <c r="K6522" t="inlineStr">
        <is>
          <t>2⁶, 4⁶</t>
        </is>
      </c>
      <c r="L6522" t="inlineStr">
        <is>
          <t>24G⁶, 48R⁸, 48AC⁸, 48C¹¹, 48Q¹¹</t>
        </is>
      </c>
      <c r="M6522" t="inlineStr"/>
      <c r="N6522" t="inlineStr">
        <is>
          <t>12C⁰, 48R⁸, 8D⁰, 16C³, 4C⁰, 8B⁰, 24Q², 16B¹, 2B⁰, 24L², 1A⁰, 48H³, 16A², 8H⁰, 48C³, 24G⁶, 12A⁰, 24A⁰, 4A⁰, 48A⁶, 24C¹, 48Q¹¹, 12J¹, 4F⁰, 48AC⁸, 3A⁰, 6D⁰, 48C¹¹</t>
        </is>
      </c>
      <c r="O6522" t="inlineStr"/>
    </row>
    <row r="6523">
      <c r="A6523">
        <f>HYPERLINK("https://mathstats.uncg.edu/sites/pauli/congruence/csg21.html#group48AY21", "48AY²¹")</f>
        <v/>
      </c>
      <c r="B6523" t="n">
        <v>21</v>
      </c>
      <c r="C6523" t="inlineStr"/>
      <c r="D6523" t="inlineStr">
        <is>
          <t>288</t>
        </is>
      </c>
      <c r="E6523" t="inlineStr">
        <is>
          <t>1</t>
        </is>
      </c>
      <c r="F6523" t="inlineStr">
        <is>
          <t>36</t>
        </is>
      </c>
      <c r="G6523" t="inlineStr">
        <is>
          <t>0</t>
        </is>
      </c>
      <c r="H6523" t="inlineStr">
        <is>
          <t>0</t>
        </is>
      </c>
      <c r="I6523" t="inlineStr">
        <is>
          <t>24⁴, 48⁴</t>
        </is>
      </c>
      <c r="J6523" t="n">
        <v>8</v>
      </c>
      <c r="K6523" t="inlineStr">
        <is>
          <t>2⁶, 4⁶</t>
        </is>
      </c>
      <c r="L6523" t="inlineStr">
        <is>
          <t>24Q⁹, 48J¹¹, 48O¹¹, 48R¹¹, 48V¹¹</t>
        </is>
      </c>
      <c r="M6523" t="inlineStr"/>
      <c r="N6523" t="inlineStr">
        <is>
          <t>12I², 24O², 24E¹, 24A³, 12C⁰, 48O¹¹, 48R¹¹, 4C⁰, 12M¹, 2B⁰, 24C², 1A⁰, 24Q⁹, 16B², 48B⁶, 48C⁶, 6H⁰, 3A⁰, 16E³, 24G⁵, 6B⁰, 8A¹, 48J¹¹, 8D⁰, 12F⁰, 24D⁵, 12A⁰, 8C¹, 48V¹¹, 4A⁰, 24K⁴, 24C¹, 12J¹, 12D⁰, 4F⁰, 12H⁰, 24L⁴, 6D⁰, 24B⁵</t>
        </is>
      </c>
      <c r="O6523" t="inlineStr"/>
    </row>
    <row r="6524">
      <c r="A6524">
        <f>HYPERLINK("https://mathstats.uncg.edu/sites/pauli/congruence/csg21.html#group48AZ21", "48AZ²¹")</f>
        <v/>
      </c>
      <c r="B6524" t="n">
        <v>21</v>
      </c>
      <c r="C6524" t="inlineStr"/>
      <c r="D6524" t="inlineStr">
        <is>
          <t>288</t>
        </is>
      </c>
      <c r="E6524" t="inlineStr">
        <is>
          <t>1</t>
        </is>
      </c>
      <c r="F6524" t="inlineStr">
        <is>
          <t>36</t>
        </is>
      </c>
      <c r="G6524" t="inlineStr">
        <is>
          <t>0</t>
        </is>
      </c>
      <c r="H6524" t="inlineStr">
        <is>
          <t>0</t>
        </is>
      </c>
      <c r="I6524" t="inlineStr">
        <is>
          <t>24⁴, 48⁴</t>
        </is>
      </c>
      <c r="J6524" t="n">
        <v>8</v>
      </c>
      <c r="K6524" t="inlineStr">
        <is>
          <t>2⁶, 4⁶</t>
        </is>
      </c>
      <c r="L6524" t="inlineStr">
        <is>
          <t>24R⁹, 48J¹¹, 48O¹¹, 48S¹¹, 48V¹¹</t>
        </is>
      </c>
      <c r="M6524" t="inlineStr"/>
      <c r="N6524" t="inlineStr">
        <is>
          <t>24Q³, 24A³, 24E¹, 12C⁰, 48O¹¹, 4C⁰, 6G⁰, 2B⁰, 12M¹, 24P³, 24E⁵, 1A⁰, 24O³, 16B², 48B⁶, 48C⁶, 3C⁰, 3A⁰, 16E³, 24G⁵, 12G¹, 8A¹, 48J¹¹, 8D⁰, 24D¹, 12L¹, 12J³, 24R⁹, 12A⁰, 8C¹, 12C¹, 48V¹¹, 4A⁰, 24C¹, 12J¹, 4F⁰, 48S¹¹, 6D⁰, 24B⁵</t>
        </is>
      </c>
      <c r="O6524" t="inlineStr"/>
    </row>
    <row r="6525">
      <c r="A6525">
        <f>HYPERLINK("https://mathstats.uncg.edu/sites/pauli/congruence/csg21.html#group48BA21", "48BA²¹")</f>
        <v/>
      </c>
      <c r="B6525" t="n">
        <v>21</v>
      </c>
      <c r="C6525" t="inlineStr"/>
      <c r="D6525" t="inlineStr">
        <is>
          <t>288</t>
        </is>
      </c>
      <c r="E6525" t="inlineStr">
        <is>
          <t>1</t>
        </is>
      </c>
      <c r="F6525" t="inlineStr">
        <is>
          <t>36</t>
        </is>
      </c>
      <c r="G6525" t="inlineStr">
        <is>
          <t>0</t>
        </is>
      </c>
      <c r="H6525" t="inlineStr">
        <is>
          <t>0</t>
        </is>
      </c>
      <c r="I6525" t="inlineStr">
        <is>
          <t>24⁴, 48⁴</t>
        </is>
      </c>
      <c r="J6525" t="n">
        <v>8</v>
      </c>
      <c r="K6525" t="inlineStr">
        <is>
          <t>2⁶, 4⁶</t>
        </is>
      </c>
      <c r="L6525" t="inlineStr">
        <is>
          <t>24R⁹, 48O¹¹, 48P¹¹, 48T¹¹, 48U¹¹</t>
        </is>
      </c>
      <c r="M6525" t="inlineStr"/>
      <c r="N6525" t="inlineStr">
        <is>
          <t>24Q³, 24A³, 24E¹, 12C⁰, 48O¹¹, 48T¹¹, 4C⁰, 6G⁰, 2B⁰, 12M¹, 24P³, 24E⁵, 1A⁰, 24O³, 48P¹¹, 48C⁶, 3C⁰, 3A⁰, 24G⁵, 12G¹, 8A¹, 8D⁰, 24D¹, 12L¹, 12J³, 24R⁹, 12A⁰, 8C¹, 12C¹, 4A⁰, 24C¹, 12J¹, 4F⁰, 48U¹¹, 6D⁰, 24B⁵</t>
        </is>
      </c>
      <c r="O6525" t="inlineStr"/>
    </row>
    <row r="6526">
      <c r="A6526">
        <f>HYPERLINK("https://mathstats.uncg.edu/sites/pauli/congruence/csg21.html#group48BB21", "48BB²¹")</f>
        <v/>
      </c>
      <c r="B6526" t="n">
        <v>21</v>
      </c>
      <c r="C6526" t="inlineStr"/>
      <c r="D6526" t="inlineStr">
        <is>
          <t>288</t>
        </is>
      </c>
      <c r="E6526" t="inlineStr">
        <is>
          <t>1</t>
        </is>
      </c>
      <c r="F6526" t="inlineStr">
        <is>
          <t>36</t>
        </is>
      </c>
      <c r="G6526" t="inlineStr">
        <is>
          <t>0</t>
        </is>
      </c>
      <c r="H6526" t="inlineStr">
        <is>
          <t>0</t>
        </is>
      </c>
      <c r="I6526" t="inlineStr">
        <is>
          <t>24⁴, 48⁴</t>
        </is>
      </c>
      <c r="J6526" t="n">
        <v>8</v>
      </c>
      <c r="K6526" t="inlineStr">
        <is>
          <t>1⁴, 2⁶, 4³, 8¹</t>
        </is>
      </c>
      <c r="L6526" t="inlineStr">
        <is>
          <t>24Z⁷, 48AJ⁷, 48W⁹, 48H¹¹, 48Q¹¹</t>
        </is>
      </c>
      <c r="M6526" t="inlineStr"/>
      <c r="N6526" t="inlineStr">
        <is>
          <t>12C⁰, 24Z⁷, 4C⁰, 24I³, 8B⁰, 24Q², 48AJ⁷, 6G⁰, 2B⁰, 24C², 12L¹, 1A⁰, 48H¹¹, 48H³, 16A², 12C¹, 24A⁰, 48A⁶, 3C⁰, 48A², 48Q¹¹, 48W⁹, 3A⁰, 6D⁰</t>
        </is>
      </c>
      <c r="O6526" t="inlineStr"/>
    </row>
    <row r="6527">
      <c r="A6527">
        <f>HYPERLINK("https://mathstats.uncg.edu/sites/pauli/congruence/csg21.html#group48BC21", "48BC²¹")</f>
        <v/>
      </c>
      <c r="B6527" t="n">
        <v>21</v>
      </c>
      <c r="C6527" t="inlineStr"/>
      <c r="D6527" t="inlineStr">
        <is>
          <t>288</t>
        </is>
      </c>
      <c r="E6527" t="inlineStr">
        <is>
          <t>1</t>
        </is>
      </c>
      <c r="F6527" t="inlineStr">
        <is>
          <t>36</t>
        </is>
      </c>
      <c r="G6527" t="inlineStr">
        <is>
          <t>0</t>
        </is>
      </c>
      <c r="H6527" t="inlineStr">
        <is>
          <t>0</t>
        </is>
      </c>
      <c r="I6527" t="inlineStr">
        <is>
          <t>24⁴, 48⁴</t>
        </is>
      </c>
      <c r="J6527" t="n">
        <v>8</v>
      </c>
      <c r="K6527" t="inlineStr">
        <is>
          <t>1⁴, 2⁶, 4³, 8¹</t>
        </is>
      </c>
      <c r="L6527" t="inlineStr">
        <is>
          <t>24Z⁷, 48Y⁹, 48Z⁹, 48AE⁹, 48E¹¹</t>
        </is>
      </c>
      <c r="M6527" t="inlineStr"/>
      <c r="N6527" t="inlineStr">
        <is>
          <t>12C⁰, 48Z⁹, 24Z⁷, 4C⁰, 8B⁰, 24I³, 24Q², 6G⁰, 2B⁰, 24C², 48E¹¹, 1A⁰, 12L¹, 48H³, 48C⁴, 48Y⁹, 16D¹, 12C¹, 48E³, 24A⁰, 48AE⁹, 3C⁰, 3A⁰, 6D⁰</t>
        </is>
      </c>
      <c r="O6527" t="inlineStr"/>
    </row>
    <row r="6528">
      <c r="A6528">
        <f>HYPERLINK("https://mathstats.uncg.edu/sites/pauli/congruence/csg21.html#group48BD21", "48BD²¹")</f>
        <v/>
      </c>
      <c r="B6528" t="n">
        <v>21</v>
      </c>
      <c r="C6528" t="inlineStr"/>
      <c r="D6528" t="inlineStr">
        <is>
          <t>288</t>
        </is>
      </c>
      <c r="E6528" t="inlineStr">
        <is>
          <t>1</t>
        </is>
      </c>
      <c r="F6528" t="inlineStr">
        <is>
          <t>36</t>
        </is>
      </c>
      <c r="G6528" t="inlineStr">
        <is>
          <t>0</t>
        </is>
      </c>
      <c r="H6528" t="inlineStr">
        <is>
          <t>0</t>
        </is>
      </c>
      <c r="I6528" t="inlineStr">
        <is>
          <t>24⁴, 48⁴</t>
        </is>
      </c>
      <c r="J6528" t="n">
        <v>8</v>
      </c>
      <c r="K6528" t="inlineStr">
        <is>
          <t>1⁴, 2⁶, 4³, 8¹</t>
        </is>
      </c>
      <c r="L6528" t="inlineStr">
        <is>
          <t>24AA⁷, 48W⁹, 48X⁹, 48AE⁹, 48E¹¹</t>
        </is>
      </c>
      <c r="M6528" t="inlineStr"/>
      <c r="N6528" t="inlineStr">
        <is>
          <t>12C⁰, 24AA⁷, 4C⁰, 24I³, 8B⁰, 24Q², 6G⁰, 2B⁰, 8L⁰, 24C², 48E¹¹, 1A⁰, 12L¹, 48H³, 48C⁴, 12C¹, 24A⁰, 24M², 48X⁹, 48AE⁹, 3C⁰, 48W⁹, 3A⁰, 6D⁰</t>
        </is>
      </c>
      <c r="O6528" t="inlineStr"/>
    </row>
    <row r="6529">
      <c r="A6529">
        <f>HYPERLINK("https://mathstats.uncg.edu/sites/pauli/congruence/csg21.html#group48BE21", "48BE²¹")</f>
        <v/>
      </c>
      <c r="B6529" t="n">
        <v>21</v>
      </c>
      <c r="C6529" t="inlineStr"/>
      <c r="D6529" t="inlineStr">
        <is>
          <t>288</t>
        </is>
      </c>
      <c r="E6529" t="inlineStr">
        <is>
          <t>1</t>
        </is>
      </c>
      <c r="F6529" t="inlineStr">
        <is>
          <t>36</t>
        </is>
      </c>
      <c r="G6529" t="inlineStr">
        <is>
          <t>0</t>
        </is>
      </c>
      <c r="H6529" t="inlineStr">
        <is>
          <t>0</t>
        </is>
      </c>
      <c r="I6529" t="inlineStr">
        <is>
          <t>24⁴, 48⁴</t>
        </is>
      </c>
      <c r="J6529" t="n">
        <v>8</v>
      </c>
      <c r="K6529" t="inlineStr">
        <is>
          <t>1⁴, 2⁶, 4³, 8¹</t>
        </is>
      </c>
      <c r="L6529" t="inlineStr">
        <is>
          <t>24E⁹, 48N¹¹, 48P¹¹, 48R¹¹, 48S¹¹</t>
        </is>
      </c>
      <c r="M6529" t="inlineStr"/>
      <c r="N6529" t="inlineStr">
        <is>
          <t>12T¹, 24A³, 12C⁰, 48R¹¹, 4C⁰, 6G⁰, 2B⁰, 24C², 12N¹, 24E⁵, 1A⁰, 48P¹¹, 16B², 48B⁶, 48C⁶, 24S³, 3C⁰, 24E⁹, 6H⁰, 3A⁰, 48N¹¹, 6B⁰, 8A¹, 24D¹, 12L¹, 24D⁵, 12G⁰, 12C¹, 6E⁰, 6L⁰, 24C⁵, 12D⁰, 12H⁰, 48S¹¹, 6D⁰</t>
        </is>
      </c>
      <c r="O6529" t="inlineStr"/>
    </row>
    <row r="6530">
      <c r="A6530">
        <f>HYPERLINK("https://mathstats.uncg.edu/sites/pauli/congruence/csg21.html#group48BF21", "48BF²¹")</f>
        <v/>
      </c>
      <c r="B6530" t="n">
        <v>21</v>
      </c>
      <c r="C6530" t="inlineStr"/>
      <c r="D6530" t="inlineStr">
        <is>
          <t>288</t>
        </is>
      </c>
      <c r="E6530" t="inlineStr">
        <is>
          <t>1</t>
        </is>
      </c>
      <c r="F6530" t="inlineStr">
        <is>
          <t>36</t>
        </is>
      </c>
      <c r="G6530" t="inlineStr">
        <is>
          <t>0</t>
        </is>
      </c>
      <c r="H6530" t="inlineStr">
        <is>
          <t>0</t>
        </is>
      </c>
      <c r="I6530" t="inlineStr">
        <is>
          <t>24⁴, 48⁴</t>
        </is>
      </c>
      <c r="J6530" t="n">
        <v>8</v>
      </c>
      <c r="K6530" t="inlineStr">
        <is>
          <t>1⁴, 2⁶, 4³, 8¹</t>
        </is>
      </c>
      <c r="L6530" t="inlineStr">
        <is>
          <t>24Y⁵, 48AE⁷, 48X⁹, 48Y⁹, 48G¹¹, 48K¹¹, 48Q¹¹</t>
        </is>
      </c>
      <c r="M6530" t="inlineStr"/>
      <c r="N6530" t="inlineStr">
        <is>
          <t>48G¹¹, 6B⁰, 12C⁰, 3A⁰, 48K¹¹, 6H⁰, 4C⁰, 24D¹, 8B⁰, 24Q², 8L⁰, 24Y⁵, 2B⁰, 1A⁰, 48H³, 48C⁴, 16A², 48Y⁹, 16D¹, 24A⁰, 48E³, 16F³, 24M², 48X⁹, 48A⁶, 48Q¹¹, 12D⁰, 48AE⁷, 12H⁰, 24H¹, 6D⁰</t>
        </is>
      </c>
      <c r="O6530" t="inlineStr"/>
    </row>
    <row r="6531">
      <c r="A6531">
        <f>HYPERLINK("https://mathstats.uncg.edu/sites/pauli/congruence/csg21.html#group48BG21", "48BG²¹")</f>
        <v/>
      </c>
      <c r="B6531" t="n">
        <v>21</v>
      </c>
      <c r="C6531" t="inlineStr"/>
      <c r="D6531" t="inlineStr">
        <is>
          <t>288</t>
        </is>
      </c>
      <c r="E6531" t="inlineStr">
        <is>
          <t>1</t>
        </is>
      </c>
      <c r="F6531" t="inlineStr">
        <is>
          <t>36</t>
        </is>
      </c>
      <c r="G6531" t="inlineStr">
        <is>
          <t>0</t>
        </is>
      </c>
      <c r="H6531" t="inlineStr">
        <is>
          <t>0</t>
        </is>
      </c>
      <c r="I6531" t="inlineStr">
        <is>
          <t>24⁴, 48⁴</t>
        </is>
      </c>
      <c r="J6531" t="n">
        <v>8</v>
      </c>
      <c r="K6531" t="inlineStr">
        <is>
          <t>1⁴, 2⁶, 4³, 8¹</t>
        </is>
      </c>
      <c r="L6531" t="inlineStr">
        <is>
          <t>24AA⁷, 48AF⁷, 48AG⁷, 48Z⁹, 48H¹¹, 48K¹¹, 48Q¹¹</t>
        </is>
      </c>
      <c r="M6531" t="inlineStr"/>
      <c r="N6531" t="inlineStr">
        <is>
          <t>48AG⁷, 12C⁰, 24AA⁷, 48Z⁹, 48K¹¹, 4C⁰, 8B⁰, 24I³, 24Q², 6G⁰, 2B⁰, 8L⁰, 24C², 1A⁰, 12L¹, 48H¹¹, 48H³, 16A², 16D¹, 12C¹, 48E³, 24A⁰, 24M², 16F³, 48A², 3C⁰, 48Q¹¹, 48A⁶, 3A⁰, 48AF⁷, 6D⁰</t>
        </is>
      </c>
      <c r="O6531" t="inlineStr"/>
    </row>
    <row r="6532">
      <c r="A6532">
        <f>HYPERLINK("https://mathstats.uncg.edu/sites/pauli/congruence/csg21.html#group48BH21", "48BH²¹")</f>
        <v/>
      </c>
      <c r="B6532" t="n">
        <v>21</v>
      </c>
      <c r="C6532" t="inlineStr"/>
      <c r="D6532" t="inlineStr">
        <is>
          <t>288</t>
        </is>
      </c>
      <c r="E6532" t="inlineStr">
        <is>
          <t>1</t>
        </is>
      </c>
      <c r="F6532" t="inlineStr">
        <is>
          <t>36</t>
        </is>
      </c>
      <c r="G6532" t="inlineStr">
        <is>
          <t>0</t>
        </is>
      </c>
      <c r="H6532" t="inlineStr">
        <is>
          <t>0</t>
        </is>
      </c>
      <c r="I6532" t="inlineStr">
        <is>
          <t>24⁴, 48⁴</t>
        </is>
      </c>
      <c r="J6532" t="n">
        <v>8</v>
      </c>
      <c r="K6532" t="inlineStr">
        <is>
          <t>4¹⁴, 8²</t>
        </is>
      </c>
      <c r="L6532" t="inlineStr">
        <is>
          <t>24H⁶, 48S⁸, 48AF⁸, 48L¹¹, 48Q¹¹</t>
        </is>
      </c>
      <c r="M6532" t="inlineStr"/>
      <c r="N6532" t="inlineStr">
        <is>
          <t>24E¹, 12C⁰, 48AF⁸, 4C⁰, 8B⁰, 24Q², 24P², 2B⁰, 12M¹, 1A⁰, 48H³, 48S⁸, 16A², 24A⁰, 48L¹¹, 24H⁶, 48A⁶, 48Q¹¹, 48F³, 3A⁰, 6D⁰</t>
        </is>
      </c>
      <c r="O6532" t="inlineStr"/>
    </row>
    <row r="6533">
      <c r="A6533">
        <f>HYPERLINK("https://mathstats.uncg.edu/sites/pauli/congruence/csg21.html#group48BI21", "48BI²¹")</f>
        <v/>
      </c>
      <c r="B6533" t="n">
        <v>21</v>
      </c>
      <c r="C6533" t="inlineStr"/>
      <c r="D6533" t="inlineStr">
        <is>
          <t>288</t>
        </is>
      </c>
      <c r="E6533" t="inlineStr">
        <is>
          <t>1</t>
        </is>
      </c>
      <c r="F6533" t="inlineStr">
        <is>
          <t>36</t>
        </is>
      </c>
      <c r="G6533" t="inlineStr">
        <is>
          <t>0</t>
        </is>
      </c>
      <c r="H6533" t="inlineStr">
        <is>
          <t>0</t>
        </is>
      </c>
      <c r="I6533" t="inlineStr">
        <is>
          <t>24⁴, 48⁴</t>
        </is>
      </c>
      <c r="J6533" t="n">
        <v>8</v>
      </c>
      <c r="K6533" t="inlineStr">
        <is>
          <t>4¹⁴, 8²</t>
        </is>
      </c>
      <c r="L6533" t="inlineStr">
        <is>
          <t>24I⁶, 48T⁸, 48AE⁸, 48L¹¹, 48Q¹¹</t>
        </is>
      </c>
      <c r="M6533" t="inlineStr"/>
      <c r="N6533" t="inlineStr">
        <is>
          <t>24E¹, 24I⁶, 12C⁰, 4C⁰, 8B⁰, 48T⁸, 24P², 24Q², 12M¹, 2B⁰, 1A⁰, 48AE⁸, 48H³, 16A², 24A⁰, 48L¹¹, 48A⁶, 48Q¹¹, 48F³, 3A⁰, 6D⁰</t>
        </is>
      </c>
      <c r="O6533" t="inlineStr"/>
    </row>
    <row r="6534">
      <c r="A6534">
        <f>HYPERLINK("https://mathstats.uncg.edu/sites/pauli/congruence/csg21.html#group48BJ21", "48BJ²¹")</f>
        <v/>
      </c>
      <c r="B6534" t="n">
        <v>21</v>
      </c>
      <c r="C6534" t="inlineStr"/>
      <c r="D6534" t="inlineStr">
        <is>
          <t>288</t>
        </is>
      </c>
      <c r="E6534" t="inlineStr">
        <is>
          <t>1</t>
        </is>
      </c>
      <c r="F6534" t="inlineStr">
        <is>
          <t>36</t>
        </is>
      </c>
      <c r="G6534" t="inlineStr">
        <is>
          <t>0</t>
        </is>
      </c>
      <c r="H6534" t="inlineStr">
        <is>
          <t>0</t>
        </is>
      </c>
      <c r="I6534" t="inlineStr">
        <is>
          <t>24⁴, 48⁴</t>
        </is>
      </c>
      <c r="J6534" t="n">
        <v>8</v>
      </c>
      <c r="K6534" t="inlineStr">
        <is>
          <t>2⁴, 4¹⁰, 8³</t>
        </is>
      </c>
      <c r="L6534" t="inlineStr">
        <is>
          <t>24M⁹, 48N¹¹, 48R¹¹, 48T¹¹, 48V¹¹</t>
        </is>
      </c>
      <c r="M6534" t="inlineStr"/>
      <c r="N6534" t="inlineStr">
        <is>
          <t>24G⁵, 24E¹, 24A³, 6B⁰, 12C⁰, 8A¹, 24P⁴, 24N², 48R¹¹, 48T¹¹, 4C⁰, 12M¹, 24M⁹, 2B⁰, 24C², 12H⁰, 1A⁰, 24D⁵, 12H², 16B², 48B⁶, 48C⁶, 48V¹¹, 12D⁰, 6H⁰, 3A⁰, 6D⁰, 48N¹¹</t>
        </is>
      </c>
      <c r="O6534" t="inlineStr"/>
    </row>
    <row r="6535">
      <c r="A6535">
        <f>HYPERLINK("https://mathstats.uncg.edu/sites/pauli/congruence/csg21.html#group48BK21", "48BK²¹")</f>
        <v/>
      </c>
      <c r="B6535" t="n">
        <v>21</v>
      </c>
      <c r="C6535" t="inlineStr"/>
      <c r="D6535" t="inlineStr">
        <is>
          <t>288</t>
        </is>
      </c>
      <c r="E6535" t="inlineStr">
        <is>
          <t>1</t>
        </is>
      </c>
      <c r="F6535" t="inlineStr">
        <is>
          <t>36</t>
        </is>
      </c>
      <c r="G6535" t="inlineStr">
        <is>
          <t>0</t>
        </is>
      </c>
      <c r="H6535" t="inlineStr">
        <is>
          <t>0</t>
        </is>
      </c>
      <c r="I6535" t="inlineStr">
        <is>
          <t>24⁴, 48⁴</t>
        </is>
      </c>
      <c r="J6535" t="n">
        <v>8</v>
      </c>
      <c r="K6535" t="inlineStr">
        <is>
          <t>2⁴, 4¹⁰, 8³</t>
        </is>
      </c>
      <c r="L6535" t="inlineStr">
        <is>
          <t>24M⁹, 48N¹¹, 48R¹¹, 48U¹¹, 48V¹¹</t>
        </is>
      </c>
      <c r="M6535" t="inlineStr"/>
      <c r="N6535" t="inlineStr">
        <is>
          <t>24G⁵, 24E¹, 24A³, 6B⁰, 12C⁰, 8A¹, 24P⁴, 24N², 48R¹¹, 4C⁰, 12M¹, 24M⁹, 2B⁰, 24C², 12H⁰, 1A⁰, 24D⁵, 12H², 16B², 48B⁶, 48C⁶, 48V¹¹, 12D⁰, 6H⁰, 3A⁰, 48U¹¹, 6D⁰, 48N¹¹</t>
        </is>
      </c>
      <c r="O6535" t="inlineStr"/>
    </row>
    <row r="6536">
      <c r="A6536">
        <f>HYPERLINK("https://mathstats.uncg.edu/sites/pauli/congruence/csg21.html#group48BL21", "48BL²¹")</f>
        <v/>
      </c>
      <c r="B6536" t="n">
        <v>21</v>
      </c>
      <c r="C6536" t="inlineStr"/>
      <c r="D6536" t="inlineStr">
        <is>
          <t>288</t>
        </is>
      </c>
      <c r="E6536" t="inlineStr">
        <is>
          <t>1</t>
        </is>
      </c>
      <c r="F6536" t="inlineStr">
        <is>
          <t>72</t>
        </is>
      </c>
      <c r="G6536" t="inlineStr">
        <is>
          <t>0</t>
        </is>
      </c>
      <c r="H6536" t="inlineStr">
        <is>
          <t>0</t>
        </is>
      </c>
      <c r="I6536" t="inlineStr">
        <is>
          <t>24⁴, 48⁴</t>
        </is>
      </c>
      <c r="J6536" t="n">
        <v>8</v>
      </c>
      <c r="K6536" t="inlineStr">
        <is>
          <t>2², 4⁷, 8⁵</t>
        </is>
      </c>
      <c r="L6536" t="inlineStr">
        <is>
          <t>24C¹⁰, 48D¹⁰, 48O¹¹</t>
        </is>
      </c>
      <c r="M6536" t="inlineStr"/>
      <c r="N6536" t="inlineStr">
        <is>
          <t>24C¹⁰, 24A³, 12C⁰, 8A¹, 48G³, 48O¹¹, 8D⁰, 48H⁴, 4C⁰, 8B², 8A⁰, 48D¹⁰, 2B⁰, 1A⁰, 8D¹, 8K⁰, 24J³, 24H⁴, 12A⁰, 8C¹, 24A¹, 48C⁶, 4A⁰, 24C¹, 12J¹, 4F⁰, 3A⁰, 6D⁰, 24B⁵</t>
        </is>
      </c>
      <c r="O6536" t="inlineStr"/>
    </row>
    <row r="6537">
      <c r="A6537">
        <f>HYPERLINK("https://mathstats.uncg.edu/sites/pauli/congruence/csg21.html#group48BM21", "48BM²¹")</f>
        <v/>
      </c>
      <c r="B6537" t="n">
        <v>21</v>
      </c>
      <c r="C6537" t="inlineStr"/>
      <c r="D6537" t="inlineStr">
        <is>
          <t>288</t>
        </is>
      </c>
      <c r="E6537" t="inlineStr">
        <is>
          <t>1</t>
        </is>
      </c>
      <c r="F6537" t="inlineStr">
        <is>
          <t>72</t>
        </is>
      </c>
      <c r="G6537" t="inlineStr">
        <is>
          <t>0</t>
        </is>
      </c>
      <c r="H6537" t="inlineStr">
        <is>
          <t>0</t>
        </is>
      </c>
      <c r="I6537" t="inlineStr">
        <is>
          <t>24⁴, 48⁴</t>
        </is>
      </c>
      <c r="J6537" t="n">
        <v>8</v>
      </c>
      <c r="K6537" t="inlineStr">
        <is>
          <t>2², 4⁷, 8⁵</t>
        </is>
      </c>
      <c r="L6537" t="inlineStr">
        <is>
          <t>24E¹⁰, 48C¹⁰, 48O¹¹</t>
        </is>
      </c>
      <c r="M6537" t="inlineStr"/>
      <c r="N6537" t="inlineStr">
        <is>
          <t>24O⁴, 16D², 24A³, 24E¹⁰, 8A¹, 12C⁰, 48O¹¹, 8D⁰, 4C⁰, 2B⁰, 24B¹, 1A⁰, 16E⁰, 12A⁰, 8C¹, 48E⁴, 48C⁶, 4A⁰, 16C¹, 24C¹, 12J¹, 24R³, 4F⁰, 48C¹⁰, 3A⁰, 48D³, 6D⁰, 24B⁵</t>
        </is>
      </c>
      <c r="O6537" t="inlineStr"/>
    </row>
    <row r="6538">
      <c r="A6538">
        <f>HYPERLINK("https://mathstats.uncg.edu/sites/pauli/congruence/csg21.html#group48BN21", "48BN²¹")</f>
        <v/>
      </c>
      <c r="B6538" t="n">
        <v>21</v>
      </c>
      <c r="C6538" t="inlineStr"/>
      <c r="D6538" t="inlineStr">
        <is>
          <t>288</t>
        </is>
      </c>
      <c r="E6538" t="inlineStr">
        <is>
          <t>1</t>
        </is>
      </c>
      <c r="F6538" t="inlineStr">
        <is>
          <t>72</t>
        </is>
      </c>
      <c r="G6538" t="inlineStr">
        <is>
          <t>0</t>
        </is>
      </c>
      <c r="H6538" t="inlineStr">
        <is>
          <t>0</t>
        </is>
      </c>
      <c r="I6538" t="inlineStr">
        <is>
          <t>24⁴, 48⁴</t>
        </is>
      </c>
      <c r="J6538" t="n">
        <v>8</v>
      </c>
      <c r="K6538" t="inlineStr">
        <is>
          <t>2², 4⁷, 8⁵</t>
        </is>
      </c>
      <c r="L6538" t="inlineStr">
        <is>
          <t>24E¹⁰, 48D¹⁰, 48J¹¹</t>
        </is>
      </c>
      <c r="M6538" t="inlineStr"/>
      <c r="N6538" t="inlineStr">
        <is>
          <t>24O⁴, 24A³, 24E¹⁰, 12C⁰, 48J¹¹, 48G³, 8A¹, 48H⁴, 8D⁰, 4C⁰, 48D¹⁰, 2B⁰, 24B¹, 1A⁰, 12A⁰, 8C¹, 16B², 48B⁶, 4A⁰, 24C¹, 12J¹, 24R³, 4F⁰, 3A⁰, 6D⁰, 24B⁵, 16E³</t>
        </is>
      </c>
      <c r="O6538" t="inlineStr"/>
    </row>
    <row r="6539">
      <c r="A6539">
        <f>HYPERLINK("https://mathstats.uncg.edu/sites/pauli/congruence/csg21.html#group48BO21", "48BO²¹")</f>
        <v/>
      </c>
      <c r="B6539" t="n">
        <v>21</v>
      </c>
      <c r="C6539" t="inlineStr"/>
      <c r="D6539" t="inlineStr">
        <is>
          <t>288</t>
        </is>
      </c>
      <c r="E6539" t="inlineStr">
        <is>
          <t>1</t>
        </is>
      </c>
      <c r="F6539" t="inlineStr">
        <is>
          <t>72</t>
        </is>
      </c>
      <c r="G6539" t="inlineStr">
        <is>
          <t>4</t>
        </is>
      </c>
      <c r="H6539" t="inlineStr">
        <is>
          <t>0</t>
        </is>
      </c>
      <c r="I6539" t="inlineStr">
        <is>
          <t>48⁶</t>
        </is>
      </c>
      <c r="J6539" t="n">
        <v>6</v>
      </c>
      <c r="K6539" t="inlineStr">
        <is>
          <t>8², 16⁸</t>
        </is>
      </c>
      <c r="L6539" t="inlineStr">
        <is>
          <t>24X⁹, 48G¹⁰</t>
        </is>
      </c>
      <c r="M6539" t="inlineStr"/>
      <c r="N6539" t="inlineStr">
        <is>
          <t>24E¹, 12C⁰, 4C⁰, 8A⁰, 2B⁰, 24C², 1A⁰, 8D¹, 48G¹⁰, 24H⁴, 12A⁰, 24A¹, 4A⁰, 24X⁹, 24K⁴, 24R³, 12J¹, 4F⁰, 3A⁰, 6D⁰, 48B³</t>
        </is>
      </c>
      <c r="O6539" t="inlineStr"/>
    </row>
    <row r="6540">
      <c r="A6540">
        <f>HYPERLINK("https://mathstats.uncg.edu/sites/pauli/congruence/csg21.html#group48BP21", "48BP²¹")</f>
        <v/>
      </c>
      <c r="B6540" t="n">
        <v>21</v>
      </c>
      <c r="C6540" t="inlineStr"/>
      <c r="D6540" t="inlineStr">
        <is>
          <t>288</t>
        </is>
      </c>
      <c r="E6540" t="inlineStr">
        <is>
          <t>1</t>
        </is>
      </c>
      <c r="F6540" t="inlineStr">
        <is>
          <t>72</t>
        </is>
      </c>
      <c r="G6540" t="inlineStr">
        <is>
          <t>4</t>
        </is>
      </c>
      <c r="H6540" t="inlineStr">
        <is>
          <t>0</t>
        </is>
      </c>
      <c r="I6540" t="inlineStr">
        <is>
          <t>48⁶</t>
        </is>
      </c>
      <c r="J6540" t="n">
        <v>6</v>
      </c>
      <c r="K6540" t="inlineStr">
        <is>
          <t>8², 16⁸</t>
        </is>
      </c>
      <c r="L6540" t="inlineStr">
        <is>
          <t>24X⁹, 48G¹⁰</t>
        </is>
      </c>
      <c r="M6540" t="inlineStr"/>
      <c r="N6540" t="inlineStr">
        <is>
          <t>24E¹, 12C⁰, 4C⁰, 8A⁰, 2B⁰, 24C², 1A⁰, 8D¹, 48G¹⁰, 24H⁴, 12A⁰, 24A¹, 4A⁰, 24X⁹, 24K⁴, 24R³, 12J¹, 4F⁰, 3A⁰, 6D⁰, 48B³</t>
        </is>
      </c>
      <c r="O6540" t="inlineStr"/>
    </row>
    <row r="6541">
      <c r="A6541">
        <f>HYPERLINK("https://mathstats.uncg.edu/sites/pauli/congruence/csg21.html#group48BQ21", "48BQ²¹")</f>
        <v/>
      </c>
      <c r="B6541" t="n">
        <v>21</v>
      </c>
      <c r="C6541" t="inlineStr"/>
      <c r="D6541" t="inlineStr">
        <is>
          <t>288</t>
        </is>
      </c>
      <c r="E6541" t="inlineStr">
        <is>
          <t>2</t>
        </is>
      </c>
      <c r="F6541" t="inlineStr">
        <is>
          <t>9</t>
        </is>
      </c>
      <c r="G6541" t="inlineStr">
        <is>
          <t>0</t>
        </is>
      </c>
      <c r="H6541" t="inlineStr">
        <is>
          <t>0</t>
        </is>
      </c>
      <c r="I6541" t="inlineStr">
        <is>
          <t>24⁴, 48⁴</t>
        </is>
      </c>
      <c r="J6541" t="n">
        <v>8</v>
      </c>
      <c r="K6541" t="inlineStr">
        <is>
          <t>2⁹</t>
        </is>
      </c>
      <c r="L6541" t="inlineStr">
        <is>
          <t>48AI⁷, 24F⁹, 48AB⁹, 48F¹¹, 48I¹¹</t>
        </is>
      </c>
      <c r="M6541" t="inlineStr"/>
      <c r="N6541" t="inlineStr">
        <is>
          <t>24F⁹, 2A⁰, 24E¹, 24A³, 12C⁰, 4C⁰, 24A⁵, 6C¹, 12B², 24P², 12E², 12M¹, 2B⁰, 4E⁰, 4B⁰, 1A⁰, 24A⁰, 48AB⁹, 24D², 12B¹, 6A¹, 3A⁰, 24G⁵, 48F¹¹, 48AI⁷, 48I¹¹, 8A¹, 8B⁰, 8B¹, 48C⁴, 6A⁰, 12C¹, 24E⁴, 48F³, 48A², 12D⁰, 12C⁴, 2C⁰, 6D⁰</t>
        </is>
      </c>
      <c r="O6541" t="inlineStr"/>
    </row>
    <row r="6542">
      <c r="A6542">
        <f>HYPERLINK("https://mathstats.uncg.edu/sites/pauli/congruence/csg21.html#group48BR21", "48BR²¹")</f>
        <v/>
      </c>
      <c r="B6542" t="n">
        <v>21</v>
      </c>
      <c r="C6542" t="inlineStr"/>
      <c r="D6542" t="inlineStr">
        <is>
          <t>288</t>
        </is>
      </c>
      <c r="E6542" t="inlineStr">
        <is>
          <t>2</t>
        </is>
      </c>
      <c r="F6542" t="inlineStr">
        <is>
          <t>18</t>
        </is>
      </c>
      <c r="G6542" t="inlineStr">
        <is>
          <t>0</t>
        </is>
      </c>
      <c r="H6542" t="inlineStr">
        <is>
          <t>0</t>
        </is>
      </c>
      <c r="I6542" t="inlineStr">
        <is>
          <t>24⁴, 48⁴</t>
        </is>
      </c>
      <c r="J6542" t="n">
        <v>8</v>
      </c>
      <c r="K6542" t="inlineStr">
        <is>
          <t>2¹², 4³</t>
        </is>
      </c>
      <c r="L6542" t="inlineStr">
        <is>
          <t>48AJ⁷, 24S⁹, 48AE⁹, 48I¹¹, 48M¹¹</t>
        </is>
      </c>
      <c r="M6542" t="inlineStr"/>
      <c r="N6542" t="inlineStr">
        <is>
          <t>2A⁰, 24A³, 48M¹¹, 48I¹¹, 12C⁰, 8A¹, 4C⁰, 24S⁹, 24A⁵, 6C¹, 12B², 48AJ⁷, 2B⁰, 4E⁰, 8B⁰, 8B¹, 4B⁰, 24Q², 1A⁰, 48H³, 48C⁴, 6A⁰, 48C⁶, 24A⁰, 24N⁴, 48AE⁹, 48A², 12B¹, 6A¹, 3A⁰, 2C⁰, 6D⁰</t>
        </is>
      </c>
      <c r="O6542" t="inlineStr"/>
    </row>
    <row r="6543">
      <c r="A6543">
        <f>HYPERLINK("https://mathstats.uncg.edu/sites/pauli/congruence/csg21.html#group48BS21", "48BS²¹")</f>
        <v/>
      </c>
      <c r="B6543" t="n">
        <v>21</v>
      </c>
      <c r="C6543" t="inlineStr"/>
      <c r="D6543" t="inlineStr">
        <is>
          <t>288</t>
        </is>
      </c>
      <c r="E6543" t="inlineStr">
        <is>
          <t>2</t>
        </is>
      </c>
      <c r="F6543" t="inlineStr">
        <is>
          <t>18</t>
        </is>
      </c>
      <c r="G6543" t="inlineStr">
        <is>
          <t>0</t>
        </is>
      </c>
      <c r="H6543" t="inlineStr">
        <is>
          <t>0</t>
        </is>
      </c>
      <c r="I6543" t="inlineStr">
        <is>
          <t>24⁴, 48⁴</t>
        </is>
      </c>
      <c r="J6543" t="n">
        <v>8</v>
      </c>
      <c r="K6543" t="inlineStr">
        <is>
          <t>2¹², 4³</t>
        </is>
      </c>
      <c r="L6543" t="inlineStr">
        <is>
          <t>48AE⁸, 48AF⁸, 24S⁹, 48F¹¹, 48M¹¹</t>
        </is>
      </c>
      <c r="M6543" t="inlineStr"/>
      <c r="N6543" t="inlineStr">
        <is>
          <t>48F¹¹, 2A⁰, 48M¹¹, 24A³, 12C⁰, 8A¹, 48AF⁸, 6C¹, 24S⁹, 24A⁵, 4C⁰, 12B², 8B⁰, 2B⁰, 8B¹, 4E⁰, 24Q², 4B⁰, 1A⁰, 48AE⁸, 48H³, 6A⁰, 24A⁰, 48C⁶, 24N⁴, 12B¹, 6A¹, 48F³, 3A⁰, 2C⁰, 6D⁰</t>
        </is>
      </c>
      <c r="O6543" t="inlineStr"/>
    </row>
    <row r="6544">
      <c r="A6544">
        <f>HYPERLINK("https://mathstats.uncg.edu/sites/pauli/congruence/csg21.html#group48BT21", "48BT²¹")</f>
        <v/>
      </c>
      <c r="B6544" t="n">
        <v>21</v>
      </c>
      <c r="C6544" t="inlineStr"/>
      <c r="D6544" t="inlineStr">
        <is>
          <t>288</t>
        </is>
      </c>
      <c r="E6544" t="inlineStr">
        <is>
          <t>2</t>
        </is>
      </c>
      <c r="F6544" t="inlineStr">
        <is>
          <t>36</t>
        </is>
      </c>
      <c r="G6544" t="inlineStr">
        <is>
          <t>0</t>
        </is>
      </c>
      <c r="H6544" t="inlineStr">
        <is>
          <t>0</t>
        </is>
      </c>
      <c r="I6544" t="inlineStr">
        <is>
          <t>24⁴, 48⁴</t>
        </is>
      </c>
      <c r="J6544" t="n">
        <v>8</v>
      </c>
      <c r="K6544" t="inlineStr">
        <is>
          <t>2⁸, 4¹⁰, 8²</t>
        </is>
      </c>
      <c r="L6544" t="inlineStr">
        <is>
          <t>24N⁹, 48P¹¹, 48S¹¹, 48T¹¹, 48U¹¹, 48V¹¹</t>
        </is>
      </c>
      <c r="M6544" t="inlineStr"/>
      <c r="N6544" t="inlineStr">
        <is>
          <t>24G⁵, 24A³, 24E¹, 12C⁰, 8A¹, 48T¹¹, 4C⁰, 24D¹, 6G⁰, 2B⁰, 12M¹, 24E⁵, 12L¹, 1A⁰, 48P¹¹, 16B², 12C¹, 48B⁶, 48C⁶, 12I³, 48V¹¹, 24N³, 24T³, 3C⁰, 3A⁰, 24N⁹, 48S¹¹, 48U¹¹, 6D⁰</t>
        </is>
      </c>
      <c r="O6544" t="inlineStr"/>
    </row>
    <row r="6545">
      <c r="A6545">
        <f>HYPERLINK("https://mathstats.uncg.edu/sites/pauli/congruence/csg21.html#group48BU21", "48BU²¹")</f>
        <v/>
      </c>
      <c r="B6545" t="n">
        <v>21</v>
      </c>
      <c r="C6545" t="inlineStr"/>
      <c r="D6545" t="inlineStr">
        <is>
          <t>288</t>
        </is>
      </c>
      <c r="E6545" t="inlineStr">
        <is>
          <t>2</t>
        </is>
      </c>
      <c r="F6545" t="inlineStr">
        <is>
          <t>36</t>
        </is>
      </c>
      <c r="G6545" t="inlineStr">
        <is>
          <t>0</t>
        </is>
      </c>
      <c r="H6545" t="inlineStr">
        <is>
          <t>0</t>
        </is>
      </c>
      <c r="I6545" t="inlineStr">
        <is>
          <t>24⁴, 48⁴</t>
        </is>
      </c>
      <c r="J6545" t="n">
        <v>8</v>
      </c>
      <c r="K6545" t="inlineStr">
        <is>
          <t>2⁸, 4¹⁰, 8²</t>
        </is>
      </c>
      <c r="L6545" t="inlineStr">
        <is>
          <t>24K⁶, 48AA⁸, 48AB⁸, 48AD⁸, 48K¹¹, 48L¹¹, 48Q¹¹</t>
        </is>
      </c>
      <c r="M6545" t="inlineStr"/>
      <c r="N6545" t="inlineStr">
        <is>
          <t>48AB⁸, 24E¹, 12C⁰, 48K¹¹, 4C⁰, 8B⁰, 24P², 8L⁰, 2B⁰, 12M¹, 24Q², 1A⁰, 48AD⁸, 48H³, 16A², 16D¹, 48E³, 48L¹¹, 24A⁰, 6D⁰, 16F³, 48A⁶, 24M², 24K⁶, 48Q¹¹, 48F³, 3A⁰, 48AA⁸</t>
        </is>
      </c>
      <c r="O6545" t="inlineStr"/>
    </row>
    <row r="6546">
      <c r="A6546">
        <f>HYPERLINK("https://mathstats.uncg.edu/sites/pauli/congruence/csg21.html#group48BV21", "48BV²¹")</f>
        <v/>
      </c>
      <c r="B6546" t="n">
        <v>21</v>
      </c>
      <c r="C6546" t="inlineStr"/>
      <c r="D6546" t="inlineStr">
        <is>
          <t>288</t>
        </is>
      </c>
      <c r="E6546" t="inlineStr">
        <is>
          <t>2</t>
        </is>
      </c>
      <c r="F6546" t="inlineStr">
        <is>
          <t>72</t>
        </is>
      </c>
      <c r="G6546" t="inlineStr">
        <is>
          <t>0</t>
        </is>
      </c>
      <c r="H6546" t="inlineStr">
        <is>
          <t>0</t>
        </is>
      </c>
      <c r="I6546" t="inlineStr">
        <is>
          <t>24⁴, 48⁴</t>
        </is>
      </c>
      <c r="J6546" t="n">
        <v>8</v>
      </c>
      <c r="K6546" t="inlineStr">
        <is>
          <t>4⁶, 8¹⁵</t>
        </is>
      </c>
      <c r="L6546" t="inlineStr">
        <is>
          <t>24E¹⁰, 48D¹⁰, 48O¹¹</t>
        </is>
      </c>
      <c r="M6546" t="inlineStr"/>
      <c r="N6546" t="inlineStr">
        <is>
          <t>24O⁴, 24A³, 24E¹⁰, 12C⁰, 48G³, 8A¹, 48O¹¹, 48H⁴, 8D⁰, 4C⁰, 48D¹⁰, 2B⁰, 24B¹, 1A⁰, 12A⁰, 8C¹, 48C⁶, 4A⁰, 24C¹, 12J¹, 24R³, 4F⁰, 3A⁰, 6D⁰, 24B⁵</t>
        </is>
      </c>
      <c r="O6546" t="inlineStr"/>
    </row>
    <row r="6547">
      <c r="A6547">
        <f>HYPERLINK("https://mathstats.uncg.edu/sites/pauli/congruence/csg21.html#group48BW21", "48BW²¹")</f>
        <v/>
      </c>
      <c r="B6547" t="n">
        <v>21</v>
      </c>
      <c r="C6547" t="inlineStr"/>
      <c r="D6547" t="inlineStr">
        <is>
          <t>288</t>
        </is>
      </c>
      <c r="E6547" t="inlineStr">
        <is>
          <t>2</t>
        </is>
      </c>
      <c r="F6547" t="inlineStr">
        <is>
          <t>72</t>
        </is>
      </c>
      <c r="G6547" t="inlineStr">
        <is>
          <t>4</t>
        </is>
      </c>
      <c r="H6547" t="inlineStr">
        <is>
          <t>0</t>
        </is>
      </c>
      <c r="I6547" t="inlineStr">
        <is>
          <t>48⁶</t>
        </is>
      </c>
      <c r="J6547" t="n">
        <v>6</v>
      </c>
      <c r="K6547" t="inlineStr">
        <is>
          <t>8⁶, 16⁶</t>
        </is>
      </c>
      <c r="L6547" t="inlineStr">
        <is>
          <t>48I⁷, 24Y⁹, 48G¹⁰</t>
        </is>
      </c>
      <c r="M6547" t="inlineStr"/>
      <c r="N6547" t="inlineStr">
        <is>
          <t>48I⁷, 24O⁴, 12C⁰, 4C⁰, 8A⁰, 6G⁰, 2B⁰, 12M¹, 1A⁰, 24A¹, 24Y⁹, 3C⁰, 3A⁰, 48B³, 12G¹, 24B¹, 12L¹, 8D¹, 12J³, 48G¹⁰, 24E³, 12A⁰, 24H⁴, 12C¹, 4A⁰, 12J¹, 4F⁰, 6D⁰</t>
        </is>
      </c>
      <c r="O6547" t="inlineStr"/>
    </row>
    <row r="6548">
      <c r="A6548">
        <f>HYPERLINK("https://mathstats.uncg.edu/sites/pauli/congruence/csg21.html#group48BX21", "48BX²¹")</f>
        <v/>
      </c>
      <c r="B6548" t="n">
        <v>21</v>
      </c>
      <c r="C6548" t="inlineStr"/>
      <c r="D6548" t="inlineStr">
        <is>
          <t>288</t>
        </is>
      </c>
      <c r="E6548" t="inlineStr">
        <is>
          <t>2</t>
        </is>
      </c>
      <c r="F6548" t="inlineStr">
        <is>
          <t>72</t>
        </is>
      </c>
      <c r="G6548" t="inlineStr">
        <is>
          <t>4</t>
        </is>
      </c>
      <c r="H6548" t="inlineStr">
        <is>
          <t>0</t>
        </is>
      </c>
      <c r="I6548" t="inlineStr">
        <is>
          <t>48⁶</t>
        </is>
      </c>
      <c r="J6548" t="n">
        <v>6</v>
      </c>
      <c r="K6548" t="inlineStr">
        <is>
          <t>8⁶, 16⁶</t>
        </is>
      </c>
      <c r="L6548" t="inlineStr">
        <is>
          <t>24X⁹, 48F¹⁰, 48G¹⁰</t>
        </is>
      </c>
      <c r="M6548" t="inlineStr"/>
      <c r="N6548" t="inlineStr">
        <is>
          <t>24E¹, 12C⁰, 16A⁰, 4C⁰, 8A⁰, 16G³, 2B⁰, 48F¹⁰, 24C², 1A⁰, 8D¹, 48G¹⁰, 24H⁴, 12A⁰, 24A¹, 48A³, 4A⁰, 24X⁹, 24K⁴, 24R³, 12J¹, 4F⁰, 3A⁰, 6D⁰, 48B³</t>
        </is>
      </c>
      <c r="O6548" t="inlineStr"/>
    </row>
    <row r="6549">
      <c r="A6549">
        <f>HYPERLINK("https://mathstats.uncg.edu/sites/pauli/congruence/csg21.html#group48BY21", "48BY²¹")</f>
        <v/>
      </c>
      <c r="B6549" t="n">
        <v>21</v>
      </c>
      <c r="C6549" t="inlineStr"/>
      <c r="D6549" t="inlineStr">
        <is>
          <t>288</t>
        </is>
      </c>
      <c r="E6549" t="inlineStr">
        <is>
          <t>2</t>
        </is>
      </c>
      <c r="F6549" t="inlineStr">
        <is>
          <t>72</t>
        </is>
      </c>
      <c r="G6549" t="inlineStr">
        <is>
          <t>4</t>
        </is>
      </c>
      <c r="H6549" t="inlineStr">
        <is>
          <t>0</t>
        </is>
      </c>
      <c r="I6549" t="inlineStr">
        <is>
          <t>48⁶</t>
        </is>
      </c>
      <c r="J6549" t="n">
        <v>6</v>
      </c>
      <c r="K6549" t="inlineStr">
        <is>
          <t>8⁶, 16⁶</t>
        </is>
      </c>
      <c r="L6549" t="inlineStr">
        <is>
          <t>48J⁷, 24Y⁹, 48F¹⁰, 48G¹⁰</t>
        </is>
      </c>
      <c r="M6549" t="inlineStr"/>
      <c r="N6549" t="inlineStr">
        <is>
          <t>24O⁴, 12G¹, 12C⁰, 16A⁰, 4C⁰, 8A⁰, 6G⁰, 16G³, 2B⁰, 48F¹⁰, 24B¹, 12M¹, 1A⁰, 12L¹, 12J³, 48G¹⁰, 8D¹, 24E³, 24H⁴, 12A⁰, 24A¹, 12C¹, 48A³, 48J⁷, 4A⁰, 24Y⁹, 3C⁰, 12J¹, 4F⁰, 3A⁰, 6D⁰, 48B³</t>
        </is>
      </c>
      <c r="O6549" t="inlineStr"/>
    </row>
    <row r="6550">
      <c r="A6550">
        <f>HYPERLINK("https://mathstats.uncg.edu/sites/pauli/congruence/csg21.html#group48BZ21", "48BZ²¹")</f>
        <v/>
      </c>
      <c r="B6550" t="n">
        <v>21</v>
      </c>
      <c r="C6550" t="inlineStr"/>
      <c r="D6550" t="inlineStr">
        <is>
          <t>384</t>
        </is>
      </c>
      <c r="E6550" t="inlineStr">
        <is>
          <t>1</t>
        </is>
      </c>
      <c r="F6550" t="inlineStr">
        <is>
          <t>12</t>
        </is>
      </c>
      <c r="G6550" t="inlineStr">
        <is>
          <t>0</t>
        </is>
      </c>
      <c r="H6550" t="inlineStr">
        <is>
          <t>0</t>
        </is>
      </c>
      <c r="I6550" t="inlineStr">
        <is>
          <t>4⁸, 12⁸, 16⁴, 48⁴</t>
        </is>
      </c>
      <c r="J6550" t="n">
        <v>24</v>
      </c>
      <c r="K6550" t="inlineStr">
        <is>
          <t>1⁶, 2³</t>
        </is>
      </c>
      <c r="L6550" t="inlineStr">
        <is>
          <t>24Z⁵, 48W¹¹, 48X¹¹</t>
        </is>
      </c>
      <c r="M6550" t="inlineStr"/>
      <c r="N6550" t="inlineStr">
        <is>
          <t>2A⁰, 24V³, 48D⁶, 24G¹, 4C⁰, 12I⁰, 12J⁰, 2B⁰, 8C⁰, 4E⁰, 4B⁰, 1A⁰, 24Z⁵, 24J¹, 24U³, 8G⁰, 6F⁰, 3B⁰, 16C², 12V¹, 8D⁰, 6I⁰, 12F¹, 6C⁰, 12P¹, 48W¹¹, 24I², 24B⁰, 16C¹, 24W³, 48X¹¹, 24F², 2C⁰, 12E⁰</t>
        </is>
      </c>
      <c r="O6550" t="inlineStr"/>
    </row>
    <row r="6551">
      <c r="A6551">
        <f>HYPERLINK("https://mathstats.uncg.edu/sites/pauli/congruence/csg21.html#group48CA21", "48CA²¹")</f>
        <v/>
      </c>
      <c r="B6551" t="n">
        <v>21</v>
      </c>
      <c r="C6551" t="inlineStr"/>
      <c r="D6551" t="inlineStr">
        <is>
          <t>384</t>
        </is>
      </c>
      <c r="E6551" t="inlineStr">
        <is>
          <t>1</t>
        </is>
      </c>
      <c r="F6551" t="inlineStr">
        <is>
          <t>12</t>
        </is>
      </c>
      <c r="G6551" t="inlineStr">
        <is>
          <t>0</t>
        </is>
      </c>
      <c r="H6551" t="inlineStr">
        <is>
          <t>0</t>
        </is>
      </c>
      <c r="I6551" t="inlineStr">
        <is>
          <t>4⁸, 12⁸, 16⁴, 48⁴</t>
        </is>
      </c>
      <c r="J6551" t="n">
        <v>24</v>
      </c>
      <c r="K6551" t="inlineStr">
        <is>
          <t>1⁶, 2³</t>
        </is>
      </c>
      <c r="L6551" t="inlineStr">
        <is>
          <t>48AK⁷, 24AE⁹, 48X¹¹</t>
        </is>
      </c>
      <c r="M6551" t="inlineStr"/>
      <c r="N6551" t="inlineStr">
        <is>
          <t>24AE⁹, 3B⁰, 2A⁰, 24V³, 16C², 8D⁰, 6I⁰, 12F¹, 24G¹, 6C⁰, 12I⁰, 4C⁰, 48K³, 48D⁶, 2B⁰, 4E⁰, 8C⁰, 12P¹, 4B⁰, 1A⁰, 12F², 48AK⁷, 24I², 8G⁰, 12L³, 16C¹, 24H⁵, 48X¹¹, 6F⁰, 2C⁰, 12E⁰, 12B⁰</t>
        </is>
      </c>
      <c r="O6551" t="inlineStr"/>
    </row>
    <row r="6552">
      <c r="A6552">
        <f>HYPERLINK("https://mathstats.uncg.edu/sites/pauli/congruence/csg21.html#group48CB21", "48CB²¹")</f>
        <v/>
      </c>
      <c r="B6552" t="n">
        <v>21</v>
      </c>
      <c r="C6552" t="inlineStr"/>
      <c r="D6552" t="inlineStr">
        <is>
          <t>384</t>
        </is>
      </c>
      <c r="E6552" t="inlineStr">
        <is>
          <t>1</t>
        </is>
      </c>
      <c r="F6552" t="inlineStr">
        <is>
          <t>12</t>
        </is>
      </c>
      <c r="G6552" t="inlineStr">
        <is>
          <t>0</t>
        </is>
      </c>
      <c r="H6552" t="inlineStr">
        <is>
          <t>0</t>
        </is>
      </c>
      <c r="I6552" t="inlineStr">
        <is>
          <t>4⁸, 12⁸, 16⁴, 48⁴</t>
        </is>
      </c>
      <c r="J6552" t="n">
        <v>24</v>
      </c>
      <c r="K6552" t="inlineStr">
        <is>
          <t>1⁶, 2³</t>
        </is>
      </c>
      <c r="L6552" t="inlineStr">
        <is>
          <t>48AK⁷, 24AF⁹, 48W¹¹</t>
        </is>
      </c>
      <c r="M6552" t="inlineStr"/>
      <c r="N6552" t="inlineStr">
        <is>
          <t>2A⁰, 24V³, 24G¹, 4C⁰, 4G⁰, 8C⁰, 2B⁰, 4E⁰, 4B⁰, 8F¹, 1A⁰, 8G⁰, 4D⁰, 12A¹, 6F⁰, 3B⁰, 24K⁵, 8A¹, 12I¹, 24B³, 8D⁰, 12F¹, 48K³, 6I⁰, 6C⁰, 8B⁰, 8B¹, 12P¹, 24C³, 8H⁰, 48AK⁷, 24I⁵, 8C¹, 48W¹¹, 24I², 4A⁰, 12G², 12K³, 24J⁵, 4F⁰, 2C⁰, 12E⁰, 24AF⁹</t>
        </is>
      </c>
      <c r="O6552" t="inlineStr"/>
    </row>
    <row r="6553">
      <c r="A6553">
        <f>HYPERLINK("https://mathstats.uncg.edu/sites/pauli/congruence/csg21.html#group48CC21", "48CC²¹")</f>
        <v/>
      </c>
      <c r="B6553" t="n">
        <v>21</v>
      </c>
      <c r="C6553" t="inlineStr"/>
      <c r="D6553" t="inlineStr">
        <is>
          <t>384</t>
        </is>
      </c>
      <c r="E6553" t="inlineStr">
        <is>
          <t>1</t>
        </is>
      </c>
      <c r="F6553" t="inlineStr">
        <is>
          <t>12</t>
        </is>
      </c>
      <c r="G6553" t="inlineStr">
        <is>
          <t>0</t>
        </is>
      </c>
      <c r="H6553" t="inlineStr">
        <is>
          <t>0</t>
        </is>
      </c>
      <c r="I6553" t="inlineStr">
        <is>
          <t>4⁸, 12⁸, 16⁴, 48⁴</t>
        </is>
      </c>
      <c r="J6553" t="n">
        <v>24</v>
      </c>
      <c r="K6553" t="inlineStr">
        <is>
          <t>1⁶, 2³</t>
        </is>
      </c>
      <c r="L6553" t="inlineStr">
        <is>
          <t>48AL⁷, 24AE⁹, 48W¹¹</t>
        </is>
      </c>
      <c r="M6553" t="inlineStr"/>
      <c r="N6553" t="inlineStr">
        <is>
          <t>24AE⁹, 2A⁰, 16G⁰, 24V³, 24G¹, 4C⁰, 12I⁰, 2B⁰, 4E⁰, 8C⁰, 4B⁰, 1A⁰, 12F², 16E⁰, 48AL⁷, 8G⁰, 12L³, 24H⁵, 6F⁰, 48L³, 3B⁰, 8D⁰, 6I⁰, 12F¹, 6C⁰, 12P¹, 48W¹¹, 24I², 48J⁴, 16D⁰, 2C⁰, 12E⁰, 12B⁰</t>
        </is>
      </c>
      <c r="O6553" t="inlineStr"/>
    </row>
    <row r="6554">
      <c r="A6554">
        <f>HYPERLINK("https://mathstats.uncg.edu/sites/pauli/congruence/csg21.html#group48CD21", "48CD²¹")</f>
        <v/>
      </c>
      <c r="B6554" t="n">
        <v>21</v>
      </c>
      <c r="C6554" t="inlineStr"/>
      <c r="D6554" t="inlineStr">
        <is>
          <t>384</t>
        </is>
      </c>
      <c r="E6554" t="inlineStr">
        <is>
          <t>1</t>
        </is>
      </c>
      <c r="F6554" t="inlineStr">
        <is>
          <t>12</t>
        </is>
      </c>
      <c r="G6554" t="inlineStr">
        <is>
          <t>0</t>
        </is>
      </c>
      <c r="H6554" t="inlineStr">
        <is>
          <t>0</t>
        </is>
      </c>
      <c r="I6554" t="inlineStr">
        <is>
          <t>4⁸, 12⁸, 16⁴, 48⁴</t>
        </is>
      </c>
      <c r="J6554" t="n">
        <v>24</v>
      </c>
      <c r="K6554" t="inlineStr">
        <is>
          <t>1⁶, 2³</t>
        </is>
      </c>
      <c r="L6554" t="inlineStr">
        <is>
          <t>24AF⁹, 48AH⁹, 48Y¹¹</t>
        </is>
      </c>
      <c r="M6554" t="inlineStr"/>
      <c r="N6554" t="inlineStr">
        <is>
          <t>2A⁰, 24V³, 24G¹, 4C⁰, 4G⁰, 8C⁰, 2B⁰, 4E⁰, 4B⁰, 8F¹, 1A⁰, 48AH⁹, 8G⁰, 4D⁰, 12A¹, 48I³, 6F⁰, 48C⁵, 3B⁰, 24K⁵, 8A¹, 12I¹, 24B³, 8D⁰, 12F¹, 6I⁰, 6C⁰, 8B⁰, 48Y¹¹, 8B¹, 12P¹, 24C³, 8H⁰, 24I⁵, 8C¹, 24I², 4A⁰, 12G², 12K³, 4F⁰, 24J⁵, 2C⁰, 12E⁰, 24AF⁹</t>
        </is>
      </c>
      <c r="O6554" t="inlineStr"/>
    </row>
    <row r="6555">
      <c r="A6555">
        <f>HYPERLINK("https://mathstats.uncg.edu/sites/pauli/congruence/csg21.html#group48CE21", "48CE²¹")</f>
        <v/>
      </c>
      <c r="B6555" t="n">
        <v>21</v>
      </c>
      <c r="C6555" t="inlineStr"/>
      <c r="D6555" t="inlineStr">
        <is>
          <t>384</t>
        </is>
      </c>
      <c r="E6555" t="inlineStr">
        <is>
          <t>1</t>
        </is>
      </c>
      <c r="F6555" t="inlineStr">
        <is>
          <t>12</t>
        </is>
      </c>
      <c r="G6555" t="inlineStr">
        <is>
          <t>0</t>
        </is>
      </c>
      <c r="H6555" t="inlineStr">
        <is>
          <t>0</t>
        </is>
      </c>
      <c r="I6555" t="inlineStr">
        <is>
          <t>4⁸, 12⁸, 16⁴, 48⁴</t>
        </is>
      </c>
      <c r="J6555" t="n">
        <v>24</v>
      </c>
      <c r="K6555" t="inlineStr">
        <is>
          <t>1⁶, 2³</t>
        </is>
      </c>
      <c r="L6555" t="inlineStr">
        <is>
          <t>16H³, 24AF⁹, 48AK⁹, 48Z¹¹</t>
        </is>
      </c>
      <c r="M6555" t="inlineStr"/>
      <c r="N6555" t="inlineStr">
        <is>
          <t>2A⁰, 24V³, 24G¹, 4C⁰, 16A¹, 2B⁰, 8C⁰, 4E⁰, 4G⁰, 4B⁰, 8F¹, 1A⁰, 8G⁰, 48Z¹¹, 48J³, 12A¹, 16C⁰, 4D⁰, 48AK⁹, 16H¹, 6F⁰, 3B⁰, 24K⁵, 8A¹, 12I¹, 24B³, 8D⁰, 12F¹, 6I⁰, 16E¹, 6C⁰, 8B⁰, 8B¹, 12P¹, 16H³, 8H⁰, 24C³, 24I⁵, 8C¹, 24I², 4A⁰, 12G², 12K³, 24J⁵, 4F⁰, 48D⁵, 2C⁰, 12E⁰, 24AF⁹</t>
        </is>
      </c>
      <c r="O6555" t="inlineStr"/>
    </row>
    <row r="6556">
      <c r="A6556">
        <f>HYPERLINK("https://mathstats.uncg.edu/sites/pauli/congruence/csg21.html#group48CF21", "48CF²¹")</f>
        <v/>
      </c>
      <c r="B6556" t="n">
        <v>21</v>
      </c>
      <c r="C6556" t="inlineStr"/>
      <c r="D6556" t="inlineStr">
        <is>
          <t>384</t>
        </is>
      </c>
      <c r="E6556" t="inlineStr">
        <is>
          <t>1</t>
        </is>
      </c>
      <c r="F6556" t="inlineStr">
        <is>
          <t>12</t>
        </is>
      </c>
      <c r="G6556" t="inlineStr">
        <is>
          <t>0</t>
        </is>
      </c>
      <c r="H6556" t="inlineStr">
        <is>
          <t>0</t>
        </is>
      </c>
      <c r="I6556" t="inlineStr">
        <is>
          <t>4⁸, 12⁸, 16⁴, 48⁴</t>
        </is>
      </c>
      <c r="J6556" t="n">
        <v>24</v>
      </c>
      <c r="K6556" t="inlineStr">
        <is>
          <t>1⁶, 2³</t>
        </is>
      </c>
      <c r="L6556" t="inlineStr">
        <is>
          <t>16I³, 48AL⁷, 24AF⁹, 48X¹¹, 48AA¹¹, 48AB¹¹</t>
        </is>
      </c>
      <c r="M6556" t="inlineStr"/>
      <c r="N6556" t="inlineStr">
        <is>
          <t>16G⁰, 2A⁰, 24V³, 16I¹, 48D⁶, 24G¹, 4C⁰, 4G⁰, 8C⁰, 4E⁰, 2B⁰, 4B⁰, 8F¹, 1A⁰, 16E⁰, 48AL⁷, 8G⁰, 4D⁰, 12A¹, 48AB¹¹, 6F⁰, 48L³, 16D², 3B⁰, 24K⁵, 8A¹, 16C², 12I¹, 24B³, 48AA¹¹, 8D⁰, 12F¹, 6I⁰, 6C⁰, 8B⁰, 8B¹, 12P¹, 16I³, 8H⁰, 24C³, 24I⁵, 8C¹, 24I², 4A⁰, 48J⁴, 16D⁰, 16C¹, 48X¹¹, 12G², 12K³, 24J⁵, 4F⁰, 2C⁰, 12E⁰, 24AF⁹</t>
        </is>
      </c>
      <c r="O6556" t="inlineStr"/>
    </row>
    <row r="6557">
      <c r="A6557">
        <f>HYPERLINK("https://mathstats.uncg.edu/sites/pauli/congruence/csg21.html#group48CG21", "48CG²¹")</f>
        <v/>
      </c>
      <c r="B6557" t="n">
        <v>21</v>
      </c>
      <c r="C6557" t="inlineStr"/>
      <c r="D6557" t="inlineStr">
        <is>
          <t>384</t>
        </is>
      </c>
      <c r="E6557" t="inlineStr">
        <is>
          <t>1</t>
        </is>
      </c>
      <c r="F6557" t="inlineStr">
        <is>
          <t>24</t>
        </is>
      </c>
      <c r="G6557" t="inlineStr">
        <is>
          <t>0</t>
        </is>
      </c>
      <c r="H6557" t="inlineStr">
        <is>
          <t>0</t>
        </is>
      </c>
      <c r="I6557" t="inlineStr">
        <is>
          <t>4⁸, 12⁸, 16⁴, 48⁴</t>
        </is>
      </c>
      <c r="J6557" t="n">
        <v>24</v>
      </c>
      <c r="K6557" t="inlineStr">
        <is>
          <t>1⁸, 2⁶, 4¹</t>
        </is>
      </c>
      <c r="L6557" t="inlineStr">
        <is>
          <t>24AH⁷, 48AH⁹, 48X¹¹</t>
        </is>
      </c>
      <c r="M6557" t="inlineStr"/>
      <c r="N6557" t="inlineStr">
        <is>
          <t>48C⁵, 3B⁰, 2A⁰, 24V³, 24Z³, 16C², 8D⁰, 12F¹, 6I⁰, 24G¹, 4C⁰, 6C⁰, 48D⁶, 24AH⁷, 8C⁰, 2B⁰, 4E⁰, 12P¹, 4B⁰, 1A⁰, 24X³, 48AH⁹, 24I², 8G⁰, 16C¹, 48X¹¹, 48I³, 6F⁰, 2C⁰, 12E⁰</t>
        </is>
      </c>
      <c r="O6557" t="inlineStr"/>
    </row>
    <row r="6558">
      <c r="A6558">
        <f>HYPERLINK("https://mathstats.uncg.edu/sites/pauli/congruence/csg21.html#group48CH21", "48CH²¹")</f>
        <v/>
      </c>
      <c r="B6558" t="n">
        <v>21</v>
      </c>
      <c r="C6558" t="inlineStr"/>
      <c r="D6558" t="inlineStr">
        <is>
          <t>384</t>
        </is>
      </c>
      <c r="E6558" t="inlineStr">
        <is>
          <t>1</t>
        </is>
      </c>
      <c r="F6558" t="inlineStr">
        <is>
          <t>24</t>
        </is>
      </c>
      <c r="G6558" t="inlineStr">
        <is>
          <t>0</t>
        </is>
      </c>
      <c r="H6558" t="inlineStr">
        <is>
          <t>0</t>
        </is>
      </c>
      <c r="I6558" t="inlineStr">
        <is>
          <t>4⁸, 12⁸, 16⁴, 48⁴</t>
        </is>
      </c>
      <c r="J6558" t="n">
        <v>24</v>
      </c>
      <c r="K6558" t="inlineStr">
        <is>
          <t>1⁸, 2⁶, 4¹</t>
        </is>
      </c>
      <c r="L6558" t="inlineStr">
        <is>
          <t>24AH⁷, 48AK⁹, 48W¹¹</t>
        </is>
      </c>
      <c r="M6558" t="inlineStr"/>
      <c r="N6558" t="inlineStr">
        <is>
          <t>3B⁰, 2A⁰, 24V³, 24Z³, 8D⁰, 12F¹, 6I⁰, 24G¹, 4C⁰, 6C⁰, 16E¹, 24AH⁷, 16A¹, 8C⁰, 2B⁰, 4E⁰, 12P¹, 4B⁰, 1A⁰, 24X³, 48W¹¹, 24I², 8G⁰, 48J³, 16C⁰, 48AK⁹, 48D⁵, 6F⁰, 2C⁰, 12E⁰</t>
        </is>
      </c>
      <c r="O6558" t="inlineStr"/>
    </row>
    <row r="6559">
      <c r="A6559">
        <f>HYPERLINK("https://mathstats.uncg.edu/sites/pauli/congruence/csg21.html#group48CI21", "48CI²¹")</f>
        <v/>
      </c>
      <c r="B6559" t="n">
        <v>21</v>
      </c>
      <c r="C6559" t="inlineStr"/>
      <c r="D6559" t="inlineStr">
        <is>
          <t>384</t>
        </is>
      </c>
      <c r="E6559" t="inlineStr">
        <is>
          <t>1</t>
        </is>
      </c>
      <c r="F6559" t="inlineStr">
        <is>
          <t>24</t>
        </is>
      </c>
      <c r="G6559" t="inlineStr">
        <is>
          <t>0</t>
        </is>
      </c>
      <c r="H6559" t="inlineStr">
        <is>
          <t>0</t>
        </is>
      </c>
      <c r="I6559" t="inlineStr">
        <is>
          <t>4⁸, 12⁸, 16⁴, 48⁴</t>
        </is>
      </c>
      <c r="J6559" t="n">
        <v>24</v>
      </c>
      <c r="K6559" t="inlineStr">
        <is>
          <t>1⁸, 2⁶, 4¹</t>
        </is>
      </c>
      <c r="L6559" t="inlineStr">
        <is>
          <t>24AI⁷, 48AH⁹, 48W¹¹</t>
        </is>
      </c>
      <c r="M6559" t="inlineStr"/>
      <c r="N6559" t="inlineStr">
        <is>
          <t>48C⁵, 2A⁰, 3B⁰, 24V³, 24AA³, 8D⁰, 6I⁰, 12F¹, 24G¹, 4C⁰, 6C⁰, 2B⁰, 4E⁰, 8C⁰, 12P¹, 4B⁰, 8I⁰, 1A⁰, 48AH⁹, 48W¹¹, 24I², 8G⁰, 12E⁰, 48I³, 24Y³, 6F⁰, 2C⁰, 24AI⁷, 8J⁰, 8O⁰</t>
        </is>
      </c>
      <c r="O6559" t="inlineStr"/>
    </row>
    <row r="6560">
      <c r="A6560">
        <f>HYPERLINK("https://mathstats.uncg.edu/sites/pauli/congruence/csg21.html#group48CJ21", "48CJ²¹")</f>
        <v/>
      </c>
      <c r="B6560" t="n">
        <v>21</v>
      </c>
      <c r="C6560" t="inlineStr"/>
      <c r="D6560" t="inlineStr">
        <is>
          <t>384</t>
        </is>
      </c>
      <c r="E6560" t="inlineStr">
        <is>
          <t>1</t>
        </is>
      </c>
      <c r="F6560" t="inlineStr">
        <is>
          <t>24</t>
        </is>
      </c>
      <c r="G6560" t="inlineStr">
        <is>
          <t>0</t>
        </is>
      </c>
      <c r="H6560" t="inlineStr">
        <is>
          <t>0</t>
        </is>
      </c>
      <c r="I6560" t="inlineStr">
        <is>
          <t>4⁸, 12⁸, 16⁴, 48⁴</t>
        </is>
      </c>
      <c r="J6560" t="n">
        <v>24</v>
      </c>
      <c r="K6560" t="inlineStr">
        <is>
          <t>1⁸, 2⁶, 4¹</t>
        </is>
      </c>
      <c r="L6560" t="inlineStr">
        <is>
          <t>24AE⁹, 48AH⁹, 48AK⁹</t>
        </is>
      </c>
      <c r="M6560" t="inlineStr"/>
      <c r="N6560" t="inlineStr">
        <is>
          <t>48C⁵, 24AE⁹, 3B⁰, 2A⁰, 24V³, 8D⁰, 6I⁰, 12F¹, 24G¹, 6C⁰, 12I⁰, 4C⁰, 16E¹, 16A¹, 2B⁰, 4E⁰, 8C⁰, 12P¹, 4B⁰, 1A⁰, 12F², 48AH⁹, 24I², 8G⁰, 48J³, 16C⁰, 12L³, 24H⁵, 48AK⁹, 48I³, 48D⁵, 6F⁰, 2C⁰, 12E⁰, 12B⁰</t>
        </is>
      </c>
      <c r="O6560" t="inlineStr"/>
    </row>
    <row r="6561">
      <c r="A6561">
        <f>HYPERLINK("https://mathstats.uncg.edu/sites/pauli/congruence/csg21.html#group48CK21", "48CK²¹")</f>
        <v/>
      </c>
      <c r="B6561" t="n">
        <v>21</v>
      </c>
      <c r="C6561" t="inlineStr"/>
      <c r="D6561" t="inlineStr">
        <is>
          <t>384</t>
        </is>
      </c>
      <c r="E6561" t="inlineStr">
        <is>
          <t>1</t>
        </is>
      </c>
      <c r="F6561" t="inlineStr">
        <is>
          <t>24</t>
        </is>
      </c>
      <c r="G6561" t="inlineStr">
        <is>
          <t>0</t>
        </is>
      </c>
      <c r="H6561" t="inlineStr">
        <is>
          <t>0</t>
        </is>
      </c>
      <c r="I6561" t="inlineStr">
        <is>
          <t>4⁸, 12⁸, 16⁴, 48⁴</t>
        </is>
      </c>
      <c r="J6561" t="n">
        <v>24</v>
      </c>
      <c r="K6561" t="inlineStr">
        <is>
          <t>1⁸, 2⁶, 4¹</t>
        </is>
      </c>
      <c r="L6561" t="inlineStr">
        <is>
          <t>16J³, 24AI⁷, 48AK⁹, 48X¹¹</t>
        </is>
      </c>
      <c r="M6561" t="inlineStr"/>
      <c r="N6561" t="inlineStr">
        <is>
          <t>2A⁰, 24V³, 24AA³, 48D⁶, 24G¹, 4C⁰, 16A¹, 8C⁰, 4E⁰, 2B⁰, 16J³, 4B⁰, 1A⁰, 8G⁰, 48J³, 16C⁰, 12E⁰, 48AK⁹, 6F⁰, 3B⁰, 16C², 8D⁰, 12F¹, 16E¹, 6I⁰, 6C⁰, 8I⁰, 12P¹, 24I², 16C¹, 48X¹¹, 24Y³, 48D⁵, 8J⁰, 2C⁰, 24AI⁷, 8O⁰</t>
        </is>
      </c>
      <c r="O6561" t="inlineStr"/>
    </row>
    <row r="6562">
      <c r="A6562">
        <f>HYPERLINK("https://mathstats.uncg.edu/sites/pauli/congruence/csg21.html#group48CL21", "48CL²¹")</f>
        <v/>
      </c>
      <c r="B6562" t="n">
        <v>21</v>
      </c>
      <c r="C6562" t="inlineStr"/>
      <c r="D6562" t="inlineStr">
        <is>
          <t>384</t>
        </is>
      </c>
      <c r="E6562" t="inlineStr">
        <is>
          <t>1</t>
        </is>
      </c>
      <c r="F6562" t="inlineStr">
        <is>
          <t>96</t>
        </is>
      </c>
      <c r="G6562" t="inlineStr">
        <is>
          <t>0</t>
        </is>
      </c>
      <c r="H6562" t="inlineStr">
        <is>
          <t>0</t>
        </is>
      </c>
      <c r="I6562" t="inlineStr">
        <is>
          <t>2⁴, 4², 6⁴, 8², 12², 16⁴, 24², 48⁴</t>
        </is>
      </c>
      <c r="J6562" t="n">
        <v>24</v>
      </c>
      <c r="K6562" t="inlineStr">
        <is>
          <t>1⁸, 2⁸, 4⁶, 8⁴, 16¹</t>
        </is>
      </c>
      <c r="L6562" t="inlineStr">
        <is>
          <t>48AO⁹</t>
        </is>
      </c>
      <c r="M6562" t="inlineStr"/>
      <c r="N6562" t="inlineStr">
        <is>
          <t>3B⁰, 24G¹, 16A¹, 8C⁰, 2B⁰, 8I⁰, 4B⁰, 1A⁰, 16G¹, 16D⁰, 24Y³, 48AO⁹, 48D⁵, 6F⁰, 12E⁰, 48L³</t>
        </is>
      </c>
      <c r="O6562" t="inlineStr"/>
    </row>
    <row r="6563">
      <c r="A6563">
        <f>HYPERLINK("https://mathstats.uncg.edu/sites/pauli/congruence/csg21.html#group48CM21", "48CM²¹")</f>
        <v/>
      </c>
      <c r="B6563" t="n">
        <v>21</v>
      </c>
      <c r="C6563" t="inlineStr"/>
      <c r="D6563" t="inlineStr">
        <is>
          <t>384</t>
        </is>
      </c>
      <c r="E6563" t="inlineStr">
        <is>
          <t>1</t>
        </is>
      </c>
      <c r="F6563" t="inlineStr">
        <is>
          <t>96</t>
        </is>
      </c>
      <c r="G6563" t="inlineStr">
        <is>
          <t>0</t>
        </is>
      </c>
      <c r="H6563" t="inlineStr">
        <is>
          <t>0</t>
        </is>
      </c>
      <c r="I6563" t="inlineStr">
        <is>
          <t>2⁴, 4², 6⁴, 8², 12², 16⁴, 24², 48⁴</t>
        </is>
      </c>
      <c r="J6563" t="n">
        <v>24</v>
      </c>
      <c r="K6563" t="inlineStr">
        <is>
          <t>1⁸, 2⁸, 4⁶, 8⁴, 16¹</t>
        </is>
      </c>
      <c r="L6563" t="inlineStr">
        <is>
          <t>16N³, 48AO⁹</t>
        </is>
      </c>
      <c r="M6563" t="inlineStr"/>
      <c r="N6563" t="inlineStr">
        <is>
          <t>3B⁰, 24G¹, 16A¹, 8C⁰, 2B⁰, 8I⁰, 4B⁰, 1A⁰, 16N³, 16G¹, 16D⁰, 24Y³, 48AO⁹, 48D⁵, 6F⁰, 12E⁰, 48L³</t>
        </is>
      </c>
      <c r="O6563" t="inlineStr"/>
    </row>
    <row r="6564">
      <c r="A6564">
        <f>HYPERLINK("https://mathstats.uncg.edu/sites/pauli/congruence/csg21.html#group48CN21", "48CN²¹")</f>
        <v/>
      </c>
      <c r="B6564" t="n">
        <v>21</v>
      </c>
      <c r="C6564" t="inlineStr"/>
      <c r="D6564" t="inlineStr">
        <is>
          <t>384</t>
        </is>
      </c>
      <c r="E6564" t="inlineStr">
        <is>
          <t>1</t>
        </is>
      </c>
      <c r="F6564" t="inlineStr">
        <is>
          <t>96</t>
        </is>
      </c>
      <c r="G6564" t="inlineStr">
        <is>
          <t>0</t>
        </is>
      </c>
      <c r="H6564" t="inlineStr">
        <is>
          <t>0</t>
        </is>
      </c>
      <c r="I6564" t="inlineStr">
        <is>
          <t>4⁸, 12⁸, 16⁴, 48⁴</t>
        </is>
      </c>
      <c r="J6564" t="n">
        <v>24</v>
      </c>
      <c r="K6564" t="inlineStr">
        <is>
          <t>2⁴, 4¹², 8⁵</t>
        </is>
      </c>
      <c r="L6564" t="inlineStr">
        <is>
          <t>24AI⁹, 48Y¹¹, 48AB¹¹</t>
        </is>
      </c>
      <c r="M6564" t="inlineStr"/>
      <c r="N6564" t="inlineStr">
        <is>
          <t>16D², 3B⁰, 24K⁵, 8A¹, 8D⁰, 12F¹, 48D⁶, 4C⁰, 48Y¹¹, 2B⁰, 1A⁰, 24C³, 16E⁰, 8C¹, 24I², 24M⁵, 4A⁰, 12A¹, 48J⁴, 16C¹, 24AI⁹, 12G², 4F⁰, 48AB¹¹, 6F⁰</t>
        </is>
      </c>
      <c r="O6564" t="inlineStr"/>
    </row>
    <row r="6565">
      <c r="A6565">
        <f>HYPERLINK("https://mathstats.uncg.edu/sites/pauli/congruence/csg21.html#group48CO21", "48CO²¹")</f>
        <v/>
      </c>
      <c r="B6565" t="n">
        <v>21</v>
      </c>
      <c r="C6565" t="inlineStr"/>
      <c r="D6565" t="inlineStr">
        <is>
          <t>384</t>
        </is>
      </c>
      <c r="E6565" t="inlineStr">
        <is>
          <t>1</t>
        </is>
      </c>
      <c r="F6565" t="inlineStr">
        <is>
          <t>96</t>
        </is>
      </c>
      <c r="G6565" t="inlineStr">
        <is>
          <t>0</t>
        </is>
      </c>
      <c r="H6565" t="inlineStr">
        <is>
          <t>0</t>
        </is>
      </c>
      <c r="I6565" t="inlineStr">
        <is>
          <t>4⁸, 12⁸, 16⁴, 48⁴</t>
        </is>
      </c>
      <c r="J6565" t="n">
        <v>24</v>
      </c>
      <c r="K6565" t="inlineStr">
        <is>
          <t>2⁴, 4¹², 8⁵</t>
        </is>
      </c>
      <c r="L6565" t="inlineStr">
        <is>
          <t>16L², 24AJ⁹, 48Z¹¹, 48AA¹¹</t>
        </is>
      </c>
      <c r="M6565" t="inlineStr"/>
      <c r="N6565" t="inlineStr">
        <is>
          <t>16I¹, 24N⁵, 48D⁶, 4C⁰, 8L⁰, 2B⁰, 1A⁰, 16E⁰, 24AJ⁹, 48Z¹¹, 12A¹, 8P⁰, 16H¹, 6F⁰, 3B⁰, 24B³, 48AA¹¹, 8D⁰, 12F¹, 8B⁰, 16L², 8H⁰, 24I², 4A⁰, 16C¹, 48J⁴, 12G², 4F⁰, 24J⁵</t>
        </is>
      </c>
      <c r="O6565" t="inlineStr"/>
    </row>
    <row r="6566">
      <c r="A6566">
        <f>HYPERLINK("https://mathstats.uncg.edu/sites/pauli/congruence/csg21.html#group48CP21", "48CP²¹")</f>
        <v/>
      </c>
      <c r="B6566" t="n">
        <v>21</v>
      </c>
      <c r="C6566" t="inlineStr"/>
      <c r="D6566" t="inlineStr">
        <is>
          <t>384</t>
        </is>
      </c>
      <c r="E6566" t="inlineStr">
        <is>
          <t>1</t>
        </is>
      </c>
      <c r="F6566" t="inlineStr">
        <is>
          <t>96</t>
        </is>
      </c>
      <c r="G6566" t="inlineStr">
        <is>
          <t>0</t>
        </is>
      </c>
      <c r="H6566" t="inlineStr">
        <is>
          <t>0</t>
        </is>
      </c>
      <c r="I6566" t="inlineStr">
        <is>
          <t>4⁴, 8⁶, 12⁴, 16², 24⁶, 48²</t>
        </is>
      </c>
      <c r="J6566" t="n">
        <v>24</v>
      </c>
      <c r="K6566" t="inlineStr">
        <is>
          <t>1¹⁶, 2¹⁶, 4⁸, 8²</t>
        </is>
      </c>
      <c r="L6566" t="inlineStr">
        <is>
          <t>24AH⁹</t>
        </is>
      </c>
      <c r="M6566" t="inlineStr"/>
      <c r="N6566" t="inlineStr">
        <is>
          <t>3B⁰, 2A⁰, 8A¹, 24N⁵, 24AA³, 24B³, 12F¹, 6I⁰, 4C⁰, 6C⁰, 8B⁰, 24AH⁹, 8L⁰, 2B⁰, 4E⁰, 8B¹, 12P¹, 4B⁰, 1A⁰, 24C³, 24I⁵, 8G¹, 6F⁰, 2C⁰, 12E⁰, 8J⁰</t>
        </is>
      </c>
      <c r="O6566" t="inlineStr"/>
    </row>
    <row r="6567">
      <c r="A6567">
        <f>HYPERLINK("https://mathstats.uncg.edu/sites/pauli/congruence/csg21.html#group48CQ21", "48CQ²¹")</f>
        <v/>
      </c>
      <c r="B6567" t="n">
        <v>21</v>
      </c>
      <c r="C6567" t="inlineStr"/>
      <c r="D6567" t="inlineStr">
        <is>
          <t>384</t>
        </is>
      </c>
      <c r="E6567" t="inlineStr">
        <is>
          <t>1</t>
        </is>
      </c>
      <c r="F6567" t="inlineStr">
        <is>
          <t>96</t>
        </is>
      </c>
      <c r="G6567" t="inlineStr">
        <is>
          <t>0</t>
        </is>
      </c>
      <c r="H6567" t="inlineStr">
        <is>
          <t>0</t>
        </is>
      </c>
      <c r="I6567" t="inlineStr">
        <is>
          <t>4⁴, 8⁶, 12⁴, 16², 24⁶, 48²</t>
        </is>
      </c>
      <c r="J6567" t="n">
        <v>24</v>
      </c>
      <c r="K6567" t="inlineStr">
        <is>
          <t>1¹⁶, 2¹⁶, 4⁸, 8²</t>
        </is>
      </c>
      <c r="L6567" t="inlineStr">
        <is>
          <t>16O³, 24AH⁹</t>
        </is>
      </c>
      <c r="M6567" t="inlineStr"/>
      <c r="N6567" t="inlineStr">
        <is>
          <t>3B⁰, 2A⁰, 8A¹, 24N⁵, 24AA³, 24B³, 12F¹, 6I⁰, 16O³, 4C⁰, 6C⁰, 8B⁰, 24AH⁹, 8L⁰, 2B⁰, 4E⁰, 8B¹, 12P¹, 4B⁰, 1A⁰, 24C³, 24I⁵, 8G¹, 6F⁰, 2C⁰, 12E⁰, 8J⁰</t>
        </is>
      </c>
      <c r="O6567" t="inlineStr"/>
    </row>
    <row r="6568">
      <c r="A6568">
        <f>HYPERLINK("https://mathstats.uncg.edu/sites/pauli/congruence/csg21.html#group48CR21", "48CR²¹")</f>
        <v/>
      </c>
      <c r="B6568" t="n">
        <v>21</v>
      </c>
      <c r="C6568" t="inlineStr"/>
      <c r="D6568" t="inlineStr">
        <is>
          <t>384</t>
        </is>
      </c>
      <c r="E6568" t="inlineStr">
        <is>
          <t>1</t>
        </is>
      </c>
      <c r="F6568" t="inlineStr">
        <is>
          <t>192</t>
        </is>
      </c>
      <c r="G6568" t="inlineStr">
        <is>
          <t>32</t>
        </is>
      </c>
      <c r="H6568" t="inlineStr">
        <is>
          <t>0</t>
        </is>
      </c>
      <c r="I6568" t="inlineStr">
        <is>
          <t>48⁸</t>
        </is>
      </c>
      <c r="J6568" t="n">
        <v>8</v>
      </c>
      <c r="K6568" t="inlineStr">
        <is>
          <t>8⁸, 16⁸</t>
        </is>
      </c>
      <c r="L6568" t="inlineStr">
        <is>
          <t>24AB³, 48AP⁹</t>
        </is>
      </c>
      <c r="M6568" t="inlineStr"/>
      <c r="N6568" t="inlineStr">
        <is>
          <t>24F¹, 12A⁰, 8F⁰, 6B⁰, 4A⁰, 48AP⁹, 12F⁰, 16G², 24AB³, 3A⁰, 1A⁰</t>
        </is>
      </c>
      <c r="O6568" t="inlineStr"/>
    </row>
    <row r="6569">
      <c r="A6569">
        <f>HYPERLINK("https://mathstats.uncg.edu/sites/pauli/congruence/csg21.html#group50A21", "50A²¹")</f>
        <v/>
      </c>
      <c r="B6569" t="n">
        <v>21</v>
      </c>
      <c r="C6569" t="inlineStr"/>
      <c r="D6569" t="inlineStr">
        <is>
          <t>300</t>
        </is>
      </c>
      <c r="E6569" t="inlineStr">
        <is>
          <t>1</t>
        </is>
      </c>
      <c r="F6569" t="inlineStr">
        <is>
          <t>30</t>
        </is>
      </c>
      <c r="G6569" t="inlineStr">
        <is>
          <t>0</t>
        </is>
      </c>
      <c r="H6569" t="inlineStr">
        <is>
          <t>0</t>
        </is>
      </c>
      <c r="I6569" t="inlineStr">
        <is>
          <t>10⁵, 50⁵</t>
        </is>
      </c>
      <c r="J6569" t="n">
        <v>10</v>
      </c>
      <c r="K6569" t="inlineStr">
        <is>
          <t>2², 4⁴, 20²</t>
        </is>
      </c>
      <c r="L6569" t="inlineStr">
        <is>
          <t>50A⁵, 25A⁶</t>
        </is>
      </c>
      <c r="M6569" t="inlineStr"/>
      <c r="N6569" t="inlineStr">
        <is>
          <t>5B⁰, 2A⁰, 10A¹, 25A², 50A⁵, 1A⁰, 25A⁶</t>
        </is>
      </c>
      <c r="O6569" t="inlineStr"/>
    </row>
    <row r="6570">
      <c r="A6570">
        <f>HYPERLINK("https://mathstats.uncg.edu/sites/pauli/congruence/csg21.html#group50B21", "50B²¹")</f>
        <v/>
      </c>
      <c r="B6570" t="n">
        <v>21</v>
      </c>
      <c r="C6570" t="inlineStr"/>
      <c r="D6570" t="inlineStr">
        <is>
          <t>300</t>
        </is>
      </c>
      <c r="E6570" t="inlineStr">
        <is>
          <t>1</t>
        </is>
      </c>
      <c r="F6570" t="inlineStr">
        <is>
          <t>30</t>
        </is>
      </c>
      <c r="G6570" t="inlineStr">
        <is>
          <t>0</t>
        </is>
      </c>
      <c r="H6570" t="inlineStr">
        <is>
          <t>0</t>
        </is>
      </c>
      <c r="I6570" t="inlineStr">
        <is>
          <t>10⁵, 50⁵</t>
        </is>
      </c>
      <c r="J6570" t="n">
        <v>10</v>
      </c>
      <c r="K6570" t="inlineStr">
        <is>
          <t>2², 4⁴, 20²</t>
        </is>
      </c>
      <c r="L6570" t="inlineStr">
        <is>
          <t>50B⁵, 25B⁶</t>
        </is>
      </c>
      <c r="M6570" t="inlineStr"/>
      <c r="N6570" t="inlineStr">
        <is>
          <t>5B⁰, 2A⁰, 10A¹, 25B⁶, 50B⁵, 1A⁰, 25B²</t>
        </is>
      </c>
      <c r="O6570" t="inlineStr"/>
    </row>
    <row r="6571">
      <c r="A6571">
        <f>HYPERLINK("https://mathstats.uncg.edu/sites/pauli/congruence/csg21.html#group50C21", "50C²¹")</f>
        <v/>
      </c>
      <c r="B6571" t="n">
        <v>21</v>
      </c>
      <c r="C6571" t="inlineStr"/>
      <c r="D6571" t="inlineStr">
        <is>
          <t>300</t>
        </is>
      </c>
      <c r="E6571" t="inlineStr">
        <is>
          <t>1</t>
        </is>
      </c>
      <c r="F6571" t="inlineStr">
        <is>
          <t>30</t>
        </is>
      </c>
      <c r="G6571" t="inlineStr">
        <is>
          <t>0</t>
        </is>
      </c>
      <c r="H6571" t="inlineStr">
        <is>
          <t>0</t>
        </is>
      </c>
      <c r="I6571" t="inlineStr">
        <is>
          <t>10⁵, 50⁵</t>
        </is>
      </c>
      <c r="J6571" t="n">
        <v>10</v>
      </c>
      <c r="K6571" t="inlineStr">
        <is>
          <t>2², 4⁴, 20²</t>
        </is>
      </c>
      <c r="L6571" t="inlineStr">
        <is>
          <t>50C⁵, 25C⁶</t>
        </is>
      </c>
      <c r="M6571" t="inlineStr"/>
      <c r="N6571" t="inlineStr">
        <is>
          <t>5B⁰, 2A⁰, 50C⁵, 10A¹, 25C⁶, 1A⁰, 25C²</t>
        </is>
      </c>
      <c r="O6571" t="inlineStr"/>
    </row>
    <row r="6572">
      <c r="A6572">
        <f>HYPERLINK("https://mathstats.uncg.edu/sites/pauli/congruence/csg21.html#group50D21", "50D²¹")</f>
        <v/>
      </c>
      <c r="B6572" t="n">
        <v>21</v>
      </c>
      <c r="C6572" t="inlineStr"/>
      <c r="D6572" t="inlineStr">
        <is>
          <t>300</t>
        </is>
      </c>
      <c r="E6572" t="inlineStr">
        <is>
          <t>1</t>
        </is>
      </c>
      <c r="F6572" t="inlineStr">
        <is>
          <t>30</t>
        </is>
      </c>
      <c r="G6572" t="inlineStr">
        <is>
          <t>0</t>
        </is>
      </c>
      <c r="H6572" t="inlineStr">
        <is>
          <t>0</t>
        </is>
      </c>
      <c r="I6572" t="inlineStr">
        <is>
          <t>10⁵, 50⁵</t>
        </is>
      </c>
      <c r="J6572" t="n">
        <v>10</v>
      </c>
      <c r="K6572" t="inlineStr">
        <is>
          <t>2², 4⁴, 20²</t>
        </is>
      </c>
      <c r="L6572" t="inlineStr">
        <is>
          <t>50D⁵, 25D⁶</t>
        </is>
      </c>
      <c r="M6572" t="inlineStr"/>
      <c r="N6572" t="inlineStr">
        <is>
          <t>5B⁰, 2A⁰, 50D⁵, 10A¹, 25D², 1A⁰, 25D⁶</t>
        </is>
      </c>
      <c r="O6572" t="inlineStr"/>
    </row>
    <row r="6573">
      <c r="A6573">
        <f>HYPERLINK("https://mathstats.uncg.edu/sites/pauli/congruence/csg21.html#group50E21", "50E²¹")</f>
        <v/>
      </c>
      <c r="B6573" t="n">
        <v>21</v>
      </c>
      <c r="C6573" t="inlineStr"/>
      <c r="D6573" t="inlineStr">
        <is>
          <t>300</t>
        </is>
      </c>
      <c r="E6573" t="inlineStr">
        <is>
          <t>1</t>
        </is>
      </c>
      <c r="F6573" t="inlineStr">
        <is>
          <t>150</t>
        </is>
      </c>
      <c r="G6573" t="inlineStr">
        <is>
          <t>0</t>
        </is>
      </c>
      <c r="H6573" t="inlineStr">
        <is>
          <t>0</t>
        </is>
      </c>
      <c r="I6573" t="inlineStr">
        <is>
          <t>10⁵, 50⁵</t>
        </is>
      </c>
      <c r="J6573" t="n">
        <v>10</v>
      </c>
      <c r="K6573" t="inlineStr">
        <is>
          <t>1², 4¹², 20⁵</t>
        </is>
      </c>
      <c r="L6573" t="inlineStr">
        <is>
          <t>10B³, 50A³, 50C⁵, 50B⁵, 50D⁵, 50A⁵, 25A⁸</t>
        </is>
      </c>
      <c r="M6573" t="inlineStr"/>
      <c r="N6573" t="inlineStr">
        <is>
          <t>2A⁰, 5A⁰, 10A², 50A⁵, 50A³, 5B⁰, 50D⁵, 10A¹, 10E¹, 1A⁰, 25C², 25D², 25B², 25A⁸, 25A², 10A⁰, 50B⁵, 10B³, 25A⁰, 5E⁰, 50C⁵, 10C¹, 5C⁰, 5G⁰</t>
        </is>
      </c>
      <c r="O6573" t="inlineStr"/>
    </row>
    <row r="6574">
      <c r="A6574">
        <f>HYPERLINK("https://mathstats.uncg.edu/sites/pauli/congruence/csg21.html#group51A21", "51A²¹")</f>
        <v/>
      </c>
      <c r="B6574" t="n">
        <v>21</v>
      </c>
      <c r="C6574" t="inlineStr"/>
      <c r="D6574" t="inlineStr">
        <is>
          <t>432</t>
        </is>
      </c>
      <c r="E6574" t="inlineStr">
        <is>
          <t>1</t>
        </is>
      </c>
      <c r="F6574" t="inlineStr">
        <is>
          <t>54</t>
        </is>
      </c>
      <c r="G6574" t="inlineStr">
        <is>
          <t>32</t>
        </is>
      </c>
      <c r="H6574" t="inlineStr">
        <is>
          <t>0</t>
        </is>
      </c>
      <c r="I6574" t="inlineStr">
        <is>
          <t>3⁸, 51⁸</t>
        </is>
      </c>
      <c r="J6574" t="n">
        <v>16</v>
      </c>
      <c r="K6574" t="inlineStr">
        <is>
          <t>1², 2², 16¹, 32¹</t>
        </is>
      </c>
      <c r="L6574" t="inlineStr">
        <is>
          <t>51B⁹</t>
        </is>
      </c>
      <c r="M6574" t="inlineStr"/>
      <c r="N6574" t="inlineStr">
        <is>
          <t>51B⁹, 51A³, 17B¹, 17C¹, 17A¹, 51B⁵, 3A⁰, 1A⁰</t>
        </is>
      </c>
      <c r="O6574" t="inlineStr"/>
    </row>
    <row r="6575">
      <c r="A6575">
        <f>HYPERLINK("https://mathstats.uncg.edu/sites/pauli/congruence/csg21.html#group52A21", "52A²¹")</f>
        <v/>
      </c>
      <c r="B6575" t="n">
        <v>21</v>
      </c>
      <c r="C6575" t="inlineStr"/>
      <c r="D6575" t="inlineStr">
        <is>
          <t>312</t>
        </is>
      </c>
      <c r="E6575" t="inlineStr">
        <is>
          <t>1</t>
        </is>
      </c>
      <c r="F6575" t="inlineStr">
        <is>
          <t>312</t>
        </is>
      </c>
      <c r="G6575" t="inlineStr">
        <is>
          <t>12</t>
        </is>
      </c>
      <c r="H6575" t="inlineStr">
        <is>
          <t>0</t>
        </is>
      </c>
      <c r="I6575" t="inlineStr">
        <is>
          <t>52⁶</t>
        </is>
      </c>
      <c r="J6575" t="n">
        <v>6</v>
      </c>
      <c r="K6575" t="inlineStr">
        <is>
          <t>12², 24¹²</t>
        </is>
      </c>
      <c r="L6575" t="inlineStr">
        <is>
          <t>4A⁰, 13A³</t>
        </is>
      </c>
      <c r="M6575" t="inlineStr"/>
      <c r="N6575" t="inlineStr">
        <is>
          <t>13A³, 4A⁰, 1A⁰</t>
        </is>
      </c>
      <c r="O6575" t="inlineStr"/>
    </row>
    <row r="6576">
      <c r="A6576">
        <f>HYPERLINK("https://mathstats.uncg.edu/sites/pauli/congruence/csg21.html#group52B21", "52B²¹")</f>
        <v/>
      </c>
      <c r="B6576" t="n">
        <v>21</v>
      </c>
      <c r="C6576" t="inlineStr"/>
      <c r="D6576" t="inlineStr">
        <is>
          <t>312</t>
        </is>
      </c>
      <c r="E6576" t="inlineStr">
        <is>
          <t>2</t>
        </is>
      </c>
      <c r="F6576" t="inlineStr">
        <is>
          <t>78</t>
        </is>
      </c>
      <c r="G6576" t="inlineStr">
        <is>
          <t>12</t>
        </is>
      </c>
      <c r="H6576" t="inlineStr">
        <is>
          <t>0</t>
        </is>
      </c>
      <c r="I6576" t="inlineStr">
        <is>
          <t>52⁶</t>
        </is>
      </c>
      <c r="J6576" t="n">
        <v>6</v>
      </c>
      <c r="K6576" t="inlineStr">
        <is>
          <t>12¹, 24⁶</t>
        </is>
      </c>
      <c r="L6576" t="inlineStr">
        <is>
          <t>26A⁸</t>
        </is>
      </c>
      <c r="M6576" t="inlineStr"/>
      <c r="N6576" t="inlineStr">
        <is>
          <t>13A³, 1A⁰, 26A⁸</t>
        </is>
      </c>
      <c r="O6576" t="inlineStr"/>
    </row>
    <row r="6577">
      <c r="A6577">
        <f>HYPERLINK("https://mathstats.uncg.edu/sites/pauli/congruence/csg21.html#group52C21", "52C²¹")</f>
        <v/>
      </c>
      <c r="B6577" t="n">
        <v>21</v>
      </c>
      <c r="C6577" t="inlineStr"/>
      <c r="D6577" t="inlineStr">
        <is>
          <t>336</t>
        </is>
      </c>
      <c r="E6577" t="inlineStr">
        <is>
          <t>1</t>
        </is>
      </c>
      <c r="F6577" t="inlineStr">
        <is>
          <t>42</t>
        </is>
      </c>
      <c r="G6577" t="inlineStr">
        <is>
          <t>0</t>
        </is>
      </c>
      <c r="H6577" t="inlineStr">
        <is>
          <t>0</t>
        </is>
      </c>
      <c r="I6577" t="inlineStr">
        <is>
          <t>2⁴, 4⁴, 26⁴, 52⁴</t>
        </is>
      </c>
      <c r="J6577" t="n">
        <v>16</v>
      </c>
      <c r="K6577" t="inlineStr">
        <is>
          <t>1⁶, 12³</t>
        </is>
      </c>
      <c r="L6577" t="inlineStr">
        <is>
          <t>26B⁹, 52A⁹, 52B⁹, 52B¹¹, 52A¹¹, 52C¹¹, 52D¹¹</t>
        </is>
      </c>
      <c r="M6577" t="inlineStr"/>
      <c r="N6577" t="inlineStr">
        <is>
          <t>52C¹¹, 2A⁰, 26A¹, 52B¹¹, 2C⁰, 4C⁰, 13A⁰, 52A⁵, 2B⁰, 26A⁰, 4E⁰, 4B⁰, 1A⁰, 52A¹¹, 26A², 26A⁴, 26B⁵, 26B¹, 52A⁶, 52B⁹, 26B⁹, 52A⁹, 26B⁴, 52B⁵, 13B⁰, 52D¹¹, 52A⁴</t>
        </is>
      </c>
      <c r="O6577" t="inlineStr"/>
    </row>
    <row r="6578">
      <c r="A6578">
        <f>HYPERLINK("https://mathstats.uncg.edu/sites/pauli/congruence/csg21.html#group52D21", "52D²¹")</f>
        <v/>
      </c>
      <c r="B6578" t="n">
        <v>21</v>
      </c>
      <c r="C6578" t="inlineStr"/>
      <c r="D6578" t="inlineStr">
        <is>
          <t>336</t>
        </is>
      </c>
      <c r="E6578" t="inlineStr">
        <is>
          <t>1</t>
        </is>
      </c>
      <c r="F6578" t="inlineStr">
        <is>
          <t>84</t>
        </is>
      </c>
      <c r="G6578" t="inlineStr">
        <is>
          <t>8</t>
        </is>
      </c>
      <c r="H6578" t="inlineStr">
        <is>
          <t>0</t>
        </is>
      </c>
      <c r="I6578" t="inlineStr">
        <is>
          <t>4⁶, 52⁶</t>
        </is>
      </c>
      <c r="J6578" t="n">
        <v>12</v>
      </c>
      <c r="K6578" t="inlineStr">
        <is>
          <t>1⁴, 2⁴, 12², 24²</t>
        </is>
      </c>
      <c r="L6578" t="inlineStr">
        <is>
          <t>52C⁵, 52B⁹, 52E¹¹, 52F¹¹</t>
        </is>
      </c>
      <c r="M6578" t="inlineStr"/>
      <c r="N6578" t="inlineStr">
        <is>
          <t>52E¹¹, 4C⁰, 13A⁰, 2B⁰, 26A⁰, 1A⁰, 26A², 52F¹¹, 52B⁹, 52A³, 4A⁰, 52B⁵, 26B⁴, 4F⁰, 52A⁴, 52C⁵</t>
        </is>
      </c>
      <c r="O6578" t="inlineStr"/>
    </row>
    <row r="6579">
      <c r="A6579">
        <f>HYPERLINK("https://mathstats.uncg.edu/sites/pauli/congruence/csg21.html#group52E21", "52E²¹")</f>
        <v/>
      </c>
      <c r="B6579" t="n">
        <v>21</v>
      </c>
      <c r="C6579" t="inlineStr"/>
      <c r="D6579" t="inlineStr">
        <is>
          <t>336</t>
        </is>
      </c>
      <c r="E6579" t="inlineStr">
        <is>
          <t>1</t>
        </is>
      </c>
      <c r="F6579" t="inlineStr">
        <is>
          <t>112</t>
        </is>
      </c>
      <c r="G6579" t="inlineStr">
        <is>
          <t>0</t>
        </is>
      </c>
      <c r="H6579" t="inlineStr">
        <is>
          <t>6</t>
        </is>
      </c>
      <c r="I6579" t="inlineStr">
        <is>
          <t>4⁶, 52⁶</t>
        </is>
      </c>
      <c r="J6579" t="n">
        <v>12</v>
      </c>
      <c r="K6579" t="inlineStr">
        <is>
          <t>2⁸, 24⁴</t>
        </is>
      </c>
      <c r="L6579" t="inlineStr">
        <is>
          <t>26A³, 52B⁷</t>
        </is>
      </c>
      <c r="M6579" t="inlineStr"/>
      <c r="N6579" t="inlineStr">
        <is>
          <t>2A⁰, 26A¹, 52A³, 4A⁰, 4D⁰, 13A⁰, 26A³, 52B⁷, 1A⁰</t>
        </is>
      </c>
      <c r="O6579" t="inlineStr"/>
    </row>
    <row r="6580">
      <c r="A6580">
        <f>HYPERLINK("https://mathstats.uncg.edu/sites/pauli/congruence/csg21.html#group52F21", "52F²¹")</f>
        <v/>
      </c>
      <c r="B6580" t="n">
        <v>21</v>
      </c>
      <c r="C6580" t="inlineStr"/>
      <c r="D6580" t="inlineStr">
        <is>
          <t>336</t>
        </is>
      </c>
      <c r="E6580" t="inlineStr">
        <is>
          <t>2</t>
        </is>
      </c>
      <c r="F6580" t="inlineStr">
        <is>
          <t>42</t>
        </is>
      </c>
      <c r="G6580" t="inlineStr">
        <is>
          <t>8</t>
        </is>
      </c>
      <c r="H6580" t="inlineStr">
        <is>
          <t>0</t>
        </is>
      </c>
      <c r="I6580" t="inlineStr">
        <is>
          <t>4⁶, 52⁶</t>
        </is>
      </c>
      <c r="J6580" t="n">
        <v>12</v>
      </c>
      <c r="K6580" t="inlineStr">
        <is>
          <t>2⁶, 24³</t>
        </is>
      </c>
      <c r="L6580" t="inlineStr">
        <is>
          <t>52B⁹, 52E⁹, 52G¹¹</t>
        </is>
      </c>
      <c r="M6580" t="inlineStr"/>
      <c r="N6580" t="inlineStr">
        <is>
          <t>52B⁹, 52G¹¹, 4C⁰, 13A⁰, 26B⁴, 52B⁵, 2B⁰, 26A⁰, 52E⁹, 52A¹, 1A⁰, 52A⁴, 26A²</t>
        </is>
      </c>
      <c r="O6580" t="inlineStr"/>
    </row>
    <row r="6581">
      <c r="A6581">
        <f>HYPERLINK("https://mathstats.uncg.edu/sites/pauli/congruence/csg21.html#group54A21", "54A²¹")</f>
        <v/>
      </c>
      <c r="B6581" t="n">
        <v>21</v>
      </c>
      <c r="C6581" t="inlineStr"/>
      <c r="D6581" t="inlineStr">
        <is>
          <t>324</t>
        </is>
      </c>
      <c r="E6581" t="inlineStr">
        <is>
          <t>1</t>
        </is>
      </c>
      <c r="F6581" t="inlineStr">
        <is>
          <t>162</t>
        </is>
      </c>
      <c r="G6581" t="inlineStr">
        <is>
          <t>4</t>
        </is>
      </c>
      <c r="H6581" t="inlineStr">
        <is>
          <t>0</t>
        </is>
      </c>
      <c r="I6581" t="inlineStr">
        <is>
          <t>18⁹, 54³</t>
        </is>
      </c>
      <c r="J6581" t="n">
        <v>12</v>
      </c>
      <c r="K6581" t="inlineStr">
        <is>
          <t>3¹, 6⁴, 9¹, 18⁷</t>
        </is>
      </c>
      <c r="L6581" t="inlineStr">
        <is>
          <t>18B⁶, 27A⁸</t>
        </is>
      </c>
      <c r="M6581" t="inlineStr"/>
      <c r="N6581" t="inlineStr">
        <is>
          <t>6B⁰, 18B⁶, 9G⁰, 18K², 27A⁸, 9B², 9E⁰, 1A⁰, 9B¹, 18A⁰, 6E⁰, 9A⁰, 3C⁰, 18F¹, 18G², 3A⁰, 18A¹</t>
        </is>
      </c>
      <c r="O6581" t="inlineStr"/>
    </row>
    <row r="6582">
      <c r="A6582">
        <f>HYPERLINK("https://mathstats.uncg.edu/sites/pauli/congruence/csg21.html#group54B21", "54B²¹")</f>
        <v/>
      </c>
      <c r="B6582" t="n">
        <v>21</v>
      </c>
      <c r="C6582" t="inlineStr"/>
      <c r="D6582" t="inlineStr">
        <is>
          <t>324</t>
        </is>
      </c>
      <c r="E6582" t="inlineStr">
        <is>
          <t>1</t>
        </is>
      </c>
      <c r="F6582" t="inlineStr">
        <is>
          <t>324</t>
        </is>
      </c>
      <c r="G6582" t="inlineStr">
        <is>
          <t>4</t>
        </is>
      </c>
      <c r="H6582" t="inlineStr">
        <is>
          <t>0</t>
        </is>
      </c>
      <c r="I6582" t="inlineStr">
        <is>
          <t>18⁹, 54³</t>
        </is>
      </c>
      <c r="J6582" t="n">
        <v>12</v>
      </c>
      <c r="K6582" t="inlineStr">
        <is>
          <t>6⁹, 9², 18¹⁴</t>
        </is>
      </c>
      <c r="L6582" t="inlineStr">
        <is>
          <t>18B⁶</t>
        </is>
      </c>
      <c r="M6582" t="inlineStr"/>
      <c r="N6582" t="inlineStr">
        <is>
          <t>6B⁰, 18B⁶, 9G⁰, 18K², 9B², 9E⁰, 1A⁰, 18A⁰, 9B¹, 6E⁰, 9A⁰, 3C⁰, 18F¹, 18G², 3A⁰, 18A¹</t>
        </is>
      </c>
      <c r="O6582" t="inlineStr"/>
    </row>
    <row r="6583">
      <c r="A6583">
        <f>HYPERLINK("https://mathstats.uncg.edu/sites/pauli/congruence/csg21.html#group55A21", "55A²¹")</f>
        <v/>
      </c>
      <c r="B6583" t="n">
        <v>21</v>
      </c>
      <c r="C6583" t="inlineStr"/>
      <c r="D6583" t="inlineStr">
        <is>
          <t>300</t>
        </is>
      </c>
      <c r="E6583" t="inlineStr">
        <is>
          <t>1</t>
        </is>
      </c>
      <c r="F6583" t="inlineStr">
        <is>
          <t>60</t>
        </is>
      </c>
      <c r="G6583" t="inlineStr">
        <is>
          <t>0</t>
        </is>
      </c>
      <c r="H6583" t="inlineStr">
        <is>
          <t>0</t>
        </is>
      </c>
      <c r="I6583" t="inlineStr">
        <is>
          <t>5⁵, 55⁵</t>
        </is>
      </c>
      <c r="J6583" t="n">
        <v>10</v>
      </c>
      <c r="K6583" t="inlineStr">
        <is>
          <t>1², 4², 10¹, 40¹</t>
        </is>
      </c>
      <c r="L6583" t="inlineStr">
        <is>
          <t>11D¹, 55A⁵</t>
        </is>
      </c>
      <c r="M6583" t="inlineStr"/>
      <c r="N6583" t="inlineStr">
        <is>
          <t>5A⁰, 55A⁵, 1A⁰, 11A¹, 11D¹</t>
        </is>
      </c>
      <c r="O6583" t="inlineStr"/>
    </row>
    <row r="6584">
      <c r="A6584">
        <f>HYPERLINK("https://mathstats.uncg.edu/sites/pauli/congruence/csg21.html#group55B21", "55B²¹")</f>
        <v/>
      </c>
      <c r="B6584" t="n">
        <v>21</v>
      </c>
      <c r="C6584" t="inlineStr"/>
      <c r="D6584" t="inlineStr">
        <is>
          <t>360</t>
        </is>
      </c>
      <c r="E6584" t="inlineStr">
        <is>
          <t>1</t>
        </is>
      </c>
      <c r="F6584" t="inlineStr">
        <is>
          <t>72</t>
        </is>
      </c>
      <c r="G6584" t="inlineStr">
        <is>
          <t>0</t>
        </is>
      </c>
      <c r="H6584" t="inlineStr">
        <is>
          <t>0</t>
        </is>
      </c>
      <c r="I6584" t="inlineStr">
        <is>
          <t>1⁵, 5⁵, 11⁵, 55⁵</t>
        </is>
      </c>
      <c r="J6584" t="n">
        <v>20</v>
      </c>
      <c r="K6584" t="inlineStr">
        <is>
          <t>1⁴, 4², 10², 40¹</t>
        </is>
      </c>
      <c r="L6584" t="inlineStr">
        <is>
          <t>11D¹, 55B⁵</t>
        </is>
      </c>
      <c r="M6584" t="inlineStr"/>
      <c r="N6584" t="inlineStr">
        <is>
          <t>5B⁰, 55B⁵, 1A⁰, 11A¹, 11D¹</t>
        </is>
      </c>
      <c r="O6584" t="inlineStr"/>
    </row>
    <row r="6585">
      <c r="A6585">
        <f>HYPERLINK("https://mathstats.uncg.edu/sites/pauli/congruence/csg21.html#group56A21", "56A²¹")</f>
        <v/>
      </c>
      <c r="B6585" t="n">
        <v>21</v>
      </c>
      <c r="C6585" t="inlineStr"/>
      <c r="D6585" t="inlineStr">
        <is>
          <t>336</t>
        </is>
      </c>
      <c r="E6585" t="inlineStr">
        <is>
          <t>1</t>
        </is>
      </c>
      <c r="F6585" t="inlineStr">
        <is>
          <t>84</t>
        </is>
      </c>
      <c r="G6585" t="inlineStr">
        <is>
          <t>8</t>
        </is>
      </c>
      <c r="H6585" t="inlineStr">
        <is>
          <t>0</t>
        </is>
      </c>
      <c r="I6585" t="inlineStr">
        <is>
          <t>14⁸, 56⁴</t>
        </is>
      </c>
      <c r="J6585" t="n">
        <v>12</v>
      </c>
      <c r="K6585" t="inlineStr">
        <is>
          <t>2³, 6³, 12¹²</t>
        </is>
      </c>
      <c r="L6585" t="inlineStr">
        <is>
          <t>28E⁷</t>
        </is>
      </c>
      <c r="M6585" t="inlineStr"/>
      <c r="N6585" t="inlineStr">
        <is>
          <t>28E⁷, 14B¹, 7F⁰, 2B⁰, 1A⁰, 28B², 7A⁰, 14D³</t>
        </is>
      </c>
      <c r="O6585" t="inlineStr"/>
    </row>
    <row r="6586">
      <c r="A6586">
        <f>HYPERLINK("https://mathstats.uncg.edu/sites/pauli/congruence/csg21.html#group56B21", "56B²¹")</f>
        <v/>
      </c>
      <c r="B6586" t="n">
        <v>21</v>
      </c>
      <c r="C6586" t="inlineStr"/>
      <c r="D6586" t="inlineStr">
        <is>
          <t>336</t>
        </is>
      </c>
      <c r="E6586" t="inlineStr">
        <is>
          <t>1</t>
        </is>
      </c>
      <c r="F6586" t="inlineStr">
        <is>
          <t>84</t>
        </is>
      </c>
      <c r="G6586" t="inlineStr">
        <is>
          <t>8</t>
        </is>
      </c>
      <c r="H6586" t="inlineStr">
        <is>
          <t>0</t>
        </is>
      </c>
      <c r="I6586" t="inlineStr">
        <is>
          <t>14⁸, 56⁴</t>
        </is>
      </c>
      <c r="J6586" t="n">
        <v>12</v>
      </c>
      <c r="K6586" t="inlineStr">
        <is>
          <t>2³, 6³, 12¹²</t>
        </is>
      </c>
      <c r="L6586" t="inlineStr">
        <is>
          <t>28E⁷</t>
        </is>
      </c>
      <c r="M6586" t="inlineStr"/>
      <c r="N6586" t="inlineStr">
        <is>
          <t>28E⁷, 14B¹, 7F⁰, 2B⁰, 1A⁰, 28B², 7A⁰, 14D³</t>
        </is>
      </c>
      <c r="O6586" t="inlineStr"/>
    </row>
    <row r="6587">
      <c r="A6587">
        <f>HYPERLINK("https://mathstats.uncg.edu/sites/pauli/congruence/csg21.html#group56C21", "56C²¹")</f>
        <v/>
      </c>
      <c r="B6587" t="n">
        <v>21</v>
      </c>
      <c r="C6587" t="inlineStr"/>
      <c r="D6587" t="inlineStr">
        <is>
          <t>336</t>
        </is>
      </c>
      <c r="E6587" t="inlineStr">
        <is>
          <t>1</t>
        </is>
      </c>
      <c r="F6587" t="inlineStr">
        <is>
          <t>84</t>
        </is>
      </c>
      <c r="G6587" t="inlineStr">
        <is>
          <t>16</t>
        </is>
      </c>
      <c r="H6587" t="inlineStr">
        <is>
          <t>0</t>
        </is>
      </c>
      <c r="I6587" t="inlineStr">
        <is>
          <t>28⁴, 56⁴</t>
        </is>
      </c>
      <c r="J6587" t="n">
        <v>8</v>
      </c>
      <c r="K6587" t="inlineStr">
        <is>
          <t>1³, 3³, 6¹²</t>
        </is>
      </c>
      <c r="L6587" t="inlineStr">
        <is>
          <t>56B⁴, 28B⁹</t>
        </is>
      </c>
      <c r="M6587" t="inlineStr"/>
      <c r="N6587" t="inlineStr">
        <is>
          <t>28C², 14B¹, 28B⁹, 4C⁰, 7F⁰, 8B⁰, 2B⁰, 14D³, 1A⁰, 7A⁰, 56B⁴</t>
        </is>
      </c>
      <c r="O6587" t="inlineStr"/>
    </row>
    <row r="6588">
      <c r="A6588">
        <f>HYPERLINK("https://mathstats.uncg.edu/sites/pauli/congruence/csg21.html#group56D21", "56D²¹")</f>
        <v/>
      </c>
      <c r="B6588" t="n">
        <v>21</v>
      </c>
      <c r="C6588" t="inlineStr"/>
      <c r="D6588" t="inlineStr">
        <is>
          <t>336</t>
        </is>
      </c>
      <c r="E6588" t="inlineStr">
        <is>
          <t>1</t>
        </is>
      </c>
      <c r="F6588" t="inlineStr">
        <is>
          <t>84</t>
        </is>
      </c>
      <c r="G6588" t="inlineStr">
        <is>
          <t>16</t>
        </is>
      </c>
      <c r="H6588" t="inlineStr">
        <is>
          <t>0</t>
        </is>
      </c>
      <c r="I6588" t="inlineStr">
        <is>
          <t>28⁴, 56⁴</t>
        </is>
      </c>
      <c r="J6588" t="n">
        <v>8</v>
      </c>
      <c r="K6588" t="inlineStr">
        <is>
          <t>1³, 3³, 6¹²</t>
        </is>
      </c>
      <c r="L6588" t="inlineStr">
        <is>
          <t>56A⁵, 28B⁹</t>
        </is>
      </c>
      <c r="M6588" t="inlineStr"/>
      <c r="N6588" t="inlineStr">
        <is>
          <t>28C², 14B¹, 28B⁹, 4C⁰, 7F⁰, 2B⁰, 56A⁵, 1A⁰, 7A⁰, 14D³</t>
        </is>
      </c>
      <c r="O6588" t="inlineStr"/>
    </row>
    <row r="6589">
      <c r="A6589">
        <f>HYPERLINK("https://mathstats.uncg.edu/sites/pauli/congruence/csg21.html#group56E21", "56E²¹")</f>
        <v/>
      </c>
      <c r="B6589" t="n">
        <v>21</v>
      </c>
      <c r="C6589" t="inlineStr"/>
      <c r="D6589" t="inlineStr">
        <is>
          <t>336</t>
        </is>
      </c>
      <c r="E6589" t="inlineStr">
        <is>
          <t>1</t>
        </is>
      </c>
      <c r="F6589" t="inlineStr">
        <is>
          <t>168</t>
        </is>
      </c>
      <c r="G6589" t="inlineStr">
        <is>
          <t>0</t>
        </is>
      </c>
      <c r="H6589" t="inlineStr">
        <is>
          <t>0</t>
        </is>
      </c>
      <c r="I6589" t="inlineStr">
        <is>
          <t>7⁸, 14⁴, 56⁴</t>
        </is>
      </c>
      <c r="J6589" t="n">
        <v>16</v>
      </c>
      <c r="K6589" t="inlineStr">
        <is>
          <t>1⁴, 2¹, 3⁴, 6¹⁷, 12⁴</t>
        </is>
      </c>
      <c r="L6589" t="inlineStr">
        <is>
          <t>56B⁶, 28A⁹</t>
        </is>
      </c>
      <c r="M6589" t="inlineStr"/>
      <c r="N6589" t="inlineStr">
        <is>
          <t>14B¹, 56B⁶, 7F⁰, 28A³, 2B⁰, 7A⁰, 4B⁰, 1A⁰, 28A⁹, 14D³</t>
        </is>
      </c>
      <c r="O6589" t="inlineStr"/>
    </row>
    <row r="6590">
      <c r="A6590">
        <f>HYPERLINK("https://mathstats.uncg.edu/sites/pauli/congruence/csg21.html#group56F21", "56F²¹")</f>
        <v/>
      </c>
      <c r="B6590" t="n">
        <v>21</v>
      </c>
      <c r="C6590" t="inlineStr"/>
      <c r="D6590" t="inlineStr">
        <is>
          <t>336</t>
        </is>
      </c>
      <c r="E6590" t="inlineStr">
        <is>
          <t>1</t>
        </is>
      </c>
      <c r="F6590" t="inlineStr">
        <is>
          <t>168</t>
        </is>
      </c>
      <c r="G6590" t="inlineStr">
        <is>
          <t>0</t>
        </is>
      </c>
      <c r="H6590" t="inlineStr">
        <is>
          <t>0</t>
        </is>
      </c>
      <c r="I6590" t="inlineStr">
        <is>
          <t>7⁸, 14⁴, 56⁴</t>
        </is>
      </c>
      <c r="J6590" t="n">
        <v>16</v>
      </c>
      <c r="K6590" t="inlineStr">
        <is>
          <t>1⁴, 2¹, 3⁴, 6¹⁷, 12⁴</t>
        </is>
      </c>
      <c r="L6590" t="inlineStr">
        <is>
          <t>56C⁶, 28A⁹</t>
        </is>
      </c>
      <c r="M6590" t="inlineStr"/>
      <c r="N6590" t="inlineStr">
        <is>
          <t>56C⁶, 14B¹, 7F⁰, 28A³, 8C⁰, 2B⁰, 7A⁰, 4B⁰, 1A⁰, 28A⁹, 14D³</t>
        </is>
      </c>
      <c r="O6590" t="inlineStr"/>
    </row>
    <row r="6591">
      <c r="A6591">
        <f>HYPERLINK("https://mathstats.uncg.edu/sites/pauli/congruence/csg21.html#group56G21", "56G²¹")</f>
        <v/>
      </c>
      <c r="B6591" t="n">
        <v>21</v>
      </c>
      <c r="C6591" t="inlineStr"/>
      <c r="D6591" t="inlineStr">
        <is>
          <t>336</t>
        </is>
      </c>
      <c r="E6591" t="inlineStr">
        <is>
          <t>1</t>
        </is>
      </c>
      <c r="F6591" t="inlineStr">
        <is>
          <t>168</t>
        </is>
      </c>
      <c r="G6591" t="inlineStr">
        <is>
          <t>8</t>
        </is>
      </c>
      <c r="H6591" t="inlineStr">
        <is>
          <t>0</t>
        </is>
      </c>
      <c r="I6591" t="inlineStr">
        <is>
          <t>14⁸, 56⁴</t>
        </is>
      </c>
      <c r="J6591" t="n">
        <v>12</v>
      </c>
      <c r="K6591" t="inlineStr">
        <is>
          <t>1², 2², 3², 6¹⁰, 12⁸</t>
        </is>
      </c>
      <c r="L6591" t="inlineStr">
        <is>
          <t>56B⁵, 28B⁹</t>
        </is>
      </c>
      <c r="M6591" t="inlineStr"/>
      <c r="N6591" t="inlineStr">
        <is>
          <t>28C², 56B⁵, 14B¹, 28B⁹, 4C⁰, 7F⁰, 2B⁰, 1A⁰, 7A⁰, 14D³</t>
        </is>
      </c>
      <c r="O6591" t="inlineStr"/>
    </row>
    <row r="6592">
      <c r="A6592">
        <f>HYPERLINK("https://mathstats.uncg.edu/sites/pauli/congruence/csg21.html#group56H21", "56H²¹")</f>
        <v/>
      </c>
      <c r="B6592" t="n">
        <v>21</v>
      </c>
      <c r="C6592" t="inlineStr"/>
      <c r="D6592" t="inlineStr">
        <is>
          <t>336</t>
        </is>
      </c>
      <c r="E6592" t="inlineStr">
        <is>
          <t>1</t>
        </is>
      </c>
      <c r="F6592" t="inlineStr">
        <is>
          <t>168</t>
        </is>
      </c>
      <c r="G6592" t="inlineStr">
        <is>
          <t>8</t>
        </is>
      </c>
      <c r="H6592" t="inlineStr">
        <is>
          <t>0</t>
        </is>
      </c>
      <c r="I6592" t="inlineStr">
        <is>
          <t>14⁸, 56⁴</t>
        </is>
      </c>
      <c r="J6592" t="n">
        <v>12</v>
      </c>
      <c r="K6592" t="inlineStr">
        <is>
          <t>1², 2², 3², 6¹⁰, 12⁸</t>
        </is>
      </c>
      <c r="L6592" t="inlineStr">
        <is>
          <t>56C⁵, 28B⁹</t>
        </is>
      </c>
      <c r="M6592" t="inlineStr"/>
      <c r="N6592" t="inlineStr">
        <is>
          <t>28C², 56C⁵, 14B¹, 28B⁹, 8D⁰, 4C⁰, 7F⁰, 2B⁰, 1A⁰, 7A⁰, 14D³</t>
        </is>
      </c>
      <c r="O6592" t="inlineStr"/>
    </row>
    <row r="6593">
      <c r="A6593">
        <f>HYPERLINK("https://mathstats.uncg.edu/sites/pauli/congruence/csg21.html#group56I21", "56I²¹")</f>
        <v/>
      </c>
      <c r="B6593" t="n">
        <v>21</v>
      </c>
      <c r="C6593" t="inlineStr"/>
      <c r="D6593" t="inlineStr">
        <is>
          <t>336</t>
        </is>
      </c>
      <c r="E6593" t="inlineStr">
        <is>
          <t>1</t>
        </is>
      </c>
      <c r="F6593" t="inlineStr">
        <is>
          <t>336</t>
        </is>
      </c>
      <c r="G6593" t="inlineStr">
        <is>
          <t>20</t>
        </is>
      </c>
      <c r="H6593" t="inlineStr">
        <is>
          <t>0</t>
        </is>
      </c>
      <c r="I6593" t="inlineStr">
        <is>
          <t>56⁶</t>
        </is>
      </c>
      <c r="J6593" t="n">
        <v>6</v>
      </c>
      <c r="K6593" t="inlineStr">
        <is>
          <t>12⁴, 24¹²</t>
        </is>
      </c>
      <c r="L6593" t="inlineStr">
        <is>
          <t>28B⁴, 56H⁶</t>
        </is>
      </c>
      <c r="M6593" t="inlineStr"/>
      <c r="N6593" t="inlineStr">
        <is>
          <t>8F⁰, 7D⁰, 4A⁰, 56H⁶, 28B⁴, 28A¹, 1A⁰, 7A⁰</t>
        </is>
      </c>
      <c r="O6593" t="inlineStr"/>
    </row>
    <row r="6594">
      <c r="A6594">
        <f>HYPERLINK("https://mathstats.uncg.edu/sites/pauli/congruence/csg21.html#group56J21", "56J²¹")</f>
        <v/>
      </c>
      <c r="B6594" t="n">
        <v>21</v>
      </c>
      <c r="C6594" t="inlineStr"/>
      <c r="D6594" t="inlineStr">
        <is>
          <t>336</t>
        </is>
      </c>
      <c r="E6594" t="inlineStr">
        <is>
          <t>2</t>
        </is>
      </c>
      <c r="F6594" t="inlineStr">
        <is>
          <t>42</t>
        </is>
      </c>
      <c r="G6594" t="inlineStr">
        <is>
          <t>16</t>
        </is>
      </c>
      <c r="H6594" t="inlineStr">
        <is>
          <t>0</t>
        </is>
      </c>
      <c r="I6594" t="inlineStr">
        <is>
          <t>28⁴, 56⁴</t>
        </is>
      </c>
      <c r="J6594" t="n">
        <v>8</v>
      </c>
      <c r="K6594" t="inlineStr">
        <is>
          <t>2², 4², 6⁴, 12⁴</t>
        </is>
      </c>
      <c r="L6594" t="inlineStr">
        <is>
          <t>56B⁹, 28A¹⁰, 56A¹⁰, 56B¹⁰, 56C¹⁰, 56E¹¹, 56D¹¹</t>
        </is>
      </c>
      <c r="M6594" t="inlineStr"/>
      <c r="N6594" t="inlineStr">
        <is>
          <t>56B⁵, 14A⁰, 56C⁵, 28E², 56B¹⁰, 14B¹, 8D⁰, 28C⁴, 4C⁰, 14C², 8B⁰, 28C⁵, 2B⁰, 56B⁹, 1A⁰, 56A¹⁰, 28A¹⁰, 56C¹⁰, 8H⁰, 28C², 56E¹¹, 4A⁰, 28D⁵, 56D¹¹, 4F⁰, 56A⁵, 28A¹, 28B², 7A⁰, 56B⁴</t>
        </is>
      </c>
      <c r="O6594" t="inlineStr"/>
    </row>
    <row r="6595">
      <c r="A6595">
        <f>HYPERLINK("https://mathstats.uncg.edu/sites/pauli/congruence/csg21.html#group56K21", "56K²¹")</f>
        <v/>
      </c>
      <c r="B6595" t="n">
        <v>21</v>
      </c>
      <c r="C6595" t="inlineStr"/>
      <c r="D6595" t="inlineStr">
        <is>
          <t>336</t>
        </is>
      </c>
      <c r="E6595" t="inlineStr">
        <is>
          <t>2</t>
        </is>
      </c>
      <c r="F6595" t="inlineStr">
        <is>
          <t>84</t>
        </is>
      </c>
      <c r="G6595" t="inlineStr">
        <is>
          <t>16</t>
        </is>
      </c>
      <c r="H6595" t="inlineStr">
        <is>
          <t>0</t>
        </is>
      </c>
      <c r="I6595" t="inlineStr">
        <is>
          <t>28⁴, 56⁴</t>
        </is>
      </c>
      <c r="J6595" t="n">
        <v>8</v>
      </c>
      <c r="K6595" t="inlineStr">
        <is>
          <t>2⁴, 4², 6⁸, 8¹, 12⁴, 24²</t>
        </is>
      </c>
      <c r="L6595" t="inlineStr">
        <is>
          <t>56B⁹, 56D¹⁰, 56E¹⁰</t>
        </is>
      </c>
      <c r="M6595" t="inlineStr"/>
      <c r="N6595" t="inlineStr">
        <is>
          <t>14A⁰, 56E¹⁰, 28C⁴, 14B¹, 14C², 4C⁰, 8B⁰, 8L⁰, 2B⁰, 56D¹⁰, 56B⁹, 1A⁰, 28C², 56A⁵, 28B², 7A⁰, 56B⁴</t>
        </is>
      </c>
      <c r="O6595" t="inlineStr"/>
    </row>
    <row r="6596">
      <c r="A6596">
        <f>HYPERLINK("https://mathstats.uncg.edu/sites/pauli/congruence/csg21.html#group56L21", "56L²¹")</f>
        <v/>
      </c>
      <c r="B6596" t="n">
        <v>21</v>
      </c>
      <c r="C6596" t="inlineStr"/>
      <c r="D6596" t="inlineStr">
        <is>
          <t>384</t>
        </is>
      </c>
      <c r="E6596" t="inlineStr">
        <is>
          <t>1</t>
        </is>
      </c>
      <c r="F6596" t="inlineStr">
        <is>
          <t>24</t>
        </is>
      </c>
      <c r="G6596" t="inlineStr">
        <is>
          <t>0</t>
        </is>
      </c>
      <c r="H6596" t="inlineStr">
        <is>
          <t>0</t>
        </is>
      </c>
      <c r="I6596" t="inlineStr">
        <is>
          <t>2⁸, 8⁴, 14⁸, 56⁴</t>
        </is>
      </c>
      <c r="J6596" t="n">
        <v>24</v>
      </c>
      <c r="K6596" t="inlineStr">
        <is>
          <t>1⁶, 6³</t>
        </is>
      </c>
      <c r="L6596" t="inlineStr">
        <is>
          <t>28F⁹, 56C⁹, 56L¹¹, 56M¹¹, 56N¹¹</t>
        </is>
      </c>
      <c r="M6596" t="inlineStr"/>
      <c r="N6596" t="inlineStr">
        <is>
          <t>2A⁰, 8D⁰, 28D², 4C⁰, 56L¹¹, 2B⁰, 4E⁰, 56C⁹, 14E², 4B⁰, 8C⁰, 1A⁰, 56D⁵, 28D⁴, 56M¹¹, 28E⁴, 28E⁵, 56C⁴, 56D⁶, 28F⁹, 8G⁰, 7B⁰, 14C¹, 14B⁰, 28C³, 56N¹¹, 56E⁶, 2C⁰</t>
        </is>
      </c>
      <c r="O6596" t="inlineStr"/>
    </row>
    <row r="6597">
      <c r="A6597">
        <f>HYPERLINK("https://mathstats.uncg.edu/sites/pauli/congruence/csg21.html#group56M21", "56M²¹")</f>
        <v/>
      </c>
      <c r="B6597" t="n">
        <v>21</v>
      </c>
      <c r="C6597" t="inlineStr"/>
      <c r="D6597" t="inlineStr">
        <is>
          <t>384</t>
        </is>
      </c>
      <c r="E6597" t="inlineStr">
        <is>
          <t>1</t>
        </is>
      </c>
      <c r="F6597" t="inlineStr">
        <is>
          <t>96</t>
        </is>
      </c>
      <c r="G6597" t="inlineStr">
        <is>
          <t>0</t>
        </is>
      </c>
      <c r="H6597" t="inlineStr">
        <is>
          <t>0</t>
        </is>
      </c>
      <c r="I6597" t="inlineStr">
        <is>
          <t>1⁴, 2², 4², 7⁴, 8⁴, 14², 28², 56⁴</t>
        </is>
      </c>
      <c r="J6597" t="n">
        <v>24</v>
      </c>
      <c r="K6597" t="inlineStr">
        <is>
          <t>1⁸, 2⁴, 4², 6⁴, 12², 24¹</t>
        </is>
      </c>
      <c r="L6597" t="inlineStr">
        <is>
          <t>56C⁹, 56O¹¹, 56P¹¹</t>
        </is>
      </c>
      <c r="M6597" t="inlineStr"/>
      <c r="N6597" t="inlineStr">
        <is>
          <t>28E⁴, 56C⁴, 4B⁰, 7B⁰, 28D², 14C¹, 56O¹¹, 8C⁰, 2B⁰, 56C⁹, 8I⁰, 56P¹¹, 56D⁵, 1A⁰</t>
        </is>
      </c>
      <c r="O6597" t="inlineStr"/>
    </row>
    <row r="6598">
      <c r="A6598">
        <f>HYPERLINK("https://mathstats.uncg.edu/sites/pauli/congruence/csg21.html#group56N21", "56N²¹")</f>
        <v/>
      </c>
      <c r="B6598" t="n">
        <v>21</v>
      </c>
      <c r="C6598" t="inlineStr"/>
      <c r="D6598" t="inlineStr">
        <is>
          <t>384</t>
        </is>
      </c>
      <c r="E6598" t="inlineStr">
        <is>
          <t>1</t>
        </is>
      </c>
      <c r="F6598" t="inlineStr">
        <is>
          <t>96</t>
        </is>
      </c>
      <c r="G6598" t="inlineStr">
        <is>
          <t>0</t>
        </is>
      </c>
      <c r="H6598" t="inlineStr">
        <is>
          <t>0</t>
        </is>
      </c>
      <c r="I6598" t="inlineStr">
        <is>
          <t>2⁴, 4⁶, 8², 14⁴, 28⁶, 56²</t>
        </is>
      </c>
      <c r="J6598" t="n">
        <v>24</v>
      </c>
      <c r="K6598" t="inlineStr">
        <is>
          <t>1¹⁶, 2⁴, 6⁸, 12²</t>
        </is>
      </c>
      <c r="L6598" t="inlineStr">
        <is>
          <t>28F⁹, 56Q¹¹, 56R¹¹</t>
        </is>
      </c>
      <c r="M6598" t="inlineStr"/>
      <c r="N6598" t="inlineStr">
        <is>
          <t>2A⁰, 28D², 4C⁰, 2B⁰, 4E⁰, 14E², 4B⁰, 1A⁰, 28D⁴, 56Q¹¹, 28E⁴, 28E⁵, 28F⁹, 7B⁰, 14C¹, 14B⁰, 56R¹¹, 28C³, 8J⁰, 2C⁰</t>
        </is>
      </c>
      <c r="O6598" t="inlineStr"/>
    </row>
    <row r="6599">
      <c r="A6599">
        <f>HYPERLINK("https://mathstats.uncg.edu/sites/pauli/congruence/csg21.html#group60A21", "60A²¹")</f>
        <v/>
      </c>
      <c r="B6599" t="n">
        <v>21</v>
      </c>
      <c r="C6599" t="inlineStr"/>
      <c r="D6599" t="inlineStr">
        <is>
          <t>288</t>
        </is>
      </c>
      <c r="E6599" t="inlineStr">
        <is>
          <t>1</t>
        </is>
      </c>
      <c r="F6599" t="inlineStr">
        <is>
          <t>6</t>
        </is>
      </c>
      <c r="G6599" t="inlineStr">
        <is>
          <t>0</t>
        </is>
      </c>
      <c r="H6599" t="inlineStr">
        <is>
          <t>0</t>
        </is>
      </c>
      <c r="I6599" t="inlineStr">
        <is>
          <t>12⁴, 60⁴</t>
        </is>
      </c>
      <c r="J6599" t="n">
        <v>8</v>
      </c>
      <c r="K6599" t="inlineStr">
        <is>
          <t>1², 4¹</t>
        </is>
      </c>
      <c r="L6599" t="inlineStr">
        <is>
          <t>60D⁷, 30H⁹, 60E⁹</t>
        </is>
      </c>
      <c r="M6599" t="inlineStr"/>
      <c r="N6599" t="inlineStr">
        <is>
          <t>2A⁰, 5B⁰, 10A¹, 30G³, 1A⁰, 60E⁹, 30B³, 6B¹, 3C⁰, 6A¹, 30H⁹, 3A⁰, 3B⁰, 6B⁰, 30I³, 30C¹, 6C⁰, 60D⁷, 30H⁵, 15C¹, 15B⁰, 6D¹, 6E⁰, 15E³, 3D⁰, 15E¹</t>
        </is>
      </c>
      <c r="O6599" t="inlineStr"/>
    </row>
    <row r="6600">
      <c r="A6600">
        <f>HYPERLINK("https://mathstats.uncg.edu/sites/pauli/congruence/csg21.html#group60B21", "60B²¹")</f>
        <v/>
      </c>
      <c r="B6600" t="n">
        <v>21</v>
      </c>
      <c r="C6600" t="inlineStr"/>
      <c r="D6600" t="inlineStr">
        <is>
          <t>288</t>
        </is>
      </c>
      <c r="E6600" t="inlineStr">
        <is>
          <t>1</t>
        </is>
      </c>
      <c r="F6600" t="inlineStr">
        <is>
          <t>6</t>
        </is>
      </c>
      <c r="G6600" t="inlineStr">
        <is>
          <t>0</t>
        </is>
      </c>
      <c r="H6600" t="inlineStr">
        <is>
          <t>0</t>
        </is>
      </c>
      <c r="I6600" t="inlineStr">
        <is>
          <t>12⁴, 60⁴</t>
        </is>
      </c>
      <c r="J6600" t="n">
        <v>8</v>
      </c>
      <c r="K6600" t="inlineStr">
        <is>
          <t>1², 4¹</t>
        </is>
      </c>
      <c r="L6600" t="inlineStr">
        <is>
          <t>12A³, 60E⁷, 30H⁹, 60F⁹</t>
        </is>
      </c>
      <c r="M6600" t="inlineStr"/>
      <c r="N6600" t="inlineStr">
        <is>
          <t>2A⁰, 12D¹, 5B⁰, 10A¹, 30G³, 1A⁰, 30B³, 60E⁷, 6B¹, 3C⁰, 6A¹, 30H⁹, 3A⁰, 3B⁰, 6B⁰, 30I³, 12A³, 30C¹, 6C⁰, 60F⁹, 30H⁵, 15C¹, 15B⁰, 6D¹, 6E⁰, 15E³, 3D⁰, 15E¹, 12B⁰</t>
        </is>
      </c>
      <c r="O6600" t="inlineStr"/>
    </row>
    <row r="6601">
      <c r="A6601">
        <f>HYPERLINK("https://mathstats.uncg.edu/sites/pauli/congruence/csg21.html#group60C21", "60C²¹")</f>
        <v/>
      </c>
      <c r="B6601" t="n">
        <v>21</v>
      </c>
      <c r="C6601" t="inlineStr"/>
      <c r="D6601" t="inlineStr">
        <is>
          <t>288</t>
        </is>
      </c>
      <c r="E6601" t="inlineStr">
        <is>
          <t>1</t>
        </is>
      </c>
      <c r="F6601" t="inlineStr">
        <is>
          <t>18</t>
        </is>
      </c>
      <c r="G6601" t="inlineStr">
        <is>
          <t>0</t>
        </is>
      </c>
      <c r="H6601" t="inlineStr">
        <is>
          <t>0</t>
        </is>
      </c>
      <c r="I6601" t="inlineStr">
        <is>
          <t>12⁴, 60⁴</t>
        </is>
      </c>
      <c r="J6601" t="n">
        <v>8</v>
      </c>
      <c r="K6601" t="inlineStr">
        <is>
          <t>1², 2², 4¹, 8¹</t>
        </is>
      </c>
      <c r="L6601" t="inlineStr">
        <is>
          <t>60M⁷, 60N⁷, 30K⁹, 60K⁹, 60C¹¹</t>
        </is>
      </c>
      <c r="M6601" t="inlineStr"/>
      <c r="N6601" t="inlineStr">
        <is>
          <t>30A⁰, 2A⁰, 30C⁵, 60C¹¹, 30J³, 5B⁰, 5D⁰, 10A¹, 30G⁵, 60D³, 10D¹, 1A⁰, 30F⁵, 30B³, 30D¹, 60K⁹, 6B¹, 30K⁹, 15B², 3C⁰, 6A¹, 3A⁰, 15C⁰, 6B⁰, 30C¹, 15F³, 60N⁷, 60M⁷, 10B⁰, 30H⁵, 15B⁰, 15E¹, 30C²</t>
        </is>
      </c>
      <c r="O6601" t="inlineStr"/>
    </row>
    <row r="6602">
      <c r="A6602">
        <f>HYPERLINK("https://mathstats.uncg.edu/sites/pauli/congruence/csg21.html#group60D21", "60D²¹")</f>
        <v/>
      </c>
      <c r="B6602" t="n">
        <v>21</v>
      </c>
      <c r="C6602" t="inlineStr"/>
      <c r="D6602" t="inlineStr">
        <is>
          <t>288</t>
        </is>
      </c>
      <c r="E6602" t="inlineStr">
        <is>
          <t>1</t>
        </is>
      </c>
      <c r="F6602" t="inlineStr">
        <is>
          <t>18</t>
        </is>
      </c>
      <c r="G6602" t="inlineStr">
        <is>
          <t>0</t>
        </is>
      </c>
      <c r="H6602" t="inlineStr">
        <is>
          <t>0</t>
        </is>
      </c>
      <c r="I6602" t="inlineStr">
        <is>
          <t>12⁴, 60⁴</t>
        </is>
      </c>
      <c r="J6602" t="n">
        <v>8</v>
      </c>
      <c r="K6602" t="inlineStr">
        <is>
          <t>1², 2², 4¹, 8¹</t>
        </is>
      </c>
      <c r="L6602" t="inlineStr">
        <is>
          <t>60S⁷, 30K⁹, 60L⁹, 60A¹¹, 60C¹¹</t>
        </is>
      </c>
      <c r="M6602" t="inlineStr"/>
      <c r="N6602" t="inlineStr">
        <is>
          <t>30A⁰, 2A⁰, 30C⁵, 20C¹, 60C¹¹, 60L⁹, 60A¹¹, 30J³, 5B⁰, 5D⁰, 10A¹, 30G⁵, 60D³, 10D¹, 1A⁰, 30F⁵, 30B³, 20A³, 30D¹, 60C³, 6B¹, 30K⁹, 15B², 3C⁰, 6A¹, 3A⁰, 15C⁰, 6B⁰, 30C¹, 15F³, 60S⁷, 10B⁰, 30H⁵, 15B⁰, 15E¹, 30C²</t>
        </is>
      </c>
      <c r="O6602" t="inlineStr"/>
    </row>
    <row r="6603">
      <c r="A6603">
        <f>HYPERLINK("https://mathstats.uncg.edu/sites/pauli/congruence/csg21.html#group60E21", "60E²¹")</f>
        <v/>
      </c>
      <c r="B6603" t="n">
        <v>21</v>
      </c>
      <c r="C6603" t="inlineStr"/>
      <c r="D6603" t="inlineStr">
        <is>
          <t>288</t>
        </is>
      </c>
      <c r="E6603" t="inlineStr">
        <is>
          <t>1</t>
        </is>
      </c>
      <c r="F6603" t="inlineStr">
        <is>
          <t>24</t>
        </is>
      </c>
      <c r="G6603" t="inlineStr">
        <is>
          <t>0</t>
        </is>
      </c>
      <c r="H6603" t="inlineStr">
        <is>
          <t>0</t>
        </is>
      </c>
      <c r="I6603" t="inlineStr">
        <is>
          <t>12⁴, 60⁴</t>
        </is>
      </c>
      <c r="J6603" t="n">
        <v>8</v>
      </c>
      <c r="K6603" t="inlineStr">
        <is>
          <t>2⁴, 8²</t>
        </is>
      </c>
      <c r="L6603" t="inlineStr">
        <is>
          <t>12B³, 15E³, 60F⁷, 60J⁹</t>
        </is>
      </c>
      <c r="M6603" t="inlineStr"/>
      <c r="N6603" t="inlineStr">
        <is>
          <t>12G¹, 3B⁰, 12B³, 60J⁹, 5B⁰, 1A⁰, 20B¹, 15C¹, 15B⁰, 12A⁰, 15E³, 60F⁷, 4A⁰, 12A¹, 3C⁰, 60B³, 3A⁰, 3D⁰, 15E¹</t>
        </is>
      </c>
      <c r="O6603" t="inlineStr"/>
    </row>
    <row r="6604">
      <c r="A6604">
        <f>HYPERLINK("https://mathstats.uncg.edu/sites/pauli/congruence/csg21.html#group60F21", "60F²¹")</f>
        <v/>
      </c>
      <c r="B6604" t="n">
        <v>21</v>
      </c>
      <c r="C6604" t="inlineStr"/>
      <c r="D6604" t="inlineStr">
        <is>
          <t>288</t>
        </is>
      </c>
      <c r="E6604" t="inlineStr">
        <is>
          <t>1</t>
        </is>
      </c>
      <c r="F6604" t="inlineStr">
        <is>
          <t>24</t>
        </is>
      </c>
      <c r="G6604" t="inlineStr">
        <is>
          <t>0</t>
        </is>
      </c>
      <c r="H6604" t="inlineStr">
        <is>
          <t>0</t>
        </is>
      </c>
      <c r="I6604" t="inlineStr">
        <is>
          <t>12⁴, 60⁴</t>
        </is>
      </c>
      <c r="J6604" t="n">
        <v>8</v>
      </c>
      <c r="K6604" t="inlineStr">
        <is>
          <t>2⁴, 8²</t>
        </is>
      </c>
      <c r="L6604" t="inlineStr">
        <is>
          <t>20D⁵, 30C⁵, 60C⁵, 60D¹¹, 60E¹¹</t>
        </is>
      </c>
      <c r="M6604" t="inlineStr"/>
      <c r="N6604" t="inlineStr">
        <is>
          <t>60E¹¹, 60D¹¹, 30C⁵, 2A⁰, 30A⁰, 60C⁵, 20C³, 5B⁰, 10A¹, 5D⁰, 10D¹, 1A⁰, 20B³, 20B¹, 30B³, 10B⁰, 15B⁰, 12A⁰, 4A⁰, 4D⁰, 20G¹, 12A², 15B², 60B³, 6A¹, 3A⁰, 20D⁵</t>
        </is>
      </c>
      <c r="O6604" t="inlineStr"/>
    </row>
    <row r="6605">
      <c r="A6605">
        <f>HYPERLINK("https://mathstats.uncg.edu/sites/pauli/congruence/csg21.html#group60G21", "60G²¹")</f>
        <v/>
      </c>
      <c r="B6605" t="n">
        <v>21</v>
      </c>
      <c r="C6605" t="inlineStr"/>
      <c r="D6605" t="inlineStr">
        <is>
          <t>288</t>
        </is>
      </c>
      <c r="E6605" t="inlineStr">
        <is>
          <t>1</t>
        </is>
      </c>
      <c r="F6605" t="inlineStr">
        <is>
          <t>36</t>
        </is>
      </c>
      <c r="G6605" t="inlineStr">
        <is>
          <t>0</t>
        </is>
      </c>
      <c r="H6605" t="inlineStr">
        <is>
          <t>0</t>
        </is>
      </c>
      <c r="I6605" t="inlineStr">
        <is>
          <t>12⁴, 60⁴</t>
        </is>
      </c>
      <c r="J6605" t="n">
        <v>8</v>
      </c>
      <c r="K6605" t="inlineStr">
        <is>
          <t>2², 4², 8¹, 16¹</t>
        </is>
      </c>
      <c r="L6605" t="inlineStr">
        <is>
          <t>30J⁹, 60E⁹, 60F⁹</t>
        </is>
      </c>
      <c r="M6605" t="inlineStr"/>
      <c r="N6605" t="inlineStr">
        <is>
          <t>30L³, 6B⁰, 30I³, 12D¹, 30C¹, 60F⁹, 5B⁰, 5D⁰, 30G⁵, 15F³, 1A⁰, 60E⁹, 15B⁰, 6E⁰, 30E⁵, 30J⁹, 15B², 3C⁰, 15C⁰, 3A⁰, 15E¹, 30C²</t>
        </is>
      </c>
      <c r="O6605" t="inlineStr"/>
    </row>
    <row r="6606">
      <c r="A6606">
        <f>HYPERLINK("https://mathstats.uncg.edu/sites/pauli/congruence/csg21.html#group60H21", "60H²¹")</f>
        <v/>
      </c>
      <c r="B6606" t="n">
        <v>21</v>
      </c>
      <c r="C6606" t="inlineStr"/>
      <c r="D6606" t="inlineStr">
        <is>
          <t>288</t>
        </is>
      </c>
      <c r="E6606" t="inlineStr">
        <is>
          <t>1</t>
        </is>
      </c>
      <c r="F6606" t="inlineStr">
        <is>
          <t>48</t>
        </is>
      </c>
      <c r="G6606" t="inlineStr">
        <is>
          <t>0</t>
        </is>
      </c>
      <c r="H6606" t="inlineStr">
        <is>
          <t>0</t>
        </is>
      </c>
      <c r="I6606" t="inlineStr">
        <is>
          <t>12⁴, 60⁴</t>
        </is>
      </c>
      <c r="J6606" t="n">
        <v>8</v>
      </c>
      <c r="K6606" t="inlineStr">
        <is>
          <t>4⁴, 16²</t>
        </is>
      </c>
      <c r="L6606" t="inlineStr">
        <is>
          <t>20D⁵, 30D⁵, 60F¹¹</t>
        </is>
      </c>
      <c r="M6606" t="inlineStr"/>
      <c r="N6606" t="inlineStr">
        <is>
          <t>2A⁰, 30C³, 20C³, 12E¹, 5B⁰, 10A¹, 5D⁰, 60F¹¹, 10D¹, 1A⁰, 20B³, 20B¹, 10B⁰, 6A⁰, 4A⁰, 4D⁰, 20G¹, 20D⁵, 30D⁵</t>
        </is>
      </c>
      <c r="O6606" t="inlineStr"/>
    </row>
    <row r="6607">
      <c r="A6607">
        <f>HYPERLINK("https://mathstats.uncg.edu/sites/pauli/congruence/csg21.html#group60I21", "60I²¹")</f>
        <v/>
      </c>
      <c r="B6607" t="n">
        <v>21</v>
      </c>
      <c r="C6607" t="inlineStr"/>
      <c r="D6607" t="inlineStr">
        <is>
          <t>288</t>
        </is>
      </c>
      <c r="E6607" t="inlineStr">
        <is>
          <t>1</t>
        </is>
      </c>
      <c r="F6607" t="inlineStr">
        <is>
          <t>48</t>
        </is>
      </c>
      <c r="G6607" t="inlineStr">
        <is>
          <t>0</t>
        </is>
      </c>
      <c r="H6607" t="inlineStr">
        <is>
          <t>0</t>
        </is>
      </c>
      <c r="I6607" t="inlineStr">
        <is>
          <t>12⁴, 60⁴</t>
        </is>
      </c>
      <c r="J6607" t="n">
        <v>8</v>
      </c>
      <c r="K6607" t="inlineStr">
        <is>
          <t>2⁸, 8⁴</t>
        </is>
      </c>
      <c r="L6607" t="inlineStr">
        <is>
          <t>60D⁷, 30L⁹</t>
        </is>
      </c>
      <c r="M6607" t="inlineStr"/>
      <c r="N6607" t="inlineStr">
        <is>
          <t>15C¹, 3B⁰, 2A⁰, 6A⁰, 30C³, 30L⁹, 6C⁰, 5B⁰, 6J⁰, 10A¹, 1A⁰, 30G³, 60D⁷</t>
        </is>
      </c>
      <c r="O6607" t="inlineStr"/>
    </row>
    <row r="6608">
      <c r="A6608">
        <f>HYPERLINK("https://mathstats.uncg.edu/sites/pauli/congruence/csg21.html#group60J21", "60J²¹")</f>
        <v/>
      </c>
      <c r="B6608" t="n">
        <v>21</v>
      </c>
      <c r="C6608" t="inlineStr"/>
      <c r="D6608" t="inlineStr">
        <is>
          <t>288</t>
        </is>
      </c>
      <c r="E6608" t="inlineStr">
        <is>
          <t>1</t>
        </is>
      </c>
      <c r="F6608" t="inlineStr">
        <is>
          <t>48</t>
        </is>
      </c>
      <c r="G6608" t="inlineStr">
        <is>
          <t>0</t>
        </is>
      </c>
      <c r="H6608" t="inlineStr">
        <is>
          <t>0</t>
        </is>
      </c>
      <c r="I6608" t="inlineStr">
        <is>
          <t>12⁴, 60⁴</t>
        </is>
      </c>
      <c r="J6608" t="n">
        <v>8</v>
      </c>
      <c r="K6608" t="inlineStr">
        <is>
          <t>2⁸, 8⁴</t>
        </is>
      </c>
      <c r="L6608" t="inlineStr">
        <is>
          <t>12O¹, 60E⁷, 30L⁹</t>
        </is>
      </c>
      <c r="M6608" t="inlineStr"/>
      <c r="N6608" t="inlineStr">
        <is>
          <t>3B⁰, 2A⁰, 30C³, 6C⁰, 5B⁰, 10A¹, 30G³, 1A⁰, 15C¹, 60E⁷, 6A⁰, 30L⁹, 6J⁰, 12O¹, 12B⁰</t>
        </is>
      </c>
      <c r="O6608" t="inlineStr"/>
    </row>
    <row r="6609">
      <c r="A6609">
        <f>HYPERLINK("https://mathstats.uncg.edu/sites/pauli/congruence/csg21.html#group60K21", "60K²¹")</f>
        <v/>
      </c>
      <c r="B6609" t="n">
        <v>21</v>
      </c>
      <c r="C6609" t="inlineStr"/>
      <c r="D6609" t="inlineStr">
        <is>
          <t>288</t>
        </is>
      </c>
      <c r="E6609" t="inlineStr">
        <is>
          <t>1</t>
        </is>
      </c>
      <c r="F6609" t="inlineStr">
        <is>
          <t>72</t>
        </is>
      </c>
      <c r="G6609" t="inlineStr">
        <is>
          <t>0</t>
        </is>
      </c>
      <c r="H6609" t="inlineStr">
        <is>
          <t>0</t>
        </is>
      </c>
      <c r="I6609" t="inlineStr">
        <is>
          <t>12⁴, 60⁴</t>
        </is>
      </c>
      <c r="J6609" t="n">
        <v>8</v>
      </c>
      <c r="K6609" t="inlineStr">
        <is>
          <t>2⁴, 4⁴, 8², 16²</t>
        </is>
      </c>
      <c r="L6609" t="inlineStr">
        <is>
          <t>30E⁵, 60I⁹, 60J⁹</t>
        </is>
      </c>
      <c r="M6609" t="inlineStr"/>
      <c r="N6609" t="inlineStr">
        <is>
          <t>12G¹, 60J⁹, 5B⁰, 1A⁰, 60I⁹, 20B¹, 15B⁰, 12A⁰, 30E⁵, 4A⁰, 3C⁰, 60B³, 3A⁰, 15E¹, 30C²</t>
        </is>
      </c>
      <c r="O6609" t="inlineStr"/>
    </row>
    <row r="6610">
      <c r="A6610">
        <f>HYPERLINK("https://mathstats.uncg.edu/sites/pauli/congruence/csg21.html#group60L21", "60L²¹")</f>
        <v/>
      </c>
      <c r="B6610" t="n">
        <v>21</v>
      </c>
      <c r="C6610" t="inlineStr"/>
      <c r="D6610" t="inlineStr">
        <is>
          <t>288</t>
        </is>
      </c>
      <c r="E6610" t="inlineStr">
        <is>
          <t>1</t>
        </is>
      </c>
      <c r="F6610" t="inlineStr">
        <is>
          <t>72</t>
        </is>
      </c>
      <c r="G6610" t="inlineStr">
        <is>
          <t>0</t>
        </is>
      </c>
      <c r="H6610" t="inlineStr">
        <is>
          <t>0</t>
        </is>
      </c>
      <c r="I6610" t="inlineStr">
        <is>
          <t>12⁴, 60⁴</t>
        </is>
      </c>
      <c r="J6610" t="n">
        <v>8</v>
      </c>
      <c r="K6610" t="inlineStr">
        <is>
          <t>2⁴, 4⁴, 8², 16²</t>
        </is>
      </c>
      <c r="L6610" t="inlineStr">
        <is>
          <t>15F³, 60Q⁷, 60J⁹, 60D¹¹</t>
        </is>
      </c>
      <c r="M6610" t="inlineStr"/>
      <c r="N6610" t="inlineStr">
        <is>
          <t>12G¹, 60D¹¹, 60J⁹, 5B⁰, 5D⁰, 15F³, 1A⁰, 20B³, 20B¹, 15B⁰, 12A⁰, 15E¹, 4A⁰, 15B², 60Q⁷, 3C⁰, 60B³, 3A⁰, 15C⁰</t>
        </is>
      </c>
      <c r="O6610" t="inlineStr"/>
    </row>
    <row r="6611">
      <c r="A6611">
        <f>HYPERLINK("https://mathstats.uncg.edu/sites/pauli/congruence/csg21.html#group60M21", "60M²¹")</f>
        <v/>
      </c>
      <c r="B6611" t="n">
        <v>21</v>
      </c>
      <c r="C6611" t="inlineStr"/>
      <c r="D6611" t="inlineStr">
        <is>
          <t>288</t>
        </is>
      </c>
      <c r="E6611" t="inlineStr">
        <is>
          <t>1</t>
        </is>
      </c>
      <c r="F6611" t="inlineStr">
        <is>
          <t>72</t>
        </is>
      </c>
      <c r="G6611" t="inlineStr">
        <is>
          <t>0</t>
        </is>
      </c>
      <c r="H6611" t="inlineStr">
        <is>
          <t>0</t>
        </is>
      </c>
      <c r="I6611" t="inlineStr">
        <is>
          <t>12⁴, 60⁴</t>
        </is>
      </c>
      <c r="J6611" t="n">
        <v>8</v>
      </c>
      <c r="K6611" t="inlineStr">
        <is>
          <t>2⁴, 4⁴, 8², 16²</t>
        </is>
      </c>
      <c r="L6611" t="inlineStr">
        <is>
          <t>30F⁵, 60Q⁷, 60I⁹, 60E¹¹</t>
        </is>
      </c>
      <c r="M6611" t="inlineStr"/>
      <c r="N6611" t="inlineStr">
        <is>
          <t>60E¹¹, 2A⁰, 20C³, 5B⁰, 10A¹, 1A⁰, 30F⁵, 60I⁹, 20B¹, 30B³, 15B⁰, 12A⁰, 4A⁰, 4D⁰, 12A², 60Q⁷, 60B³, 6A¹, 3A⁰, 15C⁰, 30C²</t>
        </is>
      </c>
      <c r="O6611" t="inlineStr"/>
    </row>
    <row r="6612">
      <c r="A6612">
        <f>HYPERLINK("https://mathstats.uncg.edu/sites/pauli/congruence/csg21.html#group60N21", "60N²¹")</f>
        <v/>
      </c>
      <c r="B6612" t="n">
        <v>21</v>
      </c>
      <c r="C6612" t="inlineStr"/>
      <c r="D6612" t="inlineStr">
        <is>
          <t>288</t>
        </is>
      </c>
      <c r="E6612" t="inlineStr">
        <is>
          <t>1</t>
        </is>
      </c>
      <c r="F6612" t="inlineStr">
        <is>
          <t>72</t>
        </is>
      </c>
      <c r="G6612" t="inlineStr">
        <is>
          <t>0</t>
        </is>
      </c>
      <c r="H6612" t="inlineStr">
        <is>
          <t>0</t>
        </is>
      </c>
      <c r="I6612" t="inlineStr">
        <is>
          <t>12⁴, 60⁴</t>
        </is>
      </c>
      <c r="J6612" t="n">
        <v>8</v>
      </c>
      <c r="K6612" t="inlineStr">
        <is>
          <t>2⁴, 4⁴, 8², 16²</t>
        </is>
      </c>
      <c r="L6612" t="inlineStr">
        <is>
          <t>30G⁵, 60R⁷, 60I⁹, 60D¹¹</t>
        </is>
      </c>
      <c r="M6612" t="inlineStr"/>
      <c r="N6612" t="inlineStr">
        <is>
          <t>60D¹¹, 6B⁰, 60R⁷, 5B⁰, 12F⁰, 5D⁰, 30G⁵, 1A⁰, 20B³, 20B¹, 60I⁹, 15B⁰, 12A⁰, 4A⁰, 15B², 60B³, 3A⁰, 30C¹, 30C²</t>
        </is>
      </c>
      <c r="O6612" t="inlineStr"/>
    </row>
    <row r="6613">
      <c r="A6613">
        <f>HYPERLINK("https://mathstats.uncg.edu/sites/pauli/congruence/csg21.html#group60O21", "60O²¹")</f>
        <v/>
      </c>
      <c r="B6613" t="n">
        <v>21</v>
      </c>
      <c r="C6613" t="inlineStr"/>
      <c r="D6613" t="inlineStr">
        <is>
          <t>288</t>
        </is>
      </c>
      <c r="E6613" t="inlineStr">
        <is>
          <t>1</t>
        </is>
      </c>
      <c r="F6613" t="inlineStr">
        <is>
          <t>72</t>
        </is>
      </c>
      <c r="G6613" t="inlineStr">
        <is>
          <t>0</t>
        </is>
      </c>
      <c r="H6613" t="inlineStr">
        <is>
          <t>0</t>
        </is>
      </c>
      <c r="I6613" t="inlineStr">
        <is>
          <t>12⁴, 60⁴</t>
        </is>
      </c>
      <c r="J6613" t="n">
        <v>8</v>
      </c>
      <c r="K6613" t="inlineStr">
        <is>
          <t>2⁴, 4⁴, 8², 16²</t>
        </is>
      </c>
      <c r="L6613" t="inlineStr">
        <is>
          <t>12C³, 30H⁵, 60R⁷, 60J⁹, 60E¹¹</t>
        </is>
      </c>
      <c r="M6613" t="inlineStr"/>
      <c r="N6613" t="inlineStr">
        <is>
          <t>60E¹¹, 2A⁰, 12G¹, 6B⁰, 60J⁹, 30C¹, 60R⁷, 20C³, 12C³, 5B⁰, 10A¹, 12F⁰, 1A⁰, 20B¹, 30B³, 30H⁵, 15B⁰, 12A⁰, 6B¹, 4A⁰, 4D⁰, 12A², 3C⁰, 60B³, 6A¹, 3A⁰, 15E¹</t>
        </is>
      </c>
      <c r="O6613" t="inlineStr"/>
    </row>
    <row r="6614">
      <c r="A6614">
        <f>HYPERLINK("https://mathstats.uncg.edu/sites/pauli/congruence/csg21.html#group60P21", "60P²¹")</f>
        <v/>
      </c>
      <c r="B6614" t="n">
        <v>21</v>
      </c>
      <c r="C6614" t="inlineStr"/>
      <c r="D6614" t="inlineStr">
        <is>
          <t>288</t>
        </is>
      </c>
      <c r="E6614" t="inlineStr">
        <is>
          <t>1</t>
        </is>
      </c>
      <c r="F6614" t="inlineStr">
        <is>
          <t>144</t>
        </is>
      </c>
      <c r="G6614" t="inlineStr">
        <is>
          <t>0</t>
        </is>
      </c>
      <c r="H6614" t="inlineStr">
        <is>
          <t>0</t>
        </is>
      </c>
      <c r="I6614" t="inlineStr">
        <is>
          <t>12⁴, 60⁴</t>
        </is>
      </c>
      <c r="J6614" t="n">
        <v>8</v>
      </c>
      <c r="K6614" t="inlineStr">
        <is>
          <t>4¹², 16⁶</t>
        </is>
      </c>
      <c r="L6614" t="inlineStr">
        <is>
          <t>30D⁵, 60G¹¹</t>
        </is>
      </c>
      <c r="M6614" t="inlineStr"/>
      <c r="N6614" t="inlineStr">
        <is>
          <t>2A⁰, 12H¹, 6A⁰, 30C³, 5B⁰, 10A¹, 5D⁰, 60G¹¹, 10D¹, 1A⁰, 30D⁵, 10B⁰</t>
        </is>
      </c>
      <c r="O6614" t="inlineStr"/>
    </row>
    <row r="6615">
      <c r="A6615">
        <f>HYPERLINK("https://mathstats.uncg.edu/sites/pauli/congruence/csg21.html#group60Q21", "60Q²¹")</f>
        <v/>
      </c>
      <c r="B6615" t="n">
        <v>21</v>
      </c>
      <c r="C6615" t="inlineStr"/>
      <c r="D6615" t="inlineStr">
        <is>
          <t>288</t>
        </is>
      </c>
      <c r="E6615" t="inlineStr">
        <is>
          <t>2</t>
        </is>
      </c>
      <c r="F6615" t="inlineStr">
        <is>
          <t>6</t>
        </is>
      </c>
      <c r="G6615" t="inlineStr">
        <is>
          <t>0</t>
        </is>
      </c>
      <c r="H6615" t="inlineStr">
        <is>
          <t>0</t>
        </is>
      </c>
      <c r="I6615" t="inlineStr">
        <is>
          <t>12⁴, 60⁴</t>
        </is>
      </c>
      <c r="J6615" t="n">
        <v>8</v>
      </c>
      <c r="K6615" t="inlineStr">
        <is>
          <t>2², 8¹</t>
        </is>
      </c>
      <c r="L6615" t="inlineStr">
        <is>
          <t>60G⁷, 30G⁹, 60K⁹, 60L⁹</t>
        </is>
      </c>
      <c r="M6615" t="inlineStr"/>
      <c r="N6615" t="inlineStr">
        <is>
          <t>30A⁰, 3B⁰, 20C¹, 60L⁹, 30J³, 5B⁰, 60D³, 30G⁹, 1A⁰, 60G⁷, 10B⁰, 15C¹, 15B⁰, 60C³, 30F³, 60K⁹, 15E³, 30E⁵, 3C⁰, 3A⁰, 3D⁰, 15E¹, 30C²</t>
        </is>
      </c>
      <c r="O6615" t="inlineStr"/>
    </row>
    <row r="6616">
      <c r="A6616">
        <f>HYPERLINK("https://mathstats.uncg.edu/sites/pauli/congruence/csg21.html#group60R21", "60R²¹")</f>
        <v/>
      </c>
      <c r="B6616" t="n">
        <v>21</v>
      </c>
      <c r="C6616" t="inlineStr"/>
      <c r="D6616" t="inlineStr">
        <is>
          <t>320</t>
        </is>
      </c>
      <c r="E6616" t="inlineStr">
        <is>
          <t>1</t>
        </is>
      </c>
      <c r="F6616" t="inlineStr">
        <is>
          <t>40</t>
        </is>
      </c>
      <c r="G6616" t="inlineStr">
        <is>
          <t>0</t>
        </is>
      </c>
      <c r="H6616" t="inlineStr">
        <is>
          <t>8</t>
        </is>
      </c>
      <c r="I6616" t="inlineStr">
        <is>
          <t>20⁴, 60⁴</t>
        </is>
      </c>
      <c r="J6616" t="n">
        <v>8</v>
      </c>
      <c r="K6616" t="inlineStr">
        <is>
          <t>2², 4⁵, 8²</t>
        </is>
      </c>
      <c r="L6616" t="inlineStr">
        <is>
          <t>20N³, 30N⁹, 60K¹¹</t>
        </is>
      </c>
      <c r="M6616" t="inlineStr"/>
      <c r="N6616" t="inlineStr">
        <is>
          <t>30J⁵, 3B⁰, 10H¹, 2A⁰, 5A⁰, 10D⁰, 30D², 6C⁰, 5F⁰, 20N³, 30I⁵, 1A⁰, 20F¹, 10A⁰, 60K¹¹, 15G³, 15B¹, 10C¹, 15C², 5C⁰, 30N⁹</t>
        </is>
      </c>
      <c r="O6616" t="inlineStr"/>
    </row>
    <row r="6617">
      <c r="A6617">
        <f>HYPERLINK("https://mathstats.uncg.edu/sites/pauli/congruence/csg21.html#group60S21", "60S²¹")</f>
        <v/>
      </c>
      <c r="B6617" t="n">
        <v>21</v>
      </c>
      <c r="C6617" t="inlineStr"/>
      <c r="D6617" t="inlineStr">
        <is>
          <t>320</t>
        </is>
      </c>
      <c r="E6617" t="inlineStr">
        <is>
          <t>1</t>
        </is>
      </c>
      <c r="F6617" t="inlineStr">
        <is>
          <t>40</t>
        </is>
      </c>
      <c r="G6617" t="inlineStr">
        <is>
          <t>0</t>
        </is>
      </c>
      <c r="H6617" t="inlineStr">
        <is>
          <t>8</t>
        </is>
      </c>
      <c r="I6617" t="inlineStr">
        <is>
          <t>20⁴, 60⁴</t>
        </is>
      </c>
      <c r="J6617" t="n">
        <v>8</v>
      </c>
      <c r="K6617" t="inlineStr">
        <is>
          <t>2², 4⁵, 8²</t>
        </is>
      </c>
      <c r="L6617" t="inlineStr">
        <is>
          <t>60B⁴, 30N⁹, 60H¹¹, 60I¹¹</t>
        </is>
      </c>
      <c r="M6617" t="inlineStr"/>
      <c r="N6617" t="inlineStr">
        <is>
          <t>30J⁵, 2A⁰, 3B⁰, 10H¹, 5A⁰, 10D⁰, 6C⁰, 60B⁴, 30D², 5F⁰, 60H¹¹, 1A⁰, 30I⁵, 10A⁰, 15G³, 60I¹¹, 15B¹, 10C¹, 15C², 5C⁰, 30N⁹, 12B⁰</t>
        </is>
      </c>
      <c r="O6617" t="inlineStr"/>
    </row>
    <row r="6618">
      <c r="A6618">
        <f>HYPERLINK("https://mathstats.uncg.edu/sites/pauli/congruence/csg21.html#group60T21", "60T²¹")</f>
        <v/>
      </c>
      <c r="B6618" t="n">
        <v>21</v>
      </c>
      <c r="C6618" t="inlineStr"/>
      <c r="D6618" t="inlineStr">
        <is>
          <t>320</t>
        </is>
      </c>
      <c r="E6618" t="inlineStr">
        <is>
          <t>1</t>
        </is>
      </c>
      <c r="F6618" t="inlineStr">
        <is>
          <t>80</t>
        </is>
      </c>
      <c r="G6618" t="inlineStr">
        <is>
          <t>0</t>
        </is>
      </c>
      <c r="H6618" t="inlineStr">
        <is>
          <t>8</t>
        </is>
      </c>
      <c r="I6618" t="inlineStr">
        <is>
          <t>20⁴, 60⁴</t>
        </is>
      </c>
      <c r="J6618" t="n">
        <v>8</v>
      </c>
      <c r="K6618" t="inlineStr">
        <is>
          <t>2⁴, 4², 8⁴, 16²</t>
        </is>
      </c>
      <c r="L6618" t="inlineStr">
        <is>
          <t>12R¹, 60B⁴, 60J¹¹</t>
        </is>
      </c>
      <c r="M6618" t="inlineStr"/>
      <c r="N6618" t="inlineStr">
        <is>
          <t>3B⁰, 2A⁰, 5A⁰, 12I¹, 30D², 60B⁴, 6C⁰, 20A¹, 60A⁶, 1A⁰, 10A⁰, 20D², 4A⁰, 4D⁰, 12A¹, 15B¹, 12R¹, 60J¹¹, 12B⁰</t>
        </is>
      </c>
      <c r="O6618" t="inlineStr"/>
    </row>
    <row r="6619">
      <c r="A6619">
        <f>HYPERLINK("https://mathstats.uncg.edu/sites/pauli/congruence/csg21.html#group60U21", "60U²¹")</f>
        <v/>
      </c>
      <c r="B6619" t="n">
        <v>21</v>
      </c>
      <c r="C6619" t="inlineStr"/>
      <c r="D6619" t="inlineStr">
        <is>
          <t>360</t>
        </is>
      </c>
      <c r="E6619" t="inlineStr">
        <is>
          <t>1</t>
        </is>
      </c>
      <c r="F6619" t="inlineStr">
        <is>
          <t>30</t>
        </is>
      </c>
      <c r="G6619" t="inlineStr">
        <is>
          <t>24</t>
        </is>
      </c>
      <c r="H6619" t="inlineStr">
        <is>
          <t>0</t>
        </is>
      </c>
      <c r="I6619" t="inlineStr">
        <is>
          <t>30⁴, 60⁴</t>
        </is>
      </c>
      <c r="J6619" t="n">
        <v>8</v>
      </c>
      <c r="K6619" t="inlineStr">
        <is>
          <t>2³, 4⁶</t>
        </is>
      </c>
      <c r="L6619" t="inlineStr">
        <is>
          <t>20F⁵, 30C¹⁰, 60C¹⁰, 60L¹¹</t>
        </is>
      </c>
      <c r="M6619" t="inlineStr"/>
      <c r="N6619" t="inlineStr">
        <is>
          <t>12C⁰, 10D⁰, 4C⁰, 2B⁰, 20F², 1A⁰, 30C¹⁰, 20F³, 30F², 10F¹, 30K⁵, 15D¹, 10E², 20F⁵, 60L¹¹, 3A⁰, 60C¹⁰, 5C⁰, 6D⁰</t>
        </is>
      </c>
      <c r="O6619" t="inlineStr"/>
    </row>
    <row r="6620">
      <c r="A6620">
        <f>HYPERLINK("https://mathstats.uncg.edu/sites/pauli/congruence/csg21.html#group60V21", "60V²¹")</f>
        <v/>
      </c>
      <c r="B6620" t="n">
        <v>21</v>
      </c>
      <c r="C6620" t="inlineStr"/>
      <c r="D6620" t="inlineStr">
        <is>
          <t>360</t>
        </is>
      </c>
      <c r="E6620" t="inlineStr">
        <is>
          <t>1</t>
        </is>
      </c>
      <c r="F6620" t="inlineStr">
        <is>
          <t>90</t>
        </is>
      </c>
      <c r="G6620" t="inlineStr">
        <is>
          <t>16</t>
        </is>
      </c>
      <c r="H6620" t="inlineStr">
        <is>
          <t>0</t>
        </is>
      </c>
      <c r="I6620" t="inlineStr">
        <is>
          <t>15⁸, 60⁴</t>
        </is>
      </c>
      <c r="J6620" t="n">
        <v>12</v>
      </c>
      <c r="K6620" t="inlineStr">
        <is>
          <t>2³, 4⁹, 8⁶</t>
        </is>
      </c>
      <c r="L6620" t="inlineStr">
        <is>
          <t>30H¹⁰, 60C¹⁰, 60M¹¹</t>
        </is>
      </c>
      <c r="M6620" t="inlineStr"/>
      <c r="N6620" t="inlineStr">
        <is>
          <t>30K⁵, 15D¹, 60M¹¹, 30H¹⁰, 5C⁰, 15D², 2B⁰, 12D⁰, 20F², 3A⁰, 60C¹⁰, 1A⁰, 6D⁰, 10F¹</t>
        </is>
      </c>
      <c r="O6620" t="inlineStr"/>
    </row>
    <row r="6621">
      <c r="A6621">
        <f>HYPERLINK("https://mathstats.uncg.edu/sites/pauli/congruence/csg21.html#group60W21", "60W²¹")</f>
        <v/>
      </c>
      <c r="B6621" t="n">
        <v>21</v>
      </c>
      <c r="C6621" t="inlineStr"/>
      <c r="D6621" t="inlineStr">
        <is>
          <t>432</t>
        </is>
      </c>
      <c r="E6621" t="inlineStr">
        <is>
          <t>1</t>
        </is>
      </c>
      <c r="F6621" t="inlineStr">
        <is>
          <t>54</t>
        </is>
      </c>
      <c r="G6621" t="inlineStr">
        <is>
          <t>16</t>
        </is>
      </c>
      <c r="H6621" t="inlineStr">
        <is>
          <t>0</t>
        </is>
      </c>
      <c r="I6621" t="inlineStr">
        <is>
          <t>3⁸, 12⁴, 15⁸, 60⁴</t>
        </is>
      </c>
      <c r="J6621" t="n">
        <v>24</v>
      </c>
      <c r="K6621" t="inlineStr">
        <is>
          <t>1⁶, 2⁶, 4³, 8³</t>
        </is>
      </c>
      <c r="L6621" t="inlineStr">
        <is>
          <t>30Q⁹, 60N⁹, 60N¹¹, 60O¹¹, 60U¹¹</t>
        </is>
      </c>
      <c r="M6621" t="inlineStr"/>
      <c r="N6621" t="inlineStr">
        <is>
          <t>60U¹¹, 60E⁶, 60N¹¹, 60O¹¹, 5B⁰, 60B⁵, 6G⁰, 60C⁴, 2B⁰, 60N⁹, 30O⁵, 15H¹, 1A⁰, 20A⁰, 15B⁰, 12G⁰, 30E², 15E¹, 30Q⁹, 30I⁴, 10C⁰, 3C⁰, 12D⁰, 3A⁰, 6D⁰, 15C⁰</t>
        </is>
      </c>
      <c r="O6621" t="inlineStr"/>
    </row>
    <row r="6622">
      <c r="A6622">
        <f>HYPERLINK("https://mathstats.uncg.edu/sites/pauli/congruence/csg21.html#group60X21", "60X²¹")</f>
        <v/>
      </c>
      <c r="B6622" t="n">
        <v>21</v>
      </c>
      <c r="C6622" t="inlineStr"/>
      <c r="D6622" t="inlineStr">
        <is>
          <t>432</t>
        </is>
      </c>
      <c r="E6622" t="inlineStr">
        <is>
          <t>1</t>
        </is>
      </c>
      <c r="F6622" t="inlineStr">
        <is>
          <t>54</t>
        </is>
      </c>
      <c r="G6622" t="inlineStr">
        <is>
          <t>32</t>
        </is>
      </c>
      <c r="H6622" t="inlineStr">
        <is>
          <t>0</t>
        </is>
      </c>
      <c r="I6622" t="inlineStr">
        <is>
          <t>6⁴, 12⁴, 30⁴, 60⁴</t>
        </is>
      </c>
      <c r="J6622" t="n">
        <v>16</v>
      </c>
      <c r="K6622" t="inlineStr">
        <is>
          <t>1⁶, 2⁶, 4³, 8³</t>
        </is>
      </c>
      <c r="L6622" t="inlineStr">
        <is>
          <t>30R⁹, 60M⁹, 60N⁹, 60P¹¹, 60Q¹¹, 60R¹¹, 60S¹¹</t>
        </is>
      </c>
      <c r="M6622" t="inlineStr"/>
      <c r="N6622" t="inlineStr">
        <is>
          <t>30A⁰, 20E¹, 60F⁶, 12C⁰, 10G⁰, 30R⁹, 4C⁰, 5B⁰, 60C⁴, 2B⁰, 60N⁹, 1A⁰, 30P⁵, 30D¹, 60A⁵, 60S¹¹, 60M⁹, 60P¹¹, 60Q¹¹, 10C⁰, 6H⁰, 3A⁰, 15C⁰, 6B⁰, 60R¹¹, 30C¹, 10B⁰, 20A⁰, 15B⁰, 30E², 20I¹, 30I⁴, 12D⁰, 30H⁴, 12H⁰, 6D⁰, 60B⁵</t>
        </is>
      </c>
      <c r="O6622" t="inlineStr"/>
    </row>
    <row r="6623">
      <c r="A6623">
        <f>HYPERLINK("https://mathstats.uncg.edu/sites/pauli/congruence/csg21.html#group63A21", "63A²¹")</f>
        <v/>
      </c>
      <c r="B6623" t="n">
        <v>21</v>
      </c>
      <c r="C6623" t="inlineStr"/>
      <c r="D6623" t="inlineStr">
        <is>
          <t>288</t>
        </is>
      </c>
      <c r="E6623" t="inlineStr">
        <is>
          <t>1</t>
        </is>
      </c>
      <c r="F6623" t="inlineStr">
        <is>
          <t>24</t>
        </is>
      </c>
      <c r="G6623" t="inlineStr">
        <is>
          <t>0</t>
        </is>
      </c>
      <c r="H6623" t="inlineStr">
        <is>
          <t>0</t>
        </is>
      </c>
      <c r="I6623" t="inlineStr">
        <is>
          <t>9⁴, 63⁴</t>
        </is>
      </c>
      <c r="J6623" t="n">
        <v>8</v>
      </c>
      <c r="K6623" t="inlineStr">
        <is>
          <t>1², 2², 6¹, 12¹</t>
        </is>
      </c>
      <c r="L6623" t="inlineStr">
        <is>
          <t>9A², 21C⁵, 63A¹¹, 63C¹¹</t>
        </is>
      </c>
      <c r="M6623" t="inlineStr"/>
      <c r="N6623" t="inlineStr">
        <is>
          <t>3B⁰, 63A⁶, 1A⁰, 9B¹, 21A³, 9D⁰, 21A², 9A², 21C⁵, 21B¹, 7B⁰, 9A⁰, 63A¹¹, 3C⁰, 63C¹¹, 3A⁰, 3D⁰</t>
        </is>
      </c>
      <c r="O6623" t="inlineStr"/>
    </row>
    <row r="6624">
      <c r="A6624">
        <f>HYPERLINK("https://mathstats.uncg.edu/sites/pauli/congruence/csg21.html#group63B21", "63B²¹")</f>
        <v/>
      </c>
      <c r="B6624" t="n">
        <v>21</v>
      </c>
      <c r="C6624" t="inlineStr"/>
      <c r="D6624" t="inlineStr">
        <is>
          <t>288</t>
        </is>
      </c>
      <c r="E6624" t="inlineStr">
        <is>
          <t>1</t>
        </is>
      </c>
      <c r="F6624" t="inlineStr">
        <is>
          <t>48</t>
        </is>
      </c>
      <c r="G6624" t="inlineStr">
        <is>
          <t>0</t>
        </is>
      </c>
      <c r="H6624" t="inlineStr">
        <is>
          <t>0</t>
        </is>
      </c>
      <c r="I6624" t="inlineStr">
        <is>
          <t>9⁴, 63⁴</t>
        </is>
      </c>
      <c r="J6624" t="n">
        <v>8</v>
      </c>
      <c r="K6624" t="inlineStr">
        <is>
          <t>2⁶, 12³</t>
        </is>
      </c>
      <c r="L6624" t="inlineStr">
        <is>
          <t>21C⁵, 63B¹¹</t>
        </is>
      </c>
      <c r="M6624" t="inlineStr"/>
      <c r="N6624" t="inlineStr">
        <is>
          <t>3B⁰, 21B¹, 21C⁵, 63B¹¹, 21A², 7B⁰, 3C⁰, 3A⁰, 1A⁰, 21A³, 3D⁰</t>
        </is>
      </c>
      <c r="O6624" t="inlineStr"/>
    </row>
    <row r="6625">
      <c r="A6625">
        <f>HYPERLINK("https://mathstats.uncg.edu/sites/pauli/congruence/csg21.html#group63C21", "63C²¹")</f>
        <v/>
      </c>
      <c r="B6625" t="n">
        <v>21</v>
      </c>
      <c r="C6625" t="inlineStr"/>
      <c r="D6625" t="inlineStr">
        <is>
          <t>336</t>
        </is>
      </c>
      <c r="E6625" t="inlineStr">
        <is>
          <t>1</t>
        </is>
      </c>
      <c r="F6625" t="inlineStr">
        <is>
          <t>112</t>
        </is>
      </c>
      <c r="G6625" t="inlineStr">
        <is>
          <t>0</t>
        </is>
      </c>
      <c r="H6625" t="inlineStr">
        <is>
          <t>0</t>
        </is>
      </c>
      <c r="I6625" t="inlineStr">
        <is>
          <t>7¹², 63⁴</t>
        </is>
      </c>
      <c r="J6625" t="n">
        <v>16</v>
      </c>
      <c r="K6625" t="inlineStr">
        <is>
          <t>1², 2¹, 3², 6⁹, 12⁴</t>
        </is>
      </c>
      <c r="L6625" t="inlineStr">
        <is>
          <t>21B⁶, 63B⁶</t>
        </is>
      </c>
      <c r="M6625" t="inlineStr"/>
      <c r="N6625" t="inlineStr">
        <is>
          <t>3B⁰, 21B², 21B⁶, 7F⁰, 63B⁶, 9B⁰, 1A⁰, 7A⁰</t>
        </is>
      </c>
      <c r="O6625" t="inlineStr"/>
    </row>
    <row r="6626">
      <c r="A6626">
        <f>HYPERLINK("https://mathstats.uncg.edu/sites/pauli/congruence/csg21.html#group63D21", "63D²¹")</f>
        <v/>
      </c>
      <c r="B6626" t="n">
        <v>21</v>
      </c>
      <c r="C6626" t="inlineStr"/>
      <c r="D6626" t="inlineStr">
        <is>
          <t>378</t>
        </is>
      </c>
      <c r="E6626" t="inlineStr">
        <is>
          <t>2</t>
        </is>
      </c>
      <c r="F6626" t="inlineStr">
        <is>
          <t>189</t>
        </is>
      </c>
      <c r="G6626" t="inlineStr">
        <is>
          <t>34</t>
        </is>
      </c>
      <c r="H6626" t="inlineStr">
        <is>
          <t>0</t>
        </is>
      </c>
      <c r="I6626" t="inlineStr">
        <is>
          <t>63⁶</t>
        </is>
      </c>
      <c r="J6626" t="n">
        <v>6</v>
      </c>
      <c r="K6626" t="inlineStr">
        <is>
          <t>6³, 12⁹, 18², 36⁶</t>
        </is>
      </c>
      <c r="L6626" t="inlineStr">
        <is>
          <t>21D⁴, 63D⁹</t>
        </is>
      </c>
      <c r="M6626" t="inlineStr"/>
      <c r="N6626" t="inlineStr">
        <is>
          <t>21D⁴, 63D⁹, 7D⁰, 21E¹, 9A⁰, 63A², 21A⁰, 3A⁰, 1A⁰, 7A⁰</t>
        </is>
      </c>
      <c r="O6626" t="inlineStr"/>
    </row>
    <row r="6627">
      <c r="A6627">
        <f>HYPERLINK("https://mathstats.uncg.edu/sites/pauli/congruence/csg21.html#group64A21", "64A²¹")</f>
        <v/>
      </c>
      <c r="B6627" t="n">
        <v>21</v>
      </c>
      <c r="C6627" t="inlineStr"/>
      <c r="D6627" t="inlineStr">
        <is>
          <t>384</t>
        </is>
      </c>
      <c r="E6627" t="inlineStr">
        <is>
          <t>1</t>
        </is>
      </c>
      <c r="F6627" t="inlineStr">
        <is>
          <t>6</t>
        </is>
      </c>
      <c r="G6627" t="inlineStr">
        <is>
          <t>0</t>
        </is>
      </c>
      <c r="H6627" t="inlineStr">
        <is>
          <t>0</t>
        </is>
      </c>
      <c r="I6627" t="inlineStr">
        <is>
          <t>4¹⁶, 16⁴, 64⁴</t>
        </is>
      </c>
      <c r="J6627" t="n">
        <v>24</v>
      </c>
      <c r="K6627" t="inlineStr">
        <is>
          <t>1⁴, 2¹</t>
        </is>
      </c>
      <c r="L6627" t="inlineStr">
        <is>
          <t>32C⁹, 64B⁹</t>
        </is>
      </c>
      <c r="M6627" t="inlineStr"/>
      <c r="N6627" t="inlineStr">
        <is>
          <t>2A⁰, 32C⁹, 16C², 8D⁰, 16E¹, 4C⁰, 32A³, 16A¹, 8C⁰, 4E⁰, 2B⁰, 8I⁰, 16J³, 4B⁰, 1A⁰, 32J³, 64A⁵, 32A¹, 8O⁰, 32B⁵, 8G⁰, 16C⁰, 16C¹, 64A³, 8J⁰, 2C⁰, 64B⁹, 32B³</t>
        </is>
      </c>
      <c r="O6627" t="inlineStr"/>
    </row>
    <row r="6628">
      <c r="A6628">
        <f>HYPERLINK("https://mathstats.uncg.edu/sites/pauli/congruence/csg21.html#group64B21", "64B²¹")</f>
        <v/>
      </c>
      <c r="B6628" t="n">
        <v>21</v>
      </c>
      <c r="C6628" t="inlineStr"/>
      <c r="D6628" t="inlineStr">
        <is>
          <t>384</t>
        </is>
      </c>
      <c r="E6628" t="inlineStr">
        <is>
          <t>1</t>
        </is>
      </c>
      <c r="F6628" t="inlineStr">
        <is>
          <t>6</t>
        </is>
      </c>
      <c r="G6628" t="inlineStr">
        <is>
          <t>0</t>
        </is>
      </c>
      <c r="H6628" t="inlineStr">
        <is>
          <t>0</t>
        </is>
      </c>
      <c r="I6628" t="inlineStr">
        <is>
          <t>4¹⁶, 16⁴, 64⁴</t>
        </is>
      </c>
      <c r="J6628" t="n">
        <v>24</v>
      </c>
      <c r="K6628" t="inlineStr">
        <is>
          <t>1⁴, 2¹</t>
        </is>
      </c>
      <c r="L6628" t="inlineStr">
        <is>
          <t>32C⁹, 64C⁹</t>
        </is>
      </c>
      <c r="M6628" t="inlineStr"/>
      <c r="N6628" t="inlineStr">
        <is>
          <t>64C⁹, 2A⁰, 32C⁹, 16C², 8D⁰, 16E¹, 4C⁰, 32A³, 64B³, 16A¹, 8C⁰, 2B⁰, 4E⁰, 8I⁰, 4B⁰, 16J³, 1A⁰, 32J³, 64B⁵, 32A¹, 8O⁰, 32B⁵, 8G⁰, 16C⁰, 16C¹, 8J⁰, 2C⁰, 32B³</t>
        </is>
      </c>
      <c r="O6628" t="inlineStr"/>
    </row>
    <row r="6629">
      <c r="A6629">
        <f>HYPERLINK("https://mathstats.uncg.edu/sites/pauli/congruence/csg21.html#group64C21", "64C²¹")</f>
        <v/>
      </c>
      <c r="B6629" t="n">
        <v>21</v>
      </c>
      <c r="C6629" t="inlineStr"/>
      <c r="D6629" t="inlineStr">
        <is>
          <t>384</t>
        </is>
      </c>
      <c r="E6629" t="inlineStr">
        <is>
          <t>1</t>
        </is>
      </c>
      <c r="F6629" t="inlineStr">
        <is>
          <t>6</t>
        </is>
      </c>
      <c r="G6629" t="inlineStr">
        <is>
          <t>0</t>
        </is>
      </c>
      <c r="H6629" t="inlineStr">
        <is>
          <t>0</t>
        </is>
      </c>
      <c r="I6629" t="inlineStr">
        <is>
          <t>4¹⁶, 16⁴, 64⁴</t>
        </is>
      </c>
      <c r="J6629" t="n">
        <v>24</v>
      </c>
      <c r="K6629" t="inlineStr">
        <is>
          <t>1⁴, 2¹</t>
        </is>
      </c>
      <c r="L6629" t="inlineStr">
        <is>
          <t>32M⁵, 64A¹¹, 64B¹¹</t>
        </is>
      </c>
      <c r="M6629" t="inlineStr"/>
      <c r="N6629" t="inlineStr">
        <is>
          <t>2A⁰, 16G⁰, 32M³, 4C⁰, 16A¹, 8C⁰, 2B⁰, 4E⁰, 4B⁰, 1A⁰, 32M⁵, 16H⁰, 16E⁰, 32A¹, 8G⁰, 16C⁰, 32A⁰, 16M¹, 32E¹, 8J⁰, 8D⁰, 16E¹, 64B¹¹, 8I⁰, 32K³, 64A⁶, 32J³, 16G¹, 16D⁰, 32A², 64A¹¹, 2C⁰, 8O⁰</t>
        </is>
      </c>
      <c r="O6629" t="inlineStr"/>
    </row>
    <row r="6630">
      <c r="A6630">
        <f>HYPERLINK("https://mathstats.uncg.edu/sites/pauli/congruence/csg21.html#group64D21", "64D²¹")</f>
        <v/>
      </c>
      <c r="B6630" t="n">
        <v>21</v>
      </c>
      <c r="C6630" t="inlineStr"/>
      <c r="D6630" t="inlineStr">
        <is>
          <t>384</t>
        </is>
      </c>
      <c r="E6630" t="inlineStr">
        <is>
          <t>1</t>
        </is>
      </c>
      <c r="F6630" t="inlineStr">
        <is>
          <t>12</t>
        </is>
      </c>
      <c r="G6630" t="inlineStr">
        <is>
          <t>0</t>
        </is>
      </c>
      <c r="H6630" t="inlineStr">
        <is>
          <t>0</t>
        </is>
      </c>
      <c r="I6630" t="inlineStr">
        <is>
          <t>4¹⁶, 16⁴, 64⁴</t>
        </is>
      </c>
      <c r="J6630" t="n">
        <v>24</v>
      </c>
      <c r="K6630" t="inlineStr">
        <is>
          <t>1⁴, 2², 4¹</t>
        </is>
      </c>
      <c r="L6630" t="inlineStr">
        <is>
          <t>64K⁷, 32B⁹, 64A¹¹</t>
        </is>
      </c>
      <c r="M6630" t="inlineStr"/>
      <c r="N6630" t="inlineStr">
        <is>
          <t>2A⁰, 4C⁰, 16A¹, 8C⁰, 4E⁰, 2B⁰, 4G⁰, 4B⁰, 8F¹, 1A⁰, 32B⁵, 8G⁰, 16C⁰, 4D⁰, 32A⁰, 64A², 16H¹, 32B³, 8A¹, 8D⁰, 16E¹, 32A³, 8B⁰, 8B¹, 32K³, 64A⁶, 16H³, 8H⁰, 8C¹, 4A⁰, 32B⁹, 64K⁷, 32A², 4F⁰, 64A¹¹, 2C⁰</t>
        </is>
      </c>
      <c r="O6630" t="inlineStr"/>
    </row>
    <row r="6631">
      <c r="A6631">
        <f>HYPERLINK("https://mathstats.uncg.edu/sites/pauli/congruence/csg21.html#group64E21", "64E²¹")</f>
        <v/>
      </c>
      <c r="B6631" t="n">
        <v>21</v>
      </c>
      <c r="C6631" t="inlineStr"/>
      <c r="D6631" t="inlineStr">
        <is>
          <t>384</t>
        </is>
      </c>
      <c r="E6631" t="inlineStr">
        <is>
          <t>1</t>
        </is>
      </c>
      <c r="F6631" t="inlineStr">
        <is>
          <t>12</t>
        </is>
      </c>
      <c r="G6631" t="inlineStr">
        <is>
          <t>0</t>
        </is>
      </c>
      <c r="H6631" t="inlineStr">
        <is>
          <t>0</t>
        </is>
      </c>
      <c r="I6631" t="inlineStr">
        <is>
          <t>4¹⁶, 16⁴, 64⁴</t>
        </is>
      </c>
      <c r="J6631" t="n">
        <v>24</v>
      </c>
      <c r="K6631" t="inlineStr">
        <is>
          <t>1⁴, 2², 4¹</t>
        </is>
      </c>
      <c r="L6631" t="inlineStr">
        <is>
          <t>64K⁷, 32D⁹, 64A¹¹</t>
        </is>
      </c>
      <c r="M6631" t="inlineStr"/>
      <c r="N6631" t="inlineStr">
        <is>
          <t>2A⁰, 16C², 8D⁰, 16E¹, 4C⁰, 32D⁹, 16A¹, 8C⁰, 4E⁰, 2B⁰, 32K³, 16J³, 8I⁰, 4B⁰, 1A⁰, 32C³, 64A⁶, 8G⁰, 16C⁰, 16C¹, 32A⁰, 32A⁵, 64K⁷, 32A², 64A², 64A¹¹, 2C⁰, 8J⁰, 8O⁰</t>
        </is>
      </c>
      <c r="O6631" t="inlineStr"/>
    </row>
    <row r="6632">
      <c r="A6632">
        <f>HYPERLINK("https://mathstats.uncg.edu/sites/pauli/congruence/csg21.html#group64F21", "64F²¹")</f>
        <v/>
      </c>
      <c r="B6632" t="n">
        <v>21</v>
      </c>
      <c r="C6632" t="inlineStr"/>
      <c r="D6632" t="inlineStr">
        <is>
          <t>384</t>
        </is>
      </c>
      <c r="E6632" t="inlineStr">
        <is>
          <t>1</t>
        </is>
      </c>
      <c r="F6632" t="inlineStr">
        <is>
          <t>12</t>
        </is>
      </c>
      <c r="G6632" t="inlineStr">
        <is>
          <t>0</t>
        </is>
      </c>
      <c r="H6632" t="inlineStr">
        <is>
          <t>0</t>
        </is>
      </c>
      <c r="I6632" t="inlineStr">
        <is>
          <t>4¹⁶, 16⁴, 64⁴</t>
        </is>
      </c>
      <c r="J6632" t="n">
        <v>24</v>
      </c>
      <c r="K6632" t="inlineStr">
        <is>
          <t>1⁴, 2², 4¹</t>
        </is>
      </c>
      <c r="L6632" t="inlineStr">
        <is>
          <t>32A⁹, 64C⁹, 64B⁹</t>
        </is>
      </c>
      <c r="M6632" t="inlineStr"/>
      <c r="N6632" t="inlineStr">
        <is>
          <t>64C⁹, 2A⁰, 4C⁰, 64B³, 16A¹, 8C⁰, 2B⁰, 4E⁰, 4G⁰, 4B⁰, 8F¹, 1A⁰, 32C³, 32A¹, 8G⁰, 16C⁰, 4D⁰, 32A⁵, 16H¹, 8A¹, 8D⁰, 16E¹, 32A⁹, 8B⁰, 8B¹, 32J³, 16H³, 64B⁵, 8H⁰, 8C¹, 4A⁰, 4F⁰, 64A³, 2C⁰, 64B⁹, 64A⁵</t>
        </is>
      </c>
      <c r="O6632" t="inlineStr"/>
    </row>
    <row r="6633">
      <c r="A6633">
        <f>HYPERLINK("https://mathstats.uncg.edu/sites/pauli/congruence/csg21.html#group64G21", "64G²¹")</f>
        <v/>
      </c>
      <c r="B6633" t="n">
        <v>21</v>
      </c>
      <c r="C6633" t="inlineStr"/>
      <c r="D6633" t="inlineStr">
        <is>
          <t>384</t>
        </is>
      </c>
      <c r="E6633" t="inlineStr">
        <is>
          <t>1</t>
        </is>
      </c>
      <c r="F6633" t="inlineStr">
        <is>
          <t>12</t>
        </is>
      </c>
      <c r="G6633" t="inlineStr">
        <is>
          <t>32</t>
        </is>
      </c>
      <c r="H6633" t="inlineStr">
        <is>
          <t>0</t>
        </is>
      </c>
      <c r="I6633" t="inlineStr">
        <is>
          <t>32⁴, 64⁴</t>
        </is>
      </c>
      <c r="J6633" t="n">
        <v>8</v>
      </c>
      <c r="K6633" t="inlineStr">
        <is>
          <t>2², 4²</t>
        </is>
      </c>
      <c r="L6633" t="inlineStr">
        <is>
          <t>32F⁹, 64F⁹</t>
        </is>
      </c>
      <c r="M6633" t="inlineStr"/>
      <c r="N6633" t="inlineStr">
        <is>
          <t>32E⁵, 32F⁹, 8D⁰, 4C⁰, 8B⁰, 8A⁰, 64F⁹, 16B¹, 2B⁰, 32L³, 1A⁰, 8K⁰, 8D¹, 8H¹, 16B⁰, 8H⁰, 16K³, 4A⁰, 32B¹, 4F⁰, 16F¹, 16H¹</t>
        </is>
      </c>
      <c r="O6633" t="inlineStr"/>
    </row>
    <row r="6634">
      <c r="A6634">
        <f>HYPERLINK("https://mathstats.uncg.edu/sites/pauli/congruence/csg21.html#group64H21", "64H²¹")</f>
        <v/>
      </c>
      <c r="B6634" t="n">
        <v>21</v>
      </c>
      <c r="C6634" t="inlineStr"/>
      <c r="D6634" t="inlineStr">
        <is>
          <t>384</t>
        </is>
      </c>
      <c r="E6634" t="inlineStr">
        <is>
          <t>1</t>
        </is>
      </c>
      <c r="F6634" t="inlineStr">
        <is>
          <t>12</t>
        </is>
      </c>
      <c r="G6634" t="inlineStr">
        <is>
          <t>32</t>
        </is>
      </c>
      <c r="H6634" t="inlineStr">
        <is>
          <t>0</t>
        </is>
      </c>
      <c r="I6634" t="inlineStr">
        <is>
          <t>32⁴, 64⁴</t>
        </is>
      </c>
      <c r="J6634" t="n">
        <v>8</v>
      </c>
      <c r="K6634" t="inlineStr">
        <is>
          <t>1², 2¹, 4²</t>
        </is>
      </c>
      <c r="L6634" t="inlineStr">
        <is>
          <t>32G⁹, 64F⁹</t>
        </is>
      </c>
      <c r="M6634" t="inlineStr"/>
      <c r="N6634" t="inlineStr">
        <is>
          <t>32F⁵, 16I¹, 8D⁰, 4C⁰, 8B⁰, 64F⁹, 16B¹, 2B⁰, 32G⁹, 1A⁰, 16B⁰, 8H⁰, 16E⁰, 8F⁰, 16L³, 4A⁰, 8I¹, 16C¹, 32B¹, 4F⁰, 16F¹, 32L³</t>
        </is>
      </c>
      <c r="O6634" t="inlineStr"/>
    </row>
    <row r="6635">
      <c r="A6635">
        <f>HYPERLINK("https://mathstats.uncg.edu/sites/pauli/congruence/csg21.html#group64I21", "64I²¹")</f>
        <v/>
      </c>
      <c r="B6635" t="n">
        <v>21</v>
      </c>
      <c r="C6635" t="inlineStr"/>
      <c r="D6635" t="inlineStr">
        <is>
          <t>384</t>
        </is>
      </c>
      <c r="E6635" t="inlineStr">
        <is>
          <t>1</t>
        </is>
      </c>
      <c r="F6635" t="inlineStr">
        <is>
          <t>12</t>
        </is>
      </c>
      <c r="G6635" t="inlineStr">
        <is>
          <t>32</t>
        </is>
      </c>
      <c r="H6635" t="inlineStr">
        <is>
          <t>0</t>
        </is>
      </c>
      <c r="I6635" t="inlineStr">
        <is>
          <t>32⁴, 64⁴</t>
        </is>
      </c>
      <c r="J6635" t="n">
        <v>8</v>
      </c>
      <c r="K6635" t="inlineStr">
        <is>
          <t>2⁶</t>
        </is>
      </c>
      <c r="L6635" t="inlineStr">
        <is>
          <t>32H⁹, 64F⁹, 64I⁹</t>
        </is>
      </c>
      <c r="M6635" t="inlineStr"/>
      <c r="N6635" t="inlineStr">
        <is>
          <t>32L⁵, 32H⁹, 64I⁹, 8D⁰, 4C⁰, 16M³, 8B⁰, 64F⁹, 8L⁰, 2B⁰, 16B¹, 32G⁵, 16J¹, 1A⁰, 16E², 32N³, 16B⁰, 8H⁰, 16D¹, 16F², 4A⁰, 32D³, 32B¹, 4F⁰, 16F¹, 8P⁰, 32L³</t>
        </is>
      </c>
      <c r="O6635" t="inlineStr"/>
    </row>
    <row r="6636">
      <c r="A6636">
        <f>HYPERLINK("https://mathstats.uncg.edu/sites/pauli/congruence/csg21.html#group64J21", "64J²¹")</f>
        <v/>
      </c>
      <c r="B6636" t="n">
        <v>21</v>
      </c>
      <c r="C6636" t="inlineStr"/>
      <c r="D6636" t="inlineStr">
        <is>
          <t>384</t>
        </is>
      </c>
      <c r="E6636" t="inlineStr">
        <is>
          <t>1</t>
        </is>
      </c>
      <c r="F6636" t="inlineStr">
        <is>
          <t>24</t>
        </is>
      </c>
      <c r="G6636" t="inlineStr">
        <is>
          <t>0</t>
        </is>
      </c>
      <c r="H6636" t="inlineStr">
        <is>
          <t>0</t>
        </is>
      </c>
      <c r="I6636" t="inlineStr">
        <is>
          <t>4¹⁶, 16⁴, 64⁴</t>
        </is>
      </c>
      <c r="J6636" t="n">
        <v>24</v>
      </c>
      <c r="K6636" t="inlineStr">
        <is>
          <t>1⁴, 2², 4², 8¹</t>
        </is>
      </c>
      <c r="L6636" t="inlineStr">
        <is>
          <t>32M⁷, 64D⁹, 64B¹¹</t>
        </is>
      </c>
      <c r="M6636" t="inlineStr"/>
      <c r="N6636" t="inlineStr">
        <is>
          <t>64D⁹, 32C², 32M³, 64B¹¹, 8C⁰, 32M⁷, 2B⁰, 8I⁰, 4B⁰, 1A⁰, 64A⁶, 16J², 16H⁰, 64B⁵, 32A¹, 16C⁰, 16D⁰, 32A², 64A³</t>
        </is>
      </c>
      <c r="O6636" t="inlineStr"/>
    </row>
    <row r="6637">
      <c r="A6637">
        <f>HYPERLINK("https://mathstats.uncg.edu/sites/pauli/congruence/csg21.html#group64K21", "64K²¹")</f>
        <v/>
      </c>
      <c r="B6637" t="n">
        <v>21</v>
      </c>
      <c r="C6637" t="inlineStr"/>
      <c r="D6637" t="inlineStr">
        <is>
          <t>384</t>
        </is>
      </c>
      <c r="E6637" t="inlineStr">
        <is>
          <t>1</t>
        </is>
      </c>
      <c r="F6637" t="inlineStr">
        <is>
          <t>24</t>
        </is>
      </c>
      <c r="G6637" t="inlineStr">
        <is>
          <t>0</t>
        </is>
      </c>
      <c r="H6637" t="inlineStr">
        <is>
          <t>0</t>
        </is>
      </c>
      <c r="I6637" t="inlineStr">
        <is>
          <t>4¹⁶, 16⁴, 64⁴</t>
        </is>
      </c>
      <c r="J6637" t="n">
        <v>24</v>
      </c>
      <c r="K6637" t="inlineStr">
        <is>
          <t>1⁴, 2², 4², 8¹</t>
        </is>
      </c>
      <c r="L6637" t="inlineStr">
        <is>
          <t>32M⁷, 64E⁹, 64B¹¹</t>
        </is>
      </c>
      <c r="M6637" t="inlineStr"/>
      <c r="N6637" t="inlineStr">
        <is>
          <t>32C², 32M³, 64B¹¹, 64B³, 8C⁰, 32M⁷, 2B⁰, 8I⁰, 4B⁰, 1A⁰, 64A⁶, 16J², 16H⁰, 32A¹, 64E⁹, 16C⁰, 16D⁰, 32A², 64A⁵</t>
        </is>
      </c>
      <c r="O6637" t="inlineStr"/>
    </row>
    <row r="6638">
      <c r="A6638">
        <f>HYPERLINK("https://mathstats.uncg.edu/sites/pauli/congruence/csg21.html#group64L21", "64L²¹")</f>
        <v/>
      </c>
      <c r="B6638" t="n">
        <v>21</v>
      </c>
      <c r="C6638" t="inlineStr"/>
      <c r="D6638" t="inlineStr">
        <is>
          <t>384</t>
        </is>
      </c>
      <c r="E6638" t="inlineStr">
        <is>
          <t>1</t>
        </is>
      </c>
      <c r="F6638" t="inlineStr">
        <is>
          <t>24</t>
        </is>
      </c>
      <c r="G6638" t="inlineStr">
        <is>
          <t>32</t>
        </is>
      </c>
      <c r="H6638" t="inlineStr">
        <is>
          <t>0</t>
        </is>
      </c>
      <c r="I6638" t="inlineStr">
        <is>
          <t>32⁴, 64⁴</t>
        </is>
      </c>
      <c r="J6638" t="n">
        <v>8</v>
      </c>
      <c r="K6638" t="inlineStr">
        <is>
          <t>2⁸, 8¹</t>
        </is>
      </c>
      <c r="L6638" t="inlineStr">
        <is>
          <t>32O⁹, 64I⁹</t>
        </is>
      </c>
      <c r="M6638" t="inlineStr"/>
      <c r="N6638" t="inlineStr">
        <is>
          <t>32K⁵, 64I⁹, 4C⁰, 8B⁰, 8L⁰, 2B⁰, 32G³, 32O⁹, 16J¹, 1A⁰, 32N³, 16B⁰, 16D¹, 32B¹, 16R³, 32H³</t>
        </is>
      </c>
      <c r="O6638" t="inlineStr"/>
    </row>
    <row r="6639">
      <c r="A6639">
        <f>HYPERLINK("https://mathstats.uncg.edu/sites/pauli/congruence/csg21.html#group64M21", "64M²¹")</f>
        <v/>
      </c>
      <c r="B6639" t="n">
        <v>21</v>
      </c>
      <c r="C6639" t="inlineStr"/>
      <c r="D6639" t="inlineStr">
        <is>
          <t>384</t>
        </is>
      </c>
      <c r="E6639" t="inlineStr">
        <is>
          <t>1</t>
        </is>
      </c>
      <c r="F6639" t="inlineStr">
        <is>
          <t>24</t>
        </is>
      </c>
      <c r="G6639" t="inlineStr">
        <is>
          <t>32</t>
        </is>
      </c>
      <c r="H6639" t="inlineStr">
        <is>
          <t>0</t>
        </is>
      </c>
      <c r="I6639" t="inlineStr">
        <is>
          <t>32⁴, 64⁴</t>
        </is>
      </c>
      <c r="J6639" t="n">
        <v>8</v>
      </c>
      <c r="K6639" t="inlineStr">
        <is>
          <t>2⁸, 8¹</t>
        </is>
      </c>
      <c r="L6639" t="inlineStr">
        <is>
          <t>32P⁹, 64I⁹</t>
        </is>
      </c>
      <c r="M6639" t="inlineStr"/>
      <c r="N6639" t="inlineStr">
        <is>
          <t>32J⁵, 64I⁹, 4C⁰, 8B⁰, 16S³, 8L⁰, 2B⁰, 32F³, 16J¹, 1A⁰, 32N³, 16B⁰, 32P⁹, 16D¹, 32E³, 32B¹</t>
        </is>
      </c>
      <c r="O6639" t="inlineStr"/>
    </row>
    <row r="6640">
      <c r="A6640">
        <f>HYPERLINK("https://mathstats.uncg.edu/sites/pauli/congruence/csg21.html#group64N21", "64N²¹")</f>
        <v/>
      </c>
      <c r="B6640" t="n">
        <v>21</v>
      </c>
      <c r="C6640" t="inlineStr"/>
      <c r="D6640" t="inlineStr">
        <is>
          <t>384</t>
        </is>
      </c>
      <c r="E6640" t="inlineStr">
        <is>
          <t>1</t>
        </is>
      </c>
      <c r="F6640" t="inlineStr">
        <is>
          <t>48</t>
        </is>
      </c>
      <c r="G6640" t="inlineStr">
        <is>
          <t>0</t>
        </is>
      </c>
      <c r="H6640" t="inlineStr">
        <is>
          <t>0</t>
        </is>
      </c>
      <c r="I6640" t="inlineStr">
        <is>
          <t>4⁸, 8¹², 64⁴</t>
        </is>
      </c>
      <c r="J6640" t="n">
        <v>24</v>
      </c>
      <c r="K6640" t="inlineStr">
        <is>
          <t>1⁴, 2², 4², 8², 16¹</t>
        </is>
      </c>
      <c r="L6640" t="inlineStr">
        <is>
          <t>32I⁹</t>
        </is>
      </c>
      <c r="M6640" t="inlineStr"/>
      <c r="N6640" t="inlineStr">
        <is>
          <t>16N³, 32C⁵, 16G¹, 32O³, 16D⁰, 32A³, 16A¹, 8C⁰, 2B⁰, 8I⁰, 1A⁰, 4B⁰, 32I⁹, 32C³</t>
        </is>
      </c>
      <c r="O6640" t="inlineStr"/>
    </row>
    <row r="6641">
      <c r="A6641">
        <f>HYPERLINK("https://mathstats.uncg.edu/sites/pauli/congruence/csg21.html#group64O21", "64O²¹")</f>
        <v/>
      </c>
      <c r="B6641" t="n">
        <v>21</v>
      </c>
      <c r="C6641" t="inlineStr"/>
      <c r="D6641" t="inlineStr">
        <is>
          <t>384</t>
        </is>
      </c>
      <c r="E6641" t="inlineStr">
        <is>
          <t>1</t>
        </is>
      </c>
      <c r="F6641" t="inlineStr">
        <is>
          <t>48</t>
        </is>
      </c>
      <c r="G6641" t="inlineStr">
        <is>
          <t>0</t>
        </is>
      </c>
      <c r="H6641" t="inlineStr">
        <is>
          <t>0</t>
        </is>
      </c>
      <c r="I6641" t="inlineStr">
        <is>
          <t>4⁸, 8¹², 64⁴</t>
        </is>
      </c>
      <c r="J6641" t="n">
        <v>24</v>
      </c>
      <c r="K6641" t="inlineStr">
        <is>
          <t>1⁴, 2², 4², 8², 16¹</t>
        </is>
      </c>
      <c r="L6641" t="inlineStr">
        <is>
          <t>32J⁹</t>
        </is>
      </c>
      <c r="M6641" t="inlineStr"/>
      <c r="N6641" t="inlineStr">
        <is>
          <t>16N³, 16G¹, 32O³, 32J⁹, 16D⁰, 32D⁵, 16A¹, 8C⁰, 2B⁰, 8I⁰, 4B⁰, 1A⁰, 32C³, 32B³</t>
        </is>
      </c>
      <c r="O6641" t="inlineStr"/>
    </row>
    <row r="6642">
      <c r="A6642">
        <f>HYPERLINK("https://mathstats.uncg.edu/sites/pauli/congruence/csg21.html#group64P21", "64P²¹")</f>
        <v/>
      </c>
      <c r="B6642" t="n">
        <v>21</v>
      </c>
      <c r="C6642" t="inlineStr"/>
      <c r="D6642" t="inlineStr">
        <is>
          <t>384</t>
        </is>
      </c>
      <c r="E6642" t="inlineStr">
        <is>
          <t>1</t>
        </is>
      </c>
      <c r="F6642" t="inlineStr">
        <is>
          <t>96</t>
        </is>
      </c>
      <c r="G6642" t="inlineStr">
        <is>
          <t>8</t>
        </is>
      </c>
      <c r="H6642" t="inlineStr">
        <is>
          <t>0</t>
        </is>
      </c>
      <c r="I6642" t="inlineStr">
        <is>
          <t>8¹⁶, 64⁴</t>
        </is>
      </c>
      <c r="J6642" t="n">
        <v>20</v>
      </c>
      <c r="K6642" t="inlineStr">
        <is>
          <t>2⁴, 4², 8², 16⁴</t>
        </is>
      </c>
      <c r="L6642" t="inlineStr">
        <is>
          <t>32N⁹</t>
        </is>
      </c>
      <c r="M6642" t="inlineStr"/>
      <c r="N6642" t="inlineStr">
        <is>
          <t>32I⁵, 16I¹, 8D⁰, 4C⁰, 8B⁰, 16B¹, 32D¹, 2B⁰, 1A⁰, 32Q³, 8H⁰, 16B⁰, 16E⁰, 8F⁰, 16L³, 32C¹, 4A⁰, 8I¹, 16C¹, 4F⁰, 16F¹, 32N⁹</t>
        </is>
      </c>
      <c r="O6642" t="inlineStr"/>
    </row>
    <row r="6643">
      <c r="A6643">
        <f>HYPERLINK("https://mathstats.uncg.edu/sites/pauli/congruence/csg21.html#group64Q21", "64Q²¹")</f>
        <v/>
      </c>
      <c r="B6643" t="n">
        <v>21</v>
      </c>
      <c r="C6643" t="inlineStr"/>
      <c r="D6643" t="inlineStr">
        <is>
          <t>384</t>
        </is>
      </c>
      <c r="E6643" t="inlineStr">
        <is>
          <t>1</t>
        </is>
      </c>
      <c r="F6643" t="inlineStr">
        <is>
          <t>96</t>
        </is>
      </c>
      <c r="G6643" t="inlineStr">
        <is>
          <t>8</t>
        </is>
      </c>
      <c r="H6643" t="inlineStr">
        <is>
          <t>0</t>
        </is>
      </c>
      <c r="I6643" t="inlineStr">
        <is>
          <t>8¹⁶, 64⁴</t>
        </is>
      </c>
      <c r="J6643" t="n">
        <v>20</v>
      </c>
      <c r="K6643" t="inlineStr">
        <is>
          <t>1², 2⁵, 4¹, 8², 16⁴</t>
        </is>
      </c>
      <c r="L6643" t="inlineStr">
        <is>
          <t>32M⁹, 64G⁹, 64H⁹</t>
        </is>
      </c>
      <c r="M6643" t="inlineStr"/>
      <c r="N6643" t="inlineStr">
        <is>
          <t>64G⁹, 16I¹, 32M⁹, 8D⁰, 4C⁰, 8B⁰, 32H⁵, 16B¹, 2B⁰, 32I³, 1A⁰, 8H⁰, 16B⁰, 16E⁰, 8F⁰, 16L³, 4A⁰, 8I¹, 16C¹, 4F⁰, 16F¹, 64H⁹, 32P³</t>
        </is>
      </c>
      <c r="O6643" t="inlineStr"/>
    </row>
    <row r="6644">
      <c r="A6644">
        <f>HYPERLINK("https://mathstats.uncg.edu/sites/pauli/congruence/csg21.html#group65A21", "65A²¹")</f>
        <v/>
      </c>
      <c r="B6644" t="n">
        <v>21</v>
      </c>
      <c r="C6644" t="inlineStr"/>
      <c r="D6644" t="inlineStr">
        <is>
          <t>336</t>
        </is>
      </c>
      <c r="E6644" t="inlineStr">
        <is>
          <t>1</t>
        </is>
      </c>
      <c r="F6644" t="inlineStr">
        <is>
          <t>84</t>
        </is>
      </c>
      <c r="G6644" t="inlineStr">
        <is>
          <t>0</t>
        </is>
      </c>
      <c r="H6644" t="inlineStr">
        <is>
          <t>0</t>
        </is>
      </c>
      <c r="I6644" t="inlineStr">
        <is>
          <t>1⁴, 5⁴, 13⁴, 65⁴</t>
        </is>
      </c>
      <c r="J6644" t="n">
        <v>16</v>
      </c>
      <c r="K6644" t="inlineStr">
        <is>
          <t>1⁴, 4², 12², 48¹</t>
        </is>
      </c>
      <c r="L6644" t="inlineStr">
        <is>
          <t>65B⁹, 65A¹¹, 65B¹¹</t>
        </is>
      </c>
      <c r="M6644" t="inlineStr"/>
      <c r="N6644" t="inlineStr">
        <is>
          <t>65B¹¹, 65A¹¹, 65B⁹, 5B⁰, 13A⁰, 5D⁰, 13B⁰, 65A⁵, 1A⁰</t>
        </is>
      </c>
      <c r="O6644" t="inlineStr"/>
    </row>
    <row r="6645">
      <c r="A6645">
        <f>HYPERLINK("https://mathstats.uncg.edu/sites/pauli/congruence/csg21.html#group66A21", "66A²¹")</f>
        <v/>
      </c>
      <c r="B6645" t="n">
        <v>21</v>
      </c>
      <c r="C6645" t="inlineStr"/>
      <c r="D6645" t="inlineStr">
        <is>
          <t>264</t>
        </is>
      </c>
      <c r="E6645" t="inlineStr">
        <is>
          <t>2</t>
        </is>
      </c>
      <c r="F6645" t="inlineStr">
        <is>
          <t>11</t>
        </is>
      </c>
      <c r="G6645" t="inlineStr">
        <is>
          <t>0</t>
        </is>
      </c>
      <c r="H6645" t="inlineStr">
        <is>
          <t>0</t>
        </is>
      </c>
      <c r="I6645" t="inlineStr">
        <is>
          <t>66⁴</t>
        </is>
      </c>
      <c r="J6645" t="n">
        <v>4</v>
      </c>
      <c r="K6645" t="inlineStr">
        <is>
          <t>2¹, 10²</t>
        </is>
      </c>
      <c r="L6645" t="inlineStr">
        <is>
          <t>6D¹, 66E⁶, 66B⁸, 33A¹⁰, 66A¹¹</t>
        </is>
      </c>
      <c r="M6645" t="inlineStr"/>
      <c r="N6645" t="inlineStr">
        <is>
          <t>3B⁰, 2A⁰, 6B⁰, 22A¹, 33B³, 33A¹, 6C⁰, 66B⁸, 66E⁶, 1A⁰, 33A⁴, 11A⁰, 6D¹, 6E⁰, 6B¹, 66A³, 66A¹¹, 33A¹⁰, 3C⁰, 6A¹, 3A⁰, 3D⁰, 66A⁶</t>
        </is>
      </c>
      <c r="O6645" t="inlineStr"/>
    </row>
    <row r="6646">
      <c r="A6646">
        <f>HYPERLINK("https://mathstats.uncg.edu/sites/pauli/congruence/csg21.html#group66B21", "66B²¹")</f>
        <v/>
      </c>
      <c r="B6646" t="n">
        <v>21</v>
      </c>
      <c r="C6646" t="inlineStr"/>
      <c r="D6646" t="inlineStr">
        <is>
          <t>288</t>
        </is>
      </c>
      <c r="E6646" t="inlineStr">
        <is>
          <t>1</t>
        </is>
      </c>
      <c r="F6646" t="inlineStr">
        <is>
          <t>12</t>
        </is>
      </c>
      <c r="G6646" t="inlineStr">
        <is>
          <t>0</t>
        </is>
      </c>
      <c r="H6646" t="inlineStr">
        <is>
          <t>0</t>
        </is>
      </c>
      <c r="I6646" t="inlineStr">
        <is>
          <t>6⁴, 66⁴</t>
        </is>
      </c>
      <c r="J6646" t="n">
        <v>8</v>
      </c>
      <c r="K6646" t="inlineStr">
        <is>
          <t>1², 10¹</t>
        </is>
      </c>
      <c r="L6646" t="inlineStr">
        <is>
          <t>66A⁷, 33A⁹</t>
        </is>
      </c>
      <c r="M6646" t="inlineStr"/>
      <c r="N6646" t="inlineStr">
        <is>
          <t>3B⁰, 11A¹, 33A⁵, 3C⁰, 33A⁹, 3A⁰, 33A³, 1A⁰, 66A⁷, 3D⁰, 33C³</t>
        </is>
      </c>
      <c r="O6646" t="inlineStr"/>
    </row>
    <row r="6647">
      <c r="A6647">
        <f>HYPERLINK("https://mathstats.uncg.edu/sites/pauli/congruence/csg21.html#group66C21", "66C²¹")</f>
        <v/>
      </c>
      <c r="B6647" t="n">
        <v>21</v>
      </c>
      <c r="C6647" t="inlineStr"/>
      <c r="D6647" t="inlineStr">
        <is>
          <t>288</t>
        </is>
      </c>
      <c r="E6647" t="inlineStr">
        <is>
          <t>1</t>
        </is>
      </c>
      <c r="F6647" t="inlineStr">
        <is>
          <t>12</t>
        </is>
      </c>
      <c r="G6647" t="inlineStr">
        <is>
          <t>0</t>
        </is>
      </c>
      <c r="H6647" t="inlineStr">
        <is>
          <t>0</t>
        </is>
      </c>
      <c r="I6647" t="inlineStr">
        <is>
          <t>6⁴, 66⁴</t>
        </is>
      </c>
      <c r="J6647" t="n">
        <v>8</v>
      </c>
      <c r="K6647" t="inlineStr">
        <is>
          <t>1², 10¹</t>
        </is>
      </c>
      <c r="L6647" t="inlineStr">
        <is>
          <t>6D¹, 66B⁷, 33A⁹, 66B¹¹, 66C¹¹</t>
        </is>
      </c>
      <c r="M6647" t="inlineStr"/>
      <c r="N6647" t="inlineStr">
        <is>
          <t>3B⁰, 2A⁰, 6B⁰, 66D⁶, 66B¹¹, 6C⁰, 33A³, 1A⁰, 6D¹, 6E⁰, 6B¹, 11A¹, 22A², 33A⁵, 3C⁰, 66B⁶, 66C¹¹, 33A⁹, 6A¹, 3A⁰, 3D⁰, 66B⁷, 33C³</t>
        </is>
      </c>
      <c r="O6647" t="inlineStr"/>
    </row>
    <row r="6648">
      <c r="A6648">
        <f>HYPERLINK("https://mathstats.uncg.edu/sites/pauli/congruence/csg21.html#group66D21", "66D²¹")</f>
        <v/>
      </c>
      <c r="B6648" t="n">
        <v>21</v>
      </c>
      <c r="C6648" t="inlineStr"/>
      <c r="D6648" t="inlineStr">
        <is>
          <t>288</t>
        </is>
      </c>
      <c r="E6648" t="inlineStr">
        <is>
          <t>1</t>
        </is>
      </c>
      <c r="F6648" t="inlineStr">
        <is>
          <t>96</t>
        </is>
      </c>
      <c r="G6648" t="inlineStr">
        <is>
          <t>0</t>
        </is>
      </c>
      <c r="H6648" t="inlineStr">
        <is>
          <t>0</t>
        </is>
      </c>
      <c r="I6648" t="inlineStr">
        <is>
          <t>6⁴, 66⁴</t>
        </is>
      </c>
      <c r="J6648" t="n">
        <v>8</v>
      </c>
      <c r="K6648" t="inlineStr">
        <is>
          <t>2⁸, 20⁴</t>
        </is>
      </c>
      <c r="L6648" t="inlineStr">
        <is>
          <t>6J⁰, 66C⁶, 66B⁷</t>
        </is>
      </c>
      <c r="M6648" t="inlineStr"/>
      <c r="N6648" t="inlineStr">
        <is>
          <t>3B⁰, 2A⁰, 6A⁰, 11A¹, 22A², 6C⁰, 6J⁰, 66C⁶, 1A⁰, 66B⁷, 33C³</t>
        </is>
      </c>
      <c r="O6648" t="inlineStr"/>
    </row>
    <row r="6649">
      <c r="A6649">
        <f>HYPERLINK("https://mathstats.uncg.edu/sites/pauli/congruence/csg21.html#group66E21", "66E²¹")</f>
        <v/>
      </c>
      <c r="B6649" t="n">
        <v>21</v>
      </c>
      <c r="C6649" t="inlineStr"/>
      <c r="D6649" t="inlineStr">
        <is>
          <t>330</t>
        </is>
      </c>
      <c r="E6649" t="inlineStr">
        <is>
          <t>2</t>
        </is>
      </c>
      <c r="F6649" t="inlineStr">
        <is>
          <t>165</t>
        </is>
      </c>
      <c r="G6649" t="inlineStr">
        <is>
          <t>20</t>
        </is>
      </c>
      <c r="H6649" t="inlineStr">
        <is>
          <t>0</t>
        </is>
      </c>
      <c r="I6649" t="inlineStr">
        <is>
          <t>66⁵</t>
        </is>
      </c>
      <c r="J6649" t="n">
        <v>5</v>
      </c>
      <c r="K6649" t="inlineStr">
        <is>
          <t>10¹¹, 20¹¹</t>
        </is>
      </c>
      <c r="L6649" t="inlineStr">
        <is>
          <t>33A⁷</t>
        </is>
      </c>
      <c r="M6649" t="inlineStr"/>
      <c r="N6649" t="inlineStr">
        <is>
          <t>3A⁰, 11C¹, 33A⁷, 1A⁰</t>
        </is>
      </c>
      <c r="O6649" t="inlineStr"/>
    </row>
    <row r="6650">
      <c r="A6650">
        <f>HYPERLINK("https://mathstats.uncg.edu/sites/pauli/congruence/csg21.html#group68A21", "68A²¹")</f>
        <v/>
      </c>
      <c r="B6650" t="n">
        <v>21</v>
      </c>
      <c r="C6650" t="inlineStr"/>
      <c r="D6650" t="inlineStr">
        <is>
          <t>288</t>
        </is>
      </c>
      <c r="E6650" t="inlineStr">
        <is>
          <t>1</t>
        </is>
      </c>
      <c r="F6650" t="inlineStr">
        <is>
          <t>72</t>
        </is>
      </c>
      <c r="G6650" t="inlineStr">
        <is>
          <t>0</t>
        </is>
      </c>
      <c r="H6650" t="inlineStr">
        <is>
          <t>0</t>
        </is>
      </c>
      <c r="I6650" t="inlineStr">
        <is>
          <t>4⁴, 68⁴</t>
        </is>
      </c>
      <c r="J6650" t="n">
        <v>8</v>
      </c>
      <c r="K6650" t="inlineStr">
        <is>
          <t>2⁴, 32²</t>
        </is>
      </c>
      <c r="L6650" t="inlineStr">
        <is>
          <t>34A⁵, 68A⁹</t>
        </is>
      </c>
      <c r="M6650" t="inlineStr"/>
      <c r="N6650" t="inlineStr">
        <is>
          <t>68A⁵, 17A¹, 1A⁰, 4A⁰, 68A⁹, 34A⁵, 17B¹</t>
        </is>
      </c>
      <c r="O6650" t="inlineStr"/>
    </row>
    <row r="6651">
      <c r="A6651">
        <f>HYPERLINK("https://mathstats.uncg.edu/sites/pauli/congruence/csg21.html#group68B21", "68B²¹")</f>
        <v/>
      </c>
      <c r="B6651" t="n">
        <v>21</v>
      </c>
      <c r="C6651" t="inlineStr"/>
      <c r="D6651" t="inlineStr">
        <is>
          <t>288</t>
        </is>
      </c>
      <c r="E6651" t="inlineStr">
        <is>
          <t>1</t>
        </is>
      </c>
      <c r="F6651" t="inlineStr">
        <is>
          <t>72</t>
        </is>
      </c>
      <c r="G6651" t="inlineStr">
        <is>
          <t>0</t>
        </is>
      </c>
      <c r="H6651" t="inlineStr">
        <is>
          <t>0</t>
        </is>
      </c>
      <c r="I6651" t="inlineStr">
        <is>
          <t>4⁴, 68⁴</t>
        </is>
      </c>
      <c r="J6651" t="n">
        <v>8</v>
      </c>
      <c r="K6651" t="inlineStr">
        <is>
          <t>2⁴, 32²</t>
        </is>
      </c>
      <c r="L6651" t="inlineStr">
        <is>
          <t>34B⁵, 68A⁹, 68A¹¹, 68B¹¹</t>
        </is>
      </c>
      <c r="M6651" t="inlineStr"/>
      <c r="N6651" t="inlineStr">
        <is>
          <t>2A⁰, 4A⁰, 4D⁰, 17B¹, 68A⁵, 34B⁵, 68A¹¹, 17A¹, 1A⁰, 34B³, 68A⁹, 68B¹¹, 34A³</t>
        </is>
      </c>
      <c r="O6651" t="inlineStr"/>
    </row>
    <row r="6652">
      <c r="A6652">
        <f>HYPERLINK("https://mathstats.uncg.edu/sites/pauli/congruence/csg21.html#group68C21", "68C²¹")</f>
        <v/>
      </c>
      <c r="B6652" t="n">
        <v>21</v>
      </c>
      <c r="C6652" t="inlineStr"/>
      <c r="D6652" t="inlineStr">
        <is>
          <t>432</t>
        </is>
      </c>
      <c r="E6652" t="inlineStr">
        <is>
          <t>1</t>
        </is>
      </c>
      <c r="F6652" t="inlineStr">
        <is>
          <t>54</t>
        </is>
      </c>
      <c r="G6652" t="inlineStr">
        <is>
          <t>16</t>
        </is>
      </c>
      <c r="H6652" t="inlineStr">
        <is>
          <t>0</t>
        </is>
      </c>
      <c r="I6652" t="inlineStr">
        <is>
          <t>1⁸, 4⁴, 17⁸, 68⁴</t>
        </is>
      </c>
      <c r="J6652" t="n">
        <v>24</v>
      </c>
      <c r="K6652" t="inlineStr">
        <is>
          <t>1⁶, 16³</t>
        </is>
      </c>
      <c r="L6652" t="inlineStr">
        <is>
          <t>34B⁹</t>
        </is>
      </c>
      <c r="M6652" t="inlineStr"/>
      <c r="N6652" t="inlineStr">
        <is>
          <t>34C³, 17B¹, 34C⁵, 34B⁹, 17C¹, 17A¹, 2B⁰, 1A⁰</t>
        </is>
      </c>
      <c r="O6652" t="inlineStr"/>
    </row>
    <row r="6653">
      <c r="A6653">
        <f>HYPERLINK("https://mathstats.uncg.edu/sites/pauli/congruence/csg21.html#group69A21", "69A²¹")</f>
        <v/>
      </c>
      <c r="B6653" t="n">
        <v>21</v>
      </c>
      <c r="C6653" t="inlineStr"/>
      <c r="D6653" t="inlineStr">
        <is>
          <t>288</t>
        </is>
      </c>
      <c r="E6653" t="inlineStr">
        <is>
          <t>1</t>
        </is>
      </c>
      <c r="F6653" t="inlineStr">
        <is>
          <t>24</t>
        </is>
      </c>
      <c r="G6653" t="inlineStr">
        <is>
          <t>0</t>
        </is>
      </c>
      <c r="H6653" t="inlineStr">
        <is>
          <t>0</t>
        </is>
      </c>
      <c r="I6653" t="inlineStr">
        <is>
          <t>3⁴, 69⁴</t>
        </is>
      </c>
      <c r="J6653" t="n">
        <v>8</v>
      </c>
      <c r="K6653" t="inlineStr">
        <is>
          <t>1², 22¹</t>
        </is>
      </c>
      <c r="L6653" t="inlineStr">
        <is>
          <t>3D⁰, 69A⁷, 69A¹¹</t>
        </is>
      </c>
      <c r="M6653" t="inlineStr"/>
      <c r="N6653" t="inlineStr">
        <is>
          <t>3B⁰, 69A⁶, 69A⁷, 3C⁰, 23A², 3A⁰, 1A⁰, 69A¹¹, 3D⁰</t>
        </is>
      </c>
      <c r="O6653" t="inlineStr"/>
    </row>
    <row r="6654">
      <c r="A6654">
        <f>HYPERLINK("https://mathstats.uncg.edu/sites/pauli/congruence/csg21.html#group70A21", "70A²¹")</f>
        <v/>
      </c>
      <c r="B6654" t="n">
        <v>21</v>
      </c>
      <c r="C6654" t="inlineStr"/>
      <c r="D6654" t="inlineStr">
        <is>
          <t>280</t>
        </is>
      </c>
      <c r="E6654" t="inlineStr">
        <is>
          <t>1</t>
        </is>
      </c>
      <c r="F6654" t="inlineStr">
        <is>
          <t>140</t>
        </is>
      </c>
      <c r="G6654" t="inlineStr">
        <is>
          <t>0</t>
        </is>
      </c>
      <c r="H6654" t="inlineStr">
        <is>
          <t>4</t>
        </is>
      </c>
      <c r="I6654" t="inlineStr">
        <is>
          <t>70⁴</t>
        </is>
      </c>
      <c r="J6654" t="n">
        <v>4</v>
      </c>
      <c r="K6654" t="inlineStr">
        <is>
          <t>1¹, 3¹, 4¹, 6⁴, 12¹, 24⁴</t>
        </is>
      </c>
      <c r="L6654" t="inlineStr">
        <is>
          <t>14C³, 70A⁵, 35A⁹</t>
        </is>
      </c>
      <c r="M6654" t="inlineStr"/>
      <c r="N6654" t="inlineStr">
        <is>
          <t>2A⁰, 5A⁰, 35A⁹, 10A⁰, 14C³, 70A⁵, 7F⁰, 14A¹, 1A⁰, 35A², 7A⁰</t>
        </is>
      </c>
      <c r="O6654" t="inlineStr"/>
    </row>
    <row r="6655">
      <c r="A6655">
        <f>HYPERLINK("https://mathstats.uncg.edu/sites/pauli/congruence/csg21.html#group70B21", "70B²¹")</f>
        <v/>
      </c>
      <c r="B6655" t="n">
        <v>21</v>
      </c>
      <c r="C6655" t="inlineStr"/>
      <c r="D6655" t="inlineStr">
        <is>
          <t>280</t>
        </is>
      </c>
      <c r="E6655" t="inlineStr">
        <is>
          <t>2</t>
        </is>
      </c>
      <c r="F6655" t="inlineStr">
        <is>
          <t>70</t>
        </is>
      </c>
      <c r="G6655" t="inlineStr">
        <is>
          <t>0</t>
        </is>
      </c>
      <c r="H6655" t="inlineStr">
        <is>
          <t>4</t>
        </is>
      </c>
      <c r="I6655" t="inlineStr">
        <is>
          <t>70⁴</t>
        </is>
      </c>
      <c r="J6655" t="n">
        <v>4</v>
      </c>
      <c r="K6655" t="inlineStr">
        <is>
          <t>4¹, 8², 12², 24⁴</t>
        </is>
      </c>
      <c r="L6655" t="inlineStr">
        <is>
          <t>35C⁸, 70A¹⁰, 70A¹¹</t>
        </is>
      </c>
      <c r="M6655" t="inlineStr"/>
      <c r="N6655" t="inlineStr">
        <is>
          <t>2A⁰, 70A¹⁰, 35B⁴, 5C⁰, 14A¹, 10C¹, 35C⁸, 70A¹¹, 1A⁰, 7A⁰</t>
        </is>
      </c>
      <c r="O6655" t="inlineStr"/>
    </row>
    <row r="6656">
      <c r="A6656">
        <f>HYPERLINK("https://mathstats.uncg.edu/sites/pauli/congruence/csg21.html#group70C21", "70C²¹")</f>
        <v/>
      </c>
      <c r="B6656" t="n">
        <v>21</v>
      </c>
      <c r="C6656" t="inlineStr"/>
      <c r="D6656" t="inlineStr">
        <is>
          <t>280</t>
        </is>
      </c>
      <c r="E6656" t="inlineStr">
        <is>
          <t>2</t>
        </is>
      </c>
      <c r="F6656" t="inlineStr">
        <is>
          <t>70</t>
        </is>
      </c>
      <c r="G6656" t="inlineStr">
        <is>
          <t>0</t>
        </is>
      </c>
      <c r="H6656" t="inlineStr">
        <is>
          <t>4</t>
        </is>
      </c>
      <c r="I6656" t="inlineStr">
        <is>
          <t>70⁴</t>
        </is>
      </c>
      <c r="J6656" t="n">
        <v>4</v>
      </c>
      <c r="K6656" t="inlineStr">
        <is>
          <t>4¹, 8², 12², 24⁴</t>
        </is>
      </c>
      <c r="L6656" t="inlineStr">
        <is>
          <t>14D¹, 35B⁹, 70C⁹, 70A¹¹</t>
        </is>
      </c>
      <c r="M6656" t="inlineStr"/>
      <c r="N6656" t="inlineStr">
        <is>
          <t>35B⁹, 2A⁰, 14A⁰, 70C⁹, 35B⁴, 5C⁰, 7C⁰, 14A¹, 1A⁰, 70A¹¹, 10C¹, 14D¹, 7A⁰</t>
        </is>
      </c>
      <c r="O6656" t="inlineStr"/>
    </row>
    <row r="6657">
      <c r="A6657">
        <f>HYPERLINK("https://mathstats.uncg.edu/sites/pauli/congruence/csg21.html#group70D21", "70D²¹")</f>
        <v/>
      </c>
      <c r="B6657" t="n">
        <v>21</v>
      </c>
      <c r="C6657" t="inlineStr"/>
      <c r="D6657" t="inlineStr">
        <is>
          <t>280</t>
        </is>
      </c>
      <c r="E6657" t="inlineStr">
        <is>
          <t>2</t>
        </is>
      </c>
      <c r="F6657" t="inlineStr">
        <is>
          <t>70</t>
        </is>
      </c>
      <c r="G6657" t="inlineStr">
        <is>
          <t>0</t>
        </is>
      </c>
      <c r="H6657" t="inlineStr">
        <is>
          <t>4</t>
        </is>
      </c>
      <c r="I6657" t="inlineStr">
        <is>
          <t>70⁴</t>
        </is>
      </c>
      <c r="J6657" t="n">
        <v>4</v>
      </c>
      <c r="K6657" t="inlineStr">
        <is>
          <t>4¹, 8², 12², 24⁴</t>
        </is>
      </c>
      <c r="L6657" t="inlineStr">
        <is>
          <t>70A⁴, 70C⁹, 35A¹⁰, 70A¹⁰</t>
        </is>
      </c>
      <c r="M6657" t="inlineStr"/>
      <c r="N6657" t="inlineStr">
        <is>
          <t>35A¹⁰, 14A⁰, 5A⁰, 70A¹⁰, 70A⁴, 70C⁹, 35B⁴, 5F⁰, 1A⁰, 5C⁰, 35A², 7A⁰</t>
        </is>
      </c>
      <c r="O6657" t="inlineStr"/>
    </row>
    <row r="6658">
      <c r="A6658">
        <f>HYPERLINK("https://mathstats.uncg.edu/sites/pauli/congruence/csg21.html#group70E21", "70E²¹")</f>
        <v/>
      </c>
      <c r="B6658" t="n">
        <v>21</v>
      </c>
      <c r="C6658" t="inlineStr"/>
      <c r="D6658" t="inlineStr">
        <is>
          <t>280</t>
        </is>
      </c>
      <c r="E6658" t="inlineStr">
        <is>
          <t>2</t>
        </is>
      </c>
      <c r="F6658" t="inlineStr">
        <is>
          <t>70</t>
        </is>
      </c>
      <c r="G6658" t="inlineStr">
        <is>
          <t>0</t>
        </is>
      </c>
      <c r="H6658" t="inlineStr">
        <is>
          <t>4</t>
        </is>
      </c>
      <c r="I6658" t="inlineStr">
        <is>
          <t>70⁴</t>
        </is>
      </c>
      <c r="J6658" t="n">
        <v>4</v>
      </c>
      <c r="K6658" t="inlineStr">
        <is>
          <t>4¹, 8², 12², 24⁴</t>
        </is>
      </c>
      <c r="L6658" t="inlineStr">
        <is>
          <t>10H¹, 70A⁵, 70C⁸, 35A¹⁰, 70A¹¹</t>
        </is>
      </c>
      <c r="M6658" t="inlineStr"/>
      <c r="N6658" t="inlineStr">
        <is>
          <t>35A¹⁰, 10H¹, 5A⁰, 2A⁰, 10D⁰, 14A¹, 5F⁰, 70A¹¹, 1A⁰, 70C⁸, 35A², 10A⁰, 35B⁴, 70A⁵, 10C¹, 5C⁰, 7A⁰</t>
        </is>
      </c>
      <c r="O6658" t="inlineStr"/>
    </row>
    <row r="6659">
      <c r="A6659">
        <f>HYPERLINK("https://mathstats.uncg.edu/sites/pauli/congruence/csg21.html#group70F21", "70F²¹")</f>
        <v/>
      </c>
      <c r="B6659" t="n">
        <v>21</v>
      </c>
      <c r="C6659" t="inlineStr"/>
      <c r="D6659" t="inlineStr">
        <is>
          <t>320</t>
        </is>
      </c>
      <c r="E6659" t="inlineStr">
        <is>
          <t>1</t>
        </is>
      </c>
      <c r="F6659" t="inlineStr">
        <is>
          <t>80</t>
        </is>
      </c>
      <c r="G6659" t="inlineStr">
        <is>
          <t>0</t>
        </is>
      </c>
      <c r="H6659" t="inlineStr">
        <is>
          <t>8</t>
        </is>
      </c>
      <c r="I6659" t="inlineStr">
        <is>
          <t>10⁴, 70⁴</t>
        </is>
      </c>
      <c r="J6659" t="n">
        <v>8</v>
      </c>
      <c r="K6659" t="inlineStr">
        <is>
          <t>2², 4⁴, 12¹, 24²</t>
        </is>
      </c>
      <c r="L6659" t="inlineStr">
        <is>
          <t>35C⁹</t>
        </is>
      </c>
      <c r="M6659" t="inlineStr"/>
      <c r="N6659" t="inlineStr">
        <is>
          <t>35C⁹, 35A⁵, 5A⁰, 7B⁰, 5F⁰, 1A⁰, 35B², 5C⁰</t>
        </is>
      </c>
      <c r="O6659" t="inlineStr"/>
    </row>
    <row r="6660">
      <c r="A6660">
        <f>HYPERLINK("https://mathstats.uncg.edu/sites/pauli/congruence/csg21.html#group70G21", "70G²¹")</f>
        <v/>
      </c>
      <c r="B6660" t="n">
        <v>21</v>
      </c>
      <c r="C6660" t="inlineStr"/>
      <c r="D6660" t="inlineStr">
        <is>
          <t>320</t>
        </is>
      </c>
      <c r="E6660" t="inlineStr">
        <is>
          <t>1</t>
        </is>
      </c>
      <c r="F6660" t="inlineStr">
        <is>
          <t>80</t>
        </is>
      </c>
      <c r="G6660" t="inlineStr">
        <is>
          <t>0</t>
        </is>
      </c>
      <c r="H6660" t="inlineStr">
        <is>
          <t>8</t>
        </is>
      </c>
      <c r="I6660" t="inlineStr">
        <is>
          <t>10⁴, 70⁴</t>
        </is>
      </c>
      <c r="J6660" t="n">
        <v>8</v>
      </c>
      <c r="K6660" t="inlineStr">
        <is>
          <t>2², 4⁴, 12¹, 24²</t>
        </is>
      </c>
      <c r="L6660" t="inlineStr">
        <is>
          <t>10H¹, 70B⁴, 35C⁹, 70B¹¹, 70C¹¹</t>
        </is>
      </c>
      <c r="M6660" t="inlineStr"/>
      <c r="N6660" t="inlineStr">
        <is>
          <t>10H¹, 2A⁰, 5A⁰, 35A⁵, 70C¹¹, 10D⁰, 5F⁰, 1A⁰, 35C⁹, 10A⁰, 70B⁴, 7B⁰, 70B¹¹, 14B⁰, 10C¹, 35B², 5C⁰</t>
        </is>
      </c>
      <c r="O6660" t="inlineStr"/>
    </row>
    <row r="6661">
      <c r="A6661">
        <f>HYPERLINK("https://mathstats.uncg.edu/sites/pauli/congruence/csg21.html#group70H21", "70H²¹")</f>
        <v/>
      </c>
      <c r="B6661" t="n">
        <v>21</v>
      </c>
      <c r="C6661" t="inlineStr"/>
      <c r="D6661" t="inlineStr">
        <is>
          <t>336</t>
        </is>
      </c>
      <c r="E6661" t="inlineStr">
        <is>
          <t>1</t>
        </is>
      </c>
      <c r="F6661" t="inlineStr">
        <is>
          <t>168</t>
        </is>
      </c>
      <c r="G6661" t="inlineStr">
        <is>
          <t>16</t>
        </is>
      </c>
      <c r="H6661" t="inlineStr">
        <is>
          <t>0</t>
        </is>
      </c>
      <c r="I6661" t="inlineStr">
        <is>
          <t>14⁴, 70⁴</t>
        </is>
      </c>
      <c r="J6661" t="n">
        <v>8</v>
      </c>
      <c r="K6661" t="inlineStr">
        <is>
          <t>1², 3², 4¹, 6⁸, 12¹, 24⁴</t>
        </is>
      </c>
      <c r="L6661" t="inlineStr">
        <is>
          <t>70C⁴, 35D⁹</t>
        </is>
      </c>
      <c r="M6661" t="inlineStr"/>
      <c r="N6661" t="inlineStr">
        <is>
          <t>35C², 70C⁴, 5B⁰, 7F⁰, 1A⁰, 35D⁹, 7A⁰, 10B⁰</t>
        </is>
      </c>
      <c r="O6661" t="inlineStr"/>
    </row>
    <row r="6662">
      <c r="A6662">
        <f>HYPERLINK("https://mathstats.uncg.edu/sites/pauli/congruence/csg21.html#group70I21", "70I²¹")</f>
        <v/>
      </c>
      <c r="B6662" t="n">
        <v>21</v>
      </c>
      <c r="C6662" t="inlineStr"/>
      <c r="D6662" t="inlineStr">
        <is>
          <t>336</t>
        </is>
      </c>
      <c r="E6662" t="inlineStr">
        <is>
          <t>1</t>
        </is>
      </c>
      <c r="F6662" t="inlineStr">
        <is>
          <t>168</t>
        </is>
      </c>
      <c r="G6662" t="inlineStr">
        <is>
          <t>16</t>
        </is>
      </c>
      <c r="H6662" t="inlineStr">
        <is>
          <t>0</t>
        </is>
      </c>
      <c r="I6662" t="inlineStr">
        <is>
          <t>14⁴, 70⁴</t>
        </is>
      </c>
      <c r="J6662" t="n">
        <v>8</v>
      </c>
      <c r="K6662" t="inlineStr">
        <is>
          <t>1², 3², 4¹, 6⁸, 12¹, 24⁴</t>
        </is>
      </c>
      <c r="L6662" t="inlineStr">
        <is>
          <t>14G¹, 70B⁵, 35D⁹</t>
        </is>
      </c>
      <c r="M6662" t="inlineStr"/>
      <c r="N6662" t="inlineStr">
        <is>
          <t>35C², 14A⁰, 5B⁰, 7F⁰, 70B⁵, 14G¹, 1A⁰, 35D⁹, 7A⁰</t>
        </is>
      </c>
      <c r="O6662" t="inlineStr"/>
    </row>
    <row r="6663">
      <c r="A6663">
        <f>HYPERLINK("https://mathstats.uncg.edu/sites/pauli/congruence/csg21.html#group72A21", "72A²¹")</f>
        <v/>
      </c>
      <c r="B6663" t="n">
        <v>21</v>
      </c>
      <c r="C6663" t="inlineStr"/>
      <c r="D6663" t="inlineStr">
        <is>
          <t>288</t>
        </is>
      </c>
      <c r="E6663" t="inlineStr">
        <is>
          <t>1</t>
        </is>
      </c>
      <c r="F6663" t="inlineStr">
        <is>
          <t>12</t>
        </is>
      </c>
      <c r="G6663" t="inlineStr">
        <is>
          <t>0</t>
        </is>
      </c>
      <c r="H6663" t="inlineStr">
        <is>
          <t>0</t>
        </is>
      </c>
      <c r="I6663" t="inlineStr">
        <is>
          <t>12², 24², 36², 72²</t>
        </is>
      </c>
      <c r="J6663" t="n">
        <v>8</v>
      </c>
      <c r="K6663" t="inlineStr">
        <is>
          <t>1⁶, 2³</t>
        </is>
      </c>
      <c r="L6663" t="inlineStr">
        <is>
          <t>24H⁵, 36C⁹</t>
        </is>
      </c>
      <c r="M6663" t="inlineStr"/>
      <c r="N6663" t="inlineStr">
        <is>
          <t>3B⁰, 2A⁰, 18C⁴, 12F¹, 18B⁰, 6I⁰, 4C⁰, 6C⁰, 18D², 36F⁴, 2B⁰, 4E⁰, 9C⁰, 36A⁵, 12P¹, 1A⁰, 4B⁰, 36C⁹, 24H⁵, 6F⁰, 2C⁰, 12E⁰, 18C²</t>
        </is>
      </c>
      <c r="O6663" t="inlineStr"/>
    </row>
    <row r="6664">
      <c r="A6664">
        <f>HYPERLINK("https://mathstats.uncg.edu/sites/pauli/congruence/csg21.html#group72B21", "72B²¹")</f>
        <v/>
      </c>
      <c r="B6664" t="n">
        <v>21</v>
      </c>
      <c r="C6664" t="inlineStr"/>
      <c r="D6664" t="inlineStr">
        <is>
          <t>288</t>
        </is>
      </c>
      <c r="E6664" t="inlineStr">
        <is>
          <t>1</t>
        </is>
      </c>
      <c r="F6664" t="inlineStr">
        <is>
          <t>12</t>
        </is>
      </c>
      <c r="G6664" t="inlineStr">
        <is>
          <t>0</t>
        </is>
      </c>
      <c r="H6664" t="inlineStr">
        <is>
          <t>0</t>
        </is>
      </c>
      <c r="I6664" t="inlineStr">
        <is>
          <t>12², 24², 36², 72²</t>
        </is>
      </c>
      <c r="J6664" t="n">
        <v>8</v>
      </c>
      <c r="K6664" t="inlineStr">
        <is>
          <t>1⁶, 2³</t>
        </is>
      </c>
      <c r="L6664" t="inlineStr">
        <is>
          <t>24H⁵, 36D⁹</t>
        </is>
      </c>
      <c r="M6664" t="inlineStr"/>
      <c r="N6664" t="inlineStr">
        <is>
          <t>3B⁰, 2A⁰, 12F¹, 6I⁰, 18D¹, 4C⁰, 18E², 6C⁰, 36G⁴, 36B⁵, 2B⁰, 4E⁰, 12P¹, 4B⁰, 1A⁰, 18B², 9A¹, 24H⁵, 18D⁴, 6F⁰, 2C⁰, 12E⁰, 36D⁹</t>
        </is>
      </c>
      <c r="O6664" t="inlineStr"/>
    </row>
    <row r="6665">
      <c r="A6665">
        <f>HYPERLINK("https://mathstats.uncg.edu/sites/pauli/congruence/csg21.html#group72C21", "72C²¹")</f>
        <v/>
      </c>
      <c r="B6665" t="n">
        <v>21</v>
      </c>
      <c r="C6665" t="inlineStr"/>
      <c r="D6665" t="inlineStr">
        <is>
          <t>288</t>
        </is>
      </c>
      <c r="E6665" t="inlineStr">
        <is>
          <t>1</t>
        </is>
      </c>
      <c r="F6665" t="inlineStr">
        <is>
          <t>12</t>
        </is>
      </c>
      <c r="G6665" t="inlineStr">
        <is>
          <t>0</t>
        </is>
      </c>
      <c r="H6665" t="inlineStr">
        <is>
          <t>0</t>
        </is>
      </c>
      <c r="I6665" t="inlineStr">
        <is>
          <t>12², 24², 36², 72²</t>
        </is>
      </c>
      <c r="J6665" t="n">
        <v>8</v>
      </c>
      <c r="K6665" t="inlineStr">
        <is>
          <t>1⁶, 2³</t>
        </is>
      </c>
      <c r="L6665" t="inlineStr">
        <is>
          <t>24I⁵, 36C⁹, 72A¹¹, 72C¹¹</t>
        </is>
      </c>
      <c r="M6665" t="inlineStr"/>
      <c r="N6665" t="inlineStr">
        <is>
          <t>3B⁰, 2A⁰, 18C⁴, 8A¹, 24B³, 72C¹¹, 12F¹, 18B⁰, 6I⁰, 4C⁰, 6C⁰, 8B⁰, 18D², 36F⁴, 2B⁰, 4E⁰, 8B¹, 9C⁰, 36A⁵, 12P¹, 1A⁰, 4B⁰, 24C³, 36C⁹, 24I⁵, 72A¹¹, 6F⁰, 2C⁰, 12E⁰, 18C²</t>
        </is>
      </c>
      <c r="O6665" t="inlineStr"/>
    </row>
    <row r="6666">
      <c r="A6666">
        <f>HYPERLINK("https://mathstats.uncg.edu/sites/pauli/congruence/csg21.html#group72D21", "72D²¹")</f>
        <v/>
      </c>
      <c r="B6666" t="n">
        <v>21</v>
      </c>
      <c r="C6666" t="inlineStr"/>
      <c r="D6666" t="inlineStr">
        <is>
          <t>288</t>
        </is>
      </c>
      <c r="E6666" t="inlineStr">
        <is>
          <t>1</t>
        </is>
      </c>
      <c r="F6666" t="inlineStr">
        <is>
          <t>12</t>
        </is>
      </c>
      <c r="G6666" t="inlineStr">
        <is>
          <t>0</t>
        </is>
      </c>
      <c r="H6666" t="inlineStr">
        <is>
          <t>0</t>
        </is>
      </c>
      <c r="I6666" t="inlineStr">
        <is>
          <t>12², 24², 36², 72²</t>
        </is>
      </c>
      <c r="J6666" t="n">
        <v>8</v>
      </c>
      <c r="K6666" t="inlineStr">
        <is>
          <t>1⁶, 2³</t>
        </is>
      </c>
      <c r="L6666" t="inlineStr">
        <is>
          <t>24I⁵, 36D⁹, 72B¹¹, 72D¹¹</t>
        </is>
      </c>
      <c r="M6666" t="inlineStr"/>
      <c r="N6666" t="inlineStr">
        <is>
          <t>3B⁰, 2A⁰, 8A¹, 24B³, 12F¹, 6I⁰, 18D¹, 4C⁰, 18E², 8B⁰, 6C⁰, 36G⁴, 36B⁵, 2B⁰, 8B¹, 4E⁰, 12P¹, 4B⁰, 1A⁰, 24C³, 24I⁵, 18B², 72D¹¹, 9A¹, 72B¹¹, 18D⁴, 6F⁰, 2C⁰, 12E⁰, 36D⁹</t>
        </is>
      </c>
      <c r="O6666" t="inlineStr"/>
    </row>
    <row r="6667">
      <c r="A6667">
        <f>HYPERLINK("https://mathstats.uncg.edu/sites/pauli/congruence/csg21.html#group72E21", "72E²¹")</f>
        <v/>
      </c>
      <c r="B6667" t="n">
        <v>21</v>
      </c>
      <c r="C6667" t="inlineStr"/>
      <c r="D6667" t="inlineStr">
        <is>
          <t>288</t>
        </is>
      </c>
      <c r="E6667" t="inlineStr">
        <is>
          <t>1</t>
        </is>
      </c>
      <c r="F6667" t="inlineStr">
        <is>
          <t>24</t>
        </is>
      </c>
      <c r="G6667" t="inlineStr">
        <is>
          <t>0</t>
        </is>
      </c>
      <c r="H6667" t="inlineStr">
        <is>
          <t>0</t>
        </is>
      </c>
      <c r="I6667" t="inlineStr">
        <is>
          <t>12², 24², 36², 72²</t>
        </is>
      </c>
      <c r="J6667" t="n">
        <v>8</v>
      </c>
      <c r="K6667" t="inlineStr">
        <is>
          <t>1⁴, 2⁶, 4²</t>
        </is>
      </c>
      <c r="L6667" t="inlineStr">
        <is>
          <t>24J⁵, 36J¹⁰, 72C¹⁰, 72A¹¹</t>
        </is>
      </c>
      <c r="M6667" t="inlineStr"/>
      <c r="N6667" t="inlineStr">
        <is>
          <t>3B⁰, 36J¹⁰, 24B³, 8D⁰, 12F¹, 4C⁰, 8B⁰, 18D², 2B⁰, 9C⁰, 36A⁵, 1A⁰, 36C³, 8H⁰, 24I², 72C¹⁰, 4A⁰, 12A¹, 72A¹¹, 12G², 24J⁵, 4F⁰, 6F⁰</t>
        </is>
      </c>
      <c r="O6667" t="inlineStr"/>
    </row>
    <row r="6668">
      <c r="A6668">
        <f>HYPERLINK("https://mathstats.uncg.edu/sites/pauli/congruence/csg21.html#group72F21", "72F²¹")</f>
        <v/>
      </c>
      <c r="B6668" t="n">
        <v>21</v>
      </c>
      <c r="C6668" t="inlineStr"/>
      <c r="D6668" t="inlineStr">
        <is>
          <t>288</t>
        </is>
      </c>
      <c r="E6668" t="inlineStr">
        <is>
          <t>1</t>
        </is>
      </c>
      <c r="F6668" t="inlineStr">
        <is>
          <t>24</t>
        </is>
      </c>
      <c r="G6668" t="inlineStr">
        <is>
          <t>0</t>
        </is>
      </c>
      <c r="H6668" t="inlineStr">
        <is>
          <t>0</t>
        </is>
      </c>
      <c r="I6668" t="inlineStr">
        <is>
          <t>12², 24², 36², 72²</t>
        </is>
      </c>
      <c r="J6668" t="n">
        <v>8</v>
      </c>
      <c r="K6668" t="inlineStr">
        <is>
          <t>1⁴, 2⁶, 4²</t>
        </is>
      </c>
      <c r="L6668" t="inlineStr">
        <is>
          <t>24J⁵, 36K¹⁰, 72D¹⁰, 72B¹¹</t>
        </is>
      </c>
      <c r="M6668" t="inlineStr"/>
      <c r="N6668" t="inlineStr">
        <is>
          <t>3B⁰, 24B³, 8D⁰, 12F¹, 4C⁰, 18E², 8B⁰, 36B⁵, 2B⁰, 1A⁰, 36K¹⁰, 8H⁰, 24I², 4A⁰, 12A¹, 9A¹, 72D¹⁰, 36C⁴, 12G², 24J⁵, 4F⁰, 6F⁰, 72B¹¹</t>
        </is>
      </c>
      <c r="O6668" t="inlineStr"/>
    </row>
    <row r="6669">
      <c r="A6669">
        <f>HYPERLINK("https://mathstats.uncg.edu/sites/pauli/congruence/csg21.html#group72G21", "72G²¹")</f>
        <v/>
      </c>
      <c r="B6669" t="n">
        <v>21</v>
      </c>
      <c r="C6669" t="inlineStr"/>
      <c r="D6669" t="inlineStr">
        <is>
          <t>288</t>
        </is>
      </c>
      <c r="E6669" t="inlineStr">
        <is>
          <t>1</t>
        </is>
      </c>
      <c r="F6669" t="inlineStr">
        <is>
          <t>24</t>
        </is>
      </c>
      <c r="G6669" t="inlineStr">
        <is>
          <t>0</t>
        </is>
      </c>
      <c r="H6669" t="inlineStr">
        <is>
          <t>0</t>
        </is>
      </c>
      <c r="I6669" t="inlineStr">
        <is>
          <t>12², 24², 36², 72²</t>
        </is>
      </c>
      <c r="J6669" t="n">
        <v>8</v>
      </c>
      <c r="K6669" t="inlineStr">
        <is>
          <t>1⁴, 2⁶, 4²</t>
        </is>
      </c>
      <c r="L6669" t="inlineStr">
        <is>
          <t>24K⁵, 36J¹⁰, 72C¹⁰, 72C¹¹</t>
        </is>
      </c>
      <c r="M6669" t="inlineStr"/>
      <c r="N6669" t="inlineStr">
        <is>
          <t>3B⁰, 24K⁵, 8A¹, 36J¹⁰, 72C¹¹, 8D⁰, 12F¹, 4C⁰, 18D², 2B⁰, 9C⁰, 36A⁵, 1A⁰, 36C³, 24C³, 8C¹, 24I², 72C¹⁰, 4A⁰, 12A¹, 12G², 4F⁰, 6F⁰</t>
        </is>
      </c>
      <c r="O6669" t="inlineStr"/>
    </row>
    <row r="6670">
      <c r="A6670">
        <f>HYPERLINK("https://mathstats.uncg.edu/sites/pauli/congruence/csg21.html#group72H21", "72H²¹")</f>
        <v/>
      </c>
      <c r="B6670" t="n">
        <v>21</v>
      </c>
      <c r="C6670" t="inlineStr"/>
      <c r="D6670" t="inlineStr">
        <is>
          <t>288</t>
        </is>
      </c>
      <c r="E6670" t="inlineStr">
        <is>
          <t>1</t>
        </is>
      </c>
      <c r="F6670" t="inlineStr">
        <is>
          <t>24</t>
        </is>
      </c>
      <c r="G6670" t="inlineStr">
        <is>
          <t>0</t>
        </is>
      </c>
      <c r="H6670" t="inlineStr">
        <is>
          <t>0</t>
        </is>
      </c>
      <c r="I6670" t="inlineStr">
        <is>
          <t>12², 24², 36², 72²</t>
        </is>
      </c>
      <c r="J6670" t="n">
        <v>8</v>
      </c>
      <c r="K6670" t="inlineStr">
        <is>
          <t>1⁴, 2⁶, 4²</t>
        </is>
      </c>
      <c r="L6670" t="inlineStr">
        <is>
          <t>24K⁵, 36K¹⁰, 72D¹⁰, 72D¹¹</t>
        </is>
      </c>
      <c r="M6670" t="inlineStr"/>
      <c r="N6670" t="inlineStr">
        <is>
          <t>3B⁰, 24K⁵, 8A¹, 8D⁰, 12F¹, 4C⁰, 18E², 36B⁵, 2B⁰, 1A⁰, 36K¹⁰, 24C³, 8C¹, 24I², 72D¹¹, 4A⁰, 12A¹, 9A¹, 72D¹⁰, 36C⁴, 12G², 4F⁰, 6F⁰</t>
        </is>
      </c>
      <c r="O6670" t="inlineStr"/>
    </row>
    <row r="6671">
      <c r="A6671">
        <f>HYPERLINK("https://mathstats.uncg.edu/sites/pauli/congruence/csg21.html#group72I21", "72I²¹")</f>
        <v/>
      </c>
      <c r="B6671" t="n">
        <v>21</v>
      </c>
      <c r="C6671" t="inlineStr"/>
      <c r="D6671" t="inlineStr">
        <is>
          <t>288</t>
        </is>
      </c>
      <c r="E6671" t="inlineStr">
        <is>
          <t>1</t>
        </is>
      </c>
      <c r="F6671" t="inlineStr">
        <is>
          <t>48</t>
        </is>
      </c>
      <c r="G6671" t="inlineStr">
        <is>
          <t>0</t>
        </is>
      </c>
      <c r="H6671" t="inlineStr">
        <is>
          <t>0</t>
        </is>
      </c>
      <c r="I6671" t="inlineStr">
        <is>
          <t>12², 24², 36², 72²</t>
        </is>
      </c>
      <c r="J6671" t="n">
        <v>8</v>
      </c>
      <c r="K6671" t="inlineStr">
        <is>
          <t>1⁸, 2⁸, 4⁴, 8¹</t>
        </is>
      </c>
      <c r="L6671" t="inlineStr">
        <is>
          <t>24M⁵, 72C¹¹</t>
        </is>
      </c>
      <c r="M6671" t="inlineStr"/>
      <c r="N6671" t="inlineStr">
        <is>
          <t>24C³, 3B⁰, 8A¹, 24M⁵, 72C¹¹, 12F¹, 4C⁰, 6F⁰, 18D², 2B⁰, 9C⁰, 36A⁵, 1A⁰</t>
        </is>
      </c>
      <c r="O6671" t="inlineStr"/>
    </row>
    <row r="6672">
      <c r="A6672">
        <f>HYPERLINK("https://mathstats.uncg.edu/sites/pauli/congruence/csg21.html#group72J21", "72J²¹")</f>
        <v/>
      </c>
      <c r="B6672" t="n">
        <v>21</v>
      </c>
      <c r="C6672" t="inlineStr"/>
      <c r="D6672" t="inlineStr">
        <is>
          <t>288</t>
        </is>
      </c>
      <c r="E6672" t="inlineStr">
        <is>
          <t>1</t>
        </is>
      </c>
      <c r="F6672" t="inlineStr">
        <is>
          <t>48</t>
        </is>
      </c>
      <c r="G6672" t="inlineStr">
        <is>
          <t>0</t>
        </is>
      </c>
      <c r="H6672" t="inlineStr">
        <is>
          <t>0</t>
        </is>
      </c>
      <c r="I6672" t="inlineStr">
        <is>
          <t>12², 24², 36², 72²</t>
        </is>
      </c>
      <c r="J6672" t="n">
        <v>8</v>
      </c>
      <c r="K6672" t="inlineStr">
        <is>
          <t>1⁸, 2⁸, 4⁴, 8¹</t>
        </is>
      </c>
      <c r="L6672" t="inlineStr">
        <is>
          <t>24M⁵, 72D¹¹</t>
        </is>
      </c>
      <c r="M6672" t="inlineStr"/>
      <c r="N6672" t="inlineStr">
        <is>
          <t>24C³, 3B⁰, 8A¹, 24M⁵, 72D¹¹, 12F¹, 4C⁰, 9A¹, 6F⁰, 18E², 2B⁰, 36B⁵, 1A⁰</t>
        </is>
      </c>
      <c r="O6672" t="inlineStr"/>
    </row>
    <row r="6673">
      <c r="A6673">
        <f>HYPERLINK("https://mathstats.uncg.edu/sites/pauli/congruence/csg21.html#group72K21", "72K²¹")</f>
        <v/>
      </c>
      <c r="B6673" t="n">
        <v>21</v>
      </c>
      <c r="C6673" t="inlineStr"/>
      <c r="D6673" t="inlineStr">
        <is>
          <t>288</t>
        </is>
      </c>
      <c r="E6673" t="inlineStr">
        <is>
          <t>1</t>
        </is>
      </c>
      <c r="F6673" t="inlineStr">
        <is>
          <t>48</t>
        </is>
      </c>
      <c r="G6673" t="inlineStr">
        <is>
          <t>0</t>
        </is>
      </c>
      <c r="H6673" t="inlineStr">
        <is>
          <t>0</t>
        </is>
      </c>
      <c r="I6673" t="inlineStr">
        <is>
          <t>12², 24², 36², 72²</t>
        </is>
      </c>
      <c r="J6673" t="n">
        <v>8</v>
      </c>
      <c r="K6673" t="inlineStr">
        <is>
          <t>1⁸, 2⁸, 4⁴, 8¹</t>
        </is>
      </c>
      <c r="L6673" t="inlineStr">
        <is>
          <t>24N⁵, 72A¹¹</t>
        </is>
      </c>
      <c r="M6673" t="inlineStr"/>
      <c r="N6673" t="inlineStr">
        <is>
          <t>3B⁰, 24N⁵, 24B³, 12F¹, 4C⁰, 72A¹¹, 8B⁰, 6F⁰, 18D², 8L⁰, 2B⁰, 9C⁰, 36A⁵, 1A⁰</t>
        </is>
      </c>
      <c r="O6673" t="inlineStr"/>
    </row>
    <row r="6674">
      <c r="A6674">
        <f>HYPERLINK("https://mathstats.uncg.edu/sites/pauli/congruence/csg21.html#group72L21", "72L²¹")</f>
        <v/>
      </c>
      <c r="B6674" t="n">
        <v>21</v>
      </c>
      <c r="C6674" t="inlineStr"/>
      <c r="D6674" t="inlineStr">
        <is>
          <t>288</t>
        </is>
      </c>
      <c r="E6674" t="inlineStr">
        <is>
          <t>1</t>
        </is>
      </c>
      <c r="F6674" t="inlineStr">
        <is>
          <t>48</t>
        </is>
      </c>
      <c r="G6674" t="inlineStr">
        <is>
          <t>0</t>
        </is>
      </c>
      <c r="H6674" t="inlineStr">
        <is>
          <t>0</t>
        </is>
      </c>
      <c r="I6674" t="inlineStr">
        <is>
          <t>12², 24², 36², 72²</t>
        </is>
      </c>
      <c r="J6674" t="n">
        <v>8</v>
      </c>
      <c r="K6674" t="inlineStr">
        <is>
          <t>1⁸, 2⁸, 4⁴, 8¹</t>
        </is>
      </c>
      <c r="L6674" t="inlineStr">
        <is>
          <t>24N⁵, 72B¹¹</t>
        </is>
      </c>
      <c r="M6674" t="inlineStr"/>
      <c r="N6674" t="inlineStr">
        <is>
          <t>3B⁰, 24N⁵, 24B³, 12F¹, 4C⁰, 9A¹, 8B⁰, 6F⁰, 18E², 8L⁰, 2B⁰, 36B⁵, 1A⁰, 72B¹¹</t>
        </is>
      </c>
      <c r="O6674" t="inlineStr"/>
    </row>
    <row r="6675">
      <c r="A6675">
        <f>HYPERLINK("https://mathstats.uncg.edu/sites/pauli/congruence/csg21.html#group72M21", "72M²¹")</f>
        <v/>
      </c>
      <c r="B6675" t="n">
        <v>21</v>
      </c>
      <c r="C6675" t="inlineStr"/>
      <c r="D6675" t="inlineStr">
        <is>
          <t>288</t>
        </is>
      </c>
      <c r="E6675" t="inlineStr">
        <is>
          <t>1</t>
        </is>
      </c>
      <c r="F6675" t="inlineStr">
        <is>
          <t>72</t>
        </is>
      </c>
      <c r="G6675" t="inlineStr">
        <is>
          <t>0</t>
        </is>
      </c>
      <c r="H6675" t="inlineStr">
        <is>
          <t>0</t>
        </is>
      </c>
      <c r="I6675" t="inlineStr">
        <is>
          <t>24⁶, 72²</t>
        </is>
      </c>
      <c r="J6675" t="n">
        <v>8</v>
      </c>
      <c r="K6675" t="inlineStr">
        <is>
          <t>2², 4², 6², 12⁴</t>
        </is>
      </c>
      <c r="L6675" t="inlineStr">
        <is>
          <t>24A⁷, 36J⁹, 72J¹⁰</t>
        </is>
      </c>
      <c r="M6675" t="inlineStr"/>
      <c r="N6675" t="inlineStr">
        <is>
          <t>12G¹, 18F², 2A⁰, 6B⁰, 24D³, 12C³, 12F⁰, 24B¹, 24A⁷, 9E⁰, 1A⁰, 72J¹⁰, 12A⁰, 6B¹, 4A⁰, 4D⁰, 24B⁴, 12A², 36M⁴, 3C⁰, 6A¹, 3A⁰, 36J⁹, 24G², 24H²</t>
        </is>
      </c>
      <c r="O6675" t="inlineStr"/>
    </row>
    <row r="6676">
      <c r="A6676">
        <f>HYPERLINK("https://mathstats.uncg.edu/sites/pauli/congruence/csg21.html#group72N21", "72N²¹")</f>
        <v/>
      </c>
      <c r="B6676" t="n">
        <v>21</v>
      </c>
      <c r="C6676" t="inlineStr"/>
      <c r="D6676" t="inlineStr">
        <is>
          <t>288</t>
        </is>
      </c>
      <c r="E6676" t="inlineStr">
        <is>
          <t>1</t>
        </is>
      </c>
      <c r="F6676" t="inlineStr">
        <is>
          <t>72</t>
        </is>
      </c>
      <c r="G6676" t="inlineStr">
        <is>
          <t>0</t>
        </is>
      </c>
      <c r="H6676" t="inlineStr">
        <is>
          <t>0</t>
        </is>
      </c>
      <c r="I6676" t="inlineStr">
        <is>
          <t>24⁶, 72²</t>
        </is>
      </c>
      <c r="J6676" t="n">
        <v>8</v>
      </c>
      <c r="K6676" t="inlineStr">
        <is>
          <t>2², 4², 6², 12⁴</t>
        </is>
      </c>
      <c r="L6676" t="inlineStr">
        <is>
          <t>24B⁷, 36J⁹, 72K¹⁰</t>
        </is>
      </c>
      <c r="M6676" t="inlineStr"/>
      <c r="N6676" t="inlineStr">
        <is>
          <t>2A⁰, 8A⁰, 9E⁰, 1A⁰, 24A¹, 6B¹, 4D⁰, 24B⁴, 12A², 36M⁴, 3C⁰, 6A¹, 3A⁰, 36J⁹, 12G¹, 18F², 6B⁰, 12C³, 12F⁰, 24A⁴, 8E⁰, 24B¹, 24E³, 12A⁰, 72K¹⁰, 24K², 4A⁰, 24B⁷</t>
        </is>
      </c>
      <c r="O6676" t="inlineStr"/>
    </row>
    <row r="6677">
      <c r="A6677">
        <f>HYPERLINK("https://mathstats.uncg.edu/sites/pauli/congruence/csg21.html#group72O21", "72O²¹")</f>
        <v/>
      </c>
      <c r="B6677" t="n">
        <v>21</v>
      </c>
      <c r="C6677" t="inlineStr"/>
      <c r="D6677" t="inlineStr">
        <is>
          <t>288</t>
        </is>
      </c>
      <c r="E6677" t="inlineStr">
        <is>
          <t>2</t>
        </is>
      </c>
      <c r="F6677" t="inlineStr">
        <is>
          <t>24</t>
        </is>
      </c>
      <c r="G6677" t="inlineStr">
        <is>
          <t>0</t>
        </is>
      </c>
      <c r="H6677" t="inlineStr">
        <is>
          <t>0</t>
        </is>
      </c>
      <c r="I6677" t="inlineStr">
        <is>
          <t>24⁶, 72²</t>
        </is>
      </c>
      <c r="J6677" t="n">
        <v>8</v>
      </c>
      <c r="K6677" t="inlineStr">
        <is>
          <t>4⁴, 8⁴</t>
        </is>
      </c>
      <c r="L6677" t="inlineStr">
        <is>
          <t>24D⁷, 36G⁹, 72K¹⁰, 72J¹⁰</t>
        </is>
      </c>
      <c r="M6677" t="inlineStr"/>
      <c r="N6677" t="inlineStr">
        <is>
          <t>12G¹, 36G⁹, 3B⁰, 24D³, 12B³, 24A², 8A⁰, 24D⁷, 24B¹, 9E⁰, 1A⁰, 72J¹⁰, 24E³, 12A⁰, 72K¹⁰, 24A¹, 4A⁰, 12A¹, 36M⁴, 3C⁰, 9H⁰, 3A⁰, 3D⁰</t>
        </is>
      </c>
      <c r="O6677" t="inlineStr"/>
    </row>
    <row r="6678">
      <c r="A6678">
        <f>HYPERLINK("https://mathstats.uncg.edu/sites/pauli/congruence/csg21.html#group72P21", "72P²¹")</f>
        <v/>
      </c>
      <c r="B6678" t="n">
        <v>21</v>
      </c>
      <c r="C6678" t="inlineStr"/>
      <c r="D6678" t="inlineStr">
        <is>
          <t>288</t>
        </is>
      </c>
      <c r="E6678" t="inlineStr">
        <is>
          <t>2</t>
        </is>
      </c>
      <c r="F6678" t="inlineStr">
        <is>
          <t>36</t>
        </is>
      </c>
      <c r="G6678" t="inlineStr">
        <is>
          <t>8</t>
        </is>
      </c>
      <c r="H6678" t="inlineStr">
        <is>
          <t>0</t>
        </is>
      </c>
      <c r="I6678" t="inlineStr">
        <is>
          <t>72⁴</t>
        </is>
      </c>
      <c r="J6678" t="n">
        <v>4</v>
      </c>
      <c r="K6678" t="inlineStr">
        <is>
          <t>8⁶, 24⁴</t>
        </is>
      </c>
      <c r="L6678" t="inlineStr">
        <is>
          <t>24P⁵, 72H⁸, 72J⁸, 36K⁹, 72F¹⁰, 72I¹⁰, 72G¹¹, 72E¹¹</t>
        </is>
      </c>
      <c r="M6678" t="inlineStr"/>
      <c r="N6678" t="inlineStr">
        <is>
          <t>72F¹⁰, 72E¹¹, 8A⁰, 72C⁴, 36K⁹, 72I¹⁰, 1A⁰, 18A⁰, 9B¹, 72A⁴, 24A¹, 36E⁵, 3C⁰, 12Q¹, 3A⁰, 24G², 24P⁵, 12G¹, 72J⁸, 36D², 6B⁰, 24D³, 72G¹¹, 72B⁴, 72H⁸, 12F⁰, 24B¹, 36A¹, 24E³, 12A⁰, 24K², 6E⁰, 4A⁰, 9A⁰, 18G², 18A¹, 24H², 36L⁴</t>
        </is>
      </c>
      <c r="O6678" t="inlineStr"/>
    </row>
    <row r="6679">
      <c r="A6679">
        <f>HYPERLINK("https://mathstats.uncg.edu/sites/pauli/congruence/csg21.html#group72Q21", "72Q²¹")</f>
        <v/>
      </c>
      <c r="B6679" t="n">
        <v>21</v>
      </c>
      <c r="C6679" t="inlineStr"/>
      <c r="D6679" t="inlineStr">
        <is>
          <t>288</t>
        </is>
      </c>
      <c r="E6679" t="inlineStr">
        <is>
          <t>2</t>
        </is>
      </c>
      <c r="F6679" t="inlineStr">
        <is>
          <t>36</t>
        </is>
      </c>
      <c r="G6679" t="inlineStr">
        <is>
          <t>8</t>
        </is>
      </c>
      <c r="H6679" t="inlineStr">
        <is>
          <t>0</t>
        </is>
      </c>
      <c r="I6679" t="inlineStr">
        <is>
          <t>72⁴</t>
        </is>
      </c>
      <c r="J6679" t="n">
        <v>4</v>
      </c>
      <c r="K6679" t="inlineStr">
        <is>
          <t>8⁶, 24⁴</t>
        </is>
      </c>
      <c r="L6679" t="inlineStr">
        <is>
          <t>24P⁵, 72I⁸, 72K⁸, 36K⁹, 72E¹⁰, 72I¹⁰, 72H¹¹, 72F¹¹</t>
        </is>
      </c>
      <c r="M6679" t="inlineStr"/>
      <c r="N6679" t="inlineStr">
        <is>
          <t>8A⁰, 36K⁹, 72E¹⁰, 72D⁴, 72I¹⁰, 1A⁰, 18A⁰, 9B¹, 72H¹¹, 72A⁴, 72K⁸, 24A¹, 36E⁵, 12Q¹, 3C⁰, 3A⁰, 24G², 24P⁵, 72F¹¹, 12G¹, 36D², 6B⁰, 24D³, 72B⁴, 12F⁰, 24B¹, 36A¹, 72I⁸, 24E³, 12A⁰, 24K², 6E⁰, 4A⁰, 9A⁰, 18G², 18A¹, 24H², 36L⁴</t>
        </is>
      </c>
      <c r="O6679" t="inlineStr"/>
    </row>
    <row r="6680">
      <c r="A6680">
        <f>HYPERLINK("https://mathstats.uncg.edu/sites/pauli/congruence/csg21.html#group72R21", "72R²¹")</f>
        <v/>
      </c>
      <c r="B6680" t="n">
        <v>21</v>
      </c>
      <c r="C6680" t="inlineStr"/>
      <c r="D6680" t="inlineStr">
        <is>
          <t>288</t>
        </is>
      </c>
      <c r="E6680" t="inlineStr">
        <is>
          <t>2</t>
        </is>
      </c>
      <c r="F6680" t="inlineStr">
        <is>
          <t>48</t>
        </is>
      </c>
      <c r="G6680" t="inlineStr">
        <is>
          <t>0</t>
        </is>
      </c>
      <c r="H6680" t="inlineStr">
        <is>
          <t>0</t>
        </is>
      </c>
      <c r="I6680" t="inlineStr">
        <is>
          <t>8³, 24², 72³</t>
        </is>
      </c>
      <c r="J6680" t="n">
        <v>8</v>
      </c>
      <c r="K6680" t="inlineStr">
        <is>
          <t>4⁴, 8⁴, 24²</t>
        </is>
      </c>
      <c r="L6680" t="inlineStr">
        <is>
          <t>72A⁷, 36H⁹</t>
        </is>
      </c>
      <c r="M6680" t="inlineStr"/>
      <c r="N6680" t="inlineStr">
        <is>
          <t>3B⁰, 72A⁷, 24A², 4A⁰, 12A¹, 8A⁰, 9B⁰, 9I⁰, 36B³, 1A⁰, 36H⁹</t>
        </is>
      </c>
      <c r="O6680" t="inlineStr"/>
    </row>
    <row r="6681">
      <c r="A6681">
        <f>HYPERLINK("https://mathstats.uncg.edu/sites/pauli/congruence/csg21.html#group72S21", "72S²¹")</f>
        <v/>
      </c>
      <c r="B6681" t="n">
        <v>21</v>
      </c>
      <c r="C6681" t="inlineStr"/>
      <c r="D6681" t="inlineStr">
        <is>
          <t>288</t>
        </is>
      </c>
      <c r="E6681" t="inlineStr">
        <is>
          <t>2</t>
        </is>
      </c>
      <c r="F6681" t="inlineStr">
        <is>
          <t>72</t>
        </is>
      </c>
      <c r="G6681" t="inlineStr">
        <is>
          <t>8</t>
        </is>
      </c>
      <c r="H6681" t="inlineStr">
        <is>
          <t>0</t>
        </is>
      </c>
      <c r="I6681" t="inlineStr">
        <is>
          <t>72⁴</t>
        </is>
      </c>
      <c r="J6681" t="n">
        <v>4</v>
      </c>
      <c r="K6681" t="inlineStr">
        <is>
          <t>8⁶, 24⁴</t>
        </is>
      </c>
      <c r="L6681" t="inlineStr">
        <is>
          <t>24L⁵, 36K⁹</t>
        </is>
      </c>
      <c r="M6681" t="inlineStr"/>
      <c r="N6681" t="inlineStr">
        <is>
          <t>12G¹, 36D², 6B⁰, 12F⁰, 36K⁹, 1A⁰, 18A⁰, 9B¹, 36A¹, 12A⁰, 6E⁰, 4A⁰, 36E⁵, 9A⁰, 12Q¹, 3C⁰, 18G², 36L⁴, 3A⁰, 18A¹, 24L⁵</t>
        </is>
      </c>
      <c r="O6681" t="inlineStr"/>
    </row>
    <row r="6682">
      <c r="A6682">
        <f>HYPERLINK("https://mathstats.uncg.edu/sites/pauli/congruence/csg21.html#group72T21", "72T²¹")</f>
        <v/>
      </c>
      <c r="B6682" t="n">
        <v>21</v>
      </c>
      <c r="C6682" t="inlineStr"/>
      <c r="D6682" t="inlineStr">
        <is>
          <t>288</t>
        </is>
      </c>
      <c r="E6682" t="inlineStr">
        <is>
          <t>2</t>
        </is>
      </c>
      <c r="F6682" t="inlineStr">
        <is>
          <t>72</t>
        </is>
      </c>
      <c r="G6682" t="inlineStr">
        <is>
          <t>8</t>
        </is>
      </c>
      <c r="H6682" t="inlineStr">
        <is>
          <t>0</t>
        </is>
      </c>
      <c r="I6682" t="inlineStr">
        <is>
          <t>72⁴</t>
        </is>
      </c>
      <c r="J6682" t="n">
        <v>4</v>
      </c>
      <c r="K6682" t="inlineStr">
        <is>
          <t>8¹², 24⁸</t>
        </is>
      </c>
      <c r="L6682" t="inlineStr">
        <is>
          <t>24P⁵, 36L⁹, 72G¹⁰, 72L¹⁰</t>
        </is>
      </c>
      <c r="M6682" t="inlineStr"/>
      <c r="N6682" t="inlineStr">
        <is>
          <t>12G¹, 6B⁰, 24D³, 12F⁰, 18B¹, 8A⁰, 24B¹, 1A⁰, 72G¹⁰, 24E³, 36N⁴, 12A⁰, 24K², 24A¹, 18H², 6E⁰, 4A⁰, 12Q¹, 3C⁰, 72L¹⁰, 3A⁰, 36L⁹, 24G², 24H², 24P⁵</t>
        </is>
      </c>
      <c r="O6682" t="inlineStr"/>
    </row>
    <row r="6683">
      <c r="A6683">
        <f>HYPERLINK("https://mathstats.uncg.edu/sites/pauli/congruence/csg21.html#group72U21", "72U²¹")</f>
        <v/>
      </c>
      <c r="B6683" t="n">
        <v>21</v>
      </c>
      <c r="C6683" t="inlineStr"/>
      <c r="D6683" t="inlineStr">
        <is>
          <t>288</t>
        </is>
      </c>
      <c r="E6683" t="inlineStr">
        <is>
          <t>2</t>
        </is>
      </c>
      <c r="F6683" t="inlineStr">
        <is>
          <t>72</t>
        </is>
      </c>
      <c r="G6683" t="inlineStr">
        <is>
          <t>8</t>
        </is>
      </c>
      <c r="H6683" t="inlineStr">
        <is>
          <t>0</t>
        </is>
      </c>
      <c r="I6683" t="inlineStr">
        <is>
          <t>72⁴</t>
        </is>
      </c>
      <c r="J6683" t="n">
        <v>4</v>
      </c>
      <c r="K6683" t="inlineStr">
        <is>
          <t>8¹², 24⁸</t>
        </is>
      </c>
      <c r="L6683" t="inlineStr">
        <is>
          <t>24P⁵, 36L⁹, 72H¹⁰, 72L¹⁰</t>
        </is>
      </c>
      <c r="M6683" t="inlineStr"/>
      <c r="N6683" t="inlineStr">
        <is>
          <t>12G¹, 72H¹⁰, 6B⁰, 24D³, 12F⁰, 18B¹, 8A⁰, 24B¹, 1A⁰, 24E³, 36N⁴, 12A⁰, 24K², 24A¹, 18H², 6E⁰, 4A⁰, 12Q¹, 3C⁰, 72L¹⁰, 3A⁰, 36L⁹, 24G², 24H², 24P⁵</t>
        </is>
      </c>
      <c r="O6683" t="inlineStr"/>
    </row>
    <row r="6684">
      <c r="A6684">
        <f>HYPERLINK("https://mathstats.uncg.edu/sites/pauli/congruence/csg21.html#group72V21", "72V²¹")</f>
        <v/>
      </c>
      <c r="B6684" t="n">
        <v>21</v>
      </c>
      <c r="C6684" t="inlineStr"/>
      <c r="D6684" t="inlineStr">
        <is>
          <t>288</t>
        </is>
      </c>
      <c r="E6684" t="inlineStr">
        <is>
          <t>2</t>
        </is>
      </c>
      <c r="F6684" t="inlineStr">
        <is>
          <t>144</t>
        </is>
      </c>
      <c r="G6684" t="inlineStr">
        <is>
          <t>8</t>
        </is>
      </c>
      <c r="H6684" t="inlineStr">
        <is>
          <t>0</t>
        </is>
      </c>
      <c r="I6684" t="inlineStr">
        <is>
          <t>72⁴</t>
        </is>
      </c>
      <c r="J6684" t="n">
        <v>4</v>
      </c>
      <c r="K6684" t="inlineStr">
        <is>
          <t>8¹², 24⁸</t>
        </is>
      </c>
      <c r="L6684" t="inlineStr">
        <is>
          <t>24L⁵, 36L⁹</t>
        </is>
      </c>
      <c r="M6684" t="inlineStr"/>
      <c r="N6684" t="inlineStr">
        <is>
          <t>12G¹, 36N⁴, 6B⁰, 12A⁰, 18H², 6E⁰, 4A⁰, 12F⁰, 18B¹, 12Q¹, 3C⁰, 1A⁰, 3A⁰, 36L⁹, 24L⁵</t>
        </is>
      </c>
      <c r="O6684" t="inlineStr"/>
    </row>
    <row r="6685">
      <c r="A6685">
        <f>HYPERLINK("https://mathstats.uncg.edu/sites/pauli/congruence/csg21.html#group72W21", "72W²¹")</f>
        <v/>
      </c>
      <c r="B6685" t="n">
        <v>21</v>
      </c>
      <c r="C6685" t="inlineStr"/>
      <c r="D6685" t="inlineStr">
        <is>
          <t>288</t>
        </is>
      </c>
      <c r="E6685" t="inlineStr">
        <is>
          <t>2</t>
        </is>
      </c>
      <c r="F6685" t="inlineStr">
        <is>
          <t>144</t>
        </is>
      </c>
      <c r="G6685" t="inlineStr">
        <is>
          <t>8</t>
        </is>
      </c>
      <c r="H6685" t="inlineStr">
        <is>
          <t>0</t>
        </is>
      </c>
      <c r="I6685" t="inlineStr">
        <is>
          <t>72⁴</t>
        </is>
      </c>
      <c r="J6685" t="n">
        <v>4</v>
      </c>
      <c r="K6685" t="inlineStr">
        <is>
          <t>8¹², 24⁸</t>
        </is>
      </c>
      <c r="L6685" t="inlineStr">
        <is>
          <t>24O⁵, 36E⁵, 72E⁷</t>
        </is>
      </c>
      <c r="M6685" t="inlineStr"/>
      <c r="N6685" t="inlineStr">
        <is>
          <t>12G¹, 36A¹, 24F¹, 12A⁰, 8F⁰, 4A⁰, 36E⁵, 24O⁵, 9A⁰, 3C⁰, 3A⁰, 1A⁰, 9B¹, 72E⁷</t>
        </is>
      </c>
      <c r="O6685" t="inlineStr"/>
    </row>
    <row r="6686">
      <c r="A6686">
        <f>HYPERLINK("https://mathstats.uncg.edu/sites/pauli/congruence/csg21.html#group72X21", "72X²¹")</f>
        <v/>
      </c>
      <c r="B6686" t="n">
        <v>21</v>
      </c>
      <c r="C6686" t="inlineStr"/>
      <c r="D6686" t="inlineStr">
        <is>
          <t>324</t>
        </is>
      </c>
      <c r="E6686" t="inlineStr">
        <is>
          <t>2</t>
        </is>
      </c>
      <c r="F6686" t="inlineStr">
        <is>
          <t>81</t>
        </is>
      </c>
      <c r="G6686" t="inlineStr">
        <is>
          <t>16</t>
        </is>
      </c>
      <c r="H6686" t="inlineStr">
        <is>
          <t>0</t>
        </is>
      </c>
      <c r="I6686" t="inlineStr">
        <is>
          <t>36³, 72³</t>
        </is>
      </c>
      <c r="J6686" t="n">
        <v>6</v>
      </c>
      <c r="K6686" t="inlineStr">
        <is>
          <t>6²⁷</t>
        </is>
      </c>
      <c r="L6686" t="inlineStr">
        <is>
          <t>72A⁵, 72B⁷, 36L⁸</t>
        </is>
      </c>
      <c r="M6686" t="inlineStr"/>
      <c r="N6686" t="inlineStr">
        <is>
          <t>12C⁰, 36L⁸, 9A⁰, 36B², 24D¹, 72B⁷, 4C⁰, 18J³, 72A⁵, 2B⁰, 9G⁰, 18E¹, 3A⁰, 1A⁰, 6D⁰</t>
        </is>
      </c>
      <c r="O6686" t="inlineStr"/>
    </row>
    <row r="6687">
      <c r="A6687">
        <f>HYPERLINK("https://mathstats.uncg.edu/sites/pauli/congruence/csg21.html#group72Y21", "72Y²¹")</f>
        <v/>
      </c>
      <c r="B6687" t="n">
        <v>21</v>
      </c>
      <c r="C6687" t="inlineStr"/>
      <c r="D6687" t="inlineStr">
        <is>
          <t>384</t>
        </is>
      </c>
      <c r="E6687" t="inlineStr">
        <is>
          <t>1</t>
        </is>
      </c>
      <c r="F6687" t="inlineStr">
        <is>
          <t>16</t>
        </is>
      </c>
      <c r="G6687" t="inlineStr">
        <is>
          <t>0</t>
        </is>
      </c>
      <c r="H6687" t="inlineStr">
        <is>
          <t>24</t>
        </is>
      </c>
      <c r="I6687" t="inlineStr">
        <is>
          <t>24⁴, 72⁴</t>
        </is>
      </c>
      <c r="J6687" t="n">
        <v>8</v>
      </c>
      <c r="K6687" t="inlineStr">
        <is>
          <t>2⁴, 4²</t>
        </is>
      </c>
      <c r="L6687" t="inlineStr">
        <is>
          <t>24Q⁵, 36N⁹, 72I¹¹, 72J¹¹</t>
        </is>
      </c>
      <c r="M6687" t="inlineStr"/>
      <c r="N6687" t="inlineStr">
        <is>
          <t>2A⁰, 3B⁰, 72A⁶, 12I¹, 24A², 18B⁰, 72J¹¹, 6C⁰, 8A⁰, 8E⁰, 9C⁰, 24G³, 72I¹¹, 1A⁰, 36G⁵, 36C³, 24F³, 4A⁰, 4D⁰, 12A¹, 36N⁹, 24Q⁵, 12R¹, 36A⁰, 12B⁰</t>
        </is>
      </c>
      <c r="O6687" t="inlineStr"/>
    </row>
    <row r="6688">
      <c r="A6688">
        <f>HYPERLINK("https://mathstats.uncg.edu/sites/pauli/congruence/csg21.html#group72Z21", "72Z²¹")</f>
        <v/>
      </c>
      <c r="B6688" t="n">
        <v>21</v>
      </c>
      <c r="C6688" t="inlineStr"/>
      <c r="D6688" t="inlineStr">
        <is>
          <t>384</t>
        </is>
      </c>
      <c r="E6688" t="inlineStr">
        <is>
          <t>1</t>
        </is>
      </c>
      <c r="F6688" t="inlineStr">
        <is>
          <t>32</t>
        </is>
      </c>
      <c r="G6688" t="inlineStr">
        <is>
          <t>0</t>
        </is>
      </c>
      <c r="H6688" t="inlineStr">
        <is>
          <t>12</t>
        </is>
      </c>
      <c r="I6688" t="inlineStr">
        <is>
          <t>8¹², 72⁴</t>
        </is>
      </c>
      <c r="J6688" t="n">
        <v>16</v>
      </c>
      <c r="K6688" t="inlineStr">
        <is>
          <t>4⁸</t>
        </is>
      </c>
      <c r="L6688" t="inlineStr">
        <is>
          <t>24Q⁵, 36M⁷, 72L¹¹, 72K¹¹</t>
        </is>
      </c>
      <c r="M6688" t="inlineStr"/>
      <c r="N6688" t="inlineStr">
        <is>
          <t>3B⁰, 2A⁰, 12I¹, 24A², 6C⁰, 8A⁰, 72L¹¹, 8E⁰, 24G³, 36O⁴, 72K¹¹, 1A⁰, 24F³, 18C⁰, 4A⁰, 4D⁰, 12A¹, 36M⁷, 36B¹, 24Q⁵, 12R¹, 12B⁰</t>
        </is>
      </c>
      <c r="O6688" t="inlineStr"/>
    </row>
    <row r="6689">
      <c r="A6689">
        <f>HYPERLINK("https://mathstats.uncg.edu/sites/pauli/congruence/csg21.html#group72AA21", "72AA²¹")</f>
        <v/>
      </c>
      <c r="B6689" t="n">
        <v>21</v>
      </c>
      <c r="C6689" t="inlineStr"/>
      <c r="D6689" t="inlineStr">
        <is>
          <t>432</t>
        </is>
      </c>
      <c r="E6689" t="inlineStr">
        <is>
          <t>1</t>
        </is>
      </c>
      <c r="F6689" t="inlineStr">
        <is>
          <t>9</t>
        </is>
      </c>
      <c r="G6689" t="inlineStr">
        <is>
          <t>48</t>
        </is>
      </c>
      <c r="H6689" t="inlineStr">
        <is>
          <t>0</t>
        </is>
      </c>
      <c r="I6689" t="inlineStr">
        <is>
          <t>36⁴, 72⁴</t>
        </is>
      </c>
      <c r="J6689" t="n">
        <v>8</v>
      </c>
      <c r="K6689" t="inlineStr">
        <is>
          <t>1³, 2³</t>
        </is>
      </c>
      <c r="L6689" t="inlineStr">
        <is>
          <t>24S⁵, 36O⁹, 72H⁹, 72M¹¹, 72N¹¹, 72R¹¹</t>
        </is>
      </c>
      <c r="M6689" t="inlineStr"/>
      <c r="N6689" t="inlineStr">
        <is>
          <t>12T¹, 12C⁰, 36E³, 4C⁰, 36B², 24I³, 36R⁴, 6G⁰, 2B⁰, 24C², 12N¹, 72M¹¹, 1A⁰, 18A⁰, 18L², 72H⁹, 24H³, 24A⁰, 24S³, 24S⁵, 3C⁰, 6H⁰, 3A⁰, 18E¹, 24H¹, 72N¹¹, 6B⁰, 18L⁴, 72E⁴, 72R¹¹, 36K⁵, 24D¹, 8B⁰, 36P⁴, 36O⁹, 72A⁵, 36H⁵, 72B⁶, 12L¹, 12G⁰, 9D⁰, 12C¹, 18D⁰, 6E⁰, 6L⁰, 9A⁰, 12D⁰, 12H⁰, 18I², 6D⁰, 36C²</t>
        </is>
      </c>
      <c r="O6689" t="inlineStr"/>
    </row>
    <row r="6690">
      <c r="A6690">
        <f>HYPERLINK("https://mathstats.uncg.edu/sites/pauli/congruence/csg21.html#group72AB21", "72AB²¹")</f>
        <v/>
      </c>
      <c r="B6690" t="n">
        <v>21</v>
      </c>
      <c r="C6690" t="inlineStr"/>
      <c r="D6690" t="inlineStr">
        <is>
          <t>432</t>
        </is>
      </c>
      <c r="E6690" t="inlineStr">
        <is>
          <t>1</t>
        </is>
      </c>
      <c r="F6690" t="inlineStr">
        <is>
          <t>36</t>
        </is>
      </c>
      <c r="G6690" t="inlineStr">
        <is>
          <t>0</t>
        </is>
      </c>
      <c r="H6690" t="inlineStr">
        <is>
          <t>0</t>
        </is>
      </c>
      <c r="I6690" t="inlineStr">
        <is>
          <t>3¹², 6⁶, 9⁴, 18², 24⁶, 72²</t>
        </is>
      </c>
      <c r="J6690" t="n">
        <v>32</v>
      </c>
      <c r="K6690" t="inlineStr">
        <is>
          <t>1⁸, 2¹⁰, 4²</t>
        </is>
      </c>
      <c r="L6690" t="inlineStr">
        <is>
          <t>24R⁵, 36N⁷, 72Q¹¹, 72P¹¹</t>
        </is>
      </c>
      <c r="M6690" t="inlineStr"/>
      <c r="N6690" t="inlineStr">
        <is>
          <t>12K¹, 72Q¹¹, 24G¹, 6G⁰, 12S¹, 2B⁰, 8C⁰, 9E⁰, 4B⁰, 1A⁰, 24B², 24D², 24R⁵, 72P¹¹, 3C⁰, 12B¹, 6K⁰, 24K³, 12E⁰, 3A⁰, 36I³, 6F⁰, 3B⁰, 36N⁷, 18I¹, 12G⁰, 36Q⁴, 18P², 12D⁰, 9H⁰, 24L³, 3D⁰, 6D⁰</t>
        </is>
      </c>
      <c r="O6690" t="inlineStr"/>
    </row>
    <row r="6691">
      <c r="A6691">
        <f>HYPERLINK("https://mathstats.uncg.edu/sites/pauli/congruence/csg21.html#group72AC21", "72AC²¹")</f>
        <v/>
      </c>
      <c r="B6691" t="n">
        <v>21</v>
      </c>
      <c r="C6691" t="inlineStr"/>
      <c r="D6691" t="inlineStr">
        <is>
          <t>432</t>
        </is>
      </c>
      <c r="E6691" t="inlineStr">
        <is>
          <t>1</t>
        </is>
      </c>
      <c r="F6691" t="inlineStr">
        <is>
          <t>72</t>
        </is>
      </c>
      <c r="G6691" t="inlineStr">
        <is>
          <t>0</t>
        </is>
      </c>
      <c r="H6691" t="inlineStr">
        <is>
          <t>0</t>
        </is>
      </c>
      <c r="I6691" t="inlineStr">
        <is>
          <t>1⁶, 2³, 3⁴, 6², 8³, 9⁶, 18³, 24², 72³</t>
        </is>
      </c>
      <c r="J6691" t="n">
        <v>32</v>
      </c>
      <c r="K6691" t="inlineStr">
        <is>
          <t>1⁸, 2¹⁰, 4², 6⁴, 12¹</t>
        </is>
      </c>
      <c r="L6691" t="inlineStr">
        <is>
          <t>72B⁵, 36O⁷</t>
        </is>
      </c>
      <c r="M6691" t="inlineStr"/>
      <c r="N6691" t="inlineStr">
        <is>
          <t>3B⁰, 18E⁰, 18Q², 72B⁵, 24G¹, 6F⁰, 9B⁰, 9I⁰, 8C⁰, 2B⁰, 36C¹, 4B⁰, 1A⁰, 12E⁰, 36O⁷</t>
        </is>
      </c>
      <c r="O6691" t="inlineStr"/>
    </row>
    <row r="6692">
      <c r="A6692">
        <f>HYPERLINK("https://mathstats.uncg.edu/sites/pauli/congruence/csg21.html#group76A21", "76A²¹")</f>
        <v/>
      </c>
      <c r="B6692" t="n">
        <v>21</v>
      </c>
      <c r="C6692" t="inlineStr"/>
      <c r="D6692" t="inlineStr">
        <is>
          <t>320</t>
        </is>
      </c>
      <c r="E6692" t="inlineStr">
        <is>
          <t>1</t>
        </is>
      </c>
      <c r="F6692" t="inlineStr">
        <is>
          <t>80</t>
        </is>
      </c>
      <c r="G6692" t="inlineStr">
        <is>
          <t>0</t>
        </is>
      </c>
      <c r="H6692" t="inlineStr">
        <is>
          <t>8</t>
        </is>
      </c>
      <c r="I6692" t="inlineStr">
        <is>
          <t>4⁴, 76⁴</t>
        </is>
      </c>
      <c r="J6692" t="n">
        <v>8</v>
      </c>
      <c r="K6692" t="inlineStr">
        <is>
          <t>2⁴, 36²</t>
        </is>
      </c>
      <c r="L6692" t="inlineStr">
        <is>
          <t>76A⁴, 76A¹¹</t>
        </is>
      </c>
      <c r="M6692" t="inlineStr"/>
      <c r="N6692" t="inlineStr">
        <is>
          <t>19A¹, 2A⁰, 38A², 4A⁰, 76A¹¹, 4D⁰, 76A⁶, 76A⁴, 1A⁰</t>
        </is>
      </c>
      <c r="O6692" t="inlineStr"/>
    </row>
    <row r="6693">
      <c r="A6693">
        <f>HYPERLINK("https://mathstats.uncg.edu/sites/pauli/congruence/csg21.html#group77A21", "77A²¹")</f>
        <v/>
      </c>
      <c r="B6693" t="n">
        <v>21</v>
      </c>
      <c r="C6693" t="inlineStr"/>
      <c r="D6693" t="inlineStr">
        <is>
          <t>308</t>
        </is>
      </c>
      <c r="E6693" t="inlineStr">
        <is>
          <t>2</t>
        </is>
      </c>
      <c r="F6693" t="inlineStr">
        <is>
          <t>308</t>
        </is>
      </c>
      <c r="G6693" t="inlineStr">
        <is>
          <t>12</t>
        </is>
      </c>
      <c r="H6693" t="inlineStr">
        <is>
          <t>2</t>
        </is>
      </c>
      <c r="I6693" t="inlineStr">
        <is>
          <t>77⁴</t>
        </is>
      </c>
      <c r="J6693" t="n">
        <v>4</v>
      </c>
      <c r="K6693" t="inlineStr">
        <is>
          <t>2¹, 6¹, 10², 12⁴, 30², 60⁸</t>
        </is>
      </c>
      <c r="L6693" t="inlineStr">
        <is>
          <t>7F⁰, 77A⁴, 77B⁴</t>
        </is>
      </c>
      <c r="M6693" t="inlineStr"/>
      <c r="N6693" t="inlineStr">
        <is>
          <t>7F⁰, 11A⁰, 77B⁴, 1A⁰, 7A⁰, 77A⁴</t>
        </is>
      </c>
      <c r="O6693" t="inlineStr"/>
    </row>
    <row r="6694">
      <c r="A6694">
        <f>HYPERLINK("https://mathstats.uncg.edu/sites/pauli/congruence/csg21.html#group78A21", "78A²¹")</f>
        <v/>
      </c>
      <c r="B6694" t="n">
        <v>21</v>
      </c>
      <c r="C6694" t="inlineStr"/>
      <c r="D6694" t="inlineStr">
        <is>
          <t>336</t>
        </is>
      </c>
      <c r="E6694" t="inlineStr">
        <is>
          <t>1</t>
        </is>
      </c>
      <c r="F6694" t="inlineStr">
        <is>
          <t>42</t>
        </is>
      </c>
      <c r="G6694" t="inlineStr">
        <is>
          <t>16</t>
        </is>
      </c>
      <c r="H6694" t="inlineStr">
        <is>
          <t>0</t>
        </is>
      </c>
      <c r="I6694" t="inlineStr">
        <is>
          <t>6⁴, 78⁴</t>
        </is>
      </c>
      <c r="J6694" t="n">
        <v>8</v>
      </c>
      <c r="K6694" t="inlineStr">
        <is>
          <t>1², 2², 12¹, 24¹</t>
        </is>
      </c>
      <c r="L6694" t="inlineStr">
        <is>
          <t>39A⁹, 78B⁹, 78A¹¹, 78B¹¹, 78E¹¹</t>
        </is>
      </c>
      <c r="M6694" t="inlineStr"/>
      <c r="N6694" t="inlineStr">
        <is>
          <t>39A², 6B⁰, 78A⁴, 39A⁹, 78B⁵, 13A⁰, 78E¹¹, 26A⁰, 1A⁰, 78A¹¹, 39A⁵, 6E⁰, 78B⁹, 78B¹¹, 3C⁰, 39A⁴, 78A⁶, 3A⁰</t>
        </is>
      </c>
      <c r="O6694" t="inlineStr"/>
    </row>
    <row r="6695">
      <c r="A6695">
        <f>HYPERLINK("https://mathstats.uncg.edu/sites/pauli/congruence/csg21.html#group78B21", "78B²¹")</f>
        <v/>
      </c>
      <c r="B6695" t="n">
        <v>21</v>
      </c>
      <c r="C6695" t="inlineStr"/>
      <c r="D6695" t="inlineStr">
        <is>
          <t>336</t>
        </is>
      </c>
      <c r="E6695" t="inlineStr">
        <is>
          <t>1</t>
        </is>
      </c>
      <c r="F6695" t="inlineStr">
        <is>
          <t>112</t>
        </is>
      </c>
      <c r="G6695" t="inlineStr">
        <is>
          <t>0</t>
        </is>
      </c>
      <c r="H6695" t="inlineStr">
        <is>
          <t>6</t>
        </is>
      </c>
      <c r="I6695" t="inlineStr">
        <is>
          <t>2³, 6³, 26³, 78³</t>
        </is>
      </c>
      <c r="J6695" t="n">
        <v>12</v>
      </c>
      <c r="K6695" t="inlineStr">
        <is>
          <t>1⁸, 2⁴, 12⁴, 24²</t>
        </is>
      </c>
      <c r="L6695" t="inlineStr">
        <is>
          <t>26A³, 78C⁷</t>
        </is>
      </c>
      <c r="M6695" t="inlineStr"/>
      <c r="N6695" t="inlineStr">
        <is>
          <t>2A⁰, 3B⁰, 26A¹, 39A³, 78C⁷, 6C⁰, 13A⁰, 26A³, 1A⁰</t>
        </is>
      </c>
      <c r="O6695" t="inlineStr"/>
    </row>
    <row r="6696">
      <c r="A6696">
        <f>HYPERLINK("https://mathstats.uncg.edu/sites/pauli/congruence/csg21.html#group78C21", "78C²¹")</f>
        <v/>
      </c>
      <c r="B6696" t="n">
        <v>21</v>
      </c>
      <c r="C6696" t="inlineStr"/>
      <c r="D6696" t="inlineStr">
        <is>
          <t>336</t>
        </is>
      </c>
      <c r="E6696" t="inlineStr">
        <is>
          <t>1</t>
        </is>
      </c>
      <c r="F6696" t="inlineStr">
        <is>
          <t>168</t>
        </is>
      </c>
      <c r="G6696" t="inlineStr">
        <is>
          <t>0</t>
        </is>
      </c>
      <c r="H6696" t="inlineStr">
        <is>
          <t>0</t>
        </is>
      </c>
      <c r="I6696" t="inlineStr">
        <is>
          <t>1², 2², 3², 6², 13², 26², 39², 78²</t>
        </is>
      </c>
      <c r="J6696" t="n">
        <v>16</v>
      </c>
      <c r="K6696" t="inlineStr">
        <is>
          <t>1¹², 2⁶, 12⁶, 24³</t>
        </is>
      </c>
      <c r="L6696" t="inlineStr">
        <is>
          <t>26A⁴, 39B⁵, 78C¹¹</t>
        </is>
      </c>
      <c r="M6696" t="inlineStr"/>
      <c r="N6696" t="inlineStr">
        <is>
          <t>3B⁰, 26A², 39A³, 13A⁰, 6F⁰, 2B⁰, 13B⁰, 1A⁰, 78C¹¹, 39B⁵, 26A⁴</t>
        </is>
      </c>
      <c r="O6696" t="inlineStr"/>
    </row>
    <row r="6697">
      <c r="A6697">
        <f>HYPERLINK("https://mathstats.uncg.edu/sites/pauli/congruence/csg21.html#group80A21", "80A²¹")</f>
        <v/>
      </c>
      <c r="B6697" t="n">
        <v>21</v>
      </c>
      <c r="C6697" t="inlineStr"/>
      <c r="D6697" t="inlineStr">
        <is>
          <t>288</t>
        </is>
      </c>
      <c r="E6697" t="inlineStr">
        <is>
          <t>1</t>
        </is>
      </c>
      <c r="F6697" t="inlineStr">
        <is>
          <t>18</t>
        </is>
      </c>
      <c r="G6697" t="inlineStr">
        <is>
          <t>0</t>
        </is>
      </c>
      <c r="H6697" t="inlineStr">
        <is>
          <t>0</t>
        </is>
      </c>
      <c r="I6697" t="inlineStr">
        <is>
          <t>8², 16², 40², 80²</t>
        </is>
      </c>
      <c r="J6697" t="n">
        <v>8</v>
      </c>
      <c r="K6697" t="inlineStr">
        <is>
          <t>1⁶, 4³</t>
        </is>
      </c>
      <c r="L6697" t="inlineStr">
        <is>
          <t>40G⁹, 80M⁹</t>
        </is>
      </c>
      <c r="M6697" t="inlineStr"/>
      <c r="N6697" t="inlineStr">
        <is>
          <t>20E¹, 8A¹, 4C⁰, 20G³, 5B⁰, 40C⁵, 5D⁰, 2B⁰, 1A⁰, 10F⁰, 40C³, 80M⁹, 10C⁰, 20C², 40G⁹</t>
        </is>
      </c>
      <c r="O6697" t="inlineStr"/>
    </row>
    <row r="6698">
      <c r="A6698">
        <f>HYPERLINK("https://mathstats.uncg.edu/sites/pauli/congruence/csg21.html#group80B21", "80B²¹")</f>
        <v/>
      </c>
      <c r="B6698" t="n">
        <v>21</v>
      </c>
      <c r="C6698" t="inlineStr"/>
      <c r="D6698" t="inlineStr">
        <is>
          <t>288</t>
        </is>
      </c>
      <c r="E6698" t="inlineStr">
        <is>
          <t>1</t>
        </is>
      </c>
      <c r="F6698" t="inlineStr">
        <is>
          <t>18</t>
        </is>
      </c>
      <c r="G6698" t="inlineStr">
        <is>
          <t>0</t>
        </is>
      </c>
      <c r="H6698" t="inlineStr">
        <is>
          <t>0</t>
        </is>
      </c>
      <c r="I6698" t="inlineStr">
        <is>
          <t>8², 16², 40², 80²</t>
        </is>
      </c>
      <c r="J6698" t="n">
        <v>8</v>
      </c>
      <c r="K6698" t="inlineStr">
        <is>
          <t>1⁶, 4³</t>
        </is>
      </c>
      <c r="L6698" t="inlineStr">
        <is>
          <t>40G⁹, 80N⁹</t>
        </is>
      </c>
      <c r="M6698" t="inlineStr"/>
      <c r="N6698" t="inlineStr">
        <is>
          <t>20E¹, 8A¹, 4C⁰, 20G³, 5B⁰, 40C⁵, 5D⁰, 2B⁰, 80N⁹, 1A⁰, 10F⁰, 40C³, 10C⁰, 20C², 40G⁹</t>
        </is>
      </c>
      <c r="O6698" t="inlineStr"/>
    </row>
    <row r="6699">
      <c r="A6699">
        <f>HYPERLINK("https://mathstats.uncg.edu/sites/pauli/congruence/csg21.html#group80C21", "80C²¹")</f>
        <v/>
      </c>
      <c r="B6699" t="n">
        <v>21</v>
      </c>
      <c r="C6699" t="inlineStr"/>
      <c r="D6699" t="inlineStr">
        <is>
          <t>288</t>
        </is>
      </c>
      <c r="E6699" t="inlineStr">
        <is>
          <t>1</t>
        </is>
      </c>
      <c r="F6699" t="inlineStr">
        <is>
          <t>18</t>
        </is>
      </c>
      <c r="G6699" t="inlineStr">
        <is>
          <t>0</t>
        </is>
      </c>
      <c r="H6699" t="inlineStr">
        <is>
          <t>0</t>
        </is>
      </c>
      <c r="I6699" t="inlineStr">
        <is>
          <t>8², 16², 40², 80²</t>
        </is>
      </c>
      <c r="J6699" t="n">
        <v>8</v>
      </c>
      <c r="K6699" t="inlineStr">
        <is>
          <t>1⁶, 4³</t>
        </is>
      </c>
      <c r="L6699" t="inlineStr">
        <is>
          <t>40J⁹, 80G⁹</t>
        </is>
      </c>
      <c r="M6699" t="inlineStr"/>
      <c r="N6699" t="inlineStr">
        <is>
          <t>20E¹, 2A⁰, 40D³, 8A¹, 4C⁰, 40C⁵, 5B⁰, 10A¹, 8B⁰, 40J⁹, 2B⁰, 8B¹, 20D¹, 4E⁰, 4B⁰, 1A⁰, 10G¹, 10C⁰, 20J³, 2C⁰, 80G⁹</t>
        </is>
      </c>
      <c r="O6699" t="inlineStr"/>
    </row>
    <row r="6700">
      <c r="A6700">
        <f>HYPERLINK("https://mathstats.uncg.edu/sites/pauli/congruence/csg21.html#group80D21", "80D²¹")</f>
        <v/>
      </c>
      <c r="B6700" t="n">
        <v>21</v>
      </c>
      <c r="C6700" t="inlineStr"/>
      <c r="D6700" t="inlineStr">
        <is>
          <t>288</t>
        </is>
      </c>
      <c r="E6700" t="inlineStr">
        <is>
          <t>1</t>
        </is>
      </c>
      <c r="F6700" t="inlineStr">
        <is>
          <t>18</t>
        </is>
      </c>
      <c r="G6700" t="inlineStr">
        <is>
          <t>0</t>
        </is>
      </c>
      <c r="H6700" t="inlineStr">
        <is>
          <t>0</t>
        </is>
      </c>
      <c r="I6700" t="inlineStr">
        <is>
          <t>8², 16², 40², 80²</t>
        </is>
      </c>
      <c r="J6700" t="n">
        <v>8</v>
      </c>
      <c r="K6700" t="inlineStr">
        <is>
          <t>1⁶, 4³</t>
        </is>
      </c>
      <c r="L6700" t="inlineStr">
        <is>
          <t>16A³, 40J⁹, 80H⁹</t>
        </is>
      </c>
      <c r="M6700" t="inlineStr"/>
      <c r="N6700" t="inlineStr">
        <is>
          <t>2A⁰, 20E¹, 4C⁰, 16A³, 40C⁵, 5B⁰, 10A¹, 2B⁰, 4E⁰, 4B⁰, 1A⁰, 10C⁰, 20J³, 8A¹, 8B⁰, 16B¹, 40J⁹, 8B¹, 20D¹, 80H⁹, 40D³, 2C⁰, 10G¹</t>
        </is>
      </c>
      <c r="O6700" t="inlineStr"/>
    </row>
    <row r="6701">
      <c r="A6701">
        <f>HYPERLINK("https://mathstats.uncg.edu/sites/pauli/congruence/csg21.html#group80E21", "80E²¹")</f>
        <v/>
      </c>
      <c r="B6701" t="n">
        <v>21</v>
      </c>
      <c r="C6701" t="inlineStr"/>
      <c r="D6701" t="inlineStr">
        <is>
          <t>288</t>
        </is>
      </c>
      <c r="E6701" t="inlineStr">
        <is>
          <t>1</t>
        </is>
      </c>
      <c r="F6701" t="inlineStr">
        <is>
          <t>18</t>
        </is>
      </c>
      <c r="G6701" t="inlineStr">
        <is>
          <t>0</t>
        </is>
      </c>
      <c r="H6701" t="inlineStr">
        <is>
          <t>0</t>
        </is>
      </c>
      <c r="I6701" t="inlineStr">
        <is>
          <t>8², 16², 40², 80²</t>
        </is>
      </c>
      <c r="J6701" t="n">
        <v>8</v>
      </c>
      <c r="K6701" t="inlineStr">
        <is>
          <t>1⁶, 4³</t>
        </is>
      </c>
      <c r="L6701" t="inlineStr">
        <is>
          <t>40L⁵, 80A¹¹, 80B¹¹</t>
        </is>
      </c>
      <c r="M6701" t="inlineStr"/>
      <c r="N6701" t="inlineStr">
        <is>
          <t>20E¹, 40D³, 10G⁰, 4C⁰, 5B⁰, 8B⁰, 2B⁰, 1A⁰, 10B⁰, 40C³, 16A², 20A⁰, 20I¹, 80B¹¹, 10C⁰, 80A¹¹, 40L⁵</t>
        </is>
      </c>
      <c r="O6701" t="inlineStr"/>
    </row>
    <row r="6702">
      <c r="A6702">
        <f>HYPERLINK("https://mathstats.uncg.edu/sites/pauli/congruence/csg21.html#group80F21", "80F²¹")</f>
        <v/>
      </c>
      <c r="B6702" t="n">
        <v>21</v>
      </c>
      <c r="C6702" t="inlineStr"/>
      <c r="D6702" t="inlineStr">
        <is>
          <t>288</t>
        </is>
      </c>
      <c r="E6702" t="inlineStr">
        <is>
          <t>1</t>
        </is>
      </c>
      <c r="F6702" t="inlineStr">
        <is>
          <t>18</t>
        </is>
      </c>
      <c r="G6702" t="inlineStr">
        <is>
          <t>0</t>
        </is>
      </c>
      <c r="H6702" t="inlineStr">
        <is>
          <t>0</t>
        </is>
      </c>
      <c r="I6702" t="inlineStr">
        <is>
          <t>8², 16², 40², 80²</t>
        </is>
      </c>
      <c r="J6702" t="n">
        <v>8</v>
      </c>
      <c r="K6702" t="inlineStr">
        <is>
          <t>1⁶, 4³</t>
        </is>
      </c>
      <c r="L6702" t="inlineStr">
        <is>
          <t>80C⁷, 40H⁹, 80B¹¹</t>
        </is>
      </c>
      <c r="M6702" t="inlineStr"/>
      <c r="N6702" t="inlineStr">
        <is>
          <t>20E¹, 40H⁹, 4C⁰, 20G³, 80C⁷, 8B⁰, 5B⁰, 5D⁰, 2B⁰, 40B⁵, 1A⁰, 10F⁰, 16A², 80B¹¹, 10C⁰, 40D³, 20C²</t>
        </is>
      </c>
      <c r="O6702" t="inlineStr"/>
    </row>
    <row r="6703">
      <c r="A6703">
        <f>HYPERLINK("https://mathstats.uncg.edu/sites/pauli/congruence/csg21.html#group80G21", "80G²¹")</f>
        <v/>
      </c>
      <c r="B6703" t="n">
        <v>21</v>
      </c>
      <c r="C6703" t="inlineStr"/>
      <c r="D6703" t="inlineStr">
        <is>
          <t>288</t>
        </is>
      </c>
      <c r="E6703" t="inlineStr">
        <is>
          <t>1</t>
        </is>
      </c>
      <c r="F6703" t="inlineStr">
        <is>
          <t>18</t>
        </is>
      </c>
      <c r="G6703" t="inlineStr">
        <is>
          <t>0</t>
        </is>
      </c>
      <c r="H6703" t="inlineStr">
        <is>
          <t>0</t>
        </is>
      </c>
      <c r="I6703" t="inlineStr">
        <is>
          <t>8², 16², 40², 80²</t>
        </is>
      </c>
      <c r="J6703" t="n">
        <v>8</v>
      </c>
      <c r="K6703" t="inlineStr">
        <is>
          <t>1⁶, 4³</t>
        </is>
      </c>
      <c r="L6703" t="inlineStr">
        <is>
          <t>80C⁷, 40J⁹, 80A¹¹</t>
        </is>
      </c>
      <c r="M6703" t="inlineStr"/>
      <c r="N6703" t="inlineStr">
        <is>
          <t>20E¹, 2A⁰, 8A¹, 4C⁰, 80C⁷, 8B⁰, 5B⁰, 40C⁵, 40J⁹, 2B⁰, 10A¹, 20D¹, 8B¹, 4E⁰, 1A⁰, 4B⁰, 20J³, 10C⁰, 80A¹¹, 40D³, 2C⁰, 10G¹</t>
        </is>
      </c>
      <c r="O6703" t="inlineStr"/>
    </row>
    <row r="6704">
      <c r="A6704">
        <f>HYPERLINK("https://mathstats.uncg.edu/sites/pauli/congruence/csg21.html#group80H21", "80H²¹")</f>
        <v/>
      </c>
      <c r="B6704" t="n">
        <v>21</v>
      </c>
      <c r="C6704" t="inlineStr"/>
      <c r="D6704" t="inlineStr">
        <is>
          <t>288</t>
        </is>
      </c>
      <c r="E6704" t="inlineStr">
        <is>
          <t>1</t>
        </is>
      </c>
      <c r="F6704" t="inlineStr">
        <is>
          <t>18</t>
        </is>
      </c>
      <c r="G6704" t="inlineStr">
        <is>
          <t>0</t>
        </is>
      </c>
      <c r="H6704" t="inlineStr">
        <is>
          <t>0</t>
        </is>
      </c>
      <c r="I6704" t="inlineStr">
        <is>
          <t>8², 16², 40², 80²</t>
        </is>
      </c>
      <c r="J6704" t="n">
        <v>8</v>
      </c>
      <c r="K6704" t="inlineStr">
        <is>
          <t>1⁶, 4³</t>
        </is>
      </c>
      <c r="L6704" t="inlineStr">
        <is>
          <t>80D⁷, 40H⁹, 80A¹¹</t>
        </is>
      </c>
      <c r="M6704" t="inlineStr"/>
      <c r="N6704" t="inlineStr">
        <is>
          <t>20E¹, 40H⁹, 4C⁰, 20G³, 8B⁰, 5B⁰, 5D⁰, 2B⁰, 40B⁵, 1A⁰, 10F⁰, 16B⁰, 80D⁷, 10C⁰, 80A¹¹, 40D³, 20C²</t>
        </is>
      </c>
      <c r="O6704" t="inlineStr"/>
    </row>
    <row r="6705">
      <c r="A6705">
        <f>HYPERLINK("https://mathstats.uncg.edu/sites/pauli/congruence/csg21.html#group80I21", "80I²¹")</f>
        <v/>
      </c>
      <c r="B6705" t="n">
        <v>21</v>
      </c>
      <c r="C6705" t="inlineStr"/>
      <c r="D6705" t="inlineStr">
        <is>
          <t>288</t>
        </is>
      </c>
      <c r="E6705" t="inlineStr">
        <is>
          <t>1</t>
        </is>
      </c>
      <c r="F6705" t="inlineStr">
        <is>
          <t>18</t>
        </is>
      </c>
      <c r="G6705" t="inlineStr">
        <is>
          <t>0</t>
        </is>
      </c>
      <c r="H6705" t="inlineStr">
        <is>
          <t>0</t>
        </is>
      </c>
      <c r="I6705" t="inlineStr">
        <is>
          <t>8², 16², 40², 80²</t>
        </is>
      </c>
      <c r="J6705" t="n">
        <v>8</v>
      </c>
      <c r="K6705" t="inlineStr">
        <is>
          <t>1⁶, 4³</t>
        </is>
      </c>
      <c r="L6705" t="inlineStr">
        <is>
          <t>16B³, 80D⁷, 40J⁹, 80B¹¹</t>
        </is>
      </c>
      <c r="M6705" t="inlineStr"/>
      <c r="N6705" t="inlineStr">
        <is>
          <t>2A⁰, 20E¹, 40D³, 8A¹, 4C⁰, 16B³, 8B⁰, 40C⁵, 5B⁰, 40J⁹, 2B⁰, 8B¹, 4E⁰, 4B⁰, 10A¹, 1A⁰, 20D¹, 16A², 16B⁰, 80D⁷, 80B¹¹, 10C⁰, 20J³, 2C⁰, 10G¹</t>
        </is>
      </c>
      <c r="O6705" t="inlineStr"/>
    </row>
    <row r="6706">
      <c r="A6706">
        <f>HYPERLINK("https://mathstats.uncg.edu/sites/pauli/congruence/csg21.html#group80J21", "80J²¹")</f>
        <v/>
      </c>
      <c r="B6706" t="n">
        <v>21</v>
      </c>
      <c r="C6706" t="inlineStr"/>
      <c r="D6706" t="inlineStr">
        <is>
          <t>288</t>
        </is>
      </c>
      <c r="E6706" t="inlineStr">
        <is>
          <t>1</t>
        </is>
      </c>
      <c r="F6706" t="inlineStr">
        <is>
          <t>36</t>
        </is>
      </c>
      <c r="G6706" t="inlineStr">
        <is>
          <t>0</t>
        </is>
      </c>
      <c r="H6706" t="inlineStr">
        <is>
          <t>0</t>
        </is>
      </c>
      <c r="I6706" t="inlineStr">
        <is>
          <t>8², 16², 40², 80²</t>
        </is>
      </c>
      <c r="J6706" t="n">
        <v>8</v>
      </c>
      <c r="K6706" t="inlineStr">
        <is>
          <t>1⁴, 2⁴, 4², 8²</t>
        </is>
      </c>
      <c r="L6706" t="inlineStr">
        <is>
          <t>40G⁹, 80P⁹</t>
        </is>
      </c>
      <c r="M6706" t="inlineStr"/>
      <c r="N6706" t="inlineStr">
        <is>
          <t>20E¹, 80P⁹, 8A¹, 4C⁰, 20G³, 5B⁰, 40C⁵, 5D⁰, 2B⁰, 1A⁰, 10F⁰, 40C³, 10C⁰, 20C², 40G⁹</t>
        </is>
      </c>
      <c r="O6706" t="inlineStr"/>
    </row>
    <row r="6707">
      <c r="A6707">
        <f>HYPERLINK("https://mathstats.uncg.edu/sites/pauli/congruence/csg21.html#group80K21", "80K²¹")</f>
        <v/>
      </c>
      <c r="B6707" t="n">
        <v>21</v>
      </c>
      <c r="C6707" t="inlineStr"/>
      <c r="D6707" t="inlineStr">
        <is>
          <t>288</t>
        </is>
      </c>
      <c r="E6707" t="inlineStr">
        <is>
          <t>1</t>
        </is>
      </c>
      <c r="F6707" t="inlineStr">
        <is>
          <t>36</t>
        </is>
      </c>
      <c r="G6707" t="inlineStr">
        <is>
          <t>0</t>
        </is>
      </c>
      <c r="H6707" t="inlineStr">
        <is>
          <t>0</t>
        </is>
      </c>
      <c r="I6707" t="inlineStr">
        <is>
          <t>8², 16², 40², 80²</t>
        </is>
      </c>
      <c r="J6707" t="n">
        <v>8</v>
      </c>
      <c r="K6707" t="inlineStr">
        <is>
          <t>1⁴, 2⁴, 4², 8²</t>
        </is>
      </c>
      <c r="L6707" t="inlineStr">
        <is>
          <t>40Q⁷, 80G⁹, 80B¹¹</t>
        </is>
      </c>
      <c r="M6707" t="inlineStr"/>
      <c r="N6707" t="inlineStr">
        <is>
          <t>20E¹, 40D³, 40Q⁷, 80B¹¹, 4C⁰, 8B⁰, 5B⁰, 10C⁰, 2B⁰, 20K³, 1A⁰, 40G³, 80G⁹, 16A²</t>
        </is>
      </c>
      <c r="O6707" t="inlineStr"/>
    </row>
    <row r="6708">
      <c r="A6708">
        <f>HYPERLINK("https://mathstats.uncg.edu/sites/pauli/congruence/csg21.html#group80L21", "80L²¹")</f>
        <v/>
      </c>
      <c r="B6708" t="n">
        <v>21</v>
      </c>
      <c r="C6708" t="inlineStr"/>
      <c r="D6708" t="inlineStr">
        <is>
          <t>288</t>
        </is>
      </c>
      <c r="E6708" t="inlineStr">
        <is>
          <t>1</t>
        </is>
      </c>
      <c r="F6708" t="inlineStr">
        <is>
          <t>36</t>
        </is>
      </c>
      <c r="G6708" t="inlineStr">
        <is>
          <t>0</t>
        </is>
      </c>
      <c r="H6708" t="inlineStr">
        <is>
          <t>0</t>
        </is>
      </c>
      <c r="I6708" t="inlineStr">
        <is>
          <t>8², 16², 40², 80²</t>
        </is>
      </c>
      <c r="J6708" t="n">
        <v>8</v>
      </c>
      <c r="K6708" t="inlineStr">
        <is>
          <t>1⁴, 2⁴, 4², 8²</t>
        </is>
      </c>
      <c r="L6708" t="inlineStr">
        <is>
          <t>40Q⁷, 80H⁹, 80A¹¹</t>
        </is>
      </c>
      <c r="M6708" t="inlineStr"/>
      <c r="N6708" t="inlineStr">
        <is>
          <t>20E¹, 40D³, 40Q⁷, 80H⁹, 4C⁰, 8B⁰, 5B⁰, 10C⁰, 16B¹, 2B⁰, 80A¹¹, 20K³, 1A⁰, 40G³</t>
        </is>
      </c>
      <c r="O6708" t="inlineStr"/>
    </row>
    <row r="6709">
      <c r="A6709">
        <f>HYPERLINK("https://mathstats.uncg.edu/sites/pauli/congruence/csg21.html#group80M21", "80M²¹")</f>
        <v/>
      </c>
      <c r="B6709" t="n">
        <v>21</v>
      </c>
      <c r="C6709" t="inlineStr"/>
      <c r="D6709" t="inlineStr">
        <is>
          <t>288</t>
        </is>
      </c>
      <c r="E6709" t="inlineStr">
        <is>
          <t>1</t>
        </is>
      </c>
      <c r="F6709" t="inlineStr">
        <is>
          <t>36</t>
        </is>
      </c>
      <c r="G6709" t="inlineStr">
        <is>
          <t>0</t>
        </is>
      </c>
      <c r="H6709" t="inlineStr">
        <is>
          <t>0</t>
        </is>
      </c>
      <c r="I6709" t="inlineStr">
        <is>
          <t>8², 16², 40², 80²</t>
        </is>
      </c>
      <c r="J6709" t="n">
        <v>8</v>
      </c>
      <c r="K6709" t="inlineStr">
        <is>
          <t>1⁴, 2⁴, 4², 8²</t>
        </is>
      </c>
      <c r="L6709" t="inlineStr">
        <is>
          <t>40S⁷, 80G⁹, 80A¹¹</t>
        </is>
      </c>
      <c r="M6709" t="inlineStr"/>
      <c r="N6709" t="inlineStr">
        <is>
          <t>20E¹, 40H³, 8D⁰, 4C⁰, 8B⁰, 5B⁰, 2B⁰, 1A⁰, 40S⁷, 20L³, 20B¹, 8H⁰, 4A⁰, 10C⁰, 80A¹¹, 4F⁰, 40D³, 80G⁹</t>
        </is>
      </c>
      <c r="O6709" t="inlineStr"/>
    </row>
    <row r="6710">
      <c r="A6710">
        <f>HYPERLINK("https://mathstats.uncg.edu/sites/pauli/congruence/csg21.html#group80N21", "80N²¹")</f>
        <v/>
      </c>
      <c r="B6710" t="n">
        <v>21</v>
      </c>
      <c r="C6710" t="inlineStr"/>
      <c r="D6710" t="inlineStr">
        <is>
          <t>288</t>
        </is>
      </c>
      <c r="E6710" t="inlineStr">
        <is>
          <t>1</t>
        </is>
      </c>
      <c r="F6710" t="inlineStr">
        <is>
          <t>36</t>
        </is>
      </c>
      <c r="G6710" t="inlineStr">
        <is>
          <t>0</t>
        </is>
      </c>
      <c r="H6710" t="inlineStr">
        <is>
          <t>0</t>
        </is>
      </c>
      <c r="I6710" t="inlineStr">
        <is>
          <t>8², 16², 40², 80²</t>
        </is>
      </c>
      <c r="J6710" t="n">
        <v>8</v>
      </c>
      <c r="K6710" t="inlineStr">
        <is>
          <t>1⁴, 2⁴, 4², 8²</t>
        </is>
      </c>
      <c r="L6710" t="inlineStr">
        <is>
          <t>40H⁹, 80G⁹, 80H⁹</t>
        </is>
      </c>
      <c r="M6710" t="inlineStr"/>
      <c r="N6710" t="inlineStr">
        <is>
          <t>20E¹, 40H⁹, 20G³, 4C⁰, 8B⁰, 5B⁰, 5D⁰, 16B¹, 40B⁵, 2B⁰, 1A⁰, 10F⁰, 80H⁹, 10C⁰, 40D³, 20C², 80G⁹</t>
        </is>
      </c>
      <c r="O6710" t="inlineStr"/>
    </row>
    <row r="6711">
      <c r="A6711">
        <f>HYPERLINK("https://mathstats.uncg.edu/sites/pauli/congruence/csg21.html#group80O21", "80O²¹")</f>
        <v/>
      </c>
      <c r="B6711" t="n">
        <v>21</v>
      </c>
      <c r="C6711" t="inlineStr"/>
      <c r="D6711" t="inlineStr">
        <is>
          <t>288</t>
        </is>
      </c>
      <c r="E6711" t="inlineStr">
        <is>
          <t>1</t>
        </is>
      </c>
      <c r="F6711" t="inlineStr">
        <is>
          <t>36</t>
        </is>
      </c>
      <c r="G6711" t="inlineStr">
        <is>
          <t>0</t>
        </is>
      </c>
      <c r="H6711" t="inlineStr">
        <is>
          <t>0</t>
        </is>
      </c>
      <c r="I6711" t="inlineStr">
        <is>
          <t>8², 16², 40², 80²</t>
        </is>
      </c>
      <c r="J6711" t="n">
        <v>8</v>
      </c>
      <c r="K6711" t="inlineStr">
        <is>
          <t>1⁴, 2⁴, 4², 8²</t>
        </is>
      </c>
      <c r="L6711" t="inlineStr">
        <is>
          <t>16C³, 40S⁷, 80H⁹, 80B¹¹</t>
        </is>
      </c>
      <c r="M6711" t="inlineStr"/>
      <c r="N6711" t="inlineStr">
        <is>
          <t>20E¹, 16C³, 8D⁰, 40H³, 4C⁰, 8B⁰, 5B⁰, 16B¹, 2B⁰, 1A⁰, 40S⁷, 20B¹, 16A², 8H⁰, 4A⁰, 80B¹¹, 80H⁹, 10C⁰, 4F⁰, 40D³, 20L³</t>
        </is>
      </c>
      <c r="O6711" t="inlineStr"/>
    </row>
    <row r="6712">
      <c r="A6712">
        <f>HYPERLINK("https://mathstats.uncg.edu/sites/pauli/congruence/csg21.html#group80P21", "80P²¹")</f>
        <v/>
      </c>
      <c r="B6712" t="n">
        <v>21</v>
      </c>
      <c r="C6712" t="inlineStr"/>
      <c r="D6712" t="inlineStr">
        <is>
          <t>288</t>
        </is>
      </c>
      <c r="E6712" t="inlineStr">
        <is>
          <t>1</t>
        </is>
      </c>
      <c r="F6712" t="inlineStr">
        <is>
          <t>36</t>
        </is>
      </c>
      <c r="G6712" t="inlineStr">
        <is>
          <t>0</t>
        </is>
      </c>
      <c r="H6712" t="inlineStr">
        <is>
          <t>0</t>
        </is>
      </c>
      <c r="I6712" t="inlineStr">
        <is>
          <t>8², 16², 40², 80²</t>
        </is>
      </c>
      <c r="J6712" t="n">
        <v>8</v>
      </c>
      <c r="K6712" t="inlineStr">
        <is>
          <t>1⁸, 2², 4⁴, 8¹</t>
        </is>
      </c>
      <c r="L6712" t="inlineStr">
        <is>
          <t>40J⁹, 80K⁹, 80C¹¹</t>
        </is>
      </c>
      <c r="M6712" t="inlineStr"/>
      <c r="N6712" t="inlineStr">
        <is>
          <t>20E¹, 2A⁰, 40D³, 80C¹¹, 8A¹, 80K⁹, 4C⁰, 40C⁵, 5B⁰, 10A¹, 8B⁰, 40J⁹, 2B⁰, 8B¹, 20D¹, 4E⁰, 4B⁰, 1A⁰, 10C⁰, 20J³, 2C⁰, 10G¹</t>
        </is>
      </c>
      <c r="O6712" t="inlineStr"/>
    </row>
    <row r="6713">
      <c r="A6713">
        <f>HYPERLINK("https://mathstats.uncg.edu/sites/pauli/congruence/csg21.html#group80Q21", "80Q²¹")</f>
        <v/>
      </c>
      <c r="B6713" t="n">
        <v>21</v>
      </c>
      <c r="C6713" t="inlineStr"/>
      <c r="D6713" t="inlineStr">
        <is>
          <t>288</t>
        </is>
      </c>
      <c r="E6713" t="inlineStr">
        <is>
          <t>1</t>
        </is>
      </c>
      <c r="F6713" t="inlineStr">
        <is>
          <t>36</t>
        </is>
      </c>
      <c r="G6713" t="inlineStr">
        <is>
          <t>0</t>
        </is>
      </c>
      <c r="H6713" t="inlineStr">
        <is>
          <t>0</t>
        </is>
      </c>
      <c r="I6713" t="inlineStr">
        <is>
          <t>8², 16², 40², 80²</t>
        </is>
      </c>
      <c r="J6713" t="n">
        <v>8</v>
      </c>
      <c r="K6713" t="inlineStr">
        <is>
          <t>1⁸, 2², 4⁴, 8¹</t>
        </is>
      </c>
      <c r="L6713" t="inlineStr">
        <is>
          <t>16D³, 40J⁹, 80L⁹, 80D¹¹</t>
        </is>
      </c>
      <c r="M6713" t="inlineStr"/>
      <c r="N6713" t="inlineStr">
        <is>
          <t>20E¹, 2A⁰, 80D¹¹, 4C⁰, 40C⁵, 5B⁰, 10A¹, 2B⁰, 4E⁰, 4B⁰, 1A⁰, 16D¹, 80L⁹, 16B², 10C⁰, 20J³, 16D³, 8A¹, 8B⁰, 40J⁹, 20D¹, 8B¹, 40D³, 2C⁰, 10G¹</t>
        </is>
      </c>
      <c r="O6713" t="inlineStr"/>
    </row>
    <row r="6714">
      <c r="A6714">
        <f>HYPERLINK("https://mathstats.uncg.edu/sites/pauli/congruence/csg21.html#group80R21", "80R²¹")</f>
        <v/>
      </c>
      <c r="B6714" t="n">
        <v>21</v>
      </c>
      <c r="C6714" t="inlineStr"/>
      <c r="D6714" t="inlineStr">
        <is>
          <t>288</t>
        </is>
      </c>
      <c r="E6714" t="inlineStr">
        <is>
          <t>1</t>
        </is>
      </c>
      <c r="F6714" t="inlineStr">
        <is>
          <t>72</t>
        </is>
      </c>
      <c r="G6714" t="inlineStr">
        <is>
          <t>0</t>
        </is>
      </c>
      <c r="H6714" t="inlineStr">
        <is>
          <t>0</t>
        </is>
      </c>
      <c r="I6714" t="inlineStr">
        <is>
          <t>8², 16², 40², 80²</t>
        </is>
      </c>
      <c r="J6714" t="n">
        <v>8</v>
      </c>
      <c r="K6714" t="inlineStr">
        <is>
          <t>2¹², 8⁶</t>
        </is>
      </c>
      <c r="L6714" t="inlineStr">
        <is>
          <t>40I⁹</t>
        </is>
      </c>
      <c r="M6714" t="inlineStr"/>
      <c r="N6714" t="inlineStr">
        <is>
          <t>20E¹, 2A⁰, 4C⁰, 5B⁰, 10A¹, 40B⁵, 40I⁹, 2B⁰, 20D¹, 4E⁰, 4B⁰, 1A⁰, 40C³, 10C⁰, 20J³, 2C⁰, 10G¹</t>
        </is>
      </c>
      <c r="O6714" t="inlineStr"/>
    </row>
    <row r="6715">
      <c r="A6715">
        <f>HYPERLINK("https://mathstats.uncg.edu/sites/pauli/congruence/csg21.html#group80S21", "80S²¹")</f>
        <v/>
      </c>
      <c r="B6715" t="n">
        <v>21</v>
      </c>
      <c r="C6715" t="inlineStr"/>
      <c r="D6715" t="inlineStr">
        <is>
          <t>288</t>
        </is>
      </c>
      <c r="E6715" t="inlineStr">
        <is>
          <t>1</t>
        </is>
      </c>
      <c r="F6715" t="inlineStr">
        <is>
          <t>72</t>
        </is>
      </c>
      <c r="G6715" t="inlineStr">
        <is>
          <t>0</t>
        </is>
      </c>
      <c r="H6715" t="inlineStr">
        <is>
          <t>0</t>
        </is>
      </c>
      <c r="I6715" t="inlineStr">
        <is>
          <t>8², 16², 40², 80²</t>
        </is>
      </c>
      <c r="J6715" t="n">
        <v>8</v>
      </c>
      <c r="K6715" t="inlineStr">
        <is>
          <t>2¹², 8⁶</t>
        </is>
      </c>
      <c r="L6715" t="inlineStr">
        <is>
          <t>40P⁹, 80C¹¹</t>
        </is>
      </c>
      <c r="M6715" t="inlineStr"/>
      <c r="N6715" t="inlineStr">
        <is>
          <t>20E¹, 80C¹¹, 8A¹, 40H³, 8D⁰, 4C⁰, 40C⁵, 5B⁰, 2B⁰, 1A⁰, 20B¹, 40P⁹, 8C¹, 4A⁰, 10C⁰, 4F⁰, 20L³</t>
        </is>
      </c>
      <c r="O6715" t="inlineStr"/>
    </row>
    <row r="6716">
      <c r="A6716">
        <f>HYPERLINK("https://mathstats.uncg.edu/sites/pauli/congruence/csg21.html#group80T21", "80T²¹")</f>
        <v/>
      </c>
      <c r="B6716" t="n">
        <v>21</v>
      </c>
      <c r="C6716" t="inlineStr"/>
      <c r="D6716" t="inlineStr">
        <is>
          <t>288</t>
        </is>
      </c>
      <c r="E6716" t="inlineStr">
        <is>
          <t>1</t>
        </is>
      </c>
      <c r="F6716" t="inlineStr">
        <is>
          <t>72</t>
        </is>
      </c>
      <c r="G6716" t="inlineStr">
        <is>
          <t>0</t>
        </is>
      </c>
      <c r="H6716" t="inlineStr">
        <is>
          <t>0</t>
        </is>
      </c>
      <c r="I6716" t="inlineStr">
        <is>
          <t>8², 16², 40², 80²</t>
        </is>
      </c>
      <c r="J6716" t="n">
        <v>8</v>
      </c>
      <c r="K6716" t="inlineStr">
        <is>
          <t>2¹², 8⁶</t>
        </is>
      </c>
      <c r="L6716" t="inlineStr">
        <is>
          <t>16E³, 40P⁹, 80D¹¹</t>
        </is>
      </c>
      <c r="M6716" t="inlineStr"/>
      <c r="N6716" t="inlineStr">
        <is>
          <t>20E¹, 8A¹, 40H³, 8D⁰, 80D¹¹, 4C⁰, 40C⁵, 5B⁰, 2B⁰, 1A⁰, 20B¹, 40P⁹, 16B², 8C¹, 4A⁰, 10C⁰, 4F⁰, 20L³, 16E³</t>
        </is>
      </c>
      <c r="O6716" t="inlineStr"/>
    </row>
    <row r="6717">
      <c r="A6717">
        <f>HYPERLINK("https://mathstats.uncg.edu/sites/pauli/congruence/csg21.html#group80U21", "80U²¹")</f>
        <v/>
      </c>
      <c r="B6717" t="n">
        <v>21</v>
      </c>
      <c r="C6717" t="inlineStr"/>
      <c r="D6717" t="inlineStr">
        <is>
          <t>288</t>
        </is>
      </c>
      <c r="E6717" t="inlineStr">
        <is>
          <t>1</t>
        </is>
      </c>
      <c r="F6717" t="inlineStr">
        <is>
          <t>72</t>
        </is>
      </c>
      <c r="G6717" t="inlineStr">
        <is>
          <t>0</t>
        </is>
      </c>
      <c r="H6717" t="inlineStr">
        <is>
          <t>0</t>
        </is>
      </c>
      <c r="I6717" t="inlineStr">
        <is>
          <t>8², 16², 40², 80²</t>
        </is>
      </c>
      <c r="J6717" t="n">
        <v>8</v>
      </c>
      <c r="K6717" t="inlineStr">
        <is>
          <t>1⁸, 2⁴, 4⁶, 8², 16¹</t>
        </is>
      </c>
      <c r="L6717" t="inlineStr">
        <is>
          <t>40F⁹</t>
        </is>
      </c>
      <c r="M6717" t="inlineStr"/>
      <c r="N6717" t="inlineStr">
        <is>
          <t>20E¹, 20A⁰, 10G⁰, 8A¹, 20I¹, 40F⁹, 4C⁰, 40C⁵, 5B⁰, 10C⁰, 40B⁵, 2B⁰, 1A⁰, 10B⁰</t>
        </is>
      </c>
      <c r="O6717" t="inlineStr"/>
    </row>
    <row r="6718">
      <c r="A6718">
        <f>HYPERLINK("https://mathstats.uncg.edu/sites/pauli/congruence/csg21.html#group80V21", "80V²¹")</f>
        <v/>
      </c>
      <c r="B6718" t="n">
        <v>21</v>
      </c>
      <c r="C6718" t="inlineStr"/>
      <c r="D6718" t="inlineStr">
        <is>
          <t>288</t>
        </is>
      </c>
      <c r="E6718" t="inlineStr">
        <is>
          <t>1</t>
        </is>
      </c>
      <c r="F6718" t="inlineStr">
        <is>
          <t>72</t>
        </is>
      </c>
      <c r="G6718" t="inlineStr">
        <is>
          <t>0</t>
        </is>
      </c>
      <c r="H6718" t="inlineStr">
        <is>
          <t>0</t>
        </is>
      </c>
      <c r="I6718" t="inlineStr">
        <is>
          <t>8², 16², 40², 80²</t>
        </is>
      </c>
      <c r="J6718" t="n">
        <v>8</v>
      </c>
      <c r="K6718" t="inlineStr">
        <is>
          <t>1⁸, 2⁴, 4⁶, 8², 16¹</t>
        </is>
      </c>
      <c r="L6718" t="inlineStr">
        <is>
          <t>40AA⁷, 80K⁹, 80B¹¹</t>
        </is>
      </c>
      <c r="M6718" t="inlineStr"/>
      <c r="N6718" t="inlineStr">
        <is>
          <t>20E¹, 40D³, 40AA⁷, 80B¹¹, 80K⁹, 4C⁰, 8B⁰, 5B⁰, 10C⁰, 2B⁰, 1A⁰, 16A²</t>
        </is>
      </c>
      <c r="O6718" t="inlineStr"/>
    </row>
    <row r="6719">
      <c r="A6719">
        <f>HYPERLINK("https://mathstats.uncg.edu/sites/pauli/congruence/csg21.html#group80W21", "80W²¹")</f>
        <v/>
      </c>
      <c r="B6719" t="n">
        <v>21</v>
      </c>
      <c r="C6719" t="inlineStr"/>
      <c r="D6719" t="inlineStr">
        <is>
          <t>288</t>
        </is>
      </c>
      <c r="E6719" t="inlineStr">
        <is>
          <t>1</t>
        </is>
      </c>
      <c r="F6719" t="inlineStr">
        <is>
          <t>72</t>
        </is>
      </c>
      <c r="G6719" t="inlineStr">
        <is>
          <t>0</t>
        </is>
      </c>
      <c r="H6719" t="inlineStr">
        <is>
          <t>0</t>
        </is>
      </c>
      <c r="I6719" t="inlineStr">
        <is>
          <t>8², 16², 40², 80²</t>
        </is>
      </c>
      <c r="J6719" t="n">
        <v>8</v>
      </c>
      <c r="K6719" t="inlineStr">
        <is>
          <t>1⁸, 2⁴, 4⁶, 8², 16¹</t>
        </is>
      </c>
      <c r="L6719" t="inlineStr">
        <is>
          <t>40AA⁷, 80L⁹, 80A¹¹</t>
        </is>
      </c>
      <c r="M6719" t="inlineStr"/>
      <c r="N6719" t="inlineStr">
        <is>
          <t>20E¹, 40D³, 40AA⁷, 80L⁹, 16D¹, 4C⁰, 8B⁰, 5B⁰, 10C⁰, 2B⁰, 80A¹¹, 1A⁰</t>
        </is>
      </c>
      <c r="O6719" t="inlineStr"/>
    </row>
    <row r="6720">
      <c r="A6720">
        <f>HYPERLINK("https://mathstats.uncg.edu/sites/pauli/congruence/csg21.html#group80X21", "80X²¹")</f>
        <v/>
      </c>
      <c r="B6720" t="n">
        <v>21</v>
      </c>
      <c r="C6720" t="inlineStr"/>
      <c r="D6720" t="inlineStr">
        <is>
          <t>288</t>
        </is>
      </c>
      <c r="E6720" t="inlineStr">
        <is>
          <t>1</t>
        </is>
      </c>
      <c r="F6720" t="inlineStr">
        <is>
          <t>72</t>
        </is>
      </c>
      <c r="G6720" t="inlineStr">
        <is>
          <t>0</t>
        </is>
      </c>
      <c r="H6720" t="inlineStr">
        <is>
          <t>0</t>
        </is>
      </c>
      <c r="I6720" t="inlineStr">
        <is>
          <t>8², 16², 40², 80²</t>
        </is>
      </c>
      <c r="J6720" t="n">
        <v>8</v>
      </c>
      <c r="K6720" t="inlineStr">
        <is>
          <t>1⁸, 2⁴, 4⁶, 8², 16¹</t>
        </is>
      </c>
      <c r="L6720" t="inlineStr">
        <is>
          <t>40AB⁷, 80K⁹, 80A¹¹</t>
        </is>
      </c>
      <c r="M6720" t="inlineStr"/>
      <c r="N6720" t="inlineStr">
        <is>
          <t>20E¹, 40D³, 80K⁹, 4C⁰, 8B⁰, 5B⁰, 10C⁰, 8L⁰, 2B⁰, 80A¹¹, 1A⁰, 40AB⁷</t>
        </is>
      </c>
      <c r="O6720" t="inlineStr"/>
    </row>
    <row r="6721">
      <c r="A6721">
        <f>HYPERLINK("https://mathstats.uncg.edu/sites/pauli/congruence/csg21.html#group80Y21", "80Y²¹")</f>
        <v/>
      </c>
      <c r="B6721" t="n">
        <v>21</v>
      </c>
      <c r="C6721" t="inlineStr"/>
      <c r="D6721" t="inlineStr">
        <is>
          <t>288</t>
        </is>
      </c>
      <c r="E6721" t="inlineStr">
        <is>
          <t>1</t>
        </is>
      </c>
      <c r="F6721" t="inlineStr">
        <is>
          <t>72</t>
        </is>
      </c>
      <c r="G6721" t="inlineStr">
        <is>
          <t>0</t>
        </is>
      </c>
      <c r="H6721" t="inlineStr">
        <is>
          <t>0</t>
        </is>
      </c>
      <c r="I6721" t="inlineStr">
        <is>
          <t>8², 16², 40², 80²</t>
        </is>
      </c>
      <c r="J6721" t="n">
        <v>8</v>
      </c>
      <c r="K6721" t="inlineStr">
        <is>
          <t>1⁸, 2⁴, 4⁶, 8², 16¹</t>
        </is>
      </c>
      <c r="L6721" t="inlineStr">
        <is>
          <t>40F⁹, 80C¹¹, 80D¹¹</t>
        </is>
      </c>
      <c r="M6721" t="inlineStr"/>
      <c r="N6721" t="inlineStr">
        <is>
          <t>20E¹, 80C¹¹, 8A¹, 10G⁰, 80D¹¹, 40F⁹, 4C⁰, 40C⁵, 5B⁰, 2B⁰, 40B⁵, 1A⁰, 10B⁰, 20A⁰, 16B², 20I¹, 10C⁰</t>
        </is>
      </c>
      <c r="O6721" t="inlineStr"/>
    </row>
    <row r="6722">
      <c r="A6722">
        <f>HYPERLINK("https://mathstats.uncg.edu/sites/pauli/congruence/csg21.html#group80Z21", "80Z²¹")</f>
        <v/>
      </c>
      <c r="B6722" t="n">
        <v>21</v>
      </c>
      <c r="C6722" t="inlineStr"/>
      <c r="D6722" t="inlineStr">
        <is>
          <t>288</t>
        </is>
      </c>
      <c r="E6722" t="inlineStr">
        <is>
          <t>1</t>
        </is>
      </c>
      <c r="F6722" t="inlineStr">
        <is>
          <t>72</t>
        </is>
      </c>
      <c r="G6722" t="inlineStr">
        <is>
          <t>0</t>
        </is>
      </c>
      <c r="H6722" t="inlineStr">
        <is>
          <t>0</t>
        </is>
      </c>
      <c r="I6722" t="inlineStr">
        <is>
          <t>8², 16², 40², 80²</t>
        </is>
      </c>
      <c r="J6722" t="n">
        <v>8</v>
      </c>
      <c r="K6722" t="inlineStr">
        <is>
          <t>1⁸, 2⁴, 4⁶, 8², 16¹</t>
        </is>
      </c>
      <c r="L6722" t="inlineStr">
        <is>
          <t>40G⁹, 80C¹¹, 80D¹¹</t>
        </is>
      </c>
      <c r="M6722" t="inlineStr"/>
      <c r="N6722" t="inlineStr">
        <is>
          <t>20E¹, 80C¹¹, 8A¹, 80D¹¹, 4C⁰, 20G³, 40C⁵, 5B⁰, 5D⁰, 2B⁰, 1A⁰, 10F⁰, 40C³, 16B², 10C⁰, 20C², 40G⁹</t>
        </is>
      </c>
      <c r="O6722" t="inlineStr"/>
    </row>
    <row r="6723">
      <c r="A6723">
        <f>HYPERLINK("https://mathstats.uncg.edu/sites/pauli/congruence/csg21.html#group80AA21", "80AA²¹")</f>
        <v/>
      </c>
      <c r="B6723" t="n">
        <v>21</v>
      </c>
      <c r="C6723" t="inlineStr"/>
      <c r="D6723" t="inlineStr">
        <is>
          <t>288</t>
        </is>
      </c>
      <c r="E6723" t="inlineStr">
        <is>
          <t>1</t>
        </is>
      </c>
      <c r="F6723" t="inlineStr">
        <is>
          <t>72</t>
        </is>
      </c>
      <c r="G6723" t="inlineStr">
        <is>
          <t>0</t>
        </is>
      </c>
      <c r="H6723" t="inlineStr">
        <is>
          <t>0</t>
        </is>
      </c>
      <c r="I6723" t="inlineStr">
        <is>
          <t>8², 16², 40², 80²</t>
        </is>
      </c>
      <c r="J6723" t="n">
        <v>8</v>
      </c>
      <c r="K6723" t="inlineStr">
        <is>
          <t>1⁸, 2⁴, 4⁶, 8², 16¹</t>
        </is>
      </c>
      <c r="L6723" t="inlineStr">
        <is>
          <t>40H⁹, 80K⁹, 80L⁹</t>
        </is>
      </c>
      <c r="M6723" t="inlineStr"/>
      <c r="N6723" t="inlineStr">
        <is>
          <t>20E¹, 40H⁹, 80K⁹, 4C⁰, 8B⁰, 5B⁰, 20G³, 5D⁰, 2B⁰, 40B⁵, 1A⁰, 10F⁰, 16D¹, 80L⁹, 10C⁰, 40D³, 20C²</t>
        </is>
      </c>
      <c r="O6723" t="inlineStr"/>
    </row>
    <row r="6724">
      <c r="A6724">
        <f>HYPERLINK("https://mathstats.uncg.edu/sites/pauli/congruence/csg21.html#group80AB21", "80AB²¹")</f>
        <v/>
      </c>
      <c r="B6724" t="n">
        <v>21</v>
      </c>
      <c r="C6724" t="inlineStr"/>
      <c r="D6724" t="inlineStr">
        <is>
          <t>288</t>
        </is>
      </c>
      <c r="E6724" t="inlineStr">
        <is>
          <t>1</t>
        </is>
      </c>
      <c r="F6724" t="inlineStr">
        <is>
          <t>72</t>
        </is>
      </c>
      <c r="G6724" t="inlineStr">
        <is>
          <t>0</t>
        </is>
      </c>
      <c r="H6724" t="inlineStr">
        <is>
          <t>0</t>
        </is>
      </c>
      <c r="I6724" t="inlineStr">
        <is>
          <t>8², 16², 40², 80²</t>
        </is>
      </c>
      <c r="J6724" t="n">
        <v>8</v>
      </c>
      <c r="K6724" t="inlineStr">
        <is>
          <t>1⁸, 2⁴, 4⁶, 8², 16¹</t>
        </is>
      </c>
      <c r="L6724" t="inlineStr">
        <is>
          <t>16F³, 40AB⁷, 80L⁹, 80B¹¹</t>
        </is>
      </c>
      <c r="M6724" t="inlineStr"/>
      <c r="N6724" t="inlineStr">
        <is>
          <t>20E¹, 40D³, 16D¹, 80L⁹, 80B¹¹, 16F³, 4C⁰, 8B⁰, 5B⁰, 10C⁰, 8L⁰, 2B⁰, 1A⁰, 40AB⁷, 16A²</t>
        </is>
      </c>
      <c r="O6724" t="inlineStr"/>
    </row>
    <row r="6725">
      <c r="A6725">
        <f>HYPERLINK("https://mathstats.uncg.edu/sites/pauli/congruence/csg21.html#group80AC21", "80AC²¹")</f>
        <v/>
      </c>
      <c r="B6725" t="n">
        <v>21</v>
      </c>
      <c r="C6725" t="inlineStr"/>
      <c r="D6725" t="inlineStr">
        <is>
          <t>288</t>
        </is>
      </c>
      <c r="E6725" t="inlineStr">
        <is>
          <t>2</t>
        </is>
      </c>
      <c r="F6725" t="inlineStr">
        <is>
          <t>18</t>
        </is>
      </c>
      <c r="G6725" t="inlineStr">
        <is>
          <t>0</t>
        </is>
      </c>
      <c r="H6725" t="inlineStr">
        <is>
          <t>0</t>
        </is>
      </c>
      <c r="I6725" t="inlineStr">
        <is>
          <t>8², 16², 40², 80²</t>
        </is>
      </c>
      <c r="J6725" t="n">
        <v>8</v>
      </c>
      <c r="K6725" t="inlineStr">
        <is>
          <t>2⁶, 8³</t>
        </is>
      </c>
      <c r="L6725" t="inlineStr">
        <is>
          <t>40I⁹, 80P⁹</t>
        </is>
      </c>
      <c r="M6725" t="inlineStr"/>
      <c r="N6725" t="inlineStr">
        <is>
          <t>20E¹, 80P⁹, 2A⁰, 4C⁰, 5B⁰, 10A¹, 2B⁰, 40I⁹, 40B⁵, 20D¹, 4E⁰, 4B⁰, 1A⁰, 40C³, 10C⁰, 20J³, 2C⁰, 10G¹</t>
        </is>
      </c>
      <c r="O6725" t="inlineStr"/>
    </row>
    <row r="6726">
      <c r="A6726">
        <f>HYPERLINK("https://mathstats.uncg.edu/sites/pauli/congruence/csg21.html#group80AD21", "80AD²¹")</f>
        <v/>
      </c>
      <c r="B6726" t="n">
        <v>21</v>
      </c>
      <c r="C6726" t="inlineStr"/>
      <c r="D6726" t="inlineStr">
        <is>
          <t>288</t>
        </is>
      </c>
      <c r="E6726" t="inlineStr">
        <is>
          <t>2</t>
        </is>
      </c>
      <c r="F6726" t="inlineStr">
        <is>
          <t>18</t>
        </is>
      </c>
      <c r="G6726" t="inlineStr">
        <is>
          <t>0</t>
        </is>
      </c>
      <c r="H6726" t="inlineStr">
        <is>
          <t>0</t>
        </is>
      </c>
      <c r="I6726" t="inlineStr">
        <is>
          <t>8², 16², 40², 80²</t>
        </is>
      </c>
      <c r="J6726" t="n">
        <v>8</v>
      </c>
      <c r="K6726" t="inlineStr">
        <is>
          <t>2⁶, 8³</t>
        </is>
      </c>
      <c r="L6726" t="inlineStr">
        <is>
          <t>40I⁹, 80M⁹, 80N⁹</t>
        </is>
      </c>
      <c r="M6726" t="inlineStr"/>
      <c r="N6726" t="inlineStr">
        <is>
          <t>20E¹, 2A⁰, 4C⁰, 5B⁰, 10A¹, 2B⁰, 40I⁹, 80N⁹, 40B⁵, 20D¹, 4E⁰, 1A⁰, 4B⁰, 40C³, 80M⁹, 10C⁰, 20J³, 2C⁰, 10G¹</t>
        </is>
      </c>
      <c r="O6726" t="inlineStr"/>
    </row>
    <row r="6727">
      <c r="A6727">
        <f>HYPERLINK("https://mathstats.uncg.edu/sites/pauli/congruence/csg21.html#group80AE21", "80AE²¹")</f>
        <v/>
      </c>
      <c r="B6727" t="n">
        <v>21</v>
      </c>
      <c r="C6727" t="inlineStr"/>
      <c r="D6727" t="inlineStr">
        <is>
          <t>288</t>
        </is>
      </c>
      <c r="E6727" t="inlineStr">
        <is>
          <t>2</t>
        </is>
      </c>
      <c r="F6727" t="inlineStr">
        <is>
          <t>72</t>
        </is>
      </c>
      <c r="G6727" t="inlineStr">
        <is>
          <t>0</t>
        </is>
      </c>
      <c r="H6727" t="inlineStr">
        <is>
          <t>0</t>
        </is>
      </c>
      <c r="I6727" t="inlineStr">
        <is>
          <t>8², 16², 40², 80²</t>
        </is>
      </c>
      <c r="J6727" t="n">
        <v>8</v>
      </c>
      <c r="K6727" t="inlineStr">
        <is>
          <t>2¹⁶, 4⁴, 8⁸, 16²</t>
        </is>
      </c>
      <c r="L6727" t="inlineStr">
        <is>
          <t>40M⁹, 80C¹¹, 80D¹¹</t>
        </is>
      </c>
      <c r="M6727" t="inlineStr"/>
      <c r="N6727" t="inlineStr">
        <is>
          <t>20E¹, 80C¹¹, 16B², 8A¹, 80D¹¹, 4C⁰, 40C⁵, 5B⁰, 10C⁰, 2B⁰, 20K³, 1A⁰, 40M⁹, 40G³</t>
        </is>
      </c>
      <c r="O6727" t="inlineStr"/>
    </row>
    <row r="6728">
      <c r="A6728">
        <f>HYPERLINK("https://mathstats.uncg.edu/sites/pauli/congruence/csg21.html#group80AF21", "80AF²¹")</f>
        <v/>
      </c>
      <c r="B6728" t="n">
        <v>21</v>
      </c>
      <c r="C6728" t="inlineStr"/>
      <c r="D6728" t="inlineStr">
        <is>
          <t>288</t>
        </is>
      </c>
      <c r="E6728" t="inlineStr">
        <is>
          <t>2</t>
        </is>
      </c>
      <c r="F6728" t="inlineStr">
        <is>
          <t>144</t>
        </is>
      </c>
      <c r="G6728" t="inlineStr">
        <is>
          <t>4</t>
        </is>
      </c>
      <c r="H6728" t="inlineStr">
        <is>
          <t>0</t>
        </is>
      </c>
      <c r="I6728" t="inlineStr">
        <is>
          <t>16³, 80³</t>
        </is>
      </c>
      <c r="J6728" t="n">
        <v>6</v>
      </c>
      <c r="K6728" t="inlineStr">
        <is>
          <t>8¹², 32⁶</t>
        </is>
      </c>
      <c r="L6728" t="inlineStr">
        <is>
          <t>80A⁷, 40R⁹</t>
        </is>
      </c>
      <c r="M6728" t="inlineStr"/>
      <c r="N6728" t="inlineStr">
        <is>
          <t>20E¹, 80A⁷, 4A⁰, 40B³, 4C⁰, 5B⁰, 10C⁰, 8A⁰, 1A⁰, 2B⁰, 4F⁰, 40R⁹, 8D¹, 20B¹, 20L³</t>
        </is>
      </c>
      <c r="O6728" t="inlineStr"/>
    </row>
    <row r="6729">
      <c r="A6729">
        <f>HYPERLINK("https://mathstats.uncg.edu/sites/pauli/congruence/csg21.html#group80AG21", "80AG²¹")</f>
        <v/>
      </c>
      <c r="B6729" t="n">
        <v>21</v>
      </c>
      <c r="C6729" t="inlineStr"/>
      <c r="D6729" t="inlineStr">
        <is>
          <t>288</t>
        </is>
      </c>
      <c r="E6729" t="inlineStr">
        <is>
          <t>2</t>
        </is>
      </c>
      <c r="F6729" t="inlineStr">
        <is>
          <t>144</t>
        </is>
      </c>
      <c r="G6729" t="inlineStr">
        <is>
          <t>4</t>
        </is>
      </c>
      <c r="H6729" t="inlineStr">
        <is>
          <t>0</t>
        </is>
      </c>
      <c r="I6729" t="inlineStr">
        <is>
          <t>16³, 80³</t>
        </is>
      </c>
      <c r="J6729" t="n">
        <v>6</v>
      </c>
      <c r="K6729" t="inlineStr">
        <is>
          <t>8¹², 32⁶</t>
        </is>
      </c>
      <c r="L6729" t="inlineStr">
        <is>
          <t>16G³, 80B⁷, 40R⁹</t>
        </is>
      </c>
      <c r="M6729" t="inlineStr"/>
      <c r="N6729" t="inlineStr">
        <is>
          <t>20E¹, 16A⁰, 80B⁷, 4C⁰, 8A⁰, 5B⁰, 16G³, 2B⁰, 1A⁰, 8D¹, 20B¹, 4A⁰, 40B³, 10C⁰, 4F⁰, 40R⁹, 20L³</t>
        </is>
      </c>
      <c r="O6729" t="inlineStr"/>
    </row>
    <row r="6730">
      <c r="A6730">
        <f>HYPERLINK("https://mathstats.uncg.edu/sites/pauli/congruence/csg21.html#group80AH21", "80AH²¹")</f>
        <v/>
      </c>
      <c r="B6730" t="n">
        <v>21</v>
      </c>
      <c r="C6730" t="inlineStr"/>
      <c r="D6730" t="inlineStr">
        <is>
          <t>320</t>
        </is>
      </c>
      <c r="E6730" t="inlineStr">
        <is>
          <t>2</t>
        </is>
      </c>
      <c r="F6730" t="inlineStr">
        <is>
          <t>80</t>
        </is>
      </c>
      <c r="G6730" t="inlineStr">
        <is>
          <t>8</t>
        </is>
      </c>
      <c r="H6730" t="inlineStr">
        <is>
          <t>8</t>
        </is>
      </c>
      <c r="I6730" t="inlineStr">
        <is>
          <t>80⁴</t>
        </is>
      </c>
      <c r="J6730" t="n">
        <v>4</v>
      </c>
      <c r="K6730" t="inlineStr">
        <is>
          <t>16², 32⁴</t>
        </is>
      </c>
      <c r="L6730" t="inlineStr">
        <is>
          <t>40U⁹</t>
        </is>
      </c>
      <c r="M6730" t="inlineStr"/>
      <c r="N6730" t="inlineStr">
        <is>
          <t>40F⁵, 40E⁵, 20O³, 4A⁰, 10D⁰, 40U⁹, 8A⁰, 1A⁰, 5C⁰, 20E²</t>
        </is>
      </c>
      <c r="O6730" t="inlineStr"/>
    </row>
    <row r="6731">
      <c r="A6731">
        <f>HYPERLINK("https://mathstats.uncg.edu/sites/pauli/congruence/csg21.html#group80AI21", "80AI²¹")</f>
        <v/>
      </c>
      <c r="B6731" t="n">
        <v>21</v>
      </c>
      <c r="C6731" t="inlineStr"/>
      <c r="D6731" t="inlineStr">
        <is>
          <t>320</t>
        </is>
      </c>
      <c r="E6731" t="inlineStr">
        <is>
          <t>2</t>
        </is>
      </c>
      <c r="F6731" t="inlineStr">
        <is>
          <t>80</t>
        </is>
      </c>
      <c r="G6731" t="inlineStr">
        <is>
          <t>8</t>
        </is>
      </c>
      <c r="H6731" t="inlineStr">
        <is>
          <t>8</t>
        </is>
      </c>
      <c r="I6731" t="inlineStr">
        <is>
          <t>80⁴</t>
        </is>
      </c>
      <c r="J6731" t="n">
        <v>4</v>
      </c>
      <c r="K6731" t="inlineStr">
        <is>
          <t>16², 32⁴</t>
        </is>
      </c>
      <c r="L6731" t="inlineStr">
        <is>
          <t>40U⁹, 80E¹¹, 80F¹¹</t>
        </is>
      </c>
      <c r="M6731" t="inlineStr"/>
      <c r="N6731" t="inlineStr">
        <is>
          <t>40F⁵, 40E⁵, 80E¹¹, 16A⁰, 20O³, 4A⁰, 10D⁰, 40U⁹, 8A⁰, 1A⁰, 5C⁰, 20E², 80F¹¹</t>
        </is>
      </c>
      <c r="O6731" t="inlineStr"/>
    </row>
    <row r="6732">
      <c r="A6732">
        <f>HYPERLINK("https://mathstats.uncg.edu/sites/pauli/congruence/csg21.html#group84A21", "84A²¹")</f>
        <v/>
      </c>
      <c r="B6732" t="n">
        <v>21</v>
      </c>
      <c r="C6732" t="inlineStr"/>
      <c r="D6732" t="inlineStr">
        <is>
          <t>288</t>
        </is>
      </c>
      <c r="E6732" t="inlineStr">
        <is>
          <t>1</t>
        </is>
      </c>
      <c r="F6732" t="inlineStr">
        <is>
          <t>24</t>
        </is>
      </c>
      <c r="G6732" t="inlineStr">
        <is>
          <t>0</t>
        </is>
      </c>
      <c r="H6732" t="inlineStr">
        <is>
          <t>0</t>
        </is>
      </c>
      <c r="I6732" t="inlineStr">
        <is>
          <t>6², 12², 42², 84²</t>
        </is>
      </c>
      <c r="J6732" t="n">
        <v>8</v>
      </c>
      <c r="K6732" t="inlineStr">
        <is>
          <t>1⁶, 6³</t>
        </is>
      </c>
      <c r="L6732" t="inlineStr">
        <is>
          <t>12B², 28E⁵, 42E¹⁰, 84B¹⁰, 84A¹¹</t>
        </is>
      </c>
      <c r="M6732" t="inlineStr"/>
      <c r="N6732" t="inlineStr">
        <is>
          <t>2A⁰, 3A⁰, 12C⁰, 28D², 4C⁰, 12B², 6C¹, 42E¹⁰, 2B⁰, 4E⁰, 14E², 4B⁰, 1A⁰, 42B², 28E⁵, 21A², 84B¹⁰, 6A⁰, 42A⁵, 7B⁰, 42B⁴, 14C¹, 14B⁰, 12B¹, 6A¹, 84A¹¹, 28C³, 2C⁰, 6D⁰</t>
        </is>
      </c>
      <c r="O6732" t="inlineStr"/>
    </row>
    <row r="6733">
      <c r="A6733">
        <f>HYPERLINK("https://mathstats.uncg.edu/sites/pauli/congruence/csg21.html#group84B21", "84B²¹")</f>
        <v/>
      </c>
      <c r="B6733" t="n">
        <v>21</v>
      </c>
      <c r="C6733" t="inlineStr"/>
      <c r="D6733" t="inlineStr">
        <is>
          <t>288</t>
        </is>
      </c>
      <c r="E6733" t="inlineStr">
        <is>
          <t>1</t>
        </is>
      </c>
      <c r="F6733" t="inlineStr">
        <is>
          <t>72</t>
        </is>
      </c>
      <c r="G6733" t="inlineStr">
        <is>
          <t>0</t>
        </is>
      </c>
      <c r="H6733" t="inlineStr">
        <is>
          <t>0</t>
        </is>
      </c>
      <c r="I6733" t="inlineStr">
        <is>
          <t>6², 12², 42², 84²</t>
        </is>
      </c>
      <c r="J6733" t="n">
        <v>8</v>
      </c>
      <c r="K6733" t="inlineStr">
        <is>
          <t>1⁶, 2⁶, 6³, 12³</t>
        </is>
      </c>
      <c r="L6733" t="inlineStr">
        <is>
          <t>12C², 42A⁹, 84B¹¹</t>
        </is>
      </c>
      <c r="M6733" t="inlineStr"/>
      <c r="N6733" t="inlineStr">
        <is>
          <t>6G⁰, 2B⁰, 1A⁰, 42A⁹, 21A³, 12C¹, 21A², 42A⁵, 7B⁰, 14C¹, 3C⁰, 3A⁰, 12C², 84B¹¹, 6D⁰</t>
        </is>
      </c>
      <c r="O6733" t="inlineStr"/>
    </row>
    <row r="6734">
      <c r="A6734">
        <f>HYPERLINK("https://mathstats.uncg.edu/sites/pauli/congruence/csg21.html#group84C21", "84C²¹")</f>
        <v/>
      </c>
      <c r="B6734" t="n">
        <v>21</v>
      </c>
      <c r="C6734" t="inlineStr"/>
      <c r="D6734" t="inlineStr">
        <is>
          <t>288</t>
        </is>
      </c>
      <c r="E6734" t="inlineStr">
        <is>
          <t>1</t>
        </is>
      </c>
      <c r="F6734" t="inlineStr">
        <is>
          <t>72</t>
        </is>
      </c>
      <c r="G6734" t="inlineStr">
        <is>
          <t>0</t>
        </is>
      </c>
      <c r="H6734" t="inlineStr">
        <is>
          <t>0</t>
        </is>
      </c>
      <c r="I6734" t="inlineStr">
        <is>
          <t>6², 12², 42², 84²</t>
        </is>
      </c>
      <c r="J6734" t="n">
        <v>8</v>
      </c>
      <c r="K6734" t="inlineStr">
        <is>
          <t>1⁶, 2⁶, 6³, 12³</t>
        </is>
      </c>
      <c r="L6734" t="inlineStr">
        <is>
          <t>12H⁰, 42I¹⁰, 84C¹⁰, 84A¹¹</t>
        </is>
      </c>
      <c r="M6734" t="inlineStr"/>
      <c r="N6734" t="inlineStr">
        <is>
          <t>28C³, 6B⁰, 12C⁰, 84C¹⁰, 4C⁰, 42I¹⁰, 2B⁰, 42C⁴, 12H⁰, 1A⁰, 21A², 42A⁵, 7B⁰, 6D⁰, 14C¹, 12D⁰, 6H⁰, 3A⁰, 84A¹¹</t>
        </is>
      </c>
      <c r="O6734" t="inlineStr"/>
    </row>
    <row r="6735">
      <c r="A6735">
        <f>HYPERLINK("https://mathstats.uncg.edu/sites/pauli/congruence/csg21.html#group84D21", "84D²¹")</f>
        <v/>
      </c>
      <c r="B6735" t="n">
        <v>21</v>
      </c>
      <c r="C6735" t="inlineStr"/>
      <c r="D6735" t="inlineStr">
        <is>
          <t>288</t>
        </is>
      </c>
      <c r="E6735" t="inlineStr">
        <is>
          <t>1</t>
        </is>
      </c>
      <c r="F6735" t="inlineStr">
        <is>
          <t>72</t>
        </is>
      </c>
      <c r="G6735" t="inlineStr">
        <is>
          <t>0</t>
        </is>
      </c>
      <c r="H6735" t="inlineStr">
        <is>
          <t>0</t>
        </is>
      </c>
      <c r="I6735" t="inlineStr">
        <is>
          <t>6², 12², 42², 84²</t>
        </is>
      </c>
      <c r="J6735" t="n">
        <v>8</v>
      </c>
      <c r="K6735" t="inlineStr">
        <is>
          <t>1⁶, 2⁶, 6³, 12³</t>
        </is>
      </c>
      <c r="L6735" t="inlineStr">
        <is>
          <t>12L¹, 42A⁹, 84A¹¹, 84B¹¹</t>
        </is>
      </c>
      <c r="M6735" t="inlineStr"/>
      <c r="N6735" t="inlineStr">
        <is>
          <t>28C³, 12C⁰, 4C⁰, 6G⁰, 2B⁰, 1A⁰, 12L¹, 42A⁹, 21A³, 12C¹, 21A², 42A⁵, 7B⁰, 14C¹, 3C⁰, 84A¹¹, 3A⁰, 84B¹¹, 6D⁰</t>
        </is>
      </c>
      <c r="O6735" t="inlineStr"/>
    </row>
    <row r="6736">
      <c r="A6736">
        <f>HYPERLINK("https://mathstats.uncg.edu/sites/pauli/congruence/csg21.html#group84E21", "84E²¹")</f>
        <v/>
      </c>
      <c r="B6736" t="n">
        <v>21</v>
      </c>
      <c r="C6736" t="inlineStr"/>
      <c r="D6736" t="inlineStr">
        <is>
          <t>288</t>
        </is>
      </c>
      <c r="E6736" t="inlineStr">
        <is>
          <t>1</t>
        </is>
      </c>
      <c r="F6736" t="inlineStr">
        <is>
          <t>72</t>
        </is>
      </c>
      <c r="G6736" t="inlineStr">
        <is>
          <t>0</t>
        </is>
      </c>
      <c r="H6736" t="inlineStr">
        <is>
          <t>0</t>
        </is>
      </c>
      <c r="I6736" t="inlineStr">
        <is>
          <t>6², 12², 42², 84²</t>
        </is>
      </c>
      <c r="J6736" t="n">
        <v>8</v>
      </c>
      <c r="K6736" t="inlineStr">
        <is>
          <t>1⁶, 2⁶, 6³, 12³</t>
        </is>
      </c>
      <c r="L6736" t="inlineStr">
        <is>
          <t>12D², 42I¹⁰, 84B¹⁰, 84B¹¹</t>
        </is>
      </c>
      <c r="M6736" t="inlineStr"/>
      <c r="N6736" t="inlineStr">
        <is>
          <t>6B⁰, 12D², 28D², 42I¹⁰, 2B⁰, 42C⁴, 4B⁰, 1A⁰, 21A², 84B¹⁰, 12C¹, 42A⁵, 7B⁰, 14C¹, 12B¹, 6H⁰, 3A⁰, 84B¹¹, 6D⁰</t>
        </is>
      </c>
      <c r="O6736" t="inlineStr"/>
    </row>
    <row r="6737">
      <c r="A6737">
        <f>HYPERLINK("https://mathstats.uncg.edu/sites/pauli/congruence/csg21.html#group84F21", "84F²¹")</f>
        <v/>
      </c>
      <c r="B6737" t="n">
        <v>21</v>
      </c>
      <c r="C6737" t="inlineStr"/>
      <c r="D6737" t="inlineStr">
        <is>
          <t>288</t>
        </is>
      </c>
      <c r="E6737" t="inlineStr">
        <is>
          <t>1</t>
        </is>
      </c>
      <c r="F6737" t="inlineStr">
        <is>
          <t>72</t>
        </is>
      </c>
      <c r="G6737" t="inlineStr">
        <is>
          <t>0</t>
        </is>
      </c>
      <c r="H6737" t="inlineStr">
        <is>
          <t>0</t>
        </is>
      </c>
      <c r="I6737" t="inlineStr">
        <is>
          <t>6², 12², 42², 84²</t>
        </is>
      </c>
      <c r="J6737" t="n">
        <v>8</v>
      </c>
      <c r="K6737" t="inlineStr">
        <is>
          <t>1⁶, 2⁶, 6³, 12³</t>
        </is>
      </c>
      <c r="L6737" t="inlineStr">
        <is>
          <t>12E², 42E¹⁰, 84C¹⁰, 84B¹¹</t>
        </is>
      </c>
      <c r="M6737" t="inlineStr"/>
      <c r="N6737" t="inlineStr">
        <is>
          <t>2A⁰, 84C¹⁰, 6C¹, 12E², 42E¹⁰, 2B⁰, 14E², 1A⁰, 42B², 12C¹, 6A⁰, 21A², 42A⁵, 7B⁰, 42B⁴, 14C¹, 14B⁰, 84B¹¹, 6A¹, 12D⁰, 3A⁰, 2C⁰, 6D⁰</t>
        </is>
      </c>
      <c r="O6737" t="inlineStr"/>
    </row>
    <row r="6738">
      <c r="A6738">
        <f>HYPERLINK("https://mathstats.uncg.edu/sites/pauli/congruence/csg21.html#group84G21", "84G²¹")</f>
        <v/>
      </c>
      <c r="B6738" t="n">
        <v>21</v>
      </c>
      <c r="C6738" t="inlineStr"/>
      <c r="D6738" t="inlineStr">
        <is>
          <t>288</t>
        </is>
      </c>
      <c r="E6738" t="inlineStr">
        <is>
          <t>2</t>
        </is>
      </c>
      <c r="F6738" t="inlineStr">
        <is>
          <t>24</t>
        </is>
      </c>
      <c r="G6738" t="inlineStr">
        <is>
          <t>0</t>
        </is>
      </c>
      <c r="H6738" t="inlineStr">
        <is>
          <t>0</t>
        </is>
      </c>
      <c r="I6738" t="inlineStr">
        <is>
          <t>6², 12², 42², 84²</t>
        </is>
      </c>
      <c r="J6738" t="n">
        <v>8</v>
      </c>
      <c r="K6738" t="inlineStr">
        <is>
          <t>2⁶, 12³</t>
        </is>
      </c>
      <c r="L6738" t="inlineStr">
        <is>
          <t>28E⁵, 42J¹⁰, 84D¹⁰, 84C¹¹</t>
        </is>
      </c>
      <c r="M6738" t="inlineStr"/>
      <c r="N6738" t="inlineStr">
        <is>
          <t>2A⁰, 42J¹⁰, 42B⁵, 28D², 4C⁰, 2B⁰, 4E⁰, 14E², 4B⁰, 1A⁰, 28E⁵, 84C¹¹, 7B⁰, 14C¹, 14B⁰, 42C², 28C³, 84D¹⁰, 2C⁰, 42B³, 21A¹</t>
        </is>
      </c>
      <c r="O6738" t="inlineStr"/>
    </row>
    <row r="6739">
      <c r="A6739">
        <f>HYPERLINK("https://mathstats.uncg.edu/sites/pauli/congruence/csg21.html#group84H21", "84H²¹")</f>
        <v/>
      </c>
      <c r="B6739" t="n">
        <v>21</v>
      </c>
      <c r="C6739" t="inlineStr"/>
      <c r="D6739" t="inlineStr">
        <is>
          <t>288</t>
        </is>
      </c>
      <c r="E6739" t="inlineStr">
        <is>
          <t>2</t>
        </is>
      </c>
      <c r="F6739" t="inlineStr">
        <is>
          <t>72</t>
        </is>
      </c>
      <c r="G6739" t="inlineStr">
        <is>
          <t>0</t>
        </is>
      </c>
      <c r="H6739" t="inlineStr">
        <is>
          <t>0</t>
        </is>
      </c>
      <c r="I6739" t="inlineStr">
        <is>
          <t>6², 12², 42², 84²</t>
        </is>
      </c>
      <c r="J6739" t="n">
        <v>8</v>
      </c>
      <c r="K6739" t="inlineStr">
        <is>
          <t>2¹⁸, 12⁹</t>
        </is>
      </c>
      <c r="L6739" t="inlineStr">
        <is>
          <t>12N¹, 42I¹⁰, 84C¹⁰, 84B¹¹</t>
        </is>
      </c>
      <c r="M6739" t="inlineStr"/>
      <c r="N6739" t="inlineStr">
        <is>
          <t>6B⁰, 84C¹⁰, 42I¹⁰, 2B⁰, 42C⁴, 12N¹, 1A⁰, 21A², 12C¹, 42A⁵, 7B⁰, 14C¹, 12D⁰, 6H⁰, 3A⁰, 84B¹¹, 6D⁰</t>
        </is>
      </c>
      <c r="O6739" t="inlineStr"/>
    </row>
    <row r="6740">
      <c r="A6740">
        <f>HYPERLINK("https://mathstats.uncg.edu/sites/pauli/congruence/csg21.html#group84I21", "84I²¹")</f>
        <v/>
      </c>
      <c r="B6740" t="n">
        <v>21</v>
      </c>
      <c r="C6740" t="inlineStr"/>
      <c r="D6740" t="inlineStr">
        <is>
          <t>336</t>
        </is>
      </c>
      <c r="E6740" t="inlineStr">
        <is>
          <t>1</t>
        </is>
      </c>
      <c r="F6740" t="inlineStr">
        <is>
          <t>28</t>
        </is>
      </c>
      <c r="G6740" t="inlineStr">
        <is>
          <t>24</t>
        </is>
      </c>
      <c r="H6740" t="inlineStr">
        <is>
          <t>0</t>
        </is>
      </c>
      <c r="I6740" t="inlineStr">
        <is>
          <t>84⁴</t>
        </is>
      </c>
      <c r="J6740" t="n">
        <v>4</v>
      </c>
      <c r="K6740" t="inlineStr">
        <is>
          <t>2¹, 6¹, 12⁴</t>
        </is>
      </c>
      <c r="L6740" t="inlineStr">
        <is>
          <t>28F⁵, 42N⁷</t>
        </is>
      </c>
      <c r="M6740" t="inlineStr"/>
      <c r="N6740" t="inlineStr">
        <is>
          <t>28F⁵, 14A⁰, 42A¹, 21A⁰, 14G¹, 1A⁰, 21C³, 7F⁰, 42N⁷, 3A⁰, 7A⁰</t>
        </is>
      </c>
      <c r="O6740" t="inlineStr"/>
    </row>
    <row r="6741">
      <c r="A6741">
        <f>HYPERLINK("https://mathstats.uncg.edu/sites/pauli/congruence/csg21.html#group84J21", "84J²¹")</f>
        <v/>
      </c>
      <c r="B6741" t="n">
        <v>21</v>
      </c>
      <c r="C6741" t="inlineStr"/>
      <c r="D6741" t="inlineStr">
        <is>
          <t>336</t>
        </is>
      </c>
      <c r="E6741" t="inlineStr">
        <is>
          <t>1</t>
        </is>
      </c>
      <c r="F6741" t="inlineStr">
        <is>
          <t>28</t>
        </is>
      </c>
      <c r="G6741" t="inlineStr">
        <is>
          <t>24</t>
        </is>
      </c>
      <c r="H6741" t="inlineStr">
        <is>
          <t>0</t>
        </is>
      </c>
      <c r="I6741" t="inlineStr">
        <is>
          <t>84⁴</t>
        </is>
      </c>
      <c r="J6741" t="n">
        <v>4</v>
      </c>
      <c r="K6741" t="inlineStr">
        <is>
          <t>2¹, 6¹, 12⁴</t>
        </is>
      </c>
      <c r="L6741" t="inlineStr">
        <is>
          <t>28G⁵, 42N⁷</t>
        </is>
      </c>
      <c r="M6741" t="inlineStr"/>
      <c r="N6741" t="inlineStr">
        <is>
          <t>14A⁰, 42A¹, 28G⁵, 21A⁰, 14G¹, 1A⁰, 21C³, 7F⁰, 42N⁷, 3A⁰, 7A⁰</t>
        </is>
      </c>
      <c r="O6741" t="inlineStr"/>
    </row>
    <row r="6742">
      <c r="A6742">
        <f>HYPERLINK("https://mathstats.uncg.edu/sites/pauli/congruence/csg21.html#group84K21", "84K²¹")</f>
        <v/>
      </c>
      <c r="B6742" t="n">
        <v>21</v>
      </c>
      <c r="C6742" t="inlineStr"/>
      <c r="D6742" t="inlineStr">
        <is>
          <t>336</t>
        </is>
      </c>
      <c r="E6742" t="inlineStr">
        <is>
          <t>1</t>
        </is>
      </c>
      <c r="F6742" t="inlineStr">
        <is>
          <t>84</t>
        </is>
      </c>
      <c r="G6742" t="inlineStr">
        <is>
          <t>24</t>
        </is>
      </c>
      <c r="H6742" t="inlineStr">
        <is>
          <t>0</t>
        </is>
      </c>
      <c r="I6742" t="inlineStr">
        <is>
          <t>84⁴</t>
        </is>
      </c>
      <c r="J6742" t="n">
        <v>4</v>
      </c>
      <c r="K6742" t="inlineStr">
        <is>
          <t>2¹, 4¹, 6¹, 12⁵, 24⁴</t>
        </is>
      </c>
      <c r="L6742" t="inlineStr">
        <is>
          <t>42N⁷</t>
        </is>
      </c>
      <c r="M6742" t="inlineStr"/>
      <c r="N6742" t="inlineStr">
        <is>
          <t>14A⁰, 42A¹, 7A⁰, 7F⁰, 21A⁰, 42N⁷, 3A⁰, 1A⁰, 21C³, 14G¹</t>
        </is>
      </c>
      <c r="O6742" t="inlineStr"/>
    </row>
    <row r="6743">
      <c r="A6743">
        <f>HYPERLINK("https://mathstats.uncg.edu/sites/pauli/congruence/csg21.html#group84L21", "84L²¹")</f>
        <v/>
      </c>
      <c r="B6743" t="n">
        <v>21</v>
      </c>
      <c r="C6743" t="inlineStr"/>
      <c r="D6743" t="inlineStr">
        <is>
          <t>336</t>
        </is>
      </c>
      <c r="E6743" t="inlineStr">
        <is>
          <t>1</t>
        </is>
      </c>
      <c r="F6743" t="inlineStr">
        <is>
          <t>84</t>
        </is>
      </c>
      <c r="G6743" t="inlineStr">
        <is>
          <t>24</t>
        </is>
      </c>
      <c r="H6743" t="inlineStr">
        <is>
          <t>0</t>
        </is>
      </c>
      <c r="I6743" t="inlineStr">
        <is>
          <t>84⁴</t>
        </is>
      </c>
      <c r="J6743" t="n">
        <v>4</v>
      </c>
      <c r="K6743" t="inlineStr">
        <is>
          <t>2¹, 4¹, 6¹, 12⁵, 24⁴</t>
        </is>
      </c>
      <c r="L6743" t="inlineStr">
        <is>
          <t>42N⁷</t>
        </is>
      </c>
      <c r="M6743" t="inlineStr"/>
      <c r="N6743" t="inlineStr">
        <is>
          <t>14A⁰, 42A¹, 7A⁰, 7F⁰, 21A⁰, 42N⁷, 3A⁰, 1A⁰, 21C³, 14G¹</t>
        </is>
      </c>
      <c r="O6743" t="inlineStr"/>
    </row>
    <row r="6744">
      <c r="A6744">
        <f>HYPERLINK("https://mathstats.uncg.edu/sites/pauli/congruence/csg21.html#group84M21", "84M²¹")</f>
        <v/>
      </c>
      <c r="B6744" t="n">
        <v>21</v>
      </c>
      <c r="C6744" t="inlineStr"/>
      <c r="D6744" t="inlineStr">
        <is>
          <t>336</t>
        </is>
      </c>
      <c r="E6744" t="inlineStr">
        <is>
          <t>1</t>
        </is>
      </c>
      <c r="F6744" t="inlineStr">
        <is>
          <t>112</t>
        </is>
      </c>
      <c r="G6744" t="inlineStr">
        <is>
          <t>24</t>
        </is>
      </c>
      <c r="H6744" t="inlineStr">
        <is>
          <t>0</t>
        </is>
      </c>
      <c r="I6744" t="inlineStr">
        <is>
          <t>84⁴</t>
        </is>
      </c>
      <c r="J6744" t="n">
        <v>4</v>
      </c>
      <c r="K6744" t="inlineStr">
        <is>
          <t>2², 6², 12⁸</t>
        </is>
      </c>
      <c r="L6744" t="inlineStr">
        <is>
          <t>21C³, 84A³, 28H⁶</t>
        </is>
      </c>
      <c r="M6744" t="inlineStr"/>
      <c r="N6744" t="inlineStr">
        <is>
          <t>28H⁶, 84A³, 12A⁰, 4A⁰, 7F⁰, 21A⁰, 3A⁰, 28A¹, 1A⁰, 21C³, 7A⁰</t>
        </is>
      </c>
      <c r="O6744" t="inlineStr"/>
    </row>
    <row r="6745">
      <c r="A6745">
        <f>HYPERLINK("https://mathstats.uncg.edu/sites/pauli/congruence/csg21.html#group84N21", "84N²¹")</f>
        <v/>
      </c>
      <c r="B6745" t="n">
        <v>21</v>
      </c>
      <c r="C6745" t="inlineStr"/>
      <c r="D6745" t="inlineStr">
        <is>
          <t>336</t>
        </is>
      </c>
      <c r="E6745" t="inlineStr">
        <is>
          <t>2</t>
        </is>
      </c>
      <c r="F6745" t="inlineStr">
        <is>
          <t>84</t>
        </is>
      </c>
      <c r="G6745" t="inlineStr">
        <is>
          <t>24</t>
        </is>
      </c>
      <c r="H6745" t="inlineStr">
        <is>
          <t>0</t>
        </is>
      </c>
      <c r="I6745" t="inlineStr">
        <is>
          <t>84⁴</t>
        </is>
      </c>
      <c r="J6745" t="n">
        <v>4</v>
      </c>
      <c r="K6745" t="inlineStr">
        <is>
          <t>4², 8², 12⁴, 24⁴</t>
        </is>
      </c>
      <c r="L6745" t="inlineStr">
        <is>
          <t>12Q¹, 42F⁴, 84I⁸, 84G¹¹</t>
        </is>
      </c>
      <c r="M6745" t="inlineStr"/>
      <c r="N6745" t="inlineStr">
        <is>
          <t>12G¹, 21D², 6B⁰, 42F⁴, 84I⁸, 12F⁰, 21A⁰, 84G¹¹, 1A⁰, 84A³, 12A⁰, 6E⁰, 4A⁰, 12Q¹, 3C⁰, 42B¹, 3A⁰, 28A¹, 7A⁰</t>
        </is>
      </c>
      <c r="O6745" t="inlineStr"/>
    </row>
    <row r="6746">
      <c r="A6746">
        <f>HYPERLINK("https://mathstats.uncg.edu/sites/pauli/congruence/csg21.html#group84O21", "84O²¹")</f>
        <v/>
      </c>
      <c r="B6746" t="n">
        <v>21</v>
      </c>
      <c r="C6746" t="inlineStr"/>
      <c r="D6746" t="inlineStr">
        <is>
          <t>336</t>
        </is>
      </c>
      <c r="E6746" t="inlineStr">
        <is>
          <t>2</t>
        </is>
      </c>
      <c r="F6746" t="inlineStr">
        <is>
          <t>84</t>
        </is>
      </c>
      <c r="G6746" t="inlineStr">
        <is>
          <t>24</t>
        </is>
      </c>
      <c r="H6746" t="inlineStr">
        <is>
          <t>0</t>
        </is>
      </c>
      <c r="I6746" t="inlineStr">
        <is>
          <t>84⁴</t>
        </is>
      </c>
      <c r="J6746" t="n">
        <v>4</v>
      </c>
      <c r="K6746" t="inlineStr">
        <is>
          <t>8⁶, 24¹²</t>
        </is>
      </c>
      <c r="L6746" t="inlineStr">
        <is>
          <t>42G⁴, 84I⁸, 84E⁹, 84F¹⁰</t>
        </is>
      </c>
      <c r="M6746" t="inlineStr"/>
      <c r="N6746" t="inlineStr">
        <is>
          <t>6B⁰, 84I⁸, 21D¹, 12F⁰, 21A⁰, 1A⁰, 84A³, 12A⁰, 42A², 84F¹⁰, 42G⁴, 4A⁰, 84E⁹, 42B¹, 3A⁰, 28A¹, 7A⁰</t>
        </is>
      </c>
      <c r="O6746" t="inlineStr"/>
    </row>
    <row r="6747">
      <c r="A6747">
        <f>HYPERLINK("https://mathstats.uncg.edu/sites/pauli/congruence/csg21.html#group84P21", "84P²¹")</f>
        <v/>
      </c>
      <c r="B6747" t="n">
        <v>21</v>
      </c>
      <c r="C6747" t="inlineStr"/>
      <c r="D6747" t="inlineStr">
        <is>
          <t>336</t>
        </is>
      </c>
      <c r="E6747" t="inlineStr">
        <is>
          <t>2</t>
        </is>
      </c>
      <c r="F6747" t="inlineStr">
        <is>
          <t>84</t>
        </is>
      </c>
      <c r="G6747" t="inlineStr">
        <is>
          <t>24</t>
        </is>
      </c>
      <c r="H6747" t="inlineStr">
        <is>
          <t>0</t>
        </is>
      </c>
      <c r="I6747" t="inlineStr">
        <is>
          <t>84⁴</t>
        </is>
      </c>
      <c r="J6747" t="n">
        <v>4</v>
      </c>
      <c r="K6747" t="inlineStr">
        <is>
          <t>8⁶, 24¹²</t>
        </is>
      </c>
      <c r="L6747" t="inlineStr">
        <is>
          <t>42H⁴, 84I⁸, 84E⁹, 84F¹⁰</t>
        </is>
      </c>
      <c r="M6747" t="inlineStr"/>
      <c r="N6747" t="inlineStr">
        <is>
          <t>6B⁰, 42H⁴, 84I⁸, 21D¹, 12F⁰, 21A⁰, 1A⁰, 84A³, 12A⁰, 42A², 84F¹⁰, 4A⁰, 84E⁹, 42B¹, 3A⁰, 28A¹, 7A⁰</t>
        </is>
      </c>
      <c r="O6747" t="inlineStr"/>
    </row>
    <row r="6748">
      <c r="A6748">
        <f>HYPERLINK("https://mathstats.uncg.edu/sites/pauli/congruence/csg21.html#group84Q21", "84Q²¹")</f>
        <v/>
      </c>
      <c r="B6748" t="n">
        <v>21</v>
      </c>
      <c r="C6748" t="inlineStr"/>
      <c r="D6748" t="inlineStr">
        <is>
          <t>384</t>
        </is>
      </c>
      <c r="E6748" t="inlineStr">
        <is>
          <t>1</t>
        </is>
      </c>
      <c r="F6748" t="inlineStr">
        <is>
          <t>96</t>
        </is>
      </c>
      <c r="G6748" t="inlineStr">
        <is>
          <t>0</t>
        </is>
      </c>
      <c r="H6748" t="inlineStr">
        <is>
          <t>0</t>
        </is>
      </c>
      <c r="I6748" t="inlineStr">
        <is>
          <t>1⁴, 3⁴, 4², 7⁴, 12², 21⁴, 28², 84²</t>
        </is>
      </c>
      <c r="J6748" t="n">
        <v>24</v>
      </c>
      <c r="K6748" t="inlineStr">
        <is>
          <t>1¹², 2⁶, 6⁶, 12³</t>
        </is>
      </c>
      <c r="L6748" t="inlineStr">
        <is>
          <t>42E⁹, 84H¹¹, 84I¹¹</t>
        </is>
      </c>
      <c r="M6748" t="inlineStr"/>
      <c r="N6748" t="inlineStr">
        <is>
          <t>3B⁰, 21B¹, 7B⁰, 28D², 14C¹, 42G⁵, 6F⁰, 21F¹, 1A⁰, 84H¹¹, 2B⁰, 42E⁹, 4B⁰, 84I¹¹, 12E⁰</t>
        </is>
      </c>
      <c r="O6748" t="inlineStr"/>
    </row>
    <row r="6749">
      <c r="A6749">
        <f>HYPERLINK("https://mathstats.uncg.edu/sites/pauli/congruence/csg21.html#group88A21", "88A²¹")</f>
        <v/>
      </c>
      <c r="B6749" t="n">
        <v>21</v>
      </c>
      <c r="C6749" t="inlineStr"/>
      <c r="D6749" t="inlineStr">
        <is>
          <t>264</t>
        </is>
      </c>
      <c r="E6749" t="inlineStr">
        <is>
          <t>2</t>
        </is>
      </c>
      <c r="F6749" t="inlineStr">
        <is>
          <t>33</t>
        </is>
      </c>
      <c r="G6749" t="inlineStr">
        <is>
          <t>0</t>
        </is>
      </c>
      <c r="H6749" t="inlineStr">
        <is>
          <t>0</t>
        </is>
      </c>
      <c r="I6749" t="inlineStr">
        <is>
          <t>44², 88²</t>
        </is>
      </c>
      <c r="J6749" t="n">
        <v>4</v>
      </c>
      <c r="K6749" t="inlineStr">
        <is>
          <t>2³, 10⁶</t>
        </is>
      </c>
      <c r="L6749" t="inlineStr">
        <is>
          <t>8B¹, 88B⁸, 44A¹⁰, 88A¹¹</t>
        </is>
      </c>
      <c r="M6749" t="inlineStr"/>
      <c r="N6749" t="inlineStr">
        <is>
          <t>2A⁰, 44A¹⁰, 22A¹, 8A¹, 44C⁴, 4C⁰, 8B⁰, 2B⁰, 8B¹, 4E⁰, 22B², 4B⁰, 44A⁵, 1A⁰, 88B⁸, 11A⁰, 88A¹¹, 22A⁵, 2C⁰</t>
        </is>
      </c>
      <c r="O6749" t="inlineStr"/>
    </row>
    <row r="6750">
      <c r="A6750">
        <f>HYPERLINK("https://mathstats.uncg.edu/sites/pauli/congruence/csg21.html#group88B21", "88B²¹")</f>
        <v/>
      </c>
      <c r="B6750" t="n">
        <v>21</v>
      </c>
      <c r="C6750" t="inlineStr"/>
      <c r="D6750" t="inlineStr">
        <is>
          <t>264</t>
        </is>
      </c>
      <c r="E6750" t="inlineStr">
        <is>
          <t>2</t>
        </is>
      </c>
      <c r="F6750" t="inlineStr">
        <is>
          <t>66</t>
        </is>
      </c>
      <c r="G6750" t="inlineStr">
        <is>
          <t>0</t>
        </is>
      </c>
      <c r="H6750" t="inlineStr">
        <is>
          <t>0</t>
        </is>
      </c>
      <c r="I6750" t="inlineStr">
        <is>
          <t>44², 88²</t>
        </is>
      </c>
      <c r="J6750" t="n">
        <v>4</v>
      </c>
      <c r="K6750" t="inlineStr">
        <is>
          <t>2², 4², 10⁴, 20⁴</t>
        </is>
      </c>
      <c r="L6750" t="inlineStr">
        <is>
          <t>8C¹, 44A⁹, 88A⁹, 88A¹¹</t>
        </is>
      </c>
      <c r="M6750" t="inlineStr"/>
      <c r="N6750" t="inlineStr">
        <is>
          <t>11A⁰, 8C¹, 44A², 8A¹, 44C⁴, 88A¹¹, 4A⁰, 8D⁰, 4C⁰, 1A⁰, 2B⁰, 4F⁰, 22B², 44A⁹, 88A⁹</t>
        </is>
      </c>
      <c r="O6750" t="inlineStr"/>
    </row>
    <row r="6751">
      <c r="A6751">
        <f>HYPERLINK("https://mathstats.uncg.edu/sites/pauli/congruence/csg21.html#group88C21", "88C²¹")</f>
        <v/>
      </c>
      <c r="B6751" t="n">
        <v>21</v>
      </c>
      <c r="C6751" t="inlineStr"/>
      <c r="D6751" t="inlineStr">
        <is>
          <t>288</t>
        </is>
      </c>
      <c r="E6751" t="inlineStr">
        <is>
          <t>1</t>
        </is>
      </c>
      <c r="F6751" t="inlineStr">
        <is>
          <t>36</t>
        </is>
      </c>
      <c r="G6751" t="inlineStr">
        <is>
          <t>0</t>
        </is>
      </c>
      <c r="H6751" t="inlineStr">
        <is>
          <t>0</t>
        </is>
      </c>
      <c r="I6751" t="inlineStr">
        <is>
          <t>4², 8², 44², 88²</t>
        </is>
      </c>
      <c r="J6751" t="n">
        <v>8</v>
      </c>
      <c r="K6751" t="inlineStr">
        <is>
          <t>1⁶, 10³</t>
        </is>
      </c>
      <c r="L6751" t="inlineStr">
        <is>
          <t>44B⁹</t>
        </is>
      </c>
      <c r="M6751" t="inlineStr"/>
      <c r="N6751" t="inlineStr">
        <is>
          <t>2A⁰, 11A¹, 22A², 4C⁰, 44B⁵, 1A⁰, 2B⁰, 4E⁰, 4B⁰, 22C², 44B⁹, 2C⁰, 44D⁴, 22A⁴</t>
        </is>
      </c>
      <c r="O6751" t="inlineStr"/>
    </row>
    <row r="6752">
      <c r="A6752">
        <f>HYPERLINK("https://mathstats.uncg.edu/sites/pauli/congruence/csg21.html#group88D21", "88D²¹")</f>
        <v/>
      </c>
      <c r="B6752" t="n">
        <v>21</v>
      </c>
      <c r="C6752" t="inlineStr"/>
      <c r="D6752" t="inlineStr">
        <is>
          <t>288</t>
        </is>
      </c>
      <c r="E6752" t="inlineStr">
        <is>
          <t>1</t>
        </is>
      </c>
      <c r="F6752" t="inlineStr">
        <is>
          <t>36</t>
        </is>
      </c>
      <c r="G6752" t="inlineStr">
        <is>
          <t>0</t>
        </is>
      </c>
      <c r="H6752" t="inlineStr">
        <is>
          <t>0</t>
        </is>
      </c>
      <c r="I6752" t="inlineStr">
        <is>
          <t>4², 8², 44², 88²</t>
        </is>
      </c>
      <c r="J6752" t="n">
        <v>8</v>
      </c>
      <c r="K6752" t="inlineStr">
        <is>
          <t>1⁶, 10³</t>
        </is>
      </c>
      <c r="L6752" t="inlineStr">
        <is>
          <t>8B¹, 44B⁹, 88B¹¹, 88C¹¹</t>
        </is>
      </c>
      <c r="M6752" t="inlineStr"/>
      <c r="N6752" t="inlineStr">
        <is>
          <t>2A⁰, 8A¹, 88B¹¹, 4C⁰, 8B⁰, 44B⁵, 2B⁰, 8B¹, 4E⁰, 4B⁰, 22C², 1A⁰, 44B⁹, 22A⁴, 44D⁴, 11A¹, 22A², 88C¹¹, 2C⁰</t>
        </is>
      </c>
      <c r="O6752" t="inlineStr"/>
    </row>
    <row r="6753">
      <c r="A6753">
        <f>HYPERLINK("https://mathstats.uncg.edu/sites/pauli/congruence/csg21.html#group88E21", "88E²¹")</f>
        <v/>
      </c>
      <c r="B6753" t="n">
        <v>21</v>
      </c>
      <c r="C6753" t="inlineStr"/>
      <c r="D6753" t="inlineStr">
        <is>
          <t>288</t>
        </is>
      </c>
      <c r="E6753" t="inlineStr">
        <is>
          <t>1</t>
        </is>
      </c>
      <c r="F6753" t="inlineStr">
        <is>
          <t>72</t>
        </is>
      </c>
      <c r="G6753" t="inlineStr">
        <is>
          <t>0</t>
        </is>
      </c>
      <c r="H6753" t="inlineStr">
        <is>
          <t>0</t>
        </is>
      </c>
      <c r="I6753" t="inlineStr">
        <is>
          <t>4², 8², 44², 88²</t>
        </is>
      </c>
      <c r="J6753" t="n">
        <v>8</v>
      </c>
      <c r="K6753" t="inlineStr">
        <is>
          <t>1⁴, 2⁴, 10², 20²</t>
        </is>
      </c>
      <c r="L6753" t="inlineStr">
        <is>
          <t>8H⁰, 44C¹⁰, 88C¹⁰, 88B¹¹</t>
        </is>
      </c>
      <c r="M6753" t="inlineStr"/>
      <c r="N6753" t="inlineStr">
        <is>
          <t>44C¹⁰, 8D⁰, 88B¹¹, 44B⁴, 4C⁰, 8B⁰, 44B⁵, 2B⁰, 22C², 1A⁰, 8H⁰, 4A⁰, 11A¹, 4F⁰, 88C¹⁰</t>
        </is>
      </c>
      <c r="O6753" t="inlineStr"/>
    </row>
    <row r="6754">
      <c r="A6754">
        <f>HYPERLINK("https://mathstats.uncg.edu/sites/pauli/congruence/csg21.html#group88F21", "88F²¹")</f>
        <v/>
      </c>
      <c r="B6754" t="n">
        <v>21</v>
      </c>
      <c r="C6754" t="inlineStr"/>
      <c r="D6754" t="inlineStr">
        <is>
          <t>288</t>
        </is>
      </c>
      <c r="E6754" t="inlineStr">
        <is>
          <t>1</t>
        </is>
      </c>
      <c r="F6754" t="inlineStr">
        <is>
          <t>72</t>
        </is>
      </c>
      <c r="G6754" t="inlineStr">
        <is>
          <t>0</t>
        </is>
      </c>
      <c r="H6754" t="inlineStr">
        <is>
          <t>0</t>
        </is>
      </c>
      <c r="I6754" t="inlineStr">
        <is>
          <t>4², 8², 44², 88²</t>
        </is>
      </c>
      <c r="J6754" t="n">
        <v>8</v>
      </c>
      <c r="K6754" t="inlineStr">
        <is>
          <t>1⁴, 2⁴, 10², 20²</t>
        </is>
      </c>
      <c r="L6754" t="inlineStr">
        <is>
          <t>8C¹, 44C¹⁰, 88C¹⁰, 88C¹¹</t>
        </is>
      </c>
      <c r="M6754" t="inlineStr"/>
      <c r="N6754" t="inlineStr">
        <is>
          <t>44C¹⁰, 8C¹, 8A¹, 8D⁰, 11A¹, 4A⁰, 44B⁴, 4C⁰, 88C¹¹, 44B⁵, 2B⁰, 4F⁰, 22C², 1A⁰, 88C¹⁰</t>
        </is>
      </c>
      <c r="O6754" t="inlineStr"/>
    </row>
    <row r="6755">
      <c r="A6755">
        <f>HYPERLINK("https://mathstats.uncg.edu/sites/pauli/congruence/csg21.html#group88G21", "88G²¹")</f>
        <v/>
      </c>
      <c r="B6755" t="n">
        <v>21</v>
      </c>
      <c r="C6755" t="inlineStr"/>
      <c r="D6755" t="inlineStr">
        <is>
          <t>288</t>
        </is>
      </c>
      <c r="E6755" t="inlineStr">
        <is>
          <t>1</t>
        </is>
      </c>
      <c r="F6755" t="inlineStr">
        <is>
          <t>144</t>
        </is>
      </c>
      <c r="G6755" t="inlineStr">
        <is>
          <t>0</t>
        </is>
      </c>
      <c r="H6755" t="inlineStr">
        <is>
          <t>0</t>
        </is>
      </c>
      <c r="I6755" t="inlineStr">
        <is>
          <t>4², 8², 44², 88²</t>
        </is>
      </c>
      <c r="J6755" t="n">
        <v>8</v>
      </c>
      <c r="K6755" t="inlineStr">
        <is>
          <t>1⁸, 2⁴, 4², 10⁴, 20², 40¹</t>
        </is>
      </c>
      <c r="L6755" t="inlineStr">
        <is>
          <t>88C¹¹</t>
        </is>
      </c>
      <c r="M6755" t="inlineStr"/>
      <c r="N6755" t="inlineStr">
        <is>
          <t>8A¹, 11A¹, 4C⁰, 88C¹¹, 44B⁵, 2B⁰, 22C², 1A⁰</t>
        </is>
      </c>
      <c r="O6755" t="inlineStr"/>
    </row>
    <row r="6756">
      <c r="A6756">
        <f>HYPERLINK("https://mathstats.uncg.edu/sites/pauli/congruence/csg21.html#group88H21", "88H²¹")</f>
        <v/>
      </c>
      <c r="B6756" t="n">
        <v>21</v>
      </c>
      <c r="C6756" t="inlineStr"/>
      <c r="D6756" t="inlineStr">
        <is>
          <t>288</t>
        </is>
      </c>
      <c r="E6756" t="inlineStr">
        <is>
          <t>1</t>
        </is>
      </c>
      <c r="F6756" t="inlineStr">
        <is>
          <t>144</t>
        </is>
      </c>
      <c r="G6756" t="inlineStr">
        <is>
          <t>0</t>
        </is>
      </c>
      <c r="H6756" t="inlineStr">
        <is>
          <t>0</t>
        </is>
      </c>
      <c r="I6756" t="inlineStr">
        <is>
          <t>4², 8², 44², 88²</t>
        </is>
      </c>
      <c r="J6756" t="n">
        <v>8</v>
      </c>
      <c r="K6756" t="inlineStr">
        <is>
          <t>1⁸, 2⁴, 4², 10⁴, 20², 40¹</t>
        </is>
      </c>
      <c r="L6756" t="inlineStr">
        <is>
          <t>8L⁰, 88B¹¹</t>
        </is>
      </c>
      <c r="M6756" t="inlineStr"/>
      <c r="N6756" t="inlineStr">
        <is>
          <t>11A¹, 88B¹¹, 4C⁰, 8B⁰, 44B⁵, 8L⁰, 2B⁰, 22C², 1A⁰</t>
        </is>
      </c>
      <c r="O6756" t="inlineStr"/>
    </row>
    <row r="6757">
      <c r="A6757">
        <f>HYPERLINK("https://mathstats.uncg.edu/sites/pauli/congruence/csg21.html#group90A21", "90A²¹")</f>
        <v/>
      </c>
      <c r="B6757" t="n">
        <v>21</v>
      </c>
      <c r="C6757" t="inlineStr"/>
      <c r="D6757" t="inlineStr">
        <is>
          <t>270</t>
        </is>
      </c>
      <c r="E6757" t="inlineStr">
        <is>
          <t>1</t>
        </is>
      </c>
      <c r="F6757" t="inlineStr">
        <is>
          <t>135</t>
        </is>
      </c>
      <c r="G6757" t="inlineStr">
        <is>
          <t>4</t>
        </is>
      </c>
      <c r="H6757" t="inlineStr">
        <is>
          <t>0</t>
        </is>
      </c>
      <c r="I6757" t="inlineStr">
        <is>
          <t>90³</t>
        </is>
      </c>
      <c r="J6757" t="n">
        <v>3</v>
      </c>
      <c r="K6757" t="inlineStr">
        <is>
          <t>1³, 2³, 4³, 6³, 8³, 24³</t>
        </is>
      </c>
      <c r="L6757" t="inlineStr">
        <is>
          <t>18D³, 30B⁶, 90A⁷, 90B⁷, 90D¹⁰</t>
        </is>
      </c>
      <c r="M6757" t="inlineStr"/>
      <c r="N6757" t="inlineStr">
        <is>
          <t>5A⁰, 6B⁰, 15A¹, 90D¹⁰, 90B⁷, 10B¹, 18B¹, 2B⁰, 30B⁶, 1A⁰, 30D³, 18D³, 30A², 90A⁷, 9A⁰, 18E¹, 6H⁰, 3A⁰, 18A¹, 6D⁰, 45A³</t>
        </is>
      </c>
      <c r="O6757" t="inlineStr"/>
    </row>
    <row r="6758">
      <c r="A6758">
        <f>HYPERLINK("https://mathstats.uncg.edu/sites/pauli/congruence/csg21.html#group90B21", "90B²¹")</f>
        <v/>
      </c>
      <c r="B6758" t="n">
        <v>21</v>
      </c>
      <c r="C6758" t="inlineStr"/>
      <c r="D6758" t="inlineStr">
        <is>
          <t>270</t>
        </is>
      </c>
      <c r="E6758" t="inlineStr">
        <is>
          <t>2</t>
        </is>
      </c>
      <c r="F6758" t="inlineStr">
        <is>
          <t>135</t>
        </is>
      </c>
      <c r="G6758" t="inlineStr">
        <is>
          <t>2</t>
        </is>
      </c>
      <c r="H6758" t="inlineStr">
        <is>
          <t>0</t>
        </is>
      </c>
      <c r="I6758" t="inlineStr">
        <is>
          <t>45², 90²</t>
        </is>
      </c>
      <c r="J6758" t="n">
        <v>4</v>
      </c>
      <c r="K6758" t="inlineStr">
        <is>
          <t>2⁹, 6⁶, 8⁹, 24⁶</t>
        </is>
      </c>
      <c r="L6758" t="inlineStr">
        <is>
          <t>18E³, 30A⁶, 45A⁷, 90D¹⁰</t>
        </is>
      </c>
      <c r="M6758" t="inlineStr"/>
      <c r="N6758" t="inlineStr">
        <is>
          <t>5A⁰, 45A⁷, 90D¹⁰, 10B¹, 15A¹, 6G⁰, 2B⁰, 1A⁰, 9B¹, 18E³, 30D³, 15A², 9A⁰, 3C⁰, 30A⁶, 18E¹, 3A⁰, 6D⁰, 45A³</t>
        </is>
      </c>
      <c r="O6758" t="inlineStr"/>
    </row>
    <row r="6759">
      <c r="A6759">
        <f>HYPERLINK("https://mathstats.uncg.edu/sites/pauli/congruence/csg21.html#group90C21", "90C²¹")</f>
        <v/>
      </c>
      <c r="B6759" t="n">
        <v>21</v>
      </c>
      <c r="C6759" t="inlineStr"/>
      <c r="D6759" t="inlineStr">
        <is>
          <t>288</t>
        </is>
      </c>
      <c r="E6759" t="inlineStr">
        <is>
          <t>1</t>
        </is>
      </c>
      <c r="F6759" t="inlineStr">
        <is>
          <t>24</t>
        </is>
      </c>
      <c r="G6759" t="inlineStr">
        <is>
          <t>0</t>
        </is>
      </c>
      <c r="H6759" t="inlineStr">
        <is>
          <t>0</t>
        </is>
      </c>
      <c r="I6759" t="inlineStr">
        <is>
          <t>6², 18², 30², 90²</t>
        </is>
      </c>
      <c r="J6759" t="n">
        <v>8</v>
      </c>
      <c r="K6759" t="inlineStr">
        <is>
          <t>1⁴, 2², 4², 8¹</t>
        </is>
      </c>
      <c r="L6759" t="inlineStr">
        <is>
          <t>30M⁵, 45C⁹</t>
        </is>
      </c>
      <c r="M6759" t="inlineStr"/>
      <c r="N6759" t="inlineStr">
        <is>
          <t>45C⁵, 15C¹, 3B⁰, 45C⁹, 30M⁵, 5B⁰, 15G¹, 5D⁰, 9C⁰, 1A⁰</t>
        </is>
      </c>
      <c r="O6759" t="inlineStr"/>
    </row>
    <row r="6760">
      <c r="A6760">
        <f>HYPERLINK("https://mathstats.uncg.edu/sites/pauli/congruence/csg21.html#group90D21", "90D²¹")</f>
        <v/>
      </c>
      <c r="B6760" t="n">
        <v>21</v>
      </c>
      <c r="C6760" t="inlineStr"/>
      <c r="D6760" t="inlineStr">
        <is>
          <t>288</t>
        </is>
      </c>
      <c r="E6760" t="inlineStr">
        <is>
          <t>1</t>
        </is>
      </c>
      <c r="F6760" t="inlineStr">
        <is>
          <t>24</t>
        </is>
      </c>
      <c r="G6760" t="inlineStr">
        <is>
          <t>0</t>
        </is>
      </c>
      <c r="H6760" t="inlineStr">
        <is>
          <t>0</t>
        </is>
      </c>
      <c r="I6760" t="inlineStr">
        <is>
          <t>6², 18², 30², 90²</t>
        </is>
      </c>
      <c r="J6760" t="n">
        <v>8</v>
      </c>
      <c r="K6760" t="inlineStr">
        <is>
          <t>1⁴, 2², 4², 8¹</t>
        </is>
      </c>
      <c r="L6760" t="inlineStr">
        <is>
          <t>30M⁵, 45D⁹</t>
        </is>
      </c>
      <c r="M6760" t="inlineStr"/>
      <c r="N6760" t="inlineStr">
        <is>
          <t>15C¹, 3B⁰, 30M⁵, 45D⁹, 9A¹, 5B⁰, 15G¹, 5D⁰, 1A⁰, 45D⁵</t>
        </is>
      </c>
      <c r="O6760" t="inlineStr"/>
    </row>
    <row r="6761">
      <c r="A6761">
        <f>HYPERLINK("https://mathstats.uncg.edu/sites/pauli/congruence/csg21.html#group90E21", "90E²¹")</f>
        <v/>
      </c>
      <c r="B6761" t="n">
        <v>21</v>
      </c>
      <c r="C6761" t="inlineStr"/>
      <c r="D6761" t="inlineStr">
        <is>
          <t>288</t>
        </is>
      </c>
      <c r="E6761" t="inlineStr">
        <is>
          <t>1</t>
        </is>
      </c>
      <c r="F6761" t="inlineStr">
        <is>
          <t>24</t>
        </is>
      </c>
      <c r="G6761" t="inlineStr">
        <is>
          <t>0</t>
        </is>
      </c>
      <c r="H6761" t="inlineStr">
        <is>
          <t>0</t>
        </is>
      </c>
      <c r="I6761" t="inlineStr">
        <is>
          <t>6², 18², 30², 90²</t>
        </is>
      </c>
      <c r="J6761" t="n">
        <v>8</v>
      </c>
      <c r="K6761" t="inlineStr">
        <is>
          <t>1⁴, 2², 4², 8¹</t>
        </is>
      </c>
      <c r="L6761" t="inlineStr">
        <is>
          <t>30N⁵, 45C⁹, 90A¹¹, 90C¹¹</t>
        </is>
      </c>
      <c r="M6761" t="inlineStr"/>
      <c r="N6761" t="inlineStr">
        <is>
          <t>3B⁰, 2A⁰, 45C⁹, 18B⁰, 6C⁰, 30N⁵, 90A¹¹, 90C¹¹, 5B⁰, 10A¹, 15G¹, 5D⁰, 9C⁰, 30G³, 10D¹, 1A⁰, 10B⁰, 45C⁵, 15C¹, 30F³</t>
        </is>
      </c>
      <c r="O6761" t="inlineStr"/>
    </row>
    <row r="6762">
      <c r="A6762">
        <f>HYPERLINK("https://mathstats.uncg.edu/sites/pauli/congruence/csg21.html#group90F21", "90F²¹")</f>
        <v/>
      </c>
      <c r="B6762" t="n">
        <v>21</v>
      </c>
      <c r="C6762" t="inlineStr"/>
      <c r="D6762" t="inlineStr">
        <is>
          <t>288</t>
        </is>
      </c>
      <c r="E6762" t="inlineStr">
        <is>
          <t>1</t>
        </is>
      </c>
      <c r="F6762" t="inlineStr">
        <is>
          <t>24</t>
        </is>
      </c>
      <c r="G6762" t="inlineStr">
        <is>
          <t>0</t>
        </is>
      </c>
      <c r="H6762" t="inlineStr">
        <is>
          <t>0</t>
        </is>
      </c>
      <c r="I6762" t="inlineStr">
        <is>
          <t>6², 18², 30², 90²</t>
        </is>
      </c>
      <c r="J6762" t="n">
        <v>8</v>
      </c>
      <c r="K6762" t="inlineStr">
        <is>
          <t>1⁴, 2², 4², 8¹</t>
        </is>
      </c>
      <c r="L6762" t="inlineStr">
        <is>
          <t>30N⁵, 45D⁹, 90B¹¹, 90D¹¹</t>
        </is>
      </c>
      <c r="M6762" t="inlineStr"/>
      <c r="N6762" t="inlineStr">
        <is>
          <t>3B⁰, 2A⁰, 90D¹¹, 6C⁰, 30N⁵, 5B⁰, 15G¹, 5D⁰, 10A¹, 30G³, 10D¹, 1A⁰, 90B¹¹, 45D⁵, 10B⁰, 15C¹, 18B², 30F³, 45D⁹, 9A¹</t>
        </is>
      </c>
      <c r="O6762" t="inlineStr"/>
    </row>
    <row r="6763">
      <c r="A6763">
        <f>HYPERLINK("https://mathstats.uncg.edu/sites/pauli/congruence/csg21.html#group90G21", "90G²¹")</f>
        <v/>
      </c>
      <c r="B6763" t="n">
        <v>21</v>
      </c>
      <c r="C6763" t="inlineStr"/>
      <c r="D6763" t="inlineStr">
        <is>
          <t>288</t>
        </is>
      </c>
      <c r="E6763" t="inlineStr">
        <is>
          <t>1</t>
        </is>
      </c>
      <c r="F6763" t="inlineStr">
        <is>
          <t>48</t>
        </is>
      </c>
      <c r="G6763" t="inlineStr">
        <is>
          <t>0</t>
        </is>
      </c>
      <c r="H6763" t="inlineStr">
        <is>
          <t>0</t>
        </is>
      </c>
      <c r="I6763" t="inlineStr">
        <is>
          <t>6², 18², 30², 90²</t>
        </is>
      </c>
      <c r="J6763" t="n">
        <v>8</v>
      </c>
      <c r="K6763" t="inlineStr">
        <is>
          <t>2⁸, 8⁴</t>
        </is>
      </c>
      <c r="L6763" t="inlineStr">
        <is>
          <t>30N⁵, 90E¹¹</t>
        </is>
      </c>
      <c r="M6763" t="inlineStr"/>
      <c r="N6763" t="inlineStr">
        <is>
          <t>3B⁰, 2A⁰, 90E¹¹, 6C⁰, 30N⁵, 5B⁰, 10A¹, 15G¹, 5D⁰, 30G³, 10D¹, 1A⁰, 10B⁰, 15C¹, 30F³, 18D¹</t>
        </is>
      </c>
      <c r="O6763" t="inlineStr"/>
    </row>
    <row r="6764">
      <c r="A6764">
        <f>HYPERLINK("https://mathstats.uncg.edu/sites/pauli/congruence/csg21.html#group90H21", "90H²¹")</f>
        <v/>
      </c>
      <c r="B6764" t="n">
        <v>21</v>
      </c>
      <c r="C6764" t="inlineStr"/>
      <c r="D6764" t="inlineStr">
        <is>
          <t>288</t>
        </is>
      </c>
      <c r="E6764" t="inlineStr">
        <is>
          <t>1</t>
        </is>
      </c>
      <c r="F6764" t="inlineStr">
        <is>
          <t>48</t>
        </is>
      </c>
      <c r="G6764" t="inlineStr">
        <is>
          <t>0</t>
        </is>
      </c>
      <c r="H6764" t="inlineStr">
        <is>
          <t>0</t>
        </is>
      </c>
      <c r="I6764" t="inlineStr">
        <is>
          <t>6², 18², 30², 90²</t>
        </is>
      </c>
      <c r="J6764" t="n">
        <v>8</v>
      </c>
      <c r="K6764" t="inlineStr">
        <is>
          <t>2⁸, 8⁴</t>
        </is>
      </c>
      <c r="L6764" t="inlineStr">
        <is>
          <t>30N⁵, 90F¹¹</t>
        </is>
      </c>
      <c r="M6764" t="inlineStr"/>
      <c r="N6764" t="inlineStr">
        <is>
          <t>3B⁰, 2A⁰, 6C⁰, 30N⁵, 90F¹¹, 5B⁰, 10A¹, 15G¹, 5D⁰, 30G³, 10D¹, 1A⁰, 10B⁰, 15C¹, 30F³, 18C²</t>
        </is>
      </c>
      <c r="O6764" t="inlineStr"/>
    </row>
    <row r="6765">
      <c r="A6765">
        <f>HYPERLINK("https://mathstats.uncg.edu/sites/pauli/congruence/csg21.html#group90I21", "90I²¹")</f>
        <v/>
      </c>
      <c r="B6765" t="n">
        <v>21</v>
      </c>
      <c r="C6765" t="inlineStr"/>
      <c r="D6765" t="inlineStr">
        <is>
          <t>324</t>
        </is>
      </c>
      <c r="E6765" t="inlineStr">
        <is>
          <t>1</t>
        </is>
      </c>
      <c r="F6765" t="inlineStr">
        <is>
          <t>54</t>
        </is>
      </c>
      <c r="G6765" t="inlineStr">
        <is>
          <t>12</t>
        </is>
      </c>
      <c r="H6765" t="inlineStr">
        <is>
          <t>0</t>
        </is>
      </c>
      <c r="I6765" t="inlineStr">
        <is>
          <t>9², 18², 45², 90²</t>
        </is>
      </c>
      <c r="J6765" t="n">
        <v>8</v>
      </c>
      <c r="K6765" t="inlineStr">
        <is>
          <t>1⁶, 2⁶, 4³, 8³</t>
        </is>
      </c>
      <c r="L6765" t="inlineStr">
        <is>
          <t>18I², 30O⁵, 45F⁵, 90E¹⁰</t>
        </is>
      </c>
      <c r="M6765" t="inlineStr"/>
      <c r="N6765" t="inlineStr">
        <is>
          <t>45A², 45F⁵, 90E¹⁰, 5B⁰, 6G⁰, 2B⁰, 30O⁵, 1A⁰, 15B⁰, 9D⁰, 30E², 9A⁰, 10C⁰, 3C⁰, 18E¹, 3A⁰, 18I², 6D⁰, 15E¹</t>
        </is>
      </c>
      <c r="O6765" t="inlineStr"/>
    </row>
    <row r="6766">
      <c r="A6766">
        <f>HYPERLINK("https://mathstats.uncg.edu/sites/pauli/congruence/csg21.html#group90J21", "90J²¹")</f>
        <v/>
      </c>
      <c r="B6766" t="n">
        <v>21</v>
      </c>
      <c r="C6766" t="inlineStr"/>
      <c r="D6766" t="inlineStr">
        <is>
          <t>324</t>
        </is>
      </c>
      <c r="E6766" t="inlineStr">
        <is>
          <t>2</t>
        </is>
      </c>
      <c r="F6766" t="inlineStr">
        <is>
          <t>162</t>
        </is>
      </c>
      <c r="G6766" t="inlineStr">
        <is>
          <t>16</t>
        </is>
      </c>
      <c r="H6766" t="inlineStr">
        <is>
          <t>0</t>
        </is>
      </c>
      <c r="I6766" t="inlineStr">
        <is>
          <t>18³, 90³</t>
        </is>
      </c>
      <c r="J6766" t="n">
        <v>6</v>
      </c>
      <c r="K6766" t="inlineStr">
        <is>
          <t>6¹⁸, 24⁹</t>
        </is>
      </c>
      <c r="L6766" t="inlineStr">
        <is>
          <t>18K², 90A⁵, 90C⁷, 45D⁸</t>
        </is>
      </c>
      <c r="M6766" t="inlineStr"/>
      <c r="N6766" t="inlineStr">
        <is>
          <t>45A², 15B⁰, 6B⁰, 90C⁷, 45D⁸, 18K², 9A⁰, 5B⁰, 9G⁰, 90A⁵, 3A⁰, 1A⁰, 18A⁰, 18A¹, 30C¹</t>
        </is>
      </c>
      <c r="O6766" t="inlineStr"/>
    </row>
    <row r="6767">
      <c r="A6767">
        <f>HYPERLINK("https://mathstats.uncg.edu/sites/pauli/congruence/csg21.html#group90K21", "90K²¹")</f>
        <v/>
      </c>
      <c r="B6767" t="n">
        <v>21</v>
      </c>
      <c r="C6767" t="inlineStr"/>
      <c r="D6767" t="inlineStr">
        <is>
          <t>324</t>
        </is>
      </c>
      <c r="E6767" t="inlineStr">
        <is>
          <t>2</t>
        </is>
      </c>
      <c r="F6767" t="inlineStr">
        <is>
          <t>162</t>
        </is>
      </c>
      <c r="G6767" t="inlineStr">
        <is>
          <t>16</t>
        </is>
      </c>
      <c r="H6767" t="inlineStr">
        <is>
          <t>0</t>
        </is>
      </c>
      <c r="I6767" t="inlineStr">
        <is>
          <t>18³, 90³</t>
        </is>
      </c>
      <c r="J6767" t="n">
        <v>6</v>
      </c>
      <c r="K6767" t="inlineStr">
        <is>
          <t>2¹⁸, 6¹², 8⁹, 24⁶</t>
        </is>
      </c>
      <c r="L6767" t="inlineStr">
        <is>
          <t>18L², 30P⁵, 90A⁵, 90E¹⁰</t>
        </is>
      </c>
      <c r="M6767" t="inlineStr"/>
      <c r="N6767" t="inlineStr">
        <is>
          <t>45A², 6B⁰, 6H⁰, 90E¹⁰, 5B⁰, 90A⁵, 2B⁰, 1A⁰, 30P⁵, 18A⁰, 18L², 15B⁰, 30E², 9A⁰, 10C⁰, 18E¹, 3A⁰, 6D⁰, 30C¹</t>
        </is>
      </c>
      <c r="O6767" t="inlineStr"/>
    </row>
    <row r="6768">
      <c r="A6768">
        <f>HYPERLINK("https://mathstats.uncg.edu/sites/pauli/congruence/csg21.html#group90L21", "90L²¹")</f>
        <v/>
      </c>
      <c r="B6768" t="n">
        <v>21</v>
      </c>
      <c r="C6768" t="inlineStr"/>
      <c r="D6768" t="inlineStr">
        <is>
          <t>324</t>
        </is>
      </c>
      <c r="E6768" t="inlineStr">
        <is>
          <t>2</t>
        </is>
      </c>
      <c r="F6768" t="inlineStr">
        <is>
          <t>324</t>
        </is>
      </c>
      <c r="G6768" t="inlineStr">
        <is>
          <t>16</t>
        </is>
      </c>
      <c r="H6768" t="inlineStr">
        <is>
          <t>0</t>
        </is>
      </c>
      <c r="I6768" t="inlineStr">
        <is>
          <t>18³, 90³</t>
        </is>
      </c>
      <c r="J6768" t="n">
        <v>6</v>
      </c>
      <c r="K6768" t="inlineStr">
        <is>
          <t>6³⁶, 24¹⁸</t>
        </is>
      </c>
      <c r="L6768" t="inlineStr">
        <is>
          <t>18M², 90A⁵, 90D⁷</t>
        </is>
      </c>
      <c r="M6768" t="inlineStr"/>
      <c r="N6768" t="inlineStr">
        <is>
          <t>45A², 90D⁷, 6B⁰, 3A⁰, 15B⁰, 9A⁰, 5B⁰, 18B¹, 90A⁵, 18M², 1A⁰, 18A⁰, 30C¹</t>
        </is>
      </c>
      <c r="O6768" t="inlineStr"/>
    </row>
    <row r="6769">
      <c r="A6769">
        <f>HYPERLINK("https://mathstats.uncg.edu/sites/pauli/congruence/csg21.html#group90M21", "90M²¹")</f>
        <v/>
      </c>
      <c r="B6769" t="n">
        <v>21</v>
      </c>
      <c r="C6769" t="inlineStr"/>
      <c r="D6769" t="inlineStr">
        <is>
          <t>360</t>
        </is>
      </c>
      <c r="E6769" t="inlineStr">
        <is>
          <t>2</t>
        </is>
      </c>
      <c r="F6769" t="inlineStr">
        <is>
          <t>90</t>
        </is>
      </c>
      <c r="G6769" t="inlineStr">
        <is>
          <t>32</t>
        </is>
      </c>
      <c r="H6769" t="inlineStr">
        <is>
          <t>0</t>
        </is>
      </c>
      <c r="I6769" t="inlineStr">
        <is>
          <t>90⁴</t>
        </is>
      </c>
      <c r="J6769" t="n">
        <v>4</v>
      </c>
      <c r="K6769" t="inlineStr">
        <is>
          <t>4³, 8⁶, 12², 24⁴</t>
        </is>
      </c>
      <c r="L6769" t="inlineStr">
        <is>
          <t>30Q⁵, 45D¹⁰, 90F¹⁰, 90G¹¹</t>
        </is>
      </c>
      <c r="M6769" t="inlineStr"/>
      <c r="N6769" t="inlineStr">
        <is>
          <t>6B⁰, 45E⁵, 10D⁰, 15D², 30H³, 1A⁰, 18A⁰, 30F², 45D¹⁰, 30Q⁵, 15D¹, 90G¹¹, 9A⁰, 90F¹⁰, 3A⁰, 5C⁰</t>
        </is>
      </c>
      <c r="O6769" t="inlineStr"/>
    </row>
    <row r="6770">
      <c r="A6770">
        <f>HYPERLINK("https://mathstats.uncg.edu/sites/pauli/congruence/csg21.html#group90N21", "90N²¹")</f>
        <v/>
      </c>
      <c r="B6770" t="n">
        <v>21</v>
      </c>
      <c r="C6770" t="inlineStr"/>
      <c r="D6770" t="inlineStr">
        <is>
          <t>432</t>
        </is>
      </c>
      <c r="E6770" t="inlineStr">
        <is>
          <t>1</t>
        </is>
      </c>
      <c r="F6770" t="inlineStr">
        <is>
          <t>18</t>
        </is>
      </c>
      <c r="G6770" t="inlineStr">
        <is>
          <t>48</t>
        </is>
      </c>
      <c r="H6770" t="inlineStr">
        <is>
          <t>0</t>
        </is>
      </c>
      <c r="I6770" t="inlineStr">
        <is>
          <t>18⁴, 90⁴</t>
        </is>
      </c>
      <c r="J6770" t="n">
        <v>8</v>
      </c>
      <c r="K6770" t="inlineStr">
        <is>
          <t>1², 2², 4¹, 8¹</t>
        </is>
      </c>
      <c r="L6770" t="inlineStr">
        <is>
          <t>30R⁵, 45E⁹, 90G⁹, 90H¹¹, 90I¹¹, 90K¹¹</t>
        </is>
      </c>
      <c r="M6770" t="inlineStr"/>
      <c r="N6770" t="inlineStr">
        <is>
          <t>30A⁰, 45A², 90B⁶, 45F⁵, 30J³, 5B⁰, 15H¹, 1A⁰, 18A⁰, 30D¹, 90H¹¹, 3C⁰, 3A⁰, 15C⁰, 30L³, 6B⁰, 30I³, 90A⁴, 90A⁵, 90K¹¹, 10B⁰, 15B⁰, 30R⁵, 9D⁰, 18D⁰, 90G⁹, 6E⁰, 15E¹, 9A⁰, 90I¹¹, 45C⁴, 45E⁹, 30C¹, 30C²</t>
        </is>
      </c>
      <c r="O6770" t="inlineStr"/>
    </row>
    <row r="6771">
      <c r="A6771">
        <f>HYPERLINK("https://mathstats.uncg.edu/sites/pauli/congruence/csg21.html#group90O21", "90O²¹")</f>
        <v/>
      </c>
      <c r="B6771" t="n">
        <v>21</v>
      </c>
      <c r="C6771" t="inlineStr"/>
      <c r="D6771" t="inlineStr">
        <is>
          <t>432</t>
        </is>
      </c>
      <c r="E6771" t="inlineStr">
        <is>
          <t>1</t>
        </is>
      </c>
      <c r="F6771" t="inlineStr">
        <is>
          <t>72</t>
        </is>
      </c>
      <c r="G6771" t="inlineStr">
        <is>
          <t>0</t>
        </is>
      </c>
      <c r="H6771" t="inlineStr">
        <is>
          <t>0</t>
        </is>
      </c>
      <c r="I6771" t="inlineStr">
        <is>
          <t>1⁶, 2⁶, 5⁶, 9², 10⁶, 18², 45², 90²</t>
        </is>
      </c>
      <c r="J6771" t="n">
        <v>32</v>
      </c>
      <c r="K6771" t="inlineStr">
        <is>
          <t>1¹², 2⁶, 4⁶, 8³</t>
        </is>
      </c>
      <c r="L6771" t="inlineStr">
        <is>
          <t>30S⁵, 45H⁵, 90J¹¹</t>
        </is>
      </c>
      <c r="M6771" t="inlineStr"/>
      <c r="N6771" t="inlineStr">
        <is>
          <t>3B⁰, 5B⁰, 9B⁰, 15G¹, 45D³, 5D⁰, 2B⁰, 1A⁰, 10F⁰, 90J¹¹, 15C¹, 18E⁰, 10C⁰, 45H⁵, 30S⁵, 30K³, 6F⁰</t>
        </is>
      </c>
      <c r="O6771" t="inlineStr"/>
    </row>
    <row r="6772">
      <c r="A6772">
        <f>HYPERLINK("https://mathstats.uncg.edu/sites/pauli/congruence/csg21.html#group91A21", "91A²¹")</f>
        <v/>
      </c>
      <c r="B6772" t="n">
        <v>21</v>
      </c>
      <c r="C6772" t="inlineStr"/>
      <c r="D6772" t="inlineStr">
        <is>
          <t>336</t>
        </is>
      </c>
      <c r="E6772" t="inlineStr">
        <is>
          <t>1</t>
        </is>
      </c>
      <c r="F6772" t="inlineStr">
        <is>
          <t>112</t>
        </is>
      </c>
      <c r="G6772" t="inlineStr">
        <is>
          <t>0</t>
        </is>
      </c>
      <c r="H6772" t="inlineStr">
        <is>
          <t>6</t>
        </is>
      </c>
      <c r="I6772" t="inlineStr">
        <is>
          <t>1³, 7³, 13³, 91³</t>
        </is>
      </c>
      <c r="J6772" t="n">
        <v>12</v>
      </c>
      <c r="K6772" t="inlineStr">
        <is>
          <t>1⁴, 6², 12², 72¹</t>
        </is>
      </c>
      <c r="L6772" t="inlineStr">
        <is>
          <t>91A⁷</t>
        </is>
      </c>
      <c r="M6772" t="inlineStr"/>
      <c r="N6772" t="inlineStr">
        <is>
          <t>13A⁰, 1A⁰, 7B⁰, 91A⁷</t>
        </is>
      </c>
      <c r="O6772" t="inlineStr"/>
    </row>
    <row r="6773">
      <c r="A6773">
        <f>HYPERLINK("https://mathstats.uncg.edu/sites/pauli/congruence/csg21.html#group91B21", "91B²¹")</f>
        <v/>
      </c>
      <c r="B6773" t="n">
        <v>21</v>
      </c>
      <c r="C6773" t="inlineStr"/>
      <c r="D6773" t="inlineStr">
        <is>
          <t>336</t>
        </is>
      </c>
      <c r="E6773" t="inlineStr">
        <is>
          <t>1</t>
        </is>
      </c>
      <c r="F6773" t="inlineStr">
        <is>
          <t>112</t>
        </is>
      </c>
      <c r="G6773" t="inlineStr">
        <is>
          <t>0</t>
        </is>
      </c>
      <c r="H6773" t="inlineStr">
        <is>
          <t>6</t>
        </is>
      </c>
      <c r="I6773" t="inlineStr">
        <is>
          <t>1³, 7³, 13³, 91³</t>
        </is>
      </c>
      <c r="J6773" t="n">
        <v>12</v>
      </c>
      <c r="K6773" t="inlineStr">
        <is>
          <t>1⁴, 6², 12², 72¹</t>
        </is>
      </c>
      <c r="L6773" t="inlineStr">
        <is>
          <t>91A⁷</t>
        </is>
      </c>
      <c r="M6773" t="inlineStr"/>
      <c r="N6773" t="inlineStr">
        <is>
          <t>13A⁰, 1A⁰, 7B⁰, 91A⁷</t>
        </is>
      </c>
      <c r="O6773" t="inlineStr"/>
    </row>
    <row r="6774">
      <c r="A6774">
        <f>HYPERLINK("https://mathstats.uncg.edu/sites/pauli/congruence/csg21.html#group92A21", "92A²¹")</f>
        <v/>
      </c>
      <c r="B6774" t="n">
        <v>21</v>
      </c>
      <c r="C6774" t="inlineStr"/>
      <c r="D6774" t="inlineStr">
        <is>
          <t>288</t>
        </is>
      </c>
      <c r="E6774" t="inlineStr">
        <is>
          <t>1</t>
        </is>
      </c>
      <c r="F6774" t="inlineStr">
        <is>
          <t>72</t>
        </is>
      </c>
      <c r="G6774" t="inlineStr">
        <is>
          <t>0</t>
        </is>
      </c>
      <c r="H6774" t="inlineStr">
        <is>
          <t>0</t>
        </is>
      </c>
      <c r="I6774" t="inlineStr">
        <is>
          <t>2², 4², 46², 92²</t>
        </is>
      </c>
      <c r="J6774" t="n">
        <v>8</v>
      </c>
      <c r="K6774" t="inlineStr">
        <is>
          <t>1⁶, 22³</t>
        </is>
      </c>
      <c r="L6774" t="inlineStr">
        <is>
          <t>4E⁰, 46A¹⁰, 92A¹⁰, 92A¹¹</t>
        </is>
      </c>
      <c r="M6774" t="inlineStr"/>
      <c r="N6774" t="inlineStr">
        <is>
          <t>92A¹⁰, 2A⁰, 92A¹¹, 46A⁵, 4C⁰, 2B⁰, 4E⁰, 46A¹⁰, 23A², 4B⁰, 1A⁰, 2C⁰, 46A⁴</t>
        </is>
      </c>
      <c r="O6774" t="inlineStr"/>
    </row>
    <row r="6775">
      <c r="A6775">
        <f>HYPERLINK("https://mathstats.uncg.edu/sites/pauli/congruence/csg21.html#group96A21", "96A²¹")</f>
        <v/>
      </c>
      <c r="B6775" t="n">
        <v>21</v>
      </c>
      <c r="C6775" t="inlineStr"/>
      <c r="D6775" t="inlineStr">
        <is>
          <t>288</t>
        </is>
      </c>
      <c r="E6775" t="inlineStr">
        <is>
          <t>1</t>
        </is>
      </c>
      <c r="F6775" t="inlineStr">
        <is>
          <t>6</t>
        </is>
      </c>
      <c r="G6775" t="inlineStr">
        <is>
          <t>0</t>
        </is>
      </c>
      <c r="H6775" t="inlineStr">
        <is>
          <t>0</t>
        </is>
      </c>
      <c r="I6775" t="inlineStr">
        <is>
          <t>12⁴, 24², 96²</t>
        </is>
      </c>
      <c r="J6775" t="n">
        <v>8</v>
      </c>
      <c r="K6775" t="inlineStr">
        <is>
          <t>1⁴, 2¹</t>
        </is>
      </c>
      <c r="L6775" t="inlineStr">
        <is>
          <t>32A⁵, 48A⁹, 96C¹¹</t>
        </is>
      </c>
      <c r="M6775" t="inlineStr"/>
      <c r="N6775" t="inlineStr">
        <is>
          <t>2A⁰, 12C⁰, 4C⁰, 6C¹, 12B², 16A¹, 8C⁰, 2B⁰, 4E⁰, 4B⁰, 1A⁰, 32C³, 24B², 8G⁰, 16C⁰, 32A⁵, 12B¹, 6A¹, 3A⁰, 48A⁵, 96C¹¹, 8D⁰, 16E¹, 24D⁴, 48B⁴, 48A⁹, 6A⁰, 24C¹, 2C⁰, 6D⁰</t>
        </is>
      </c>
      <c r="O6775" t="inlineStr"/>
    </row>
    <row r="6776">
      <c r="A6776">
        <f>HYPERLINK("https://mathstats.uncg.edu/sites/pauli/congruence/csg21.html#group96B21", "96B²¹")</f>
        <v/>
      </c>
      <c r="B6776" t="n">
        <v>21</v>
      </c>
      <c r="C6776" t="inlineStr"/>
      <c r="D6776" t="inlineStr">
        <is>
          <t>288</t>
        </is>
      </c>
      <c r="E6776" t="inlineStr">
        <is>
          <t>1</t>
        </is>
      </c>
      <c r="F6776" t="inlineStr">
        <is>
          <t>6</t>
        </is>
      </c>
      <c r="G6776" t="inlineStr">
        <is>
          <t>0</t>
        </is>
      </c>
      <c r="H6776" t="inlineStr">
        <is>
          <t>0</t>
        </is>
      </c>
      <c r="I6776" t="inlineStr">
        <is>
          <t>12⁴, 24², 96²</t>
        </is>
      </c>
      <c r="J6776" t="n">
        <v>8</v>
      </c>
      <c r="K6776" t="inlineStr">
        <is>
          <t>1⁴, 2¹</t>
        </is>
      </c>
      <c r="L6776" t="inlineStr">
        <is>
          <t>32B⁵, 48A⁹, 96A¹¹, 96B¹¹</t>
        </is>
      </c>
      <c r="M6776" t="inlineStr"/>
      <c r="N6776" t="inlineStr">
        <is>
          <t>2A⁰, 12C⁰, 4C⁰, 6C¹, 12B², 16A¹, 8C⁰, 4E⁰, 2B⁰, 4B⁰, 1A⁰, 24B², 32B⁵, 8G⁰, 16C⁰, 96B¹¹, 12B¹, 6A¹, 3A⁰, 32B³, 48A⁵, 96A¹¹, 8D⁰, 16E¹, 32A³, 24D⁴, 48B⁴, 48A⁹, 6A⁰, 24C¹, 2C⁰, 6D⁰</t>
        </is>
      </c>
      <c r="O6776" t="inlineStr"/>
    </row>
    <row r="6777">
      <c r="A6777">
        <f>HYPERLINK("https://mathstats.uncg.edu/sites/pauli/congruence/csg21.html#group96C21", "96C²¹")</f>
        <v/>
      </c>
      <c r="B6777" t="n">
        <v>21</v>
      </c>
      <c r="C6777" t="inlineStr"/>
      <c r="D6777" t="inlineStr">
        <is>
          <t>288</t>
        </is>
      </c>
      <c r="E6777" t="inlineStr">
        <is>
          <t>1</t>
        </is>
      </c>
      <c r="F6777" t="inlineStr">
        <is>
          <t>12</t>
        </is>
      </c>
      <c r="G6777" t="inlineStr">
        <is>
          <t>0</t>
        </is>
      </c>
      <c r="H6777" t="inlineStr">
        <is>
          <t>0</t>
        </is>
      </c>
      <c r="I6777" t="inlineStr">
        <is>
          <t>12⁴, 24², 96²</t>
        </is>
      </c>
      <c r="J6777" t="n">
        <v>8</v>
      </c>
      <c r="K6777" t="inlineStr">
        <is>
          <t>1⁴, 2², 4¹</t>
        </is>
      </c>
      <c r="L6777" t="inlineStr">
        <is>
          <t>32C⁵, 48B⁹, 96A¹¹, 96C¹¹</t>
        </is>
      </c>
      <c r="M6777" t="inlineStr"/>
      <c r="N6777" t="inlineStr">
        <is>
          <t>48A⁵, 96C¹¹, 24F⁴, 48B⁹, 96A¹¹, 32A³, 16A¹, 8C⁰, 2B⁰, 8I⁰, 4B⁰, 1A⁰, 32C³, 24B², 32C⁵, 16G¹, 16D⁰, 12B¹, 3A⁰, 6D⁰, 48D⁴</t>
        </is>
      </c>
      <c r="O6777" t="inlineStr"/>
    </row>
    <row r="6778">
      <c r="A6778">
        <f>HYPERLINK("https://mathstats.uncg.edu/sites/pauli/congruence/csg21.html#group96D21", "96D²¹")</f>
        <v/>
      </c>
      <c r="B6778" t="n">
        <v>21</v>
      </c>
      <c r="C6778" t="inlineStr"/>
      <c r="D6778" t="inlineStr">
        <is>
          <t>288</t>
        </is>
      </c>
      <c r="E6778" t="inlineStr">
        <is>
          <t>1</t>
        </is>
      </c>
      <c r="F6778" t="inlineStr">
        <is>
          <t>12</t>
        </is>
      </c>
      <c r="G6778" t="inlineStr">
        <is>
          <t>0</t>
        </is>
      </c>
      <c r="H6778" t="inlineStr">
        <is>
          <t>0</t>
        </is>
      </c>
      <c r="I6778" t="inlineStr">
        <is>
          <t>12⁴, 24², 96²</t>
        </is>
      </c>
      <c r="J6778" t="n">
        <v>8</v>
      </c>
      <c r="K6778" t="inlineStr">
        <is>
          <t>1⁴, 2², 4¹</t>
        </is>
      </c>
      <c r="L6778" t="inlineStr">
        <is>
          <t>32D⁵, 48B⁹, 96B¹¹, 96C¹¹</t>
        </is>
      </c>
      <c r="M6778" t="inlineStr"/>
      <c r="N6778" t="inlineStr">
        <is>
          <t>48A⁵, 96C¹¹, 24F⁴, 48B⁹, 16A¹, 8C⁰, 2B⁰, 8I⁰, 4B⁰, 1A⁰, 32C³, 24B², 16G¹, 16D⁰, 96B¹¹, 32D⁵, 12B¹, 3A⁰, 6D⁰, 48D⁴, 32B³</t>
        </is>
      </c>
      <c r="O6778" t="inlineStr"/>
    </row>
    <row r="6779">
      <c r="A6779">
        <f>HYPERLINK("https://mathstats.uncg.edu/sites/pauli/congruence/csg21.html#group96E21", "96E²¹")</f>
        <v/>
      </c>
      <c r="B6779" t="n">
        <v>21</v>
      </c>
      <c r="C6779" t="inlineStr"/>
      <c r="D6779" t="inlineStr">
        <is>
          <t>288</t>
        </is>
      </c>
      <c r="E6779" t="inlineStr">
        <is>
          <t>1</t>
        </is>
      </c>
      <c r="F6779" t="inlineStr">
        <is>
          <t>18</t>
        </is>
      </c>
      <c r="G6779" t="inlineStr">
        <is>
          <t>0</t>
        </is>
      </c>
      <c r="H6779" t="inlineStr">
        <is>
          <t>0</t>
        </is>
      </c>
      <c r="I6779" t="inlineStr">
        <is>
          <t>12⁴, 24², 96²</t>
        </is>
      </c>
      <c r="J6779" t="n">
        <v>8</v>
      </c>
      <c r="K6779" t="inlineStr">
        <is>
          <t>1⁴, 2⁵, 4¹</t>
        </is>
      </c>
      <c r="L6779" t="inlineStr">
        <is>
          <t>48A⁹, 96F¹¹</t>
        </is>
      </c>
      <c r="M6779" t="inlineStr"/>
      <c r="N6779" t="inlineStr">
        <is>
          <t>2A⁰, 12C⁰, 4C⁰, 6C¹, 12B², 16A¹, 8C⁰, 2B⁰, 4E⁰, 4B⁰, 1A⁰, 24B², 8G⁰, 16C⁰, 12B¹, 6A¹, 3A⁰, 48A⁵, 8D⁰, 16E¹, 24D⁴, 48B⁴, 48A⁹, 6A⁰, 96F¹¹, 24C¹, 2C⁰, 6D⁰</t>
        </is>
      </c>
      <c r="O6779" t="inlineStr"/>
    </row>
    <row r="6780">
      <c r="A6780">
        <f>HYPERLINK("https://mathstats.uncg.edu/sites/pauli/congruence/csg21.html#group96F21", "96F²¹")</f>
        <v/>
      </c>
      <c r="B6780" t="n">
        <v>21</v>
      </c>
      <c r="C6780" t="inlineStr"/>
      <c r="D6780" t="inlineStr">
        <is>
          <t>288</t>
        </is>
      </c>
      <c r="E6780" t="inlineStr">
        <is>
          <t>1</t>
        </is>
      </c>
      <c r="F6780" t="inlineStr">
        <is>
          <t>18</t>
        </is>
      </c>
      <c r="G6780" t="inlineStr">
        <is>
          <t>0</t>
        </is>
      </c>
      <c r="H6780" t="inlineStr">
        <is>
          <t>0</t>
        </is>
      </c>
      <c r="I6780" t="inlineStr">
        <is>
          <t>12⁴, 24², 96²</t>
        </is>
      </c>
      <c r="J6780" t="n">
        <v>8</v>
      </c>
      <c r="K6780" t="inlineStr">
        <is>
          <t>1⁴, 2⁵, 4¹</t>
        </is>
      </c>
      <c r="L6780" t="inlineStr">
        <is>
          <t>48D⁹, 96D¹¹</t>
        </is>
      </c>
      <c r="M6780" t="inlineStr"/>
      <c r="N6780" t="inlineStr">
        <is>
          <t>48A⁵, 12K¹, 6G⁰, 16A¹, 8C⁰, 48D⁹, 2B⁰, 4B⁰, 1A⁰, 24B², 96D¹¹, 24D², 3C⁰, 12B¹, 12D⁰, 3A⁰, 24L³, 6D⁰, 48B⁵</t>
        </is>
      </c>
      <c r="O6780" t="inlineStr"/>
    </row>
    <row r="6781">
      <c r="A6781">
        <f>HYPERLINK("https://mathstats.uncg.edu/sites/pauli/congruence/csg21.html#group96G21", "96G²¹")</f>
        <v/>
      </c>
      <c r="B6781" t="n">
        <v>21</v>
      </c>
      <c r="C6781" t="inlineStr"/>
      <c r="D6781" t="inlineStr">
        <is>
          <t>288</t>
        </is>
      </c>
      <c r="E6781" t="inlineStr">
        <is>
          <t>1</t>
        </is>
      </c>
      <c r="F6781" t="inlineStr">
        <is>
          <t>18</t>
        </is>
      </c>
      <c r="G6781" t="inlineStr">
        <is>
          <t>0</t>
        </is>
      </c>
      <c r="H6781" t="inlineStr">
        <is>
          <t>0</t>
        </is>
      </c>
      <c r="I6781" t="inlineStr">
        <is>
          <t>12⁴, 24², 96²</t>
        </is>
      </c>
      <c r="J6781" t="n">
        <v>8</v>
      </c>
      <c r="K6781" t="inlineStr">
        <is>
          <t>1⁴, 2⁵, 4¹</t>
        </is>
      </c>
      <c r="L6781" t="inlineStr">
        <is>
          <t>48D⁹, 96E¹¹</t>
        </is>
      </c>
      <c r="M6781" t="inlineStr"/>
      <c r="N6781" t="inlineStr">
        <is>
          <t>48A⁵, 12K¹, 6G⁰, 96E¹¹, 16A¹, 8C⁰, 48D⁹, 2B⁰, 4B⁰, 1A⁰, 24B², 24D², 3C⁰, 12B¹, 12D⁰, 3A⁰, 24L³, 6D⁰, 48B⁵</t>
        </is>
      </c>
      <c r="O6781" t="inlineStr"/>
    </row>
    <row r="6782">
      <c r="A6782">
        <f>HYPERLINK("https://mathstats.uncg.edu/sites/pauli/congruence/csg21.html#group96H21", "96H²¹")</f>
        <v/>
      </c>
      <c r="B6782" t="n">
        <v>21</v>
      </c>
      <c r="C6782" t="inlineStr"/>
      <c r="D6782" t="inlineStr">
        <is>
          <t>288</t>
        </is>
      </c>
      <c r="E6782" t="inlineStr">
        <is>
          <t>1</t>
        </is>
      </c>
      <c r="F6782" t="inlineStr">
        <is>
          <t>18</t>
        </is>
      </c>
      <c r="G6782" t="inlineStr">
        <is>
          <t>0</t>
        </is>
      </c>
      <c r="H6782" t="inlineStr">
        <is>
          <t>0</t>
        </is>
      </c>
      <c r="I6782" t="inlineStr">
        <is>
          <t>12⁴, 24², 96²</t>
        </is>
      </c>
      <c r="J6782" t="n">
        <v>8</v>
      </c>
      <c r="K6782" t="inlineStr">
        <is>
          <t>1⁴, 2⁵, 4¹</t>
        </is>
      </c>
      <c r="L6782" t="inlineStr">
        <is>
          <t>48A⁹, 96D¹¹, 96E¹¹</t>
        </is>
      </c>
      <c r="M6782" t="inlineStr"/>
      <c r="N6782" t="inlineStr">
        <is>
          <t>2A⁰, 12C⁰, 4C⁰, 6C¹, 12B², 96E¹¹, 16A¹, 8C⁰, 2B⁰, 4E⁰, 4B⁰, 1A⁰, 24B², 8G⁰, 16C⁰, 12B¹, 6A¹, 3A⁰, 48A⁵, 8D⁰, 16E¹, 24D⁴, 48B⁴, 48A⁹, 96D¹¹, 6A⁰, 24C¹, 2C⁰, 6D⁰</t>
        </is>
      </c>
      <c r="O6782" t="inlineStr"/>
    </row>
    <row r="6783">
      <c r="A6783">
        <f>HYPERLINK("https://mathstats.uncg.edu/sites/pauli/congruence/csg21.html#group96I21", "96I²¹")</f>
        <v/>
      </c>
      <c r="B6783" t="n">
        <v>21</v>
      </c>
      <c r="C6783" t="inlineStr"/>
      <c r="D6783" t="inlineStr">
        <is>
          <t>288</t>
        </is>
      </c>
      <c r="E6783" t="inlineStr">
        <is>
          <t>1</t>
        </is>
      </c>
      <c r="F6783" t="inlineStr">
        <is>
          <t>18</t>
        </is>
      </c>
      <c r="G6783" t="inlineStr">
        <is>
          <t>0</t>
        </is>
      </c>
      <c r="H6783" t="inlineStr">
        <is>
          <t>0</t>
        </is>
      </c>
      <c r="I6783" t="inlineStr">
        <is>
          <t>12⁴, 24², 96²</t>
        </is>
      </c>
      <c r="J6783" t="n">
        <v>8</v>
      </c>
      <c r="K6783" t="inlineStr">
        <is>
          <t>1⁴, 2⁵, 4¹</t>
        </is>
      </c>
      <c r="L6783" t="inlineStr">
        <is>
          <t>48D⁹, 96A¹¹, 96D¹¹</t>
        </is>
      </c>
      <c r="M6783" t="inlineStr"/>
      <c r="N6783" t="inlineStr">
        <is>
          <t>48A⁵, 12K¹, 96A¹¹, 32A³, 6G⁰, 16A¹, 8C⁰, 48D⁹, 2B⁰, 4B⁰, 1A⁰, 24B², 96D¹¹, 24D², 3C⁰, 12B¹, 12D⁰, 3A⁰, 24L³, 6D⁰, 48B⁵</t>
        </is>
      </c>
      <c r="O6783" t="inlineStr"/>
    </row>
    <row r="6784">
      <c r="A6784">
        <f>HYPERLINK("https://mathstats.uncg.edu/sites/pauli/congruence/csg21.html#group96J21", "96J²¹")</f>
        <v/>
      </c>
      <c r="B6784" t="n">
        <v>21</v>
      </c>
      <c r="C6784" t="inlineStr"/>
      <c r="D6784" t="inlineStr">
        <is>
          <t>288</t>
        </is>
      </c>
      <c r="E6784" t="inlineStr">
        <is>
          <t>1</t>
        </is>
      </c>
      <c r="F6784" t="inlineStr">
        <is>
          <t>18</t>
        </is>
      </c>
      <c r="G6784" t="inlineStr">
        <is>
          <t>0</t>
        </is>
      </c>
      <c r="H6784" t="inlineStr">
        <is>
          <t>0</t>
        </is>
      </c>
      <c r="I6784" t="inlineStr">
        <is>
          <t>12⁴, 24², 96²</t>
        </is>
      </c>
      <c r="J6784" t="n">
        <v>8</v>
      </c>
      <c r="K6784" t="inlineStr">
        <is>
          <t>1⁴, 2⁵, 4¹</t>
        </is>
      </c>
      <c r="L6784" t="inlineStr">
        <is>
          <t>48D⁹, 96B¹¹, 96E¹¹</t>
        </is>
      </c>
      <c r="M6784" t="inlineStr"/>
      <c r="N6784" t="inlineStr">
        <is>
          <t>48A⁵, 12K¹, 6G⁰, 96E¹¹, 16A¹, 8C⁰, 48D⁹, 2B⁰, 32B³, 4B⁰, 1A⁰, 24B², 96B¹¹, 24D², 3C⁰, 12B¹, 12D⁰, 3A⁰, 24L³, 6D⁰, 48B⁵</t>
        </is>
      </c>
      <c r="O6784" t="inlineStr"/>
    </row>
    <row r="6785">
      <c r="A6785">
        <f>HYPERLINK("https://mathstats.uncg.edu/sites/pauli/congruence/csg21.html#group96K21", "96K²¹")</f>
        <v/>
      </c>
      <c r="B6785" t="n">
        <v>21</v>
      </c>
      <c r="C6785" t="inlineStr"/>
      <c r="D6785" t="inlineStr">
        <is>
          <t>288</t>
        </is>
      </c>
      <c r="E6785" t="inlineStr">
        <is>
          <t>1</t>
        </is>
      </c>
      <c r="F6785" t="inlineStr">
        <is>
          <t>18</t>
        </is>
      </c>
      <c r="G6785" t="inlineStr">
        <is>
          <t>0</t>
        </is>
      </c>
      <c r="H6785" t="inlineStr">
        <is>
          <t>0</t>
        </is>
      </c>
      <c r="I6785" t="inlineStr">
        <is>
          <t>12⁴, 24², 96²</t>
        </is>
      </c>
      <c r="J6785" t="n">
        <v>8</v>
      </c>
      <c r="K6785" t="inlineStr">
        <is>
          <t>1⁴, 2⁵, 4¹</t>
        </is>
      </c>
      <c r="L6785" t="inlineStr">
        <is>
          <t>48G⁹, 96A¹¹, 96E¹¹</t>
        </is>
      </c>
      <c r="M6785" t="inlineStr"/>
      <c r="N6785" t="inlineStr">
        <is>
          <t>48A⁵, 6B⁰, 96A¹¹, 12D², 32A³, 24J⁴, 48F⁴, 96E¹¹, 16A¹, 8C⁰, 2B⁰, 4B⁰, 1A⁰, 24B², 12C¹, 24D², 12B¹, 48G⁹, 6H⁰, 3A⁰, 6D⁰</t>
        </is>
      </c>
      <c r="O6785" t="inlineStr"/>
    </row>
    <row r="6786">
      <c r="A6786">
        <f>HYPERLINK("https://mathstats.uncg.edu/sites/pauli/congruence/csg21.html#group96L21", "96L²¹")</f>
        <v/>
      </c>
      <c r="B6786" t="n">
        <v>21</v>
      </c>
      <c r="C6786" t="inlineStr"/>
      <c r="D6786" t="inlineStr">
        <is>
          <t>288</t>
        </is>
      </c>
      <c r="E6786" t="inlineStr">
        <is>
          <t>1</t>
        </is>
      </c>
      <c r="F6786" t="inlineStr">
        <is>
          <t>18</t>
        </is>
      </c>
      <c r="G6786" t="inlineStr">
        <is>
          <t>0</t>
        </is>
      </c>
      <c r="H6786" t="inlineStr">
        <is>
          <t>0</t>
        </is>
      </c>
      <c r="I6786" t="inlineStr">
        <is>
          <t>12⁴, 24², 96²</t>
        </is>
      </c>
      <c r="J6786" t="n">
        <v>8</v>
      </c>
      <c r="K6786" t="inlineStr">
        <is>
          <t>1⁴, 2⁵, 4¹</t>
        </is>
      </c>
      <c r="L6786" t="inlineStr">
        <is>
          <t>48G⁹, 96B¹¹, 96D¹¹</t>
        </is>
      </c>
      <c r="M6786" t="inlineStr"/>
      <c r="N6786" t="inlineStr">
        <is>
          <t>48A⁵, 6B⁰, 12D², 24J⁴, 48F⁴, 16A¹, 8C⁰, 2B⁰, 4B⁰, 1A⁰, 24B², 96D¹¹, 12C¹, 96B¹¹, 24D², 12B¹, 48G⁹, 6H⁰, 3A⁰, 6D⁰, 32B³</t>
        </is>
      </c>
      <c r="O6786" t="inlineStr"/>
    </row>
    <row r="6787">
      <c r="A6787">
        <f>HYPERLINK("https://mathstats.uncg.edu/sites/pauli/congruence/csg21.html#group96M21", "96M²¹")</f>
        <v/>
      </c>
      <c r="B6787" t="n">
        <v>21</v>
      </c>
      <c r="C6787" t="inlineStr"/>
      <c r="D6787" t="inlineStr">
        <is>
          <t>288</t>
        </is>
      </c>
      <c r="E6787" t="inlineStr">
        <is>
          <t>1</t>
        </is>
      </c>
      <c r="F6787" t="inlineStr">
        <is>
          <t>36</t>
        </is>
      </c>
      <c r="G6787" t="inlineStr">
        <is>
          <t>0</t>
        </is>
      </c>
      <c r="H6787" t="inlineStr">
        <is>
          <t>0</t>
        </is>
      </c>
      <c r="I6787" t="inlineStr">
        <is>
          <t>12⁴, 24², 96²</t>
        </is>
      </c>
      <c r="J6787" t="n">
        <v>8</v>
      </c>
      <c r="K6787" t="inlineStr">
        <is>
          <t>2⁴, 4⁷</t>
        </is>
      </c>
      <c r="L6787" t="inlineStr">
        <is>
          <t>48C⁹</t>
        </is>
      </c>
      <c r="M6787" t="inlineStr"/>
      <c r="N6787" t="inlineStr">
        <is>
          <t>12K¹, 6G⁰, 2B⁰, 8C⁰, 4B⁰, 1A⁰, 24B², 48C⁹, 24D², 3C⁰, 12B¹, 12D⁰, 3A⁰, 24L³, 6D⁰, 48B⁵</t>
        </is>
      </c>
      <c r="O6787" t="inlineStr"/>
    </row>
    <row r="6788">
      <c r="A6788">
        <f>HYPERLINK("https://mathstats.uncg.edu/sites/pauli/congruence/csg21.html#group96N21", "96N²¹")</f>
        <v/>
      </c>
      <c r="B6788" t="n">
        <v>21</v>
      </c>
      <c r="C6788" t="inlineStr"/>
      <c r="D6788" t="inlineStr">
        <is>
          <t>288</t>
        </is>
      </c>
      <c r="E6788" t="inlineStr">
        <is>
          <t>1</t>
        </is>
      </c>
      <c r="F6788" t="inlineStr">
        <is>
          <t>36</t>
        </is>
      </c>
      <c r="G6788" t="inlineStr">
        <is>
          <t>0</t>
        </is>
      </c>
      <c r="H6788" t="inlineStr">
        <is>
          <t>0</t>
        </is>
      </c>
      <c r="I6788" t="inlineStr">
        <is>
          <t>12⁴, 24², 96²</t>
        </is>
      </c>
      <c r="J6788" t="n">
        <v>8</v>
      </c>
      <c r="K6788" t="inlineStr">
        <is>
          <t>2⁴, 4⁷</t>
        </is>
      </c>
      <c r="L6788" t="inlineStr">
        <is>
          <t>48C⁹</t>
        </is>
      </c>
      <c r="M6788" t="inlineStr"/>
      <c r="N6788" t="inlineStr">
        <is>
          <t>12K¹, 6G⁰, 2B⁰, 8C⁰, 4B⁰, 1A⁰, 24B², 48C⁹, 24D², 3C⁰, 12B¹, 12D⁰, 3A⁰, 24L³, 6D⁰, 48B⁵</t>
        </is>
      </c>
      <c r="O6788" t="inlineStr"/>
    </row>
    <row r="6789">
      <c r="A6789">
        <f>HYPERLINK("https://mathstats.uncg.edu/sites/pauli/congruence/csg21.html#group96O21", "96O²¹")</f>
        <v/>
      </c>
      <c r="B6789" t="n">
        <v>21</v>
      </c>
      <c r="C6789" t="inlineStr"/>
      <c r="D6789" t="inlineStr">
        <is>
          <t>288</t>
        </is>
      </c>
      <c r="E6789" t="inlineStr">
        <is>
          <t>1</t>
        </is>
      </c>
      <c r="F6789" t="inlineStr">
        <is>
          <t>36</t>
        </is>
      </c>
      <c r="G6789" t="inlineStr">
        <is>
          <t>0</t>
        </is>
      </c>
      <c r="H6789" t="inlineStr">
        <is>
          <t>0</t>
        </is>
      </c>
      <c r="I6789" t="inlineStr">
        <is>
          <t>12⁴, 24², 96²</t>
        </is>
      </c>
      <c r="J6789" t="n">
        <v>8</v>
      </c>
      <c r="K6789" t="inlineStr">
        <is>
          <t>2⁸, 4³, 8¹</t>
        </is>
      </c>
      <c r="L6789" t="inlineStr">
        <is>
          <t>48G⁹, 96F¹¹</t>
        </is>
      </c>
      <c r="M6789" t="inlineStr"/>
      <c r="N6789" t="inlineStr">
        <is>
          <t>48A⁵, 6B⁰, 12D², 24J⁴, 48F⁴, 16A¹, 8C⁰, 2B⁰, 4B⁰, 1A⁰, 24B², 12C¹, 96F¹¹, 24D², 12B¹, 48G⁹, 6H⁰, 3A⁰, 6D⁰</t>
        </is>
      </c>
      <c r="O6789" t="inlineStr"/>
    </row>
    <row r="6790">
      <c r="A6790">
        <f>HYPERLINK("https://mathstats.uncg.edu/sites/pauli/congruence/csg21.html#group96P21", "96P²¹")</f>
        <v/>
      </c>
      <c r="B6790" t="n">
        <v>21</v>
      </c>
      <c r="C6790" t="inlineStr"/>
      <c r="D6790" t="inlineStr">
        <is>
          <t>288</t>
        </is>
      </c>
      <c r="E6790" t="inlineStr">
        <is>
          <t>1</t>
        </is>
      </c>
      <c r="F6790" t="inlineStr">
        <is>
          <t>36</t>
        </is>
      </c>
      <c r="G6790" t="inlineStr">
        <is>
          <t>0</t>
        </is>
      </c>
      <c r="H6790" t="inlineStr">
        <is>
          <t>0</t>
        </is>
      </c>
      <c r="I6790" t="inlineStr">
        <is>
          <t>12⁴, 24², 96²</t>
        </is>
      </c>
      <c r="J6790" t="n">
        <v>8</v>
      </c>
      <c r="K6790" t="inlineStr">
        <is>
          <t>1⁴, 2⁶, 4³, 8¹</t>
        </is>
      </c>
      <c r="L6790" t="inlineStr">
        <is>
          <t>48D⁹, 96F¹¹</t>
        </is>
      </c>
      <c r="M6790" t="inlineStr"/>
      <c r="N6790" t="inlineStr">
        <is>
          <t>48A⁵, 12K¹, 6G⁰, 16A¹, 8C⁰, 48D⁹, 2B⁰, 4B⁰, 1A⁰, 24B², 96F¹¹, 24D², 3C⁰, 12B¹, 12D⁰, 3A⁰, 24L³, 6D⁰, 48B⁵</t>
        </is>
      </c>
      <c r="O6790" t="inlineStr"/>
    </row>
    <row r="6791">
      <c r="A6791">
        <f>HYPERLINK("https://mathstats.uncg.edu/sites/pauli/congruence/csg21.html#group96Q21", "96Q²¹")</f>
        <v/>
      </c>
      <c r="B6791" t="n">
        <v>21</v>
      </c>
      <c r="C6791" t="inlineStr"/>
      <c r="D6791" t="inlineStr">
        <is>
          <t>288</t>
        </is>
      </c>
      <c r="E6791" t="inlineStr">
        <is>
          <t>1</t>
        </is>
      </c>
      <c r="F6791" t="inlineStr">
        <is>
          <t>36</t>
        </is>
      </c>
      <c r="G6791" t="inlineStr">
        <is>
          <t>0</t>
        </is>
      </c>
      <c r="H6791" t="inlineStr">
        <is>
          <t>0</t>
        </is>
      </c>
      <c r="I6791" t="inlineStr">
        <is>
          <t>12⁴, 24², 96²</t>
        </is>
      </c>
      <c r="J6791" t="n">
        <v>8</v>
      </c>
      <c r="K6791" t="inlineStr">
        <is>
          <t>1⁴, 2⁶, 4³, 8¹</t>
        </is>
      </c>
      <c r="L6791" t="inlineStr">
        <is>
          <t>48B⁹, 96D¹¹, 96F¹¹</t>
        </is>
      </c>
      <c r="M6791" t="inlineStr"/>
      <c r="N6791" t="inlineStr">
        <is>
          <t>48A⁵, 24F⁴, 48B⁹, 16A¹, 8C⁰, 2B⁰, 8I⁰, 4B⁰, 1A⁰, 24B², 96D¹¹, 96F¹¹, 16G¹, 16D⁰, 12B¹, 3A⁰, 6D⁰, 48D⁴</t>
        </is>
      </c>
      <c r="O6791" t="inlineStr"/>
    </row>
    <row r="6792">
      <c r="A6792">
        <f>HYPERLINK("https://mathstats.uncg.edu/sites/pauli/congruence/csg21.html#group96R21", "96R²¹")</f>
        <v/>
      </c>
      <c r="B6792" t="n">
        <v>21</v>
      </c>
      <c r="C6792" t="inlineStr"/>
      <c r="D6792" t="inlineStr">
        <is>
          <t>288</t>
        </is>
      </c>
      <c r="E6792" t="inlineStr">
        <is>
          <t>1</t>
        </is>
      </c>
      <c r="F6792" t="inlineStr">
        <is>
          <t>36</t>
        </is>
      </c>
      <c r="G6792" t="inlineStr">
        <is>
          <t>0</t>
        </is>
      </c>
      <c r="H6792" t="inlineStr">
        <is>
          <t>0</t>
        </is>
      </c>
      <c r="I6792" t="inlineStr">
        <is>
          <t>12⁴, 24², 96²</t>
        </is>
      </c>
      <c r="J6792" t="n">
        <v>8</v>
      </c>
      <c r="K6792" t="inlineStr">
        <is>
          <t>1⁴, 2⁶, 4³, 8¹</t>
        </is>
      </c>
      <c r="L6792" t="inlineStr">
        <is>
          <t>48B⁹, 96E¹¹, 96F¹¹</t>
        </is>
      </c>
      <c r="M6792" t="inlineStr"/>
      <c r="N6792" t="inlineStr">
        <is>
          <t>48A⁵, 24F⁴, 48B⁹, 96E¹¹, 16A¹, 8C⁰, 2B⁰, 8I⁰, 4B⁰, 1A⁰, 24B², 96F¹¹, 16G¹, 16D⁰, 12B¹, 3A⁰, 6D⁰, 48D⁴</t>
        </is>
      </c>
      <c r="O6792" t="inlineStr"/>
    </row>
    <row r="6793">
      <c r="A6793">
        <f>HYPERLINK("https://mathstats.uncg.edu/sites/pauli/congruence/csg21.html#group96S21", "96S²¹")</f>
        <v/>
      </c>
      <c r="B6793" t="n">
        <v>21</v>
      </c>
      <c r="C6793" t="inlineStr"/>
      <c r="D6793" t="inlineStr">
        <is>
          <t>288</t>
        </is>
      </c>
      <c r="E6793" t="inlineStr">
        <is>
          <t>1</t>
        </is>
      </c>
      <c r="F6793" t="inlineStr">
        <is>
          <t>36</t>
        </is>
      </c>
      <c r="G6793" t="inlineStr">
        <is>
          <t>0</t>
        </is>
      </c>
      <c r="H6793" t="inlineStr">
        <is>
          <t>0</t>
        </is>
      </c>
      <c r="I6793" t="inlineStr">
        <is>
          <t>12⁴, 24², 96²</t>
        </is>
      </c>
      <c r="J6793" t="n">
        <v>8</v>
      </c>
      <c r="K6793" t="inlineStr">
        <is>
          <t>1⁴, 2⁶, 4³, 8¹</t>
        </is>
      </c>
      <c r="L6793" t="inlineStr">
        <is>
          <t>48D⁹, 96C¹¹, 96F¹¹</t>
        </is>
      </c>
      <c r="M6793" t="inlineStr"/>
      <c r="N6793" t="inlineStr">
        <is>
          <t>48A⁵, 96C¹¹, 12K¹, 6G⁰, 16A¹, 8C⁰, 48D⁹, 2B⁰, 4B⁰, 1A⁰, 32C³, 24B², 96F¹¹, 24D², 3C⁰, 12B¹, 12D⁰, 3A⁰, 24L³, 6D⁰, 48B⁵</t>
        </is>
      </c>
      <c r="O6793" t="inlineStr"/>
    </row>
    <row r="6794">
      <c r="A6794">
        <f>HYPERLINK("https://mathstats.uncg.edu/sites/pauli/congruence/csg21.html#group96T21", "96T²¹")</f>
        <v/>
      </c>
      <c r="B6794" t="n">
        <v>21</v>
      </c>
      <c r="C6794" t="inlineStr"/>
      <c r="D6794" t="inlineStr">
        <is>
          <t>288</t>
        </is>
      </c>
      <c r="E6794" t="inlineStr">
        <is>
          <t>1</t>
        </is>
      </c>
      <c r="F6794" t="inlineStr">
        <is>
          <t>36</t>
        </is>
      </c>
      <c r="G6794" t="inlineStr">
        <is>
          <t>0</t>
        </is>
      </c>
      <c r="H6794" t="inlineStr">
        <is>
          <t>0</t>
        </is>
      </c>
      <c r="I6794" t="inlineStr">
        <is>
          <t>12⁴, 24², 96²</t>
        </is>
      </c>
      <c r="J6794" t="n">
        <v>8</v>
      </c>
      <c r="K6794" t="inlineStr">
        <is>
          <t>1⁴, 2⁶, 4³, 8¹</t>
        </is>
      </c>
      <c r="L6794" t="inlineStr">
        <is>
          <t>48G⁹, 96C¹¹, 96F¹¹</t>
        </is>
      </c>
      <c r="M6794" t="inlineStr"/>
      <c r="N6794" t="inlineStr">
        <is>
          <t>48A⁵, 96C¹¹, 6B⁰, 12D², 24J⁴, 48F⁴, 16A¹, 8C⁰, 2B⁰, 4B⁰, 1A⁰, 32C³, 24B², 12C¹, 96F¹¹, 24D², 12B¹, 48G⁹, 6H⁰, 3A⁰, 6D⁰</t>
        </is>
      </c>
      <c r="O6794" t="inlineStr"/>
    </row>
    <row r="6795">
      <c r="A6795">
        <f>HYPERLINK("https://mathstats.uncg.edu/sites/pauli/congruence/csg21.html#group96U21", "96U²¹")</f>
        <v/>
      </c>
      <c r="B6795" t="n">
        <v>21</v>
      </c>
      <c r="C6795" t="inlineStr"/>
      <c r="D6795" t="inlineStr">
        <is>
          <t>288</t>
        </is>
      </c>
      <c r="E6795" t="inlineStr">
        <is>
          <t>1</t>
        </is>
      </c>
      <c r="F6795" t="inlineStr">
        <is>
          <t>36</t>
        </is>
      </c>
      <c r="G6795" t="inlineStr">
        <is>
          <t>0</t>
        </is>
      </c>
      <c r="H6795" t="inlineStr">
        <is>
          <t>0</t>
        </is>
      </c>
      <c r="I6795" t="inlineStr">
        <is>
          <t>12⁴, 24², 96²</t>
        </is>
      </c>
      <c r="J6795" t="n">
        <v>8</v>
      </c>
      <c r="K6795" t="inlineStr">
        <is>
          <t>1⁴, 2⁶, 4³, 8¹</t>
        </is>
      </c>
      <c r="L6795" t="inlineStr">
        <is>
          <t>48Q⁹, 96A¹¹, 96F¹¹</t>
        </is>
      </c>
      <c r="M6795" t="inlineStr"/>
      <c r="N6795" t="inlineStr">
        <is>
          <t>48A⁵, 24B², 96F¹¹, 4B⁰, 96A¹¹, 48Q⁹, 24M⁴, 32A³, 16A¹, 8C⁰, 12B¹, 2B⁰, 3A⁰, 1A⁰, 48G⁴, 6D⁰</t>
        </is>
      </c>
      <c r="O6795" t="inlineStr"/>
    </row>
    <row r="6796">
      <c r="A6796">
        <f>HYPERLINK("https://mathstats.uncg.edu/sites/pauli/congruence/csg21.html#group96V21", "96V²¹")</f>
        <v/>
      </c>
      <c r="B6796" t="n">
        <v>21</v>
      </c>
      <c r="C6796" t="inlineStr"/>
      <c r="D6796" t="inlineStr">
        <is>
          <t>288</t>
        </is>
      </c>
      <c r="E6796" t="inlineStr">
        <is>
          <t>1</t>
        </is>
      </c>
      <c r="F6796" t="inlineStr">
        <is>
          <t>36</t>
        </is>
      </c>
      <c r="G6796" t="inlineStr">
        <is>
          <t>0</t>
        </is>
      </c>
      <c r="H6796" t="inlineStr">
        <is>
          <t>0</t>
        </is>
      </c>
      <c r="I6796" t="inlineStr">
        <is>
          <t>12⁴, 24², 96²</t>
        </is>
      </c>
      <c r="J6796" t="n">
        <v>8</v>
      </c>
      <c r="K6796" t="inlineStr">
        <is>
          <t>1⁴, 2⁶, 4³, 8¹</t>
        </is>
      </c>
      <c r="L6796" t="inlineStr">
        <is>
          <t>48Q⁹, 96B¹¹, 96F¹¹</t>
        </is>
      </c>
      <c r="M6796" t="inlineStr"/>
      <c r="N6796" t="inlineStr">
        <is>
          <t>48A⁵, 24B², 96F¹¹, 4B⁰, 48Q⁹, 96B¹¹, 24M⁴, 16A¹, 8C⁰, 12B¹, 2B⁰, 3A⁰, 1A⁰, 48G⁴, 6D⁰, 32B³</t>
        </is>
      </c>
      <c r="O6796" t="inlineStr"/>
    </row>
    <row r="6797">
      <c r="A6797">
        <f>HYPERLINK("https://mathstats.uncg.edu/sites/pauli/congruence/csg21.html#group96W21", "96W²¹")</f>
        <v/>
      </c>
      <c r="B6797" t="n">
        <v>21</v>
      </c>
      <c r="C6797" t="inlineStr"/>
      <c r="D6797" t="inlineStr">
        <is>
          <t>288</t>
        </is>
      </c>
      <c r="E6797" t="inlineStr">
        <is>
          <t>1</t>
        </is>
      </c>
      <c r="F6797" t="inlineStr">
        <is>
          <t>36</t>
        </is>
      </c>
      <c r="G6797" t="inlineStr">
        <is>
          <t>0</t>
        </is>
      </c>
      <c r="H6797" t="inlineStr">
        <is>
          <t>0</t>
        </is>
      </c>
      <c r="I6797" t="inlineStr">
        <is>
          <t>12⁴, 24², 96²</t>
        </is>
      </c>
      <c r="J6797" t="n">
        <v>8</v>
      </c>
      <c r="K6797" t="inlineStr">
        <is>
          <t>1⁴, 2⁶, 4³, 8¹</t>
        </is>
      </c>
      <c r="L6797" t="inlineStr">
        <is>
          <t>48Q⁹, 96C¹¹, 96D¹¹</t>
        </is>
      </c>
      <c r="M6797" t="inlineStr"/>
      <c r="N6797" t="inlineStr">
        <is>
          <t>48A⁵, 96C¹¹, 24B², 4B⁰, 48Q⁹, 6D⁰, 24M⁴, 16A¹, 8C⁰, 12B¹, 2B⁰, 3A⁰, 1A⁰, 32C³, 48G⁴, 96D¹¹</t>
        </is>
      </c>
      <c r="O6797" t="inlineStr"/>
    </row>
    <row r="6798">
      <c r="A6798">
        <f>HYPERLINK("https://mathstats.uncg.edu/sites/pauli/congruence/csg21.html#group96X21", "96X²¹")</f>
        <v/>
      </c>
      <c r="B6798" t="n">
        <v>21</v>
      </c>
      <c r="C6798" t="inlineStr"/>
      <c r="D6798" t="inlineStr">
        <is>
          <t>288</t>
        </is>
      </c>
      <c r="E6798" t="inlineStr">
        <is>
          <t>1</t>
        </is>
      </c>
      <c r="F6798" t="inlineStr">
        <is>
          <t>36</t>
        </is>
      </c>
      <c r="G6798" t="inlineStr">
        <is>
          <t>0</t>
        </is>
      </c>
      <c r="H6798" t="inlineStr">
        <is>
          <t>0</t>
        </is>
      </c>
      <c r="I6798" t="inlineStr">
        <is>
          <t>12⁴, 24², 96²</t>
        </is>
      </c>
      <c r="J6798" t="n">
        <v>8</v>
      </c>
      <c r="K6798" t="inlineStr">
        <is>
          <t>1⁴, 2⁶, 4³, 8¹</t>
        </is>
      </c>
      <c r="L6798" t="inlineStr">
        <is>
          <t>48Q⁹, 96C¹¹, 96E¹¹</t>
        </is>
      </c>
      <c r="M6798" t="inlineStr"/>
      <c r="N6798" t="inlineStr">
        <is>
          <t>48A⁵, 96C¹¹, 24B², 4B⁰, 48Q⁹, 24M⁴, 96E¹¹, 16A¹, 8C⁰, 12B¹, 2B⁰, 3A⁰, 1A⁰, 32C³, 48G⁴, 6D⁰</t>
        </is>
      </c>
      <c r="O6798" t="inlineStr"/>
    </row>
    <row r="6799">
      <c r="A6799">
        <f>HYPERLINK("https://mathstats.uncg.edu/sites/pauli/congruence/csg21.html#group96Y21", "96Y²¹")</f>
        <v/>
      </c>
      <c r="B6799" t="n">
        <v>21</v>
      </c>
      <c r="C6799" t="inlineStr"/>
      <c r="D6799" t="inlineStr">
        <is>
          <t>288</t>
        </is>
      </c>
      <c r="E6799" t="inlineStr">
        <is>
          <t>1</t>
        </is>
      </c>
      <c r="F6799" t="inlineStr">
        <is>
          <t>36</t>
        </is>
      </c>
      <c r="G6799" t="inlineStr">
        <is>
          <t>8</t>
        </is>
      </c>
      <c r="H6799" t="inlineStr">
        <is>
          <t>0</t>
        </is>
      </c>
      <c r="I6799" t="inlineStr">
        <is>
          <t>48², 96²</t>
        </is>
      </c>
      <c r="J6799" t="n">
        <v>4</v>
      </c>
      <c r="K6799" t="inlineStr">
        <is>
          <t>2⁶, 4⁶</t>
        </is>
      </c>
      <c r="L6799" t="inlineStr">
        <is>
          <t>48N⁷, 96A⁷</t>
        </is>
      </c>
      <c r="M6799" t="inlineStr"/>
      <c r="N6799" t="inlineStr">
        <is>
          <t>12C⁰, 4C⁰, 24I³, 8B⁰, 6G⁰, 48A⁰, 2B⁰, 24C², 1A⁰, 12L¹, 48C⁴, 16B⁰, 12C¹, 24A⁰, 48N⁷, 96A⁷, 3C⁰, 3A⁰, 6D⁰</t>
        </is>
      </c>
      <c r="O6799" t="inlineStr"/>
    </row>
    <row r="6800">
      <c r="A6800">
        <f>HYPERLINK("https://mathstats.uncg.edu/sites/pauli/congruence/csg21.html#group96Z21", "96Z²¹")</f>
        <v/>
      </c>
      <c r="B6800" t="n">
        <v>21</v>
      </c>
      <c r="C6800" t="inlineStr"/>
      <c r="D6800" t="inlineStr">
        <is>
          <t>288</t>
        </is>
      </c>
      <c r="E6800" t="inlineStr">
        <is>
          <t>1</t>
        </is>
      </c>
      <c r="F6800" t="inlineStr">
        <is>
          <t>36</t>
        </is>
      </c>
      <c r="G6800" t="inlineStr">
        <is>
          <t>8</t>
        </is>
      </c>
      <c r="H6800" t="inlineStr">
        <is>
          <t>0</t>
        </is>
      </c>
      <c r="I6800" t="inlineStr">
        <is>
          <t>48², 96²</t>
        </is>
      </c>
      <c r="J6800" t="n">
        <v>4</v>
      </c>
      <c r="K6800" t="inlineStr">
        <is>
          <t>2⁶, 4⁶</t>
        </is>
      </c>
      <c r="L6800" t="inlineStr">
        <is>
          <t>48G⁵, 96A⁷, 96B⁹</t>
        </is>
      </c>
      <c r="M6800" t="inlineStr"/>
      <c r="N6800" t="inlineStr">
        <is>
          <t>24E¹, 12C⁰, 96B⁹, 4C⁰, 8B⁰, 24P², 48A⁰, 12M¹, 2B⁰, 48G⁵, 1A⁰, 16B⁰, 24A⁰, 96A⁷, 32D³, 48F³, 3A⁰, 6D⁰</t>
        </is>
      </c>
      <c r="O6800" t="inlineStr"/>
    </row>
    <row r="6801">
      <c r="A6801">
        <f>HYPERLINK("https://mathstats.uncg.edu/sites/pauli/congruence/csg21.html#group96AA21", "96AA²¹")</f>
        <v/>
      </c>
      <c r="B6801" t="n">
        <v>21</v>
      </c>
      <c r="C6801" t="inlineStr"/>
      <c r="D6801" t="inlineStr">
        <is>
          <t>288</t>
        </is>
      </c>
      <c r="E6801" t="inlineStr">
        <is>
          <t>1</t>
        </is>
      </c>
      <c r="F6801" t="inlineStr">
        <is>
          <t>36</t>
        </is>
      </c>
      <c r="G6801" t="inlineStr">
        <is>
          <t>8</t>
        </is>
      </c>
      <c r="H6801" t="inlineStr">
        <is>
          <t>0</t>
        </is>
      </c>
      <c r="I6801" t="inlineStr">
        <is>
          <t>48², 96²</t>
        </is>
      </c>
      <c r="J6801" t="n">
        <v>4</v>
      </c>
      <c r="K6801" t="inlineStr">
        <is>
          <t>2⁶, 4⁶</t>
        </is>
      </c>
      <c r="L6801" t="inlineStr">
        <is>
          <t>96A⁵, 48N⁷, 96B⁹</t>
        </is>
      </c>
      <c r="M6801" t="inlineStr"/>
      <c r="N6801" t="inlineStr">
        <is>
          <t>12C⁰, 96B⁹, 96A⁵, 4C⁰, 8B⁰, 24I³, 6G⁰, 48A⁰, 2B⁰, 24C², 1A⁰, 12L¹, 48C⁴, 16B⁰, 12C¹, 24A⁰, 48N⁷, 3C⁰, 32D³, 3A⁰, 6D⁰</t>
        </is>
      </c>
      <c r="O6801" t="inlineStr"/>
    </row>
    <row r="6802">
      <c r="A6802">
        <f>HYPERLINK("https://mathstats.uncg.edu/sites/pauli/congruence/csg21.html#group96AB21", "96AB²¹")</f>
        <v/>
      </c>
      <c r="B6802" t="n">
        <v>21</v>
      </c>
      <c r="C6802" t="inlineStr"/>
      <c r="D6802" t="inlineStr">
        <is>
          <t>288</t>
        </is>
      </c>
      <c r="E6802" t="inlineStr">
        <is>
          <t>1</t>
        </is>
      </c>
      <c r="F6802" t="inlineStr">
        <is>
          <t>72</t>
        </is>
      </c>
      <c r="G6802" t="inlineStr">
        <is>
          <t>0</t>
        </is>
      </c>
      <c r="H6802" t="inlineStr">
        <is>
          <t>0</t>
        </is>
      </c>
      <c r="I6802" t="inlineStr">
        <is>
          <t>12⁴, 24², 96²</t>
        </is>
      </c>
      <c r="J6802" t="n">
        <v>8</v>
      </c>
      <c r="K6802" t="inlineStr">
        <is>
          <t>2⁴, 4¹⁰, 8³</t>
        </is>
      </c>
      <c r="L6802" t="inlineStr">
        <is>
          <t>48C⁹</t>
        </is>
      </c>
      <c r="M6802" t="inlineStr"/>
      <c r="N6802" t="inlineStr">
        <is>
          <t>12K¹, 6G⁰, 2B⁰, 8C⁰, 4B⁰, 1A⁰, 24B², 48C⁹, 24D², 3C⁰, 12B¹, 12D⁰, 3A⁰, 24L³, 6D⁰, 48B⁵</t>
        </is>
      </c>
      <c r="O6802" t="inlineStr"/>
    </row>
    <row r="6803">
      <c r="A6803">
        <f>HYPERLINK("https://mathstats.uncg.edu/sites/pauli/congruence/csg21.html#group96AC21", "96AC²¹")</f>
        <v/>
      </c>
      <c r="B6803" t="n">
        <v>21</v>
      </c>
      <c r="C6803" t="inlineStr"/>
      <c r="D6803" t="inlineStr">
        <is>
          <t>288</t>
        </is>
      </c>
      <c r="E6803" t="inlineStr">
        <is>
          <t>1</t>
        </is>
      </c>
      <c r="F6803" t="inlineStr">
        <is>
          <t>72</t>
        </is>
      </c>
      <c r="G6803" t="inlineStr">
        <is>
          <t>4</t>
        </is>
      </c>
      <c r="H6803" t="inlineStr">
        <is>
          <t>0</t>
        </is>
      </c>
      <c r="I6803" t="inlineStr">
        <is>
          <t>24⁴, 96²</t>
        </is>
      </c>
      <c r="J6803" t="n">
        <v>6</v>
      </c>
      <c r="K6803" t="inlineStr">
        <is>
          <t>2², 4³, 8⁴, 16⁶</t>
        </is>
      </c>
      <c r="L6803" t="inlineStr">
        <is>
          <t>48U⁹, 96D¹⁰</t>
        </is>
      </c>
      <c r="M6803" t="inlineStr"/>
      <c r="N6803" t="inlineStr">
        <is>
          <t>12C⁰, 48G³, 8D⁰, 4C⁰, 48U⁹, 12M¹, 2B⁰, 24C², 1A⁰, 48E⁴, 16C¹, 24C¹, 3A⁰, 24L⁴, 6D⁰, 96D¹⁰</t>
        </is>
      </c>
      <c r="O6803" t="inlineStr"/>
    </row>
    <row r="6804">
      <c r="A6804">
        <f>HYPERLINK("https://mathstats.uncg.edu/sites/pauli/congruence/csg21.html#group96AD21", "96AD²¹")</f>
        <v/>
      </c>
      <c r="B6804" t="n">
        <v>21</v>
      </c>
      <c r="C6804" t="inlineStr"/>
      <c r="D6804" t="inlineStr">
        <is>
          <t>288</t>
        </is>
      </c>
      <c r="E6804" t="inlineStr">
        <is>
          <t>1</t>
        </is>
      </c>
      <c r="F6804" t="inlineStr">
        <is>
          <t>72</t>
        </is>
      </c>
      <c r="G6804" t="inlineStr">
        <is>
          <t>4</t>
        </is>
      </c>
      <c r="H6804" t="inlineStr">
        <is>
          <t>0</t>
        </is>
      </c>
      <c r="I6804" t="inlineStr">
        <is>
          <t>24⁴, 96²</t>
        </is>
      </c>
      <c r="J6804" t="n">
        <v>6</v>
      </c>
      <c r="K6804" t="inlineStr">
        <is>
          <t>2², 4³, 8⁴, 16⁶</t>
        </is>
      </c>
      <c r="L6804" t="inlineStr">
        <is>
          <t>48U⁹, 96D¹⁰</t>
        </is>
      </c>
      <c r="M6804" t="inlineStr"/>
      <c r="N6804" t="inlineStr">
        <is>
          <t>12C⁰, 48G³, 8D⁰, 4C⁰, 48U⁹, 12M¹, 2B⁰, 24C², 1A⁰, 48E⁴, 16C¹, 24C¹, 3A⁰, 24L⁴, 6D⁰, 96D¹⁰</t>
        </is>
      </c>
      <c r="O6804" t="inlineStr"/>
    </row>
    <row r="6805">
      <c r="A6805">
        <f>HYPERLINK("https://mathstats.uncg.edu/sites/pauli/congruence/csg21.html#group96AE21", "96AE²¹")</f>
        <v/>
      </c>
      <c r="B6805" t="n">
        <v>21</v>
      </c>
      <c r="C6805" t="inlineStr"/>
      <c r="D6805" t="inlineStr">
        <is>
          <t>288</t>
        </is>
      </c>
      <c r="E6805" t="inlineStr">
        <is>
          <t>1</t>
        </is>
      </c>
      <c r="F6805" t="inlineStr">
        <is>
          <t>72</t>
        </is>
      </c>
      <c r="G6805" t="inlineStr">
        <is>
          <t>8</t>
        </is>
      </c>
      <c r="H6805" t="inlineStr">
        <is>
          <t>0</t>
        </is>
      </c>
      <c r="I6805" t="inlineStr">
        <is>
          <t>48², 96²</t>
        </is>
      </c>
      <c r="J6805" t="n">
        <v>4</v>
      </c>
      <c r="K6805" t="inlineStr">
        <is>
          <t>2⁸, 4⁸, 8¹, 16¹</t>
        </is>
      </c>
      <c r="L6805" t="inlineStr">
        <is>
          <t>48Z⁹, 96H⁹</t>
        </is>
      </c>
      <c r="M6805" t="inlineStr"/>
      <c r="N6805" t="inlineStr">
        <is>
          <t>12C⁰, 48Z⁹, 4C⁰, 8B⁰, 24I³, 6G⁰, 2B⁰, 24C², 1A⁰, 12L¹, 48H³, 16D¹, 12C¹, 48E³, 24A⁰, 96H⁹, 3C⁰, 3A⁰, 6D⁰</t>
        </is>
      </c>
      <c r="O6805" t="inlineStr"/>
    </row>
    <row r="6806">
      <c r="A6806">
        <f>HYPERLINK("https://mathstats.uncg.edu/sites/pauli/congruence/csg21.html#group96AF21", "96AF²¹")</f>
        <v/>
      </c>
      <c r="B6806" t="n">
        <v>21</v>
      </c>
      <c r="C6806" t="inlineStr"/>
      <c r="D6806" t="inlineStr">
        <is>
          <t>288</t>
        </is>
      </c>
      <c r="E6806" t="inlineStr">
        <is>
          <t>1</t>
        </is>
      </c>
      <c r="F6806" t="inlineStr">
        <is>
          <t>72</t>
        </is>
      </c>
      <c r="G6806" t="inlineStr">
        <is>
          <t>8</t>
        </is>
      </c>
      <c r="H6806" t="inlineStr">
        <is>
          <t>0</t>
        </is>
      </c>
      <c r="I6806" t="inlineStr">
        <is>
          <t>48², 96²</t>
        </is>
      </c>
      <c r="J6806" t="n">
        <v>4</v>
      </c>
      <c r="K6806" t="inlineStr">
        <is>
          <t>2⁸, 4⁸, 8¹, 16¹</t>
        </is>
      </c>
      <c r="L6806" t="inlineStr">
        <is>
          <t>48Z⁹, 96I⁹</t>
        </is>
      </c>
      <c r="M6806" t="inlineStr"/>
      <c r="N6806" t="inlineStr">
        <is>
          <t>12C⁰, 48Z⁹, 4C⁰, 24I³, 8B⁰, 6G⁰, 2B⁰, 24C², 1A⁰, 48H³, 12L¹, 96I⁹, 16D¹, 12C¹, 48E³, 24A⁰, 3C⁰, 3A⁰, 6D⁰</t>
        </is>
      </c>
      <c r="O6806" t="inlineStr"/>
    </row>
    <row r="6807">
      <c r="A6807">
        <f>HYPERLINK("https://mathstats.uncg.edu/sites/pauli/congruence/csg21.html#group96AG21", "96AG²¹")</f>
        <v/>
      </c>
      <c r="B6807" t="n">
        <v>21</v>
      </c>
      <c r="C6807" t="inlineStr"/>
      <c r="D6807" t="inlineStr">
        <is>
          <t>288</t>
        </is>
      </c>
      <c r="E6807" t="inlineStr">
        <is>
          <t>1</t>
        </is>
      </c>
      <c r="F6807" t="inlineStr">
        <is>
          <t>72</t>
        </is>
      </c>
      <c r="G6807" t="inlineStr">
        <is>
          <t>8</t>
        </is>
      </c>
      <c r="H6807" t="inlineStr">
        <is>
          <t>0</t>
        </is>
      </c>
      <c r="I6807" t="inlineStr">
        <is>
          <t>48², 96²</t>
        </is>
      </c>
      <c r="J6807" t="n">
        <v>4</v>
      </c>
      <c r="K6807" t="inlineStr">
        <is>
          <t>2⁸, 4⁸, 8¹, 16¹</t>
        </is>
      </c>
      <c r="L6807" t="inlineStr">
        <is>
          <t>48Z⁹, 96J⁹</t>
        </is>
      </c>
      <c r="M6807" t="inlineStr"/>
      <c r="N6807" t="inlineStr">
        <is>
          <t>12C⁰, 48Z⁹, 4C⁰, 8B⁰, 24I³, 6G⁰, 2B⁰, 24C², 96J⁹, 1A⁰, 12L¹, 48H³, 16D¹, 12C¹, 48E³, 24A⁰, 3C⁰, 3A⁰, 6D⁰</t>
        </is>
      </c>
      <c r="O6807" t="inlineStr"/>
    </row>
    <row r="6808">
      <c r="A6808">
        <f>HYPERLINK("https://mathstats.uncg.edu/sites/pauli/congruence/csg21.html#group96AH21", "96AH²¹")</f>
        <v/>
      </c>
      <c r="B6808" t="n">
        <v>21</v>
      </c>
      <c r="C6808" t="inlineStr"/>
      <c r="D6808" t="inlineStr">
        <is>
          <t>288</t>
        </is>
      </c>
      <c r="E6808" t="inlineStr">
        <is>
          <t>1</t>
        </is>
      </c>
      <c r="F6808" t="inlineStr">
        <is>
          <t>72</t>
        </is>
      </c>
      <c r="G6808" t="inlineStr">
        <is>
          <t>8</t>
        </is>
      </c>
      <c r="H6808" t="inlineStr">
        <is>
          <t>0</t>
        </is>
      </c>
      <c r="I6808" t="inlineStr">
        <is>
          <t>48², 96²</t>
        </is>
      </c>
      <c r="J6808" t="n">
        <v>4</v>
      </c>
      <c r="K6808" t="inlineStr">
        <is>
          <t>2⁸, 4⁸, 8¹, 16¹</t>
        </is>
      </c>
      <c r="L6808" t="inlineStr">
        <is>
          <t>48Z⁹, 96K⁹</t>
        </is>
      </c>
      <c r="M6808" t="inlineStr"/>
      <c r="N6808" t="inlineStr">
        <is>
          <t>12C⁰, 48Z⁹, 4C⁰, 8B⁰, 24I³, 6G⁰, 2B⁰, 24C², 1A⁰, 12L¹, 48H³, 16D¹, 12C¹, 48E³, 24A⁰, 96K⁹, 3C⁰, 3A⁰, 6D⁰</t>
        </is>
      </c>
      <c r="O6808" t="inlineStr"/>
    </row>
    <row r="6809">
      <c r="A6809">
        <f>HYPERLINK("https://mathstats.uncg.edu/sites/pauli/congruence/csg21.html#group96AI21", "96AI²¹")</f>
        <v/>
      </c>
      <c r="B6809" t="n">
        <v>21</v>
      </c>
      <c r="C6809" t="inlineStr"/>
      <c r="D6809" t="inlineStr">
        <is>
          <t>288</t>
        </is>
      </c>
      <c r="E6809" t="inlineStr">
        <is>
          <t>1</t>
        </is>
      </c>
      <c r="F6809" t="inlineStr">
        <is>
          <t>72</t>
        </is>
      </c>
      <c r="G6809" t="inlineStr">
        <is>
          <t>8</t>
        </is>
      </c>
      <c r="H6809" t="inlineStr">
        <is>
          <t>0</t>
        </is>
      </c>
      <c r="I6809" t="inlineStr">
        <is>
          <t>48², 96²</t>
        </is>
      </c>
      <c r="J6809" t="n">
        <v>4</v>
      </c>
      <c r="K6809" t="inlineStr">
        <is>
          <t>2⁸, 4⁸, 8¹, 16¹</t>
        </is>
      </c>
      <c r="L6809" t="inlineStr">
        <is>
          <t>48Y⁹, 96C⁹, 96H⁹</t>
        </is>
      </c>
      <c r="M6809" t="inlineStr"/>
      <c r="N6809" t="inlineStr">
        <is>
          <t>48Y⁹, 16D¹, 12C⁰, 48E³, 24A⁰, 4C⁰, 8B⁰, 96H⁹, 24Q², 2B⁰, 96C⁹, 32E³, 3A⁰, 1A⁰, 6D⁰, 48C⁴</t>
        </is>
      </c>
      <c r="O6809" t="inlineStr"/>
    </row>
    <row r="6810">
      <c r="A6810">
        <f>HYPERLINK("https://mathstats.uncg.edu/sites/pauli/congruence/csg21.html#group96AJ21", "96AJ²¹")</f>
        <v/>
      </c>
      <c r="B6810" t="n">
        <v>21</v>
      </c>
      <c r="C6810" t="inlineStr"/>
      <c r="D6810" t="inlineStr">
        <is>
          <t>288</t>
        </is>
      </c>
      <c r="E6810" t="inlineStr">
        <is>
          <t>1</t>
        </is>
      </c>
      <c r="F6810" t="inlineStr">
        <is>
          <t>72</t>
        </is>
      </c>
      <c r="G6810" t="inlineStr">
        <is>
          <t>8</t>
        </is>
      </c>
      <c r="H6810" t="inlineStr">
        <is>
          <t>0</t>
        </is>
      </c>
      <c r="I6810" t="inlineStr">
        <is>
          <t>48², 96²</t>
        </is>
      </c>
      <c r="J6810" t="n">
        <v>4</v>
      </c>
      <c r="K6810" t="inlineStr">
        <is>
          <t>2⁸, 4⁸, 8¹, 16¹</t>
        </is>
      </c>
      <c r="L6810" t="inlineStr">
        <is>
          <t>48Y⁹, 96D⁹, 96I⁹</t>
        </is>
      </c>
      <c r="M6810" t="inlineStr"/>
      <c r="N6810" t="inlineStr">
        <is>
          <t>48Y⁹, 96I⁹, 16D¹, 12C⁰, 48E³, 24A⁰, 96D⁹, 4C⁰, 8B⁰, 24Q², 2B⁰, 32F³, 3A⁰, 1A⁰, 6D⁰, 48C⁴</t>
        </is>
      </c>
      <c r="O6810" t="inlineStr"/>
    </row>
    <row r="6811">
      <c r="A6811">
        <f>HYPERLINK("https://mathstats.uncg.edu/sites/pauli/congruence/csg21.html#group96AK21", "96AK²¹")</f>
        <v/>
      </c>
      <c r="B6811" t="n">
        <v>21</v>
      </c>
      <c r="C6811" t="inlineStr"/>
      <c r="D6811" t="inlineStr">
        <is>
          <t>288</t>
        </is>
      </c>
      <c r="E6811" t="inlineStr">
        <is>
          <t>1</t>
        </is>
      </c>
      <c r="F6811" t="inlineStr">
        <is>
          <t>72</t>
        </is>
      </c>
      <c r="G6811" t="inlineStr">
        <is>
          <t>8</t>
        </is>
      </c>
      <c r="H6811" t="inlineStr">
        <is>
          <t>0</t>
        </is>
      </c>
      <c r="I6811" t="inlineStr">
        <is>
          <t>48², 96²</t>
        </is>
      </c>
      <c r="J6811" t="n">
        <v>4</v>
      </c>
      <c r="K6811" t="inlineStr">
        <is>
          <t>2⁸, 4⁸, 8¹, 16¹</t>
        </is>
      </c>
      <c r="L6811" t="inlineStr">
        <is>
          <t>48Y⁹, 96E⁹, 96K⁹</t>
        </is>
      </c>
      <c r="M6811" t="inlineStr"/>
      <c r="N6811" t="inlineStr">
        <is>
          <t>48Y⁹, 16D¹, 12C⁰, 48E³, 24A⁰, 96K⁹, 4C⁰, 8B⁰, 24Q², 2B⁰, 32G³, 3A⁰, 1A⁰, 96E⁹, 6D⁰, 48C⁴</t>
        </is>
      </c>
      <c r="O6811" t="inlineStr"/>
    </row>
    <row r="6812">
      <c r="A6812">
        <f>HYPERLINK("https://mathstats.uncg.edu/sites/pauli/congruence/csg21.html#group96AL21", "96AL²¹")</f>
        <v/>
      </c>
      <c r="B6812" t="n">
        <v>21</v>
      </c>
      <c r="C6812" t="inlineStr"/>
      <c r="D6812" t="inlineStr">
        <is>
          <t>288</t>
        </is>
      </c>
      <c r="E6812" t="inlineStr">
        <is>
          <t>1</t>
        </is>
      </c>
      <c r="F6812" t="inlineStr">
        <is>
          <t>72</t>
        </is>
      </c>
      <c r="G6812" t="inlineStr">
        <is>
          <t>8</t>
        </is>
      </c>
      <c r="H6812" t="inlineStr">
        <is>
          <t>0</t>
        </is>
      </c>
      <c r="I6812" t="inlineStr">
        <is>
          <t>48², 96²</t>
        </is>
      </c>
      <c r="J6812" t="n">
        <v>4</v>
      </c>
      <c r="K6812" t="inlineStr">
        <is>
          <t>2⁸, 4⁸, 8¹, 16¹</t>
        </is>
      </c>
      <c r="L6812" t="inlineStr">
        <is>
          <t>48Y⁹, 96F⁹, 96J⁹</t>
        </is>
      </c>
      <c r="M6812" t="inlineStr"/>
      <c r="N6812" t="inlineStr">
        <is>
          <t>48Y⁹, 16D¹, 12C⁰, 3A⁰, 48E³, 96F⁹, 24A⁰, 4C⁰, 8B⁰, 32H³, 24Q², 2B⁰, 96J⁹, 1A⁰, 6D⁰, 48C⁴</t>
        </is>
      </c>
      <c r="O6812" t="inlineStr"/>
    </row>
    <row r="6813">
      <c r="A6813">
        <f>HYPERLINK("https://mathstats.uncg.edu/sites/pauli/congruence/csg21.html#group96AM21", "96AM²¹")</f>
        <v/>
      </c>
      <c r="B6813" t="n">
        <v>21</v>
      </c>
      <c r="C6813" t="inlineStr"/>
      <c r="D6813" t="inlineStr">
        <is>
          <t>288</t>
        </is>
      </c>
      <c r="E6813" t="inlineStr">
        <is>
          <t>1</t>
        </is>
      </c>
      <c r="F6813" t="inlineStr">
        <is>
          <t>72</t>
        </is>
      </c>
      <c r="G6813" t="inlineStr">
        <is>
          <t>8</t>
        </is>
      </c>
      <c r="H6813" t="inlineStr">
        <is>
          <t>0</t>
        </is>
      </c>
      <c r="I6813" t="inlineStr">
        <is>
          <t>48², 96²</t>
        </is>
      </c>
      <c r="J6813" t="n">
        <v>4</v>
      </c>
      <c r="K6813" t="inlineStr">
        <is>
          <t>2⁸, 4⁸, 8¹, 16¹</t>
        </is>
      </c>
      <c r="L6813" t="inlineStr">
        <is>
          <t>48Z⁹, 96C⁹, 96I⁹</t>
        </is>
      </c>
      <c r="M6813" t="inlineStr"/>
      <c r="N6813" t="inlineStr">
        <is>
          <t>12C⁰, 48Z⁹, 4C⁰, 24I³, 8B⁰, 6G⁰, 2B⁰, 24C², 1A⁰, 48H³, 12L¹, 96I⁹, 16D¹, 12C¹, 48E³, 24A⁰, 3C⁰, 32E³, 96C⁹, 3A⁰, 6D⁰</t>
        </is>
      </c>
      <c r="O6813" t="inlineStr"/>
    </row>
    <row r="6814">
      <c r="A6814">
        <f>HYPERLINK("https://mathstats.uncg.edu/sites/pauli/congruence/csg21.html#group96AN21", "96AN²¹")</f>
        <v/>
      </c>
      <c r="B6814" t="n">
        <v>21</v>
      </c>
      <c r="C6814" t="inlineStr"/>
      <c r="D6814" t="inlineStr">
        <is>
          <t>288</t>
        </is>
      </c>
      <c r="E6814" t="inlineStr">
        <is>
          <t>1</t>
        </is>
      </c>
      <c r="F6814" t="inlineStr">
        <is>
          <t>72</t>
        </is>
      </c>
      <c r="G6814" t="inlineStr">
        <is>
          <t>8</t>
        </is>
      </c>
      <c r="H6814" t="inlineStr">
        <is>
          <t>0</t>
        </is>
      </c>
      <c r="I6814" t="inlineStr">
        <is>
          <t>48², 96²</t>
        </is>
      </c>
      <c r="J6814" t="n">
        <v>4</v>
      </c>
      <c r="K6814" t="inlineStr">
        <is>
          <t>2⁸, 4⁸, 8¹, 16¹</t>
        </is>
      </c>
      <c r="L6814" t="inlineStr">
        <is>
          <t>48Z⁹, 96D⁹, 96H⁹</t>
        </is>
      </c>
      <c r="M6814" t="inlineStr"/>
      <c r="N6814" t="inlineStr">
        <is>
          <t>12C⁰, 48Z⁹, 4C⁰, 8B⁰, 24I³, 6G⁰, 2B⁰, 24C², 32F³, 1A⁰, 12L¹, 48H³, 16D¹, 12C¹, 48E³, 24A⁰, 96D⁹, 96H⁹, 3C⁰, 3A⁰, 6D⁰</t>
        </is>
      </c>
      <c r="O6814" t="inlineStr"/>
    </row>
    <row r="6815">
      <c r="A6815">
        <f>HYPERLINK("https://mathstats.uncg.edu/sites/pauli/congruence/csg21.html#group96AO21", "96AO²¹")</f>
        <v/>
      </c>
      <c r="B6815" t="n">
        <v>21</v>
      </c>
      <c r="C6815" t="inlineStr"/>
      <c r="D6815" t="inlineStr">
        <is>
          <t>288</t>
        </is>
      </c>
      <c r="E6815" t="inlineStr">
        <is>
          <t>1</t>
        </is>
      </c>
      <c r="F6815" t="inlineStr">
        <is>
          <t>72</t>
        </is>
      </c>
      <c r="G6815" t="inlineStr">
        <is>
          <t>8</t>
        </is>
      </c>
      <c r="H6815" t="inlineStr">
        <is>
          <t>0</t>
        </is>
      </c>
      <c r="I6815" t="inlineStr">
        <is>
          <t>48², 96²</t>
        </is>
      </c>
      <c r="J6815" t="n">
        <v>4</v>
      </c>
      <c r="K6815" t="inlineStr">
        <is>
          <t>2⁸, 4⁸, 8¹, 16¹</t>
        </is>
      </c>
      <c r="L6815" t="inlineStr">
        <is>
          <t>48Z⁹, 96E⁹, 96J⁹</t>
        </is>
      </c>
      <c r="M6815" t="inlineStr"/>
      <c r="N6815" t="inlineStr">
        <is>
          <t>12C⁰, 48Z⁹, 4C⁰, 8B⁰, 24I³, 6G⁰, 2B⁰, 32G³, 24C², 96J⁹, 1A⁰, 96E⁹, 12L¹, 48H³, 16D¹, 12C¹, 48E³, 24A⁰, 3C⁰, 3A⁰, 6D⁰</t>
        </is>
      </c>
      <c r="O6815" t="inlineStr"/>
    </row>
    <row r="6816">
      <c r="A6816">
        <f>HYPERLINK("https://mathstats.uncg.edu/sites/pauli/congruence/csg21.html#group96AP21", "96AP²¹")</f>
        <v/>
      </c>
      <c r="B6816" t="n">
        <v>21</v>
      </c>
      <c r="C6816" t="inlineStr"/>
      <c r="D6816" t="inlineStr">
        <is>
          <t>288</t>
        </is>
      </c>
      <c r="E6816" t="inlineStr">
        <is>
          <t>1</t>
        </is>
      </c>
      <c r="F6816" t="inlineStr">
        <is>
          <t>72</t>
        </is>
      </c>
      <c r="G6816" t="inlineStr">
        <is>
          <t>8</t>
        </is>
      </c>
      <c r="H6816" t="inlineStr">
        <is>
          <t>0</t>
        </is>
      </c>
      <c r="I6816" t="inlineStr">
        <is>
          <t>48², 96²</t>
        </is>
      </c>
      <c r="J6816" t="n">
        <v>4</v>
      </c>
      <c r="K6816" t="inlineStr">
        <is>
          <t>2⁸, 4⁸, 8¹, 16¹</t>
        </is>
      </c>
      <c r="L6816" t="inlineStr">
        <is>
          <t>48Z⁹, 96F⁹, 96K⁹</t>
        </is>
      </c>
      <c r="M6816" t="inlineStr"/>
      <c r="N6816" t="inlineStr">
        <is>
          <t>12C⁰, 96F⁹, 48Z⁹, 4C⁰, 8B⁰, 24I³, 6G⁰, 2B⁰, 24C², 1A⁰, 12L¹, 48H³, 16D¹, 12C¹, 48E³, 24A⁰, 96K⁹, 6D⁰, 3C⁰, 3A⁰, 32H³</t>
        </is>
      </c>
      <c r="O6816" t="inlineStr"/>
    </row>
    <row r="6817">
      <c r="A6817">
        <f>HYPERLINK("https://mathstats.uncg.edu/sites/pauli/congruence/csg21.html#group96AQ21", "96AQ²¹")</f>
        <v/>
      </c>
      <c r="B6817" t="n">
        <v>21</v>
      </c>
      <c r="C6817" t="inlineStr"/>
      <c r="D6817" t="inlineStr">
        <is>
          <t>288</t>
        </is>
      </c>
      <c r="E6817" t="inlineStr">
        <is>
          <t>2</t>
        </is>
      </c>
      <c r="F6817" t="inlineStr">
        <is>
          <t>18</t>
        </is>
      </c>
      <c r="G6817" t="inlineStr">
        <is>
          <t>0</t>
        </is>
      </c>
      <c r="H6817" t="inlineStr">
        <is>
          <t>0</t>
        </is>
      </c>
      <c r="I6817" t="inlineStr">
        <is>
          <t>12⁴, 24², 96²</t>
        </is>
      </c>
      <c r="J6817" t="n">
        <v>8</v>
      </c>
      <c r="K6817" t="inlineStr">
        <is>
          <t>2¹², 4³</t>
        </is>
      </c>
      <c r="L6817" t="inlineStr">
        <is>
          <t>48G⁹, 96D¹¹, 96E¹¹</t>
        </is>
      </c>
      <c r="M6817" t="inlineStr"/>
      <c r="N6817" t="inlineStr">
        <is>
          <t>48A⁵, 6B⁰, 12D², 24J⁴, 48F⁴, 96E¹¹, 16A¹, 8C⁰, 2B⁰, 4B⁰, 1A⁰, 24B², 96D¹¹, 12C¹, 24D², 12B¹, 48G⁹, 6H⁰, 3A⁰, 6D⁰</t>
        </is>
      </c>
      <c r="O6817" t="inlineStr"/>
    </row>
    <row r="6818">
      <c r="A6818">
        <f>HYPERLINK("https://mathstats.uncg.edu/sites/pauli/congruence/csg21.html#group96AR21", "96AR²¹")</f>
        <v/>
      </c>
      <c r="B6818" t="n">
        <v>21</v>
      </c>
      <c r="C6818" t="inlineStr"/>
      <c r="D6818" t="inlineStr">
        <is>
          <t>288</t>
        </is>
      </c>
      <c r="E6818" t="inlineStr">
        <is>
          <t>2</t>
        </is>
      </c>
      <c r="F6818" t="inlineStr">
        <is>
          <t>36</t>
        </is>
      </c>
      <c r="G6818" t="inlineStr">
        <is>
          <t>0</t>
        </is>
      </c>
      <c r="H6818" t="inlineStr">
        <is>
          <t>0</t>
        </is>
      </c>
      <c r="I6818" t="inlineStr">
        <is>
          <t>12⁴, 24², 96²</t>
        </is>
      </c>
      <c r="J6818" t="n">
        <v>8</v>
      </c>
      <c r="K6818" t="inlineStr">
        <is>
          <t>2¹², 4⁶, 8³</t>
        </is>
      </c>
      <c r="L6818" t="inlineStr">
        <is>
          <t>48Q⁹, 96D¹¹, 96F¹¹</t>
        </is>
      </c>
      <c r="M6818" t="inlineStr"/>
      <c r="N6818" t="inlineStr">
        <is>
          <t>48A⁵, 24B², 96F¹¹, 4B⁰, 48Q⁹, 6D⁰, 24M⁴, 16A¹, 8C⁰, 12B¹, 2B⁰, 3A⁰, 1A⁰, 48G⁴, 96D¹¹</t>
        </is>
      </c>
      <c r="O6818" t="inlineStr"/>
    </row>
    <row r="6819">
      <c r="A6819">
        <f>HYPERLINK("https://mathstats.uncg.edu/sites/pauli/congruence/csg21.html#group96AS21", "96AS²¹")</f>
        <v/>
      </c>
      <c r="B6819" t="n">
        <v>21</v>
      </c>
      <c r="C6819" t="inlineStr"/>
      <c r="D6819" t="inlineStr">
        <is>
          <t>288</t>
        </is>
      </c>
      <c r="E6819" t="inlineStr">
        <is>
          <t>2</t>
        </is>
      </c>
      <c r="F6819" t="inlineStr">
        <is>
          <t>36</t>
        </is>
      </c>
      <c r="G6819" t="inlineStr">
        <is>
          <t>0</t>
        </is>
      </c>
      <c r="H6819" t="inlineStr">
        <is>
          <t>0</t>
        </is>
      </c>
      <c r="I6819" t="inlineStr">
        <is>
          <t>12⁴, 24², 96²</t>
        </is>
      </c>
      <c r="J6819" t="n">
        <v>8</v>
      </c>
      <c r="K6819" t="inlineStr">
        <is>
          <t>2¹², 4⁶, 8³</t>
        </is>
      </c>
      <c r="L6819" t="inlineStr">
        <is>
          <t>48Q⁹, 96E¹¹, 96F¹¹</t>
        </is>
      </c>
      <c r="M6819" t="inlineStr"/>
      <c r="N6819" t="inlineStr">
        <is>
          <t>48A⁵, 24B², 96F¹¹, 4B⁰, 48Q⁹, 24M⁴, 96E¹¹, 16A¹, 8C⁰, 12B¹, 2B⁰, 3A⁰, 1A⁰, 48G⁴, 6D⁰</t>
        </is>
      </c>
      <c r="O6819" t="inlineStr"/>
    </row>
    <row r="6820">
      <c r="A6820">
        <f>HYPERLINK("https://mathstats.uncg.edu/sites/pauli/congruence/csg21.html#group96AT21", "96AT²¹")</f>
        <v/>
      </c>
      <c r="B6820" t="n">
        <v>21</v>
      </c>
      <c r="C6820" t="inlineStr"/>
      <c r="D6820" t="inlineStr">
        <is>
          <t>288</t>
        </is>
      </c>
      <c r="E6820" t="inlineStr">
        <is>
          <t>2</t>
        </is>
      </c>
      <c r="F6820" t="inlineStr">
        <is>
          <t>36</t>
        </is>
      </c>
      <c r="G6820" t="inlineStr">
        <is>
          <t>8</t>
        </is>
      </c>
      <c r="H6820" t="inlineStr">
        <is>
          <t>0</t>
        </is>
      </c>
      <c r="I6820" t="inlineStr">
        <is>
          <t>48², 96²</t>
        </is>
      </c>
      <c r="J6820" t="n">
        <v>4</v>
      </c>
      <c r="K6820" t="inlineStr">
        <is>
          <t>2⁸, 4¹⁰, 8²</t>
        </is>
      </c>
      <c r="L6820" t="inlineStr">
        <is>
          <t>48H⁵, 96A⁷, 96B⁹</t>
        </is>
      </c>
      <c r="M6820" t="inlineStr"/>
      <c r="N6820" t="inlineStr">
        <is>
          <t>16B⁰, 12C⁰, 96B⁹, 24A⁰, 96A⁷, 4C⁰, 8B⁰, 24Q², 48H⁵, 48A⁰, 2B⁰, 32D³, 3A⁰, 1A⁰, 48H³, 6D⁰</t>
        </is>
      </c>
      <c r="O6820" t="inlineStr"/>
    </row>
    <row r="6821">
      <c r="A6821">
        <f>HYPERLINK("https://mathstats.uncg.edu/sites/pauli/congruence/csg21.html#group96AU21", "96AU²¹")</f>
        <v/>
      </c>
      <c r="B6821" t="n">
        <v>21</v>
      </c>
      <c r="C6821" t="inlineStr"/>
      <c r="D6821" t="inlineStr">
        <is>
          <t>288</t>
        </is>
      </c>
      <c r="E6821" t="inlineStr">
        <is>
          <t>2</t>
        </is>
      </c>
      <c r="F6821" t="inlineStr">
        <is>
          <t>72</t>
        </is>
      </c>
      <c r="G6821" t="inlineStr">
        <is>
          <t>4</t>
        </is>
      </c>
      <c r="H6821" t="inlineStr">
        <is>
          <t>0</t>
        </is>
      </c>
      <c r="I6821" t="inlineStr">
        <is>
          <t>24⁴, 96²</t>
        </is>
      </c>
      <c r="J6821" t="n">
        <v>6</v>
      </c>
      <c r="K6821" t="inlineStr">
        <is>
          <t>2², 4⁵, 8⁷, 16⁴</t>
        </is>
      </c>
      <c r="L6821" t="inlineStr">
        <is>
          <t>48S⁹, 96D¹⁰</t>
        </is>
      </c>
      <c r="M6821" t="inlineStr"/>
      <c r="N6821" t="inlineStr">
        <is>
          <t>24E¹, 12C⁰, 48H⁴, 8D⁰, 4C⁰, 6G⁰, 2B⁰, 1A⁰, 24O³, 12L¹, 48E⁴, 12C¹, 48S⁹, 16C¹, 24C¹, 3C⁰, 3A⁰, 6D⁰, 96D¹⁰</t>
        </is>
      </c>
      <c r="O6821" t="inlineStr"/>
    </row>
    <row r="6822">
      <c r="A6822">
        <f>HYPERLINK("https://mathstats.uncg.edu/sites/pauli/congruence/csg21.html#group96AV21", "96AV²¹")</f>
        <v/>
      </c>
      <c r="B6822" t="n">
        <v>21</v>
      </c>
      <c r="C6822" t="inlineStr"/>
      <c r="D6822" t="inlineStr">
        <is>
          <t>288</t>
        </is>
      </c>
      <c r="E6822" t="inlineStr">
        <is>
          <t>2</t>
        </is>
      </c>
      <c r="F6822" t="inlineStr">
        <is>
          <t>72</t>
        </is>
      </c>
      <c r="G6822" t="inlineStr">
        <is>
          <t>4</t>
        </is>
      </c>
      <c r="H6822" t="inlineStr">
        <is>
          <t>0</t>
        </is>
      </c>
      <c r="I6822" t="inlineStr">
        <is>
          <t>24⁴, 96²</t>
        </is>
      </c>
      <c r="J6822" t="n">
        <v>6</v>
      </c>
      <c r="K6822" t="inlineStr">
        <is>
          <t>2², 4⁵, 8⁷, 16⁴</t>
        </is>
      </c>
      <c r="L6822" t="inlineStr">
        <is>
          <t>48S⁹, 96C¹⁰, 96D¹⁰</t>
        </is>
      </c>
      <c r="M6822" t="inlineStr"/>
      <c r="N6822" t="inlineStr">
        <is>
          <t>24E¹, 12C⁰, 48H⁴, 8D⁰, 4C⁰, 6G⁰, 2B⁰, 32I³, 1A⁰, 24O³, 12L¹, 48E⁴, 12C¹, 48S⁹, 16C¹, 24C¹, 3C⁰, 3A⁰, 6D⁰, 96D¹⁰, 96C¹⁰</t>
        </is>
      </c>
      <c r="O6822" t="inlineStr"/>
    </row>
    <row r="6823">
      <c r="A6823">
        <f>HYPERLINK("https://mathstats.uncg.edu/sites/pauli/congruence/csg21.html#group96AW21", "96AW²¹")</f>
        <v/>
      </c>
      <c r="B6823" t="n">
        <v>21</v>
      </c>
      <c r="C6823" t="inlineStr"/>
      <c r="D6823" t="inlineStr">
        <is>
          <t>288</t>
        </is>
      </c>
      <c r="E6823" t="inlineStr">
        <is>
          <t>2</t>
        </is>
      </c>
      <c r="F6823" t="inlineStr">
        <is>
          <t>72</t>
        </is>
      </c>
      <c r="G6823" t="inlineStr">
        <is>
          <t>4</t>
        </is>
      </c>
      <c r="H6823" t="inlineStr">
        <is>
          <t>0</t>
        </is>
      </c>
      <c r="I6823" t="inlineStr">
        <is>
          <t>24⁴, 96²</t>
        </is>
      </c>
      <c r="J6823" t="n">
        <v>6</v>
      </c>
      <c r="K6823" t="inlineStr">
        <is>
          <t>2², 4⁵, 8⁷, 16⁴</t>
        </is>
      </c>
      <c r="L6823" t="inlineStr">
        <is>
          <t>48U⁹, 96C¹⁰, 96D¹⁰</t>
        </is>
      </c>
      <c r="M6823" t="inlineStr"/>
      <c r="N6823" t="inlineStr">
        <is>
          <t>12C⁰, 48G³, 8D⁰, 4C⁰, 48U⁹, 12M¹, 2B⁰, 24C², 32I³, 1A⁰, 48E⁴, 16C¹, 24C¹, 3A⁰, 24L⁴, 6D⁰, 96D¹⁰, 96C¹⁰</t>
        </is>
      </c>
      <c r="O6823" t="inlineStr"/>
    </row>
    <row r="6824">
      <c r="A6824">
        <f>HYPERLINK("https://mathstats.uncg.edu/sites/pauli/congruence/csg21.html#group96AX21", "96AX²¹")</f>
        <v/>
      </c>
      <c r="B6824" t="n">
        <v>21</v>
      </c>
      <c r="C6824" t="inlineStr"/>
      <c r="D6824" t="inlineStr">
        <is>
          <t>288</t>
        </is>
      </c>
      <c r="E6824" t="inlineStr">
        <is>
          <t>2</t>
        </is>
      </c>
      <c r="F6824" t="inlineStr">
        <is>
          <t>72</t>
        </is>
      </c>
      <c r="G6824" t="inlineStr">
        <is>
          <t>8</t>
        </is>
      </c>
      <c r="H6824" t="inlineStr">
        <is>
          <t>0</t>
        </is>
      </c>
      <c r="I6824" t="inlineStr">
        <is>
          <t>48², 96²</t>
        </is>
      </c>
      <c r="J6824" t="n">
        <v>4</v>
      </c>
      <c r="K6824" t="inlineStr">
        <is>
          <t>4²⁴, 16³</t>
        </is>
      </c>
      <c r="L6824" t="inlineStr">
        <is>
          <t>48Y⁹, 96H⁹, 96I⁹</t>
        </is>
      </c>
      <c r="M6824" t="inlineStr"/>
      <c r="N6824" t="inlineStr">
        <is>
          <t>48Y⁹, 96I⁹, 16D¹, 12C⁰, 48E³, 24A⁰, 4C⁰, 8B⁰, 96H⁹, 24Q², 2B⁰, 3A⁰, 1A⁰, 6D⁰, 48C⁴</t>
        </is>
      </c>
      <c r="O6824" t="inlineStr"/>
    </row>
    <row r="6825">
      <c r="A6825">
        <f>HYPERLINK("https://mathstats.uncg.edu/sites/pauli/congruence/csg21.html#group96AY21", "96AY²¹")</f>
        <v/>
      </c>
      <c r="B6825" t="n">
        <v>21</v>
      </c>
      <c r="C6825" t="inlineStr"/>
      <c r="D6825" t="inlineStr">
        <is>
          <t>288</t>
        </is>
      </c>
      <c r="E6825" t="inlineStr">
        <is>
          <t>2</t>
        </is>
      </c>
      <c r="F6825" t="inlineStr">
        <is>
          <t>72</t>
        </is>
      </c>
      <c r="G6825" t="inlineStr">
        <is>
          <t>8</t>
        </is>
      </c>
      <c r="H6825" t="inlineStr">
        <is>
          <t>0</t>
        </is>
      </c>
      <c r="I6825" t="inlineStr">
        <is>
          <t>48², 96²</t>
        </is>
      </c>
      <c r="J6825" t="n">
        <v>4</v>
      </c>
      <c r="K6825" t="inlineStr">
        <is>
          <t>4²⁴, 16³</t>
        </is>
      </c>
      <c r="L6825" t="inlineStr">
        <is>
          <t>48Y⁹, 96J⁹, 96K⁹</t>
        </is>
      </c>
      <c r="M6825" t="inlineStr"/>
      <c r="N6825" t="inlineStr">
        <is>
          <t>48Y⁹, 16D¹, 12C⁰, 3A⁰, 48E³, 24A⁰, 96K⁹, 4C⁰, 8B⁰, 24Q², 2B⁰, 96J⁹, 1A⁰, 6D⁰, 48C⁴</t>
        </is>
      </c>
      <c r="O6825" t="inlineStr"/>
    </row>
    <row r="6826">
      <c r="A6826">
        <f>HYPERLINK("https://mathstats.uncg.edu/sites/pauli/congruence/csg21.html#group96AZ21", "96AZ²¹")</f>
        <v/>
      </c>
      <c r="B6826" t="n">
        <v>21</v>
      </c>
      <c r="C6826" t="inlineStr"/>
      <c r="D6826" t="inlineStr">
        <is>
          <t>384</t>
        </is>
      </c>
      <c r="E6826" t="inlineStr">
        <is>
          <t>1</t>
        </is>
      </c>
      <c r="F6826" t="inlineStr">
        <is>
          <t>24</t>
        </is>
      </c>
      <c r="G6826" t="inlineStr">
        <is>
          <t>0</t>
        </is>
      </c>
      <c r="H6826" t="inlineStr">
        <is>
          <t>0</t>
        </is>
      </c>
      <c r="I6826" t="inlineStr">
        <is>
          <t>2⁸, 6⁸, 8², 24², 32², 96²</t>
        </is>
      </c>
      <c r="J6826" t="n">
        <v>24</v>
      </c>
      <c r="K6826" t="inlineStr">
        <is>
          <t>1⁸, 2⁶, 4¹</t>
        </is>
      </c>
      <c r="L6826" t="inlineStr">
        <is>
          <t>48AK⁹, 96L⁹</t>
        </is>
      </c>
      <c r="M6826" t="inlineStr"/>
      <c r="N6826" t="inlineStr">
        <is>
          <t>2A⁰, 24V³, 96L⁹, 24G¹, 4C⁰, 16A¹, 8C⁰, 2B⁰, 4E⁰, 4B⁰, 1A⁰, 8G⁰, 48J³, 16C⁰, 48AK⁹, 6F⁰, 3B⁰, 8D⁰, 12F¹, 16E¹, 6I⁰, 6C⁰, 12P¹, 24I², 48D⁵, 2C⁰, 12E⁰</t>
        </is>
      </c>
      <c r="O6826" t="inlineStr"/>
    </row>
    <row r="6827">
      <c r="A6827">
        <f>HYPERLINK("https://mathstats.uncg.edu/sites/pauli/congruence/csg21.html#group96BA21", "96BA²¹")</f>
        <v/>
      </c>
      <c r="B6827" t="n">
        <v>21</v>
      </c>
      <c r="C6827" t="inlineStr"/>
      <c r="D6827" t="inlineStr">
        <is>
          <t>384</t>
        </is>
      </c>
      <c r="E6827" t="inlineStr">
        <is>
          <t>1</t>
        </is>
      </c>
      <c r="F6827" t="inlineStr">
        <is>
          <t>24</t>
        </is>
      </c>
      <c r="G6827" t="inlineStr">
        <is>
          <t>0</t>
        </is>
      </c>
      <c r="H6827" t="inlineStr">
        <is>
          <t>0</t>
        </is>
      </c>
      <c r="I6827" t="inlineStr">
        <is>
          <t>2⁸, 6⁸, 8², 24², 32², 96²</t>
        </is>
      </c>
      <c r="J6827" t="n">
        <v>24</v>
      </c>
      <c r="K6827" t="inlineStr">
        <is>
          <t>1⁸, 2⁶, 4¹</t>
        </is>
      </c>
      <c r="L6827" t="inlineStr">
        <is>
          <t>32J³, 48AK⁹, 96M⁹</t>
        </is>
      </c>
      <c r="M6827" t="inlineStr"/>
      <c r="N6827" t="inlineStr">
        <is>
          <t>2A⁰, 24V³, 96M⁹, 24G¹, 4C⁰, 16A¹, 8C⁰, 4E⁰, 2B⁰, 4B⁰, 1A⁰, 32A¹, 8G⁰, 48J³, 16C⁰, 48AK⁹, 6F⁰, 3B⁰, 8D⁰, 12F¹, 16E¹, 6I⁰, 6C⁰, 12P¹, 32J³, 24I², 48D⁵, 2C⁰, 12E⁰</t>
        </is>
      </c>
      <c r="O6827" t="inlineStr"/>
    </row>
    <row r="6828">
      <c r="A6828">
        <f>HYPERLINK("https://mathstats.uncg.edu/sites/pauli/congruence/csg21.html#group96BB21", "96BB²¹")</f>
        <v/>
      </c>
      <c r="B6828" t="n">
        <v>21</v>
      </c>
      <c r="C6828" t="inlineStr"/>
      <c r="D6828" t="inlineStr">
        <is>
          <t>384</t>
        </is>
      </c>
      <c r="E6828" t="inlineStr">
        <is>
          <t>1</t>
        </is>
      </c>
      <c r="F6828" t="inlineStr">
        <is>
          <t>24</t>
        </is>
      </c>
      <c r="G6828" t="inlineStr">
        <is>
          <t>0</t>
        </is>
      </c>
      <c r="H6828" t="inlineStr">
        <is>
          <t>0</t>
        </is>
      </c>
      <c r="I6828" t="inlineStr">
        <is>
          <t>2⁸, 6⁸, 8², 24², 32², 96²</t>
        </is>
      </c>
      <c r="J6828" t="n">
        <v>24</v>
      </c>
      <c r="K6828" t="inlineStr">
        <is>
          <t>1⁸, 2⁶, 4¹</t>
        </is>
      </c>
      <c r="L6828" t="inlineStr">
        <is>
          <t>48I⁵, 96G¹¹, 96H¹¹</t>
        </is>
      </c>
      <c r="M6828" t="inlineStr"/>
      <c r="N6828" t="inlineStr">
        <is>
          <t>3B⁰, 48I⁵, 24G¹, 12J⁰, 2B⁰, 8C⁰, 4B⁰, 96G¹¹, 1A⁰, 96H¹¹, 24J¹, 24B⁰, 48J³, 16C⁰, 32A², 48I³, 6F⁰, 12E⁰</t>
        </is>
      </c>
      <c r="O6828" t="inlineStr"/>
    </row>
    <row r="6829">
      <c r="A6829">
        <f>HYPERLINK("https://mathstats.uncg.edu/sites/pauli/congruence/csg21.html#group96BC21", "96BC²¹")</f>
        <v/>
      </c>
      <c r="B6829" t="n">
        <v>21</v>
      </c>
      <c r="C6829" t="inlineStr"/>
      <c r="D6829" t="inlineStr">
        <is>
          <t>384</t>
        </is>
      </c>
      <c r="E6829" t="inlineStr">
        <is>
          <t>1</t>
        </is>
      </c>
      <c r="F6829" t="inlineStr">
        <is>
          <t>24</t>
        </is>
      </c>
      <c r="G6829" t="inlineStr">
        <is>
          <t>0</t>
        </is>
      </c>
      <c r="H6829" t="inlineStr">
        <is>
          <t>0</t>
        </is>
      </c>
      <c r="I6829" t="inlineStr">
        <is>
          <t>2⁸, 6⁸, 8², 24², 32², 96²</t>
        </is>
      </c>
      <c r="J6829" t="n">
        <v>24</v>
      </c>
      <c r="K6829" t="inlineStr">
        <is>
          <t>1⁸, 2⁶, 4¹</t>
        </is>
      </c>
      <c r="L6829" t="inlineStr">
        <is>
          <t>96B⁷, 48AJ⁹, 96H¹¹</t>
        </is>
      </c>
      <c r="M6829" t="inlineStr"/>
      <c r="N6829" t="inlineStr">
        <is>
          <t>48C⁵, 3B⁰, 48AJ⁹, 24G¹, 12J⁰, 8C⁰, 2B⁰, 4B⁰, 96B⁷, 1A⁰, 96H¹¹, 48J³, 16C⁰, 24W³, 32A², 24F², 6F⁰, 12E⁰</t>
        </is>
      </c>
      <c r="O6829" t="inlineStr"/>
    </row>
    <row r="6830">
      <c r="A6830">
        <f>HYPERLINK("https://mathstats.uncg.edu/sites/pauli/congruence/csg21.html#group96BD21", "96BD²¹")</f>
        <v/>
      </c>
      <c r="B6830" t="n">
        <v>21</v>
      </c>
      <c r="C6830" t="inlineStr"/>
      <c r="D6830" t="inlineStr">
        <is>
          <t>384</t>
        </is>
      </c>
      <c r="E6830" t="inlineStr">
        <is>
          <t>1</t>
        </is>
      </c>
      <c r="F6830" t="inlineStr">
        <is>
          <t>24</t>
        </is>
      </c>
      <c r="G6830" t="inlineStr">
        <is>
          <t>0</t>
        </is>
      </c>
      <c r="H6830" t="inlineStr">
        <is>
          <t>0</t>
        </is>
      </c>
      <c r="I6830" t="inlineStr">
        <is>
          <t>2⁸, 6⁸, 8², 24², 32², 96²</t>
        </is>
      </c>
      <c r="J6830" t="n">
        <v>24</v>
      </c>
      <c r="K6830" t="inlineStr">
        <is>
          <t>1⁸, 2⁶, 4¹</t>
        </is>
      </c>
      <c r="L6830" t="inlineStr">
        <is>
          <t>96B⁷, 48AK⁹, 96G¹¹</t>
        </is>
      </c>
      <c r="M6830" t="inlineStr"/>
      <c r="N6830" t="inlineStr">
        <is>
          <t>2A⁰, 24V³, 24G¹, 4C⁰, 16A¹, 8C⁰, 2B⁰, 4E⁰, 4B⁰, 96G¹¹, 1A⁰, 8G⁰, 48J³, 16C⁰, 48AK⁹, 6F⁰, 3B⁰, 8D⁰, 12F¹, 16E¹, 6I⁰, 6C⁰, 12P¹, 96B⁷, 24I², 48D⁵, 2C⁰, 12E⁰</t>
        </is>
      </c>
      <c r="O6830" t="inlineStr"/>
    </row>
    <row r="6831">
      <c r="A6831">
        <f>HYPERLINK("https://mathstats.uncg.edu/sites/pauli/congruence/csg21.html#group96BE21", "96BE²¹")</f>
        <v/>
      </c>
      <c r="B6831" t="n">
        <v>21</v>
      </c>
      <c r="C6831" t="inlineStr"/>
      <c r="D6831" t="inlineStr">
        <is>
          <t>384</t>
        </is>
      </c>
      <c r="E6831" t="inlineStr">
        <is>
          <t>1</t>
        </is>
      </c>
      <c r="F6831" t="inlineStr">
        <is>
          <t>24</t>
        </is>
      </c>
      <c r="G6831" t="inlineStr">
        <is>
          <t>0</t>
        </is>
      </c>
      <c r="H6831" t="inlineStr">
        <is>
          <t>0</t>
        </is>
      </c>
      <c r="I6831" t="inlineStr">
        <is>
          <t>2⁸, 6⁸, 8², 24², 32², 96²</t>
        </is>
      </c>
      <c r="J6831" t="n">
        <v>24</v>
      </c>
      <c r="K6831" t="inlineStr">
        <is>
          <t>1⁸, 2⁶, 4¹</t>
        </is>
      </c>
      <c r="L6831" t="inlineStr">
        <is>
          <t>96C⁷, 48AJ⁹, 96G¹¹</t>
        </is>
      </c>
      <c r="M6831" t="inlineStr"/>
      <c r="N6831" t="inlineStr">
        <is>
          <t>96C⁷, 3B⁰, 48C⁵, 48AJ⁹, 24G¹, 12J⁰, 8C⁰, 2B⁰, 4B⁰, 96G¹¹, 1A⁰, 48J³, 16C⁰, 32A⁰, 24W³, 24F², 6F⁰, 12E⁰</t>
        </is>
      </c>
      <c r="O6831" t="inlineStr"/>
    </row>
    <row r="6832">
      <c r="A6832">
        <f>HYPERLINK("https://mathstats.uncg.edu/sites/pauli/congruence/csg21.html#group96BF21", "96BF²¹")</f>
        <v/>
      </c>
      <c r="B6832" t="n">
        <v>21</v>
      </c>
      <c r="C6832" t="inlineStr"/>
      <c r="D6832" t="inlineStr">
        <is>
          <t>384</t>
        </is>
      </c>
      <c r="E6832" t="inlineStr">
        <is>
          <t>1</t>
        </is>
      </c>
      <c r="F6832" t="inlineStr">
        <is>
          <t>24</t>
        </is>
      </c>
      <c r="G6832" t="inlineStr">
        <is>
          <t>0</t>
        </is>
      </c>
      <c r="H6832" t="inlineStr">
        <is>
          <t>0</t>
        </is>
      </c>
      <c r="I6832" t="inlineStr">
        <is>
          <t>2⁸, 6⁸, 8², 24², 32², 96²</t>
        </is>
      </c>
      <c r="J6832" t="n">
        <v>24</v>
      </c>
      <c r="K6832" t="inlineStr">
        <is>
          <t>1⁸, 2⁶, 4¹</t>
        </is>
      </c>
      <c r="L6832" t="inlineStr">
        <is>
          <t>32K³, 96C⁷, 48AK⁹, 96H¹¹</t>
        </is>
      </c>
      <c r="M6832" t="inlineStr"/>
      <c r="N6832" t="inlineStr">
        <is>
          <t>96C⁷, 2A⁰, 24V³, 24G¹, 4C⁰, 16A¹, 8C⁰, 2B⁰, 4E⁰, 4B⁰, 1A⁰, 96H¹¹, 8G⁰, 48J³, 16C⁰, 32A⁰, 48AK⁹, 6F⁰, 3B⁰, 8D⁰, 12F¹, 16E¹, 6I⁰, 6C⁰, 32K³, 12P¹, 24I², 32A², 48D⁵, 2C⁰, 12E⁰</t>
        </is>
      </c>
      <c r="O6832" t="inlineStr"/>
    </row>
    <row r="6833">
      <c r="A6833">
        <f>HYPERLINK("https://mathstats.uncg.edu/sites/pauli/congruence/csg21.html#group96BG21", "96BG²¹")</f>
        <v/>
      </c>
      <c r="B6833" t="n">
        <v>21</v>
      </c>
      <c r="C6833" t="inlineStr"/>
      <c r="D6833" t="inlineStr">
        <is>
          <t>384</t>
        </is>
      </c>
      <c r="E6833" t="inlineStr">
        <is>
          <t>1</t>
        </is>
      </c>
      <c r="F6833" t="inlineStr">
        <is>
          <t>48</t>
        </is>
      </c>
      <c r="G6833" t="inlineStr">
        <is>
          <t>0</t>
        </is>
      </c>
      <c r="H6833" t="inlineStr">
        <is>
          <t>0</t>
        </is>
      </c>
      <c r="I6833" t="inlineStr">
        <is>
          <t>2⁸, 6⁸, 8², 24², 32², 96²</t>
        </is>
      </c>
      <c r="J6833" t="n">
        <v>24</v>
      </c>
      <c r="K6833" t="inlineStr">
        <is>
          <t>1⁸, 2⁸, 4⁴, 8¹</t>
        </is>
      </c>
      <c r="L6833" t="inlineStr">
        <is>
          <t>48AN⁷, 96L⁹, 96H¹¹</t>
        </is>
      </c>
      <c r="M6833" t="inlineStr"/>
      <c r="N6833" t="inlineStr">
        <is>
          <t>3B⁰, 24X³, 48AN⁷, 48J³, 96L⁹, 16C⁰, 24G¹, 48K³, 6F⁰, 32A², 8C⁰, 2B⁰, 4B⁰, 1A⁰, 96H¹¹, 12E⁰</t>
        </is>
      </c>
      <c r="O6833" t="inlineStr"/>
    </row>
    <row r="6834">
      <c r="A6834">
        <f>HYPERLINK("https://mathstats.uncg.edu/sites/pauli/congruence/csg21.html#group96BH21", "96BH²¹")</f>
        <v/>
      </c>
      <c r="B6834" t="n">
        <v>21</v>
      </c>
      <c r="C6834" t="inlineStr"/>
      <c r="D6834" t="inlineStr">
        <is>
          <t>384</t>
        </is>
      </c>
      <c r="E6834" t="inlineStr">
        <is>
          <t>1</t>
        </is>
      </c>
      <c r="F6834" t="inlineStr">
        <is>
          <t>48</t>
        </is>
      </c>
      <c r="G6834" t="inlineStr">
        <is>
          <t>0</t>
        </is>
      </c>
      <c r="H6834" t="inlineStr">
        <is>
          <t>0</t>
        </is>
      </c>
      <c r="I6834" t="inlineStr">
        <is>
          <t>2⁸, 6⁸, 8², 24², 32², 96²</t>
        </is>
      </c>
      <c r="J6834" t="n">
        <v>24</v>
      </c>
      <c r="K6834" t="inlineStr">
        <is>
          <t>1⁸, 2⁸, 4⁴, 8¹</t>
        </is>
      </c>
      <c r="L6834" t="inlineStr">
        <is>
          <t>48AN⁷, 96M⁹, 96G¹¹</t>
        </is>
      </c>
      <c r="M6834" t="inlineStr"/>
      <c r="N6834" t="inlineStr">
        <is>
          <t>3B⁰, 24X³, 48AN⁷, 96M⁹, 32A¹, 48J³, 16C⁰, 24G¹, 48K³, 6F⁰, 8C⁰, 2B⁰, 4B⁰, 96G¹¹, 1A⁰, 12E⁰</t>
        </is>
      </c>
      <c r="O6834" t="inlineStr"/>
    </row>
    <row r="6835">
      <c r="A6835">
        <f>HYPERLINK("https://mathstats.uncg.edu/sites/pauli/congruence/csg21.html#group96BI21", "96BI²¹")</f>
        <v/>
      </c>
      <c r="B6835" t="n">
        <v>21</v>
      </c>
      <c r="C6835" t="inlineStr"/>
      <c r="D6835" t="inlineStr">
        <is>
          <t>384</t>
        </is>
      </c>
      <c r="E6835" t="inlineStr">
        <is>
          <t>1</t>
        </is>
      </c>
      <c r="F6835" t="inlineStr">
        <is>
          <t>48</t>
        </is>
      </c>
      <c r="G6835" t="inlineStr">
        <is>
          <t>0</t>
        </is>
      </c>
      <c r="H6835" t="inlineStr">
        <is>
          <t>0</t>
        </is>
      </c>
      <c r="I6835" t="inlineStr">
        <is>
          <t>2⁸, 6⁸, 8², 24², 32², 96²</t>
        </is>
      </c>
      <c r="J6835" t="n">
        <v>24</v>
      </c>
      <c r="K6835" t="inlineStr">
        <is>
          <t>1⁸, 2⁸, 4⁴, 8¹</t>
        </is>
      </c>
      <c r="L6835" t="inlineStr">
        <is>
          <t>48AP⁷, 96L⁹, 96G¹¹</t>
        </is>
      </c>
      <c r="M6835" t="inlineStr"/>
      <c r="N6835" t="inlineStr">
        <is>
          <t>3B⁰, 96L⁹, 24G¹, 8C⁰, 2B⁰, 8I⁰, 4B⁰, 96G¹¹, 1A⁰, 16H⁰, 48J³, 16C⁰, 16D⁰, 24Y³, 6F⁰, 48AP⁷, 12E⁰, 48L³</t>
        </is>
      </c>
      <c r="O6835" t="inlineStr"/>
    </row>
    <row r="6836">
      <c r="A6836">
        <f>HYPERLINK("https://mathstats.uncg.edu/sites/pauli/congruence/csg21.html#group96BJ21", "96BJ²¹")</f>
        <v/>
      </c>
      <c r="B6836" t="n">
        <v>21</v>
      </c>
      <c r="C6836" t="inlineStr"/>
      <c r="D6836" t="inlineStr">
        <is>
          <t>384</t>
        </is>
      </c>
      <c r="E6836" t="inlineStr">
        <is>
          <t>1</t>
        </is>
      </c>
      <c r="F6836" t="inlineStr">
        <is>
          <t>48</t>
        </is>
      </c>
      <c r="G6836" t="inlineStr">
        <is>
          <t>0</t>
        </is>
      </c>
      <c r="H6836" t="inlineStr">
        <is>
          <t>0</t>
        </is>
      </c>
      <c r="I6836" t="inlineStr">
        <is>
          <t>2⁸, 6⁸, 8², 24², 32², 96²</t>
        </is>
      </c>
      <c r="J6836" t="n">
        <v>24</v>
      </c>
      <c r="K6836" t="inlineStr">
        <is>
          <t>1⁸, 2⁸, 4⁴, 8¹</t>
        </is>
      </c>
      <c r="L6836" t="inlineStr">
        <is>
          <t>48AJ⁹, 96L⁹, 96M⁹</t>
        </is>
      </c>
      <c r="M6836" t="inlineStr"/>
      <c r="N6836" t="inlineStr">
        <is>
          <t>48C⁵, 3B⁰, 96M⁹, 48AJ⁹, 96L⁹, 24G¹, 12J⁰, 8C⁰, 2B⁰, 4B⁰, 1A⁰, 32A¹, 48J³, 16C⁰, 24W³, 24F², 6F⁰, 12E⁰</t>
        </is>
      </c>
      <c r="O6836" t="inlineStr"/>
    </row>
    <row r="6837">
      <c r="A6837">
        <f>HYPERLINK("https://mathstats.uncg.edu/sites/pauli/congruence/csg21.html#group96BK21", "96BK²¹")</f>
        <v/>
      </c>
      <c r="B6837" t="n">
        <v>21</v>
      </c>
      <c r="C6837" t="inlineStr"/>
      <c r="D6837" t="inlineStr">
        <is>
          <t>384</t>
        </is>
      </c>
      <c r="E6837" t="inlineStr">
        <is>
          <t>1</t>
        </is>
      </c>
      <c r="F6837" t="inlineStr">
        <is>
          <t>48</t>
        </is>
      </c>
      <c r="G6837" t="inlineStr">
        <is>
          <t>0</t>
        </is>
      </c>
      <c r="H6837" t="inlineStr">
        <is>
          <t>0</t>
        </is>
      </c>
      <c r="I6837" t="inlineStr">
        <is>
          <t>2⁸, 6⁸, 8², 24², 32², 96²</t>
        </is>
      </c>
      <c r="J6837" t="n">
        <v>24</v>
      </c>
      <c r="K6837" t="inlineStr">
        <is>
          <t>1⁸, 2⁸, 4⁴, 8¹</t>
        </is>
      </c>
      <c r="L6837" t="inlineStr">
        <is>
          <t>32M³, 48AP⁷, 96M⁹, 96H¹¹</t>
        </is>
      </c>
      <c r="M6837" t="inlineStr"/>
      <c r="N6837" t="inlineStr">
        <is>
          <t>3B⁰, 96M⁹, 24G¹, 32M³, 8C⁰, 2B⁰, 8I⁰, 4B⁰, 1A⁰, 96H¹¹, 16H⁰, 32A¹, 48J³, 16C⁰, 16D⁰, 32A², 24Y³, 6F⁰, 48AP⁷, 12E⁰, 48L³</t>
        </is>
      </c>
      <c r="O6837" t="inlineStr"/>
    </row>
    <row r="6838">
      <c r="A6838">
        <f>HYPERLINK("https://mathstats.uncg.edu/sites/pauli/congruence/csg21.html#group96BL21", "96BL²¹")</f>
        <v/>
      </c>
      <c r="B6838" t="n">
        <v>21</v>
      </c>
      <c r="C6838" t="inlineStr"/>
      <c r="D6838" t="inlineStr">
        <is>
          <t>384</t>
        </is>
      </c>
      <c r="E6838" t="inlineStr">
        <is>
          <t>1</t>
        </is>
      </c>
      <c r="F6838" t="inlineStr">
        <is>
          <t>96</t>
        </is>
      </c>
      <c r="G6838" t="inlineStr">
        <is>
          <t>0</t>
        </is>
      </c>
      <c r="H6838" t="inlineStr">
        <is>
          <t>0</t>
        </is>
      </c>
      <c r="I6838" t="inlineStr">
        <is>
          <t>2⁴, 4⁶, 6⁴, 12⁶, 32², 96²</t>
        </is>
      </c>
      <c r="J6838" t="n">
        <v>24</v>
      </c>
      <c r="K6838" t="inlineStr">
        <is>
          <t>1⁸, 2⁸, 4⁶, 8⁴, 16¹</t>
        </is>
      </c>
      <c r="L6838" t="inlineStr">
        <is>
          <t>48AO⁹</t>
        </is>
      </c>
      <c r="M6838" t="inlineStr"/>
      <c r="N6838" t="inlineStr">
        <is>
          <t>3B⁰, 24G¹, 16A¹, 8C⁰, 2B⁰, 8I⁰, 4B⁰, 1A⁰, 16G¹, 16D⁰, 24Y³, 48AO⁹, 48D⁵, 6F⁰, 12E⁰, 48L³</t>
        </is>
      </c>
      <c r="O6838" t="inlineStr"/>
    </row>
    <row r="6839">
      <c r="A6839">
        <f>HYPERLINK("https://mathstats.uncg.edu/sites/pauli/congruence/csg21.html#group96BM21", "96BM²¹")</f>
        <v/>
      </c>
      <c r="B6839" t="n">
        <v>21</v>
      </c>
      <c r="C6839" t="inlineStr"/>
      <c r="D6839" t="inlineStr">
        <is>
          <t>384</t>
        </is>
      </c>
      <c r="E6839" t="inlineStr">
        <is>
          <t>1</t>
        </is>
      </c>
      <c r="F6839" t="inlineStr">
        <is>
          <t>96</t>
        </is>
      </c>
      <c r="G6839" t="inlineStr">
        <is>
          <t>0</t>
        </is>
      </c>
      <c r="H6839" t="inlineStr">
        <is>
          <t>0</t>
        </is>
      </c>
      <c r="I6839" t="inlineStr">
        <is>
          <t>2⁴, 4⁶, 6⁴, 12⁶, 32², 96²</t>
        </is>
      </c>
      <c r="J6839" t="n">
        <v>24</v>
      </c>
      <c r="K6839" t="inlineStr">
        <is>
          <t>1⁸, 2⁸, 4⁶, 8⁴, 16¹</t>
        </is>
      </c>
      <c r="L6839" t="inlineStr">
        <is>
          <t>32O³, 48AO⁹</t>
        </is>
      </c>
      <c r="M6839" t="inlineStr"/>
      <c r="N6839" t="inlineStr">
        <is>
          <t>3B⁰, 24G¹, 16A¹, 8C⁰, 2B⁰, 8I⁰, 4B⁰, 1A⁰, 16G¹, 32O³, 16D⁰, 24Y³, 48AO⁹, 48D⁵, 6F⁰, 12E⁰, 48L³</t>
        </is>
      </c>
      <c r="O6839" t="inlineStr"/>
    </row>
    <row r="6840">
      <c r="A6840">
        <f>HYPERLINK("https://mathstats.uncg.edu/sites/pauli/congruence/csg21.html#group97A21", "97A²¹")</f>
        <v/>
      </c>
      <c r="B6840" t="n">
        <v>21</v>
      </c>
      <c r="C6840" t="inlineStr"/>
      <c r="D6840" t="inlineStr">
        <is>
          <t>294</t>
        </is>
      </c>
      <c r="E6840" t="inlineStr">
        <is>
          <t>1</t>
        </is>
      </c>
      <c r="F6840" t="inlineStr">
        <is>
          <t>98</t>
        </is>
      </c>
      <c r="G6840" t="inlineStr">
        <is>
          <t>6</t>
        </is>
      </c>
      <c r="H6840" t="inlineStr">
        <is>
          <t>0</t>
        </is>
      </c>
      <c r="I6840" t="inlineStr">
        <is>
          <t>1³, 97³</t>
        </is>
      </c>
      <c r="J6840" t="n">
        <v>6</v>
      </c>
      <c r="K6840" t="inlineStr">
        <is>
          <t>1², 96¹</t>
        </is>
      </c>
      <c r="L6840" t="inlineStr">
        <is>
          <t>97A⁷</t>
        </is>
      </c>
      <c r="M6840" t="inlineStr"/>
      <c r="N6840" t="inlineStr">
        <is>
          <t>1A⁰, 97A⁷</t>
        </is>
      </c>
      <c r="O6840" t="inlineStr"/>
    </row>
    <row r="6841">
      <c r="A6841">
        <f>HYPERLINK("https://mathstats.uncg.edu/sites/pauli/congruence/csg21.html#group99A21", "99A²¹")</f>
        <v/>
      </c>
      <c r="B6841" t="n">
        <v>21</v>
      </c>
      <c r="C6841" t="inlineStr"/>
      <c r="D6841" t="inlineStr">
        <is>
          <t>288</t>
        </is>
      </c>
      <c r="E6841" t="inlineStr">
        <is>
          <t>1</t>
        </is>
      </c>
      <c r="F6841" t="inlineStr">
        <is>
          <t>48</t>
        </is>
      </c>
      <c r="G6841" t="inlineStr">
        <is>
          <t>0</t>
        </is>
      </c>
      <c r="H6841" t="inlineStr">
        <is>
          <t>0</t>
        </is>
      </c>
      <c r="I6841" t="inlineStr">
        <is>
          <t>3², 9², 33², 99²</t>
        </is>
      </c>
      <c r="J6841" t="n">
        <v>8</v>
      </c>
      <c r="K6841" t="inlineStr">
        <is>
          <t>1⁴, 2², 10², 20¹</t>
        </is>
      </c>
      <c r="L6841" t="inlineStr">
        <is>
          <t>33B⁵, 99B¹¹</t>
        </is>
      </c>
      <c r="M6841" t="inlineStr"/>
      <c r="N6841" t="inlineStr">
        <is>
          <t>33B⁵, 3B⁰, 11A¹, 99B¹¹, 9C⁰, 1A⁰, 33C³</t>
        </is>
      </c>
      <c r="O6841" t="inlineStr"/>
    </row>
    <row r="6842">
      <c r="A6842">
        <f>HYPERLINK("https://mathstats.uncg.edu/sites/pauli/congruence/csg21.html#group99B21", "99B²¹")</f>
        <v/>
      </c>
      <c r="B6842" t="n">
        <v>21</v>
      </c>
      <c r="C6842" t="inlineStr"/>
      <c r="D6842" t="inlineStr">
        <is>
          <t>288</t>
        </is>
      </c>
      <c r="E6842" t="inlineStr">
        <is>
          <t>1</t>
        </is>
      </c>
      <c r="F6842" t="inlineStr">
        <is>
          <t>48</t>
        </is>
      </c>
      <c r="G6842" t="inlineStr">
        <is>
          <t>0</t>
        </is>
      </c>
      <c r="H6842" t="inlineStr">
        <is>
          <t>0</t>
        </is>
      </c>
      <c r="I6842" t="inlineStr">
        <is>
          <t>3², 9², 33², 99²</t>
        </is>
      </c>
      <c r="J6842" t="n">
        <v>8</v>
      </c>
      <c r="K6842" t="inlineStr">
        <is>
          <t>1⁴, 2², 10², 20¹</t>
        </is>
      </c>
      <c r="L6842" t="inlineStr">
        <is>
          <t>33B⁵, 99C¹¹</t>
        </is>
      </c>
      <c r="M6842" t="inlineStr"/>
      <c r="N6842" t="inlineStr">
        <is>
          <t>33B⁵, 3B⁰, 11A¹, 9A¹, 99C¹¹, 1A⁰, 33C³</t>
        </is>
      </c>
      <c r="O6842" t="inlineStr"/>
    </row>
    <row r="6843">
      <c r="A6843">
        <f>HYPERLINK("https://mathstats.uncg.edu/sites/pauli/congruence/csg21.html#group100A21", "100A²¹")</f>
        <v/>
      </c>
      <c r="B6843" t="n">
        <v>21</v>
      </c>
      <c r="C6843" t="inlineStr"/>
      <c r="D6843" t="inlineStr">
        <is>
          <t>360</t>
        </is>
      </c>
      <c r="E6843" t="inlineStr">
        <is>
          <t>1</t>
        </is>
      </c>
      <c r="F6843" t="inlineStr">
        <is>
          <t>180</t>
        </is>
      </c>
      <c r="G6843" t="inlineStr">
        <is>
          <t>4</t>
        </is>
      </c>
      <c r="H6843" t="inlineStr">
        <is>
          <t>0</t>
        </is>
      </c>
      <c r="I6843" t="inlineStr">
        <is>
          <t>4¹⁵, 100³</t>
        </is>
      </c>
      <c r="J6843" t="n">
        <v>18</v>
      </c>
      <c r="K6843" t="inlineStr">
        <is>
          <t>1⁴, 2⁴, 4⁴, 8⁴, 20², 40²</t>
        </is>
      </c>
      <c r="L6843" t="inlineStr">
        <is>
          <t>20K³, 100I⁹</t>
        </is>
      </c>
      <c r="M6843" t="inlineStr"/>
      <c r="N6843" t="inlineStr">
        <is>
          <t>20E¹, 100I⁹, 4C⁰, 5B⁰, 10C⁰, 25A⁰, 2B⁰, 20K³, 50B², 1A⁰</t>
        </is>
      </c>
      <c r="O6843" t="inlineStr"/>
    </row>
    <row r="6844">
      <c r="A6844">
        <f>HYPERLINK("https://mathstats.uncg.edu/sites/pauli/congruence/csg21.html#group100B21", "100B²¹")</f>
        <v/>
      </c>
      <c r="B6844" t="n">
        <v>21</v>
      </c>
      <c r="C6844" t="inlineStr"/>
      <c r="D6844" t="inlineStr">
        <is>
          <t>360</t>
        </is>
      </c>
      <c r="E6844" t="inlineStr">
        <is>
          <t>1</t>
        </is>
      </c>
      <c r="F6844" t="inlineStr">
        <is>
          <t>180</t>
        </is>
      </c>
      <c r="G6844" t="inlineStr">
        <is>
          <t>4</t>
        </is>
      </c>
      <c r="H6844" t="inlineStr">
        <is>
          <t>0</t>
        </is>
      </c>
      <c r="I6844" t="inlineStr">
        <is>
          <t>4¹⁵, 100³</t>
        </is>
      </c>
      <c r="J6844" t="n">
        <v>18</v>
      </c>
      <c r="K6844" t="inlineStr">
        <is>
          <t>1⁴, 2⁴, 4⁴, 8⁴, 20², 40²</t>
        </is>
      </c>
      <c r="L6844" t="inlineStr">
        <is>
          <t>20L³, 100A⁷, 100I⁹</t>
        </is>
      </c>
      <c r="M6844" t="inlineStr"/>
      <c r="N6844" t="inlineStr">
        <is>
          <t>20E¹, 100A⁷, 100I⁹, 4A⁰, 4C⁰, 5B⁰, 10C⁰, 25A⁰, 1A⁰, 2B⁰, 4F⁰, 50B², 20L³, 20B¹</t>
        </is>
      </c>
      <c r="O6844" t="inlineStr"/>
    </row>
    <row r="6845">
      <c r="A6845">
        <f>HYPERLINK("https://mathstats.uncg.edu/sites/pauli/congruence/csg21.html#group100C21", "100C²¹")</f>
        <v/>
      </c>
      <c r="B6845" t="n">
        <v>21</v>
      </c>
      <c r="C6845" t="inlineStr"/>
      <c r="D6845" t="inlineStr">
        <is>
          <t>360</t>
        </is>
      </c>
      <c r="E6845" t="inlineStr">
        <is>
          <t>2</t>
        </is>
      </c>
      <c r="F6845" t="inlineStr">
        <is>
          <t>90</t>
        </is>
      </c>
      <c r="G6845" t="inlineStr">
        <is>
          <t>4</t>
        </is>
      </c>
      <c r="H6845" t="inlineStr">
        <is>
          <t>0</t>
        </is>
      </c>
      <c r="I6845" t="inlineStr">
        <is>
          <t>4¹⁵, 100³</t>
        </is>
      </c>
      <c r="J6845" t="n">
        <v>18</v>
      </c>
      <c r="K6845" t="inlineStr">
        <is>
          <t>2⁶, 8⁶, 40³</t>
        </is>
      </c>
      <c r="L6845" t="inlineStr">
        <is>
          <t>20M³, 50E⁶, 100B⁷</t>
        </is>
      </c>
      <c r="M6845" t="inlineStr"/>
      <c r="N6845" t="inlineStr">
        <is>
          <t>20C¹, 20M³, 100B⁷, 10G⁰, 50E⁶, 50A², 25A⁰, 10C⁰, 5B⁰, 2B⁰, 50B², 1A⁰, 10B⁰</t>
        </is>
      </c>
      <c r="O6845" t="inlineStr"/>
    </row>
    <row r="6846">
      <c r="A6846">
        <f>HYPERLINK("https://mathstats.uncg.edu/sites/pauli/congruence/csg21.html#group102A21", "102A²¹")</f>
        <v/>
      </c>
      <c r="B6846" t="n">
        <v>21</v>
      </c>
      <c r="C6846" t="inlineStr"/>
      <c r="D6846" t="inlineStr">
        <is>
          <t>288</t>
        </is>
      </c>
      <c r="E6846" t="inlineStr">
        <is>
          <t>1</t>
        </is>
      </c>
      <c r="F6846" t="inlineStr">
        <is>
          <t>72</t>
        </is>
      </c>
      <c r="G6846" t="inlineStr">
        <is>
          <t>0</t>
        </is>
      </c>
      <c r="H6846" t="inlineStr">
        <is>
          <t>0</t>
        </is>
      </c>
      <c r="I6846" t="inlineStr">
        <is>
          <t>2², 6², 34², 102²</t>
        </is>
      </c>
      <c r="J6846" t="n">
        <v>8</v>
      </c>
      <c r="K6846" t="inlineStr">
        <is>
          <t>1⁴, 2², 16², 32¹</t>
        </is>
      </c>
      <c r="L6846" t="inlineStr">
        <is>
          <t>34A⁵, 51A⁹</t>
        </is>
      </c>
      <c r="M6846" t="inlineStr"/>
      <c r="N6846" t="inlineStr">
        <is>
          <t>3B⁰, 51A⁹, 17A¹, 51A⁵, 1A⁰, 34A⁵, 17B¹</t>
        </is>
      </c>
      <c r="O6846" t="inlineStr"/>
    </row>
    <row r="6847">
      <c r="A6847">
        <f>HYPERLINK("https://mathstats.uncg.edu/sites/pauli/congruence/csg21.html#group102B21", "102B²¹")</f>
        <v/>
      </c>
      <c r="B6847" t="n">
        <v>21</v>
      </c>
      <c r="C6847" t="inlineStr"/>
      <c r="D6847" t="inlineStr">
        <is>
          <t>288</t>
        </is>
      </c>
      <c r="E6847" t="inlineStr">
        <is>
          <t>1</t>
        </is>
      </c>
      <c r="F6847" t="inlineStr">
        <is>
          <t>72</t>
        </is>
      </c>
      <c r="G6847" t="inlineStr">
        <is>
          <t>0</t>
        </is>
      </c>
      <c r="H6847" t="inlineStr">
        <is>
          <t>0</t>
        </is>
      </c>
      <c r="I6847" t="inlineStr">
        <is>
          <t>2², 6², 34², 102²</t>
        </is>
      </c>
      <c r="J6847" t="n">
        <v>8</v>
      </c>
      <c r="K6847" t="inlineStr">
        <is>
          <t>1⁴, 2², 16², 32¹</t>
        </is>
      </c>
      <c r="L6847" t="inlineStr">
        <is>
          <t>34B⁵, 51A⁹, 102A¹¹, 102B¹¹</t>
        </is>
      </c>
      <c r="M6847" t="inlineStr"/>
      <c r="N6847" t="inlineStr">
        <is>
          <t>2A⁰, 3B⁰, 51A⁵, 17B¹, 6C⁰, 102A¹¹, 34B⁵, 51A⁹, 17A¹, 102B¹¹, 34B³, 1A⁰, 34A³</t>
        </is>
      </c>
      <c r="O6847" t="inlineStr"/>
    </row>
    <row r="6848">
      <c r="A6848">
        <f>HYPERLINK("https://mathstats.uncg.edu/sites/pauli/congruence/csg21.html#group102C21", "102C²¹")</f>
        <v/>
      </c>
      <c r="B6848" t="n">
        <v>21</v>
      </c>
      <c r="C6848" t="inlineStr"/>
      <c r="D6848" t="inlineStr">
        <is>
          <t>324</t>
        </is>
      </c>
      <c r="E6848" t="inlineStr">
        <is>
          <t>1</t>
        </is>
      </c>
      <c r="F6848" t="inlineStr">
        <is>
          <t>54</t>
        </is>
      </c>
      <c r="G6848" t="inlineStr">
        <is>
          <t>12</t>
        </is>
      </c>
      <c r="H6848" t="inlineStr">
        <is>
          <t>0</t>
        </is>
      </c>
      <c r="I6848" t="inlineStr">
        <is>
          <t>3², 6², 51², 102²</t>
        </is>
      </c>
      <c r="J6848" t="n">
        <v>8</v>
      </c>
      <c r="K6848" t="inlineStr">
        <is>
          <t>1⁶, 16³</t>
        </is>
      </c>
      <c r="L6848" t="inlineStr">
        <is>
          <t>34C⁵, 51B⁵, 102C¹¹</t>
        </is>
      </c>
      <c r="M6848" t="inlineStr"/>
      <c r="N6848" t="inlineStr">
        <is>
          <t>102C¹¹, 34C³, 51A³, 17B¹, 34C⁵, 17A¹, 2B⁰, 51B⁵, 3A⁰, 1A⁰, 6D⁰</t>
        </is>
      </c>
      <c r="O6848" t="inlineStr"/>
    </row>
    <row r="6849">
      <c r="A6849">
        <f>HYPERLINK("https://mathstats.uncg.edu/sites/pauli/congruence/csg21.html#group102D21", "102D²¹")</f>
        <v/>
      </c>
      <c r="B6849" t="n">
        <v>21</v>
      </c>
      <c r="C6849" t="inlineStr"/>
      <c r="D6849" t="inlineStr">
        <is>
          <t>432</t>
        </is>
      </c>
      <c r="E6849" t="inlineStr">
        <is>
          <t>1</t>
        </is>
      </c>
      <c r="F6849" t="inlineStr">
        <is>
          <t>18</t>
        </is>
      </c>
      <c r="G6849" t="inlineStr">
        <is>
          <t>48</t>
        </is>
      </c>
      <c r="H6849" t="inlineStr">
        <is>
          <t>0</t>
        </is>
      </c>
      <c r="I6849" t="inlineStr">
        <is>
          <t>6⁴, 102⁴</t>
        </is>
      </c>
      <c r="J6849" t="n">
        <v>8</v>
      </c>
      <c r="K6849" t="inlineStr">
        <is>
          <t>1², 16¹</t>
        </is>
      </c>
      <c r="L6849" t="inlineStr">
        <is>
          <t>34D⁵, 51B⁹</t>
        </is>
      </c>
      <c r="M6849" t="inlineStr"/>
      <c r="N6849" t="inlineStr">
        <is>
          <t>51B⁹, 51A³, 17B¹, 17C¹, 34D⁵, 17A¹, 51B⁵, 3A⁰, 1A⁰</t>
        </is>
      </c>
      <c r="O6849" t="inlineStr"/>
    </row>
    <row r="6850">
      <c r="A6850">
        <f>HYPERLINK("https://mathstats.uncg.edu/sites/pauli/congruence/csg21.html#group104A21", "104A²¹")</f>
        <v/>
      </c>
      <c r="B6850" t="n">
        <v>21</v>
      </c>
      <c r="C6850" t="inlineStr"/>
      <c r="D6850" t="inlineStr">
        <is>
          <t>336</t>
        </is>
      </c>
      <c r="E6850" t="inlineStr">
        <is>
          <t>1</t>
        </is>
      </c>
      <c r="F6850" t="inlineStr">
        <is>
          <t>42</t>
        </is>
      </c>
      <c r="G6850" t="inlineStr">
        <is>
          <t>16</t>
        </is>
      </c>
      <c r="H6850" t="inlineStr">
        <is>
          <t>0</t>
        </is>
      </c>
      <c r="I6850" t="inlineStr">
        <is>
          <t>4², 8², 52², 104²</t>
        </is>
      </c>
      <c r="J6850" t="n">
        <v>8</v>
      </c>
      <c r="K6850" t="inlineStr">
        <is>
          <t>1⁶, 12³</t>
        </is>
      </c>
      <c r="L6850" t="inlineStr">
        <is>
          <t>52B⁹, 104A¹¹, 104B¹¹</t>
        </is>
      </c>
      <c r="M6850" t="inlineStr"/>
      <c r="N6850" t="inlineStr">
        <is>
          <t>52B⁹, 104A¹¹, 4C⁰, 104B¹¹, 8B⁰, 13A⁰, 52B⁵, 2B⁰, 26B⁴, 26A⁰, 52A⁴, 1A⁰, 26A²</t>
        </is>
      </c>
      <c r="O6850" t="inlineStr"/>
    </row>
    <row r="6851">
      <c r="A6851">
        <f>HYPERLINK("https://mathstats.uncg.edu/sites/pauli/congruence/csg21.html#group104B21", "104B²¹")</f>
        <v/>
      </c>
      <c r="B6851" t="n">
        <v>21</v>
      </c>
      <c r="C6851" t="inlineStr"/>
      <c r="D6851" t="inlineStr">
        <is>
          <t>336</t>
        </is>
      </c>
      <c r="E6851" t="inlineStr">
        <is>
          <t>1</t>
        </is>
      </c>
      <c r="F6851" t="inlineStr">
        <is>
          <t>84</t>
        </is>
      </c>
      <c r="G6851" t="inlineStr">
        <is>
          <t>0</t>
        </is>
      </c>
      <c r="H6851" t="inlineStr">
        <is>
          <t>0</t>
        </is>
      </c>
      <c r="I6851" t="inlineStr">
        <is>
          <t>1⁴, 2², 8², 13⁴, 26², 104²</t>
        </is>
      </c>
      <c r="J6851" t="n">
        <v>16</v>
      </c>
      <c r="K6851" t="inlineStr">
        <is>
          <t>1⁸, 2², 12⁴, 24¹</t>
        </is>
      </c>
      <c r="L6851" t="inlineStr">
        <is>
          <t>52A⁹, 104C¹¹, 104D¹¹</t>
        </is>
      </c>
      <c r="M6851" t="inlineStr"/>
      <c r="N6851" t="inlineStr">
        <is>
          <t>104D¹¹, 52A⁵, 52A⁹, 13A⁰, 8C⁰, 2B⁰, 13B⁰, 52A⁴, 4B⁰, 1A⁰, 26A², 26A⁴, 104C¹¹</t>
        </is>
      </c>
      <c r="O6851" t="inlineStr"/>
    </row>
    <row r="6852">
      <c r="A6852">
        <f>HYPERLINK("https://mathstats.uncg.edu/sites/pauli/congruence/csg21.html#group104C21", "104C²¹")</f>
        <v/>
      </c>
      <c r="B6852" t="n">
        <v>21</v>
      </c>
      <c r="C6852" t="inlineStr"/>
      <c r="D6852" t="inlineStr">
        <is>
          <t>336</t>
        </is>
      </c>
      <c r="E6852" t="inlineStr">
        <is>
          <t>1</t>
        </is>
      </c>
      <c r="F6852" t="inlineStr">
        <is>
          <t>84</t>
        </is>
      </c>
      <c r="G6852" t="inlineStr">
        <is>
          <t>8</t>
        </is>
      </c>
      <c r="H6852" t="inlineStr">
        <is>
          <t>0</t>
        </is>
      </c>
      <c r="I6852" t="inlineStr">
        <is>
          <t>2⁴, 8², 26⁴, 104²</t>
        </is>
      </c>
      <c r="J6852" t="n">
        <v>12</v>
      </c>
      <c r="K6852" t="inlineStr">
        <is>
          <t>1⁴, 2⁴, 12², 24²</t>
        </is>
      </c>
      <c r="L6852" t="inlineStr">
        <is>
          <t>52B⁹, 104E¹¹, 104F¹¹</t>
        </is>
      </c>
      <c r="M6852" t="inlineStr"/>
      <c r="N6852" t="inlineStr">
        <is>
          <t>104F¹¹, 52B⁹, 104E¹¹, 8D⁰, 4C⁰, 13A⁰, 52B⁵, 26B⁴, 2B⁰, 26A⁰, 52A⁴, 1A⁰, 26A²</t>
        </is>
      </c>
      <c r="O6852" t="inlineStr"/>
    </row>
    <row r="6853">
      <c r="A6853">
        <f>HYPERLINK("https://mathstats.uncg.edu/sites/pauli/congruence/csg21.html#group104D21", "104D²¹")</f>
        <v/>
      </c>
      <c r="B6853" t="n">
        <v>21</v>
      </c>
      <c r="C6853" t="inlineStr"/>
      <c r="D6853" t="inlineStr">
        <is>
          <t>336</t>
        </is>
      </c>
      <c r="E6853" t="inlineStr">
        <is>
          <t>2</t>
        </is>
      </c>
      <c r="F6853" t="inlineStr">
        <is>
          <t>42</t>
        </is>
      </c>
      <c r="G6853" t="inlineStr">
        <is>
          <t>8</t>
        </is>
      </c>
      <c r="H6853" t="inlineStr">
        <is>
          <t>0</t>
        </is>
      </c>
      <c r="I6853" t="inlineStr">
        <is>
          <t>2⁴, 8², 26⁴, 104²</t>
        </is>
      </c>
      <c r="J6853" t="n">
        <v>12</v>
      </c>
      <c r="K6853" t="inlineStr">
        <is>
          <t>2⁶, 24³</t>
        </is>
      </c>
      <c r="L6853" t="inlineStr">
        <is>
          <t>52B⁹, 104A⁹, 104G¹¹</t>
        </is>
      </c>
      <c r="M6853" t="inlineStr"/>
      <c r="N6853" t="inlineStr">
        <is>
          <t>104G¹¹, 52B⁹, 104A⁹, 4C⁰, 13A⁰, 26B⁴, 52B⁵, 2B⁰, 26A⁰, 52A⁴, 1A⁰, 26A²</t>
        </is>
      </c>
      <c r="O6853" t="inlineStr"/>
    </row>
    <row r="6854">
      <c r="A6854">
        <f>HYPERLINK("https://mathstats.uncg.edu/sites/pauli/congruence/csg21.html#group105A21", "105A²¹")</f>
        <v/>
      </c>
      <c r="B6854" t="n">
        <v>21</v>
      </c>
      <c r="C6854" t="inlineStr"/>
      <c r="D6854" t="inlineStr">
        <is>
          <t>280</t>
        </is>
      </c>
      <c r="E6854" t="inlineStr">
        <is>
          <t>2</t>
        </is>
      </c>
      <c r="F6854" t="inlineStr">
        <is>
          <t>140</t>
        </is>
      </c>
      <c r="G6854" t="inlineStr">
        <is>
          <t>0</t>
        </is>
      </c>
      <c r="H6854" t="inlineStr">
        <is>
          <t>4</t>
        </is>
      </c>
      <c r="I6854" t="inlineStr">
        <is>
          <t>35², 105²</t>
        </is>
      </c>
      <c r="J6854" t="n">
        <v>4</v>
      </c>
      <c r="K6854" t="inlineStr">
        <is>
          <t>2², 4¹, 6⁴, 8², 12², 16¹, 24⁴, 48²</t>
        </is>
      </c>
      <c r="L6854" t="inlineStr">
        <is>
          <t>21B³, 35A⁴, 105A¹¹</t>
        </is>
      </c>
      <c r="M6854" t="inlineStr"/>
      <c r="N6854" t="inlineStr">
        <is>
          <t>21B³, 3B⁰, 5A⁰, 21B², 105A¹¹, 35A⁴, 7C⁰, 15B¹, 1A⁰, 35A², 7A⁰</t>
        </is>
      </c>
      <c r="O6854" t="inlineStr"/>
    </row>
    <row r="6855">
      <c r="A6855">
        <f>HYPERLINK("https://mathstats.uncg.edu/sites/pauli/congruence/csg21.html#group105B21", "105B²¹")</f>
        <v/>
      </c>
      <c r="B6855" t="n">
        <v>21</v>
      </c>
      <c r="C6855" t="inlineStr"/>
      <c r="D6855" t="inlineStr">
        <is>
          <t>288</t>
        </is>
      </c>
      <c r="E6855" t="inlineStr">
        <is>
          <t>1</t>
        </is>
      </c>
      <c r="F6855" t="inlineStr">
        <is>
          <t>48</t>
        </is>
      </c>
      <c r="G6855" t="inlineStr">
        <is>
          <t>0</t>
        </is>
      </c>
      <c r="H6855" t="inlineStr">
        <is>
          <t>0</t>
        </is>
      </c>
      <c r="I6855" t="inlineStr">
        <is>
          <t>3², 15², 21², 105²</t>
        </is>
      </c>
      <c r="J6855" t="n">
        <v>8</v>
      </c>
      <c r="K6855" t="inlineStr">
        <is>
          <t>1⁴, 4², 6², 24¹</t>
        </is>
      </c>
      <c r="L6855" t="inlineStr">
        <is>
          <t>15B², 35C⁵, 105B¹¹</t>
        </is>
      </c>
      <c r="M6855" t="inlineStr"/>
      <c r="N6855" t="inlineStr">
        <is>
          <t>15B⁰, 21A², 7B⁰, 15B², 5B⁰, 5D⁰, 105B¹¹, 3A⁰, 1A⁰, 35A³, 35C⁵</t>
        </is>
      </c>
      <c r="O6855" t="inlineStr"/>
    </row>
    <row r="6856">
      <c r="A6856">
        <f>HYPERLINK("https://mathstats.uncg.edu/sites/pauli/congruence/csg21.html#group105C21", "105C²¹")</f>
        <v/>
      </c>
      <c r="B6856" t="n">
        <v>21</v>
      </c>
      <c r="C6856" t="inlineStr"/>
      <c r="D6856" t="inlineStr">
        <is>
          <t>288</t>
        </is>
      </c>
      <c r="E6856" t="inlineStr">
        <is>
          <t>1</t>
        </is>
      </c>
      <c r="F6856" t="inlineStr">
        <is>
          <t>144</t>
        </is>
      </c>
      <c r="G6856" t="inlineStr">
        <is>
          <t>0</t>
        </is>
      </c>
      <c r="H6856" t="inlineStr">
        <is>
          <t>0</t>
        </is>
      </c>
      <c r="I6856" t="inlineStr">
        <is>
          <t>3², 15², 21², 105²</t>
        </is>
      </c>
      <c r="J6856" t="n">
        <v>8</v>
      </c>
      <c r="K6856" t="inlineStr">
        <is>
          <t>1⁴, 2⁴, 4², 6², 8², 12², 24¹, 48¹</t>
        </is>
      </c>
      <c r="L6856" t="inlineStr">
        <is>
          <t>15C⁰, 105B¹¹</t>
        </is>
      </c>
      <c r="M6856" t="inlineStr"/>
      <c r="N6856" t="inlineStr">
        <is>
          <t>15B⁰, 21A², 7B⁰, 5B⁰, 105B¹¹, 3A⁰, 1A⁰, 35A³, 15C⁰</t>
        </is>
      </c>
      <c r="O6856" t="inlineStr"/>
    </row>
    <row r="6857">
      <c r="A6857">
        <f>HYPERLINK("https://mathstats.uncg.edu/sites/pauli/congruence/csg21.html#group105D21", "105D²¹")</f>
        <v/>
      </c>
      <c r="B6857" t="n">
        <v>21</v>
      </c>
      <c r="C6857" t="inlineStr"/>
      <c r="D6857" t="inlineStr">
        <is>
          <t>288</t>
        </is>
      </c>
      <c r="E6857" t="inlineStr">
        <is>
          <t>1</t>
        </is>
      </c>
      <c r="F6857" t="inlineStr">
        <is>
          <t>144</t>
        </is>
      </c>
      <c r="G6857" t="inlineStr">
        <is>
          <t>0</t>
        </is>
      </c>
      <c r="H6857" t="inlineStr">
        <is>
          <t>0</t>
        </is>
      </c>
      <c r="I6857" t="inlineStr">
        <is>
          <t>3², 15², 21², 105²</t>
        </is>
      </c>
      <c r="J6857" t="n">
        <v>8</v>
      </c>
      <c r="K6857" t="inlineStr">
        <is>
          <t>1⁴, 2⁴, 4², 6², 8², 12², 24¹, 48¹</t>
        </is>
      </c>
      <c r="L6857" t="inlineStr">
        <is>
          <t>15E¹, 21A³, 105B¹¹</t>
        </is>
      </c>
      <c r="M6857" t="inlineStr"/>
      <c r="N6857" t="inlineStr">
        <is>
          <t>15B⁰, 21A², 7B⁰, 5B⁰, 3C⁰, 105B¹¹, 3A⁰, 1A⁰, 35A³, 21A³, 15E¹</t>
        </is>
      </c>
      <c r="O6857" t="inlineStr"/>
    </row>
    <row r="6858">
      <c r="A6858">
        <f>HYPERLINK("https://mathstats.uncg.edu/sites/pauli/congruence/csg21.html#group105E21", "105E²¹")</f>
        <v/>
      </c>
      <c r="B6858" t="n">
        <v>21</v>
      </c>
      <c r="C6858" t="inlineStr"/>
      <c r="D6858" t="inlineStr">
        <is>
          <t>288</t>
        </is>
      </c>
      <c r="E6858" t="inlineStr">
        <is>
          <t>2</t>
        </is>
      </c>
      <c r="F6858" t="inlineStr">
        <is>
          <t>48</t>
        </is>
      </c>
      <c r="G6858" t="inlineStr">
        <is>
          <t>0</t>
        </is>
      </c>
      <c r="H6858" t="inlineStr">
        <is>
          <t>0</t>
        </is>
      </c>
      <c r="I6858" t="inlineStr">
        <is>
          <t>3², 15², 21², 105²</t>
        </is>
      </c>
      <c r="J6858" t="n">
        <v>8</v>
      </c>
      <c r="K6858" t="inlineStr">
        <is>
          <t>2⁴, 8², 12², 48¹</t>
        </is>
      </c>
      <c r="L6858" t="inlineStr">
        <is>
          <t>35C⁵, 105C¹¹</t>
        </is>
      </c>
      <c r="M6858" t="inlineStr"/>
      <c r="N6858" t="inlineStr">
        <is>
          <t>105C¹¹, 7B⁰, 5B⁰, 35C⁵, 5D⁰, 1A⁰, 35A³, 21A¹</t>
        </is>
      </c>
      <c r="O6858" t="inlineStr"/>
    </row>
    <row r="6859">
      <c r="A6859">
        <f>HYPERLINK("https://mathstats.uncg.edu/sites/pauli/congruence/csg21.html#group105F21", "105F²¹")</f>
        <v/>
      </c>
      <c r="B6859" t="n">
        <v>21</v>
      </c>
      <c r="C6859" t="inlineStr"/>
      <c r="D6859" t="inlineStr">
        <is>
          <t>320</t>
        </is>
      </c>
      <c r="E6859" t="inlineStr">
        <is>
          <t>1</t>
        </is>
      </c>
      <c r="F6859" t="inlineStr">
        <is>
          <t>160</t>
        </is>
      </c>
      <c r="G6859" t="inlineStr">
        <is>
          <t>0</t>
        </is>
      </c>
      <c r="H6859" t="inlineStr">
        <is>
          <t>8</t>
        </is>
      </c>
      <c r="I6859" t="inlineStr">
        <is>
          <t>5², 15², 35², 105²</t>
        </is>
      </c>
      <c r="J6859" t="n">
        <v>8</v>
      </c>
      <c r="K6859" t="inlineStr">
        <is>
          <t>1⁴, 2², 4⁴, 6², 8², 12¹, 24², 48¹</t>
        </is>
      </c>
      <c r="L6859" t="inlineStr">
        <is>
          <t>21F¹, 105D¹¹</t>
        </is>
      </c>
      <c r="M6859" t="inlineStr"/>
      <c r="N6859" t="inlineStr">
        <is>
          <t>3B⁰, 5A⁰, 21B¹, 7B⁰, 15B¹, 35B², 1A⁰, 21F¹, 105D¹¹</t>
        </is>
      </c>
      <c r="O6859" t="inlineStr"/>
    </row>
    <row r="6860">
      <c r="A6860">
        <f>HYPERLINK("https://mathstats.uncg.edu/sites/pauli/congruence/csg21.html#group108A21", "108A²¹")</f>
        <v/>
      </c>
      <c r="B6860" t="n">
        <v>21</v>
      </c>
      <c r="C6860" t="inlineStr"/>
      <c r="D6860" t="inlineStr">
        <is>
          <t>288</t>
        </is>
      </c>
      <c r="E6860" t="inlineStr">
        <is>
          <t>1</t>
        </is>
      </c>
      <c r="F6860" t="inlineStr">
        <is>
          <t>48</t>
        </is>
      </c>
      <c r="G6860" t="inlineStr">
        <is>
          <t>0</t>
        </is>
      </c>
      <c r="H6860" t="inlineStr">
        <is>
          <t>0</t>
        </is>
      </c>
      <c r="I6860" t="inlineStr">
        <is>
          <t>12⁶, 108²</t>
        </is>
      </c>
      <c r="J6860" t="n">
        <v>8</v>
      </c>
      <c r="K6860" t="inlineStr">
        <is>
          <t>2⁴, 4⁴, 12²</t>
        </is>
      </c>
      <c r="L6860" t="inlineStr">
        <is>
          <t>36F⁵, 54A⁵, 108C¹¹</t>
        </is>
      </c>
      <c r="M6860" t="inlineStr"/>
      <c r="N6860" t="inlineStr">
        <is>
          <t>3B⁰, 2A⁰, 27A², 12I¹, 6C⁰, 9B⁰, 1A⁰, 54A⁵, 4A⁰, 18C¹, 12A¹, 4D⁰, 108C¹¹, 36F⁵, 36B³</t>
        </is>
      </c>
      <c r="O6860" t="inlineStr"/>
    </row>
    <row r="6861">
      <c r="A6861">
        <f>HYPERLINK("https://mathstats.uncg.edu/sites/pauli/congruence/csg21.html#group108B21", "108B²¹")</f>
        <v/>
      </c>
      <c r="B6861" t="n">
        <v>21</v>
      </c>
      <c r="C6861" t="inlineStr"/>
      <c r="D6861" t="inlineStr">
        <is>
          <t>288</t>
        </is>
      </c>
      <c r="E6861" t="inlineStr">
        <is>
          <t>1</t>
        </is>
      </c>
      <c r="F6861" t="inlineStr">
        <is>
          <t>48</t>
        </is>
      </c>
      <c r="G6861" t="inlineStr">
        <is>
          <t>0</t>
        </is>
      </c>
      <c r="H6861" t="inlineStr">
        <is>
          <t>6</t>
        </is>
      </c>
      <c r="I6861" t="inlineStr">
        <is>
          <t>36², 108²</t>
        </is>
      </c>
      <c r="J6861" t="n">
        <v>4</v>
      </c>
      <c r="K6861" t="inlineStr">
        <is>
          <t>2⁴, 4⁴, 12²</t>
        </is>
      </c>
      <c r="L6861" t="inlineStr">
        <is>
          <t>54B⁴, 36G⁵, 108D¹¹</t>
        </is>
      </c>
      <c r="M6861" t="inlineStr"/>
      <c r="N6861" t="inlineStr">
        <is>
          <t>3B⁰, 2A⁰, 12I¹, 18B⁰, 6C⁰, 54B⁴, 108D¹¹, 9C⁰, 1A⁰, 36G⁵, 36C³, 27B², 4A⁰, 4D⁰, 12A¹</t>
        </is>
      </c>
      <c r="O6861" t="inlineStr"/>
    </row>
    <row r="6862">
      <c r="A6862">
        <f>HYPERLINK("https://mathstats.uncg.edu/sites/pauli/congruence/csg21.html#group108C21", "108C²¹")</f>
        <v/>
      </c>
      <c r="B6862" t="n">
        <v>21</v>
      </c>
      <c r="C6862" t="inlineStr"/>
      <c r="D6862" t="inlineStr">
        <is>
          <t>288</t>
        </is>
      </c>
      <c r="E6862" t="inlineStr">
        <is>
          <t>1</t>
        </is>
      </c>
      <c r="F6862" t="inlineStr">
        <is>
          <t>96</t>
        </is>
      </c>
      <c r="G6862" t="inlineStr">
        <is>
          <t>0</t>
        </is>
      </c>
      <c r="H6862" t="inlineStr">
        <is>
          <t>0</t>
        </is>
      </c>
      <c r="I6862" t="inlineStr">
        <is>
          <t>12⁶, 108²</t>
        </is>
      </c>
      <c r="J6862" t="n">
        <v>8</v>
      </c>
      <c r="K6862" t="inlineStr">
        <is>
          <t>4¹², 12⁴</t>
        </is>
      </c>
      <c r="L6862" t="inlineStr">
        <is>
          <t>36F⁵, 54B⁵</t>
        </is>
      </c>
      <c r="M6862" t="inlineStr"/>
      <c r="N6862" t="inlineStr">
        <is>
          <t>3B⁰, 2A⁰, 12I¹, 4A⁰, 18C¹, 12A¹, 6C⁰, 4D⁰, 9B⁰, 1A⁰, 36B³, 36F⁵, 54B⁵</t>
        </is>
      </c>
      <c r="O6862" t="inlineStr"/>
    </row>
    <row r="6863">
      <c r="A6863">
        <f>HYPERLINK("https://mathstats.uncg.edu/sites/pauli/congruence/csg21.html#group108D21", "108D²¹")</f>
        <v/>
      </c>
      <c r="B6863" t="n">
        <v>21</v>
      </c>
      <c r="C6863" t="inlineStr"/>
      <c r="D6863" t="inlineStr">
        <is>
          <t>288</t>
        </is>
      </c>
      <c r="E6863" t="inlineStr">
        <is>
          <t>1</t>
        </is>
      </c>
      <c r="F6863" t="inlineStr">
        <is>
          <t>96</t>
        </is>
      </c>
      <c r="G6863" t="inlineStr">
        <is>
          <t>0</t>
        </is>
      </c>
      <c r="H6863" t="inlineStr">
        <is>
          <t>6</t>
        </is>
      </c>
      <c r="I6863" t="inlineStr">
        <is>
          <t>36², 108²</t>
        </is>
      </c>
      <c r="J6863" t="n">
        <v>4</v>
      </c>
      <c r="K6863" t="inlineStr">
        <is>
          <t>4¹², 12⁴</t>
        </is>
      </c>
      <c r="L6863" t="inlineStr">
        <is>
          <t>54D⁴, 36G⁵</t>
        </is>
      </c>
      <c r="M6863" t="inlineStr"/>
      <c r="N6863" t="inlineStr">
        <is>
          <t>3B⁰, 2A⁰, 12I¹, 18B⁰, 6C⁰, 54D⁴, 9C⁰, 1A⁰, 36G⁵, 36C³, 4A⁰, 4D⁰, 12A¹</t>
        </is>
      </c>
      <c r="O6863" t="inlineStr"/>
    </row>
    <row r="6864">
      <c r="A6864">
        <f>HYPERLINK("https://mathstats.uncg.edu/sites/pauli/congruence/csg21.html#group108E21", "108E²¹")</f>
        <v/>
      </c>
      <c r="B6864" t="n">
        <v>21</v>
      </c>
      <c r="C6864" t="inlineStr"/>
      <c r="D6864" t="inlineStr">
        <is>
          <t>432</t>
        </is>
      </c>
      <c r="E6864" t="inlineStr">
        <is>
          <t>1</t>
        </is>
      </c>
      <c r="F6864" t="inlineStr">
        <is>
          <t>36</t>
        </is>
      </c>
      <c r="G6864" t="inlineStr">
        <is>
          <t>0</t>
        </is>
      </c>
      <c r="H6864" t="inlineStr">
        <is>
          <t>0</t>
        </is>
      </c>
      <c r="I6864" t="inlineStr">
        <is>
          <t>2¹², 4¹², 6², 12², 54², 108²</t>
        </is>
      </c>
      <c r="J6864" t="n">
        <v>32</v>
      </c>
      <c r="K6864" t="inlineStr">
        <is>
          <t>1⁶, 2⁶, 6³</t>
        </is>
      </c>
      <c r="L6864" t="inlineStr">
        <is>
          <t>36L⁵, 54B⁷, 108A⁷, 108E¹¹</t>
        </is>
      </c>
      <c r="M6864" t="inlineStr"/>
      <c r="N6864" t="inlineStr">
        <is>
          <t>2A⁰, 54B², 4C⁰, 2B⁰, 4E⁰, 108E¹¹, 4B⁰, 1A⁰, 18C⁰, 108A⁷, 18C¹, 27A⁰, 6F⁰, 36G³, 3B⁰, 36L⁵, 12F¹, 6I⁰, 6C⁰, 9B⁰, 12P¹, 18J¹, 18E⁰, 54B³, 54A³, 36C¹, 54B⁷, 2C⁰, 12E⁰</t>
        </is>
      </c>
      <c r="O6864" t="inlineStr"/>
    </row>
    <row r="6865">
      <c r="A6865">
        <f>HYPERLINK("https://mathstats.uncg.edu/sites/pauli/congruence/csg21.html#group110A21", "110A²¹")</f>
        <v/>
      </c>
      <c r="B6865" t="n">
        <v>21</v>
      </c>
      <c r="C6865" t="inlineStr"/>
      <c r="D6865" t="inlineStr">
        <is>
          <t>264</t>
        </is>
      </c>
      <c r="E6865" t="inlineStr">
        <is>
          <t>2</t>
        </is>
      </c>
      <c r="F6865" t="inlineStr">
        <is>
          <t>66</t>
        </is>
      </c>
      <c r="G6865" t="inlineStr">
        <is>
          <t>0</t>
        </is>
      </c>
      <c r="H6865" t="inlineStr">
        <is>
          <t>0</t>
        </is>
      </c>
      <c r="I6865" t="inlineStr">
        <is>
          <t>22², 110²</t>
        </is>
      </c>
      <c r="J6865" t="n">
        <v>4</v>
      </c>
      <c r="K6865" t="inlineStr">
        <is>
          <t>2², 8¹, 10⁴, 40²</t>
        </is>
      </c>
      <c r="L6865" t="inlineStr">
        <is>
          <t>10D¹, 110A⁸, 55A¹⁰, 110A¹¹</t>
        </is>
      </c>
      <c r="M6865" t="inlineStr"/>
      <c r="N6865" t="inlineStr">
        <is>
          <t>11A⁰, 2A⁰, 55A⁴, 22A¹, 110A⁸, 110A¹¹, 5B⁰, 5D⁰, 10A¹, 55A¹⁰, 10D¹, 1A⁰, 10B⁰</t>
        </is>
      </c>
      <c r="O6865" t="inlineStr"/>
    </row>
    <row r="6866">
      <c r="A6866">
        <f>HYPERLINK("https://mathstats.uncg.edu/sites/pauli/congruence/csg21.html#group110B21", "110B²¹")</f>
        <v/>
      </c>
      <c r="B6866" t="n">
        <v>21</v>
      </c>
      <c r="C6866" t="inlineStr"/>
      <c r="D6866" t="inlineStr">
        <is>
          <t>288</t>
        </is>
      </c>
      <c r="E6866" t="inlineStr">
        <is>
          <t>1</t>
        </is>
      </c>
      <c r="F6866" t="inlineStr">
        <is>
          <t>72</t>
        </is>
      </c>
      <c r="G6866" t="inlineStr">
        <is>
          <t>0</t>
        </is>
      </c>
      <c r="H6866" t="inlineStr">
        <is>
          <t>0</t>
        </is>
      </c>
      <c r="I6866" t="inlineStr">
        <is>
          <t>2², 10², 22², 110²</t>
        </is>
      </c>
      <c r="J6866" t="n">
        <v>8</v>
      </c>
      <c r="K6866" t="inlineStr">
        <is>
          <t>1⁴, 4², 10², 40¹</t>
        </is>
      </c>
      <c r="L6866" t="inlineStr">
        <is>
          <t>55B⁹</t>
        </is>
      </c>
      <c r="M6866" t="inlineStr"/>
      <c r="N6866" t="inlineStr">
        <is>
          <t>5B⁰, 5D⁰, 55B⁹, 55B⁵, 1A⁰, 11A¹</t>
        </is>
      </c>
      <c r="O6866" t="inlineStr"/>
    </row>
    <row r="6867">
      <c r="A6867">
        <f>HYPERLINK("https://mathstats.uncg.edu/sites/pauli/congruence/csg21.html#group110C21", "110C²¹")</f>
        <v/>
      </c>
      <c r="B6867" t="n">
        <v>21</v>
      </c>
      <c r="C6867" t="inlineStr"/>
      <c r="D6867" t="inlineStr">
        <is>
          <t>288</t>
        </is>
      </c>
      <c r="E6867" t="inlineStr">
        <is>
          <t>1</t>
        </is>
      </c>
      <c r="F6867" t="inlineStr">
        <is>
          <t>72</t>
        </is>
      </c>
      <c r="G6867" t="inlineStr">
        <is>
          <t>0</t>
        </is>
      </c>
      <c r="H6867" t="inlineStr">
        <is>
          <t>0</t>
        </is>
      </c>
      <c r="I6867" t="inlineStr">
        <is>
          <t>2², 10², 22², 110²</t>
        </is>
      </c>
      <c r="J6867" t="n">
        <v>8</v>
      </c>
      <c r="K6867" t="inlineStr">
        <is>
          <t>1⁴, 4², 10², 40¹</t>
        </is>
      </c>
      <c r="L6867" t="inlineStr">
        <is>
          <t>10D¹, 55B⁹, 110B¹¹, 110C¹¹</t>
        </is>
      </c>
      <c r="M6867" t="inlineStr"/>
      <c r="N6867" t="inlineStr">
        <is>
          <t>2A⁰, 55B⁵, 11A¹, 22A², 5B⁰, 110C¹¹, 10A¹, 5D⁰, 55B⁹, 10D¹, 1A⁰, 110B¹¹, 10B⁰</t>
        </is>
      </c>
      <c r="O6867" t="inlineStr"/>
    </row>
    <row r="6868">
      <c r="A6868">
        <f>HYPERLINK("https://mathstats.uncg.edu/sites/pauli/congruence/csg21.html#group111A21", "111A²¹")</f>
        <v/>
      </c>
      <c r="B6868" t="n">
        <v>21</v>
      </c>
      <c r="C6868" t="inlineStr"/>
      <c r="D6868" t="inlineStr">
        <is>
          <t>304</t>
        </is>
      </c>
      <c r="E6868" t="inlineStr">
        <is>
          <t>1</t>
        </is>
      </c>
      <c r="F6868" t="inlineStr">
        <is>
          <t>152</t>
        </is>
      </c>
      <c r="G6868" t="inlineStr">
        <is>
          <t>0</t>
        </is>
      </c>
      <c r="H6868" t="inlineStr">
        <is>
          <t>4</t>
        </is>
      </c>
      <c r="I6868" t="inlineStr">
        <is>
          <t>1², 3², 37², 111²</t>
        </is>
      </c>
      <c r="J6868" t="n">
        <v>8</v>
      </c>
      <c r="K6868" t="inlineStr">
        <is>
          <t>1⁴, 2², 36², 72¹</t>
        </is>
      </c>
      <c r="L6868" t="inlineStr">
        <is>
          <t>37A⁴, 111A¹¹</t>
        </is>
      </c>
      <c r="M6868" t="inlineStr"/>
      <c r="N6868" t="inlineStr">
        <is>
          <t>37A², 111A¹¹, 3B⁰, 37A⁴, 1A⁰</t>
        </is>
      </c>
      <c r="O6868" t="inlineStr"/>
    </row>
    <row r="6869">
      <c r="A6869">
        <f>HYPERLINK("https://mathstats.uncg.edu/sites/pauli/congruence/csg21.html#group112A21", "112A²¹")</f>
        <v/>
      </c>
      <c r="B6869" t="n">
        <v>21</v>
      </c>
      <c r="C6869" t="inlineStr"/>
      <c r="D6869" t="inlineStr">
        <is>
          <t>336</t>
        </is>
      </c>
      <c r="E6869" t="inlineStr">
        <is>
          <t>2</t>
        </is>
      </c>
      <c r="F6869" t="inlineStr">
        <is>
          <t>42</t>
        </is>
      </c>
      <c r="G6869" t="inlineStr">
        <is>
          <t>24</t>
        </is>
      </c>
      <c r="H6869" t="inlineStr">
        <is>
          <t>0</t>
        </is>
      </c>
      <c r="I6869" t="inlineStr">
        <is>
          <t>56², 112²</t>
        </is>
      </c>
      <c r="J6869" t="n">
        <v>4</v>
      </c>
      <c r="K6869" t="inlineStr">
        <is>
          <t>2², 4², 6⁴, 12⁴</t>
        </is>
      </c>
      <c r="L6869" t="inlineStr">
        <is>
          <t>112B⁸, 56B¹⁰, 112A¹¹</t>
        </is>
      </c>
      <c r="M6869" t="inlineStr"/>
      <c r="N6869" t="inlineStr">
        <is>
          <t>112A¹¹, 28C², 56B⁵, 16B⁰, 56B¹⁰, 14B¹, 4C⁰, 8B⁰, 28C⁵, 2B⁰, 112B⁸, 1A⁰, 7A⁰, 56B⁴</t>
        </is>
      </c>
      <c r="O6869" t="inlineStr"/>
    </row>
    <row r="6870">
      <c r="A6870">
        <f>HYPERLINK("https://mathstats.uncg.edu/sites/pauli/congruence/csg21.html#group112B21", "112B²¹")</f>
        <v/>
      </c>
      <c r="B6870" t="n">
        <v>21</v>
      </c>
      <c r="C6870" t="inlineStr"/>
      <c r="D6870" t="inlineStr">
        <is>
          <t>336</t>
        </is>
      </c>
      <c r="E6870" t="inlineStr">
        <is>
          <t>2</t>
        </is>
      </c>
      <c r="F6870" t="inlineStr">
        <is>
          <t>42</t>
        </is>
      </c>
      <c r="G6870" t="inlineStr">
        <is>
          <t>24</t>
        </is>
      </c>
      <c r="H6870" t="inlineStr">
        <is>
          <t>0</t>
        </is>
      </c>
      <c r="I6870" t="inlineStr">
        <is>
          <t>56², 112²</t>
        </is>
      </c>
      <c r="J6870" t="n">
        <v>4</v>
      </c>
      <c r="K6870" t="inlineStr">
        <is>
          <t>2², 4², 6⁴, 12⁴</t>
        </is>
      </c>
      <c r="L6870" t="inlineStr">
        <is>
          <t>16F¹, 112B⁸, 56C¹⁰, 112B¹¹</t>
        </is>
      </c>
      <c r="M6870" t="inlineStr"/>
      <c r="N6870" t="inlineStr">
        <is>
          <t>56C⁵, 14B¹, 8D⁰, 4C⁰, 8B⁰, 16F¹, 16B¹, 2B⁰, 1A⁰, 56C¹⁰, 8H⁰, 28C², 16B⁰, 112B¹¹, 4A⁰, 28D⁵, 4F⁰, 112B⁸, 28A¹, 7A⁰, 56B⁴</t>
        </is>
      </c>
      <c r="O6870" t="inlineStr"/>
    </row>
    <row r="6871">
      <c r="A6871">
        <f>HYPERLINK("https://mathstats.uncg.edu/sites/pauli/congruence/csg21.html#group112C21", "112C²¹")</f>
        <v/>
      </c>
      <c r="B6871" t="n">
        <v>21</v>
      </c>
      <c r="C6871" t="inlineStr"/>
      <c r="D6871" t="inlineStr">
        <is>
          <t>336</t>
        </is>
      </c>
      <c r="E6871" t="inlineStr">
        <is>
          <t>2</t>
        </is>
      </c>
      <c r="F6871" t="inlineStr">
        <is>
          <t>84</t>
        </is>
      </c>
      <c r="G6871" t="inlineStr">
        <is>
          <t>24</t>
        </is>
      </c>
      <c r="H6871" t="inlineStr">
        <is>
          <t>0</t>
        </is>
      </c>
      <c r="I6871" t="inlineStr">
        <is>
          <t>56², 112²</t>
        </is>
      </c>
      <c r="J6871" t="n">
        <v>4</v>
      </c>
      <c r="K6871" t="inlineStr">
        <is>
          <t>2⁴, 4², 6⁸, 8¹, 12⁴, 24²</t>
        </is>
      </c>
      <c r="L6871" t="inlineStr">
        <is>
          <t>112B⁸, 56D¹⁰, 112E¹¹</t>
        </is>
      </c>
      <c r="M6871" t="inlineStr"/>
      <c r="N6871" t="inlineStr">
        <is>
          <t>16B⁰, 28C², 112E¹¹, 14B¹, 4C⁰, 8B⁰, 2B⁰, 56D¹⁰, 112B⁸, 1A⁰, 7A⁰, 56B⁴</t>
        </is>
      </c>
      <c r="O6871" t="inlineStr"/>
    </row>
    <row r="6872">
      <c r="A6872">
        <f>HYPERLINK("https://mathstats.uncg.edu/sites/pauli/congruence/csg21.html#group112D21", "112D²¹")</f>
        <v/>
      </c>
      <c r="B6872" t="n">
        <v>21</v>
      </c>
      <c r="C6872" t="inlineStr"/>
      <c r="D6872" t="inlineStr">
        <is>
          <t>336</t>
        </is>
      </c>
      <c r="E6872" t="inlineStr">
        <is>
          <t>2</t>
        </is>
      </c>
      <c r="F6872" t="inlineStr">
        <is>
          <t>84</t>
        </is>
      </c>
      <c r="G6872" t="inlineStr">
        <is>
          <t>24</t>
        </is>
      </c>
      <c r="H6872" t="inlineStr">
        <is>
          <t>0</t>
        </is>
      </c>
      <c r="I6872" t="inlineStr">
        <is>
          <t>56², 112²</t>
        </is>
      </c>
      <c r="J6872" t="n">
        <v>4</v>
      </c>
      <c r="K6872" t="inlineStr">
        <is>
          <t>2⁴, 4², 6⁸, 8¹, 12⁴, 24²</t>
        </is>
      </c>
      <c r="L6872" t="inlineStr">
        <is>
          <t>16J¹, 112B⁸, 56E¹⁰, 112F¹¹</t>
        </is>
      </c>
      <c r="M6872" t="inlineStr"/>
      <c r="N6872" t="inlineStr">
        <is>
          <t>56E¹⁰, 14B¹, 4C⁰, 8B⁰, 8L⁰, 2B⁰, 16J¹, 1A⁰, 16B⁰, 28C², 16D¹, 112F¹¹, 112B⁸, 7A⁰, 56B⁴</t>
        </is>
      </c>
      <c r="O6872" t="inlineStr"/>
    </row>
    <row r="6873">
      <c r="A6873">
        <f>HYPERLINK("https://mathstats.uncg.edu/sites/pauli/congruence/csg21.html#group112E21", "112E²¹")</f>
        <v/>
      </c>
      <c r="B6873" t="n">
        <v>21</v>
      </c>
      <c r="C6873" t="inlineStr"/>
      <c r="D6873" t="inlineStr">
        <is>
          <t>384</t>
        </is>
      </c>
      <c r="E6873" t="inlineStr">
        <is>
          <t>1</t>
        </is>
      </c>
      <c r="F6873" t="inlineStr">
        <is>
          <t>48</t>
        </is>
      </c>
      <c r="G6873" t="inlineStr">
        <is>
          <t>0</t>
        </is>
      </c>
      <c r="H6873" t="inlineStr">
        <is>
          <t>0</t>
        </is>
      </c>
      <c r="I6873" t="inlineStr">
        <is>
          <t>1⁸, 4², 7⁸, 16², 28², 112²</t>
        </is>
      </c>
      <c r="J6873" t="n">
        <v>24</v>
      </c>
      <c r="K6873" t="inlineStr">
        <is>
          <t>1⁸, 2², 6⁴, 12¹</t>
        </is>
      </c>
      <c r="L6873" t="inlineStr">
        <is>
          <t>56C⁹, 112G¹¹, 112H¹¹</t>
        </is>
      </c>
      <c r="M6873" t="inlineStr"/>
      <c r="N6873" t="inlineStr">
        <is>
          <t>28E⁴, 112G¹¹, 56C⁴, 7B⁰, 16C⁰, 28D², 14C¹, 8C⁰, 2B⁰, 56C⁹, 4B⁰, 56D⁵, 1A⁰, 112H¹¹</t>
        </is>
      </c>
      <c r="O6873" t="inlineStr"/>
    </row>
    <row r="6874">
      <c r="A6874">
        <f>HYPERLINK("https://mathstats.uncg.edu/sites/pauli/congruence/csg21.html#group112F21", "112F²¹")</f>
        <v/>
      </c>
      <c r="B6874" t="n">
        <v>21</v>
      </c>
      <c r="C6874" t="inlineStr"/>
      <c r="D6874" t="inlineStr">
        <is>
          <t>384</t>
        </is>
      </c>
      <c r="E6874" t="inlineStr">
        <is>
          <t>1</t>
        </is>
      </c>
      <c r="F6874" t="inlineStr">
        <is>
          <t>96</t>
        </is>
      </c>
      <c r="G6874" t="inlineStr">
        <is>
          <t>0</t>
        </is>
      </c>
      <c r="H6874" t="inlineStr">
        <is>
          <t>0</t>
        </is>
      </c>
      <c r="I6874" t="inlineStr">
        <is>
          <t>1⁴, 2⁶, 7⁴, 14⁶, 16², 112²</t>
        </is>
      </c>
      <c r="J6874" t="n">
        <v>24</v>
      </c>
      <c r="K6874" t="inlineStr">
        <is>
          <t>1⁸, 2⁴, 4², 6⁴, 12², 24¹</t>
        </is>
      </c>
      <c r="L6874" t="inlineStr">
        <is>
          <t>56C⁹, 112I¹¹, 112J¹¹</t>
        </is>
      </c>
      <c r="M6874" t="inlineStr"/>
      <c r="N6874" t="inlineStr">
        <is>
          <t>28E⁴, 112J¹¹, 56C⁴, 7B⁰, 16D⁰, 28D², 14C¹, 8C⁰, 2B⁰, 56C⁹, 4B⁰, 56D⁵, 1A⁰, 112I¹¹</t>
        </is>
      </c>
      <c r="O6874" t="inlineStr"/>
    </row>
    <row r="6875">
      <c r="A6875">
        <f>HYPERLINK("https://mathstats.uncg.edu/sites/pauli/congruence/csg21.html#group114A21", "114A²¹")</f>
        <v/>
      </c>
      <c r="B6875" t="n">
        <v>21</v>
      </c>
      <c r="C6875" t="inlineStr"/>
      <c r="D6875" t="inlineStr">
        <is>
          <t>320</t>
        </is>
      </c>
      <c r="E6875" t="inlineStr">
        <is>
          <t>1</t>
        </is>
      </c>
      <c r="F6875" t="inlineStr">
        <is>
          <t>80</t>
        </is>
      </c>
      <c r="G6875" t="inlineStr">
        <is>
          <t>0</t>
        </is>
      </c>
      <c r="H6875" t="inlineStr">
        <is>
          <t>8</t>
        </is>
      </c>
      <c r="I6875" t="inlineStr">
        <is>
          <t>2², 6², 38², 114²</t>
        </is>
      </c>
      <c r="J6875" t="n">
        <v>8</v>
      </c>
      <c r="K6875" t="inlineStr">
        <is>
          <t>1⁴, 2², 18², 36¹</t>
        </is>
      </c>
      <c r="L6875" t="inlineStr">
        <is>
          <t>57B⁹, 114A¹¹, 114B¹¹</t>
        </is>
      </c>
      <c r="M6875" t="inlineStr"/>
      <c r="N6875" t="inlineStr">
        <is>
          <t>3B⁰, 19A¹, 2A⁰, 38A², 6C⁰, 57B⁹, 114A¹¹, 1A⁰, 114B¹¹, 57C⁵</t>
        </is>
      </c>
      <c r="O6875" t="inlineStr"/>
    </row>
    <row r="6876">
      <c r="A6876">
        <f>HYPERLINK("https://mathstats.uncg.edu/sites/pauli/congruence/csg21.html#group115A21", "115A²¹")</f>
        <v/>
      </c>
      <c r="B6876" t="n">
        <v>21</v>
      </c>
      <c r="C6876" t="inlineStr"/>
      <c r="D6876" t="inlineStr">
        <is>
          <t>288</t>
        </is>
      </c>
      <c r="E6876" t="inlineStr">
        <is>
          <t>1</t>
        </is>
      </c>
      <c r="F6876" t="inlineStr">
        <is>
          <t>144</t>
        </is>
      </c>
      <c r="G6876" t="inlineStr">
        <is>
          <t>0</t>
        </is>
      </c>
      <c r="H6876" t="inlineStr">
        <is>
          <t>0</t>
        </is>
      </c>
      <c r="I6876" t="inlineStr">
        <is>
          <t>1², 5², 23², 115²</t>
        </is>
      </c>
      <c r="J6876" t="n">
        <v>8</v>
      </c>
      <c r="K6876" t="inlineStr">
        <is>
          <t>1⁴, 4², 22², 88¹</t>
        </is>
      </c>
      <c r="L6876" t="inlineStr">
        <is>
          <t>5D⁰, 115A¹¹</t>
        </is>
      </c>
      <c r="M6876" t="inlineStr"/>
      <c r="N6876" t="inlineStr">
        <is>
          <t>5B⁰, 5D⁰, 23A², 1A⁰, 115A¹¹</t>
        </is>
      </c>
      <c r="O6876" t="inlineStr"/>
    </row>
    <row r="6877">
      <c r="A6877">
        <f>HYPERLINK("https://mathstats.uncg.edu/sites/pauli/congruence/csg21.html#group117A21", "117A²¹")</f>
        <v/>
      </c>
      <c r="B6877" t="n">
        <v>21</v>
      </c>
      <c r="C6877" t="inlineStr"/>
      <c r="D6877" t="inlineStr">
        <is>
          <t>336</t>
        </is>
      </c>
      <c r="E6877" t="inlineStr">
        <is>
          <t>1</t>
        </is>
      </c>
      <c r="F6877" t="inlineStr">
        <is>
          <t>56</t>
        </is>
      </c>
      <c r="G6877" t="inlineStr">
        <is>
          <t>0</t>
        </is>
      </c>
      <c r="H6877" t="inlineStr">
        <is>
          <t>0</t>
        </is>
      </c>
      <c r="I6877" t="inlineStr">
        <is>
          <t>1⁶, 9², 13⁶, 117²</t>
        </is>
      </c>
      <c r="J6877" t="n">
        <v>16</v>
      </c>
      <c r="K6877" t="inlineStr">
        <is>
          <t>1⁴, 2², 12², 24¹</t>
        </is>
      </c>
      <c r="L6877" t="inlineStr">
        <is>
          <t>39B⁵, 117A¹¹</t>
        </is>
      </c>
      <c r="M6877" t="inlineStr"/>
      <c r="N6877" t="inlineStr">
        <is>
          <t>3B⁰, 117A¹¹, 39A³, 13A⁰, 9B⁰, 13B⁰, 1A⁰, 39B⁵</t>
        </is>
      </c>
      <c r="O6877" t="inlineStr"/>
    </row>
    <row r="6878">
      <c r="A6878">
        <f>HYPERLINK("https://mathstats.uncg.edu/sites/pauli/congruence/csg21.html#group117B21", "117B²¹")</f>
        <v/>
      </c>
      <c r="B6878" t="n">
        <v>21</v>
      </c>
      <c r="C6878" t="inlineStr"/>
      <c r="D6878" t="inlineStr">
        <is>
          <t>336</t>
        </is>
      </c>
      <c r="E6878" t="inlineStr">
        <is>
          <t>1</t>
        </is>
      </c>
      <c r="F6878" t="inlineStr">
        <is>
          <t>56</t>
        </is>
      </c>
      <c r="G6878" t="inlineStr">
        <is>
          <t>0</t>
        </is>
      </c>
      <c r="H6878" t="inlineStr">
        <is>
          <t>12</t>
        </is>
      </c>
      <c r="I6878" t="inlineStr">
        <is>
          <t>3², 9², 39², 117²</t>
        </is>
      </c>
      <c r="J6878" t="n">
        <v>8</v>
      </c>
      <c r="K6878" t="inlineStr">
        <is>
          <t>1⁴, 2², 12², 24¹</t>
        </is>
      </c>
      <c r="L6878" t="inlineStr">
        <is>
          <t>39B⁵, 117B¹¹</t>
        </is>
      </c>
      <c r="M6878" t="inlineStr"/>
      <c r="N6878" t="inlineStr">
        <is>
          <t>3B⁰, 39A³, 117B¹¹, 13A⁰, 13B⁰, 9C⁰, 1A⁰, 39B⁵</t>
        </is>
      </c>
      <c r="O6878" t="inlineStr"/>
    </row>
    <row r="6879">
      <c r="A6879">
        <f>HYPERLINK("https://mathstats.uncg.edu/sites/pauli/congruence/csg21.html#group119A21", "119A²¹")</f>
        <v/>
      </c>
      <c r="B6879" t="n">
        <v>21</v>
      </c>
      <c r="C6879" t="inlineStr"/>
      <c r="D6879" t="inlineStr">
        <is>
          <t>288</t>
        </is>
      </c>
      <c r="E6879" t="inlineStr">
        <is>
          <t>1</t>
        </is>
      </c>
      <c r="F6879" t="inlineStr">
        <is>
          <t>144</t>
        </is>
      </c>
      <c r="G6879" t="inlineStr">
        <is>
          <t>0</t>
        </is>
      </c>
      <c r="H6879" t="inlineStr">
        <is>
          <t>0</t>
        </is>
      </c>
      <c r="I6879" t="inlineStr">
        <is>
          <t>1², 7², 17², 119²</t>
        </is>
      </c>
      <c r="J6879" t="n">
        <v>8</v>
      </c>
      <c r="K6879" t="inlineStr">
        <is>
          <t>1⁴, 6², 16², 96¹</t>
        </is>
      </c>
      <c r="L6879" t="inlineStr">
        <is>
          <t>17B¹, 119A¹¹</t>
        </is>
      </c>
      <c r="M6879" t="inlineStr"/>
      <c r="N6879" t="inlineStr">
        <is>
          <t>17A¹, 1A⁰, 119A¹¹, 7B⁰, 17B¹</t>
        </is>
      </c>
      <c r="O6879" t="inlineStr"/>
    </row>
    <row r="6880">
      <c r="A6880">
        <f>HYPERLINK("https://mathstats.uncg.edu/sites/pauli/congruence/csg21.html#group120A21", "120A²¹")</f>
        <v/>
      </c>
      <c r="B6880" t="n">
        <v>21</v>
      </c>
      <c r="C6880" t="inlineStr"/>
      <c r="D6880" t="inlineStr">
        <is>
          <t>288</t>
        </is>
      </c>
      <c r="E6880" t="inlineStr">
        <is>
          <t>1</t>
        </is>
      </c>
      <c r="F6880" t="inlineStr">
        <is>
          <t>72</t>
        </is>
      </c>
      <c r="G6880" t="inlineStr">
        <is>
          <t>0</t>
        </is>
      </c>
      <c r="H6880" t="inlineStr">
        <is>
          <t>0</t>
        </is>
      </c>
      <c r="I6880" t="inlineStr">
        <is>
          <t>4¹, 8¹, 12¹, 20¹, 24¹, 40¹, 60¹, 120¹</t>
        </is>
      </c>
      <c r="J6880" t="n">
        <v>8</v>
      </c>
      <c r="K6880" t="inlineStr">
        <is>
          <t>1¹², 2⁶, 4⁶, 8³</t>
        </is>
      </c>
      <c r="L6880" t="inlineStr">
        <is>
          <t>40C³, 60H⁹</t>
        </is>
      </c>
      <c r="M6880" t="inlineStr"/>
      <c r="N6880" t="inlineStr">
        <is>
          <t>20E¹, 3B⁰, 12F¹, 4C⁰, 5B⁰, 2B⁰, 1A⁰, 40C³, 15C¹, 6F⁰, 10C⁰, 30K³, 60H⁹</t>
        </is>
      </c>
      <c r="O6880" t="inlineStr"/>
    </row>
    <row r="6881">
      <c r="A6881">
        <f>HYPERLINK("https://mathstats.uncg.edu/sites/pauli/congruence/csg21.html#group120B21", "120B²¹")</f>
        <v/>
      </c>
      <c r="B6881" t="n">
        <v>21</v>
      </c>
      <c r="C6881" t="inlineStr"/>
      <c r="D6881" t="inlineStr">
        <is>
          <t>288</t>
        </is>
      </c>
      <c r="E6881" t="inlineStr">
        <is>
          <t>1</t>
        </is>
      </c>
      <c r="F6881" t="inlineStr">
        <is>
          <t>72</t>
        </is>
      </c>
      <c r="G6881" t="inlineStr">
        <is>
          <t>0</t>
        </is>
      </c>
      <c r="H6881" t="inlineStr">
        <is>
          <t>0</t>
        </is>
      </c>
      <c r="I6881" t="inlineStr">
        <is>
          <t>4¹, 8¹, 12¹, 20¹, 24¹, 40¹, 60¹, 120¹</t>
        </is>
      </c>
      <c r="J6881" t="n">
        <v>8</v>
      </c>
      <c r="K6881" t="inlineStr">
        <is>
          <t>1¹², 2⁶, 4⁶, 8³</t>
        </is>
      </c>
      <c r="L6881" t="inlineStr">
        <is>
          <t>40B⁵, 60H⁹</t>
        </is>
      </c>
      <c r="M6881" t="inlineStr"/>
      <c r="N6881" t="inlineStr">
        <is>
          <t>20E¹, 3B⁰, 15C¹, 12F¹, 4C⁰, 5B⁰, 10C⁰, 6F⁰, 1A⁰, 40B⁵, 2B⁰, 30K³, 60H⁹</t>
        </is>
      </c>
      <c r="O6881" t="inlineStr"/>
    </row>
    <row r="6882">
      <c r="A6882">
        <f>HYPERLINK("https://mathstats.uncg.edu/sites/pauli/congruence/csg21.html#group120C21", "120C²¹")</f>
        <v/>
      </c>
      <c r="B6882" t="n">
        <v>21</v>
      </c>
      <c r="C6882" t="inlineStr"/>
      <c r="D6882" t="inlineStr">
        <is>
          <t>288</t>
        </is>
      </c>
      <c r="E6882" t="inlineStr">
        <is>
          <t>1</t>
        </is>
      </c>
      <c r="F6882" t="inlineStr">
        <is>
          <t>72</t>
        </is>
      </c>
      <c r="G6882" t="inlineStr">
        <is>
          <t>0</t>
        </is>
      </c>
      <c r="H6882" t="inlineStr">
        <is>
          <t>0</t>
        </is>
      </c>
      <c r="I6882" t="inlineStr">
        <is>
          <t>4¹, 8¹, 12¹, 20¹, 24¹, 40¹, 60¹, 120¹</t>
        </is>
      </c>
      <c r="J6882" t="n">
        <v>8</v>
      </c>
      <c r="K6882" t="inlineStr">
        <is>
          <t>1¹², 2⁶, 4⁶, 8³</t>
        </is>
      </c>
      <c r="L6882" t="inlineStr">
        <is>
          <t>24B³, 40D³, 60H⁹</t>
        </is>
      </c>
      <c r="M6882" t="inlineStr"/>
      <c r="N6882" t="inlineStr">
        <is>
          <t>3B⁰, 20E¹, 40D³, 24B³, 12F¹, 4C⁰, 8B⁰, 5B⁰, 2B⁰, 1A⁰, 15C¹, 6F⁰, 10C⁰, 30K³, 60H⁹</t>
        </is>
      </c>
      <c r="O6882" t="inlineStr"/>
    </row>
    <row r="6883">
      <c r="A6883">
        <f>HYPERLINK("https://mathstats.uncg.edu/sites/pauli/congruence/csg21.html#group120D21", "120D²¹")</f>
        <v/>
      </c>
      <c r="B6883" t="n">
        <v>21</v>
      </c>
      <c r="C6883" t="inlineStr"/>
      <c r="D6883" t="inlineStr">
        <is>
          <t>288</t>
        </is>
      </c>
      <c r="E6883" t="inlineStr">
        <is>
          <t>1</t>
        </is>
      </c>
      <c r="F6883" t="inlineStr">
        <is>
          <t>72</t>
        </is>
      </c>
      <c r="G6883" t="inlineStr">
        <is>
          <t>0</t>
        </is>
      </c>
      <c r="H6883" t="inlineStr">
        <is>
          <t>0</t>
        </is>
      </c>
      <c r="I6883" t="inlineStr">
        <is>
          <t>4¹, 8¹, 12¹, 20¹, 24¹, 40¹, 60¹, 120¹</t>
        </is>
      </c>
      <c r="J6883" t="n">
        <v>8</v>
      </c>
      <c r="K6883" t="inlineStr">
        <is>
          <t>1¹², 2⁶, 4⁶, 8³</t>
        </is>
      </c>
      <c r="L6883" t="inlineStr">
        <is>
          <t>24C³, 40C⁵, 60H⁹</t>
        </is>
      </c>
      <c r="M6883" t="inlineStr"/>
      <c r="N6883" t="inlineStr">
        <is>
          <t>3B⁰, 20E¹, 8A¹, 12F¹, 4C⁰, 40C⁵, 5B⁰, 2B⁰, 1A⁰, 24C³, 15C¹, 60H⁹, 10C⁰, 30K³, 6F⁰</t>
        </is>
      </c>
      <c r="O6883" t="inlineStr"/>
    </row>
    <row r="6884">
      <c r="A6884">
        <f>HYPERLINK("https://mathstats.uncg.edu/sites/pauli/congruence/csg21.html#group120E21", "120E²¹")</f>
        <v/>
      </c>
      <c r="B6884" t="n">
        <v>21</v>
      </c>
      <c r="C6884" t="inlineStr"/>
      <c r="D6884" t="inlineStr">
        <is>
          <t>288</t>
        </is>
      </c>
      <c r="E6884" t="inlineStr">
        <is>
          <t>2</t>
        </is>
      </c>
      <c r="F6884" t="inlineStr">
        <is>
          <t>72</t>
        </is>
      </c>
      <c r="G6884" t="inlineStr">
        <is>
          <t>0</t>
        </is>
      </c>
      <c r="H6884" t="inlineStr">
        <is>
          <t>0</t>
        </is>
      </c>
      <c r="I6884" t="inlineStr">
        <is>
          <t>4¹, 8¹, 12¹, 20¹, 24¹, 40¹, 60¹, 120¹</t>
        </is>
      </c>
      <c r="J6884" t="n">
        <v>8</v>
      </c>
      <c r="K6884" t="inlineStr">
        <is>
          <t>2¹², 4⁶, 8⁶, 16³</t>
        </is>
      </c>
      <c r="L6884" t="inlineStr">
        <is>
          <t>60G⁹</t>
        </is>
      </c>
      <c r="M6884" t="inlineStr"/>
      <c r="N6884" t="inlineStr">
        <is>
          <t>15C¹, 3B⁰, 5B⁰, 60G⁹, 10C⁰, 1A⁰, 2B⁰, 30K³, 6F⁰, 20C²</t>
        </is>
      </c>
      <c r="O6884" t="inlineStr"/>
    </row>
    <row r="6885">
      <c r="A6885">
        <f>HYPERLINK("https://mathstats.uncg.edu/sites/pauli/congruence/csg21.html#group120F21", "120F²¹")</f>
        <v/>
      </c>
      <c r="B6885" t="n">
        <v>21</v>
      </c>
      <c r="C6885" t="inlineStr"/>
      <c r="D6885" t="inlineStr">
        <is>
          <t>288</t>
        </is>
      </c>
      <c r="E6885" t="inlineStr">
        <is>
          <t>2</t>
        </is>
      </c>
      <c r="F6885" t="inlineStr">
        <is>
          <t>72</t>
        </is>
      </c>
      <c r="G6885" t="inlineStr">
        <is>
          <t>0</t>
        </is>
      </c>
      <c r="H6885" t="inlineStr">
        <is>
          <t>0</t>
        </is>
      </c>
      <c r="I6885" t="inlineStr">
        <is>
          <t>4¹, 8¹, 12¹, 20¹, 24¹, 40¹, 60¹, 120¹</t>
        </is>
      </c>
      <c r="J6885" t="n">
        <v>8</v>
      </c>
      <c r="K6885" t="inlineStr">
        <is>
          <t>2¹², 4⁶, 8⁶, 16³</t>
        </is>
      </c>
      <c r="L6885" t="inlineStr">
        <is>
          <t>60G⁹</t>
        </is>
      </c>
      <c r="M6885" t="inlineStr"/>
      <c r="N6885" t="inlineStr">
        <is>
          <t>15C¹, 3B⁰, 5B⁰, 60G⁹, 10C⁰, 1A⁰, 2B⁰, 30K³, 6F⁰, 20C²</t>
        </is>
      </c>
      <c r="O6885" t="inlineStr"/>
    </row>
    <row r="6886">
      <c r="A6886">
        <f>HYPERLINK("https://mathstats.uncg.edu/sites/pauli/congruence/csg21.html#group120G21", "120G²¹")</f>
        <v/>
      </c>
      <c r="B6886" t="n">
        <v>21</v>
      </c>
      <c r="C6886" t="inlineStr"/>
      <c r="D6886" t="inlineStr">
        <is>
          <t>288</t>
        </is>
      </c>
      <c r="E6886" t="inlineStr">
        <is>
          <t>2</t>
        </is>
      </c>
      <c r="F6886" t="inlineStr">
        <is>
          <t>72</t>
        </is>
      </c>
      <c r="G6886" t="inlineStr">
        <is>
          <t>8</t>
        </is>
      </c>
      <c r="H6886" t="inlineStr">
        <is>
          <t>0</t>
        </is>
      </c>
      <c r="I6886" t="inlineStr">
        <is>
          <t>24², 120²</t>
        </is>
      </c>
      <c r="J6886" t="n">
        <v>4</v>
      </c>
      <c r="K6886" t="inlineStr">
        <is>
          <t>4⁴, 8⁴, 16², 32²</t>
        </is>
      </c>
      <c r="L6886" t="inlineStr">
        <is>
          <t>60J⁹, 120E⁹</t>
        </is>
      </c>
      <c r="M6886" t="inlineStr"/>
      <c r="N6886" t="inlineStr">
        <is>
          <t>12G¹, 15B⁰, 12A⁰, 60J⁹, 4A⁰, 5B⁰, 120E⁹, 3C⁰, 60B³, 3A⁰, 1A⁰, 20B¹, 15E¹</t>
        </is>
      </c>
      <c r="O6886" t="inlineStr"/>
    </row>
    <row r="6887">
      <c r="A6887">
        <f>HYPERLINK("https://mathstats.uncg.edu/sites/pauli/congruence/csg21.html#group120H21", "120H²¹")</f>
        <v/>
      </c>
      <c r="B6887" t="n">
        <v>21</v>
      </c>
      <c r="C6887" t="inlineStr"/>
      <c r="D6887" t="inlineStr">
        <is>
          <t>288</t>
        </is>
      </c>
      <c r="E6887" t="inlineStr">
        <is>
          <t>2</t>
        </is>
      </c>
      <c r="F6887" t="inlineStr">
        <is>
          <t>72</t>
        </is>
      </c>
      <c r="G6887" t="inlineStr">
        <is>
          <t>8</t>
        </is>
      </c>
      <c r="H6887" t="inlineStr">
        <is>
          <t>0</t>
        </is>
      </c>
      <c r="I6887" t="inlineStr">
        <is>
          <t>24², 120²</t>
        </is>
      </c>
      <c r="J6887" t="n">
        <v>4</v>
      </c>
      <c r="K6887" t="inlineStr">
        <is>
          <t>4⁴, 8⁴, 16², 32²</t>
        </is>
      </c>
      <c r="L6887" t="inlineStr">
        <is>
          <t>24D³, 60J⁹, 120F⁹</t>
        </is>
      </c>
      <c r="M6887" t="inlineStr"/>
      <c r="N6887" t="inlineStr">
        <is>
          <t>12G¹, 24D³, 60J⁹, 5B⁰, 24B¹, 1A⁰, 20B¹, 15B⁰, 12A⁰, 120F⁹, 4A⁰, 3C⁰, 60B³, 3A⁰, 15E¹</t>
        </is>
      </c>
      <c r="O6887" t="inlineStr"/>
    </row>
    <row r="6888">
      <c r="A6888">
        <f>HYPERLINK("https://mathstats.uncg.edu/sites/pauli/congruence/csg21.html#group120I21", "120I²¹")</f>
        <v/>
      </c>
      <c r="B6888" t="n">
        <v>21</v>
      </c>
      <c r="C6888" t="inlineStr"/>
      <c r="D6888" t="inlineStr">
        <is>
          <t>288</t>
        </is>
      </c>
      <c r="E6888" t="inlineStr">
        <is>
          <t>2</t>
        </is>
      </c>
      <c r="F6888" t="inlineStr">
        <is>
          <t>72</t>
        </is>
      </c>
      <c r="G6888" t="inlineStr">
        <is>
          <t>8</t>
        </is>
      </c>
      <c r="H6888" t="inlineStr">
        <is>
          <t>0</t>
        </is>
      </c>
      <c r="I6888" t="inlineStr">
        <is>
          <t>24², 120²</t>
        </is>
      </c>
      <c r="J6888" t="n">
        <v>4</v>
      </c>
      <c r="K6888" t="inlineStr">
        <is>
          <t>4⁴, 8⁴, 16², 32²</t>
        </is>
      </c>
      <c r="L6888" t="inlineStr">
        <is>
          <t>60I⁹, 120C⁹, 120F⁹</t>
        </is>
      </c>
      <c r="M6888" t="inlineStr"/>
      <c r="N6888" t="inlineStr">
        <is>
          <t>15B⁰, 12A⁰, 40A³, 120F⁹, 4A⁰, 5B⁰, 20B¹, 60B³, 24B¹, 3A⁰, 1A⁰, 120C⁹, 60I⁹, 30C²</t>
        </is>
      </c>
      <c r="O6888" t="inlineStr"/>
    </row>
    <row r="6889">
      <c r="A6889">
        <f>HYPERLINK("https://mathstats.uncg.edu/sites/pauli/congruence/csg21.html#group120J21", "120J²¹")</f>
        <v/>
      </c>
      <c r="B6889" t="n">
        <v>21</v>
      </c>
      <c r="C6889" t="inlineStr"/>
      <c r="D6889" t="inlineStr">
        <is>
          <t>288</t>
        </is>
      </c>
      <c r="E6889" t="inlineStr">
        <is>
          <t>2</t>
        </is>
      </c>
      <c r="F6889" t="inlineStr">
        <is>
          <t>72</t>
        </is>
      </c>
      <c r="G6889" t="inlineStr">
        <is>
          <t>8</t>
        </is>
      </c>
      <c r="H6889" t="inlineStr">
        <is>
          <t>0</t>
        </is>
      </c>
      <c r="I6889" t="inlineStr">
        <is>
          <t>24², 120²</t>
        </is>
      </c>
      <c r="J6889" t="n">
        <v>4</v>
      </c>
      <c r="K6889" t="inlineStr">
        <is>
          <t>4⁴, 8⁴, 16², 32²</t>
        </is>
      </c>
      <c r="L6889" t="inlineStr">
        <is>
          <t>60I⁹, 120D⁹, 120E⁹</t>
        </is>
      </c>
      <c r="M6889" t="inlineStr"/>
      <c r="N6889" t="inlineStr">
        <is>
          <t>15B⁰, 12A⁰, 24A¹, 4A⁰, 40B³, 8A⁰, 120E⁹, 5B⁰, 20B¹, 60B³, 3A⁰, 120D⁹, 1A⁰, 60I⁹, 30C²</t>
        </is>
      </c>
      <c r="O6889" t="inlineStr"/>
    </row>
    <row r="6890">
      <c r="A6890">
        <f>HYPERLINK("https://mathstats.uncg.edu/sites/pauli/congruence/csg21.html#group120K21", "120K²¹")</f>
        <v/>
      </c>
      <c r="B6890" t="n">
        <v>21</v>
      </c>
      <c r="C6890" t="inlineStr"/>
      <c r="D6890" t="inlineStr">
        <is>
          <t>288</t>
        </is>
      </c>
      <c r="E6890" t="inlineStr">
        <is>
          <t>2</t>
        </is>
      </c>
      <c r="F6890" t="inlineStr">
        <is>
          <t>72</t>
        </is>
      </c>
      <c r="G6890" t="inlineStr">
        <is>
          <t>8</t>
        </is>
      </c>
      <c r="H6890" t="inlineStr">
        <is>
          <t>0</t>
        </is>
      </c>
      <c r="I6890" t="inlineStr">
        <is>
          <t>24², 120²</t>
        </is>
      </c>
      <c r="J6890" t="n">
        <v>4</v>
      </c>
      <c r="K6890" t="inlineStr">
        <is>
          <t>4⁴, 8⁴, 16², 32²</t>
        </is>
      </c>
      <c r="L6890" t="inlineStr">
        <is>
          <t>60J⁹, 120C⁹, 120E⁹</t>
        </is>
      </c>
      <c r="M6890" t="inlineStr"/>
      <c r="N6890" t="inlineStr">
        <is>
          <t>12G¹, 15B⁰, 12A⁰, 40A³, 60J⁹, 4A⁰, 5B⁰, 120E⁹, 3C⁰, 60B³, 3A⁰, 1A⁰, 120C⁹, 20B¹, 15E¹</t>
        </is>
      </c>
      <c r="O6890" t="inlineStr"/>
    </row>
    <row r="6891">
      <c r="A6891">
        <f>HYPERLINK("https://mathstats.uncg.edu/sites/pauli/congruence/csg21.html#group120L21", "120L²¹")</f>
        <v/>
      </c>
      <c r="B6891" t="n">
        <v>21</v>
      </c>
      <c r="C6891" t="inlineStr"/>
      <c r="D6891" t="inlineStr">
        <is>
          <t>288</t>
        </is>
      </c>
      <c r="E6891" t="inlineStr">
        <is>
          <t>2</t>
        </is>
      </c>
      <c r="F6891" t="inlineStr">
        <is>
          <t>72</t>
        </is>
      </c>
      <c r="G6891" t="inlineStr">
        <is>
          <t>8</t>
        </is>
      </c>
      <c r="H6891" t="inlineStr">
        <is>
          <t>0</t>
        </is>
      </c>
      <c r="I6891" t="inlineStr">
        <is>
          <t>24², 120²</t>
        </is>
      </c>
      <c r="J6891" t="n">
        <v>4</v>
      </c>
      <c r="K6891" t="inlineStr">
        <is>
          <t>4⁴, 8⁴, 16², 32²</t>
        </is>
      </c>
      <c r="L6891" t="inlineStr">
        <is>
          <t>24E³, 60J⁹, 120D⁹, 120F⁹</t>
        </is>
      </c>
      <c r="M6891" t="inlineStr"/>
      <c r="N6891" t="inlineStr">
        <is>
          <t>12G¹, 60J⁹, 8A⁰, 5B⁰, 24B¹, 120D⁹, 1A⁰, 20B¹, 24E³, 15B⁰, 12A⁰, 24A¹, 120F⁹, 4A⁰, 40B³, 3C⁰, 60B³, 3A⁰, 15E¹</t>
        </is>
      </c>
      <c r="O6891" t="inlineStr"/>
    </row>
    <row r="6892">
      <c r="A6892">
        <f>HYPERLINK("https://mathstats.uncg.edu/sites/pauli/congruence/csg21.html#group120M21", "120M²¹")</f>
        <v/>
      </c>
      <c r="B6892" t="n">
        <v>21</v>
      </c>
      <c r="C6892" t="inlineStr"/>
      <c r="D6892" t="inlineStr">
        <is>
          <t>288</t>
        </is>
      </c>
      <c r="E6892" t="inlineStr">
        <is>
          <t>2</t>
        </is>
      </c>
      <c r="F6892" t="inlineStr">
        <is>
          <t>72</t>
        </is>
      </c>
      <c r="G6892" t="inlineStr">
        <is>
          <t>8</t>
        </is>
      </c>
      <c r="H6892" t="inlineStr">
        <is>
          <t>0</t>
        </is>
      </c>
      <c r="I6892" t="inlineStr">
        <is>
          <t>24², 120²</t>
        </is>
      </c>
      <c r="J6892" t="n">
        <v>4</v>
      </c>
      <c r="K6892" t="inlineStr">
        <is>
          <t>8¹², 32⁶</t>
        </is>
      </c>
      <c r="L6892" t="inlineStr">
        <is>
          <t>60I⁹, 120E⁹, 120F⁹</t>
        </is>
      </c>
      <c r="M6892" t="inlineStr"/>
      <c r="N6892" t="inlineStr">
        <is>
          <t>15B⁰, 12A⁰, 120F⁹, 4A⁰, 5B⁰, 120E⁹, 20B¹, 60B³, 24B¹, 3A⁰, 1A⁰, 60I⁹, 30C²</t>
        </is>
      </c>
      <c r="O6892" t="inlineStr"/>
    </row>
    <row r="6893">
      <c r="A6893">
        <f>HYPERLINK("https://mathstats.uncg.edu/sites/pauli/congruence/csg21.html#group120N21", "120N²¹")</f>
        <v/>
      </c>
      <c r="B6893" t="n">
        <v>21</v>
      </c>
      <c r="C6893" t="inlineStr"/>
      <c r="D6893" t="inlineStr">
        <is>
          <t>288</t>
        </is>
      </c>
      <c r="E6893" t="inlineStr">
        <is>
          <t>2</t>
        </is>
      </c>
      <c r="F6893" t="inlineStr">
        <is>
          <t>72</t>
        </is>
      </c>
      <c r="G6893" t="inlineStr">
        <is>
          <t>8</t>
        </is>
      </c>
      <c r="H6893" t="inlineStr">
        <is>
          <t>0</t>
        </is>
      </c>
      <c r="I6893" t="inlineStr">
        <is>
          <t>24², 120²</t>
        </is>
      </c>
      <c r="J6893" t="n">
        <v>4</v>
      </c>
      <c r="K6893" t="inlineStr">
        <is>
          <t>8¹², 32⁶</t>
        </is>
      </c>
      <c r="L6893" t="inlineStr">
        <is>
          <t>60I⁹, 120E⁹, 120F⁹</t>
        </is>
      </c>
      <c r="M6893" t="inlineStr"/>
      <c r="N6893" t="inlineStr">
        <is>
          <t>15B⁰, 12A⁰, 120F⁹, 4A⁰, 5B⁰, 120E⁹, 20B¹, 60B³, 24B¹, 3A⁰, 1A⁰, 60I⁹, 30C²</t>
        </is>
      </c>
      <c r="O6893" t="inlineStr"/>
    </row>
    <row r="6894">
      <c r="A6894">
        <f>HYPERLINK("https://mathstats.uncg.edu/sites/pauli/congruence/csg21.html#group120O21", "120O²¹")</f>
        <v/>
      </c>
      <c r="B6894" t="n">
        <v>21</v>
      </c>
      <c r="C6894" t="inlineStr"/>
      <c r="D6894" t="inlineStr">
        <is>
          <t>432</t>
        </is>
      </c>
      <c r="E6894" t="inlineStr">
        <is>
          <t>1</t>
        </is>
      </c>
      <c r="F6894" t="inlineStr">
        <is>
          <t>18</t>
        </is>
      </c>
      <c r="G6894" t="inlineStr">
        <is>
          <t>48</t>
        </is>
      </c>
      <c r="H6894" t="inlineStr">
        <is>
          <t>0</t>
        </is>
      </c>
      <c r="I6894" t="inlineStr">
        <is>
          <t>12², 24², 60², 120²</t>
        </is>
      </c>
      <c r="J6894" t="n">
        <v>8</v>
      </c>
      <c r="K6894" t="inlineStr">
        <is>
          <t>1⁶, 4³</t>
        </is>
      </c>
      <c r="L6894" t="inlineStr">
        <is>
          <t>40L⁵, 60M⁹, 120A¹¹, 120B¹¹</t>
        </is>
      </c>
      <c r="M6894" t="inlineStr"/>
      <c r="N6894" t="inlineStr">
        <is>
          <t>30A⁰, 120A¹¹, 20E¹, 40D³, 10G⁰, 12C⁰, 4C⁰, 5B⁰, 8B⁰, 60C⁴, 2B⁰, 120B¹¹, 1A⁰, 10B⁰, 40C³, 20A⁰, 15B⁰, 30E², 20I¹, 60A⁵, 24A⁰, 60M⁹, 10C⁰, 30H⁴, 3A⁰, 40L⁵, 6D⁰</t>
        </is>
      </c>
      <c r="O6894" t="inlineStr"/>
    </row>
    <row r="6895">
      <c r="A6895">
        <f>HYPERLINK("https://mathstats.uncg.edu/sites/pauli/congruence/csg21.html#group126A21", "126A²¹")</f>
        <v/>
      </c>
      <c r="B6895" t="n">
        <v>21</v>
      </c>
      <c r="C6895" t="inlineStr"/>
      <c r="D6895" t="inlineStr">
        <is>
          <t>252</t>
        </is>
      </c>
      <c r="E6895" t="inlineStr">
        <is>
          <t>2</t>
        </is>
      </c>
      <c r="F6895" t="inlineStr">
        <is>
          <t>21</t>
        </is>
      </c>
      <c r="G6895" t="inlineStr">
        <is>
          <t>0</t>
        </is>
      </c>
      <c r="H6895" t="inlineStr">
        <is>
          <t>0</t>
        </is>
      </c>
      <c r="I6895" t="inlineStr">
        <is>
          <t>126²</t>
        </is>
      </c>
      <c r="J6895" t="n">
        <v>2</v>
      </c>
      <c r="K6895" t="inlineStr">
        <is>
          <t>2¹, 4¹, 6², 12²</t>
        </is>
      </c>
      <c r="L6895" t="inlineStr">
        <is>
          <t>18A³, 63E⁶, 42C⁷, 126A⁸, 126A¹¹</t>
        </is>
      </c>
      <c r="M6895" t="inlineStr"/>
      <c r="N6895" t="inlineStr">
        <is>
          <t>2A⁰, 21D², 6B⁰, 3A⁰, 42B¹, 14A¹, 18A³, 63E⁶, 21A⁰, 18A², 42A⁴, 1A⁰, 126A⁸, 63A², 9D⁰, 6B¹, 9A⁰, 3C⁰, 6A¹, 126A¹¹, 42C⁷, 18A¹, 7A⁰</t>
        </is>
      </c>
      <c r="O6895" t="inlineStr"/>
    </row>
    <row r="6896">
      <c r="A6896">
        <f>HYPERLINK("https://mathstats.uncg.edu/sites/pauli/congruence/csg21.html#group126B21", "126B²¹")</f>
        <v/>
      </c>
      <c r="B6896" t="n">
        <v>21</v>
      </c>
      <c r="C6896" t="inlineStr"/>
      <c r="D6896" t="inlineStr">
        <is>
          <t>252</t>
        </is>
      </c>
      <c r="E6896" t="inlineStr">
        <is>
          <t>2</t>
        </is>
      </c>
      <c r="F6896" t="inlineStr">
        <is>
          <t>42</t>
        </is>
      </c>
      <c r="G6896" t="inlineStr">
        <is>
          <t>0</t>
        </is>
      </c>
      <c r="H6896" t="inlineStr">
        <is>
          <t>0</t>
        </is>
      </c>
      <c r="I6896" t="inlineStr">
        <is>
          <t>126²</t>
        </is>
      </c>
      <c r="J6896" t="n">
        <v>2</v>
      </c>
      <c r="K6896" t="inlineStr">
        <is>
          <t>4³, 12⁶</t>
        </is>
      </c>
      <c r="L6896" t="inlineStr">
        <is>
          <t>18B³, 42C⁷, 126D⁸</t>
        </is>
      </c>
      <c r="M6896" t="inlineStr"/>
      <c r="N6896" t="inlineStr">
        <is>
          <t>2A⁰, 21D², 6B⁰, 3A⁰, 14A¹, 21A⁰, 18B¹, 42A⁴, 1A⁰, 6B¹, 18B³, 3C⁰, 6A¹, 42B¹, 42C⁷, 126D⁸, 7A⁰</t>
        </is>
      </c>
      <c r="O6896" t="inlineStr"/>
    </row>
    <row r="6897">
      <c r="A6897">
        <f>HYPERLINK("https://mathstats.uncg.edu/sites/pauli/congruence/csg21.html#group126C21", "126C²¹")</f>
        <v/>
      </c>
      <c r="B6897" t="n">
        <v>21</v>
      </c>
      <c r="C6897" t="inlineStr"/>
      <c r="D6897" t="inlineStr">
        <is>
          <t>252</t>
        </is>
      </c>
      <c r="E6897" t="inlineStr">
        <is>
          <t>2</t>
        </is>
      </c>
      <c r="F6897" t="inlineStr">
        <is>
          <t>63</t>
        </is>
      </c>
      <c r="G6897" t="inlineStr">
        <is>
          <t>0</t>
        </is>
      </c>
      <c r="H6897" t="inlineStr">
        <is>
          <t>0</t>
        </is>
      </c>
      <c r="I6897" t="inlineStr">
        <is>
          <t>126²</t>
        </is>
      </c>
      <c r="J6897" t="n">
        <v>2</v>
      </c>
      <c r="K6897" t="inlineStr">
        <is>
          <t>2¹, 4¹, 6², 12³, 36²</t>
        </is>
      </c>
      <c r="L6897" t="inlineStr">
        <is>
          <t>126A⁶, 42A⁷, 63A⁸, 126A¹¹</t>
        </is>
      </c>
      <c r="M6897" t="inlineStr"/>
      <c r="N6897" t="inlineStr">
        <is>
          <t>2A⁰, 14A⁰, 42A¹, 14A¹, 21C², 21A⁰, 42A⁴, 18A², 1A⁰, 14D¹, 63A², 63A⁸, 126A⁶, 9A⁰, 42A⁷, 7C⁰, 6A¹, 126A¹¹, 3A⁰, 7A⁰</t>
        </is>
      </c>
      <c r="O6897" t="inlineStr"/>
    </row>
    <row r="6898">
      <c r="A6898">
        <f>HYPERLINK("https://mathstats.uncg.edu/sites/pauli/congruence/csg21.html#group126D21", "126D²¹")</f>
        <v/>
      </c>
      <c r="B6898" t="n">
        <v>21</v>
      </c>
      <c r="C6898" t="inlineStr"/>
      <c r="D6898" t="inlineStr">
        <is>
          <t>252</t>
        </is>
      </c>
      <c r="E6898" t="inlineStr">
        <is>
          <t>2</t>
        </is>
      </c>
      <c r="F6898" t="inlineStr">
        <is>
          <t>63</t>
        </is>
      </c>
      <c r="G6898" t="inlineStr">
        <is>
          <t>0</t>
        </is>
      </c>
      <c r="H6898" t="inlineStr">
        <is>
          <t>0</t>
        </is>
      </c>
      <c r="I6898" t="inlineStr">
        <is>
          <t>126²</t>
        </is>
      </c>
      <c r="J6898" t="n">
        <v>2</v>
      </c>
      <c r="K6898" t="inlineStr">
        <is>
          <t>2¹, 4¹, 6², 12³, 36²</t>
        </is>
      </c>
      <c r="L6898" t="inlineStr">
        <is>
          <t>42B⁷, 63D⁷, 126A⁷, 126A¹¹</t>
        </is>
      </c>
      <c r="M6898" t="inlineStr"/>
      <c r="N6898" t="inlineStr">
        <is>
          <t>2A⁰, 126A⁷, 21D¹, 14A¹, 21A⁰, 42B⁷, 42A⁴, 18A², 1A⁰, 63A², 42A², 9A⁰, 6A¹, 126A¹¹, 3A⁰, 63D⁷, 7A⁰</t>
        </is>
      </c>
      <c r="O6898" t="inlineStr"/>
    </row>
    <row r="6899">
      <c r="A6899">
        <f>HYPERLINK("https://mathstats.uncg.edu/sites/pauli/congruence/csg21.html#group126E21", "126E²¹")</f>
        <v/>
      </c>
      <c r="B6899" t="n">
        <v>21</v>
      </c>
      <c r="C6899" t="inlineStr"/>
      <c r="D6899" t="inlineStr">
        <is>
          <t>252</t>
        </is>
      </c>
      <c r="E6899" t="inlineStr">
        <is>
          <t>2</t>
        </is>
      </c>
      <c r="F6899" t="inlineStr">
        <is>
          <t>63</t>
        </is>
      </c>
      <c r="G6899" t="inlineStr">
        <is>
          <t>0</t>
        </is>
      </c>
      <c r="H6899" t="inlineStr">
        <is>
          <t>0</t>
        </is>
      </c>
      <c r="I6899" t="inlineStr">
        <is>
          <t>126²</t>
        </is>
      </c>
      <c r="J6899" t="n">
        <v>2</v>
      </c>
      <c r="K6899" t="inlineStr">
        <is>
          <t>4³, 12⁸, 36⁴</t>
        </is>
      </c>
      <c r="L6899" t="inlineStr">
        <is>
          <t>63F⁶, 42B⁷, 126C⁸, 126A¹¹</t>
        </is>
      </c>
      <c r="M6899" t="inlineStr"/>
      <c r="N6899" t="inlineStr">
        <is>
          <t>2A⁰, 63F⁶, 21D¹, 14A¹, 21A⁰, 42B⁷, 42A⁴, 18A², 1A⁰, 63A², 126C⁸, 42A², 9A⁰, 6A¹, 126A¹¹, 3A⁰, 7A⁰</t>
        </is>
      </c>
      <c r="O6899" t="inlineStr"/>
    </row>
    <row r="6900">
      <c r="A6900">
        <f>HYPERLINK("https://mathstats.uncg.edu/sites/pauli/congruence/csg21.html#group126F21", "126F²¹")</f>
        <v/>
      </c>
      <c r="B6900" t="n">
        <v>21</v>
      </c>
      <c r="C6900" t="inlineStr"/>
      <c r="D6900" t="inlineStr">
        <is>
          <t>252</t>
        </is>
      </c>
      <c r="E6900" t="inlineStr">
        <is>
          <t>2</t>
        </is>
      </c>
      <c r="F6900" t="inlineStr">
        <is>
          <t>63</t>
        </is>
      </c>
      <c r="G6900" t="inlineStr">
        <is>
          <t>0</t>
        </is>
      </c>
      <c r="H6900" t="inlineStr">
        <is>
          <t>0</t>
        </is>
      </c>
      <c r="I6900" t="inlineStr">
        <is>
          <t>126²</t>
        </is>
      </c>
      <c r="J6900" t="n">
        <v>2</v>
      </c>
      <c r="K6900" t="inlineStr">
        <is>
          <t>4³, 12⁸, 36⁴</t>
        </is>
      </c>
      <c r="L6900" t="inlineStr">
        <is>
          <t>63G⁶, 42B⁷, 126B⁸, 126A¹¹</t>
        </is>
      </c>
      <c r="M6900" t="inlineStr"/>
      <c r="N6900" t="inlineStr">
        <is>
          <t>2A⁰, 21D¹, 14A¹, 21A⁰, 63G⁶, 42B⁷, 42A⁴, 18A², 1A⁰, 63A², 42A², 9A⁰, 6A¹, 126A¹¹, 3A⁰, 126B⁸, 7A⁰</t>
        </is>
      </c>
      <c r="O6900" t="inlineStr"/>
    </row>
    <row r="6901">
      <c r="A6901">
        <f>HYPERLINK("https://mathstats.uncg.edu/sites/pauli/congruence/csg21.html#group126G21", "126G²¹")</f>
        <v/>
      </c>
      <c r="B6901" t="n">
        <v>21</v>
      </c>
      <c r="C6901" t="inlineStr"/>
      <c r="D6901" t="inlineStr">
        <is>
          <t>252</t>
        </is>
      </c>
      <c r="E6901" t="inlineStr">
        <is>
          <t>2</t>
        </is>
      </c>
      <c r="F6901" t="inlineStr">
        <is>
          <t>63</t>
        </is>
      </c>
      <c r="G6901" t="inlineStr">
        <is>
          <t>0</t>
        </is>
      </c>
      <c r="H6901" t="inlineStr">
        <is>
          <t>0</t>
        </is>
      </c>
      <c r="I6901" t="inlineStr">
        <is>
          <t>126²</t>
        </is>
      </c>
      <c r="J6901" t="n">
        <v>2</v>
      </c>
      <c r="K6901" t="inlineStr">
        <is>
          <t>4³, 12⁸, 36⁴</t>
        </is>
      </c>
      <c r="L6901" t="inlineStr">
        <is>
          <t>18C³, 126A⁵, 42C⁷, 63B⁹, 126A¹¹</t>
        </is>
      </c>
      <c r="M6901" t="inlineStr"/>
      <c r="N6901" t="inlineStr">
        <is>
          <t>2A⁰, 21D², 6B⁰, 3A⁰, 42B¹, 14A¹, 21A⁰, 18A², 42A⁴, 126A⁵, 63B⁹, 1A⁰, 9B¹, 18A⁰, 63A², 6B¹, 9A⁰, 18C³, 3C⁰, 6A¹, 126A¹¹, 42C⁷, 7A⁰</t>
        </is>
      </c>
      <c r="O6901" t="inlineStr"/>
    </row>
    <row r="6902">
      <c r="A6902">
        <f>HYPERLINK("https://mathstats.uncg.edu/sites/pauli/congruence/csg21.html#group126H21", "126H²¹")</f>
        <v/>
      </c>
      <c r="B6902" t="n">
        <v>21</v>
      </c>
      <c r="C6902" t="inlineStr"/>
      <c r="D6902" t="inlineStr">
        <is>
          <t>252</t>
        </is>
      </c>
      <c r="E6902" t="inlineStr">
        <is>
          <t>2</t>
        </is>
      </c>
      <c r="F6902" t="inlineStr">
        <is>
          <t>63</t>
        </is>
      </c>
      <c r="G6902" t="inlineStr">
        <is>
          <t>0</t>
        </is>
      </c>
      <c r="H6902" t="inlineStr">
        <is>
          <t>0</t>
        </is>
      </c>
      <c r="I6902" t="inlineStr">
        <is>
          <t>126²</t>
        </is>
      </c>
      <c r="J6902" t="n">
        <v>2</v>
      </c>
      <c r="K6902" t="inlineStr">
        <is>
          <t>4³, 12⁸, 36⁴</t>
        </is>
      </c>
      <c r="L6902" t="inlineStr">
        <is>
          <t>18C³, 126B⁵, 42C⁷, 63A⁹, 126A¹¹</t>
        </is>
      </c>
      <c r="M6902" t="inlineStr"/>
      <c r="N6902" t="inlineStr">
        <is>
          <t>2A⁰, 63A⁹, 21D², 6B⁰, 42B¹, 14A¹, 21A⁰, 18A², 42A⁴, 1A⁰, 9B¹, 18A⁰, 63A², 42C⁷, 6B¹, 9A⁰, 18C³, 126B⁵, 3C⁰, 6A¹, 126A¹¹, 3A⁰, 7A⁰</t>
        </is>
      </c>
      <c r="O6902" t="inlineStr"/>
    </row>
    <row r="6903">
      <c r="A6903">
        <f>HYPERLINK("https://mathstats.uncg.edu/sites/pauli/congruence/csg21.html#group126I21", "126I²¹")</f>
        <v/>
      </c>
      <c r="B6903" t="n">
        <v>21</v>
      </c>
      <c r="C6903" t="inlineStr"/>
      <c r="D6903" t="inlineStr">
        <is>
          <t>252</t>
        </is>
      </c>
      <c r="E6903" t="inlineStr">
        <is>
          <t>2</t>
        </is>
      </c>
      <c r="F6903" t="inlineStr">
        <is>
          <t>126</t>
        </is>
      </c>
      <c r="G6903" t="inlineStr">
        <is>
          <t>0</t>
        </is>
      </c>
      <c r="H6903" t="inlineStr">
        <is>
          <t>0</t>
        </is>
      </c>
      <c r="I6903" t="inlineStr">
        <is>
          <t>126²</t>
        </is>
      </c>
      <c r="J6903" t="n">
        <v>2</v>
      </c>
      <c r="K6903" t="inlineStr">
        <is>
          <t>12⁹, 36⁴</t>
        </is>
      </c>
      <c r="L6903" t="inlineStr">
        <is>
          <t>42B⁷, 63E⁷</t>
        </is>
      </c>
      <c r="M6903" t="inlineStr"/>
      <c r="N6903" t="inlineStr">
        <is>
          <t>2A⁰, 42A², 21D¹, 14A¹, 21A⁰, 6A¹, 42B⁷, 42A⁴, 7A⁰, 3A⁰, 1A⁰, 63E⁷</t>
        </is>
      </c>
      <c r="O6903" t="inlineStr"/>
    </row>
    <row r="6904">
      <c r="A6904">
        <f>HYPERLINK("https://mathstats.uncg.edu/sites/pauli/congruence/csg21.html#group126J21", "126J²¹")</f>
        <v/>
      </c>
      <c r="B6904" t="n">
        <v>21</v>
      </c>
      <c r="C6904" t="inlineStr"/>
      <c r="D6904" t="inlineStr">
        <is>
          <t>288</t>
        </is>
      </c>
      <c r="E6904" t="inlineStr">
        <is>
          <t>1</t>
        </is>
      </c>
      <c r="F6904" t="inlineStr">
        <is>
          <t>96</t>
        </is>
      </c>
      <c r="G6904" t="inlineStr">
        <is>
          <t>0</t>
        </is>
      </c>
      <c r="H6904" t="inlineStr">
        <is>
          <t>0</t>
        </is>
      </c>
      <c r="I6904" t="inlineStr">
        <is>
          <t>3¹, 6¹, 9¹, 18¹, 21¹, 42¹, 63¹, 126¹</t>
        </is>
      </c>
      <c r="J6904" t="n">
        <v>8</v>
      </c>
      <c r="K6904" t="inlineStr">
        <is>
          <t>1¹², 2⁶, 6⁶, 12³</t>
        </is>
      </c>
      <c r="L6904" t="inlineStr">
        <is>
          <t>18D², 42G⁵, 63B⁵</t>
        </is>
      </c>
      <c r="M6904" t="inlineStr"/>
      <c r="N6904" t="inlineStr">
        <is>
          <t>3B⁰, 21B¹, 7B⁰, 14C¹, 18D², 1A⁰, 63B⁵, 2B⁰, 9C⁰, 42G⁵, 6F⁰</t>
        </is>
      </c>
      <c r="O6904" t="inlineStr"/>
    </row>
    <row r="6905">
      <c r="A6905">
        <f>HYPERLINK("https://mathstats.uncg.edu/sites/pauli/congruence/csg21.html#group126K21", "126K²¹")</f>
        <v/>
      </c>
      <c r="B6905" t="n">
        <v>21</v>
      </c>
      <c r="C6905" t="inlineStr"/>
      <c r="D6905" t="inlineStr">
        <is>
          <t>288</t>
        </is>
      </c>
      <c r="E6905" t="inlineStr">
        <is>
          <t>1</t>
        </is>
      </c>
      <c r="F6905" t="inlineStr">
        <is>
          <t>96</t>
        </is>
      </c>
      <c r="G6905" t="inlineStr">
        <is>
          <t>0</t>
        </is>
      </c>
      <c r="H6905" t="inlineStr">
        <is>
          <t>0</t>
        </is>
      </c>
      <c r="I6905" t="inlineStr">
        <is>
          <t>3¹, 6¹, 9¹, 18¹, 21¹, 42¹, 63¹, 126¹</t>
        </is>
      </c>
      <c r="J6905" t="n">
        <v>8</v>
      </c>
      <c r="K6905" t="inlineStr">
        <is>
          <t>1¹², 2⁶, 6⁶, 12³</t>
        </is>
      </c>
      <c r="L6905" t="inlineStr">
        <is>
          <t>18E², 42G⁵, 63B⁷</t>
        </is>
      </c>
      <c r="M6905" t="inlineStr"/>
      <c r="N6905" t="inlineStr">
        <is>
          <t>3B⁰, 21B¹, 7B⁰, 9A¹, 18E², 14C¹, 1A⁰, 63B⁷, 2B⁰, 42G⁵, 6F⁰</t>
        </is>
      </c>
      <c r="O6905" t="inlineStr"/>
    </row>
    <row r="6906">
      <c r="A6906">
        <f>HYPERLINK("https://mathstats.uncg.edu/sites/pauli/congruence/csg21.html#group126L21", "126L²¹")</f>
        <v/>
      </c>
      <c r="B6906" t="n">
        <v>21</v>
      </c>
      <c r="C6906" t="inlineStr"/>
      <c r="D6906" t="inlineStr">
        <is>
          <t>288</t>
        </is>
      </c>
      <c r="E6906" t="inlineStr">
        <is>
          <t>1</t>
        </is>
      </c>
      <c r="F6906" t="inlineStr">
        <is>
          <t>144</t>
        </is>
      </c>
      <c r="G6906" t="inlineStr">
        <is>
          <t>0</t>
        </is>
      </c>
      <c r="H6906" t="inlineStr">
        <is>
          <t>0</t>
        </is>
      </c>
      <c r="I6906" t="inlineStr">
        <is>
          <t>6³, 18¹, 42³, 126¹</t>
        </is>
      </c>
      <c r="J6906" t="n">
        <v>8</v>
      </c>
      <c r="K6906" t="inlineStr">
        <is>
          <t>1², 2², 3², 6⁵, 12¹, 18¹, 36²</t>
        </is>
      </c>
      <c r="L6906" t="inlineStr">
        <is>
          <t>18F¹, 42D⁷, 63C⁹</t>
        </is>
      </c>
      <c r="M6906" t="inlineStr"/>
      <c r="N6906" t="inlineStr">
        <is>
          <t>42D⁷, 6B⁰, 3A⁰, 21A², 6E⁰, 7B⁰, 3C⁰, 42C⁴, 18F¹, 9E⁰, 63C⁹, 1A⁰, 21A³</t>
        </is>
      </c>
      <c r="O6906" t="inlineStr"/>
    </row>
    <row r="6907">
      <c r="A6907">
        <f>HYPERLINK("https://mathstats.uncg.edu/sites/pauli/congruence/csg21.html#group126M21", "126M²¹")</f>
        <v/>
      </c>
      <c r="B6907" t="n">
        <v>21</v>
      </c>
      <c r="C6907" t="inlineStr"/>
      <c r="D6907" t="inlineStr">
        <is>
          <t>288</t>
        </is>
      </c>
      <c r="E6907" t="inlineStr">
        <is>
          <t>1</t>
        </is>
      </c>
      <c r="F6907" t="inlineStr">
        <is>
          <t>144</t>
        </is>
      </c>
      <c r="G6907" t="inlineStr">
        <is>
          <t>0</t>
        </is>
      </c>
      <c r="H6907" t="inlineStr">
        <is>
          <t>0</t>
        </is>
      </c>
      <c r="I6907" t="inlineStr">
        <is>
          <t>6³, 18¹, 42³, 126¹</t>
        </is>
      </c>
      <c r="J6907" t="n">
        <v>8</v>
      </c>
      <c r="K6907" t="inlineStr">
        <is>
          <t>1², 2², 3², 6⁵, 12¹, 18¹, 36²</t>
        </is>
      </c>
      <c r="L6907" t="inlineStr">
        <is>
          <t>18F², 42E⁷, 63C⁹</t>
        </is>
      </c>
      <c r="M6907" t="inlineStr"/>
      <c r="N6907" t="inlineStr">
        <is>
          <t>42E⁷, 18F², 2A⁰, 6B⁰, 42C⁴, 63C⁹, 9E⁰, 1A⁰, 21A³, 21A², 42B⁴, 6B¹, 7B⁰, 14B⁰, 3C⁰, 6A¹, 3A⁰</t>
        </is>
      </c>
      <c r="O6907" t="inlineStr"/>
    </row>
    <row r="6908">
      <c r="A6908">
        <f>HYPERLINK("https://mathstats.uncg.edu/sites/pauli/congruence/csg21.html#group126N21", "126N²¹")</f>
        <v/>
      </c>
      <c r="B6908" t="n">
        <v>21</v>
      </c>
      <c r="C6908" t="inlineStr"/>
      <c r="D6908" t="inlineStr">
        <is>
          <t>288</t>
        </is>
      </c>
      <c r="E6908" t="inlineStr">
        <is>
          <t>1</t>
        </is>
      </c>
      <c r="F6908" t="inlineStr">
        <is>
          <t>288</t>
        </is>
      </c>
      <c r="G6908" t="inlineStr">
        <is>
          <t>0</t>
        </is>
      </c>
      <c r="H6908" t="inlineStr">
        <is>
          <t>0</t>
        </is>
      </c>
      <c r="I6908" t="inlineStr">
        <is>
          <t>6³, 18¹, 42³, 126¹</t>
        </is>
      </c>
      <c r="J6908" t="n">
        <v>8</v>
      </c>
      <c r="K6908" t="inlineStr">
        <is>
          <t>2⁶, 3⁴, 6⁸, 12³, 18², 36⁴</t>
        </is>
      </c>
      <c r="L6908" t="inlineStr">
        <is>
          <t>18G¹, 42D⁷</t>
        </is>
      </c>
      <c r="M6908" t="inlineStr"/>
      <c r="N6908" t="inlineStr">
        <is>
          <t>42D⁷, 6B⁰, 21A², 6E⁰, 7B⁰, 3C⁰, 18G¹, 42C⁴, 3A⁰, 1A⁰, 21A³</t>
        </is>
      </c>
      <c r="O6908" t="inlineStr"/>
    </row>
    <row r="6909">
      <c r="A6909">
        <f>HYPERLINK("https://mathstats.uncg.edu/sites/pauli/congruence/csg21.html#group126O21", "126O²¹")</f>
        <v/>
      </c>
      <c r="B6909" t="n">
        <v>21</v>
      </c>
      <c r="C6909" t="inlineStr"/>
      <c r="D6909" t="inlineStr">
        <is>
          <t>288</t>
        </is>
      </c>
      <c r="E6909" t="inlineStr">
        <is>
          <t>2</t>
        </is>
      </c>
      <c r="F6909" t="inlineStr">
        <is>
          <t>96</t>
        </is>
      </c>
      <c r="G6909" t="inlineStr">
        <is>
          <t>0</t>
        </is>
      </c>
      <c r="H6909" t="inlineStr">
        <is>
          <t>0</t>
        </is>
      </c>
      <c r="I6909" t="inlineStr">
        <is>
          <t>3¹, 6¹, 9¹, 18¹, 21¹, 42¹, 63¹, 126¹</t>
        </is>
      </c>
      <c r="J6909" t="n">
        <v>8</v>
      </c>
      <c r="K6909" t="inlineStr">
        <is>
          <t>2²⁴, 12¹²</t>
        </is>
      </c>
      <c r="L6909" t="inlineStr">
        <is>
          <t>42G⁵, 63D⁶</t>
        </is>
      </c>
      <c r="M6909" t="inlineStr"/>
      <c r="N6909" t="inlineStr">
        <is>
          <t>3B⁰, 21B¹, 7B⁰, 14C¹, 1A⁰, 2B⁰, 42G⁵, 6F⁰, 63D⁶</t>
        </is>
      </c>
      <c r="O6909" t="inlineStr"/>
    </row>
    <row r="6910">
      <c r="A6910">
        <f>HYPERLINK("https://mathstats.uncg.edu/sites/pauli/congruence/csg21.html#group126P21", "126P²¹")</f>
        <v/>
      </c>
      <c r="B6910" t="n">
        <v>21</v>
      </c>
      <c r="C6910" t="inlineStr"/>
      <c r="D6910" t="inlineStr">
        <is>
          <t>288</t>
        </is>
      </c>
      <c r="E6910" t="inlineStr">
        <is>
          <t>2</t>
        </is>
      </c>
      <c r="F6910" t="inlineStr">
        <is>
          <t>96</t>
        </is>
      </c>
      <c r="G6910" t="inlineStr">
        <is>
          <t>0</t>
        </is>
      </c>
      <c r="H6910" t="inlineStr">
        <is>
          <t>0</t>
        </is>
      </c>
      <c r="I6910" t="inlineStr">
        <is>
          <t>3¹, 6¹, 9¹, 18¹, 21¹, 42¹, 63¹, 126¹</t>
        </is>
      </c>
      <c r="J6910" t="n">
        <v>8</v>
      </c>
      <c r="K6910" t="inlineStr">
        <is>
          <t>2²⁴, 12¹²</t>
        </is>
      </c>
      <c r="L6910" t="inlineStr">
        <is>
          <t>42G⁵, 63C⁷</t>
        </is>
      </c>
      <c r="M6910" t="inlineStr"/>
      <c r="N6910" t="inlineStr">
        <is>
          <t>3B⁰, 63C⁷, 21B¹, 7B⁰, 14C¹, 1A⁰, 2B⁰, 42G⁵, 6F⁰</t>
        </is>
      </c>
      <c r="O6910" t="inlineStr"/>
    </row>
    <row r="6911">
      <c r="A6911">
        <f>HYPERLINK("https://mathstats.uncg.edu/sites/pauli/congruence/csg21.html#group126Q21", "126Q²¹")</f>
        <v/>
      </c>
      <c r="B6911" t="n">
        <v>21</v>
      </c>
      <c r="C6911" t="inlineStr"/>
      <c r="D6911" t="inlineStr">
        <is>
          <t>378</t>
        </is>
      </c>
      <c r="E6911" t="inlineStr">
        <is>
          <t>1</t>
        </is>
      </c>
      <c r="F6911" t="inlineStr">
        <is>
          <t>189</t>
        </is>
      </c>
      <c r="G6911" t="inlineStr">
        <is>
          <t>40</t>
        </is>
      </c>
      <c r="H6911" t="inlineStr">
        <is>
          <t>0</t>
        </is>
      </c>
      <c r="I6911" t="inlineStr">
        <is>
          <t>126³</t>
        </is>
      </c>
      <c r="J6911" t="n">
        <v>3</v>
      </c>
      <c r="K6911" t="inlineStr">
        <is>
          <t>3¹, 6⁴, 12³, 18¹, 36³</t>
        </is>
      </c>
      <c r="L6911" t="inlineStr">
        <is>
          <t>42I⁴, 63D⁹</t>
        </is>
      </c>
      <c r="M6911" t="inlineStr"/>
      <c r="N6911" t="inlineStr">
        <is>
          <t>42I⁴, 63D⁹, 7D⁰, 21E¹, 9A⁰, 63A², 21A⁰, 1A⁰, 3A⁰, 14E¹, 7A⁰</t>
        </is>
      </c>
      <c r="O6911" t="inlineStr"/>
    </row>
    <row r="6912">
      <c r="A6912">
        <f>HYPERLINK("https://mathstats.uncg.edu/sites/pauli/congruence/csg21.html#group126R21", "126R²¹")</f>
        <v/>
      </c>
      <c r="B6912" t="n">
        <v>21</v>
      </c>
      <c r="C6912" t="inlineStr"/>
      <c r="D6912" t="inlineStr">
        <is>
          <t>378</t>
        </is>
      </c>
      <c r="E6912" t="inlineStr">
        <is>
          <t>2</t>
        </is>
      </c>
      <c r="F6912" t="inlineStr">
        <is>
          <t>189</t>
        </is>
      </c>
      <c r="G6912" t="inlineStr">
        <is>
          <t>40</t>
        </is>
      </c>
      <c r="H6912" t="inlineStr">
        <is>
          <t>0</t>
        </is>
      </c>
      <c r="I6912" t="inlineStr">
        <is>
          <t>126³</t>
        </is>
      </c>
      <c r="J6912" t="n">
        <v>3</v>
      </c>
      <c r="K6912" t="inlineStr">
        <is>
          <t>6³, 12⁹, 18², 36⁶</t>
        </is>
      </c>
      <c r="L6912" t="inlineStr">
        <is>
          <t>42H⁵, 126A⁵, 126B⁵, 63D⁹</t>
        </is>
      </c>
      <c r="M6912" t="inlineStr"/>
      <c r="N6912" t="inlineStr">
        <is>
          <t>63D⁹, 6B⁰, 3A⁰, 7D⁰, 21E¹, 9A⁰, 42H⁵, 126B⁵, 21A⁰, 63A², 42B¹, 126A⁵, 1A⁰, 18A⁰, 7A⁰</t>
        </is>
      </c>
      <c r="O6912" t="inlineStr"/>
    </row>
    <row r="6913">
      <c r="A6913">
        <f>HYPERLINK("https://mathstats.uncg.edu/sites/pauli/congruence/csg21.html#group126S21", "126S²¹")</f>
        <v/>
      </c>
      <c r="B6913" t="n">
        <v>21</v>
      </c>
      <c r="C6913" t="inlineStr"/>
      <c r="D6913" t="inlineStr">
        <is>
          <t>384</t>
        </is>
      </c>
      <c r="E6913" t="inlineStr">
        <is>
          <t>1</t>
        </is>
      </c>
      <c r="F6913" t="inlineStr">
        <is>
          <t>32</t>
        </is>
      </c>
      <c r="G6913" t="inlineStr">
        <is>
          <t>0</t>
        </is>
      </c>
      <c r="H6913" t="inlineStr">
        <is>
          <t>24</t>
        </is>
      </c>
      <c r="I6913" t="inlineStr">
        <is>
          <t>6², 18², 42², 126²</t>
        </is>
      </c>
      <c r="J6913" t="n">
        <v>8</v>
      </c>
      <c r="K6913" t="inlineStr">
        <is>
          <t>1⁴, 2², 6², 12¹</t>
        </is>
      </c>
      <c r="L6913" t="inlineStr">
        <is>
          <t>42I⁵, 63F⁹, 126B¹¹, 126C¹¹</t>
        </is>
      </c>
      <c r="M6913" t="inlineStr"/>
      <c r="N6913" t="inlineStr">
        <is>
          <t>3B⁰, 42I⁵, 2A⁰, 63F⁹, 18B⁰, 6C⁰, 63B⁵, 42D³, 9C⁰, 1A⁰, 21F¹, 21B¹, 7B⁰, 42E³, 126B¹¹, 14B⁰, 126C¹¹</t>
        </is>
      </c>
      <c r="O6913" t="inlineStr"/>
    </row>
    <row r="6914">
      <c r="A6914">
        <f>HYPERLINK("https://mathstats.uncg.edu/sites/pauli/congruence/csg21.html#group126T21", "126T²¹")</f>
        <v/>
      </c>
      <c r="B6914" t="n">
        <v>21</v>
      </c>
      <c r="C6914" t="inlineStr"/>
      <c r="D6914" t="inlineStr">
        <is>
          <t>384</t>
        </is>
      </c>
      <c r="E6914" t="inlineStr">
        <is>
          <t>1</t>
        </is>
      </c>
      <c r="F6914" t="inlineStr">
        <is>
          <t>64</t>
        </is>
      </c>
      <c r="G6914" t="inlineStr">
        <is>
          <t>0</t>
        </is>
      </c>
      <c r="H6914" t="inlineStr">
        <is>
          <t>12</t>
        </is>
      </c>
      <c r="I6914" t="inlineStr">
        <is>
          <t>2⁶, 14⁶, 18², 126²</t>
        </is>
      </c>
      <c r="J6914" t="n">
        <v>16</v>
      </c>
      <c r="K6914" t="inlineStr">
        <is>
          <t>2⁸, 12⁴</t>
        </is>
      </c>
      <c r="L6914" t="inlineStr">
        <is>
          <t>42I⁵, 126D¹¹</t>
        </is>
      </c>
      <c r="M6914" t="inlineStr"/>
      <c r="N6914" t="inlineStr">
        <is>
          <t>3B⁰, 42I⁵, 2A⁰, 126D¹¹, 18C⁰, 21B¹, 7B⁰, 42E³, 6C⁰, 14B⁰, 42D³, 1A⁰, 21F¹</t>
        </is>
      </c>
      <c r="O6914" t="inlineStr"/>
    </row>
    <row r="6915">
      <c r="A6915">
        <f>HYPERLINK("https://mathstats.uncg.edu/sites/pauli/congruence/csg21.html#group126U21", "126U²¹")</f>
        <v/>
      </c>
      <c r="B6915" t="n">
        <v>21</v>
      </c>
      <c r="C6915" t="inlineStr"/>
      <c r="D6915" t="inlineStr">
        <is>
          <t>384</t>
        </is>
      </c>
      <c r="E6915" t="inlineStr">
        <is>
          <t>2</t>
        </is>
      </c>
      <c r="F6915" t="inlineStr">
        <is>
          <t>32</t>
        </is>
      </c>
      <c r="G6915" t="inlineStr">
        <is>
          <t>0</t>
        </is>
      </c>
      <c r="H6915" t="inlineStr">
        <is>
          <t>12</t>
        </is>
      </c>
      <c r="I6915" t="inlineStr">
        <is>
          <t>2⁶, 14⁶, 18², 126²</t>
        </is>
      </c>
      <c r="J6915" t="n">
        <v>16</v>
      </c>
      <c r="K6915" t="inlineStr">
        <is>
          <t>2⁸, 12⁴</t>
        </is>
      </c>
      <c r="L6915" t="inlineStr">
        <is>
          <t>42I⁵, 63F⁷, 126F¹¹, 126E¹¹</t>
        </is>
      </c>
      <c r="M6915" t="inlineStr"/>
      <c r="N6915" t="inlineStr">
        <is>
          <t>3B⁰, 126F¹¹, 42I⁵, 2A⁰, 63F⁷, 6C⁰, 42D³, 1A⁰, 21F¹, 126E¹¹, 21B¹, 7B⁰, 42E³, 14B⁰, 63A⁴</t>
        </is>
      </c>
      <c r="O6915" t="inlineStr"/>
    </row>
    <row r="6916">
      <c r="A6916">
        <f>HYPERLINK("https://mathstats.uncg.edu/sites/pauli/congruence/csg21.html#group128A21", "128A²¹")</f>
        <v/>
      </c>
      <c r="B6916" t="n">
        <v>21</v>
      </c>
      <c r="C6916" t="inlineStr"/>
      <c r="D6916" t="inlineStr">
        <is>
          <t>384</t>
        </is>
      </c>
      <c r="E6916" t="inlineStr">
        <is>
          <t>1</t>
        </is>
      </c>
      <c r="F6916" t="inlineStr">
        <is>
          <t>12</t>
        </is>
      </c>
      <c r="G6916" t="inlineStr">
        <is>
          <t>0</t>
        </is>
      </c>
      <c r="H6916" t="inlineStr">
        <is>
          <t>0</t>
        </is>
      </c>
      <c r="I6916" t="inlineStr">
        <is>
          <t>2¹⁶, 8⁴, 32², 128²</t>
        </is>
      </c>
      <c r="J6916" t="n">
        <v>24</v>
      </c>
      <c r="K6916" t="inlineStr">
        <is>
          <t>1⁴, 2², 4¹</t>
        </is>
      </c>
      <c r="L6916" t="inlineStr">
        <is>
          <t>64C⁵, 128A¹¹</t>
        </is>
      </c>
      <c r="M6916" t="inlineStr"/>
      <c r="N6916" t="inlineStr">
        <is>
          <t>32A¹, 32E¹, 16C⁰, 16D⁰, 32A⁰, 64C⁵, 64B³, 1A⁰, 8C⁰, 2B⁰, 8I⁰, 64A³, 4B⁰, 128A¹¹, 16H⁰</t>
        </is>
      </c>
      <c r="O6916" t="inlineStr"/>
    </row>
    <row r="6917">
      <c r="A6917">
        <f>HYPERLINK("https://mathstats.uncg.edu/sites/pauli/congruence/csg21.html#group128B21", "128B²¹")</f>
        <v/>
      </c>
      <c r="B6917" t="n">
        <v>21</v>
      </c>
      <c r="C6917" t="inlineStr"/>
      <c r="D6917" t="inlineStr">
        <is>
          <t>384</t>
        </is>
      </c>
      <c r="E6917" t="inlineStr">
        <is>
          <t>1</t>
        </is>
      </c>
      <c r="F6917" t="inlineStr">
        <is>
          <t>12</t>
        </is>
      </c>
      <c r="G6917" t="inlineStr">
        <is>
          <t>0</t>
        </is>
      </c>
      <c r="H6917" t="inlineStr">
        <is>
          <t>0</t>
        </is>
      </c>
      <c r="I6917" t="inlineStr">
        <is>
          <t>2¹⁶, 8⁴, 32², 128²</t>
        </is>
      </c>
      <c r="J6917" t="n">
        <v>24</v>
      </c>
      <c r="K6917" t="inlineStr">
        <is>
          <t>1⁴, 2², 4¹</t>
        </is>
      </c>
      <c r="L6917" t="inlineStr">
        <is>
          <t>64E⁹, 128A⁹</t>
        </is>
      </c>
      <c r="M6917" t="inlineStr"/>
      <c r="N6917" t="inlineStr">
        <is>
          <t>64A⁵, 32A¹, 64E⁹, 16C⁰, 16D⁰, 32M³, 128A⁹, 64B³, 8C⁰, 2B⁰, 32A², 8I⁰, 4B⁰, 1A⁰, 16H⁰</t>
        </is>
      </c>
      <c r="O6917" t="inlineStr"/>
    </row>
    <row r="6918">
      <c r="A6918">
        <f>HYPERLINK("https://mathstats.uncg.edu/sites/pauli/congruence/csg21.html#group128C21", "128C²¹")</f>
        <v/>
      </c>
      <c r="B6918" t="n">
        <v>21</v>
      </c>
      <c r="C6918" t="inlineStr"/>
      <c r="D6918" t="inlineStr">
        <is>
          <t>384</t>
        </is>
      </c>
      <c r="E6918" t="inlineStr">
        <is>
          <t>1</t>
        </is>
      </c>
      <c r="F6918" t="inlineStr">
        <is>
          <t>12</t>
        </is>
      </c>
      <c r="G6918" t="inlineStr">
        <is>
          <t>0</t>
        </is>
      </c>
      <c r="H6918" t="inlineStr">
        <is>
          <t>0</t>
        </is>
      </c>
      <c r="I6918" t="inlineStr">
        <is>
          <t>2¹⁶, 8⁴, 32², 128²</t>
        </is>
      </c>
      <c r="J6918" t="n">
        <v>24</v>
      </c>
      <c r="K6918" t="inlineStr">
        <is>
          <t>1⁴, 2², 4¹</t>
        </is>
      </c>
      <c r="L6918" t="inlineStr">
        <is>
          <t>64E⁹, 128B⁹</t>
        </is>
      </c>
      <c r="M6918" t="inlineStr"/>
      <c r="N6918" t="inlineStr">
        <is>
          <t>64A⁵, 32A¹, 64E⁹, 4B⁰, 16C⁰, 16D⁰, 32M³, 64B³, 8C⁰, 2B⁰, 32A², 8I⁰, 128B⁹, 1A⁰, 16H⁰</t>
        </is>
      </c>
      <c r="O6918" t="inlineStr"/>
    </row>
    <row r="6919">
      <c r="A6919">
        <f>HYPERLINK("https://mathstats.uncg.edu/sites/pauli/congruence/csg21.html#group128D21", "128D²¹")</f>
        <v/>
      </c>
      <c r="B6919" t="n">
        <v>21</v>
      </c>
      <c r="C6919" t="inlineStr"/>
      <c r="D6919" t="inlineStr">
        <is>
          <t>384</t>
        </is>
      </c>
      <c r="E6919" t="inlineStr">
        <is>
          <t>1</t>
        </is>
      </c>
      <c r="F6919" t="inlineStr">
        <is>
          <t>24</t>
        </is>
      </c>
      <c r="G6919" t="inlineStr">
        <is>
          <t>0</t>
        </is>
      </c>
      <c r="H6919" t="inlineStr">
        <is>
          <t>0</t>
        </is>
      </c>
      <c r="I6919" t="inlineStr">
        <is>
          <t>2¹⁶, 8⁴, 32², 128²</t>
        </is>
      </c>
      <c r="J6919" t="n">
        <v>24</v>
      </c>
      <c r="K6919" t="inlineStr">
        <is>
          <t>1⁴, 2², 4², 8¹</t>
        </is>
      </c>
      <c r="L6919" t="inlineStr">
        <is>
          <t>128A⁷, 64B⁹, 128A¹¹</t>
        </is>
      </c>
      <c r="M6919" t="inlineStr"/>
      <c r="N6919" t="inlineStr">
        <is>
          <t>2A⁰, 8D⁰, 16E¹, 4C⁰, 128A⁷, 16A¹, 8C⁰, 2B⁰, 4E⁰, 4B⁰, 1A⁰, 128A¹¹, 32J³, 32A¹, 8G⁰, 16C⁰, 64A³, 2C⁰, 64B⁹, 64A⁵</t>
        </is>
      </c>
      <c r="O6919" t="inlineStr"/>
    </row>
    <row r="6920">
      <c r="A6920">
        <f>HYPERLINK("https://mathstats.uncg.edu/sites/pauli/congruence/csg21.html#group128E21", "128E²¹")</f>
        <v/>
      </c>
      <c r="B6920" t="n">
        <v>21</v>
      </c>
      <c r="C6920" t="inlineStr"/>
      <c r="D6920" t="inlineStr">
        <is>
          <t>384</t>
        </is>
      </c>
      <c r="E6920" t="inlineStr">
        <is>
          <t>1</t>
        </is>
      </c>
      <c r="F6920" t="inlineStr">
        <is>
          <t>24</t>
        </is>
      </c>
      <c r="G6920" t="inlineStr">
        <is>
          <t>0</t>
        </is>
      </c>
      <c r="H6920" t="inlineStr">
        <is>
          <t>0</t>
        </is>
      </c>
      <c r="I6920" t="inlineStr">
        <is>
          <t>2¹⁶, 8⁴, 32², 128²</t>
        </is>
      </c>
      <c r="J6920" t="n">
        <v>24</v>
      </c>
      <c r="K6920" t="inlineStr">
        <is>
          <t>1⁴, 2², 4², 8¹</t>
        </is>
      </c>
      <c r="L6920" t="inlineStr">
        <is>
          <t>128A⁷, 64D⁹, 128A¹¹</t>
        </is>
      </c>
      <c r="M6920" t="inlineStr"/>
      <c r="N6920" t="inlineStr">
        <is>
          <t>64D⁹, 32M³, 128A⁷, 8C⁰, 2B⁰, 8I⁰, 4B⁰, 128A¹¹, 1A⁰, 16H⁰, 64B⁵, 32A¹, 16C⁰, 16D⁰, 32A², 64A³</t>
        </is>
      </c>
      <c r="O6920" t="inlineStr"/>
    </row>
    <row r="6921">
      <c r="A6921">
        <f>HYPERLINK("https://mathstats.uncg.edu/sites/pauli/congruence/csg21.html#group128F21", "128F²¹")</f>
        <v/>
      </c>
      <c r="B6921" t="n">
        <v>21</v>
      </c>
      <c r="C6921" t="inlineStr"/>
      <c r="D6921" t="inlineStr">
        <is>
          <t>384</t>
        </is>
      </c>
      <c r="E6921" t="inlineStr">
        <is>
          <t>1</t>
        </is>
      </c>
      <c r="F6921" t="inlineStr">
        <is>
          <t>24</t>
        </is>
      </c>
      <c r="G6921" t="inlineStr">
        <is>
          <t>0</t>
        </is>
      </c>
      <c r="H6921" t="inlineStr">
        <is>
          <t>0</t>
        </is>
      </c>
      <c r="I6921" t="inlineStr">
        <is>
          <t>2¹⁶, 8⁴, 32², 128²</t>
        </is>
      </c>
      <c r="J6921" t="n">
        <v>24</v>
      </c>
      <c r="K6921" t="inlineStr">
        <is>
          <t>1⁴, 2², 4², 8¹</t>
        </is>
      </c>
      <c r="L6921" t="inlineStr">
        <is>
          <t>64C⁹, 128A⁹, 128B⁹</t>
        </is>
      </c>
      <c r="M6921" t="inlineStr"/>
      <c r="N6921" t="inlineStr">
        <is>
          <t>64C⁹, 2A⁰, 8D⁰, 16E¹, 4C⁰, 64B³, 16A¹, 8C⁰, 2B⁰, 4E⁰, 128B⁹, 4B⁰, 1A⁰, 32J³, 64B⁵, 32A¹, 8G⁰, 16C⁰, 128A⁹, 2C⁰</t>
        </is>
      </c>
      <c r="O6921" t="inlineStr"/>
    </row>
    <row r="6922">
      <c r="A6922">
        <f>HYPERLINK("https://mathstats.uncg.edu/sites/pauli/congruence/csg21.html#group129A21", "129A²¹")</f>
        <v/>
      </c>
      <c r="B6922" t="n">
        <v>21</v>
      </c>
      <c r="C6922" t="inlineStr"/>
      <c r="D6922" t="inlineStr">
        <is>
          <t>264</t>
        </is>
      </c>
      <c r="E6922" t="inlineStr">
        <is>
          <t>1</t>
        </is>
      </c>
      <c r="F6922" t="inlineStr">
        <is>
          <t>132</t>
        </is>
      </c>
      <c r="G6922" t="inlineStr">
        <is>
          <t>0</t>
        </is>
      </c>
      <c r="H6922" t="inlineStr">
        <is>
          <t>0</t>
        </is>
      </c>
      <c r="I6922" t="inlineStr">
        <is>
          <t>3², 129²</t>
        </is>
      </c>
      <c r="J6922" t="n">
        <v>4</v>
      </c>
      <c r="K6922" t="inlineStr">
        <is>
          <t>1², 2², 42¹, 84¹</t>
        </is>
      </c>
      <c r="L6922" t="inlineStr">
        <is>
          <t>3C⁰, 129A¹¹</t>
        </is>
      </c>
      <c r="M6922" t="inlineStr"/>
      <c r="N6922" t="inlineStr">
        <is>
          <t>43A³, 3C⁰, 3A⁰, 1A⁰, 129A¹¹</t>
        </is>
      </c>
      <c r="O6922" t="inlineStr"/>
    </row>
    <row r="6923">
      <c r="A6923">
        <f>HYPERLINK("https://mathstats.uncg.edu/sites/pauli/congruence/csg21.html#group130A21", "130A²¹")</f>
        <v/>
      </c>
      <c r="B6923" t="n">
        <v>21</v>
      </c>
      <c r="C6923" t="inlineStr"/>
      <c r="D6923" t="inlineStr">
        <is>
          <t>280</t>
        </is>
      </c>
      <c r="E6923" t="inlineStr">
        <is>
          <t>1</t>
        </is>
      </c>
      <c r="F6923" t="inlineStr">
        <is>
          <t>140</t>
        </is>
      </c>
      <c r="G6923" t="inlineStr">
        <is>
          <t>0</t>
        </is>
      </c>
      <c r="H6923" t="inlineStr">
        <is>
          <t>4</t>
        </is>
      </c>
      <c r="I6923" t="inlineStr">
        <is>
          <t>10², 130²</t>
        </is>
      </c>
      <c r="J6923" t="n">
        <v>4</v>
      </c>
      <c r="K6923" t="inlineStr">
        <is>
          <t>2², 4⁴, 24¹, 48²</t>
        </is>
      </c>
      <c r="L6923" t="inlineStr">
        <is>
          <t>65A⁹</t>
        </is>
      </c>
      <c r="M6923" t="inlineStr"/>
      <c r="N6923" t="inlineStr">
        <is>
          <t>13A⁰, 5C⁰, 1A⁰, 65A⁹</t>
        </is>
      </c>
      <c r="O6923" t="inlineStr"/>
    </row>
    <row r="6924">
      <c r="A6924">
        <f>HYPERLINK("https://mathstats.uncg.edu/sites/pauli/congruence/csg21.html#group130B21", "130B²¹")</f>
        <v/>
      </c>
      <c r="B6924" t="n">
        <v>21</v>
      </c>
      <c r="C6924" t="inlineStr"/>
      <c r="D6924" t="inlineStr">
        <is>
          <t>280</t>
        </is>
      </c>
      <c r="E6924" t="inlineStr">
        <is>
          <t>1</t>
        </is>
      </c>
      <c r="F6924" t="inlineStr">
        <is>
          <t>140</t>
        </is>
      </c>
      <c r="G6924" t="inlineStr">
        <is>
          <t>0</t>
        </is>
      </c>
      <c r="H6924" t="inlineStr">
        <is>
          <t>4</t>
        </is>
      </c>
      <c r="I6924" t="inlineStr">
        <is>
          <t>10², 130²</t>
        </is>
      </c>
      <c r="J6924" t="n">
        <v>4</v>
      </c>
      <c r="K6924" t="inlineStr">
        <is>
          <t>2², 4⁴, 24¹, 48²</t>
        </is>
      </c>
      <c r="L6924" t="inlineStr">
        <is>
          <t>10C¹, 26A¹, 65A⁹</t>
        </is>
      </c>
      <c r="M6924" t="inlineStr"/>
      <c r="N6924" t="inlineStr">
        <is>
          <t>2A⁰, 26A¹, 5C⁰, 13A⁰, 10C¹, 65A⁹, 1A⁰</t>
        </is>
      </c>
      <c r="O6924" t="inlineStr"/>
    </row>
    <row r="6925">
      <c r="A6925">
        <f>HYPERLINK("https://mathstats.uncg.edu/sites/pauli/congruence/csg21.html#group130C21", "130C²¹")</f>
        <v/>
      </c>
      <c r="B6925" t="n">
        <v>21</v>
      </c>
      <c r="C6925" t="inlineStr"/>
      <c r="D6925" t="inlineStr">
        <is>
          <t>336</t>
        </is>
      </c>
      <c r="E6925" t="inlineStr">
        <is>
          <t>1</t>
        </is>
      </c>
      <c r="F6925" t="inlineStr">
        <is>
          <t>84</t>
        </is>
      </c>
      <c r="G6925" t="inlineStr">
        <is>
          <t>16</t>
        </is>
      </c>
      <c r="H6925" t="inlineStr">
        <is>
          <t>0</t>
        </is>
      </c>
      <c r="I6925" t="inlineStr">
        <is>
          <t>2², 10², 26², 130²</t>
        </is>
      </c>
      <c r="J6925" t="n">
        <v>8</v>
      </c>
      <c r="K6925" t="inlineStr">
        <is>
          <t>1⁴, 4², 12², 48¹</t>
        </is>
      </c>
      <c r="L6925" t="inlineStr">
        <is>
          <t>65B⁹, 130A¹¹, 130B¹¹</t>
        </is>
      </c>
      <c r="M6925" t="inlineStr"/>
      <c r="N6925" t="inlineStr">
        <is>
          <t>130A¹¹, 65B⁹, 5B⁰, 13A⁰, 26A⁰, 65A⁵, 10B⁰, 1A⁰, 130B¹¹</t>
        </is>
      </c>
      <c r="O6925" t="inlineStr"/>
    </row>
    <row r="6926">
      <c r="A6926">
        <f>HYPERLINK("https://mathstats.uncg.edu/sites/pauli/congruence/csg21.html#group132A21", "132A²¹")</f>
        <v/>
      </c>
      <c r="B6926" t="n">
        <v>21</v>
      </c>
      <c r="C6926" t="inlineStr"/>
      <c r="D6926" t="inlineStr">
        <is>
          <t>264</t>
        </is>
      </c>
      <c r="E6926" t="inlineStr">
        <is>
          <t>2</t>
        </is>
      </c>
      <c r="F6926" t="inlineStr">
        <is>
          <t>132</t>
        </is>
      </c>
      <c r="G6926" t="inlineStr">
        <is>
          <t>0</t>
        </is>
      </c>
      <c r="H6926" t="inlineStr">
        <is>
          <t>0</t>
        </is>
      </c>
      <c r="I6926" t="inlineStr">
        <is>
          <t>22¹, 44¹, 66¹, 132¹</t>
        </is>
      </c>
      <c r="J6926" t="n">
        <v>4</v>
      </c>
      <c r="K6926" t="inlineStr">
        <is>
          <t>2⁶, 4³, 10¹², 20⁶</t>
        </is>
      </c>
      <c r="L6926" t="inlineStr">
        <is>
          <t>12F¹, 44C⁴, 66A¹⁰</t>
        </is>
      </c>
      <c r="M6926" t="inlineStr"/>
      <c r="N6926" t="inlineStr">
        <is>
          <t>11A⁰, 3B⁰, 44C⁴, 12F¹, 33B³, 4C⁰, 6F⁰, 2B⁰, 22B², 1A⁰, 66A¹⁰</t>
        </is>
      </c>
      <c r="O6926" t="inlineStr"/>
    </row>
    <row r="6927">
      <c r="A6927">
        <f>HYPERLINK("https://mathstats.uncg.edu/sites/pauli/congruence/csg21.html#group132B21", "132B²¹")</f>
        <v/>
      </c>
      <c r="B6927" t="n">
        <v>21</v>
      </c>
      <c r="C6927" t="inlineStr"/>
      <c r="D6927" t="inlineStr">
        <is>
          <t>288</t>
        </is>
      </c>
      <c r="E6927" t="inlineStr">
        <is>
          <t>1</t>
        </is>
      </c>
      <c r="F6927" t="inlineStr">
        <is>
          <t>144</t>
        </is>
      </c>
      <c r="G6927" t="inlineStr">
        <is>
          <t>0</t>
        </is>
      </c>
      <c r="H6927" t="inlineStr">
        <is>
          <t>0</t>
        </is>
      </c>
      <c r="I6927" t="inlineStr">
        <is>
          <t>2¹, 4¹, 6¹, 12¹, 22¹, 44¹, 66¹, 132¹</t>
        </is>
      </c>
      <c r="J6927" t="n">
        <v>8</v>
      </c>
      <c r="K6927" t="inlineStr">
        <is>
          <t>1¹², 2⁶, 10⁶, 20³</t>
        </is>
      </c>
      <c r="L6927" t="inlineStr">
        <is>
          <t>66A⁹</t>
        </is>
      </c>
      <c r="M6927" t="inlineStr"/>
      <c r="N6927" t="inlineStr">
        <is>
          <t>3B⁰, 11A¹, 66A⁹, 1A⁰, 2B⁰, 22C², 6F⁰, 33C³</t>
        </is>
      </c>
      <c r="O6927" t="inlineStr"/>
    </row>
    <row r="6928">
      <c r="A6928">
        <f>HYPERLINK("https://mathstats.uncg.edu/sites/pauli/congruence/csg21.html#group132C21", "132C²¹")</f>
        <v/>
      </c>
      <c r="B6928" t="n">
        <v>21</v>
      </c>
      <c r="C6928" t="inlineStr"/>
      <c r="D6928" t="inlineStr">
        <is>
          <t>288</t>
        </is>
      </c>
      <c r="E6928" t="inlineStr">
        <is>
          <t>1</t>
        </is>
      </c>
      <c r="F6928" t="inlineStr">
        <is>
          <t>144</t>
        </is>
      </c>
      <c r="G6928" t="inlineStr">
        <is>
          <t>0</t>
        </is>
      </c>
      <c r="H6928" t="inlineStr">
        <is>
          <t>0</t>
        </is>
      </c>
      <c r="I6928" t="inlineStr">
        <is>
          <t>2¹, 4¹, 6¹, 12¹, 22¹, 44¹, 66¹, 132¹</t>
        </is>
      </c>
      <c r="J6928" t="n">
        <v>8</v>
      </c>
      <c r="K6928" t="inlineStr">
        <is>
          <t>1¹², 2⁶, 10⁶, 20³</t>
        </is>
      </c>
      <c r="L6928" t="inlineStr">
        <is>
          <t>12F¹, 44B⁵, 66A⁹</t>
        </is>
      </c>
      <c r="M6928" t="inlineStr"/>
      <c r="N6928" t="inlineStr">
        <is>
          <t>3B⁰, 12F¹, 66A⁹, 11A¹, 4C⁰, 6F⁰, 44B⁵, 2B⁰, 22C², 1A⁰, 33C³</t>
        </is>
      </c>
      <c r="O6928" t="inlineStr"/>
    </row>
    <row r="6929">
      <c r="A6929">
        <f>HYPERLINK("https://mathstats.uncg.edu/sites/pauli/congruence/csg21.html#group133A21", "133A²¹")</f>
        <v/>
      </c>
      <c r="B6929" t="n">
        <v>21</v>
      </c>
      <c r="C6929" t="inlineStr"/>
      <c r="D6929" t="inlineStr">
        <is>
          <t>280</t>
        </is>
      </c>
      <c r="E6929" t="inlineStr">
        <is>
          <t>2</t>
        </is>
      </c>
      <c r="F6929" t="inlineStr">
        <is>
          <t>140</t>
        </is>
      </c>
      <c r="G6929" t="inlineStr">
        <is>
          <t>0</t>
        </is>
      </c>
      <c r="H6929" t="inlineStr">
        <is>
          <t>4</t>
        </is>
      </c>
      <c r="I6929" t="inlineStr">
        <is>
          <t>7², 133²</t>
        </is>
      </c>
      <c r="J6929" t="n">
        <v>4</v>
      </c>
      <c r="K6929" t="inlineStr">
        <is>
          <t>2², 6⁴, 36¹, 108²</t>
        </is>
      </c>
      <c r="L6929" t="inlineStr">
        <is>
          <t>7C⁰, 133A¹¹</t>
        </is>
      </c>
      <c r="M6929" t="inlineStr"/>
      <c r="N6929" t="inlineStr">
        <is>
          <t>19A¹, 133A¹¹, 1A⁰, 7C⁰, 7A⁰</t>
        </is>
      </c>
      <c r="O6929" t="inlineStr"/>
    </row>
    <row r="6930">
      <c r="A6930">
        <f>HYPERLINK("https://mathstats.uncg.edu/sites/pauli/congruence/csg21.html#group133B21", "133B²¹")</f>
        <v/>
      </c>
      <c r="B6930" t="n">
        <v>21</v>
      </c>
      <c r="C6930" t="inlineStr"/>
      <c r="D6930" t="inlineStr">
        <is>
          <t>320</t>
        </is>
      </c>
      <c r="E6930" t="inlineStr">
        <is>
          <t>1</t>
        </is>
      </c>
      <c r="F6930" t="inlineStr">
        <is>
          <t>160</t>
        </is>
      </c>
      <c r="G6930" t="inlineStr">
        <is>
          <t>0</t>
        </is>
      </c>
      <c r="H6930" t="inlineStr">
        <is>
          <t>8</t>
        </is>
      </c>
      <c r="I6930" t="inlineStr">
        <is>
          <t>1², 7², 19², 133²</t>
        </is>
      </c>
      <c r="J6930" t="n">
        <v>8</v>
      </c>
      <c r="K6930" t="inlineStr">
        <is>
          <t>1⁴, 6², 18², 108¹</t>
        </is>
      </c>
      <c r="L6930" t="inlineStr">
        <is>
          <t>133B¹¹</t>
        </is>
      </c>
      <c r="M6930" t="inlineStr"/>
      <c r="N6930" t="inlineStr">
        <is>
          <t>19A¹, 1A⁰, 7B⁰, 133B¹¹</t>
        </is>
      </c>
      <c r="O6930" t="inlineStr"/>
    </row>
    <row r="6931">
      <c r="A6931">
        <f>HYPERLINK("https://mathstats.uncg.edu/sites/pauli/congruence/csg21.html#group135A21", "135A²¹")</f>
        <v/>
      </c>
      <c r="B6931" t="n">
        <v>21</v>
      </c>
      <c r="C6931" t="inlineStr"/>
      <c r="D6931" t="inlineStr">
        <is>
          <t>432</t>
        </is>
      </c>
      <c r="E6931" t="inlineStr">
        <is>
          <t>1</t>
        </is>
      </c>
      <c r="F6931" t="inlineStr">
        <is>
          <t>72</t>
        </is>
      </c>
      <c r="G6931" t="inlineStr">
        <is>
          <t>0</t>
        </is>
      </c>
      <c r="H6931" t="inlineStr">
        <is>
          <t>0</t>
        </is>
      </c>
      <c r="I6931" t="inlineStr">
        <is>
          <t>1¹², 3², 5¹², 15², 27², 135²</t>
        </is>
      </c>
      <c r="J6931" t="n">
        <v>32</v>
      </c>
      <c r="K6931" t="inlineStr">
        <is>
          <t>1⁴, 2⁴, 4², 6², 8², 24¹</t>
        </is>
      </c>
      <c r="L6931" t="inlineStr">
        <is>
          <t>45H⁵, 135B¹¹</t>
        </is>
      </c>
      <c r="M6931" t="inlineStr"/>
      <c r="N6931" t="inlineStr">
        <is>
          <t>135B¹¹, 3B⁰, 15C¹, 5B⁰, 27A⁰, 45H⁵, 45D³, 9B⁰, 15G¹, 5D⁰, 1A⁰</t>
        </is>
      </c>
      <c r="O6931" t="inlineStr"/>
    </row>
    <row r="6932">
      <c r="A6932">
        <f>HYPERLINK("https://mathstats.uncg.edu/sites/pauli/congruence/csg21.html#group136A21", "136A²¹")</f>
        <v/>
      </c>
      <c r="B6932" t="n">
        <v>21</v>
      </c>
      <c r="C6932" t="inlineStr"/>
      <c r="D6932" t="inlineStr">
        <is>
          <t>288</t>
        </is>
      </c>
      <c r="E6932" t="inlineStr">
        <is>
          <t>1</t>
        </is>
      </c>
      <c r="F6932" t="inlineStr">
        <is>
          <t>288</t>
        </is>
      </c>
      <c r="G6932" t="inlineStr">
        <is>
          <t>8</t>
        </is>
      </c>
      <c r="H6932" t="inlineStr">
        <is>
          <t>0</t>
        </is>
      </c>
      <c r="I6932" t="inlineStr">
        <is>
          <t>8², 136²</t>
        </is>
      </c>
      <c r="J6932" t="n">
        <v>4</v>
      </c>
      <c r="K6932" t="inlineStr">
        <is>
          <t>4⁸, 64⁴</t>
        </is>
      </c>
      <c r="L6932" t="inlineStr">
        <is>
          <t>8F⁰, 68A⁵</t>
        </is>
      </c>
      <c r="M6932" t="inlineStr"/>
      <c r="N6932" t="inlineStr">
        <is>
          <t>68A⁵, 17A¹, 8F⁰, 1A⁰, 4A⁰</t>
        </is>
      </c>
      <c r="O6932" t="inlineStr"/>
    </row>
    <row r="6933">
      <c r="A6933">
        <f>HYPERLINK("https://mathstats.uncg.edu/sites/pauli/congruence/csg21.html#group136B21", "136B²¹")</f>
        <v/>
      </c>
      <c r="B6933" t="n">
        <v>21</v>
      </c>
      <c r="C6933" t="inlineStr"/>
      <c r="D6933" t="inlineStr">
        <is>
          <t>288</t>
        </is>
      </c>
      <c r="E6933" t="inlineStr">
        <is>
          <t>2</t>
        </is>
      </c>
      <c r="F6933" t="inlineStr">
        <is>
          <t>72</t>
        </is>
      </c>
      <c r="G6933" t="inlineStr">
        <is>
          <t>8</t>
        </is>
      </c>
      <c r="H6933" t="inlineStr">
        <is>
          <t>0</t>
        </is>
      </c>
      <c r="I6933" t="inlineStr">
        <is>
          <t>8², 136²</t>
        </is>
      </c>
      <c r="J6933" t="n">
        <v>4</v>
      </c>
      <c r="K6933" t="inlineStr">
        <is>
          <t>4⁴, 64²</t>
        </is>
      </c>
      <c r="L6933" t="inlineStr">
        <is>
          <t>68A⁹</t>
        </is>
      </c>
      <c r="M6933" t="inlineStr"/>
      <c r="N6933" t="inlineStr">
        <is>
          <t>68A⁵, 17A¹, 1A⁰, 68A⁹, 4A⁰, 17B¹</t>
        </is>
      </c>
      <c r="O6933" t="inlineStr"/>
    </row>
    <row r="6934">
      <c r="A6934">
        <f>HYPERLINK("https://mathstats.uncg.edu/sites/pauli/congruence/csg21.html#group136C21", "136C²¹")</f>
        <v/>
      </c>
      <c r="B6934" t="n">
        <v>21</v>
      </c>
      <c r="C6934" t="inlineStr"/>
      <c r="D6934" t="inlineStr">
        <is>
          <t>288</t>
        </is>
      </c>
      <c r="E6934" t="inlineStr">
        <is>
          <t>2</t>
        </is>
      </c>
      <c r="F6934" t="inlineStr">
        <is>
          <t>72</t>
        </is>
      </c>
      <c r="G6934" t="inlineStr">
        <is>
          <t>8</t>
        </is>
      </c>
      <c r="H6934" t="inlineStr">
        <is>
          <t>0</t>
        </is>
      </c>
      <c r="I6934" t="inlineStr">
        <is>
          <t>8², 136²</t>
        </is>
      </c>
      <c r="J6934" t="n">
        <v>4</v>
      </c>
      <c r="K6934" t="inlineStr">
        <is>
          <t>4⁴, 64²</t>
        </is>
      </c>
      <c r="L6934" t="inlineStr">
        <is>
          <t>68A⁹, 136A¹¹, 136B¹¹</t>
        </is>
      </c>
      <c r="M6934" t="inlineStr"/>
      <c r="N6934" t="inlineStr">
        <is>
          <t>136A¹¹, 4A⁰, 17B¹, 68A⁵, 8A⁰, 17A¹, 136B¹¹, 68A⁹, 1A⁰</t>
        </is>
      </c>
      <c r="O6934" t="inlineStr"/>
    </row>
    <row r="6935">
      <c r="A6935">
        <f>HYPERLINK("https://mathstats.uncg.edu/sites/pauli/congruence/csg21.html#group137A21", "137A²¹")</f>
        <v/>
      </c>
      <c r="B6935" t="n">
        <v>21</v>
      </c>
      <c r="C6935" t="inlineStr"/>
      <c r="D6935" t="inlineStr">
        <is>
          <t>276</t>
        </is>
      </c>
      <c r="E6935" t="inlineStr">
        <is>
          <t>1</t>
        </is>
      </c>
      <c r="F6935" t="inlineStr">
        <is>
          <t>138</t>
        </is>
      </c>
      <c r="G6935" t="inlineStr">
        <is>
          <t>4</t>
        </is>
      </c>
      <c r="H6935" t="inlineStr">
        <is>
          <t>0</t>
        </is>
      </c>
      <c r="I6935" t="inlineStr">
        <is>
          <t>1², 137²</t>
        </is>
      </c>
      <c r="J6935" t="n">
        <v>4</v>
      </c>
      <c r="K6935" t="inlineStr">
        <is>
          <t>1², 136¹</t>
        </is>
      </c>
      <c r="L6935" t="inlineStr">
        <is>
          <t>137A¹¹</t>
        </is>
      </c>
      <c r="M6935" t="inlineStr"/>
      <c r="N6935" t="inlineStr">
        <is>
          <t>137A¹¹, 1A⁰</t>
        </is>
      </c>
      <c r="O6935" t="inlineStr"/>
    </row>
    <row r="6936">
      <c r="A6936">
        <f>HYPERLINK("https://mathstats.uncg.edu/sites/pauli/congruence/csg21.html#group138A21", "138A²¹")</f>
        <v/>
      </c>
      <c r="B6936" t="n">
        <v>21</v>
      </c>
      <c r="C6936" t="inlineStr">
        <is>
          <t>Γ₀(138)</t>
        </is>
      </c>
      <c r="D6936" t="inlineStr">
        <is>
          <t>288</t>
        </is>
      </c>
      <c r="E6936" t="inlineStr">
        <is>
          <t>1</t>
        </is>
      </c>
      <c r="F6936" t="inlineStr">
        <is>
          <t>288</t>
        </is>
      </c>
      <c r="G6936" t="inlineStr">
        <is>
          <t>0</t>
        </is>
      </c>
      <c r="H6936" t="inlineStr">
        <is>
          <t>0</t>
        </is>
      </c>
      <c r="I6936" t="inlineStr">
        <is>
          <t>1¹, 2¹, 3¹, 6¹, 23¹, 46¹, 69¹, 138¹</t>
        </is>
      </c>
      <c r="J6936" t="n">
        <v>8</v>
      </c>
      <c r="K6936" t="inlineStr">
        <is>
          <t>1¹², 2⁶, 22⁶, 44³</t>
        </is>
      </c>
      <c r="L6936" t="inlineStr">
        <is>
          <t>6F⁰, 46A⁵, 69A⁷</t>
        </is>
      </c>
      <c r="M6936" t="inlineStr"/>
      <c r="N6936" t="inlineStr">
        <is>
          <t>3B⁰, 46A⁵, 6F⁰, 69A⁷, 23A², 2B⁰, 1A⁰</t>
        </is>
      </c>
      <c r="O6936" t="inlineStr"/>
    </row>
    <row r="6937">
      <c r="A6937">
        <f>HYPERLINK("https://mathstats.uncg.edu/sites/pauli/congruence/csg21.html#group140A21", "140A²¹")</f>
        <v/>
      </c>
      <c r="B6937" t="n">
        <v>21</v>
      </c>
      <c r="C6937" t="inlineStr"/>
      <c r="D6937" t="inlineStr">
        <is>
          <t>280</t>
        </is>
      </c>
      <c r="E6937" t="inlineStr">
        <is>
          <t>2</t>
        </is>
      </c>
      <c r="F6937" t="inlineStr">
        <is>
          <t>140</t>
        </is>
      </c>
      <c r="G6937" t="inlineStr">
        <is>
          <t>4</t>
        </is>
      </c>
      <c r="H6937" t="inlineStr">
        <is>
          <t>4</t>
        </is>
      </c>
      <c r="I6937" t="inlineStr">
        <is>
          <t>140²</t>
        </is>
      </c>
      <c r="J6937" t="n">
        <v>2</v>
      </c>
      <c r="K6937" t="inlineStr">
        <is>
          <t>4², 12⁴, 16², 48⁴</t>
        </is>
      </c>
      <c r="L6937" t="inlineStr">
        <is>
          <t>28D³, 35A⁴, 140A¹⁰</t>
        </is>
      </c>
      <c r="M6937" t="inlineStr"/>
      <c r="N6937" t="inlineStr">
        <is>
          <t>28D³, 140A¹⁰, 5A⁰, 4A⁰, 35A⁴, 7C⁰, 20A¹, 28A¹, 1A⁰, 35A², 7A⁰</t>
        </is>
      </c>
      <c r="O6937" t="inlineStr"/>
    </row>
    <row r="6938">
      <c r="A6938">
        <f>HYPERLINK("https://mathstats.uncg.edu/sites/pauli/congruence/csg21.html#group140B21", "140B²¹")</f>
        <v/>
      </c>
      <c r="B6938" t="n">
        <v>21</v>
      </c>
      <c r="C6938" t="inlineStr"/>
      <c r="D6938" t="inlineStr">
        <is>
          <t>288</t>
        </is>
      </c>
      <c r="E6938" t="inlineStr">
        <is>
          <t>1</t>
        </is>
      </c>
      <c r="F6938" t="inlineStr">
        <is>
          <t>144</t>
        </is>
      </c>
      <c r="G6938" t="inlineStr">
        <is>
          <t>0</t>
        </is>
      </c>
      <c r="H6938" t="inlineStr">
        <is>
          <t>0</t>
        </is>
      </c>
      <c r="I6938" t="inlineStr">
        <is>
          <t>2¹, 4¹, 10¹, 14¹, 20¹, 28¹, 70¹, 140¹</t>
        </is>
      </c>
      <c r="J6938" t="n">
        <v>8</v>
      </c>
      <c r="K6938" t="inlineStr">
        <is>
          <t>1¹², 4⁶, 6⁶, 24³</t>
        </is>
      </c>
      <c r="L6938" t="inlineStr">
        <is>
          <t>20C², 70D⁹</t>
        </is>
      </c>
      <c r="M6938" t="inlineStr"/>
      <c r="N6938" t="inlineStr">
        <is>
          <t>7B⁰, 14C¹, 5B⁰, 10C⁰, 2B⁰, 1A⁰, 35A³, 20C², 70D⁹</t>
        </is>
      </c>
      <c r="O6938" t="inlineStr"/>
    </row>
    <row r="6939">
      <c r="A6939">
        <f>HYPERLINK("https://mathstats.uncg.edu/sites/pauli/congruence/csg21.html#group140C21", "140C²¹")</f>
        <v/>
      </c>
      <c r="B6939" t="n">
        <v>21</v>
      </c>
      <c r="C6939" t="inlineStr"/>
      <c r="D6939" t="inlineStr">
        <is>
          <t>288</t>
        </is>
      </c>
      <c r="E6939" t="inlineStr">
        <is>
          <t>1</t>
        </is>
      </c>
      <c r="F6939" t="inlineStr">
        <is>
          <t>144</t>
        </is>
      </c>
      <c r="G6939" t="inlineStr">
        <is>
          <t>0</t>
        </is>
      </c>
      <c r="H6939" t="inlineStr">
        <is>
          <t>0</t>
        </is>
      </c>
      <c r="I6939" t="inlineStr">
        <is>
          <t>2¹, 4¹, 10¹, 14¹, 20¹, 28¹, 70¹, 140¹</t>
        </is>
      </c>
      <c r="J6939" t="n">
        <v>8</v>
      </c>
      <c r="K6939" t="inlineStr">
        <is>
          <t>1¹², 4⁶, 6⁶, 24³</t>
        </is>
      </c>
      <c r="L6939" t="inlineStr">
        <is>
          <t>20E¹, 28C³, 70D⁹</t>
        </is>
      </c>
      <c r="M6939" t="inlineStr"/>
      <c r="N6939" t="inlineStr">
        <is>
          <t>20E¹, 7B⁰, 4C⁰, 14C¹, 5B⁰, 10C⁰, 2B⁰, 28C³, 1A⁰, 35A³, 70D⁹</t>
        </is>
      </c>
      <c r="O6939" t="inlineStr"/>
    </row>
    <row r="6940">
      <c r="A6940">
        <f>HYPERLINK("https://mathstats.uncg.edu/sites/pauli/congruence/csg21.html#group140D21", "140D²¹")</f>
        <v/>
      </c>
      <c r="B6940" t="n">
        <v>21</v>
      </c>
      <c r="C6940" t="inlineStr"/>
      <c r="D6940" t="inlineStr">
        <is>
          <t>336</t>
        </is>
      </c>
      <c r="E6940" t="inlineStr">
        <is>
          <t>2</t>
        </is>
      </c>
      <c r="F6940" t="inlineStr">
        <is>
          <t>168</t>
        </is>
      </c>
      <c r="G6940" t="inlineStr">
        <is>
          <t>24</t>
        </is>
      </c>
      <c r="H6940" t="inlineStr">
        <is>
          <t>0</t>
        </is>
      </c>
      <c r="I6940" t="inlineStr">
        <is>
          <t>28², 140²</t>
        </is>
      </c>
      <c r="J6940" t="n">
        <v>4</v>
      </c>
      <c r="K6940" t="inlineStr">
        <is>
          <t>4⁴, 12⁸, 16², 48⁴</t>
        </is>
      </c>
      <c r="L6940" t="inlineStr">
        <is>
          <t>20G¹, 70C⁴, 140E¹¹</t>
        </is>
      </c>
      <c r="M6940" t="inlineStr"/>
      <c r="N6940" t="inlineStr">
        <is>
          <t>35C², 70C⁴, 4A⁰, 20G¹, 5B⁰, 7A⁰, 28A¹, 1A⁰, 20B¹, 140E¹¹, 10B⁰</t>
        </is>
      </c>
      <c r="O6940" t="inlineStr"/>
    </row>
    <row r="6941">
      <c r="A6941">
        <f>HYPERLINK("https://mathstats.uncg.edu/sites/pauli/congruence/csg21.html#group144A21", "144A²¹")</f>
        <v/>
      </c>
      <c r="B6941" t="n">
        <v>21</v>
      </c>
      <c r="C6941" t="inlineStr"/>
      <c r="D6941" t="inlineStr">
        <is>
          <t>288</t>
        </is>
      </c>
      <c r="E6941" t="inlineStr">
        <is>
          <t>1</t>
        </is>
      </c>
      <c r="F6941" t="inlineStr">
        <is>
          <t>12</t>
        </is>
      </c>
      <c r="G6941" t="inlineStr">
        <is>
          <t>0</t>
        </is>
      </c>
      <c r="H6941" t="inlineStr">
        <is>
          <t>0</t>
        </is>
      </c>
      <c r="I6941" t="inlineStr">
        <is>
          <t>8³, 16³, 72¹, 144¹</t>
        </is>
      </c>
      <c r="J6941" t="n">
        <v>8</v>
      </c>
      <c r="K6941" t="inlineStr">
        <is>
          <t>1⁶, 2³</t>
        </is>
      </c>
      <c r="L6941" t="inlineStr">
        <is>
          <t>48A⁷, 72C⁹</t>
        </is>
      </c>
      <c r="M6941" t="inlineStr"/>
      <c r="N6941" t="inlineStr">
        <is>
          <t>24C³, 3B⁰, 8A¹, 18E⁰, 12F¹, 48A⁷, 4C⁰, 6F⁰, 9B⁰, 72C⁹, 2B⁰, 1A⁰, 36G³</t>
        </is>
      </c>
      <c r="O6941" t="inlineStr"/>
    </row>
    <row r="6942">
      <c r="A6942">
        <f>HYPERLINK("https://mathstats.uncg.edu/sites/pauli/congruence/csg21.html#group144B21", "144B²¹")</f>
        <v/>
      </c>
      <c r="B6942" t="n">
        <v>21</v>
      </c>
      <c r="C6942" t="inlineStr"/>
      <c r="D6942" t="inlineStr">
        <is>
          <t>288</t>
        </is>
      </c>
      <c r="E6942" t="inlineStr">
        <is>
          <t>1</t>
        </is>
      </c>
      <c r="F6942" t="inlineStr">
        <is>
          <t>12</t>
        </is>
      </c>
      <c r="G6942" t="inlineStr">
        <is>
          <t>0</t>
        </is>
      </c>
      <c r="H6942" t="inlineStr">
        <is>
          <t>0</t>
        </is>
      </c>
      <c r="I6942" t="inlineStr">
        <is>
          <t>8³, 16³, 72¹, 144¹</t>
        </is>
      </c>
      <c r="J6942" t="n">
        <v>8</v>
      </c>
      <c r="K6942" t="inlineStr">
        <is>
          <t>1⁶, 2³</t>
        </is>
      </c>
      <c r="L6942" t="inlineStr">
        <is>
          <t>48B⁷, 72C⁹</t>
        </is>
      </c>
      <c r="M6942" t="inlineStr"/>
      <c r="N6942" t="inlineStr">
        <is>
          <t>24C³, 3B⁰, 8A¹, 18E⁰, 12F¹, 4C⁰, 6F⁰, 9B⁰, 72C⁹, 2B⁰, 1A⁰, 36G³, 48B⁷</t>
        </is>
      </c>
      <c r="O6942" t="inlineStr"/>
    </row>
    <row r="6943">
      <c r="A6943">
        <f>HYPERLINK("https://mathstats.uncg.edu/sites/pauli/congruence/csg21.html#group144C21", "144C²¹")</f>
        <v/>
      </c>
      <c r="B6943" t="n">
        <v>21</v>
      </c>
      <c r="C6943" t="inlineStr"/>
      <c r="D6943" t="inlineStr">
        <is>
          <t>288</t>
        </is>
      </c>
      <c r="E6943" t="inlineStr">
        <is>
          <t>1</t>
        </is>
      </c>
      <c r="F6943" t="inlineStr">
        <is>
          <t>12</t>
        </is>
      </c>
      <c r="G6943" t="inlineStr">
        <is>
          <t>0</t>
        </is>
      </c>
      <c r="H6943" t="inlineStr">
        <is>
          <t>0</t>
        </is>
      </c>
      <c r="I6943" t="inlineStr">
        <is>
          <t>8³, 16³, 72¹, 144¹</t>
        </is>
      </c>
      <c r="J6943" t="n">
        <v>8</v>
      </c>
      <c r="K6943" t="inlineStr">
        <is>
          <t>1⁶, 2³</t>
        </is>
      </c>
      <c r="L6943" t="inlineStr">
        <is>
          <t>48C⁷, 72B⁹</t>
        </is>
      </c>
      <c r="M6943" t="inlineStr"/>
      <c r="N6943" t="inlineStr">
        <is>
          <t>16B⁰, 3B⁰, 72B⁹, 18E⁰, 24B³, 12F¹, 4C⁰, 8B⁰, 9B⁰, 1A⁰, 2B⁰, 48C⁷, 6F⁰, 36G³</t>
        </is>
      </c>
      <c r="O6943" t="inlineStr"/>
    </row>
    <row r="6944">
      <c r="A6944">
        <f>HYPERLINK("https://mathstats.uncg.edu/sites/pauli/congruence/csg21.html#group144D21", "144D²¹")</f>
        <v/>
      </c>
      <c r="B6944" t="n">
        <v>21</v>
      </c>
      <c r="C6944" t="inlineStr"/>
      <c r="D6944" t="inlineStr">
        <is>
          <t>288</t>
        </is>
      </c>
      <c r="E6944" t="inlineStr">
        <is>
          <t>1</t>
        </is>
      </c>
      <c r="F6944" t="inlineStr">
        <is>
          <t>12</t>
        </is>
      </c>
      <c r="G6944" t="inlineStr">
        <is>
          <t>0</t>
        </is>
      </c>
      <c r="H6944" t="inlineStr">
        <is>
          <t>0</t>
        </is>
      </c>
      <c r="I6944" t="inlineStr">
        <is>
          <t>8³, 16³, 72¹, 144¹</t>
        </is>
      </c>
      <c r="J6944" t="n">
        <v>8</v>
      </c>
      <c r="K6944" t="inlineStr">
        <is>
          <t>1⁶, 2³</t>
        </is>
      </c>
      <c r="L6944" t="inlineStr">
        <is>
          <t>48D⁷, 72B⁹</t>
        </is>
      </c>
      <c r="M6944" t="inlineStr"/>
      <c r="N6944" t="inlineStr">
        <is>
          <t>48D⁷, 3B⁰, 18E⁰, 24B³, 12F¹, 4C⁰, 8B⁰, 6F⁰, 9B⁰, 2B⁰, 72B⁹, 1A⁰, 36G³, 16A²</t>
        </is>
      </c>
      <c r="O6944" t="inlineStr"/>
    </row>
    <row r="6945">
      <c r="A6945">
        <f>HYPERLINK("https://mathstats.uncg.edu/sites/pauli/congruence/csg21.html#group144E21", "144E²¹")</f>
        <v/>
      </c>
      <c r="B6945" t="n">
        <v>21</v>
      </c>
      <c r="C6945" t="inlineStr"/>
      <c r="D6945" t="inlineStr">
        <is>
          <t>288</t>
        </is>
      </c>
      <c r="E6945" t="inlineStr">
        <is>
          <t>1</t>
        </is>
      </c>
      <c r="F6945" t="inlineStr">
        <is>
          <t>24</t>
        </is>
      </c>
      <c r="G6945" t="inlineStr">
        <is>
          <t>0</t>
        </is>
      </c>
      <c r="H6945" t="inlineStr">
        <is>
          <t>0</t>
        </is>
      </c>
      <c r="I6945" t="inlineStr">
        <is>
          <t>6², 12¹, 18², 36¹, 48¹, 144¹</t>
        </is>
      </c>
      <c r="J6945" t="n">
        <v>8</v>
      </c>
      <c r="K6945" t="inlineStr">
        <is>
          <t>1⁸, 2⁶, 4¹</t>
        </is>
      </c>
      <c r="L6945" t="inlineStr">
        <is>
          <t>48C⁵, 72D⁹</t>
        </is>
      </c>
      <c r="M6945" t="inlineStr"/>
      <c r="N6945" t="inlineStr">
        <is>
          <t>48C⁵, 3B⁰, 24G¹, 6F⁰, 18D², 36F⁴, 8C⁰, 2B⁰, 9C⁰, 4B⁰, 1A⁰, 72D⁹, 12E⁰</t>
        </is>
      </c>
      <c r="O6945" t="inlineStr"/>
    </row>
    <row r="6946">
      <c r="A6946">
        <f>HYPERLINK("https://mathstats.uncg.edu/sites/pauli/congruence/csg21.html#group144F21", "144F²¹")</f>
        <v/>
      </c>
      <c r="B6946" t="n">
        <v>21</v>
      </c>
      <c r="C6946" t="inlineStr"/>
      <c r="D6946" t="inlineStr">
        <is>
          <t>288</t>
        </is>
      </c>
      <c r="E6946" t="inlineStr">
        <is>
          <t>1</t>
        </is>
      </c>
      <c r="F6946" t="inlineStr">
        <is>
          <t>24</t>
        </is>
      </c>
      <c r="G6946" t="inlineStr">
        <is>
          <t>0</t>
        </is>
      </c>
      <c r="H6946" t="inlineStr">
        <is>
          <t>0</t>
        </is>
      </c>
      <c r="I6946" t="inlineStr">
        <is>
          <t>6², 12¹, 18², 36¹, 48¹, 144¹</t>
        </is>
      </c>
      <c r="J6946" t="n">
        <v>8</v>
      </c>
      <c r="K6946" t="inlineStr">
        <is>
          <t>1⁸, 2⁶, 4¹</t>
        </is>
      </c>
      <c r="L6946" t="inlineStr">
        <is>
          <t>48C⁵, 72E⁹</t>
        </is>
      </c>
      <c r="M6946" t="inlineStr"/>
      <c r="N6946" t="inlineStr">
        <is>
          <t>48C⁵, 72E⁹, 3B⁰, 24G¹, 9A¹, 18E², 6F⁰, 36G⁴, 8C⁰, 2B⁰, 4B⁰, 1A⁰, 12E⁰</t>
        </is>
      </c>
      <c r="O6946" t="inlineStr"/>
    </row>
    <row r="6947">
      <c r="A6947">
        <f>HYPERLINK("https://mathstats.uncg.edu/sites/pauli/congruence/csg21.html#group144G21", "144G²¹")</f>
        <v/>
      </c>
      <c r="B6947" t="n">
        <v>21</v>
      </c>
      <c r="C6947" t="inlineStr"/>
      <c r="D6947" t="inlineStr">
        <is>
          <t>288</t>
        </is>
      </c>
      <c r="E6947" t="inlineStr">
        <is>
          <t>1</t>
        </is>
      </c>
      <c r="F6947" t="inlineStr">
        <is>
          <t>24</t>
        </is>
      </c>
      <c r="G6947" t="inlineStr">
        <is>
          <t>0</t>
        </is>
      </c>
      <c r="H6947" t="inlineStr">
        <is>
          <t>0</t>
        </is>
      </c>
      <c r="I6947" t="inlineStr">
        <is>
          <t>6², 12¹, 18², 36¹, 48¹, 144¹</t>
        </is>
      </c>
      <c r="J6947" t="n">
        <v>8</v>
      </c>
      <c r="K6947" t="inlineStr">
        <is>
          <t>1⁸, 2⁶, 4¹</t>
        </is>
      </c>
      <c r="L6947" t="inlineStr">
        <is>
          <t>48D⁵, 72D⁹</t>
        </is>
      </c>
      <c r="M6947" t="inlineStr"/>
      <c r="N6947" t="inlineStr">
        <is>
          <t>3B⁰, 24G¹, 9C⁰, 18D², 16A¹, 8C⁰, 2B⁰, 1A⁰, 36F⁴, 4B⁰, 48D⁵, 6F⁰, 72D⁹, 12E⁰</t>
        </is>
      </c>
      <c r="O6947" t="inlineStr"/>
    </row>
    <row r="6948">
      <c r="A6948">
        <f>HYPERLINK("https://mathstats.uncg.edu/sites/pauli/congruence/csg21.html#group144H21", "144H²¹")</f>
        <v/>
      </c>
      <c r="B6948" t="n">
        <v>21</v>
      </c>
      <c r="C6948" t="inlineStr"/>
      <c r="D6948" t="inlineStr">
        <is>
          <t>288</t>
        </is>
      </c>
      <c r="E6948" t="inlineStr">
        <is>
          <t>1</t>
        </is>
      </c>
      <c r="F6948" t="inlineStr">
        <is>
          <t>24</t>
        </is>
      </c>
      <c r="G6948" t="inlineStr">
        <is>
          <t>0</t>
        </is>
      </c>
      <c r="H6948" t="inlineStr">
        <is>
          <t>0</t>
        </is>
      </c>
      <c r="I6948" t="inlineStr">
        <is>
          <t>6², 12¹, 18², 36¹, 48¹, 144¹</t>
        </is>
      </c>
      <c r="J6948" t="n">
        <v>8</v>
      </c>
      <c r="K6948" t="inlineStr">
        <is>
          <t>1⁸, 2⁶, 4¹</t>
        </is>
      </c>
      <c r="L6948" t="inlineStr">
        <is>
          <t>48D⁵, 72E⁹</t>
        </is>
      </c>
      <c r="M6948" t="inlineStr"/>
      <c r="N6948" t="inlineStr">
        <is>
          <t>72E⁹, 3B⁰, 24G¹, 9A¹, 18E², 36G⁴, 1A⁰, 2B⁰, 8C⁰, 16A¹, 4B⁰, 48D⁵, 6F⁰, 12E⁰</t>
        </is>
      </c>
      <c r="O6948" t="inlineStr"/>
    </row>
    <row r="6949">
      <c r="A6949">
        <f>HYPERLINK("https://mathstats.uncg.edu/sites/pauli/congruence/csg21.html#group144I21", "144I²¹")</f>
        <v/>
      </c>
      <c r="B6949" t="n">
        <v>21</v>
      </c>
      <c r="C6949" t="inlineStr"/>
      <c r="D6949" t="inlineStr">
        <is>
          <t>288</t>
        </is>
      </c>
      <c r="E6949" t="inlineStr">
        <is>
          <t>1</t>
        </is>
      </c>
      <c r="F6949" t="inlineStr">
        <is>
          <t>24</t>
        </is>
      </c>
      <c r="G6949" t="inlineStr">
        <is>
          <t>0</t>
        </is>
      </c>
      <c r="H6949" t="inlineStr">
        <is>
          <t>0</t>
        </is>
      </c>
      <c r="I6949" t="inlineStr">
        <is>
          <t>8³, 16³, 72¹, 144¹</t>
        </is>
      </c>
      <c r="J6949" t="n">
        <v>8</v>
      </c>
      <c r="K6949" t="inlineStr">
        <is>
          <t>1⁴, 2⁶, 4²</t>
        </is>
      </c>
      <c r="L6949" t="inlineStr">
        <is>
          <t>48E⁷, 72C⁹</t>
        </is>
      </c>
      <c r="M6949" t="inlineStr"/>
      <c r="N6949" t="inlineStr">
        <is>
          <t>24C³, 3B⁰, 48E⁷, 8A¹, 18E⁰, 12F¹, 4C⁰, 6F⁰, 9B⁰, 72C⁹, 2B⁰, 1A⁰, 36G³</t>
        </is>
      </c>
      <c r="O6949" t="inlineStr"/>
    </row>
    <row r="6950">
      <c r="A6950">
        <f>HYPERLINK("https://mathstats.uncg.edu/sites/pauli/congruence/csg21.html#group144J21", "144J²¹")</f>
        <v/>
      </c>
      <c r="B6950" t="n">
        <v>21</v>
      </c>
      <c r="C6950" t="inlineStr"/>
      <c r="D6950" t="inlineStr">
        <is>
          <t>288</t>
        </is>
      </c>
      <c r="E6950" t="inlineStr">
        <is>
          <t>1</t>
        </is>
      </c>
      <c r="F6950" t="inlineStr">
        <is>
          <t>24</t>
        </is>
      </c>
      <c r="G6950" t="inlineStr">
        <is>
          <t>0</t>
        </is>
      </c>
      <c r="H6950" t="inlineStr">
        <is>
          <t>0</t>
        </is>
      </c>
      <c r="I6950" t="inlineStr">
        <is>
          <t>8³, 16³, 72¹, 144¹</t>
        </is>
      </c>
      <c r="J6950" t="n">
        <v>8</v>
      </c>
      <c r="K6950" t="inlineStr">
        <is>
          <t>1⁴, 2⁶, 4²</t>
        </is>
      </c>
      <c r="L6950" t="inlineStr">
        <is>
          <t>48F⁷, 72B⁹</t>
        </is>
      </c>
      <c r="M6950" t="inlineStr"/>
      <c r="N6950" t="inlineStr">
        <is>
          <t>3B⁰, 18E⁰, 24B³, 12F¹, 4C⁰, 8B⁰, 9B⁰, 6F⁰, 16B¹, 2B⁰, 48F⁷, 72B⁹, 1A⁰, 36G³</t>
        </is>
      </c>
      <c r="O6950" t="inlineStr"/>
    </row>
    <row r="6951">
      <c r="A6951">
        <f>HYPERLINK("https://mathstats.uncg.edu/sites/pauli/congruence/csg21.html#group144K21", "144K²¹")</f>
        <v/>
      </c>
      <c r="B6951" t="n">
        <v>21</v>
      </c>
      <c r="C6951" t="inlineStr"/>
      <c r="D6951" t="inlineStr">
        <is>
          <t>288</t>
        </is>
      </c>
      <c r="E6951" t="inlineStr">
        <is>
          <t>1</t>
        </is>
      </c>
      <c r="F6951" t="inlineStr">
        <is>
          <t>48</t>
        </is>
      </c>
      <c r="G6951" t="inlineStr">
        <is>
          <t>0</t>
        </is>
      </c>
      <c r="H6951" t="inlineStr">
        <is>
          <t>0</t>
        </is>
      </c>
      <c r="I6951" t="inlineStr">
        <is>
          <t>8³, 16³, 72¹, 144¹</t>
        </is>
      </c>
      <c r="J6951" t="n">
        <v>8</v>
      </c>
      <c r="K6951" t="inlineStr">
        <is>
          <t>1⁸, 2⁸, 4⁴, 8¹</t>
        </is>
      </c>
      <c r="L6951" t="inlineStr">
        <is>
          <t>48G⁷, 72B⁹</t>
        </is>
      </c>
      <c r="M6951" t="inlineStr"/>
      <c r="N6951" t="inlineStr">
        <is>
          <t>3B⁰, 16D¹, 18E⁰, 24B³, 48G⁷, 12F¹, 4C⁰, 8B⁰, 9B⁰, 6F⁰, 2B⁰, 72B⁹, 1A⁰, 36G³</t>
        </is>
      </c>
      <c r="O6951" t="inlineStr"/>
    </row>
    <row r="6952">
      <c r="A6952">
        <f>HYPERLINK("https://mathstats.uncg.edu/sites/pauli/congruence/csg21.html#group144L21", "144L²¹")</f>
        <v/>
      </c>
      <c r="B6952" t="n">
        <v>21</v>
      </c>
      <c r="C6952" t="inlineStr"/>
      <c r="D6952" t="inlineStr">
        <is>
          <t>288</t>
        </is>
      </c>
      <c r="E6952" t="inlineStr">
        <is>
          <t>1</t>
        </is>
      </c>
      <c r="F6952" t="inlineStr">
        <is>
          <t>48</t>
        </is>
      </c>
      <c r="G6952" t="inlineStr">
        <is>
          <t>0</t>
        </is>
      </c>
      <c r="H6952" t="inlineStr">
        <is>
          <t>0</t>
        </is>
      </c>
      <c r="I6952" t="inlineStr">
        <is>
          <t>8³, 16³, 72¹, 144¹</t>
        </is>
      </c>
      <c r="J6952" t="n">
        <v>8</v>
      </c>
      <c r="K6952" t="inlineStr">
        <is>
          <t>1⁸, 2⁸, 4⁴, 8¹</t>
        </is>
      </c>
      <c r="L6952" t="inlineStr">
        <is>
          <t>48H⁷, 72C⁹</t>
        </is>
      </c>
      <c r="M6952" t="inlineStr"/>
      <c r="N6952" t="inlineStr">
        <is>
          <t>24C³, 3B⁰, 8A¹, 18E⁰, 16B², 48H⁷, 12F¹, 4C⁰, 6F⁰, 9B⁰, 72C⁹, 2B⁰, 1A⁰, 36G³</t>
        </is>
      </c>
      <c r="O6952" t="inlineStr"/>
    </row>
    <row r="6953">
      <c r="A6953">
        <f>HYPERLINK("https://mathstats.uncg.edu/sites/pauli/congruence/csg21.html#group144M21", "144M²¹")</f>
        <v/>
      </c>
      <c r="B6953" t="n">
        <v>21</v>
      </c>
      <c r="C6953" t="inlineStr"/>
      <c r="D6953" t="inlineStr">
        <is>
          <t>288</t>
        </is>
      </c>
      <c r="E6953" t="inlineStr">
        <is>
          <t>2</t>
        </is>
      </c>
      <c r="F6953" t="inlineStr">
        <is>
          <t>24</t>
        </is>
      </c>
      <c r="G6953" t="inlineStr">
        <is>
          <t>12</t>
        </is>
      </c>
      <c r="H6953" t="inlineStr">
        <is>
          <t>0</t>
        </is>
      </c>
      <c r="I6953" t="inlineStr">
        <is>
          <t>144²</t>
        </is>
      </c>
      <c r="J6953" t="n">
        <v>2</v>
      </c>
      <c r="K6953" t="inlineStr">
        <is>
          <t>8², 16²</t>
        </is>
      </c>
      <c r="L6953" t="inlineStr">
        <is>
          <t>48I⁷, 72G⁹, 144C¹⁰, 144D¹⁰</t>
        </is>
      </c>
      <c r="M6953" t="inlineStr"/>
      <c r="N6953" t="inlineStr">
        <is>
          <t>48I⁷, 12G¹, 72B⁴, 144C¹⁰, 144D¹⁰, 36H³, 8A⁰, 24B¹, 1A⁰, 72A⁴, 36A¹, 24E³, 12A⁰, 24A¹, 9D⁰, 4A⁰, 9A⁰, 3C⁰, 3A⁰, 72G⁹, 48B³</t>
        </is>
      </c>
      <c r="O6953" t="inlineStr"/>
    </row>
    <row r="6954">
      <c r="A6954">
        <f>HYPERLINK("https://mathstats.uncg.edu/sites/pauli/congruence/csg21.html#group144N21", "144N²¹")</f>
        <v/>
      </c>
      <c r="B6954" t="n">
        <v>21</v>
      </c>
      <c r="C6954" t="inlineStr"/>
      <c r="D6954" t="inlineStr">
        <is>
          <t>288</t>
        </is>
      </c>
      <c r="E6954" t="inlineStr">
        <is>
          <t>2</t>
        </is>
      </c>
      <c r="F6954" t="inlineStr">
        <is>
          <t>24</t>
        </is>
      </c>
      <c r="G6954" t="inlineStr">
        <is>
          <t>12</t>
        </is>
      </c>
      <c r="H6954" t="inlineStr">
        <is>
          <t>0</t>
        </is>
      </c>
      <c r="I6954" t="inlineStr">
        <is>
          <t>144²</t>
        </is>
      </c>
      <c r="J6954" t="n">
        <v>2</v>
      </c>
      <c r="K6954" t="inlineStr">
        <is>
          <t>8², 16²</t>
        </is>
      </c>
      <c r="L6954" t="inlineStr">
        <is>
          <t>48J⁷, 72G⁹, 144A¹⁰, 144B¹⁰</t>
        </is>
      </c>
      <c r="M6954" t="inlineStr"/>
      <c r="N6954" t="inlineStr">
        <is>
          <t>12G¹, 16A⁰, 72B⁴, 36H³, 8A⁰, 144B¹⁰, 24B¹, 1A⁰, 72A⁴, 36A¹, 144A¹⁰, 24E³, 12A⁰, 24A¹, 48A³, 9D⁰, 48J⁷, 4A⁰, 9A⁰, 3C⁰, 3A⁰, 72G⁹, 48B³</t>
        </is>
      </c>
      <c r="O6954" t="inlineStr"/>
    </row>
    <row r="6955">
      <c r="A6955">
        <f>HYPERLINK("https://mathstats.uncg.edu/sites/pauli/congruence/csg21.html#group146A21", "146A²¹")</f>
        <v/>
      </c>
      <c r="B6955" t="n">
        <v>21</v>
      </c>
      <c r="C6955" t="inlineStr"/>
      <c r="D6955" t="inlineStr">
        <is>
          <t>296</t>
        </is>
      </c>
      <c r="E6955" t="inlineStr">
        <is>
          <t>1</t>
        </is>
      </c>
      <c r="F6955" t="inlineStr">
        <is>
          <t>74</t>
        </is>
      </c>
      <c r="G6955" t="inlineStr">
        <is>
          <t>0</t>
        </is>
      </c>
      <c r="H6955" t="inlineStr">
        <is>
          <t>8</t>
        </is>
      </c>
      <c r="I6955" t="inlineStr">
        <is>
          <t>2², 146²</t>
        </is>
      </c>
      <c r="J6955" t="n">
        <v>4</v>
      </c>
      <c r="K6955" t="inlineStr">
        <is>
          <t>1², 72¹</t>
        </is>
      </c>
      <c r="L6955" t="inlineStr">
        <is>
          <t>73A⁹, 146A¹¹, 146B¹¹</t>
        </is>
      </c>
      <c r="M6955" t="inlineStr"/>
      <c r="N6955" t="inlineStr">
        <is>
          <t>146B¹¹, 2A⁰, 1A⁰, 73A⁵, 146A¹¹, 73A⁹</t>
        </is>
      </c>
      <c r="O6955" t="inlineStr"/>
    </row>
    <row r="6956">
      <c r="A6956">
        <f>HYPERLINK("https://mathstats.uncg.edu/sites/pauli/congruence/csg21.html#group147A21", "147A²¹")</f>
        <v/>
      </c>
      <c r="B6956" t="n">
        <v>21</v>
      </c>
      <c r="C6956" t="inlineStr"/>
      <c r="D6956" t="inlineStr">
        <is>
          <t>336</t>
        </is>
      </c>
      <c r="E6956" t="inlineStr">
        <is>
          <t>1</t>
        </is>
      </c>
      <c r="F6956" t="inlineStr">
        <is>
          <t>168</t>
        </is>
      </c>
      <c r="G6956" t="inlineStr">
        <is>
          <t>0</t>
        </is>
      </c>
      <c r="H6956" t="inlineStr">
        <is>
          <t>0</t>
        </is>
      </c>
      <c r="I6956" t="inlineStr">
        <is>
          <t>3¹⁴, 147²</t>
        </is>
      </c>
      <c r="J6956" t="n">
        <v>16</v>
      </c>
      <c r="K6956" t="inlineStr">
        <is>
          <t>1², 2², 6², 12², 42¹, 84¹</t>
        </is>
      </c>
      <c r="L6956" t="inlineStr">
        <is>
          <t>21A³, 147A¹¹</t>
        </is>
      </c>
      <c r="M6956" t="inlineStr"/>
      <c r="N6956" t="inlineStr">
        <is>
          <t>21A², 7B⁰, 49A¹, 3C⁰, 147A¹¹, 3A⁰, 1A⁰, 21A³</t>
        </is>
      </c>
      <c r="O6956" t="inlineStr"/>
    </row>
    <row r="6957">
      <c r="A6957">
        <f>HYPERLINK("https://mathstats.uncg.edu/sites/pauli/congruence/csg21.html#group147B21", "147B²¹")</f>
        <v/>
      </c>
      <c r="B6957" t="n">
        <v>21</v>
      </c>
      <c r="C6957" t="inlineStr"/>
      <c r="D6957" t="inlineStr">
        <is>
          <t>448</t>
        </is>
      </c>
      <c r="E6957" t="inlineStr">
        <is>
          <t>1</t>
        </is>
      </c>
      <c r="F6957" t="inlineStr">
        <is>
          <t>224</t>
        </is>
      </c>
      <c r="G6957" t="inlineStr">
        <is>
          <t>0</t>
        </is>
      </c>
      <c r="H6957" t="inlineStr">
        <is>
          <t>4</t>
        </is>
      </c>
      <c r="I6957" t="inlineStr">
        <is>
          <t>1¹⁴, 3¹⁴, 49², 147²</t>
        </is>
      </c>
      <c r="J6957" t="n">
        <v>32</v>
      </c>
      <c r="K6957" t="inlineStr">
        <is>
          <t>1⁴, 2², 6⁴, 12², 42², 84¹</t>
        </is>
      </c>
      <c r="L6957" t="inlineStr">
        <is>
          <t>21F¹, 147B¹¹</t>
        </is>
      </c>
      <c r="M6957" t="inlineStr"/>
      <c r="N6957" t="inlineStr">
        <is>
          <t>49A¹, 147B¹¹, 3B⁰, 21B¹, 1A⁰, 7B⁰, 21F¹</t>
        </is>
      </c>
      <c r="O6957" t="inlineStr"/>
    </row>
    <row r="6958">
      <c r="A6958">
        <f>HYPERLINK("https://mathstats.uncg.edu/sites/pauli/congruence/csg21.html#group148A21", "148A²¹")</f>
        <v/>
      </c>
      <c r="B6958" t="n">
        <v>21</v>
      </c>
      <c r="C6958" t="inlineStr"/>
      <c r="D6958" t="inlineStr">
        <is>
          <t>304</t>
        </is>
      </c>
      <c r="E6958" t="inlineStr">
        <is>
          <t>1</t>
        </is>
      </c>
      <c r="F6958" t="inlineStr">
        <is>
          <t>152</t>
        </is>
      </c>
      <c r="G6958" t="inlineStr">
        <is>
          <t>8</t>
        </is>
      </c>
      <c r="H6958" t="inlineStr">
        <is>
          <t>4</t>
        </is>
      </c>
      <c r="I6958" t="inlineStr">
        <is>
          <t>4², 148²</t>
        </is>
      </c>
      <c r="J6958" t="n">
        <v>4</v>
      </c>
      <c r="K6958" t="inlineStr">
        <is>
          <t>2⁴, 72²</t>
        </is>
      </c>
      <c r="L6958" t="inlineStr">
        <is>
          <t>74A⁴, 148A¹¹</t>
        </is>
      </c>
      <c r="M6958" t="inlineStr"/>
      <c r="N6958" t="inlineStr">
        <is>
          <t>37A², 74A⁴, 4A⁰, 1A⁰, 148A¹¹</t>
        </is>
      </c>
      <c r="O6958" t="inlineStr"/>
    </row>
    <row r="6959">
      <c r="A6959">
        <f>HYPERLINK("https://mathstats.uncg.edu/sites/pauli/congruence/csg21.html#group150A21", "150A²¹")</f>
        <v/>
      </c>
      <c r="B6959" t="n">
        <v>21</v>
      </c>
      <c r="C6959" t="inlineStr"/>
      <c r="D6959" t="inlineStr">
        <is>
          <t>360</t>
        </is>
      </c>
      <c r="E6959" t="inlineStr">
        <is>
          <t>1</t>
        </is>
      </c>
      <c r="F6959" t="inlineStr">
        <is>
          <t>90</t>
        </is>
      </c>
      <c r="G6959" t="inlineStr">
        <is>
          <t>16</t>
        </is>
      </c>
      <c r="H6959" t="inlineStr">
        <is>
          <t>0</t>
        </is>
      </c>
      <c r="I6959" t="inlineStr">
        <is>
          <t>6¹⁰, 150²</t>
        </is>
      </c>
      <c r="J6959" t="n">
        <v>12</v>
      </c>
      <c r="K6959" t="inlineStr">
        <is>
          <t>1², 2², 4², 8², 20¹, 40¹</t>
        </is>
      </c>
      <c r="L6959" t="inlineStr">
        <is>
          <t>30D¹, 75A⁸, 150A¹⁰, 150A¹¹</t>
        </is>
      </c>
      <c r="M6959" t="inlineStr"/>
      <c r="N6959" t="inlineStr">
        <is>
          <t>30A⁰, 150A¹¹, 6B⁰, 150A¹⁰, 30C¹, 5B⁰, 75A⁴, 1A⁰, 75A⁸, 10B⁰, 30D¹, 15B⁰, 50A², 25A⁰, 3A⁰, 15C⁰</t>
        </is>
      </c>
      <c r="O6959" t="inlineStr"/>
    </row>
    <row r="6960">
      <c r="A6960">
        <f>HYPERLINK("https://mathstats.uncg.edu/sites/pauli/congruence/csg21.html#group153A21", "153A²¹")</f>
        <v/>
      </c>
      <c r="B6960" t="n">
        <v>21</v>
      </c>
      <c r="C6960" t="inlineStr"/>
      <c r="D6960" t="inlineStr">
        <is>
          <t>324</t>
        </is>
      </c>
      <c r="E6960" t="inlineStr">
        <is>
          <t>1</t>
        </is>
      </c>
      <c r="F6960" t="inlineStr">
        <is>
          <t>162</t>
        </is>
      </c>
      <c r="G6960" t="inlineStr">
        <is>
          <t>20</t>
        </is>
      </c>
      <c r="H6960" t="inlineStr">
        <is>
          <t>0</t>
        </is>
      </c>
      <c r="I6960" t="inlineStr">
        <is>
          <t>9², 153²</t>
        </is>
      </c>
      <c r="J6960" t="n">
        <v>4</v>
      </c>
      <c r="K6960" t="inlineStr">
        <is>
          <t>1², 2², 6², 16¹, 32¹, 96¹</t>
        </is>
      </c>
      <c r="L6960" t="inlineStr">
        <is>
          <t>51B⁵, 153A¹¹</t>
        </is>
      </c>
      <c r="M6960" t="inlineStr"/>
      <c r="N6960" t="inlineStr">
        <is>
          <t>153A¹¹, 51A³, 17B¹, 9A⁰, 17A¹, 51B⁵, 3A⁰, 1A⁰</t>
        </is>
      </c>
      <c r="O6960" t="inlineStr"/>
    </row>
    <row r="6961">
      <c r="A6961">
        <f>HYPERLINK("https://mathstats.uncg.edu/sites/pauli/congruence/csg21.html#group154A21", "154A²¹")</f>
        <v/>
      </c>
      <c r="B6961" t="n">
        <v>21</v>
      </c>
      <c r="C6961" t="inlineStr"/>
      <c r="D6961" t="inlineStr">
        <is>
          <t>264</t>
        </is>
      </c>
      <c r="E6961" t="inlineStr">
        <is>
          <t>2</t>
        </is>
      </c>
      <c r="F6961" t="inlineStr">
        <is>
          <t>264</t>
        </is>
      </c>
      <c r="G6961" t="inlineStr">
        <is>
          <t>0</t>
        </is>
      </c>
      <c r="H6961" t="inlineStr">
        <is>
          <t>0</t>
        </is>
      </c>
      <c r="I6961" t="inlineStr">
        <is>
          <t>11¹, 22¹, 77¹, 154¹</t>
        </is>
      </c>
      <c r="J6961" t="n">
        <v>4</v>
      </c>
      <c r="K6961" t="inlineStr">
        <is>
          <t>2⁶, 10¹², 12³, 60⁶</t>
        </is>
      </c>
      <c r="L6961" t="inlineStr">
        <is>
          <t>22B², 77A⁶</t>
        </is>
      </c>
      <c r="M6961" t="inlineStr"/>
      <c r="N6961" t="inlineStr">
        <is>
          <t>11A⁰, 2B⁰, 22B², 1A⁰, 7B⁰, 77A⁶</t>
        </is>
      </c>
      <c r="O6961" t="inlineStr"/>
    </row>
    <row r="6962">
      <c r="A6962">
        <f>HYPERLINK("https://mathstats.uncg.edu/sites/pauli/congruence/csg21.html#group154B21", "154B²¹")</f>
        <v/>
      </c>
      <c r="B6962" t="n">
        <v>21</v>
      </c>
      <c r="C6962" t="inlineStr">
        <is>
          <t>Γ₀(154)</t>
        </is>
      </c>
      <c r="D6962" t="inlineStr">
        <is>
          <t>288</t>
        </is>
      </c>
      <c r="E6962" t="inlineStr">
        <is>
          <t>1</t>
        </is>
      </c>
      <c r="F6962" t="inlineStr">
        <is>
          <t>288</t>
        </is>
      </c>
      <c r="G6962" t="inlineStr">
        <is>
          <t>0</t>
        </is>
      </c>
      <c r="H6962" t="inlineStr">
        <is>
          <t>0</t>
        </is>
      </c>
      <c r="I6962" t="inlineStr">
        <is>
          <t>1¹, 2¹, 7¹, 11¹, 14¹, 22¹, 77¹, 154¹</t>
        </is>
      </c>
      <c r="J6962" t="n">
        <v>8</v>
      </c>
      <c r="K6962" t="inlineStr">
        <is>
          <t>1¹², 6⁶, 10⁶, 60³</t>
        </is>
      </c>
      <c r="L6962" t="inlineStr">
        <is>
          <t>22C², 77B⁷</t>
        </is>
      </c>
      <c r="M6962" t="inlineStr"/>
      <c r="N6962" t="inlineStr">
        <is>
          <t>7B⁰, 2B⁰, 77B⁷, 22C², 1A⁰, 11A¹</t>
        </is>
      </c>
      <c r="O6962" t="inlineStr"/>
    </row>
    <row r="6963">
      <c r="A6963">
        <f>HYPERLINK("https://mathstats.uncg.edu/sites/pauli/congruence/csg21.html#group156A21", "156A²¹")</f>
        <v/>
      </c>
      <c r="B6963" t="n">
        <v>21</v>
      </c>
      <c r="C6963" t="inlineStr"/>
      <c r="D6963" t="inlineStr">
        <is>
          <t>336</t>
        </is>
      </c>
      <c r="E6963" t="inlineStr">
        <is>
          <t>1</t>
        </is>
      </c>
      <c r="F6963" t="inlineStr">
        <is>
          <t>56</t>
        </is>
      </c>
      <c r="G6963" t="inlineStr">
        <is>
          <t>24</t>
        </is>
      </c>
      <c r="H6963" t="inlineStr">
        <is>
          <t>0</t>
        </is>
      </c>
      <c r="I6963" t="inlineStr">
        <is>
          <t>12², 156²</t>
        </is>
      </c>
      <c r="J6963" t="n">
        <v>4</v>
      </c>
      <c r="K6963" t="inlineStr">
        <is>
          <t>2⁴, 24²</t>
        </is>
      </c>
      <c r="L6963" t="inlineStr">
        <is>
          <t>78A⁴, 52C⁵, 156A¹¹</t>
        </is>
      </c>
      <c r="M6963" t="inlineStr"/>
      <c r="N6963" t="inlineStr">
        <is>
          <t>156A¹¹, 39A², 78A⁴, 12A⁰, 52A³, 4A⁰, 13A⁰, 26A⁰, 3A⁰, 1A⁰, 52C⁵</t>
        </is>
      </c>
      <c r="O6963" t="inlineStr"/>
    </row>
    <row r="6964">
      <c r="A6964">
        <f>HYPERLINK("https://mathstats.uncg.edu/sites/pauli/congruence/csg21.html#group160A21", "160A²¹")</f>
        <v/>
      </c>
      <c r="B6964" t="n">
        <v>21</v>
      </c>
      <c r="C6964" t="inlineStr"/>
      <c r="D6964" t="inlineStr">
        <is>
          <t>288</t>
        </is>
      </c>
      <c r="E6964" t="inlineStr">
        <is>
          <t>1</t>
        </is>
      </c>
      <c r="F6964" t="inlineStr">
        <is>
          <t>36</t>
        </is>
      </c>
      <c r="G6964" t="inlineStr">
        <is>
          <t>0</t>
        </is>
      </c>
      <c r="H6964" t="inlineStr">
        <is>
          <t>0</t>
        </is>
      </c>
      <c r="I6964" t="inlineStr">
        <is>
          <t>4², 8¹, 20², 32¹, 40¹, 160¹</t>
        </is>
      </c>
      <c r="J6964" t="n">
        <v>8</v>
      </c>
      <c r="K6964" t="inlineStr">
        <is>
          <t>1⁸, 2², 4⁴, 8¹</t>
        </is>
      </c>
      <c r="L6964" t="inlineStr">
        <is>
          <t>80F⁹</t>
        </is>
      </c>
      <c r="M6964" t="inlineStr"/>
      <c r="N6964" t="inlineStr">
        <is>
          <t>40F³, 80F⁹, 5B⁰, 10C⁰, 16A¹, 20D¹, 8C⁰, 2B⁰, 4B⁰, 1A⁰</t>
        </is>
      </c>
      <c r="O6964" t="inlineStr"/>
    </row>
    <row r="6965">
      <c r="A6965">
        <f>HYPERLINK("https://mathstats.uncg.edu/sites/pauli/congruence/csg21.html#group160B21", "160B²¹")</f>
        <v/>
      </c>
      <c r="B6965" t="n">
        <v>21</v>
      </c>
      <c r="C6965" t="inlineStr"/>
      <c r="D6965" t="inlineStr">
        <is>
          <t>288</t>
        </is>
      </c>
      <c r="E6965" t="inlineStr">
        <is>
          <t>1</t>
        </is>
      </c>
      <c r="F6965" t="inlineStr">
        <is>
          <t>36</t>
        </is>
      </c>
      <c r="G6965" t="inlineStr">
        <is>
          <t>0</t>
        </is>
      </c>
      <c r="H6965" t="inlineStr">
        <is>
          <t>0</t>
        </is>
      </c>
      <c r="I6965" t="inlineStr">
        <is>
          <t>4², 8¹, 20², 32¹, 40¹, 160¹</t>
        </is>
      </c>
      <c r="J6965" t="n">
        <v>8</v>
      </c>
      <c r="K6965" t="inlineStr">
        <is>
          <t>1⁸, 2², 4⁴, 8¹</t>
        </is>
      </c>
      <c r="L6965" t="inlineStr">
        <is>
          <t>80F⁹</t>
        </is>
      </c>
      <c r="M6965" t="inlineStr"/>
      <c r="N6965" t="inlineStr">
        <is>
          <t>40F³, 80F⁹, 5B⁰, 10C⁰, 16A¹, 20D¹, 8C⁰, 2B⁰, 4B⁰, 1A⁰</t>
        </is>
      </c>
      <c r="O6965" t="inlineStr"/>
    </row>
    <row r="6966">
      <c r="A6966">
        <f>HYPERLINK("https://mathstats.uncg.edu/sites/pauli/congruence/csg21.html#group160C21", "160C²¹")</f>
        <v/>
      </c>
      <c r="B6966" t="n">
        <v>21</v>
      </c>
      <c r="C6966" t="inlineStr"/>
      <c r="D6966" t="inlineStr">
        <is>
          <t>288</t>
        </is>
      </c>
      <c r="E6966" t="inlineStr">
        <is>
          <t>1</t>
        </is>
      </c>
      <c r="F6966" t="inlineStr">
        <is>
          <t>36</t>
        </is>
      </c>
      <c r="G6966" t="inlineStr">
        <is>
          <t>0</t>
        </is>
      </c>
      <c r="H6966" t="inlineStr">
        <is>
          <t>0</t>
        </is>
      </c>
      <c r="I6966" t="inlineStr">
        <is>
          <t>4², 8¹, 20², 32¹, 40¹, 160¹</t>
        </is>
      </c>
      <c r="J6966" t="n">
        <v>8</v>
      </c>
      <c r="K6966" t="inlineStr">
        <is>
          <t>1⁸, 2², 4⁴, 8¹</t>
        </is>
      </c>
      <c r="L6966" t="inlineStr">
        <is>
          <t>32A³, 80F⁹</t>
        </is>
      </c>
      <c r="M6966" t="inlineStr"/>
      <c r="N6966" t="inlineStr">
        <is>
          <t>40F³, 80F⁹, 32A³, 5B⁰, 10C⁰, 16A¹, 20D¹, 8C⁰, 2B⁰, 4B⁰, 1A⁰</t>
        </is>
      </c>
      <c r="O6966" t="inlineStr"/>
    </row>
    <row r="6967">
      <c r="A6967">
        <f>HYPERLINK("https://mathstats.uncg.edu/sites/pauli/congruence/csg21.html#group160D21", "160D²¹")</f>
        <v/>
      </c>
      <c r="B6967" t="n">
        <v>21</v>
      </c>
      <c r="C6967" t="inlineStr"/>
      <c r="D6967" t="inlineStr">
        <is>
          <t>288</t>
        </is>
      </c>
      <c r="E6967" t="inlineStr">
        <is>
          <t>1</t>
        </is>
      </c>
      <c r="F6967" t="inlineStr">
        <is>
          <t>36</t>
        </is>
      </c>
      <c r="G6967" t="inlineStr">
        <is>
          <t>0</t>
        </is>
      </c>
      <c r="H6967" t="inlineStr">
        <is>
          <t>0</t>
        </is>
      </c>
      <c r="I6967" t="inlineStr">
        <is>
          <t>4², 8¹, 20², 32¹, 40¹, 160¹</t>
        </is>
      </c>
      <c r="J6967" t="n">
        <v>8</v>
      </c>
      <c r="K6967" t="inlineStr">
        <is>
          <t>1⁸, 2², 4⁴, 8¹</t>
        </is>
      </c>
      <c r="L6967" t="inlineStr">
        <is>
          <t>32B³, 80F⁹</t>
        </is>
      </c>
      <c r="M6967" t="inlineStr"/>
      <c r="N6967" t="inlineStr">
        <is>
          <t>40F³, 80F⁹, 5B⁰, 10C⁰, 16A¹, 20D¹, 8C⁰, 2B⁰, 4B⁰, 1A⁰, 32B³</t>
        </is>
      </c>
      <c r="O6967" t="inlineStr"/>
    </row>
    <row r="6968">
      <c r="A6968">
        <f>HYPERLINK("https://mathstats.uncg.edu/sites/pauli/congruence/csg21.html#group160E21", "160E²¹")</f>
        <v/>
      </c>
      <c r="B6968" t="n">
        <v>21</v>
      </c>
      <c r="C6968" t="inlineStr"/>
      <c r="D6968" t="inlineStr">
        <is>
          <t>288</t>
        </is>
      </c>
      <c r="E6968" t="inlineStr">
        <is>
          <t>1</t>
        </is>
      </c>
      <c r="F6968" t="inlineStr">
        <is>
          <t>72</t>
        </is>
      </c>
      <c r="G6968" t="inlineStr">
        <is>
          <t>0</t>
        </is>
      </c>
      <c r="H6968" t="inlineStr">
        <is>
          <t>0</t>
        </is>
      </c>
      <c r="I6968" t="inlineStr">
        <is>
          <t>4², 8¹, 20², 32¹, 40¹, 160¹</t>
        </is>
      </c>
      <c r="J6968" t="n">
        <v>8</v>
      </c>
      <c r="K6968" t="inlineStr">
        <is>
          <t>1⁸, 2⁴, 4⁶, 8², 16¹</t>
        </is>
      </c>
      <c r="L6968" t="inlineStr">
        <is>
          <t>80F⁹</t>
        </is>
      </c>
      <c r="M6968" t="inlineStr"/>
      <c r="N6968" t="inlineStr">
        <is>
          <t>40F³, 80F⁹, 5B⁰, 10C⁰, 16A¹, 20D¹, 8C⁰, 2B⁰, 4B⁰, 1A⁰</t>
        </is>
      </c>
      <c r="O6968" t="inlineStr"/>
    </row>
    <row r="6969">
      <c r="A6969">
        <f>HYPERLINK("https://mathstats.uncg.edu/sites/pauli/congruence/csg21.html#group160F21", "160F²¹")</f>
        <v/>
      </c>
      <c r="B6969" t="n">
        <v>21</v>
      </c>
      <c r="C6969" t="inlineStr"/>
      <c r="D6969" t="inlineStr">
        <is>
          <t>288</t>
        </is>
      </c>
      <c r="E6969" t="inlineStr">
        <is>
          <t>1</t>
        </is>
      </c>
      <c r="F6969" t="inlineStr">
        <is>
          <t>72</t>
        </is>
      </c>
      <c r="G6969" t="inlineStr">
        <is>
          <t>0</t>
        </is>
      </c>
      <c r="H6969" t="inlineStr">
        <is>
          <t>0</t>
        </is>
      </c>
      <c r="I6969" t="inlineStr">
        <is>
          <t>4², 8¹, 20², 32¹, 40¹, 160¹</t>
        </is>
      </c>
      <c r="J6969" t="n">
        <v>8</v>
      </c>
      <c r="K6969" t="inlineStr">
        <is>
          <t>1⁸, 2⁴, 4⁶, 8², 16¹</t>
        </is>
      </c>
      <c r="L6969" t="inlineStr">
        <is>
          <t>32C³, 80F⁹</t>
        </is>
      </c>
      <c r="M6969" t="inlineStr"/>
      <c r="N6969" t="inlineStr">
        <is>
          <t>80F⁹, 5B⁰, 16A¹, 8C⁰, 2B⁰, 20D¹, 4B⁰, 1A⁰, 32C³, 40F³, 10C⁰</t>
        </is>
      </c>
      <c r="O6969" t="inlineStr"/>
    </row>
    <row r="6970">
      <c r="A6970">
        <f>HYPERLINK("https://mathstats.uncg.edu/sites/pauli/congruence/csg21.html#group160G21", "160G²¹")</f>
        <v/>
      </c>
      <c r="B6970" t="n">
        <v>21</v>
      </c>
      <c r="C6970" t="inlineStr"/>
      <c r="D6970" t="inlineStr">
        <is>
          <t>288</t>
        </is>
      </c>
      <c r="E6970" t="inlineStr">
        <is>
          <t>1</t>
        </is>
      </c>
      <c r="F6970" t="inlineStr">
        <is>
          <t>72</t>
        </is>
      </c>
      <c r="G6970" t="inlineStr">
        <is>
          <t>8</t>
        </is>
      </c>
      <c r="H6970" t="inlineStr">
        <is>
          <t>0</t>
        </is>
      </c>
      <c r="I6970" t="inlineStr">
        <is>
          <t>16¹, 32¹, 80¹, 160¹</t>
        </is>
      </c>
      <c r="J6970" t="n">
        <v>4</v>
      </c>
      <c r="K6970" t="inlineStr">
        <is>
          <t>2¹², 8⁶</t>
        </is>
      </c>
      <c r="L6970" t="inlineStr">
        <is>
          <t>80D⁷</t>
        </is>
      </c>
      <c r="M6970" t="inlineStr"/>
      <c r="N6970" t="inlineStr">
        <is>
          <t>16B⁰, 20E¹, 80D⁷, 4C⁰, 8B⁰, 5B⁰, 10C⁰, 1A⁰, 2B⁰, 40D³</t>
        </is>
      </c>
      <c r="O6970" t="inlineStr"/>
    </row>
    <row r="6971">
      <c r="A6971">
        <f>HYPERLINK("https://mathstats.uncg.edu/sites/pauli/congruence/csg21.html#group160H21", "160H²¹")</f>
        <v/>
      </c>
      <c r="B6971" t="n">
        <v>21</v>
      </c>
      <c r="C6971" t="inlineStr"/>
      <c r="D6971" t="inlineStr">
        <is>
          <t>288</t>
        </is>
      </c>
      <c r="E6971" t="inlineStr">
        <is>
          <t>1</t>
        </is>
      </c>
      <c r="F6971" t="inlineStr">
        <is>
          <t>72</t>
        </is>
      </c>
      <c r="G6971" t="inlineStr">
        <is>
          <t>8</t>
        </is>
      </c>
      <c r="H6971" t="inlineStr">
        <is>
          <t>0</t>
        </is>
      </c>
      <c r="I6971" t="inlineStr">
        <is>
          <t>16¹, 32¹, 80¹, 160¹</t>
        </is>
      </c>
      <c r="J6971" t="n">
        <v>4</v>
      </c>
      <c r="K6971" t="inlineStr">
        <is>
          <t>2¹², 8⁶</t>
        </is>
      </c>
      <c r="L6971" t="inlineStr">
        <is>
          <t>32D³, 80D⁷</t>
        </is>
      </c>
      <c r="M6971" t="inlineStr"/>
      <c r="N6971" t="inlineStr">
        <is>
          <t>16B⁰, 20E¹, 80D⁷, 4C⁰, 8B⁰, 5B⁰, 10C⁰, 32D³, 2B⁰, 1A⁰, 40D³</t>
        </is>
      </c>
      <c r="O6971" t="inlineStr"/>
    </row>
    <row r="6972">
      <c r="A6972">
        <f>HYPERLINK("https://mathstats.uncg.edu/sites/pauli/congruence/csg21.html#group160I21", "160I²¹")</f>
        <v/>
      </c>
      <c r="B6972" t="n">
        <v>21</v>
      </c>
      <c r="C6972" t="inlineStr"/>
      <c r="D6972" t="inlineStr">
        <is>
          <t>288</t>
        </is>
      </c>
      <c r="E6972" t="inlineStr">
        <is>
          <t>1</t>
        </is>
      </c>
      <c r="F6972" t="inlineStr">
        <is>
          <t>144</t>
        </is>
      </c>
      <c r="G6972" t="inlineStr">
        <is>
          <t>8</t>
        </is>
      </c>
      <c r="H6972" t="inlineStr">
        <is>
          <t>0</t>
        </is>
      </c>
      <c r="I6972" t="inlineStr">
        <is>
          <t>16¹, 32¹, 80¹, 160¹</t>
        </is>
      </c>
      <c r="J6972" t="n">
        <v>4</v>
      </c>
      <c r="K6972" t="inlineStr">
        <is>
          <t>2¹⁶, 8¹⁰, 32¹</t>
        </is>
      </c>
      <c r="L6972" t="inlineStr">
        <is>
          <t>80L⁹</t>
        </is>
      </c>
      <c r="M6972" t="inlineStr"/>
      <c r="N6972" t="inlineStr">
        <is>
          <t>20E¹, 40D³, 16D¹, 80L⁹, 4C⁰, 8B⁰, 5B⁰, 10C⁰, 2B⁰, 1A⁰</t>
        </is>
      </c>
      <c r="O6972" t="inlineStr"/>
    </row>
    <row r="6973">
      <c r="A6973">
        <f>HYPERLINK("https://mathstats.uncg.edu/sites/pauli/congruence/csg21.html#group160J21", "160J²¹")</f>
        <v/>
      </c>
      <c r="B6973" t="n">
        <v>21</v>
      </c>
      <c r="C6973" t="inlineStr"/>
      <c r="D6973" t="inlineStr">
        <is>
          <t>288</t>
        </is>
      </c>
      <c r="E6973" t="inlineStr">
        <is>
          <t>1</t>
        </is>
      </c>
      <c r="F6973" t="inlineStr">
        <is>
          <t>144</t>
        </is>
      </c>
      <c r="G6973" t="inlineStr">
        <is>
          <t>8</t>
        </is>
      </c>
      <c r="H6973" t="inlineStr">
        <is>
          <t>0</t>
        </is>
      </c>
      <c r="I6973" t="inlineStr">
        <is>
          <t>16¹, 32¹, 80¹, 160¹</t>
        </is>
      </c>
      <c r="J6973" t="n">
        <v>4</v>
      </c>
      <c r="K6973" t="inlineStr">
        <is>
          <t>2¹⁶, 8¹⁰, 32¹</t>
        </is>
      </c>
      <c r="L6973" t="inlineStr">
        <is>
          <t>80L⁹</t>
        </is>
      </c>
      <c r="M6973" t="inlineStr"/>
      <c r="N6973" t="inlineStr">
        <is>
          <t>20E¹, 40D³, 16D¹, 80L⁹, 4C⁰, 8B⁰, 5B⁰, 10C⁰, 2B⁰, 1A⁰</t>
        </is>
      </c>
      <c r="O6973" t="inlineStr"/>
    </row>
    <row r="6974">
      <c r="A6974">
        <f>HYPERLINK("https://mathstats.uncg.edu/sites/pauli/congruence/csg21.html#group160K21", "160K²¹")</f>
        <v/>
      </c>
      <c r="B6974" t="n">
        <v>21</v>
      </c>
      <c r="C6974" t="inlineStr"/>
      <c r="D6974" t="inlineStr">
        <is>
          <t>288</t>
        </is>
      </c>
      <c r="E6974" t="inlineStr">
        <is>
          <t>1</t>
        </is>
      </c>
      <c r="F6974" t="inlineStr">
        <is>
          <t>144</t>
        </is>
      </c>
      <c r="G6974" t="inlineStr">
        <is>
          <t>8</t>
        </is>
      </c>
      <c r="H6974" t="inlineStr">
        <is>
          <t>0</t>
        </is>
      </c>
      <c r="I6974" t="inlineStr">
        <is>
          <t>16¹, 32¹, 80¹, 160¹</t>
        </is>
      </c>
      <c r="J6974" t="n">
        <v>4</v>
      </c>
      <c r="K6974" t="inlineStr">
        <is>
          <t>2¹⁶, 8¹⁰, 32¹</t>
        </is>
      </c>
      <c r="L6974" t="inlineStr">
        <is>
          <t>80L⁹</t>
        </is>
      </c>
      <c r="M6974" t="inlineStr"/>
      <c r="N6974" t="inlineStr">
        <is>
          <t>20E¹, 40D³, 16D¹, 80L⁹, 4C⁰, 8B⁰, 5B⁰, 10C⁰, 2B⁰, 1A⁰</t>
        </is>
      </c>
      <c r="O6974" t="inlineStr"/>
    </row>
    <row r="6975">
      <c r="A6975">
        <f>HYPERLINK("https://mathstats.uncg.edu/sites/pauli/congruence/csg21.html#group160L21", "160L²¹")</f>
        <v/>
      </c>
      <c r="B6975" t="n">
        <v>21</v>
      </c>
      <c r="C6975" t="inlineStr"/>
      <c r="D6975" t="inlineStr">
        <is>
          <t>288</t>
        </is>
      </c>
      <c r="E6975" t="inlineStr">
        <is>
          <t>1</t>
        </is>
      </c>
      <c r="F6975" t="inlineStr">
        <is>
          <t>144</t>
        </is>
      </c>
      <c r="G6975" t="inlineStr">
        <is>
          <t>8</t>
        </is>
      </c>
      <c r="H6975" t="inlineStr">
        <is>
          <t>0</t>
        </is>
      </c>
      <c r="I6975" t="inlineStr">
        <is>
          <t>16¹, 32¹, 80¹, 160¹</t>
        </is>
      </c>
      <c r="J6975" t="n">
        <v>4</v>
      </c>
      <c r="K6975" t="inlineStr">
        <is>
          <t>2¹⁶, 8¹⁰, 32¹</t>
        </is>
      </c>
      <c r="L6975" t="inlineStr">
        <is>
          <t>80L⁹</t>
        </is>
      </c>
      <c r="M6975" t="inlineStr"/>
      <c r="N6975" t="inlineStr">
        <is>
          <t>20E¹, 40D³, 16D¹, 80L⁹, 4C⁰, 8B⁰, 5B⁰, 10C⁰, 2B⁰, 1A⁰</t>
        </is>
      </c>
      <c r="O6975" t="inlineStr"/>
    </row>
    <row r="6976">
      <c r="A6976">
        <f>HYPERLINK("https://mathstats.uncg.edu/sites/pauli/congruence/csg21.html#group160M21", "160M²¹")</f>
        <v/>
      </c>
      <c r="B6976" t="n">
        <v>21</v>
      </c>
      <c r="C6976" t="inlineStr"/>
      <c r="D6976" t="inlineStr">
        <is>
          <t>288</t>
        </is>
      </c>
      <c r="E6976" t="inlineStr">
        <is>
          <t>1</t>
        </is>
      </c>
      <c r="F6976" t="inlineStr">
        <is>
          <t>144</t>
        </is>
      </c>
      <c r="G6976" t="inlineStr">
        <is>
          <t>8</t>
        </is>
      </c>
      <c r="H6976" t="inlineStr">
        <is>
          <t>0</t>
        </is>
      </c>
      <c r="I6976" t="inlineStr">
        <is>
          <t>16¹, 32¹, 80¹, 160¹</t>
        </is>
      </c>
      <c r="J6976" t="n">
        <v>4</v>
      </c>
      <c r="K6976" t="inlineStr">
        <is>
          <t>2¹⁶, 8¹⁰, 32¹</t>
        </is>
      </c>
      <c r="L6976" t="inlineStr">
        <is>
          <t>32E³, 80L⁹</t>
        </is>
      </c>
      <c r="M6976" t="inlineStr"/>
      <c r="N6976" t="inlineStr">
        <is>
          <t>20E¹, 4C⁰, 8B⁰, 5B⁰, 2B⁰, 1A⁰, 16D¹, 80L⁹, 10C⁰, 32E³, 40D³</t>
        </is>
      </c>
      <c r="O6976" t="inlineStr"/>
    </row>
    <row r="6977">
      <c r="A6977">
        <f>HYPERLINK("https://mathstats.uncg.edu/sites/pauli/congruence/csg21.html#group160N21", "160N²¹")</f>
        <v/>
      </c>
      <c r="B6977" t="n">
        <v>21</v>
      </c>
      <c r="C6977" t="inlineStr"/>
      <c r="D6977" t="inlineStr">
        <is>
          <t>288</t>
        </is>
      </c>
      <c r="E6977" t="inlineStr">
        <is>
          <t>1</t>
        </is>
      </c>
      <c r="F6977" t="inlineStr">
        <is>
          <t>144</t>
        </is>
      </c>
      <c r="G6977" t="inlineStr">
        <is>
          <t>8</t>
        </is>
      </c>
      <c r="H6977" t="inlineStr">
        <is>
          <t>0</t>
        </is>
      </c>
      <c r="I6977" t="inlineStr">
        <is>
          <t>16¹, 32¹, 80¹, 160¹</t>
        </is>
      </c>
      <c r="J6977" t="n">
        <v>4</v>
      </c>
      <c r="K6977" t="inlineStr">
        <is>
          <t>2¹⁶, 8¹⁰, 32¹</t>
        </is>
      </c>
      <c r="L6977" t="inlineStr">
        <is>
          <t>32F³, 80L⁹</t>
        </is>
      </c>
      <c r="M6977" t="inlineStr"/>
      <c r="N6977" t="inlineStr">
        <is>
          <t>20E¹, 40D³, 16D¹, 80L⁹, 4C⁰, 8B⁰, 5B⁰, 10C⁰, 2B⁰, 32F³, 1A⁰</t>
        </is>
      </c>
      <c r="O6977" t="inlineStr"/>
    </row>
    <row r="6978">
      <c r="A6978">
        <f>HYPERLINK("https://mathstats.uncg.edu/sites/pauli/congruence/csg21.html#group160O21", "160O²¹")</f>
        <v/>
      </c>
      <c r="B6978" t="n">
        <v>21</v>
      </c>
      <c r="C6978" t="inlineStr"/>
      <c r="D6978" t="inlineStr">
        <is>
          <t>288</t>
        </is>
      </c>
      <c r="E6978" t="inlineStr">
        <is>
          <t>1</t>
        </is>
      </c>
      <c r="F6978" t="inlineStr">
        <is>
          <t>144</t>
        </is>
      </c>
      <c r="G6978" t="inlineStr">
        <is>
          <t>8</t>
        </is>
      </c>
      <c r="H6978" t="inlineStr">
        <is>
          <t>0</t>
        </is>
      </c>
      <c r="I6978" t="inlineStr">
        <is>
          <t>16¹, 32¹, 80¹, 160¹</t>
        </is>
      </c>
      <c r="J6978" t="n">
        <v>4</v>
      </c>
      <c r="K6978" t="inlineStr">
        <is>
          <t>2¹⁶, 8¹⁰, 32¹</t>
        </is>
      </c>
      <c r="L6978" t="inlineStr">
        <is>
          <t>32G³, 80L⁹</t>
        </is>
      </c>
      <c r="M6978" t="inlineStr"/>
      <c r="N6978" t="inlineStr">
        <is>
          <t>20E¹, 40D³, 16D¹, 80L⁹, 4C⁰, 8B⁰, 5B⁰, 10C⁰, 2B⁰, 32G³, 1A⁰</t>
        </is>
      </c>
      <c r="O6978" t="inlineStr"/>
    </row>
    <row r="6979">
      <c r="A6979">
        <f>HYPERLINK("https://mathstats.uncg.edu/sites/pauli/congruence/csg21.html#group160P21", "160P²¹")</f>
        <v/>
      </c>
      <c r="B6979" t="n">
        <v>21</v>
      </c>
      <c r="C6979" t="inlineStr"/>
      <c r="D6979" t="inlineStr">
        <is>
          <t>288</t>
        </is>
      </c>
      <c r="E6979" t="inlineStr">
        <is>
          <t>1</t>
        </is>
      </c>
      <c r="F6979" t="inlineStr">
        <is>
          <t>144</t>
        </is>
      </c>
      <c r="G6979" t="inlineStr">
        <is>
          <t>8</t>
        </is>
      </c>
      <c r="H6979" t="inlineStr">
        <is>
          <t>0</t>
        </is>
      </c>
      <c r="I6979" t="inlineStr">
        <is>
          <t>16¹, 32¹, 80¹, 160¹</t>
        </is>
      </c>
      <c r="J6979" t="n">
        <v>4</v>
      </c>
      <c r="K6979" t="inlineStr">
        <is>
          <t>2¹⁶, 8¹⁰, 32¹</t>
        </is>
      </c>
      <c r="L6979" t="inlineStr">
        <is>
          <t>32H³, 80L⁹</t>
        </is>
      </c>
      <c r="M6979" t="inlineStr"/>
      <c r="N6979" t="inlineStr">
        <is>
          <t>20E¹, 4C⁰, 8B⁰, 5B⁰, 2B⁰, 1A⁰, 16D¹, 80L⁹, 10C⁰, 40D³, 32H³</t>
        </is>
      </c>
      <c r="O6979" t="inlineStr"/>
    </row>
    <row r="6980">
      <c r="A6980">
        <f>HYPERLINK("https://mathstats.uncg.edu/sites/pauli/congruence/csg21.html#group160Q21", "160Q²¹")</f>
        <v/>
      </c>
      <c r="B6980" t="n">
        <v>21</v>
      </c>
      <c r="C6980" t="inlineStr"/>
      <c r="D6980" t="inlineStr">
        <is>
          <t>288</t>
        </is>
      </c>
      <c r="E6980" t="inlineStr">
        <is>
          <t>2</t>
        </is>
      </c>
      <c r="F6980" t="inlineStr">
        <is>
          <t>36</t>
        </is>
      </c>
      <c r="G6980" t="inlineStr">
        <is>
          <t>0</t>
        </is>
      </c>
      <c r="H6980" t="inlineStr">
        <is>
          <t>0</t>
        </is>
      </c>
      <c r="I6980" t="inlineStr">
        <is>
          <t>4², 8¹, 20², 32¹, 40¹, 160¹</t>
        </is>
      </c>
      <c r="J6980" t="n">
        <v>8</v>
      </c>
      <c r="K6980" t="inlineStr">
        <is>
          <t>2¹², 8⁶</t>
        </is>
      </c>
      <c r="L6980" t="inlineStr">
        <is>
          <t>80E⁹</t>
        </is>
      </c>
      <c r="M6980" t="inlineStr"/>
      <c r="N6980" t="inlineStr">
        <is>
          <t>80E⁹, 40F³, 5B⁰, 10C⁰, 20D¹, 8C⁰, 2B⁰, 4B⁰, 1A⁰</t>
        </is>
      </c>
      <c r="O6980" t="inlineStr"/>
    </row>
    <row r="6981">
      <c r="A6981">
        <f>HYPERLINK("https://mathstats.uncg.edu/sites/pauli/congruence/csg21.html#group160R21", "160R²¹")</f>
        <v/>
      </c>
      <c r="B6981" t="n">
        <v>21</v>
      </c>
      <c r="C6981" t="inlineStr"/>
      <c r="D6981" t="inlineStr">
        <is>
          <t>288</t>
        </is>
      </c>
      <c r="E6981" t="inlineStr">
        <is>
          <t>2</t>
        </is>
      </c>
      <c r="F6981" t="inlineStr">
        <is>
          <t>36</t>
        </is>
      </c>
      <c r="G6981" t="inlineStr">
        <is>
          <t>0</t>
        </is>
      </c>
      <c r="H6981" t="inlineStr">
        <is>
          <t>0</t>
        </is>
      </c>
      <c r="I6981" t="inlineStr">
        <is>
          <t>4², 8¹, 20², 32¹, 40¹, 160¹</t>
        </is>
      </c>
      <c r="J6981" t="n">
        <v>8</v>
      </c>
      <c r="K6981" t="inlineStr">
        <is>
          <t>2¹², 8⁶</t>
        </is>
      </c>
      <c r="L6981" t="inlineStr">
        <is>
          <t>80E⁹</t>
        </is>
      </c>
      <c r="M6981" t="inlineStr"/>
      <c r="N6981" t="inlineStr">
        <is>
          <t>80E⁹, 40F³, 5B⁰, 10C⁰, 20D¹, 8C⁰, 2B⁰, 4B⁰, 1A⁰</t>
        </is>
      </c>
      <c r="O6981" t="inlineStr"/>
    </row>
    <row r="6982">
      <c r="A6982">
        <f>HYPERLINK("https://mathstats.uncg.edu/sites/pauli/congruence/csg21.html#group160S21", "160S²¹")</f>
        <v/>
      </c>
      <c r="B6982" t="n">
        <v>21</v>
      </c>
      <c r="C6982" t="inlineStr"/>
      <c r="D6982" t="inlineStr">
        <is>
          <t>288</t>
        </is>
      </c>
      <c r="E6982" t="inlineStr">
        <is>
          <t>2</t>
        </is>
      </c>
      <c r="F6982" t="inlineStr">
        <is>
          <t>72</t>
        </is>
      </c>
      <c r="G6982" t="inlineStr">
        <is>
          <t>0</t>
        </is>
      </c>
      <c r="H6982" t="inlineStr">
        <is>
          <t>0</t>
        </is>
      </c>
      <c r="I6982" t="inlineStr">
        <is>
          <t>4², 8¹, 20², 32¹, 40¹, 160¹</t>
        </is>
      </c>
      <c r="J6982" t="n">
        <v>8</v>
      </c>
      <c r="K6982" t="inlineStr">
        <is>
          <t>2¹⁶, 4⁴, 8⁸, 16²</t>
        </is>
      </c>
      <c r="L6982" t="inlineStr">
        <is>
          <t>80E⁹</t>
        </is>
      </c>
      <c r="M6982" t="inlineStr"/>
      <c r="N6982" t="inlineStr">
        <is>
          <t>80E⁹, 40F³, 5B⁰, 10C⁰, 20D¹, 8C⁰, 2B⁰, 4B⁰, 1A⁰</t>
        </is>
      </c>
      <c r="O6982" t="inlineStr"/>
    </row>
    <row r="6983">
      <c r="A6983">
        <f>HYPERLINK("https://mathstats.uncg.edu/sites/pauli/congruence/csg21.html#group160T21", "160T²¹")</f>
        <v/>
      </c>
      <c r="B6983" t="n">
        <v>21</v>
      </c>
      <c r="C6983" t="inlineStr"/>
      <c r="D6983" t="inlineStr">
        <is>
          <t>288</t>
        </is>
      </c>
      <c r="E6983" t="inlineStr">
        <is>
          <t>2</t>
        </is>
      </c>
      <c r="F6983" t="inlineStr">
        <is>
          <t>144</t>
        </is>
      </c>
      <c r="G6983" t="inlineStr">
        <is>
          <t>4</t>
        </is>
      </c>
      <c r="H6983" t="inlineStr">
        <is>
          <t>0</t>
        </is>
      </c>
      <c r="I6983" t="inlineStr">
        <is>
          <t>8², 32¹, 40², 160¹</t>
        </is>
      </c>
      <c r="J6983" t="n">
        <v>6</v>
      </c>
      <c r="K6983" t="inlineStr">
        <is>
          <t>2⁴, 4⁶, 8¹⁰, 16³, 32⁴</t>
        </is>
      </c>
      <c r="L6983" t="inlineStr">
        <is>
          <t>80J⁹</t>
        </is>
      </c>
      <c r="M6983" t="inlineStr"/>
      <c r="N6983" t="inlineStr">
        <is>
          <t>20E¹, 40H³, 8D⁰, 80J⁹, 16C¹, 4C⁰, 5B⁰, 10C⁰, 2B⁰, 1A⁰</t>
        </is>
      </c>
      <c r="O6983" t="inlineStr"/>
    </row>
    <row r="6984">
      <c r="A6984">
        <f>HYPERLINK("https://mathstats.uncg.edu/sites/pauli/congruence/csg21.html#group160U21", "160U²¹")</f>
        <v/>
      </c>
      <c r="B6984" t="n">
        <v>21</v>
      </c>
      <c r="C6984" t="inlineStr"/>
      <c r="D6984" t="inlineStr">
        <is>
          <t>288</t>
        </is>
      </c>
      <c r="E6984" t="inlineStr">
        <is>
          <t>2</t>
        </is>
      </c>
      <c r="F6984" t="inlineStr">
        <is>
          <t>144</t>
        </is>
      </c>
      <c r="G6984" t="inlineStr">
        <is>
          <t>4</t>
        </is>
      </c>
      <c r="H6984" t="inlineStr">
        <is>
          <t>0</t>
        </is>
      </c>
      <c r="I6984" t="inlineStr">
        <is>
          <t>8², 32¹, 40², 160¹</t>
        </is>
      </c>
      <c r="J6984" t="n">
        <v>6</v>
      </c>
      <c r="K6984" t="inlineStr">
        <is>
          <t>2⁴, 4⁶, 8¹⁰, 16³, 32⁴</t>
        </is>
      </c>
      <c r="L6984" t="inlineStr">
        <is>
          <t>32I³, 80J⁹</t>
        </is>
      </c>
      <c r="M6984" t="inlineStr"/>
      <c r="N6984" t="inlineStr">
        <is>
          <t>20E¹, 40H³, 8D⁰, 80J⁹, 16C¹, 4C⁰, 5B⁰, 10C⁰, 32I³, 2B⁰, 1A⁰</t>
        </is>
      </c>
      <c r="O6984" t="inlineStr"/>
    </row>
    <row r="6985">
      <c r="A6985">
        <f>HYPERLINK("https://mathstats.uncg.edu/sites/pauli/congruence/csg21.html#group165A21", "165A²¹")</f>
        <v/>
      </c>
      <c r="B6985" t="n">
        <v>21</v>
      </c>
      <c r="C6985" t="inlineStr"/>
      <c r="D6985" t="inlineStr">
        <is>
          <t>264</t>
        </is>
      </c>
      <c r="E6985" t="inlineStr">
        <is>
          <t>2</t>
        </is>
      </c>
      <c r="F6985" t="inlineStr">
        <is>
          <t>264</t>
        </is>
      </c>
      <c r="G6985" t="inlineStr">
        <is>
          <t>0</t>
        </is>
      </c>
      <c r="H6985" t="inlineStr">
        <is>
          <t>0</t>
        </is>
      </c>
      <c r="I6985" t="inlineStr">
        <is>
          <t>11¹, 33¹, 55¹, 165¹</t>
        </is>
      </c>
      <c r="J6985" t="n">
        <v>4</v>
      </c>
      <c r="K6985" t="inlineStr">
        <is>
          <t>2⁴, 4², 8², 10⁸, 16¹, 20⁴, 40⁴, 80²</t>
        </is>
      </c>
      <c r="L6985" t="inlineStr">
        <is>
          <t>15C¹, 33B³, 55A⁴</t>
        </is>
      </c>
      <c r="M6985" t="inlineStr"/>
      <c r="N6985" t="inlineStr">
        <is>
          <t>11A⁰, 15C¹, 55A⁴, 3B⁰, 33B³, 5B⁰, 1A⁰</t>
        </is>
      </c>
      <c r="O6985" t="inlineStr"/>
    </row>
    <row r="6986">
      <c r="A6986">
        <f>HYPERLINK("https://mathstats.uncg.edu/sites/pauli/congruence/csg21.html#group165B21", "165B²¹")</f>
        <v/>
      </c>
      <c r="B6986" t="n">
        <v>21</v>
      </c>
      <c r="C6986" t="inlineStr">
        <is>
          <t>Γ₀(165)</t>
        </is>
      </c>
      <c r="D6986" t="inlineStr">
        <is>
          <t>288</t>
        </is>
      </c>
      <c r="E6986" t="inlineStr">
        <is>
          <t>1</t>
        </is>
      </c>
      <c r="F6986" t="inlineStr">
        <is>
          <t>288</t>
        </is>
      </c>
      <c r="G6986" t="inlineStr">
        <is>
          <t>0</t>
        </is>
      </c>
      <c r="H6986" t="inlineStr">
        <is>
          <t>0</t>
        </is>
      </c>
      <c r="I6986" t="inlineStr">
        <is>
          <t>1¹, 3¹, 5¹, 11¹, 15¹, 33¹, 55¹, 165¹</t>
        </is>
      </c>
      <c r="J6986" t="n">
        <v>8</v>
      </c>
      <c r="K6986" t="inlineStr">
        <is>
          <t>1⁸, 2⁴, 4⁴, 8², 10⁴, 20², 40², 80¹</t>
        </is>
      </c>
      <c r="L6986" t="inlineStr">
        <is>
          <t>15C¹, 33C³, 55B⁵</t>
        </is>
      </c>
      <c r="M6986" t="inlineStr"/>
      <c r="N6986" t="inlineStr">
        <is>
          <t>15C¹, 3B⁰, 55B⁵, 11A¹, 5B⁰, 1A⁰, 33C³</t>
        </is>
      </c>
      <c r="O6986" t="inlineStr"/>
    </row>
    <row r="6987">
      <c r="A6987">
        <f>HYPERLINK("https://mathstats.uncg.edu/sites/pauli/congruence/csg21.html#group168A21", "168A²¹")</f>
        <v/>
      </c>
      <c r="B6987" t="n">
        <v>21</v>
      </c>
      <c r="C6987" t="inlineStr"/>
      <c r="D6987" t="inlineStr">
        <is>
          <t>252</t>
        </is>
      </c>
      <c r="E6987" t="inlineStr">
        <is>
          <t>2</t>
        </is>
      </c>
      <c r="F6987" t="inlineStr">
        <is>
          <t>21</t>
        </is>
      </c>
      <c r="G6987" t="inlineStr">
        <is>
          <t>0</t>
        </is>
      </c>
      <c r="H6987" t="inlineStr">
        <is>
          <t>0</t>
        </is>
      </c>
      <c r="I6987" t="inlineStr">
        <is>
          <t>84¹, 168¹</t>
        </is>
      </c>
      <c r="J6987" t="n">
        <v>2</v>
      </c>
      <c r="K6987" t="inlineStr">
        <is>
          <t>2³, 6⁶</t>
        </is>
      </c>
      <c r="L6987" t="inlineStr">
        <is>
          <t>24A³, 84B⁶, 56A⁷</t>
        </is>
      </c>
      <c r="M6987" t="inlineStr"/>
      <c r="N6987" t="inlineStr">
        <is>
          <t>24A³, 8A¹, 56A⁷, 12C⁰, 14B¹, 4C⁰, 21A⁰, 2B⁰, 1A⁰, 28C², 3A⁰, 42C³, 84B⁶, 6D⁰, 7A⁰</t>
        </is>
      </c>
      <c r="O6987" t="inlineStr"/>
    </row>
    <row r="6988">
      <c r="A6988">
        <f>HYPERLINK("https://mathstats.uncg.edu/sites/pauli/congruence/csg21.html#group168B21", "168B²¹")</f>
        <v/>
      </c>
      <c r="B6988" t="n">
        <v>21</v>
      </c>
      <c r="C6988" t="inlineStr"/>
      <c r="D6988" t="inlineStr">
        <is>
          <t>288</t>
        </is>
      </c>
      <c r="E6988" t="inlineStr">
        <is>
          <t>1</t>
        </is>
      </c>
      <c r="F6988" t="inlineStr">
        <is>
          <t>48</t>
        </is>
      </c>
      <c r="G6988" t="inlineStr">
        <is>
          <t>0</t>
        </is>
      </c>
      <c r="H6988" t="inlineStr">
        <is>
          <t>0</t>
        </is>
      </c>
      <c r="I6988" t="inlineStr">
        <is>
          <t>3², 6¹, 21², 24¹, 42¹, 168¹</t>
        </is>
      </c>
      <c r="J6988" t="n">
        <v>8</v>
      </c>
      <c r="K6988" t="inlineStr">
        <is>
          <t>1⁸, 2², 6⁴, 12¹</t>
        </is>
      </c>
      <c r="L6988" t="inlineStr">
        <is>
          <t>24B², 56D⁵, 84B¹⁰</t>
        </is>
      </c>
      <c r="M6988" t="inlineStr"/>
      <c r="N6988" t="inlineStr">
        <is>
          <t>24B², 3A⁰, 21A², 84B¹⁰, 42A⁵, 7B⁰, 28D², 14C¹, 12B¹, 2B⁰, 8C⁰, 4B⁰, 56D⁵, 1A⁰, 6D⁰</t>
        </is>
      </c>
      <c r="O6988" t="inlineStr"/>
    </row>
    <row r="6989">
      <c r="A6989">
        <f>HYPERLINK("https://mathstats.uncg.edu/sites/pauli/congruence/csg21.html#group168C21", "168C²¹")</f>
        <v/>
      </c>
      <c r="B6989" t="n">
        <v>21</v>
      </c>
      <c r="C6989" t="inlineStr"/>
      <c r="D6989" t="inlineStr">
        <is>
          <t>288</t>
        </is>
      </c>
      <c r="E6989" t="inlineStr">
        <is>
          <t>1</t>
        </is>
      </c>
      <c r="F6989" t="inlineStr">
        <is>
          <t>144</t>
        </is>
      </c>
      <c r="G6989" t="inlineStr">
        <is>
          <t>0</t>
        </is>
      </c>
      <c r="H6989" t="inlineStr">
        <is>
          <t>0</t>
        </is>
      </c>
      <c r="I6989" t="inlineStr">
        <is>
          <t>3², 6¹, 21², 24¹, 42¹, 168¹</t>
        </is>
      </c>
      <c r="J6989" t="n">
        <v>8</v>
      </c>
      <c r="K6989" t="inlineStr">
        <is>
          <t>1⁸, 2¹⁰, 4², 6⁴, 12⁵, 24¹</t>
        </is>
      </c>
      <c r="L6989" t="inlineStr">
        <is>
          <t>24D², 84B¹⁰</t>
        </is>
      </c>
      <c r="M6989" t="inlineStr"/>
      <c r="N6989" t="inlineStr">
        <is>
          <t>28D², 2B⁰, 4B⁰, 1A⁰, 21A², 84B¹⁰, 42A⁵, 7B⁰, 14C¹, 24D², 12B¹, 3A⁰, 6D⁰</t>
        </is>
      </c>
      <c r="O6989" t="inlineStr"/>
    </row>
    <row r="6990">
      <c r="A6990">
        <f>HYPERLINK("https://mathstats.uncg.edu/sites/pauli/congruence/csg21.html#group168D21", "168D²¹")</f>
        <v/>
      </c>
      <c r="B6990" t="n">
        <v>21</v>
      </c>
      <c r="C6990" t="inlineStr"/>
      <c r="D6990" t="inlineStr">
        <is>
          <t>288</t>
        </is>
      </c>
      <c r="E6990" t="inlineStr">
        <is>
          <t>2</t>
        </is>
      </c>
      <c r="F6990" t="inlineStr">
        <is>
          <t>48</t>
        </is>
      </c>
      <c r="G6990" t="inlineStr">
        <is>
          <t>0</t>
        </is>
      </c>
      <c r="H6990" t="inlineStr">
        <is>
          <t>0</t>
        </is>
      </c>
      <c r="I6990" t="inlineStr">
        <is>
          <t>3², 6¹, 21², 24¹, 42¹, 168¹</t>
        </is>
      </c>
      <c r="J6990" t="n">
        <v>8</v>
      </c>
      <c r="K6990" t="inlineStr">
        <is>
          <t>2⁸, 4², 12⁴, 24¹</t>
        </is>
      </c>
      <c r="L6990" t="inlineStr">
        <is>
          <t>56D⁵, 84D¹⁰</t>
        </is>
      </c>
      <c r="M6990" t="inlineStr"/>
      <c r="N6990" t="inlineStr">
        <is>
          <t>42B⁵, 7B⁰, 21A¹, 28D², 14C¹, 8C⁰, 2B⁰, 4B⁰, 56D⁵, 1A⁰, 84D¹⁰</t>
        </is>
      </c>
      <c r="O6990" t="inlineStr"/>
    </row>
    <row r="6991">
      <c r="A6991">
        <f>HYPERLINK("https://mathstats.uncg.edu/sites/pauli/congruence/csg21.html#group170A21", "170A²¹")</f>
        <v/>
      </c>
      <c r="B6991" t="n">
        <v>21</v>
      </c>
      <c r="C6991" t="inlineStr"/>
      <c r="D6991" t="inlineStr">
        <is>
          <t>270</t>
        </is>
      </c>
      <c r="E6991" t="inlineStr">
        <is>
          <t>1</t>
        </is>
      </c>
      <c r="F6991" t="inlineStr">
        <is>
          <t>270</t>
        </is>
      </c>
      <c r="G6991" t="inlineStr">
        <is>
          <t>2</t>
        </is>
      </c>
      <c r="H6991" t="inlineStr">
        <is>
          <t>0</t>
        </is>
      </c>
      <c r="I6991" t="inlineStr">
        <is>
          <t>5¹, 10¹, 85¹, 170¹</t>
        </is>
      </c>
      <c r="J6991" t="n">
        <v>4</v>
      </c>
      <c r="K6991" t="inlineStr">
        <is>
          <t>1⁶, 4⁶, 16³, 64³</t>
        </is>
      </c>
      <c r="L6991" t="inlineStr">
        <is>
          <t>10B¹, 34C³, 85A⁷</t>
        </is>
      </c>
      <c r="M6991" t="inlineStr"/>
      <c r="N6991" t="inlineStr">
        <is>
          <t>85A⁷, 5A⁰, 34C³, 10B¹, 17A¹, 2B⁰, 1A⁰</t>
        </is>
      </c>
      <c r="O6991" t="inlineStr"/>
    </row>
    <row r="6992">
      <c r="A6992">
        <f>HYPERLINK("https://mathstats.uncg.edu/sites/pauli/congruence/csg21.html#group172A21", "172A²¹")</f>
        <v/>
      </c>
      <c r="B6992" t="n">
        <v>21</v>
      </c>
      <c r="C6992" t="inlineStr"/>
      <c r="D6992" t="inlineStr">
        <is>
          <t>264</t>
        </is>
      </c>
      <c r="E6992" t="inlineStr">
        <is>
          <t>1</t>
        </is>
      </c>
      <c r="F6992" t="inlineStr">
        <is>
          <t>132</t>
        </is>
      </c>
      <c r="G6992" t="inlineStr">
        <is>
          <t>0</t>
        </is>
      </c>
      <c r="H6992" t="inlineStr">
        <is>
          <t>0</t>
        </is>
      </c>
      <c r="I6992" t="inlineStr">
        <is>
          <t>2¹, 4¹, 86¹, 172¹</t>
        </is>
      </c>
      <c r="J6992" t="n">
        <v>4</v>
      </c>
      <c r="K6992" t="inlineStr">
        <is>
          <t>1⁶, 42³</t>
        </is>
      </c>
      <c r="L6992" t="inlineStr">
        <is>
          <t>4C⁰, 86A¹⁰</t>
        </is>
      </c>
      <c r="M6992" t="inlineStr"/>
      <c r="N6992" t="inlineStr">
        <is>
          <t>4C⁰, 2B⁰, 1A⁰, 43A³, 86A¹⁰</t>
        </is>
      </c>
      <c r="O6992" t="inlineStr"/>
    </row>
    <row r="6993">
      <c r="A6993">
        <f>HYPERLINK("https://mathstats.uncg.edu/sites/pauli/congruence/csg21.html#group176A21", "176A²¹")</f>
        <v/>
      </c>
      <c r="B6993" t="n">
        <v>21</v>
      </c>
      <c r="C6993" t="inlineStr"/>
      <c r="D6993" t="inlineStr">
        <is>
          <t>264</t>
        </is>
      </c>
      <c r="E6993" t="inlineStr">
        <is>
          <t>2</t>
        </is>
      </c>
      <c r="F6993" t="inlineStr">
        <is>
          <t>66</t>
        </is>
      </c>
      <c r="G6993" t="inlineStr">
        <is>
          <t>0</t>
        </is>
      </c>
      <c r="H6993" t="inlineStr">
        <is>
          <t>0</t>
        </is>
      </c>
      <c r="I6993" t="inlineStr">
        <is>
          <t>22², 44¹, 176¹</t>
        </is>
      </c>
      <c r="J6993" t="n">
        <v>4</v>
      </c>
      <c r="K6993" t="inlineStr">
        <is>
          <t>2⁴, 4¹, 10⁸, 20²</t>
        </is>
      </c>
      <c r="L6993" t="inlineStr">
        <is>
          <t>16A¹, 88A¹⁰</t>
        </is>
      </c>
      <c r="M6993" t="inlineStr"/>
      <c r="N6993" t="inlineStr">
        <is>
          <t>11A⁰, 44A⁵, 16A¹, 8C⁰, 88A¹⁰, 2B⁰, 22B², 4B⁰, 1A⁰</t>
        </is>
      </c>
      <c r="O6993" t="inlineStr"/>
    </row>
    <row r="6994">
      <c r="A6994">
        <f>HYPERLINK("https://mathstats.uncg.edu/sites/pauli/congruence/csg21.html#group176B21", "176B²¹")</f>
        <v/>
      </c>
      <c r="B6994" t="n">
        <v>21</v>
      </c>
      <c r="C6994" t="inlineStr"/>
      <c r="D6994" t="inlineStr">
        <is>
          <t>288</t>
        </is>
      </c>
      <c r="E6994" t="inlineStr">
        <is>
          <t>1</t>
        </is>
      </c>
      <c r="F6994" t="inlineStr">
        <is>
          <t>72</t>
        </is>
      </c>
      <c r="G6994" t="inlineStr">
        <is>
          <t>0</t>
        </is>
      </c>
      <c r="H6994" t="inlineStr">
        <is>
          <t>0</t>
        </is>
      </c>
      <c r="I6994" t="inlineStr">
        <is>
          <t>2², 4¹, 16¹, 22², 44¹, 176¹</t>
        </is>
      </c>
      <c r="J6994" t="n">
        <v>8</v>
      </c>
      <c r="K6994" t="inlineStr">
        <is>
          <t>1⁸, 2², 10⁴, 20¹</t>
        </is>
      </c>
      <c r="L6994" t="inlineStr">
        <is>
          <t>88B⁹</t>
        </is>
      </c>
      <c r="M6994" t="inlineStr"/>
      <c r="N6994" t="inlineStr">
        <is>
          <t>11A¹, 88B⁹, 8C⁰, 2B⁰, 4B⁰, 22C², 1A⁰, 44D⁴</t>
        </is>
      </c>
      <c r="O6994" t="inlineStr"/>
    </row>
    <row r="6995">
      <c r="A6995">
        <f>HYPERLINK("https://mathstats.uncg.edu/sites/pauli/congruence/csg21.html#group176C21", "176C²¹")</f>
        <v/>
      </c>
      <c r="B6995" t="n">
        <v>21</v>
      </c>
      <c r="C6995" t="inlineStr"/>
      <c r="D6995" t="inlineStr">
        <is>
          <t>288</t>
        </is>
      </c>
      <c r="E6995" t="inlineStr">
        <is>
          <t>1</t>
        </is>
      </c>
      <c r="F6995" t="inlineStr">
        <is>
          <t>72</t>
        </is>
      </c>
      <c r="G6995" t="inlineStr">
        <is>
          <t>0</t>
        </is>
      </c>
      <c r="H6995" t="inlineStr">
        <is>
          <t>0</t>
        </is>
      </c>
      <c r="I6995" t="inlineStr">
        <is>
          <t>2², 4¹, 16¹, 22², 44¹, 176¹</t>
        </is>
      </c>
      <c r="J6995" t="n">
        <v>8</v>
      </c>
      <c r="K6995" t="inlineStr">
        <is>
          <t>1⁸, 2², 10⁴, 20¹</t>
        </is>
      </c>
      <c r="L6995" t="inlineStr">
        <is>
          <t>16A¹, 88B⁹</t>
        </is>
      </c>
      <c r="M6995" t="inlineStr"/>
      <c r="N6995" t="inlineStr">
        <is>
          <t>11A¹, 16A¹, 88B⁹, 8C⁰, 2B⁰, 4B⁰, 22C², 1A⁰, 44D⁴</t>
        </is>
      </c>
      <c r="O6995" t="inlineStr"/>
    </row>
    <row r="6996">
      <c r="A6996">
        <f>HYPERLINK("https://mathstats.uncg.edu/sites/pauli/congruence/csg21.html#group178A21", "178A²¹")</f>
        <v/>
      </c>
      <c r="B6996" t="n">
        <v>21</v>
      </c>
      <c r="C6996" t="inlineStr">
        <is>
          <t>Γ₀(178)</t>
        </is>
      </c>
      <c r="D6996" t="inlineStr">
        <is>
          <t>270</t>
        </is>
      </c>
      <c r="E6996" t="inlineStr">
        <is>
          <t>1</t>
        </is>
      </c>
      <c r="F6996" t="inlineStr">
        <is>
          <t>270</t>
        </is>
      </c>
      <c r="G6996" t="inlineStr">
        <is>
          <t>2</t>
        </is>
      </c>
      <c r="H6996" t="inlineStr">
        <is>
          <t>0</t>
        </is>
      </c>
      <c r="I6996" t="inlineStr">
        <is>
          <t>1¹, 2¹, 89¹, 178¹</t>
        </is>
      </c>
      <c r="J6996" t="n">
        <v>4</v>
      </c>
      <c r="K6996" t="inlineStr">
        <is>
          <t>1⁶, 88³</t>
        </is>
      </c>
      <c r="L6996" t="inlineStr">
        <is>
          <t>2B⁰, 89A⁷</t>
        </is>
      </c>
      <c r="M6996" t="inlineStr"/>
      <c r="N6996" t="inlineStr">
        <is>
          <t>89A⁷, 1A⁰, 2B⁰</t>
        </is>
      </c>
      <c r="O6996" t="inlineStr"/>
    </row>
    <row r="6997">
      <c r="A6997">
        <f>HYPERLINK("https://mathstats.uncg.edu/sites/pauli/congruence/csg21.html#group180A21", "180A²¹")</f>
        <v/>
      </c>
      <c r="B6997" t="n">
        <v>21</v>
      </c>
      <c r="C6997" t="inlineStr"/>
      <c r="D6997" t="inlineStr">
        <is>
          <t>270</t>
        </is>
      </c>
      <c r="E6997" t="inlineStr">
        <is>
          <t>1</t>
        </is>
      </c>
      <c r="F6997" t="inlineStr">
        <is>
          <t>135</t>
        </is>
      </c>
      <c r="G6997" t="inlineStr">
        <is>
          <t>4</t>
        </is>
      </c>
      <c r="H6997" t="inlineStr">
        <is>
          <t>0</t>
        </is>
      </c>
      <c r="I6997" t="inlineStr">
        <is>
          <t>45², 180¹</t>
        </is>
      </c>
      <c r="J6997" t="n">
        <v>3</v>
      </c>
      <c r="K6997" t="inlineStr">
        <is>
          <t>1³, 2³, 4³, 6³, 8³, 24³</t>
        </is>
      </c>
      <c r="L6997" t="inlineStr">
        <is>
          <t>36D³, 60C⁶, 90D¹⁰</t>
        </is>
      </c>
      <c r="M6997" t="inlineStr"/>
      <c r="N6997" t="inlineStr">
        <is>
          <t>5A⁰, 60C⁶, 15A¹, 90D¹⁰, 10B¹, 2B⁰, 1A⁰, 30D³, 9A⁰, 12D⁰, 18E¹, 3A⁰, 36D³, 6D⁰, 45A³</t>
        </is>
      </c>
      <c r="O6997" t="inlineStr"/>
    </row>
    <row r="6998">
      <c r="A6998">
        <f>HYPERLINK("https://mathstats.uncg.edu/sites/pauli/congruence/csg21.html#group180B21", "180B²¹")</f>
        <v/>
      </c>
      <c r="B6998" t="n">
        <v>21</v>
      </c>
      <c r="C6998" t="inlineStr"/>
      <c r="D6998" t="inlineStr">
        <is>
          <t>270</t>
        </is>
      </c>
      <c r="E6998" t="inlineStr">
        <is>
          <t>1</t>
        </is>
      </c>
      <c r="F6998" t="inlineStr">
        <is>
          <t>135</t>
        </is>
      </c>
      <c r="G6998" t="inlineStr">
        <is>
          <t>6</t>
        </is>
      </c>
      <c r="H6998" t="inlineStr">
        <is>
          <t>0</t>
        </is>
      </c>
      <c r="I6998" t="inlineStr">
        <is>
          <t>90¹, 180¹</t>
        </is>
      </c>
      <c r="J6998" t="n">
        <v>2</v>
      </c>
      <c r="K6998" t="inlineStr">
        <is>
          <t>1³, 2³, 4³, 6³, 8³, 24³</t>
        </is>
      </c>
      <c r="L6998" t="inlineStr">
        <is>
          <t>36E³, 60B⁷, 90D¹⁰</t>
        </is>
      </c>
      <c r="M6998" t="inlineStr"/>
      <c r="N6998" t="inlineStr">
        <is>
          <t>5A⁰, 36E³, 90D¹⁰, 10B¹, 60B⁷, 2B⁰, 1A⁰, 30D³, 12C¹, 6D⁰, 9A⁰, 18E¹, 3A⁰, 15A¹, 45A³</t>
        </is>
      </c>
      <c r="O6998" t="inlineStr"/>
    </row>
    <row r="6999">
      <c r="A6999">
        <f>HYPERLINK("https://mathstats.uncg.edu/sites/pauli/congruence/csg21.html#group180C21", "180C²¹")</f>
        <v/>
      </c>
      <c r="B6999" t="n">
        <v>21</v>
      </c>
      <c r="C6999" t="inlineStr"/>
      <c r="D6999" t="inlineStr">
        <is>
          <t>288</t>
        </is>
      </c>
      <c r="E6999" t="inlineStr">
        <is>
          <t>1</t>
        </is>
      </c>
      <c r="F6999" t="inlineStr">
        <is>
          <t>24</t>
        </is>
      </c>
      <c r="G6999" t="inlineStr">
        <is>
          <t>0</t>
        </is>
      </c>
      <c r="H6999" t="inlineStr">
        <is>
          <t>0</t>
        </is>
      </c>
      <c r="I6999" t="inlineStr">
        <is>
          <t>4³, 20³, 36¹, 180¹</t>
        </is>
      </c>
      <c r="J6999" t="n">
        <v>8</v>
      </c>
      <c r="K6999" t="inlineStr">
        <is>
          <t>1⁴, 2², 4², 8¹</t>
        </is>
      </c>
      <c r="L6999" t="inlineStr">
        <is>
          <t>60D⁷, 90E⁹</t>
        </is>
      </c>
      <c r="M6999" t="inlineStr"/>
      <c r="N6999" t="inlineStr">
        <is>
          <t>15C¹, 3B⁰, 2A⁰, 18C¹, 6C⁰, 5B⁰, 9B⁰, 10A¹, 1A⁰, 90E⁹, 45D³, 30G³, 60D⁷</t>
        </is>
      </c>
      <c r="O6999" t="inlineStr"/>
    </row>
    <row r="7000">
      <c r="A7000">
        <f>HYPERLINK("https://mathstats.uncg.edu/sites/pauli/congruence/csg21.html#group180D21", "180D²¹")</f>
        <v/>
      </c>
      <c r="B7000" t="n">
        <v>21</v>
      </c>
      <c r="C7000" t="inlineStr"/>
      <c r="D7000" t="inlineStr">
        <is>
          <t>288</t>
        </is>
      </c>
      <c r="E7000" t="inlineStr">
        <is>
          <t>1</t>
        </is>
      </c>
      <c r="F7000" t="inlineStr">
        <is>
          <t>24</t>
        </is>
      </c>
      <c r="G7000" t="inlineStr">
        <is>
          <t>0</t>
        </is>
      </c>
      <c r="H7000" t="inlineStr">
        <is>
          <t>0</t>
        </is>
      </c>
      <c r="I7000" t="inlineStr">
        <is>
          <t>4³, 20³, 36¹, 180¹</t>
        </is>
      </c>
      <c r="J7000" t="n">
        <v>8</v>
      </c>
      <c r="K7000" t="inlineStr">
        <is>
          <t>1⁴, 2², 4², 8¹</t>
        </is>
      </c>
      <c r="L7000" t="inlineStr">
        <is>
          <t>36A³, 60E⁷, 90E⁹</t>
        </is>
      </c>
      <c r="M7000" t="inlineStr"/>
      <c r="N7000" t="inlineStr">
        <is>
          <t>3B⁰, 15C¹, 2A⁰, 60E⁷, 18C¹, 6C⁰, 5B⁰, 9B⁰, 45D³, 10A¹, 90E⁹, 30G³, 1A⁰, 36A³, 12B⁰</t>
        </is>
      </c>
      <c r="O7000" t="inlineStr"/>
    </row>
    <row r="7001">
      <c r="A7001">
        <f>HYPERLINK("https://mathstats.uncg.edu/sites/pauli/congruence/csg21.html#group180E21", "180E²¹")</f>
        <v/>
      </c>
      <c r="B7001" t="n">
        <v>21</v>
      </c>
      <c r="C7001" t="inlineStr"/>
      <c r="D7001" t="inlineStr">
        <is>
          <t>288</t>
        </is>
      </c>
      <c r="E7001" t="inlineStr">
        <is>
          <t>1</t>
        </is>
      </c>
      <c r="F7001" t="inlineStr">
        <is>
          <t>48</t>
        </is>
      </c>
      <c r="G7001" t="inlineStr">
        <is>
          <t>0</t>
        </is>
      </c>
      <c r="H7001" t="inlineStr">
        <is>
          <t>0</t>
        </is>
      </c>
      <c r="I7001" t="inlineStr">
        <is>
          <t>4³, 20³, 36¹, 180¹</t>
        </is>
      </c>
      <c r="J7001" t="n">
        <v>8</v>
      </c>
      <c r="K7001" t="inlineStr">
        <is>
          <t>2⁸, 8⁴</t>
        </is>
      </c>
      <c r="L7001" t="inlineStr">
        <is>
          <t>60D⁷, 90F⁹</t>
        </is>
      </c>
      <c r="M7001" t="inlineStr"/>
      <c r="N7001" t="inlineStr">
        <is>
          <t>15C¹, 3B⁰, 2A⁰, 18C⁰, 90F⁹, 6C⁰, 5B⁰, 10A¹, 1A⁰, 30G³, 60D⁷</t>
        </is>
      </c>
      <c r="O7001" t="inlineStr"/>
    </row>
    <row r="7002">
      <c r="A7002">
        <f>HYPERLINK("https://mathstats.uncg.edu/sites/pauli/congruence/csg21.html#group180F21", "180F²¹")</f>
        <v/>
      </c>
      <c r="B7002" t="n">
        <v>21</v>
      </c>
      <c r="C7002" t="inlineStr"/>
      <c r="D7002" t="inlineStr">
        <is>
          <t>288</t>
        </is>
      </c>
      <c r="E7002" t="inlineStr">
        <is>
          <t>1</t>
        </is>
      </c>
      <c r="F7002" t="inlineStr">
        <is>
          <t>48</t>
        </is>
      </c>
      <c r="G7002" t="inlineStr">
        <is>
          <t>0</t>
        </is>
      </c>
      <c r="H7002" t="inlineStr">
        <is>
          <t>0</t>
        </is>
      </c>
      <c r="I7002" t="inlineStr">
        <is>
          <t>4³, 20³, 36¹, 180¹</t>
        </is>
      </c>
      <c r="J7002" t="n">
        <v>8</v>
      </c>
      <c r="K7002" t="inlineStr">
        <is>
          <t>2⁸, 8⁴</t>
        </is>
      </c>
      <c r="L7002" t="inlineStr">
        <is>
          <t>36B¹, 60E⁷, 90F⁹</t>
        </is>
      </c>
      <c r="M7002" t="inlineStr"/>
      <c r="N7002" t="inlineStr">
        <is>
          <t>18C⁰, 3B⁰, 2A⁰, 15C¹, 90F⁹, 60E⁷, 6C⁰, 36B¹, 5B⁰, 10A¹, 30G³, 1A⁰, 12B⁰</t>
        </is>
      </c>
      <c r="O7002" t="inlineStr"/>
    </row>
    <row r="7003">
      <c r="A7003">
        <f>HYPERLINK("https://mathstats.uncg.edu/sites/pauli/congruence/csg21.html#group180G21", "180G²¹")</f>
        <v/>
      </c>
      <c r="B7003" t="n">
        <v>21</v>
      </c>
      <c r="C7003" t="inlineStr"/>
      <c r="D7003" t="inlineStr">
        <is>
          <t>288</t>
        </is>
      </c>
      <c r="E7003" t="inlineStr">
        <is>
          <t>1</t>
        </is>
      </c>
      <c r="F7003" t="inlineStr">
        <is>
          <t>96</t>
        </is>
      </c>
      <c r="G7003" t="inlineStr">
        <is>
          <t>0</t>
        </is>
      </c>
      <c r="H7003" t="inlineStr">
        <is>
          <t>0</t>
        </is>
      </c>
      <c r="I7003" t="inlineStr">
        <is>
          <t>4³, 20³, 36¹, 180¹</t>
        </is>
      </c>
      <c r="J7003" t="n">
        <v>8</v>
      </c>
      <c r="K7003" t="inlineStr">
        <is>
          <t>2⁸, 4⁴, 8⁴, 16²</t>
        </is>
      </c>
      <c r="L7003" t="inlineStr">
        <is>
          <t>36B³, 45D³, 60F⁷</t>
        </is>
      </c>
      <c r="M7003" t="inlineStr"/>
      <c r="N7003" t="inlineStr">
        <is>
          <t>3B⁰, 15C¹, 60F⁷, 4A⁰, 12A¹, 5B⁰, 9B⁰, 45D³, 36B³, 1A⁰, 20B¹</t>
        </is>
      </c>
      <c r="O7003" t="inlineStr"/>
    </row>
    <row r="7004">
      <c r="A7004">
        <f>HYPERLINK("https://mathstats.uncg.edu/sites/pauli/congruence/csg21.html#group180H21", "180H²¹")</f>
        <v/>
      </c>
      <c r="B7004" t="n">
        <v>21</v>
      </c>
      <c r="C7004" t="inlineStr"/>
      <c r="D7004" t="inlineStr">
        <is>
          <t>288</t>
        </is>
      </c>
      <c r="E7004" t="inlineStr">
        <is>
          <t>2</t>
        </is>
      </c>
      <c r="F7004" t="inlineStr">
        <is>
          <t>24</t>
        </is>
      </c>
      <c r="G7004" t="inlineStr">
        <is>
          <t>0</t>
        </is>
      </c>
      <c r="H7004" t="inlineStr">
        <is>
          <t>0</t>
        </is>
      </c>
      <c r="I7004" t="inlineStr">
        <is>
          <t>4³, 20³, 36¹, 180¹</t>
        </is>
      </c>
      <c r="J7004" t="n">
        <v>8</v>
      </c>
      <c r="K7004" t="inlineStr">
        <is>
          <t>2⁴, 4², 8², 16¹</t>
        </is>
      </c>
      <c r="L7004" t="inlineStr">
        <is>
          <t>60G⁷, 90D⁹</t>
        </is>
      </c>
      <c r="M7004" t="inlineStr"/>
      <c r="N7004" t="inlineStr">
        <is>
          <t>3B⁰, 15C¹, 20C¹, 30F³, 5B⁰, 90D⁹, 9B⁰, 45D³, 1A⁰, 60G⁷, 10B⁰</t>
        </is>
      </c>
      <c r="O7004" t="inlineStr"/>
    </row>
    <row r="7005">
      <c r="A7005">
        <f>HYPERLINK("https://mathstats.uncg.edu/sites/pauli/congruence/csg21.html#group180I21", "180I²¹")</f>
        <v/>
      </c>
      <c r="B7005" t="n">
        <v>21</v>
      </c>
      <c r="C7005" t="inlineStr"/>
      <c r="D7005" t="inlineStr">
        <is>
          <t>324</t>
        </is>
      </c>
      <c r="E7005" t="inlineStr">
        <is>
          <t>1</t>
        </is>
      </c>
      <c r="F7005" t="inlineStr">
        <is>
          <t>162</t>
        </is>
      </c>
      <c r="G7005" t="inlineStr">
        <is>
          <t>20</t>
        </is>
      </c>
      <c r="H7005" t="inlineStr">
        <is>
          <t>0</t>
        </is>
      </c>
      <c r="I7005" t="inlineStr">
        <is>
          <t>18¹, 36¹, 90¹, 180¹</t>
        </is>
      </c>
      <c r="J7005" t="n">
        <v>4</v>
      </c>
      <c r="K7005" t="inlineStr">
        <is>
          <t>1⁶, 2⁶, 4³, 6⁶, 8³, 24³</t>
        </is>
      </c>
      <c r="L7005" t="inlineStr">
        <is>
          <t>36B², 60A⁵, 90E¹⁰</t>
        </is>
      </c>
      <c r="M7005" t="inlineStr"/>
      <c r="N7005" t="inlineStr">
        <is>
          <t>20E¹, 45A², 12C⁰, 36B², 4C⁰, 90E¹⁰, 5B⁰, 2B⁰, 1A⁰, 15B⁰, 30E², 60A⁵, 9A⁰, 10C⁰, 18E¹, 3A⁰, 6D⁰</t>
        </is>
      </c>
      <c r="O7005" t="inlineStr"/>
    </row>
    <row r="7006">
      <c r="A7006">
        <f>HYPERLINK("https://mathstats.uncg.edu/sites/pauli/congruence/csg21.html#group180J21", "180J²¹")</f>
        <v/>
      </c>
      <c r="B7006" t="n">
        <v>21</v>
      </c>
      <c r="C7006" t="inlineStr"/>
      <c r="D7006" t="inlineStr">
        <is>
          <t>324</t>
        </is>
      </c>
      <c r="E7006" t="inlineStr">
        <is>
          <t>2</t>
        </is>
      </c>
      <c r="F7006" t="inlineStr">
        <is>
          <t>162</t>
        </is>
      </c>
      <c r="G7006" t="inlineStr">
        <is>
          <t>16</t>
        </is>
      </c>
      <c r="H7006" t="inlineStr">
        <is>
          <t>0</t>
        </is>
      </c>
      <c r="I7006" t="inlineStr">
        <is>
          <t>9², 36¹, 45², 180¹</t>
        </is>
      </c>
      <c r="J7006" t="n">
        <v>6</v>
      </c>
      <c r="K7006" t="inlineStr">
        <is>
          <t>2¹⁸, 6¹², 8⁹, 24⁶</t>
        </is>
      </c>
      <c r="L7006" t="inlineStr">
        <is>
          <t>36C², 60B⁵, 90E¹⁰</t>
        </is>
      </c>
      <c r="M7006" t="inlineStr"/>
      <c r="N7006" t="inlineStr">
        <is>
          <t>45A², 15B⁰, 30E², 9A⁰, 90E¹⁰, 5B⁰, 36C², 10C⁰, 2B⁰, 12D⁰, 18E¹, 3A⁰, 1A⁰, 6D⁰, 60B⁵</t>
        </is>
      </c>
      <c r="O7006" t="inlineStr"/>
    </row>
    <row r="7007">
      <c r="A7007">
        <f>HYPERLINK("https://mathstats.uncg.edu/sites/pauli/congruence/csg21.html#group184A21", "184A²¹")</f>
        <v/>
      </c>
      <c r="B7007" t="n">
        <v>21</v>
      </c>
      <c r="C7007" t="inlineStr">
        <is>
          <t>Γ₀(184)</t>
        </is>
      </c>
      <c r="D7007" t="inlineStr">
        <is>
          <t>288</t>
        </is>
      </c>
      <c r="E7007" t="inlineStr">
        <is>
          <t>1</t>
        </is>
      </c>
      <c r="F7007" t="inlineStr">
        <is>
          <t>144</t>
        </is>
      </c>
      <c r="G7007" t="inlineStr">
        <is>
          <t>0</t>
        </is>
      </c>
      <c r="H7007" t="inlineStr">
        <is>
          <t>0</t>
        </is>
      </c>
      <c r="I7007" t="inlineStr">
        <is>
          <t>1², 2¹, 8¹, 23², 46¹, 184¹</t>
        </is>
      </c>
      <c r="J7007" t="n">
        <v>8</v>
      </c>
      <c r="K7007" t="inlineStr">
        <is>
          <t>1⁸, 2², 22⁴, 44¹</t>
        </is>
      </c>
      <c r="L7007" t="inlineStr">
        <is>
          <t>8C⁰, 92A¹⁰</t>
        </is>
      </c>
      <c r="M7007" t="inlineStr"/>
      <c r="N7007" t="inlineStr">
        <is>
          <t>92A¹⁰, 8C⁰, 2B⁰, 23A², 4B⁰, 1A⁰, 46A⁵</t>
        </is>
      </c>
      <c r="O7007" t="inlineStr"/>
    </row>
    <row r="7008">
      <c r="A7008">
        <f>HYPERLINK("https://mathstats.uncg.edu/sites/pauli/congruence/csg21.html#group189A21", "189A²¹")</f>
        <v/>
      </c>
      <c r="B7008" t="n">
        <v>21</v>
      </c>
      <c r="C7008" t="inlineStr"/>
      <c r="D7008" t="inlineStr">
        <is>
          <t>252</t>
        </is>
      </c>
      <c r="E7008" t="inlineStr">
        <is>
          <t>2</t>
        </is>
      </c>
      <c r="F7008" t="inlineStr">
        <is>
          <t>84</t>
        </is>
      </c>
      <c r="G7008" t="inlineStr">
        <is>
          <t>0</t>
        </is>
      </c>
      <c r="H7008" t="inlineStr">
        <is>
          <t>0</t>
        </is>
      </c>
      <c r="I7008" t="inlineStr">
        <is>
          <t>63¹, 189¹</t>
        </is>
      </c>
      <c r="J7008" t="n">
        <v>2</v>
      </c>
      <c r="K7008" t="inlineStr">
        <is>
          <t>2², 4², 6⁴, 12⁵, 36²</t>
        </is>
      </c>
      <c r="L7008" t="inlineStr">
        <is>
          <t>27A³, 63C⁶</t>
        </is>
      </c>
      <c r="M7008" t="inlineStr"/>
      <c r="N7008" t="inlineStr">
        <is>
          <t>3B⁰, 21B², 9C⁰, 63C⁶, 1A⁰, 27A³, 7A⁰</t>
        </is>
      </c>
      <c r="O7008" t="inlineStr"/>
    </row>
    <row r="7009">
      <c r="A7009">
        <f>HYPERLINK("https://mathstats.uncg.edu/sites/pauli/congruence/csg21.html#group189B21", "189B²¹")</f>
        <v/>
      </c>
      <c r="B7009" t="n">
        <v>21</v>
      </c>
      <c r="C7009" t="inlineStr"/>
      <c r="D7009" t="inlineStr">
        <is>
          <t>288</t>
        </is>
      </c>
      <c r="E7009" t="inlineStr">
        <is>
          <t>1</t>
        </is>
      </c>
      <c r="F7009" t="inlineStr">
        <is>
          <t>96</t>
        </is>
      </c>
      <c r="G7009" t="inlineStr">
        <is>
          <t>0</t>
        </is>
      </c>
      <c r="H7009" t="inlineStr">
        <is>
          <t>0</t>
        </is>
      </c>
      <c r="I7009" t="inlineStr">
        <is>
          <t>3³, 21³, 27¹, 189¹</t>
        </is>
      </c>
      <c r="J7009" t="n">
        <v>8</v>
      </c>
      <c r="K7009" t="inlineStr">
        <is>
          <t>1⁴, 2⁴, 6⁴, 12², 36¹</t>
        </is>
      </c>
      <c r="L7009" t="inlineStr">
        <is>
          <t>27A², 63A⁵</t>
        </is>
      </c>
      <c r="M7009" t="inlineStr"/>
      <c r="N7009" t="inlineStr">
        <is>
          <t>63A⁵, 3B⁰, 9B⁰, 27A², 21B¹, 1A⁰, 7B⁰</t>
        </is>
      </c>
      <c r="O7009" t="inlineStr"/>
    </row>
    <row r="7010">
      <c r="A7010">
        <f>HYPERLINK("https://mathstats.uncg.edu/sites/pauli/congruence/csg21.html#group189C21", "189C²¹")</f>
        <v/>
      </c>
      <c r="B7010" t="n">
        <v>21</v>
      </c>
      <c r="C7010" t="inlineStr"/>
      <c r="D7010" t="inlineStr">
        <is>
          <t>288</t>
        </is>
      </c>
      <c r="E7010" t="inlineStr">
        <is>
          <t>1</t>
        </is>
      </c>
      <c r="F7010" t="inlineStr">
        <is>
          <t>96</t>
        </is>
      </c>
      <c r="G7010" t="inlineStr">
        <is>
          <t>0</t>
        </is>
      </c>
      <c r="H7010" t="inlineStr">
        <is>
          <t>6</t>
        </is>
      </c>
      <c r="I7010" t="inlineStr">
        <is>
          <t>9¹, 27¹, 63¹, 189¹</t>
        </is>
      </c>
      <c r="J7010" t="n">
        <v>4</v>
      </c>
      <c r="K7010" t="inlineStr">
        <is>
          <t>1⁴, 2⁴, 6⁴, 12², 36¹</t>
        </is>
      </c>
      <c r="L7010" t="inlineStr">
        <is>
          <t>27B², 63B⁵</t>
        </is>
      </c>
      <c r="M7010" t="inlineStr"/>
      <c r="N7010" t="inlineStr">
        <is>
          <t>3B⁰, 21B¹, 27B², 7B⁰, 63B⁵, 9C⁰, 1A⁰</t>
        </is>
      </c>
      <c r="O7010" t="inlineStr"/>
    </row>
    <row r="7011">
      <c r="A7011">
        <f>HYPERLINK("https://mathstats.uncg.edu/sites/pauli/congruence/csg21.html#group189D21", "189D²¹")</f>
        <v/>
      </c>
      <c r="B7011" t="n">
        <v>21</v>
      </c>
      <c r="C7011" t="inlineStr"/>
      <c r="D7011" t="inlineStr">
        <is>
          <t>288</t>
        </is>
      </c>
      <c r="E7011" t="inlineStr">
        <is>
          <t>2</t>
        </is>
      </c>
      <c r="F7011" t="inlineStr">
        <is>
          <t>96</t>
        </is>
      </c>
      <c r="G7011" t="inlineStr">
        <is>
          <t>0</t>
        </is>
      </c>
      <c r="H7011" t="inlineStr">
        <is>
          <t>0</t>
        </is>
      </c>
      <c r="I7011" t="inlineStr">
        <is>
          <t>3³, 21³, 27¹, 189¹</t>
        </is>
      </c>
      <c r="J7011" t="n">
        <v>8</v>
      </c>
      <c r="K7011" t="inlineStr">
        <is>
          <t>2¹², 6⁴, 12⁶, 36²</t>
        </is>
      </c>
      <c r="L7011" t="inlineStr">
        <is>
          <t>63A⁵</t>
        </is>
      </c>
      <c r="M7011" t="inlineStr"/>
      <c r="N7011" t="inlineStr">
        <is>
          <t>63A⁵, 3B⁰, 9B⁰, 21B¹, 1A⁰, 7B⁰</t>
        </is>
      </c>
      <c r="O7011" t="inlineStr"/>
    </row>
    <row r="7012">
      <c r="A7012">
        <f>HYPERLINK("https://mathstats.uncg.edu/sites/pauli/congruence/csg21.html#group189E21", "189E²¹")</f>
        <v/>
      </c>
      <c r="B7012" t="n">
        <v>21</v>
      </c>
      <c r="C7012" t="inlineStr"/>
      <c r="D7012" t="inlineStr">
        <is>
          <t>288</t>
        </is>
      </c>
      <c r="E7012" t="inlineStr">
        <is>
          <t>2</t>
        </is>
      </c>
      <c r="F7012" t="inlineStr">
        <is>
          <t>96</t>
        </is>
      </c>
      <c r="G7012" t="inlineStr">
        <is>
          <t>0</t>
        </is>
      </c>
      <c r="H7012" t="inlineStr">
        <is>
          <t>6</t>
        </is>
      </c>
      <c r="I7012" t="inlineStr">
        <is>
          <t>9¹, 27¹, 63¹, 189¹</t>
        </is>
      </c>
      <c r="J7012" t="n">
        <v>4</v>
      </c>
      <c r="K7012" t="inlineStr">
        <is>
          <t>2¹², 6⁴, 12⁶, 36²</t>
        </is>
      </c>
      <c r="L7012" t="inlineStr">
        <is>
          <t>63B⁵</t>
        </is>
      </c>
      <c r="M7012" t="inlineStr"/>
      <c r="N7012" t="inlineStr">
        <is>
          <t>3B⁰, 63B⁵, 21B¹, 9C⁰, 1A⁰, 7B⁰</t>
        </is>
      </c>
      <c r="O7012" t="inlineStr"/>
    </row>
    <row r="7013">
      <c r="A7013">
        <f>HYPERLINK("https://mathstats.uncg.edu/sites/pauli/congruence/csg21.html#group192A21", "192A²¹")</f>
        <v/>
      </c>
      <c r="B7013" t="n">
        <v>21</v>
      </c>
      <c r="C7013" t="inlineStr"/>
      <c r="D7013" t="inlineStr">
        <is>
          <t>288</t>
        </is>
      </c>
      <c r="E7013" t="inlineStr">
        <is>
          <t>1</t>
        </is>
      </c>
      <c r="F7013" t="inlineStr">
        <is>
          <t>12</t>
        </is>
      </c>
      <c r="G7013" t="inlineStr">
        <is>
          <t>0</t>
        </is>
      </c>
      <c r="H7013" t="inlineStr">
        <is>
          <t>0</t>
        </is>
      </c>
      <c r="I7013" t="inlineStr">
        <is>
          <t>6⁴, 12², 48¹, 192¹</t>
        </is>
      </c>
      <c r="J7013" t="n">
        <v>8</v>
      </c>
      <c r="K7013" t="inlineStr">
        <is>
          <t>1⁴, 2², 4¹</t>
        </is>
      </c>
      <c r="L7013" t="inlineStr">
        <is>
          <t>64A⁵, 96A⁹</t>
        </is>
      </c>
      <c r="M7013" t="inlineStr"/>
      <c r="N7013" t="inlineStr">
        <is>
          <t>24B², 32A¹, 4B⁰, 96A⁹, 16C⁰, 8C⁰, 12B¹, 2B⁰, 3A⁰, 1A⁰, 6D⁰, 48B⁴, 64A⁵</t>
        </is>
      </c>
      <c r="O7013" t="inlineStr"/>
    </row>
    <row r="7014">
      <c r="A7014">
        <f>HYPERLINK("https://mathstats.uncg.edu/sites/pauli/congruence/csg21.html#group192B21", "192B²¹")</f>
        <v/>
      </c>
      <c r="B7014" t="n">
        <v>21</v>
      </c>
      <c r="C7014" t="inlineStr"/>
      <c r="D7014" t="inlineStr">
        <is>
          <t>288</t>
        </is>
      </c>
      <c r="E7014" t="inlineStr">
        <is>
          <t>1</t>
        </is>
      </c>
      <c r="F7014" t="inlineStr">
        <is>
          <t>12</t>
        </is>
      </c>
      <c r="G7014" t="inlineStr">
        <is>
          <t>0</t>
        </is>
      </c>
      <c r="H7014" t="inlineStr">
        <is>
          <t>0</t>
        </is>
      </c>
      <c r="I7014" t="inlineStr">
        <is>
          <t>6⁴, 12², 48¹, 192¹</t>
        </is>
      </c>
      <c r="J7014" t="n">
        <v>8</v>
      </c>
      <c r="K7014" t="inlineStr">
        <is>
          <t>1⁴, 2², 4¹</t>
        </is>
      </c>
      <c r="L7014" t="inlineStr">
        <is>
          <t>64B⁵, 96A⁹</t>
        </is>
      </c>
      <c r="M7014" t="inlineStr"/>
      <c r="N7014" t="inlineStr">
        <is>
          <t>24B², 32A¹, 4B⁰, 96A⁹, 16C⁰, 8C⁰, 12B¹, 2B⁰, 3A⁰, 1A⁰, 6D⁰, 48B⁴, 64B⁵</t>
        </is>
      </c>
      <c r="O7014" t="inlineStr"/>
    </row>
    <row r="7015">
      <c r="A7015">
        <f>HYPERLINK("https://mathstats.uncg.edu/sites/pauli/congruence/csg21.html#group192C21", "192C²¹")</f>
        <v/>
      </c>
      <c r="B7015" t="n">
        <v>21</v>
      </c>
      <c r="C7015" t="inlineStr"/>
      <c r="D7015" t="inlineStr">
        <is>
          <t>288</t>
        </is>
      </c>
      <c r="E7015" t="inlineStr">
        <is>
          <t>1</t>
        </is>
      </c>
      <c r="F7015" t="inlineStr">
        <is>
          <t>36</t>
        </is>
      </c>
      <c r="G7015" t="inlineStr">
        <is>
          <t>0</t>
        </is>
      </c>
      <c r="H7015" t="inlineStr">
        <is>
          <t>0</t>
        </is>
      </c>
      <c r="I7015" t="inlineStr">
        <is>
          <t>6⁴, 12², 48¹, 192¹</t>
        </is>
      </c>
      <c r="J7015" t="n">
        <v>8</v>
      </c>
      <c r="K7015" t="inlineStr">
        <is>
          <t>1⁴, 2⁶, 4³, 8¹</t>
        </is>
      </c>
      <c r="L7015" t="inlineStr">
        <is>
          <t>96A⁹</t>
        </is>
      </c>
      <c r="M7015" t="inlineStr"/>
      <c r="N7015" t="inlineStr">
        <is>
          <t>24B², 32A¹, 4B⁰, 96A⁹, 16C⁰, 8C⁰, 12B¹, 2B⁰, 3A⁰, 1A⁰, 6D⁰, 48B⁴</t>
        </is>
      </c>
      <c r="O7015" t="inlineStr"/>
    </row>
    <row r="7016">
      <c r="A7016">
        <f>HYPERLINK("https://mathstats.uncg.edu/sites/pauli/congruence/csg21.html#group192D21", "192D²¹")</f>
        <v/>
      </c>
      <c r="B7016" t="n">
        <v>21</v>
      </c>
      <c r="C7016" t="inlineStr"/>
      <c r="D7016" t="inlineStr">
        <is>
          <t>288</t>
        </is>
      </c>
      <c r="E7016" t="inlineStr">
        <is>
          <t>1</t>
        </is>
      </c>
      <c r="F7016" t="inlineStr">
        <is>
          <t>36</t>
        </is>
      </c>
      <c r="G7016" t="inlineStr">
        <is>
          <t>0</t>
        </is>
      </c>
      <c r="H7016" t="inlineStr">
        <is>
          <t>0</t>
        </is>
      </c>
      <c r="I7016" t="inlineStr">
        <is>
          <t>6⁴, 12², 48¹, 192¹</t>
        </is>
      </c>
      <c r="J7016" t="n">
        <v>8</v>
      </c>
      <c r="K7016" t="inlineStr">
        <is>
          <t>1⁴, 2⁶, 4³, 8¹</t>
        </is>
      </c>
      <c r="L7016" t="inlineStr">
        <is>
          <t>96A⁹</t>
        </is>
      </c>
      <c r="M7016" t="inlineStr"/>
      <c r="N7016" t="inlineStr">
        <is>
          <t>24B², 32A¹, 4B⁰, 96A⁹, 16C⁰, 8C⁰, 12B¹, 2B⁰, 3A⁰, 1A⁰, 6D⁰, 48B⁴</t>
        </is>
      </c>
      <c r="O7016" t="inlineStr"/>
    </row>
    <row r="7017">
      <c r="A7017">
        <f>HYPERLINK("https://mathstats.uncg.edu/sites/pauli/congruence/csg21.html#group192E21", "192E²¹")</f>
        <v/>
      </c>
      <c r="B7017" t="n">
        <v>21</v>
      </c>
      <c r="C7017" t="inlineStr"/>
      <c r="D7017" t="inlineStr">
        <is>
          <t>288</t>
        </is>
      </c>
      <c r="E7017" t="inlineStr">
        <is>
          <t>2</t>
        </is>
      </c>
      <c r="F7017" t="inlineStr">
        <is>
          <t>48</t>
        </is>
      </c>
      <c r="G7017" t="inlineStr">
        <is>
          <t>12</t>
        </is>
      </c>
      <c r="H7017" t="inlineStr">
        <is>
          <t>0</t>
        </is>
      </c>
      <c r="I7017" t="inlineStr">
        <is>
          <t>96¹, 192¹</t>
        </is>
      </c>
      <c r="J7017" t="n">
        <v>2</v>
      </c>
      <c r="K7017" t="inlineStr">
        <is>
          <t>4¹⁶, 8⁸, 16⁴</t>
        </is>
      </c>
      <c r="L7017" t="inlineStr">
        <is>
          <t>64G⁷, 96C⁹</t>
        </is>
      </c>
      <c r="M7017" t="inlineStr"/>
      <c r="N7017" t="inlineStr">
        <is>
          <t>16D¹, 12C⁰, 48E³, 24A⁰, 6D⁰, 4C⁰, 8B⁰, 32E³, 2B⁰, 96C⁹, 3A⁰, 1A⁰, 64G⁷</t>
        </is>
      </c>
      <c r="O7017" t="inlineStr"/>
    </row>
    <row r="7018">
      <c r="A7018">
        <f>HYPERLINK("https://mathstats.uncg.edu/sites/pauli/congruence/csg21.html#group192F21", "192F²¹")</f>
        <v/>
      </c>
      <c r="B7018" t="n">
        <v>21</v>
      </c>
      <c r="C7018" t="inlineStr"/>
      <c r="D7018" t="inlineStr">
        <is>
          <t>288</t>
        </is>
      </c>
      <c r="E7018" t="inlineStr">
        <is>
          <t>2</t>
        </is>
      </c>
      <c r="F7018" t="inlineStr">
        <is>
          <t>48</t>
        </is>
      </c>
      <c r="G7018" t="inlineStr">
        <is>
          <t>12</t>
        </is>
      </c>
      <c r="H7018" t="inlineStr">
        <is>
          <t>0</t>
        </is>
      </c>
      <c r="I7018" t="inlineStr">
        <is>
          <t>96¹, 192¹</t>
        </is>
      </c>
      <c r="J7018" t="n">
        <v>2</v>
      </c>
      <c r="K7018" t="inlineStr">
        <is>
          <t>4¹⁶, 8⁸, 16⁴</t>
        </is>
      </c>
      <c r="L7018" t="inlineStr">
        <is>
          <t>64H⁷, 96C⁹</t>
        </is>
      </c>
      <c r="M7018" t="inlineStr"/>
      <c r="N7018" t="inlineStr">
        <is>
          <t>12C⁰, 4C⁰, 8B⁰, 2B⁰, 64H⁷, 1A⁰, 16D¹, 48E³, 24A⁰, 32E³, 96C⁹, 3A⁰, 6D⁰</t>
        </is>
      </c>
      <c r="O7018" t="inlineStr"/>
    </row>
    <row r="7019">
      <c r="A7019">
        <f>HYPERLINK("https://mathstats.uncg.edu/sites/pauli/congruence/csg21.html#group192G21", "192G²¹")</f>
        <v/>
      </c>
      <c r="B7019" t="n">
        <v>21</v>
      </c>
      <c r="C7019" t="inlineStr"/>
      <c r="D7019" t="inlineStr">
        <is>
          <t>288</t>
        </is>
      </c>
      <c r="E7019" t="inlineStr">
        <is>
          <t>2</t>
        </is>
      </c>
      <c r="F7019" t="inlineStr">
        <is>
          <t>48</t>
        </is>
      </c>
      <c r="G7019" t="inlineStr">
        <is>
          <t>12</t>
        </is>
      </c>
      <c r="H7019" t="inlineStr">
        <is>
          <t>0</t>
        </is>
      </c>
      <c r="I7019" t="inlineStr">
        <is>
          <t>96¹, 192¹</t>
        </is>
      </c>
      <c r="J7019" t="n">
        <v>2</v>
      </c>
      <c r="K7019" t="inlineStr">
        <is>
          <t>4¹⁶, 8⁸, 16⁴</t>
        </is>
      </c>
      <c r="L7019" t="inlineStr">
        <is>
          <t>64I⁷, 96E⁹</t>
        </is>
      </c>
      <c r="M7019" t="inlineStr"/>
      <c r="N7019" t="inlineStr">
        <is>
          <t>16D¹, 12C⁰, 64I⁷, 48E³, 24A⁰, 4C⁰, 8B⁰, 2B⁰, 32G³, 3A⁰, 1A⁰, 96E⁹, 6D⁰</t>
        </is>
      </c>
      <c r="O7019" t="inlineStr"/>
    </row>
    <row r="7020">
      <c r="A7020">
        <f>HYPERLINK("https://mathstats.uncg.edu/sites/pauli/congruence/csg21.html#group192H21", "192H²¹")</f>
        <v/>
      </c>
      <c r="B7020" t="n">
        <v>21</v>
      </c>
      <c r="C7020" t="inlineStr"/>
      <c r="D7020" t="inlineStr">
        <is>
          <t>288</t>
        </is>
      </c>
      <c r="E7020" t="inlineStr">
        <is>
          <t>2</t>
        </is>
      </c>
      <c r="F7020" t="inlineStr">
        <is>
          <t>48</t>
        </is>
      </c>
      <c r="G7020" t="inlineStr">
        <is>
          <t>12</t>
        </is>
      </c>
      <c r="H7020" t="inlineStr">
        <is>
          <t>0</t>
        </is>
      </c>
      <c r="I7020" t="inlineStr">
        <is>
          <t>96¹, 192¹</t>
        </is>
      </c>
      <c r="J7020" t="n">
        <v>2</v>
      </c>
      <c r="K7020" t="inlineStr">
        <is>
          <t>4¹⁶, 8⁸, 16⁴</t>
        </is>
      </c>
      <c r="L7020" t="inlineStr">
        <is>
          <t>64J⁷, 96E⁹</t>
        </is>
      </c>
      <c r="M7020" t="inlineStr"/>
      <c r="N7020" t="inlineStr">
        <is>
          <t>16D¹, 12C⁰, 48E³, 24A⁰, 64J⁷, 4C⁰, 8B⁰, 2B⁰, 32G³, 3A⁰, 1A⁰, 96E⁹, 6D⁰</t>
        </is>
      </c>
      <c r="O7020" t="inlineStr"/>
    </row>
    <row r="7021">
      <c r="A7021">
        <f>HYPERLINK("https://mathstats.uncg.edu/sites/pauli/congruence/csg21.html#group192I21", "192I²¹")</f>
        <v/>
      </c>
      <c r="B7021" t="n">
        <v>21</v>
      </c>
      <c r="C7021" t="inlineStr"/>
      <c r="D7021" t="inlineStr">
        <is>
          <t>288</t>
        </is>
      </c>
      <c r="E7021" t="inlineStr">
        <is>
          <t>2</t>
        </is>
      </c>
      <c r="F7021" t="inlineStr">
        <is>
          <t>144</t>
        </is>
      </c>
      <c r="G7021" t="inlineStr">
        <is>
          <t>12</t>
        </is>
      </c>
      <c r="H7021" t="inlineStr">
        <is>
          <t>0</t>
        </is>
      </c>
      <c r="I7021" t="inlineStr">
        <is>
          <t>96¹, 192¹</t>
        </is>
      </c>
      <c r="J7021" t="n">
        <v>2</v>
      </c>
      <c r="K7021" t="inlineStr">
        <is>
          <t>4¹⁶, 8²⁴, 16¹², 32⁴</t>
        </is>
      </c>
      <c r="L7021" t="inlineStr">
        <is>
          <t>96C⁹</t>
        </is>
      </c>
      <c r="M7021" t="inlineStr"/>
      <c r="N7021" t="inlineStr">
        <is>
          <t>16D¹, 12C⁰, 48E³, 24A⁰, 4C⁰, 8B⁰, 32E³, 2B⁰, 96C⁹, 3A⁰, 1A⁰, 6D⁰</t>
        </is>
      </c>
      <c r="O7021" t="inlineStr"/>
    </row>
    <row r="7022">
      <c r="A7022">
        <f>HYPERLINK("https://mathstats.uncg.edu/sites/pauli/congruence/csg21.html#group192J21", "192J²¹")</f>
        <v/>
      </c>
      <c r="B7022" t="n">
        <v>21</v>
      </c>
      <c r="C7022" t="inlineStr"/>
      <c r="D7022" t="inlineStr">
        <is>
          <t>288</t>
        </is>
      </c>
      <c r="E7022" t="inlineStr">
        <is>
          <t>2</t>
        </is>
      </c>
      <c r="F7022" t="inlineStr">
        <is>
          <t>144</t>
        </is>
      </c>
      <c r="G7022" t="inlineStr">
        <is>
          <t>12</t>
        </is>
      </c>
      <c r="H7022" t="inlineStr">
        <is>
          <t>0</t>
        </is>
      </c>
      <c r="I7022" t="inlineStr">
        <is>
          <t>96¹, 192¹</t>
        </is>
      </c>
      <c r="J7022" t="n">
        <v>2</v>
      </c>
      <c r="K7022" t="inlineStr">
        <is>
          <t>4¹⁶, 8²⁴, 16¹², 32⁴</t>
        </is>
      </c>
      <c r="L7022" t="inlineStr">
        <is>
          <t>96C⁹</t>
        </is>
      </c>
      <c r="M7022" t="inlineStr"/>
      <c r="N7022" t="inlineStr">
        <is>
          <t>16D¹, 12C⁰, 48E³, 24A⁰, 4C⁰, 8B⁰, 32E³, 2B⁰, 96C⁹, 3A⁰, 1A⁰, 6D⁰</t>
        </is>
      </c>
      <c r="O7022" t="inlineStr"/>
    </row>
    <row r="7023">
      <c r="A7023">
        <f>HYPERLINK("https://mathstats.uncg.edu/sites/pauli/congruence/csg21.html#group192K21", "192K²¹")</f>
        <v/>
      </c>
      <c r="B7023" t="n">
        <v>21</v>
      </c>
      <c r="C7023" t="inlineStr"/>
      <c r="D7023" t="inlineStr">
        <is>
          <t>288</t>
        </is>
      </c>
      <c r="E7023" t="inlineStr">
        <is>
          <t>2</t>
        </is>
      </c>
      <c r="F7023" t="inlineStr">
        <is>
          <t>144</t>
        </is>
      </c>
      <c r="G7023" t="inlineStr">
        <is>
          <t>12</t>
        </is>
      </c>
      <c r="H7023" t="inlineStr">
        <is>
          <t>0</t>
        </is>
      </c>
      <c r="I7023" t="inlineStr">
        <is>
          <t>96¹, 192¹</t>
        </is>
      </c>
      <c r="J7023" t="n">
        <v>2</v>
      </c>
      <c r="K7023" t="inlineStr">
        <is>
          <t>4¹⁶, 8²⁴, 16¹², 32⁴</t>
        </is>
      </c>
      <c r="L7023" t="inlineStr">
        <is>
          <t>96E⁹</t>
        </is>
      </c>
      <c r="M7023" t="inlineStr"/>
      <c r="N7023" t="inlineStr">
        <is>
          <t>16D¹, 12C⁰, 48E³, 24A⁰, 4C⁰, 8B⁰, 2B⁰, 32G³, 3A⁰, 1A⁰, 96E⁹, 6D⁰</t>
        </is>
      </c>
      <c r="O7023" t="inlineStr"/>
    </row>
    <row r="7024">
      <c r="A7024">
        <f>HYPERLINK("https://mathstats.uncg.edu/sites/pauli/congruence/csg21.html#group192L21", "192L²¹")</f>
        <v/>
      </c>
      <c r="B7024" t="n">
        <v>21</v>
      </c>
      <c r="C7024" t="inlineStr"/>
      <c r="D7024" t="inlineStr">
        <is>
          <t>288</t>
        </is>
      </c>
      <c r="E7024" t="inlineStr">
        <is>
          <t>2</t>
        </is>
      </c>
      <c r="F7024" t="inlineStr">
        <is>
          <t>144</t>
        </is>
      </c>
      <c r="G7024" t="inlineStr">
        <is>
          <t>12</t>
        </is>
      </c>
      <c r="H7024" t="inlineStr">
        <is>
          <t>0</t>
        </is>
      </c>
      <c r="I7024" t="inlineStr">
        <is>
          <t>96¹, 192¹</t>
        </is>
      </c>
      <c r="J7024" t="n">
        <v>2</v>
      </c>
      <c r="K7024" t="inlineStr">
        <is>
          <t>4¹⁶, 8²⁴, 16¹², 32⁴</t>
        </is>
      </c>
      <c r="L7024" t="inlineStr">
        <is>
          <t>96E⁹</t>
        </is>
      </c>
      <c r="M7024" t="inlineStr"/>
      <c r="N7024" t="inlineStr">
        <is>
          <t>16D¹, 12C⁰, 48E³, 24A⁰, 4C⁰, 8B⁰, 2B⁰, 32G³, 3A⁰, 1A⁰, 96E⁹, 6D⁰</t>
        </is>
      </c>
      <c r="O7024" t="inlineStr"/>
    </row>
    <row r="7025">
      <c r="A7025">
        <f>HYPERLINK("https://mathstats.uncg.edu/sites/pauli/congruence/csg21.html#group192M21", "192M²¹")</f>
        <v/>
      </c>
      <c r="B7025" t="n">
        <v>21</v>
      </c>
      <c r="C7025" t="inlineStr"/>
      <c r="D7025" t="inlineStr">
        <is>
          <t>384</t>
        </is>
      </c>
      <c r="E7025" t="inlineStr">
        <is>
          <t>1</t>
        </is>
      </c>
      <c r="F7025" t="inlineStr">
        <is>
          <t>48</t>
        </is>
      </c>
      <c r="G7025" t="inlineStr">
        <is>
          <t>0</t>
        </is>
      </c>
      <c r="H7025" t="inlineStr">
        <is>
          <t>0</t>
        </is>
      </c>
      <c r="I7025" t="inlineStr">
        <is>
          <t>1⁸, 3⁸, 4², 12², 16¹, 48¹, 64¹, 192¹</t>
        </is>
      </c>
      <c r="J7025" t="n">
        <v>24</v>
      </c>
      <c r="K7025" t="inlineStr">
        <is>
          <t>1⁸, 2⁸, 4⁴, 8¹</t>
        </is>
      </c>
      <c r="L7025" t="inlineStr">
        <is>
          <t>96M⁹</t>
        </is>
      </c>
      <c r="M7025" t="inlineStr"/>
      <c r="N7025" t="inlineStr">
        <is>
          <t>3B⁰, 96M⁹, 32A¹, 48J³, 16C⁰, 24G¹, 6F⁰, 8C⁰, 2B⁰, 4B⁰, 1A⁰, 12E⁰</t>
        </is>
      </c>
      <c r="O7025" t="inlineStr"/>
    </row>
    <row r="7026">
      <c r="A7026">
        <f>HYPERLINK("https://mathstats.uncg.edu/sites/pauli/congruence/csg21.html#group192N21", "192N²¹")</f>
        <v/>
      </c>
      <c r="B7026" t="n">
        <v>21</v>
      </c>
      <c r="C7026" t="inlineStr"/>
      <c r="D7026" t="inlineStr">
        <is>
          <t>384</t>
        </is>
      </c>
      <c r="E7026" t="inlineStr">
        <is>
          <t>1</t>
        </is>
      </c>
      <c r="F7026" t="inlineStr">
        <is>
          <t>48</t>
        </is>
      </c>
      <c r="G7026" t="inlineStr">
        <is>
          <t>0</t>
        </is>
      </c>
      <c r="H7026" t="inlineStr">
        <is>
          <t>0</t>
        </is>
      </c>
      <c r="I7026" t="inlineStr">
        <is>
          <t>1⁸, 3⁸, 4², 12², 16¹, 48¹, 64¹, 192¹</t>
        </is>
      </c>
      <c r="J7026" t="n">
        <v>24</v>
      </c>
      <c r="K7026" t="inlineStr">
        <is>
          <t>1⁸, 2⁸, 4⁴, 8¹</t>
        </is>
      </c>
      <c r="L7026" t="inlineStr">
        <is>
          <t>96M⁹</t>
        </is>
      </c>
      <c r="M7026" t="inlineStr"/>
      <c r="N7026" t="inlineStr">
        <is>
          <t>3B⁰, 96M⁹, 32A¹, 48J³, 16C⁰, 24G¹, 6F⁰, 8C⁰, 2B⁰, 4B⁰, 1A⁰, 12E⁰</t>
        </is>
      </c>
      <c r="O7026" t="inlineStr"/>
    </row>
    <row r="7027">
      <c r="A7027">
        <f>HYPERLINK("https://mathstats.uncg.edu/sites/pauli/congruence/csg21.html#group192O21", "192O²¹")</f>
        <v/>
      </c>
      <c r="B7027" t="n">
        <v>21</v>
      </c>
      <c r="C7027" t="inlineStr"/>
      <c r="D7027" t="inlineStr">
        <is>
          <t>384</t>
        </is>
      </c>
      <c r="E7027" t="inlineStr">
        <is>
          <t>1</t>
        </is>
      </c>
      <c r="F7027" t="inlineStr">
        <is>
          <t>48</t>
        </is>
      </c>
      <c r="G7027" t="inlineStr">
        <is>
          <t>0</t>
        </is>
      </c>
      <c r="H7027" t="inlineStr">
        <is>
          <t>0</t>
        </is>
      </c>
      <c r="I7027" t="inlineStr">
        <is>
          <t>1⁸, 3⁸, 4², 12², 16¹, 48¹, 64¹, 192¹</t>
        </is>
      </c>
      <c r="J7027" t="n">
        <v>24</v>
      </c>
      <c r="K7027" t="inlineStr">
        <is>
          <t>1⁸, 2⁸, 4⁴, 8¹</t>
        </is>
      </c>
      <c r="L7027" t="inlineStr">
        <is>
          <t>64A³, 96M⁹</t>
        </is>
      </c>
      <c r="M7027" t="inlineStr"/>
      <c r="N7027" t="inlineStr">
        <is>
          <t>3B⁰, 96M⁹, 24G¹, 8C⁰, 2B⁰, 4B⁰, 1A⁰, 32A¹, 48J³, 16C⁰, 64A³, 6F⁰, 12E⁰</t>
        </is>
      </c>
      <c r="O7027" t="inlineStr"/>
    </row>
    <row r="7028">
      <c r="A7028">
        <f>HYPERLINK("https://mathstats.uncg.edu/sites/pauli/congruence/csg21.html#group192P21", "192P²¹")</f>
        <v/>
      </c>
      <c r="B7028" t="n">
        <v>21</v>
      </c>
      <c r="C7028" t="inlineStr">
        <is>
          <t>Γ₀(192)</t>
        </is>
      </c>
      <c r="D7028" t="inlineStr">
        <is>
          <t>384</t>
        </is>
      </c>
      <c r="E7028" t="inlineStr">
        <is>
          <t>1</t>
        </is>
      </c>
      <c r="F7028" t="inlineStr">
        <is>
          <t>48</t>
        </is>
      </c>
      <c r="G7028" t="inlineStr">
        <is>
          <t>0</t>
        </is>
      </c>
      <c r="H7028" t="inlineStr">
        <is>
          <t>0</t>
        </is>
      </c>
      <c r="I7028" t="inlineStr">
        <is>
          <t>1⁸, 3⁸, 4², 12², 16¹, 48¹, 64¹, 192¹</t>
        </is>
      </c>
      <c r="J7028" t="n">
        <v>24</v>
      </c>
      <c r="K7028" t="inlineStr">
        <is>
          <t>1⁸, 2⁸, 4⁴, 8¹</t>
        </is>
      </c>
      <c r="L7028" t="inlineStr">
        <is>
          <t>64B³, 96M⁹</t>
        </is>
      </c>
      <c r="M7028" t="inlineStr"/>
      <c r="N7028" t="inlineStr">
        <is>
          <t>3B⁰, 96M⁹, 24G¹, 64B³, 8C⁰, 2B⁰, 4B⁰, 1A⁰, 32A¹, 48J³, 16C⁰, 6F⁰, 12E⁰</t>
        </is>
      </c>
      <c r="O7028" t="inlineStr"/>
    </row>
    <row r="7029">
      <c r="A7029">
        <f>HYPERLINK("https://mathstats.uncg.edu/sites/pauli/congruence/csg21.html#group195A21", "195A²¹")</f>
        <v/>
      </c>
      <c r="B7029" t="n">
        <v>21</v>
      </c>
      <c r="C7029" t="inlineStr"/>
      <c r="D7029" t="inlineStr">
        <is>
          <t>280</t>
        </is>
      </c>
      <c r="E7029" t="inlineStr">
        <is>
          <t>1</t>
        </is>
      </c>
      <c r="F7029" t="inlineStr">
        <is>
          <t>280</t>
        </is>
      </c>
      <c r="G7029" t="inlineStr">
        <is>
          <t>0</t>
        </is>
      </c>
      <c r="H7029" t="inlineStr">
        <is>
          <t>4</t>
        </is>
      </c>
      <c r="I7029" t="inlineStr">
        <is>
          <t>5¹, 15¹, 65¹, 195¹</t>
        </is>
      </c>
      <c r="J7029" t="n">
        <v>4</v>
      </c>
      <c r="K7029" t="inlineStr">
        <is>
          <t>1⁴, 2², 4⁴, 8², 12², 24¹, 48², 96¹</t>
        </is>
      </c>
      <c r="L7029" t="inlineStr">
        <is>
          <t>15B¹, 39A³, 65A⁴</t>
        </is>
      </c>
      <c r="M7029" t="inlineStr"/>
      <c r="N7029" t="inlineStr">
        <is>
          <t>3B⁰, 5A⁰, 39A³, 13A⁰, 15B¹, 1A⁰, 65A⁴</t>
        </is>
      </c>
      <c r="O7029" t="inlineStr"/>
    </row>
    <row r="7030">
      <c r="A7030">
        <f>HYPERLINK("https://mathstats.uncg.edu/sites/pauli/congruence/csg21.html#group196A21", "196A²¹")</f>
        <v/>
      </c>
      <c r="B7030" t="n">
        <v>21</v>
      </c>
      <c r="C7030" t="inlineStr"/>
      <c r="D7030" t="inlineStr">
        <is>
          <t>336</t>
        </is>
      </c>
      <c r="E7030" t="inlineStr">
        <is>
          <t>1</t>
        </is>
      </c>
      <c r="F7030" t="inlineStr">
        <is>
          <t>168</t>
        </is>
      </c>
      <c r="G7030" t="inlineStr">
        <is>
          <t>0</t>
        </is>
      </c>
      <c r="H7030" t="inlineStr">
        <is>
          <t>0</t>
        </is>
      </c>
      <c r="I7030" t="inlineStr">
        <is>
          <t>2⁷, 4⁷, 98¹, 196¹</t>
        </is>
      </c>
      <c r="J7030" t="n">
        <v>16</v>
      </c>
      <c r="K7030" t="inlineStr">
        <is>
          <t>1⁶, 6⁶, 42³</t>
        </is>
      </c>
      <c r="L7030" t="inlineStr">
        <is>
          <t>28C³, 98A⁷</t>
        </is>
      </c>
      <c r="M7030" t="inlineStr"/>
      <c r="N7030" t="inlineStr">
        <is>
          <t>98A⁷, 7B⁰, 4C⁰, 14C¹, 49A¹, 2B⁰, 28C³, 1A⁰</t>
        </is>
      </c>
      <c r="O7030" t="inlineStr"/>
    </row>
    <row r="7031">
      <c r="A7031">
        <f>HYPERLINK("https://mathstats.uncg.edu/sites/pauli/congruence/csg21.html#group198A21", "198A²¹")</f>
        <v/>
      </c>
      <c r="B7031" t="n">
        <v>21</v>
      </c>
      <c r="C7031" t="inlineStr"/>
      <c r="D7031" t="inlineStr">
        <is>
          <t>264</t>
        </is>
      </c>
      <c r="E7031" t="inlineStr">
        <is>
          <t>2</t>
        </is>
      </c>
      <c r="F7031" t="inlineStr">
        <is>
          <t>44</t>
        </is>
      </c>
      <c r="G7031" t="inlineStr">
        <is>
          <t>0</t>
        </is>
      </c>
      <c r="H7031" t="inlineStr">
        <is>
          <t>0</t>
        </is>
      </c>
      <c r="I7031" t="inlineStr">
        <is>
          <t>22³, 198¹</t>
        </is>
      </c>
      <c r="J7031" t="n">
        <v>4</v>
      </c>
      <c r="K7031" t="inlineStr">
        <is>
          <t>2², 4¹, 10⁴, 20²</t>
        </is>
      </c>
      <c r="L7031" t="inlineStr">
        <is>
          <t>18C¹, 66E⁶, 99A¹⁰</t>
        </is>
      </c>
      <c r="M7031" t="inlineStr"/>
      <c r="N7031" t="inlineStr">
        <is>
          <t>11A⁰, 3B⁰, 2A⁰, 22A¹, 33B³, 18C¹, 6C⁰, 99A¹⁰, 9B⁰, 66E⁶, 1A⁰</t>
        </is>
      </c>
      <c r="O7031" t="inlineStr"/>
    </row>
    <row r="7032">
      <c r="A7032">
        <f>HYPERLINK("https://mathstats.uncg.edu/sites/pauli/congruence/csg21.html#group198B21", "198B²¹")</f>
        <v/>
      </c>
      <c r="B7032" t="n">
        <v>21</v>
      </c>
      <c r="C7032" t="inlineStr"/>
      <c r="D7032" t="inlineStr">
        <is>
          <t>288</t>
        </is>
      </c>
      <c r="E7032" t="inlineStr">
        <is>
          <t>1</t>
        </is>
      </c>
      <c r="F7032" t="inlineStr">
        <is>
          <t>48</t>
        </is>
      </c>
      <c r="G7032" t="inlineStr">
        <is>
          <t>0</t>
        </is>
      </c>
      <c r="H7032" t="inlineStr">
        <is>
          <t>0</t>
        </is>
      </c>
      <c r="I7032" t="inlineStr">
        <is>
          <t>2³, 18¹, 22³, 198¹</t>
        </is>
      </c>
      <c r="J7032" t="n">
        <v>8</v>
      </c>
      <c r="K7032" t="inlineStr">
        <is>
          <t>1⁴, 2², 10², 20¹</t>
        </is>
      </c>
      <c r="L7032" t="inlineStr">
        <is>
          <t>66A⁷, 99C⁹</t>
        </is>
      </c>
      <c r="M7032" t="inlineStr"/>
      <c r="N7032" t="inlineStr">
        <is>
          <t>3B⁰, 11A¹, 9B⁰, 99C⁹, 1A⁰, 66A⁷, 33C³</t>
        </is>
      </c>
      <c r="O7032" t="inlineStr"/>
    </row>
    <row r="7033">
      <c r="A7033">
        <f>HYPERLINK("https://mathstats.uncg.edu/sites/pauli/congruence/csg21.html#group198C21", "198C²¹")</f>
        <v/>
      </c>
      <c r="B7033" t="n">
        <v>21</v>
      </c>
      <c r="C7033" t="inlineStr"/>
      <c r="D7033" t="inlineStr">
        <is>
          <t>288</t>
        </is>
      </c>
      <c r="E7033" t="inlineStr">
        <is>
          <t>1</t>
        </is>
      </c>
      <c r="F7033" t="inlineStr">
        <is>
          <t>48</t>
        </is>
      </c>
      <c r="G7033" t="inlineStr">
        <is>
          <t>0</t>
        </is>
      </c>
      <c r="H7033" t="inlineStr">
        <is>
          <t>0</t>
        </is>
      </c>
      <c r="I7033" t="inlineStr">
        <is>
          <t>2³, 18¹, 22³, 198¹</t>
        </is>
      </c>
      <c r="J7033" t="n">
        <v>8</v>
      </c>
      <c r="K7033" t="inlineStr">
        <is>
          <t>1⁴, 2², 10², 20¹</t>
        </is>
      </c>
      <c r="L7033" t="inlineStr">
        <is>
          <t>18C¹, 66B⁷, 99C⁹</t>
        </is>
      </c>
      <c r="M7033" t="inlineStr"/>
      <c r="N7033" t="inlineStr">
        <is>
          <t>3B⁰, 2A⁰, 11A¹, 18C¹, 22A², 6C⁰, 9B⁰, 99C⁹, 1A⁰, 66B⁷, 33C³</t>
        </is>
      </c>
      <c r="O7033" t="inlineStr"/>
    </row>
    <row r="7034">
      <c r="A7034">
        <f>HYPERLINK("https://mathstats.uncg.edu/sites/pauli/congruence/csg21.html#group198D21", "198D²¹")</f>
        <v/>
      </c>
      <c r="B7034" t="n">
        <v>21</v>
      </c>
      <c r="C7034" t="inlineStr"/>
      <c r="D7034" t="inlineStr">
        <is>
          <t>288</t>
        </is>
      </c>
      <c r="E7034" t="inlineStr">
        <is>
          <t>1</t>
        </is>
      </c>
      <c r="F7034" t="inlineStr">
        <is>
          <t>96</t>
        </is>
      </c>
      <c r="G7034" t="inlineStr">
        <is>
          <t>0</t>
        </is>
      </c>
      <c r="H7034" t="inlineStr">
        <is>
          <t>0</t>
        </is>
      </c>
      <c r="I7034" t="inlineStr">
        <is>
          <t>2³, 18¹, 22³, 198¹</t>
        </is>
      </c>
      <c r="J7034" t="n">
        <v>8</v>
      </c>
      <c r="K7034" t="inlineStr">
        <is>
          <t>2⁸, 20⁴</t>
        </is>
      </c>
      <c r="L7034" t="inlineStr">
        <is>
          <t>18C⁰, 66B⁷</t>
        </is>
      </c>
      <c r="M7034" t="inlineStr"/>
      <c r="N7034" t="inlineStr">
        <is>
          <t>18C⁰, 3B⁰, 2A⁰, 11A¹, 22A², 6C⁰, 1A⁰, 66B⁷, 33C³</t>
        </is>
      </c>
      <c r="O7034" t="inlineStr"/>
    </row>
    <row r="7035">
      <c r="A7035">
        <f>HYPERLINK("https://mathstats.uncg.edu/sites/pauli/congruence/csg21.html#group198E21", "198E²¹")</f>
        <v/>
      </c>
      <c r="B7035" t="n">
        <v>21</v>
      </c>
      <c r="C7035" t="inlineStr"/>
      <c r="D7035" t="inlineStr">
        <is>
          <t>297</t>
        </is>
      </c>
      <c r="E7035" t="inlineStr">
        <is>
          <t>2</t>
        </is>
      </c>
      <c r="F7035" t="inlineStr">
        <is>
          <t>297</t>
        </is>
      </c>
      <c r="G7035" t="inlineStr">
        <is>
          <t>15</t>
        </is>
      </c>
      <c r="H7035" t="inlineStr">
        <is>
          <t>0</t>
        </is>
      </c>
      <c r="I7035" t="inlineStr">
        <is>
          <t>99¹, 198¹</t>
        </is>
      </c>
      <c r="J7035" t="n">
        <v>2</v>
      </c>
      <c r="K7035" t="inlineStr">
        <is>
          <t>2³, 4³, 10⁶, 12³, 20⁶, 60⁶</t>
        </is>
      </c>
      <c r="L7035" t="inlineStr">
        <is>
          <t>18E¹, 99A⁵, 66F⁶</t>
        </is>
      </c>
      <c r="M7035" t="inlineStr"/>
      <c r="N7035" t="inlineStr">
        <is>
          <t>11A⁰, 9A⁰, 33A¹, 99A⁵, 22B², 2B⁰, 66F⁶, 18E¹, 3A⁰, 1A⁰, 6D⁰</t>
        </is>
      </c>
      <c r="O7035" t="inlineStr"/>
    </row>
    <row r="7036">
      <c r="A7036">
        <f>HYPERLINK("https://mathstats.uncg.edu/sites/pauli/congruence/csg21.html#group200A21", "200A²¹")</f>
        <v/>
      </c>
      <c r="B7036" t="n">
        <v>21</v>
      </c>
      <c r="C7036" t="inlineStr"/>
      <c r="D7036" t="inlineStr">
        <is>
          <t>360</t>
        </is>
      </c>
      <c r="E7036" t="inlineStr">
        <is>
          <t>1</t>
        </is>
      </c>
      <c r="F7036" t="inlineStr">
        <is>
          <t>180</t>
        </is>
      </c>
      <c r="G7036" t="inlineStr">
        <is>
          <t>4</t>
        </is>
      </c>
      <c r="H7036" t="inlineStr">
        <is>
          <t>0</t>
        </is>
      </c>
      <c r="I7036" t="inlineStr">
        <is>
          <t>2¹⁰, 8⁵, 50², 200¹</t>
        </is>
      </c>
      <c r="J7036" t="n">
        <v>18</v>
      </c>
      <c r="K7036" t="inlineStr">
        <is>
          <t>1⁴, 2⁴, 4⁴, 8⁴, 20², 40²</t>
        </is>
      </c>
      <c r="L7036" t="inlineStr">
        <is>
          <t>40G³, 100I⁹</t>
        </is>
      </c>
      <c r="M7036" t="inlineStr"/>
      <c r="N7036" t="inlineStr">
        <is>
          <t>20E¹, 100I⁹, 4C⁰, 5B⁰, 10C⁰, 25A⁰, 2B⁰, 50B², 1A⁰, 40G³</t>
        </is>
      </c>
      <c r="O7036" t="inlineStr"/>
    </row>
    <row r="7037">
      <c r="A7037">
        <f>HYPERLINK("https://mathstats.uncg.edu/sites/pauli/congruence/csg21.html#group200B21", "200B²¹")</f>
        <v/>
      </c>
      <c r="B7037" t="n">
        <v>21</v>
      </c>
      <c r="C7037" t="inlineStr"/>
      <c r="D7037" t="inlineStr">
        <is>
          <t>360</t>
        </is>
      </c>
      <c r="E7037" t="inlineStr">
        <is>
          <t>1</t>
        </is>
      </c>
      <c r="F7037" t="inlineStr">
        <is>
          <t>180</t>
        </is>
      </c>
      <c r="G7037" t="inlineStr">
        <is>
          <t>4</t>
        </is>
      </c>
      <c r="H7037" t="inlineStr">
        <is>
          <t>0</t>
        </is>
      </c>
      <c r="I7037" t="inlineStr">
        <is>
          <t>2¹⁰, 8⁵, 50², 200¹</t>
        </is>
      </c>
      <c r="J7037" t="n">
        <v>18</v>
      </c>
      <c r="K7037" t="inlineStr">
        <is>
          <t>1⁴, 2⁴, 4⁴, 8⁴, 20², 40²</t>
        </is>
      </c>
      <c r="L7037" t="inlineStr">
        <is>
          <t>40H³, 100I⁹</t>
        </is>
      </c>
      <c r="M7037" t="inlineStr"/>
      <c r="N7037" t="inlineStr">
        <is>
          <t>20E¹, 40H³, 8D⁰, 100I⁹, 4C⁰, 5B⁰, 10C⁰, 25A⁰, 2B⁰, 50B², 1A⁰</t>
        </is>
      </c>
      <c r="O7037" t="inlineStr"/>
    </row>
    <row r="7038">
      <c r="A7038">
        <f>HYPERLINK("https://mathstats.uncg.edu/sites/pauli/congruence/csg21.html#group200C21", "200C²¹")</f>
        <v/>
      </c>
      <c r="B7038" t="n">
        <v>21</v>
      </c>
      <c r="C7038" t="inlineStr"/>
      <c r="D7038" t="inlineStr">
        <is>
          <t>360</t>
        </is>
      </c>
      <c r="E7038" t="inlineStr">
        <is>
          <t>2</t>
        </is>
      </c>
      <c r="F7038" t="inlineStr">
        <is>
          <t>90</t>
        </is>
      </c>
      <c r="G7038" t="inlineStr">
        <is>
          <t>4</t>
        </is>
      </c>
      <c r="H7038" t="inlineStr">
        <is>
          <t>0</t>
        </is>
      </c>
      <c r="I7038" t="inlineStr">
        <is>
          <t>2¹⁰, 8⁵, 50², 200¹</t>
        </is>
      </c>
      <c r="J7038" t="n">
        <v>18</v>
      </c>
      <c r="K7038" t="inlineStr">
        <is>
          <t>2⁶, 8⁶, 40³</t>
        </is>
      </c>
      <c r="L7038" t="inlineStr">
        <is>
          <t>40I³, 100A⁶</t>
        </is>
      </c>
      <c r="M7038" t="inlineStr"/>
      <c r="N7038" t="inlineStr">
        <is>
          <t>20A⁰, 100A⁶, 40I³, 5B⁰, 10C⁰, 25A⁰, 2B⁰, 50B², 1A⁰</t>
        </is>
      </c>
      <c r="O7038" t="inlineStr"/>
    </row>
    <row r="7039">
      <c r="A7039">
        <f>HYPERLINK("https://mathstats.uncg.edu/sites/pauli/congruence/csg21.html#group201A21", "201A²¹")</f>
        <v/>
      </c>
      <c r="B7039" t="n">
        <v>21</v>
      </c>
      <c r="C7039" t="inlineStr">
        <is>
          <t>Γ₀(201)</t>
        </is>
      </c>
      <c r="D7039" t="inlineStr">
        <is>
          <t>272</t>
        </is>
      </c>
      <c r="E7039" t="inlineStr">
        <is>
          <t>1</t>
        </is>
      </c>
      <c r="F7039" t="inlineStr">
        <is>
          <t>272</t>
        </is>
      </c>
      <c r="G7039" t="inlineStr">
        <is>
          <t>0</t>
        </is>
      </c>
      <c r="H7039" t="inlineStr">
        <is>
          <t>2</t>
        </is>
      </c>
      <c r="I7039" t="inlineStr">
        <is>
          <t>1¹, 3¹, 67¹, 201¹</t>
        </is>
      </c>
      <c r="J7039" t="n">
        <v>4</v>
      </c>
      <c r="K7039" t="inlineStr">
        <is>
          <t>1⁴, 2², 66², 132¹</t>
        </is>
      </c>
      <c r="L7039" t="inlineStr">
        <is>
          <t>3B⁰, 67A⁵</t>
        </is>
      </c>
      <c r="M7039" t="inlineStr"/>
      <c r="N7039" t="inlineStr">
        <is>
          <t>3B⁰, 1A⁰, 67A⁵</t>
        </is>
      </c>
      <c r="O7039" t="inlineStr"/>
    </row>
    <row r="7040">
      <c r="A7040">
        <f>HYPERLINK("https://mathstats.uncg.edu/sites/pauli/congruence/csg21.html#group207A21", "207A²¹")</f>
        <v/>
      </c>
      <c r="B7040" t="n">
        <v>21</v>
      </c>
      <c r="C7040" t="inlineStr">
        <is>
          <t>Γ₀(207)</t>
        </is>
      </c>
      <c r="D7040" t="inlineStr">
        <is>
          <t>288</t>
        </is>
      </c>
      <c r="E7040" t="inlineStr">
        <is>
          <t>1</t>
        </is>
      </c>
      <c r="F7040" t="inlineStr">
        <is>
          <t>96</t>
        </is>
      </c>
      <c r="G7040" t="inlineStr">
        <is>
          <t>0</t>
        </is>
      </c>
      <c r="H7040" t="inlineStr">
        <is>
          <t>0</t>
        </is>
      </c>
      <c r="I7040" t="inlineStr">
        <is>
          <t>1³, 9¹, 23³, 207¹</t>
        </is>
      </c>
      <c r="J7040" t="n">
        <v>8</v>
      </c>
      <c r="K7040" t="inlineStr">
        <is>
          <t>1⁴, 2², 22², 44¹</t>
        </is>
      </c>
      <c r="L7040" t="inlineStr">
        <is>
          <t>9B⁰, 69A⁷</t>
        </is>
      </c>
      <c r="M7040" t="inlineStr"/>
      <c r="N7040" t="inlineStr">
        <is>
          <t>3B⁰, 9B⁰, 69A⁷, 23A², 1A⁰</t>
        </is>
      </c>
      <c r="O7040" t="inlineStr"/>
    </row>
    <row r="7041">
      <c r="A7041">
        <f>HYPERLINK("https://mathstats.uncg.edu/sites/pauli/congruence/csg21.html#group210A21", "210A²¹")</f>
        <v/>
      </c>
      <c r="B7041" t="n">
        <v>21</v>
      </c>
      <c r="C7041" t="inlineStr"/>
      <c r="D7041" t="inlineStr">
        <is>
          <t>252</t>
        </is>
      </c>
      <c r="E7041" t="inlineStr">
        <is>
          <t>2</t>
        </is>
      </c>
      <c r="F7041" t="inlineStr">
        <is>
          <t>42</t>
        </is>
      </c>
      <c r="G7041" t="inlineStr">
        <is>
          <t>0</t>
        </is>
      </c>
      <c r="H7041" t="inlineStr">
        <is>
          <t>0</t>
        </is>
      </c>
      <c r="I7041" t="inlineStr">
        <is>
          <t>42¹, 210¹</t>
        </is>
      </c>
      <c r="J7041" t="n">
        <v>2</v>
      </c>
      <c r="K7041" t="inlineStr">
        <is>
          <t>2², 6⁴, 8¹, 24²</t>
        </is>
      </c>
      <c r="L7041" t="inlineStr">
        <is>
          <t>30B³, 42A⁴, 105C⁶, 70A⁷</t>
        </is>
      </c>
      <c r="M7041" t="inlineStr"/>
      <c r="N7041" t="inlineStr">
        <is>
          <t>35C², 2A⁰, 14A¹, 5B⁰, 21A⁰, 10A¹, 42A⁴, 1A⁰, 30B³, 15B⁰, 105C⁶, 70A⁷, 6A¹, 3A⁰, 7A⁰</t>
        </is>
      </c>
      <c r="O7041" t="inlineStr"/>
    </row>
    <row r="7042">
      <c r="A7042">
        <f>HYPERLINK("https://mathstats.uncg.edu/sites/pauli/congruence/csg21.html#group210B21", "210B²¹")</f>
        <v/>
      </c>
      <c r="B7042" t="n">
        <v>21</v>
      </c>
      <c r="C7042" t="inlineStr"/>
      <c r="D7042" t="inlineStr">
        <is>
          <t>252</t>
        </is>
      </c>
      <c r="E7042" t="inlineStr">
        <is>
          <t>2</t>
        </is>
      </c>
      <c r="F7042" t="inlineStr">
        <is>
          <t>84</t>
        </is>
      </c>
      <c r="G7042" t="inlineStr">
        <is>
          <t>0</t>
        </is>
      </c>
      <c r="H7042" t="inlineStr">
        <is>
          <t>0</t>
        </is>
      </c>
      <c r="I7042" t="inlineStr">
        <is>
          <t>42¹, 210¹</t>
        </is>
      </c>
      <c r="J7042" t="n">
        <v>2</v>
      </c>
      <c r="K7042" t="inlineStr">
        <is>
          <t>4², 12⁴, 16¹, 48²</t>
        </is>
      </c>
      <c r="L7042" t="inlineStr">
        <is>
          <t>30C³, 42A³, 70A⁷</t>
        </is>
      </c>
      <c r="M7042" t="inlineStr"/>
      <c r="N7042" t="inlineStr">
        <is>
          <t>35C², 2A⁰, 6A⁰, 30C³, 42A³, 14A¹, 5B⁰, 10A¹, 70A⁷, 1A⁰, 7A⁰</t>
        </is>
      </c>
      <c r="O7042" t="inlineStr"/>
    </row>
    <row r="7043">
      <c r="A7043">
        <f>HYPERLINK("https://mathstats.uncg.edu/sites/pauli/congruence/csg21.html#group215A21", "215A²¹")</f>
        <v/>
      </c>
      <c r="B7043" t="n">
        <v>21</v>
      </c>
      <c r="C7043" t="inlineStr">
        <is>
          <t>Γ₀(215)</t>
        </is>
      </c>
      <c r="D7043" t="inlineStr">
        <is>
          <t>264</t>
        </is>
      </c>
      <c r="E7043" t="inlineStr">
        <is>
          <t>1</t>
        </is>
      </c>
      <c r="F7043" t="inlineStr">
        <is>
          <t>264</t>
        </is>
      </c>
      <c r="G7043" t="inlineStr">
        <is>
          <t>0</t>
        </is>
      </c>
      <c r="H7043" t="inlineStr">
        <is>
          <t>0</t>
        </is>
      </c>
      <c r="I7043" t="inlineStr">
        <is>
          <t>1¹, 5¹, 43¹, 215¹</t>
        </is>
      </c>
      <c r="J7043" t="n">
        <v>4</v>
      </c>
      <c r="K7043" t="inlineStr">
        <is>
          <t>1⁴, 4², 42², 168¹</t>
        </is>
      </c>
      <c r="L7043" t="inlineStr">
        <is>
          <t>5B⁰, 43A³</t>
        </is>
      </c>
      <c r="M7043" t="inlineStr"/>
      <c r="N7043" t="inlineStr">
        <is>
          <t>5B⁰, 1A⁰, 43A³</t>
        </is>
      </c>
      <c r="O7043" t="inlineStr"/>
    </row>
    <row r="7044">
      <c r="A7044">
        <f>HYPERLINK("https://mathstats.uncg.edu/sites/pauli/congruence/csg21.html#group216A21", "216A²¹")</f>
        <v/>
      </c>
      <c r="B7044" t="n">
        <v>21</v>
      </c>
      <c r="C7044" t="inlineStr"/>
      <c r="D7044" t="inlineStr">
        <is>
          <t>288</t>
        </is>
      </c>
      <c r="E7044" t="inlineStr">
        <is>
          <t>2</t>
        </is>
      </c>
      <c r="F7044" t="inlineStr">
        <is>
          <t>48</t>
        </is>
      </c>
      <c r="G7044" t="inlineStr">
        <is>
          <t>0</t>
        </is>
      </c>
      <c r="H7044" t="inlineStr">
        <is>
          <t>0</t>
        </is>
      </c>
      <c r="I7044" t="inlineStr">
        <is>
          <t>8⁶, 24¹, 216¹</t>
        </is>
      </c>
      <c r="J7044" t="n">
        <v>8</v>
      </c>
      <c r="K7044" t="inlineStr">
        <is>
          <t>4⁴, 8⁴, 24²</t>
        </is>
      </c>
      <c r="L7044" t="inlineStr">
        <is>
          <t>72A⁷, 108C⁹</t>
        </is>
      </c>
      <c r="M7044" t="inlineStr"/>
      <c r="N7044" t="inlineStr">
        <is>
          <t>3B⁰, 72A⁷, 24A², 4A⁰, 12A¹, 8A⁰, 9B⁰, 27A⁰, 36B³, 1A⁰, 108C⁹</t>
        </is>
      </c>
      <c r="O7044" t="inlineStr"/>
    </row>
    <row r="7045">
      <c r="A7045">
        <f>HYPERLINK("https://mathstats.uncg.edu/sites/pauli/congruence/csg21.html#group216B21", "216B²¹")</f>
        <v/>
      </c>
      <c r="B7045" t="n">
        <v>21</v>
      </c>
      <c r="C7045" t="inlineStr"/>
      <c r="D7045" t="inlineStr">
        <is>
          <t>432</t>
        </is>
      </c>
      <c r="E7045" t="inlineStr">
        <is>
          <t>1</t>
        </is>
      </c>
      <c r="F7045" t="inlineStr">
        <is>
          <t>72</t>
        </is>
      </c>
      <c r="G7045" t="inlineStr">
        <is>
          <t>0</t>
        </is>
      </c>
      <c r="H7045" t="inlineStr">
        <is>
          <t>0</t>
        </is>
      </c>
      <c r="I7045" t="inlineStr">
        <is>
          <t>1¹², 2⁶, 3², 6¹, 8⁶, 24¹, 27², 54¹, 216¹</t>
        </is>
      </c>
      <c r="J7045" t="n">
        <v>32</v>
      </c>
      <c r="K7045" t="inlineStr">
        <is>
          <t>1⁸, 2¹⁰, 4², 6⁴, 12¹</t>
        </is>
      </c>
      <c r="L7045" t="inlineStr">
        <is>
          <t>72B⁵, 108A⁷</t>
        </is>
      </c>
      <c r="M7045" t="inlineStr"/>
      <c r="N7045" t="inlineStr">
        <is>
          <t>3B⁰, 54B², 18E⁰, 108A⁷, 72B⁵, 24G¹, 6F⁰, 27A⁰, 9B⁰, 2B⁰, 8C⁰, 36C¹, 4B⁰, 1A⁰, 12E⁰</t>
        </is>
      </c>
      <c r="O7045" t="inlineStr"/>
    </row>
    <row r="7046">
      <c r="A7046">
        <f>HYPERLINK("https://mathstats.uncg.edu/sites/pauli/congruence/csg21.html#group224A21", "224A²¹")</f>
        <v/>
      </c>
      <c r="B7046" t="n">
        <v>21</v>
      </c>
      <c r="C7046" t="inlineStr"/>
      <c r="D7046" t="inlineStr">
        <is>
          <t>336</t>
        </is>
      </c>
      <c r="E7046" t="inlineStr">
        <is>
          <t>2</t>
        </is>
      </c>
      <c r="F7046" t="inlineStr">
        <is>
          <t>84</t>
        </is>
      </c>
      <c r="G7046" t="inlineStr">
        <is>
          <t>28</t>
        </is>
      </c>
      <c r="H7046" t="inlineStr">
        <is>
          <t>0</t>
        </is>
      </c>
      <c r="I7046" t="inlineStr">
        <is>
          <t>112¹, 224¹</t>
        </is>
      </c>
      <c r="J7046" t="n">
        <v>2</v>
      </c>
      <c r="K7046" t="inlineStr">
        <is>
          <t>4⁶, 12¹²</t>
        </is>
      </c>
      <c r="L7046" t="inlineStr">
        <is>
          <t>112B⁸</t>
        </is>
      </c>
      <c r="M7046" t="inlineStr"/>
      <c r="N7046" t="inlineStr">
        <is>
          <t>16B⁰, 28C², 14B¹, 4C⁰, 8B⁰, 2B⁰, 112B⁸, 1A⁰, 7A⁰, 56B⁴</t>
        </is>
      </c>
      <c r="O7046" t="inlineStr"/>
    </row>
    <row r="7047">
      <c r="A7047">
        <f>HYPERLINK("https://mathstats.uncg.edu/sites/pauli/congruence/csg21.html#group231A21", "231A²¹")</f>
        <v/>
      </c>
      <c r="B7047" t="n">
        <v>21</v>
      </c>
      <c r="C7047" t="inlineStr"/>
      <c r="D7047" t="inlineStr">
        <is>
          <t>252</t>
        </is>
      </c>
      <c r="E7047" t="inlineStr">
        <is>
          <t>2</t>
        </is>
      </c>
      <c r="F7047" t="inlineStr">
        <is>
          <t>84</t>
        </is>
      </c>
      <c r="G7047" t="inlineStr">
        <is>
          <t>0</t>
        </is>
      </c>
      <c r="H7047" t="inlineStr">
        <is>
          <t>0</t>
        </is>
      </c>
      <c r="I7047" t="inlineStr">
        <is>
          <t>21¹, 231¹</t>
        </is>
      </c>
      <c r="J7047" t="n">
        <v>2</v>
      </c>
      <c r="K7047" t="inlineStr">
        <is>
          <t>2², 6⁴, 20¹, 60²</t>
        </is>
      </c>
      <c r="L7047" t="inlineStr">
        <is>
          <t>21A⁰, 33A³, 77A⁷</t>
        </is>
      </c>
      <c r="M7047" t="inlineStr"/>
      <c r="N7047" t="inlineStr">
        <is>
          <t>11A¹, 21A⁰, 77A⁷, 3A⁰, 33A³, 1A⁰, 7A⁰</t>
        </is>
      </c>
      <c r="O7047" t="inlineStr"/>
    </row>
    <row r="7048">
      <c r="A7048">
        <f>HYPERLINK("https://mathstats.uncg.edu/sites/pauli/congruence/csg21.html#group234A21", "234A²¹")</f>
        <v/>
      </c>
      <c r="B7048" t="n">
        <v>21</v>
      </c>
      <c r="C7048" t="inlineStr"/>
      <c r="D7048" t="inlineStr">
        <is>
          <t>252</t>
        </is>
      </c>
      <c r="E7048" t="inlineStr">
        <is>
          <t>1</t>
        </is>
      </c>
      <c r="F7048" t="inlineStr">
        <is>
          <t>126</t>
        </is>
      </c>
      <c r="G7048" t="inlineStr">
        <is>
          <t>0</t>
        </is>
      </c>
      <c r="H7048" t="inlineStr">
        <is>
          <t>0</t>
        </is>
      </c>
      <c r="I7048" t="inlineStr">
        <is>
          <t>18¹, 234¹</t>
        </is>
      </c>
      <c r="J7048" t="n">
        <v>2</v>
      </c>
      <c r="K7048" t="inlineStr">
        <is>
          <t>1², 2², 6², 12¹, 24¹, 72¹</t>
        </is>
      </c>
      <c r="L7048" t="inlineStr">
        <is>
          <t>18A², 78A⁷, 117A⁸</t>
        </is>
      </c>
      <c r="M7048" t="inlineStr"/>
      <c r="N7048" t="inlineStr">
        <is>
          <t>117A⁸, 39A², 2A⁰, 26A¹, 78A⁷, 9A⁰, 13A⁰, 6A¹, 18A², 3A⁰, 1A⁰</t>
        </is>
      </c>
      <c r="O7048" t="inlineStr"/>
    </row>
    <row r="7049">
      <c r="A7049">
        <f>HYPERLINK("https://mathstats.uncg.edu/sites/pauli/congruence/csg21.html#group238A21", "238A²¹")</f>
        <v/>
      </c>
      <c r="B7049" t="n">
        <v>21</v>
      </c>
      <c r="C7049" t="inlineStr"/>
      <c r="D7049" t="inlineStr">
        <is>
          <t>252</t>
        </is>
      </c>
      <c r="E7049" t="inlineStr">
        <is>
          <t>2</t>
        </is>
      </c>
      <c r="F7049" t="inlineStr">
        <is>
          <t>126</t>
        </is>
      </c>
      <c r="G7049" t="inlineStr">
        <is>
          <t>0</t>
        </is>
      </c>
      <c r="H7049" t="inlineStr">
        <is>
          <t>0</t>
        </is>
      </c>
      <c r="I7049" t="inlineStr">
        <is>
          <t>14¹, 238¹</t>
        </is>
      </c>
      <c r="J7049" t="n">
        <v>2</v>
      </c>
      <c r="K7049" t="inlineStr">
        <is>
          <t>2², 6⁴, 32¹, 96²</t>
        </is>
      </c>
      <c r="L7049" t="inlineStr">
        <is>
          <t>34A³, 119A⁹</t>
        </is>
      </c>
      <c r="M7049" t="inlineStr"/>
      <c r="N7049" t="inlineStr">
        <is>
          <t>119A⁹, 17A¹, 1A⁰, 34A³, 7A⁰</t>
        </is>
      </c>
      <c r="O7049" t="inlineStr"/>
    </row>
    <row r="7050">
      <c r="A7050">
        <f>HYPERLINK("https://mathstats.uncg.edu/sites/pauli/congruence/csg21.html#group238B21", "238B²¹")</f>
        <v/>
      </c>
      <c r="B7050" t="n">
        <v>21</v>
      </c>
      <c r="C7050" t="inlineStr"/>
      <c r="D7050" t="inlineStr">
        <is>
          <t>252</t>
        </is>
      </c>
      <c r="E7050" t="inlineStr">
        <is>
          <t>2</t>
        </is>
      </c>
      <c r="F7050" t="inlineStr">
        <is>
          <t>126</t>
        </is>
      </c>
      <c r="G7050" t="inlineStr">
        <is>
          <t>0</t>
        </is>
      </c>
      <c r="H7050" t="inlineStr">
        <is>
          <t>0</t>
        </is>
      </c>
      <c r="I7050" t="inlineStr">
        <is>
          <t>14¹, 238¹</t>
        </is>
      </c>
      <c r="J7050" t="n">
        <v>2</v>
      </c>
      <c r="K7050" t="inlineStr">
        <is>
          <t>2², 6⁴, 32¹, 96²</t>
        </is>
      </c>
      <c r="L7050" t="inlineStr">
        <is>
          <t>14A¹, 34B³, 119A⁹</t>
        </is>
      </c>
      <c r="M7050" t="inlineStr"/>
      <c r="N7050" t="inlineStr">
        <is>
          <t>119A⁹, 2A⁰, 14A¹, 17A¹, 34B³, 1A⁰, 7A⁰</t>
        </is>
      </c>
      <c r="O7050" t="inlineStr"/>
    </row>
    <row r="7051">
      <c r="A7051">
        <f>HYPERLINK("https://mathstats.uncg.edu/sites/pauli/congruence/csg21.html#group240A21", "240A²¹")</f>
        <v/>
      </c>
      <c r="B7051" t="n">
        <v>21</v>
      </c>
      <c r="C7051" t="inlineStr"/>
      <c r="D7051" t="inlineStr">
        <is>
          <t>288</t>
        </is>
      </c>
      <c r="E7051" t="inlineStr">
        <is>
          <t>2</t>
        </is>
      </c>
      <c r="F7051" t="inlineStr">
        <is>
          <t>48</t>
        </is>
      </c>
      <c r="G7051" t="inlineStr">
        <is>
          <t>12</t>
        </is>
      </c>
      <c r="H7051" t="inlineStr">
        <is>
          <t>0</t>
        </is>
      </c>
      <c r="I7051" t="inlineStr">
        <is>
          <t>48¹, 240¹</t>
        </is>
      </c>
      <c r="J7051" t="n">
        <v>2</v>
      </c>
      <c r="K7051" t="inlineStr">
        <is>
          <t>8⁴, 32²</t>
        </is>
      </c>
      <c r="L7051" t="inlineStr">
        <is>
          <t>80A⁷, 120D⁹</t>
        </is>
      </c>
      <c r="M7051" t="inlineStr"/>
      <c r="N7051" t="inlineStr">
        <is>
          <t>15B⁰, 12A⁰, 80A⁷, 24A¹, 4A⁰, 40B³, 8A⁰, 5B⁰, 60B³, 3A⁰, 120D⁹, 1A⁰, 20B¹</t>
        </is>
      </c>
      <c r="O7051" t="inlineStr"/>
    </row>
    <row r="7052">
      <c r="A7052">
        <f>HYPERLINK("https://mathstats.uncg.edu/sites/pauli/congruence/csg21.html#group240B21", "240B²¹")</f>
        <v/>
      </c>
      <c r="B7052" t="n">
        <v>21</v>
      </c>
      <c r="C7052" t="inlineStr"/>
      <c r="D7052" t="inlineStr">
        <is>
          <t>288</t>
        </is>
      </c>
      <c r="E7052" t="inlineStr">
        <is>
          <t>2</t>
        </is>
      </c>
      <c r="F7052" t="inlineStr">
        <is>
          <t>48</t>
        </is>
      </c>
      <c r="G7052" t="inlineStr">
        <is>
          <t>12</t>
        </is>
      </c>
      <c r="H7052" t="inlineStr">
        <is>
          <t>0</t>
        </is>
      </c>
      <c r="I7052" t="inlineStr">
        <is>
          <t>48¹, 240¹</t>
        </is>
      </c>
      <c r="J7052" t="n">
        <v>2</v>
      </c>
      <c r="K7052" t="inlineStr">
        <is>
          <t>8⁴, 32²</t>
        </is>
      </c>
      <c r="L7052" t="inlineStr">
        <is>
          <t>48A³, 80B⁷, 120D⁹</t>
        </is>
      </c>
      <c r="M7052" t="inlineStr"/>
      <c r="N7052" t="inlineStr">
        <is>
          <t>15B⁰, 12A⁰, 48A³, 24A¹, 16A⁰, 80B⁷, 4A⁰, 40B³, 8A⁰, 5B⁰, 60B³, 3A⁰, 120D⁹, 1A⁰, 20B¹</t>
        </is>
      </c>
      <c r="O7052" t="inlineStr"/>
    </row>
    <row r="7053">
      <c r="A7053">
        <f>HYPERLINK("https://mathstats.uncg.edu/sites/pauli/congruence/csg21.html#group240C21", "240C²¹")</f>
        <v/>
      </c>
      <c r="B7053" t="n">
        <v>21</v>
      </c>
      <c r="C7053" t="inlineStr"/>
      <c r="D7053" t="inlineStr">
        <is>
          <t>288</t>
        </is>
      </c>
      <c r="E7053" t="inlineStr">
        <is>
          <t>2</t>
        </is>
      </c>
      <c r="F7053" t="inlineStr">
        <is>
          <t>144</t>
        </is>
      </c>
      <c r="G7053" t="inlineStr">
        <is>
          <t>12</t>
        </is>
      </c>
      <c r="H7053" t="inlineStr">
        <is>
          <t>0</t>
        </is>
      </c>
      <c r="I7053" t="inlineStr">
        <is>
          <t>48¹, 240¹</t>
        </is>
      </c>
      <c r="J7053" t="n">
        <v>2</v>
      </c>
      <c r="K7053" t="inlineStr">
        <is>
          <t>8⁴, 16⁴, 32², 64²</t>
        </is>
      </c>
      <c r="L7053" t="inlineStr">
        <is>
          <t>120D⁹</t>
        </is>
      </c>
      <c r="M7053" t="inlineStr"/>
      <c r="N7053" t="inlineStr">
        <is>
          <t>15B⁰, 12A⁰, 24A¹, 4A⁰, 40B³, 8A⁰, 5B⁰, 60B³, 3A⁰, 120D⁹, 1A⁰, 20B¹</t>
        </is>
      </c>
      <c r="O7053" t="inlineStr"/>
    </row>
    <row r="7054">
      <c r="A7054">
        <f>HYPERLINK("https://mathstats.uncg.edu/sites/pauli/congruence/csg21.html#group240D21", "240D²¹")</f>
        <v/>
      </c>
      <c r="B7054" t="n">
        <v>21</v>
      </c>
      <c r="C7054" t="inlineStr"/>
      <c r="D7054" t="inlineStr">
        <is>
          <t>288</t>
        </is>
      </c>
      <c r="E7054" t="inlineStr">
        <is>
          <t>2</t>
        </is>
      </c>
      <c r="F7054" t="inlineStr">
        <is>
          <t>144</t>
        </is>
      </c>
      <c r="G7054" t="inlineStr">
        <is>
          <t>12</t>
        </is>
      </c>
      <c r="H7054" t="inlineStr">
        <is>
          <t>0</t>
        </is>
      </c>
      <c r="I7054" t="inlineStr">
        <is>
          <t>48¹, 240¹</t>
        </is>
      </c>
      <c r="J7054" t="n">
        <v>2</v>
      </c>
      <c r="K7054" t="inlineStr">
        <is>
          <t>8⁴, 16⁴, 32², 64²</t>
        </is>
      </c>
      <c r="L7054" t="inlineStr">
        <is>
          <t>48B³, 120D⁹</t>
        </is>
      </c>
      <c r="M7054" t="inlineStr"/>
      <c r="N7054" t="inlineStr">
        <is>
          <t>15B⁰, 12A⁰, 24A¹, 4A⁰, 40B³, 8A⁰, 5B⁰, 60B³, 3A⁰, 120D⁹, 1A⁰, 20B¹, 48B³</t>
        </is>
      </c>
      <c r="O7054" t="inlineStr"/>
    </row>
    <row r="7055">
      <c r="A7055">
        <f>HYPERLINK("https://mathstats.uncg.edu/sites/pauli/congruence/csg21.html#group245A21", "245A²¹")</f>
        <v/>
      </c>
      <c r="B7055" t="n">
        <v>21</v>
      </c>
      <c r="C7055" t="inlineStr">
        <is>
          <t>Γ₀(245)</t>
        </is>
      </c>
      <c r="D7055" t="inlineStr">
        <is>
          <t>336</t>
        </is>
      </c>
      <c r="E7055" t="inlineStr">
        <is>
          <t>1</t>
        </is>
      </c>
      <c r="F7055" t="inlineStr">
        <is>
          <t>336</t>
        </is>
      </c>
      <c r="G7055" t="inlineStr">
        <is>
          <t>0</t>
        </is>
      </c>
      <c r="H7055" t="inlineStr">
        <is>
          <t>0</t>
        </is>
      </c>
      <c r="I7055" t="inlineStr">
        <is>
          <t>1⁷, 5⁷, 49¹, 245¹</t>
        </is>
      </c>
      <c r="J7055" t="n">
        <v>16</v>
      </c>
      <c r="K7055" t="inlineStr">
        <is>
          <t>1⁴, 4², 6⁴, 24², 42², 168¹</t>
        </is>
      </c>
      <c r="L7055" t="inlineStr">
        <is>
          <t>49A¹, 35A³</t>
        </is>
      </c>
      <c r="M7055" t="inlineStr"/>
      <c r="N7055" t="inlineStr">
        <is>
          <t>49A¹, 5B⁰, 1A⁰, 7B⁰, 35A³</t>
        </is>
      </c>
      <c r="O7055" t="inlineStr"/>
    </row>
    <row r="7056">
      <c r="A7056">
        <f>HYPERLINK("https://mathstats.uncg.edu/sites/pauli/congruence/csg21.html#group246A21", "246A²¹")</f>
        <v/>
      </c>
      <c r="B7056" t="n">
        <v>21</v>
      </c>
      <c r="C7056" t="inlineStr"/>
      <c r="D7056" t="inlineStr">
        <is>
          <t>252</t>
        </is>
      </c>
      <c r="E7056" t="inlineStr">
        <is>
          <t>1</t>
        </is>
      </c>
      <c r="F7056" t="inlineStr">
        <is>
          <t>42</t>
        </is>
      </c>
      <c r="G7056" t="inlineStr">
        <is>
          <t>0</t>
        </is>
      </c>
      <c r="H7056" t="inlineStr">
        <is>
          <t>0</t>
        </is>
      </c>
      <c r="I7056" t="inlineStr">
        <is>
          <t>6¹, 246¹</t>
        </is>
      </c>
      <c r="J7056" t="n">
        <v>2</v>
      </c>
      <c r="K7056" t="inlineStr">
        <is>
          <t>1², 40¹</t>
        </is>
      </c>
      <c r="L7056" t="inlineStr">
        <is>
          <t>82A⁷, 123A⁹</t>
        </is>
      </c>
      <c r="M7056" t="inlineStr"/>
      <c r="N7056" t="inlineStr">
        <is>
          <t>123A⁹, 82A⁷, 41A³, 3A⁰, 1A⁰</t>
        </is>
      </c>
      <c r="O7056" t="inlineStr"/>
    </row>
    <row r="7057">
      <c r="A7057">
        <f>HYPERLINK("https://mathstats.uncg.edu/sites/pauli/congruence/csg21.html#group246B21", "246B²¹")</f>
        <v/>
      </c>
      <c r="B7057" t="n">
        <v>21</v>
      </c>
      <c r="C7057" t="inlineStr"/>
      <c r="D7057" t="inlineStr">
        <is>
          <t>252</t>
        </is>
      </c>
      <c r="E7057" t="inlineStr">
        <is>
          <t>1</t>
        </is>
      </c>
      <c r="F7057" t="inlineStr">
        <is>
          <t>42</t>
        </is>
      </c>
      <c r="G7057" t="inlineStr">
        <is>
          <t>0</t>
        </is>
      </c>
      <c r="H7057" t="inlineStr">
        <is>
          <t>0</t>
        </is>
      </c>
      <c r="I7057" t="inlineStr">
        <is>
          <t>6¹, 246¹</t>
        </is>
      </c>
      <c r="J7057" t="n">
        <v>2</v>
      </c>
      <c r="K7057" t="inlineStr">
        <is>
          <t>1², 40¹</t>
        </is>
      </c>
      <c r="L7057" t="inlineStr">
        <is>
          <t>6A¹, 82B⁷, 123A⁹</t>
        </is>
      </c>
      <c r="M7057" t="inlineStr"/>
      <c r="N7057" t="inlineStr">
        <is>
          <t>2A⁰, 123A⁹, 6A¹, 41A³, 3A⁰, 1A⁰, 82B⁷</t>
        </is>
      </c>
      <c r="O7057" t="inlineStr"/>
    </row>
    <row r="7058">
      <c r="A7058">
        <f>HYPERLINK("https://mathstats.uncg.edu/sites/pauli/congruence/csg21.html#group246C21", "246C²¹")</f>
        <v/>
      </c>
      <c r="B7058" t="n">
        <v>21</v>
      </c>
      <c r="C7058" t="inlineStr"/>
      <c r="D7058" t="inlineStr">
        <is>
          <t>252</t>
        </is>
      </c>
      <c r="E7058" t="inlineStr">
        <is>
          <t>1</t>
        </is>
      </c>
      <c r="F7058" t="inlineStr">
        <is>
          <t>84</t>
        </is>
      </c>
      <c r="G7058" t="inlineStr">
        <is>
          <t>0</t>
        </is>
      </c>
      <c r="H7058" t="inlineStr">
        <is>
          <t>0</t>
        </is>
      </c>
      <c r="I7058" t="inlineStr">
        <is>
          <t>6¹, 246¹</t>
        </is>
      </c>
      <c r="J7058" t="n">
        <v>2</v>
      </c>
      <c r="K7058" t="inlineStr">
        <is>
          <t>2², 80¹</t>
        </is>
      </c>
      <c r="L7058" t="inlineStr">
        <is>
          <t>6A⁰, 82B⁷</t>
        </is>
      </c>
      <c r="M7058" t="inlineStr"/>
      <c r="N7058" t="inlineStr">
        <is>
          <t>2A⁰, 41A³, 6A⁰, 1A⁰, 82B⁷</t>
        </is>
      </c>
      <c r="O7058" t="inlineStr"/>
    </row>
    <row r="7059">
      <c r="A7059">
        <f>HYPERLINK("https://mathstats.uncg.edu/sites/pauli/congruence/csg21.html#group247A21", "247A²¹")</f>
        <v/>
      </c>
      <c r="B7059" t="n">
        <v>21</v>
      </c>
      <c r="C7059" t="inlineStr">
        <is>
          <t>Γ₀(247)</t>
        </is>
      </c>
      <c r="D7059" t="inlineStr">
        <is>
          <t>280</t>
        </is>
      </c>
      <c r="E7059" t="inlineStr">
        <is>
          <t>1</t>
        </is>
      </c>
      <c r="F7059" t="inlineStr">
        <is>
          <t>280</t>
        </is>
      </c>
      <c r="G7059" t="inlineStr">
        <is>
          <t>0</t>
        </is>
      </c>
      <c r="H7059" t="inlineStr">
        <is>
          <t>4</t>
        </is>
      </c>
      <c r="I7059" t="inlineStr">
        <is>
          <t>1¹, 13¹, 19¹, 247¹</t>
        </is>
      </c>
      <c r="J7059" t="n">
        <v>4</v>
      </c>
      <c r="K7059" t="inlineStr">
        <is>
          <t>1⁴, 12², 18², 216¹</t>
        </is>
      </c>
      <c r="L7059" t="inlineStr">
        <is>
          <t>13A⁰, 19A¹</t>
        </is>
      </c>
      <c r="M7059" t="inlineStr"/>
      <c r="N7059" t="inlineStr">
        <is>
          <t>13A⁰, 19A¹, 1A⁰</t>
        </is>
      </c>
      <c r="O7059" t="inlineStr"/>
    </row>
    <row r="7060">
      <c r="A7060">
        <f>HYPERLINK("https://mathstats.uncg.edu/sites/pauli/congruence/csg21.html#group249A21", "249A²¹")</f>
        <v/>
      </c>
      <c r="B7060" t="n">
        <v>21</v>
      </c>
      <c r="C7060" t="inlineStr"/>
      <c r="D7060" t="inlineStr">
        <is>
          <t>252</t>
        </is>
      </c>
      <c r="E7060" t="inlineStr">
        <is>
          <t>1</t>
        </is>
      </c>
      <c r="F7060" t="inlineStr">
        <is>
          <t>84</t>
        </is>
      </c>
      <c r="G7060" t="inlineStr">
        <is>
          <t>0</t>
        </is>
      </c>
      <c r="H7060" t="inlineStr">
        <is>
          <t>0</t>
        </is>
      </c>
      <c r="I7060" t="inlineStr">
        <is>
          <t>3¹, 249¹</t>
        </is>
      </c>
      <c r="J7060" t="n">
        <v>2</v>
      </c>
      <c r="K7060" t="inlineStr">
        <is>
          <t>1², 82¹</t>
        </is>
      </c>
      <c r="L7060" t="inlineStr">
        <is>
          <t>3A⁰, 83A⁷</t>
        </is>
      </c>
      <c r="M7060" t="inlineStr"/>
      <c r="N7060" t="inlineStr">
        <is>
          <t>3A⁰, 1A⁰, 83A⁷</t>
        </is>
      </c>
      <c r="O7060" t="inlineStr"/>
    </row>
    <row r="7061">
      <c r="A7061">
        <f>HYPERLINK("https://mathstats.uncg.edu/sites/pauli/congruence/csg21.html#group250A21", "250A²¹")</f>
        <v/>
      </c>
      <c r="B7061" t="n">
        <v>21</v>
      </c>
      <c r="C7061" t="inlineStr"/>
      <c r="D7061" t="inlineStr">
        <is>
          <t>300</t>
        </is>
      </c>
      <c r="E7061" t="inlineStr">
        <is>
          <t>1</t>
        </is>
      </c>
      <c r="F7061" t="inlineStr">
        <is>
          <t>150</t>
        </is>
      </c>
      <c r="G7061" t="inlineStr">
        <is>
          <t>0</t>
        </is>
      </c>
      <c r="H7061" t="inlineStr">
        <is>
          <t>0</t>
        </is>
      </c>
      <c r="I7061" t="inlineStr">
        <is>
          <t>2⁵, 10⁴, 250¹</t>
        </is>
      </c>
      <c r="J7061" t="n">
        <v>10</v>
      </c>
      <c r="K7061" t="inlineStr">
        <is>
          <t>1², 4², 20², 100¹</t>
        </is>
      </c>
      <c r="L7061" t="inlineStr">
        <is>
          <t>50A³, 125A⁸</t>
        </is>
      </c>
      <c r="M7061" t="inlineStr"/>
      <c r="N7061" t="inlineStr">
        <is>
          <t>50A³, 25A⁰, 5B⁰, 10A¹, 2A⁰, 1A⁰, 125A⁸</t>
        </is>
      </c>
      <c r="O7061" t="inlineStr"/>
    </row>
    <row r="7062">
      <c r="A7062">
        <f>HYPERLINK("https://mathstats.uncg.edu/sites/pauli/congruence/csg21.html#group251A21", "251A²¹")</f>
        <v/>
      </c>
      <c r="B7062" t="n">
        <v>21</v>
      </c>
      <c r="C7062" t="inlineStr">
        <is>
          <t>Γ₀(251)</t>
        </is>
      </c>
      <c r="D7062" t="inlineStr">
        <is>
          <t>252</t>
        </is>
      </c>
      <c r="E7062" t="inlineStr">
        <is>
          <t>1</t>
        </is>
      </c>
      <c r="F7062" t="inlineStr">
        <is>
          <t>252</t>
        </is>
      </c>
      <c r="G7062" t="inlineStr">
        <is>
          <t>0</t>
        </is>
      </c>
      <c r="H7062" t="inlineStr">
        <is>
          <t>0</t>
        </is>
      </c>
      <c r="I7062" t="inlineStr">
        <is>
          <t>1¹, 251¹</t>
        </is>
      </c>
      <c r="J7062" t="n">
        <v>2</v>
      </c>
      <c r="K7062" t="inlineStr">
        <is>
          <t>1², 250¹</t>
        </is>
      </c>
      <c r="L7062" t="inlineStr">
        <is>
          <t>1A⁰</t>
        </is>
      </c>
      <c r="M7062" t="inlineStr"/>
      <c r="N7062" t="inlineStr">
        <is>
          <t>1A⁰</t>
        </is>
      </c>
      <c r="O7062" t="inlineStr"/>
    </row>
    <row r="7063">
      <c r="A7063">
        <f>HYPERLINK("https://mathstats.uncg.edu/sites/pauli/congruence/csg21.html#group255A21", "255A²¹")</f>
        <v/>
      </c>
      <c r="B7063" t="n">
        <v>21</v>
      </c>
      <c r="C7063" t="inlineStr"/>
      <c r="D7063" t="inlineStr">
        <is>
          <t>270</t>
        </is>
      </c>
      <c r="E7063" t="inlineStr">
        <is>
          <t>1</t>
        </is>
      </c>
      <c r="F7063" t="inlineStr">
        <is>
          <t>90</t>
        </is>
      </c>
      <c r="G7063" t="inlineStr">
        <is>
          <t>6</t>
        </is>
      </c>
      <c r="H7063" t="inlineStr">
        <is>
          <t>0</t>
        </is>
      </c>
      <c r="I7063" t="inlineStr">
        <is>
          <t>15¹, 255¹</t>
        </is>
      </c>
      <c r="J7063" t="n">
        <v>2</v>
      </c>
      <c r="K7063" t="inlineStr">
        <is>
          <t>1², 4², 16¹, 64¹</t>
        </is>
      </c>
      <c r="L7063" t="inlineStr">
        <is>
          <t>15A¹, 51A³, 85A⁷</t>
        </is>
      </c>
      <c r="M7063" t="inlineStr"/>
      <c r="N7063" t="inlineStr">
        <is>
          <t>85A⁷, 5A⁰, 51A³, 17A¹, 3A⁰, 1A⁰, 15A¹</t>
        </is>
      </c>
      <c r="O7063" t="inlineStr"/>
    </row>
    <row r="7064">
      <c r="A7064">
        <f>HYPERLINK("https://mathstats.uncg.edu/sites/pauli/congruence/csg21.html#group255B21", "255B²¹")</f>
        <v/>
      </c>
      <c r="B7064" t="n">
        <v>21</v>
      </c>
      <c r="C7064" t="inlineStr"/>
      <c r="D7064" t="inlineStr">
        <is>
          <t>270</t>
        </is>
      </c>
      <c r="E7064" t="inlineStr">
        <is>
          <t>2</t>
        </is>
      </c>
      <c r="F7064" t="inlineStr">
        <is>
          <t>90</t>
        </is>
      </c>
      <c r="G7064" t="inlineStr">
        <is>
          <t>6</t>
        </is>
      </c>
      <c r="H7064" t="inlineStr">
        <is>
          <t>0</t>
        </is>
      </c>
      <c r="I7064" t="inlineStr">
        <is>
          <t>15¹, 255¹</t>
        </is>
      </c>
      <c r="J7064" t="n">
        <v>2</v>
      </c>
      <c r="K7064" t="inlineStr">
        <is>
          <t>2², 8², 32¹, 128¹</t>
        </is>
      </c>
      <c r="L7064" t="inlineStr">
        <is>
          <t>15A⁰, 85A⁷</t>
        </is>
      </c>
      <c r="M7064" t="inlineStr"/>
      <c r="N7064" t="inlineStr">
        <is>
          <t>85A⁷, 17A¹, 5A⁰, 1A⁰, 15A⁰</t>
        </is>
      </c>
      <c r="O7064" t="inlineStr"/>
    </row>
    <row r="7065">
      <c r="A7065">
        <f>HYPERLINK("https://mathstats.uncg.edu/sites/pauli/congruence/csg21.html#group256A21", "256A²¹")</f>
        <v/>
      </c>
      <c r="B7065" t="n">
        <v>21</v>
      </c>
      <c r="C7065" t="inlineStr">
        <is>
          <t>Γ₀(256)</t>
        </is>
      </c>
      <c r="D7065" t="inlineStr">
        <is>
          <t>384</t>
        </is>
      </c>
      <c r="E7065" t="inlineStr">
        <is>
          <t>1</t>
        </is>
      </c>
      <c r="F7065" t="inlineStr">
        <is>
          <t>48</t>
        </is>
      </c>
      <c r="G7065" t="inlineStr">
        <is>
          <t>0</t>
        </is>
      </c>
      <c r="H7065" t="inlineStr">
        <is>
          <t>0</t>
        </is>
      </c>
      <c r="I7065" t="inlineStr">
        <is>
          <t>1¹⁶, 4⁴, 16², 64¹, 256¹</t>
        </is>
      </c>
      <c r="J7065" t="n">
        <v>24</v>
      </c>
      <c r="K7065" t="inlineStr">
        <is>
          <t>1⁴, 2², 4², 8², 16¹</t>
        </is>
      </c>
      <c r="L7065" t="inlineStr">
        <is>
          <t>128A⁹</t>
        </is>
      </c>
      <c r="M7065" t="inlineStr"/>
      <c r="N7065" t="inlineStr">
        <is>
          <t>32A¹, 16C⁰, 128A⁹, 64B³, 8C⁰, 2B⁰, 4B⁰, 1A⁰</t>
        </is>
      </c>
      <c r="O7065" t="inlineStr"/>
    </row>
    <row r="7066">
      <c r="A7066">
        <f>HYPERLINK("https://mathstats.uncg.edu/sites/pauli/congruence/csg21.html#group256B21", "256B²¹")</f>
        <v/>
      </c>
      <c r="B7066" t="n">
        <v>21</v>
      </c>
      <c r="C7066" t="inlineStr"/>
      <c r="D7066" t="inlineStr">
        <is>
          <t>384</t>
        </is>
      </c>
      <c r="E7066" t="inlineStr">
        <is>
          <t>1</t>
        </is>
      </c>
      <c r="F7066" t="inlineStr">
        <is>
          <t>48</t>
        </is>
      </c>
      <c r="G7066" t="inlineStr">
        <is>
          <t>0</t>
        </is>
      </c>
      <c r="H7066" t="inlineStr">
        <is>
          <t>0</t>
        </is>
      </c>
      <c r="I7066" t="inlineStr">
        <is>
          <t>1¹⁶, 4⁴, 16², 64¹, 256¹</t>
        </is>
      </c>
      <c r="J7066" t="n">
        <v>24</v>
      </c>
      <c r="K7066" t="inlineStr">
        <is>
          <t>1⁴, 2², 4², 8², 16¹</t>
        </is>
      </c>
      <c r="L7066" t="inlineStr">
        <is>
          <t>128B⁹</t>
        </is>
      </c>
      <c r="M7066" t="inlineStr"/>
      <c r="N7066" t="inlineStr">
        <is>
          <t>32A¹, 4B⁰, 16C⁰, 64B³, 8C⁰, 2B⁰, 128B⁹, 1A⁰</t>
        </is>
      </c>
      <c r="O7066" t="inlineStr"/>
    </row>
    <row r="7067">
      <c r="A7067">
        <f>HYPERLINK("https://mathstats.uncg.edu/sites/pauli/congruence/csg21.html#group257A21", "257A²¹")</f>
        <v/>
      </c>
      <c r="B7067" t="n">
        <v>21</v>
      </c>
      <c r="C7067" t="inlineStr">
        <is>
          <t>Γ₀(257)</t>
        </is>
      </c>
      <c r="D7067" t="inlineStr">
        <is>
          <t>258</t>
        </is>
      </c>
      <c r="E7067" t="inlineStr">
        <is>
          <t>1</t>
        </is>
      </c>
      <c r="F7067" t="inlineStr">
        <is>
          <t>258</t>
        </is>
      </c>
      <c r="G7067" t="inlineStr">
        <is>
          <t>2</t>
        </is>
      </c>
      <c r="H7067" t="inlineStr">
        <is>
          <t>0</t>
        </is>
      </c>
      <c r="I7067" t="inlineStr">
        <is>
          <t>1¹, 257¹</t>
        </is>
      </c>
      <c r="J7067" t="n">
        <v>2</v>
      </c>
      <c r="K7067" t="inlineStr">
        <is>
          <t>1², 256¹</t>
        </is>
      </c>
      <c r="L7067" t="inlineStr">
        <is>
          <t>1A⁰</t>
        </is>
      </c>
      <c r="M7067" t="inlineStr"/>
      <c r="N7067" t="inlineStr">
        <is>
          <t>1A⁰</t>
        </is>
      </c>
      <c r="O7067" t="inlineStr"/>
    </row>
    <row r="7068">
      <c r="A7068">
        <f>HYPERLINK("https://mathstats.uncg.edu/sites/pauli/congruence/csg21.html#group258A21", "258A²¹")</f>
        <v/>
      </c>
      <c r="B7068" t="n">
        <v>21</v>
      </c>
      <c r="C7068" t="inlineStr"/>
      <c r="D7068" t="inlineStr">
        <is>
          <t>264</t>
        </is>
      </c>
      <c r="E7068" t="inlineStr">
        <is>
          <t>2</t>
        </is>
      </c>
      <c r="F7068" t="inlineStr">
        <is>
          <t>88</t>
        </is>
      </c>
      <c r="G7068" t="inlineStr">
        <is>
          <t>0</t>
        </is>
      </c>
      <c r="H7068" t="inlineStr">
        <is>
          <t>3</t>
        </is>
      </c>
      <c r="I7068" t="inlineStr">
        <is>
          <t>6¹, 258¹</t>
        </is>
      </c>
      <c r="J7068" t="n">
        <v>2</v>
      </c>
      <c r="K7068" t="inlineStr">
        <is>
          <t>2⁴, 84²</t>
        </is>
      </c>
      <c r="L7068" t="inlineStr">
        <is>
          <t>86A⁶</t>
        </is>
      </c>
      <c r="M7068" t="inlineStr"/>
      <c r="N7068" t="inlineStr">
        <is>
          <t>43A³, 2A⁰, 86A⁶, 1A⁰</t>
        </is>
      </c>
      <c r="O7068" t="inlineStr"/>
    </row>
    <row r="7069">
      <c r="A7069">
        <f>HYPERLINK("https://mathstats.uncg.edu/sites/pauli/congruence/csg21.html#group260A21", "260A²¹")</f>
        <v/>
      </c>
      <c r="B7069" t="n">
        <v>21</v>
      </c>
      <c r="C7069" t="inlineStr"/>
      <c r="D7069" t="inlineStr">
        <is>
          <t>280</t>
        </is>
      </c>
      <c r="E7069" t="inlineStr">
        <is>
          <t>1</t>
        </is>
      </c>
      <c r="F7069" t="inlineStr">
        <is>
          <t>280</t>
        </is>
      </c>
      <c r="G7069" t="inlineStr">
        <is>
          <t>4</t>
        </is>
      </c>
      <c r="H7069" t="inlineStr">
        <is>
          <t>4</t>
        </is>
      </c>
      <c r="I7069" t="inlineStr">
        <is>
          <t>20¹, 260¹</t>
        </is>
      </c>
      <c r="J7069" t="n">
        <v>2</v>
      </c>
      <c r="K7069" t="inlineStr">
        <is>
          <t>2⁴, 8⁴, 24², 96²</t>
        </is>
      </c>
      <c r="L7069" t="inlineStr">
        <is>
          <t>20A¹, 52A³, 65A⁴</t>
        </is>
      </c>
      <c r="M7069" t="inlineStr"/>
      <c r="N7069" t="inlineStr">
        <is>
          <t>5A⁰, 52A³, 4A⁰, 13A⁰, 20A¹, 1A⁰, 65A⁴</t>
        </is>
      </c>
      <c r="O7069" t="inlineStr"/>
    </row>
    <row r="7070">
      <c r="A7070">
        <f>HYPERLINK("https://mathstats.uncg.edu/sites/pauli/congruence/csg21.html#group267A21", "267A²¹")</f>
        <v/>
      </c>
      <c r="B7070" t="n">
        <v>21</v>
      </c>
      <c r="C7070" t="inlineStr"/>
      <c r="D7070" t="inlineStr">
        <is>
          <t>270</t>
        </is>
      </c>
      <c r="E7070" t="inlineStr">
        <is>
          <t>1</t>
        </is>
      </c>
      <c r="F7070" t="inlineStr">
        <is>
          <t>90</t>
        </is>
      </c>
      <c r="G7070" t="inlineStr">
        <is>
          <t>6</t>
        </is>
      </c>
      <c r="H7070" t="inlineStr">
        <is>
          <t>0</t>
        </is>
      </c>
      <c r="I7070" t="inlineStr">
        <is>
          <t>3¹, 267¹</t>
        </is>
      </c>
      <c r="J7070" t="n">
        <v>2</v>
      </c>
      <c r="K7070" t="inlineStr">
        <is>
          <t>1², 88¹</t>
        </is>
      </c>
      <c r="L7070" t="inlineStr">
        <is>
          <t>3A⁰, 89A⁷</t>
        </is>
      </c>
      <c r="M7070" t="inlineStr"/>
      <c r="N7070" t="inlineStr">
        <is>
          <t>3A⁰, 89A⁷, 1A⁰</t>
        </is>
      </c>
      <c r="O7070" t="inlineStr"/>
    </row>
    <row r="7071">
      <c r="A7071">
        <f>HYPERLINK("https://mathstats.uncg.edu/sites/pauli/congruence/csg21.html#group280A21", "280A²¹")</f>
        <v/>
      </c>
      <c r="B7071" t="n">
        <v>21</v>
      </c>
      <c r="C7071" t="inlineStr"/>
      <c r="D7071" t="inlineStr">
        <is>
          <t>280</t>
        </is>
      </c>
      <c r="E7071" t="inlineStr">
        <is>
          <t>2</t>
        </is>
      </c>
      <c r="F7071" t="inlineStr">
        <is>
          <t>140</t>
        </is>
      </c>
      <c r="G7071" t="inlineStr">
        <is>
          <t>6</t>
        </is>
      </c>
      <c r="H7071" t="inlineStr">
        <is>
          <t>4</t>
        </is>
      </c>
      <c r="I7071" t="inlineStr">
        <is>
          <t>280¹</t>
        </is>
      </c>
      <c r="J7071" t="n">
        <v>1</v>
      </c>
      <c r="K7071" t="inlineStr">
        <is>
          <t>8², 24⁴, 32², 96⁴</t>
        </is>
      </c>
      <c r="L7071" t="inlineStr">
        <is>
          <t>56A³, 140A¹⁰</t>
        </is>
      </c>
      <c r="M7071" t="inlineStr"/>
      <c r="N7071" t="inlineStr">
        <is>
          <t>140A¹⁰, 5A⁰, 4A⁰, 20A¹, 28A¹, 1A⁰, 35A², 7A⁰, 56A³</t>
        </is>
      </c>
      <c r="O7071" t="inlineStr"/>
    </row>
    <row r="7072">
      <c r="A7072">
        <f>HYPERLINK("https://mathstats.uncg.edu/sites/pauli/congruence/csg21.html#group280B21", "280B²¹")</f>
        <v/>
      </c>
      <c r="B7072" t="n">
        <v>21</v>
      </c>
      <c r="C7072" t="inlineStr"/>
      <c r="D7072" t="inlineStr">
        <is>
          <t>280</t>
        </is>
      </c>
      <c r="E7072" t="inlineStr">
        <is>
          <t>2</t>
        </is>
      </c>
      <c r="F7072" t="inlineStr">
        <is>
          <t>140</t>
        </is>
      </c>
      <c r="G7072" t="inlineStr">
        <is>
          <t>6</t>
        </is>
      </c>
      <c r="H7072" t="inlineStr">
        <is>
          <t>4</t>
        </is>
      </c>
      <c r="I7072" t="inlineStr">
        <is>
          <t>280¹</t>
        </is>
      </c>
      <c r="J7072" t="n">
        <v>1</v>
      </c>
      <c r="K7072" t="inlineStr">
        <is>
          <t>8², 24⁴, 32², 96⁴</t>
        </is>
      </c>
      <c r="L7072" t="inlineStr">
        <is>
          <t>56B³, 140A¹⁰</t>
        </is>
      </c>
      <c r="M7072" t="inlineStr"/>
      <c r="N7072" t="inlineStr">
        <is>
          <t>140A¹⁰, 5A⁰, 56B³, 4A⁰, 20A¹, 28A¹, 1A⁰, 35A², 7A⁰</t>
        </is>
      </c>
      <c r="O7072" t="inlineStr"/>
    </row>
    <row r="7073">
      <c r="A7073">
        <f>HYPERLINK("https://mathstats.uncg.edu/sites/pauli/congruence/csg21.html#group280C21", "280C²¹")</f>
        <v/>
      </c>
      <c r="B7073" t="n">
        <v>21</v>
      </c>
      <c r="C7073" t="inlineStr"/>
      <c r="D7073" t="inlineStr">
        <is>
          <t>280</t>
        </is>
      </c>
      <c r="E7073" t="inlineStr">
        <is>
          <t>2</t>
        </is>
      </c>
      <c r="F7073" t="inlineStr">
        <is>
          <t>140</t>
        </is>
      </c>
      <c r="G7073" t="inlineStr">
        <is>
          <t>6</t>
        </is>
      </c>
      <c r="H7073" t="inlineStr">
        <is>
          <t>4</t>
        </is>
      </c>
      <c r="I7073" t="inlineStr">
        <is>
          <t>280¹</t>
        </is>
      </c>
      <c r="J7073" t="n">
        <v>1</v>
      </c>
      <c r="K7073" t="inlineStr">
        <is>
          <t>8², 24⁴, 32², 96⁴</t>
        </is>
      </c>
      <c r="L7073" t="inlineStr">
        <is>
          <t>40A², 56C³, 140A¹⁰</t>
        </is>
      </c>
      <c r="M7073" t="inlineStr"/>
      <c r="N7073" t="inlineStr">
        <is>
          <t>140A¹⁰, 5A⁰, 4A⁰, 8A⁰, 20A¹, 1A⁰, 56C³, 28A¹, 40A², 35A², 7A⁰</t>
        </is>
      </c>
      <c r="O7073" t="inlineStr"/>
    </row>
    <row r="7074">
      <c r="A7074">
        <f>HYPERLINK("https://mathstats.uncg.edu/sites/pauli/congruence/csg21.html#group280D21", "280D²¹")</f>
        <v/>
      </c>
      <c r="B7074" t="n">
        <v>21</v>
      </c>
      <c r="C7074" t="inlineStr"/>
      <c r="D7074" t="inlineStr">
        <is>
          <t>280</t>
        </is>
      </c>
      <c r="E7074" t="inlineStr">
        <is>
          <t>2</t>
        </is>
      </c>
      <c r="F7074" t="inlineStr">
        <is>
          <t>140</t>
        </is>
      </c>
      <c r="G7074" t="inlineStr">
        <is>
          <t>6</t>
        </is>
      </c>
      <c r="H7074" t="inlineStr">
        <is>
          <t>4</t>
        </is>
      </c>
      <c r="I7074" t="inlineStr">
        <is>
          <t>280¹</t>
        </is>
      </c>
      <c r="J7074" t="n">
        <v>1</v>
      </c>
      <c r="K7074" t="inlineStr">
        <is>
          <t>8², 24⁴, 32², 96⁴</t>
        </is>
      </c>
      <c r="L7074" t="inlineStr">
        <is>
          <t>40A², 56D³, 140A¹⁰</t>
        </is>
      </c>
      <c r="M7074" t="inlineStr"/>
      <c r="N7074" t="inlineStr">
        <is>
          <t>140A¹⁰, 5A⁰, 56D³, 4A⁰, 8A⁰, 20A¹, 1A⁰, 28A¹, 40A², 35A², 7A⁰</t>
        </is>
      </c>
      <c r="O7074" t="inlineStr"/>
    </row>
    <row r="7075">
      <c r="A7075">
        <f>HYPERLINK("https://mathstats.uncg.edu/sites/pauli/congruence/csg21.html#group288A21", "288A²¹")</f>
        <v/>
      </c>
      <c r="B7075" t="n">
        <v>21</v>
      </c>
      <c r="C7075" t="inlineStr"/>
      <c r="D7075" t="inlineStr">
        <is>
          <t>432</t>
        </is>
      </c>
      <c r="E7075" t="inlineStr">
        <is>
          <t>1</t>
        </is>
      </c>
      <c r="F7075" t="inlineStr">
        <is>
          <t>108</t>
        </is>
      </c>
      <c r="G7075" t="inlineStr">
        <is>
          <t>60</t>
        </is>
      </c>
      <c r="H7075" t="inlineStr">
        <is>
          <t>0</t>
        </is>
      </c>
      <c r="I7075" t="inlineStr">
        <is>
          <t>144¹, 288¹</t>
        </is>
      </c>
      <c r="J7075" t="n">
        <v>2</v>
      </c>
      <c r="K7075" t="inlineStr">
        <is>
          <t>2⁶, 4⁶, 12⁶</t>
        </is>
      </c>
      <c r="L7075" t="inlineStr">
        <is>
          <t>96A³, 144A⁸</t>
        </is>
      </c>
      <c r="M7075" t="inlineStr"/>
      <c r="N7075" t="inlineStr">
        <is>
          <t>12C⁰, 72E⁴, 4C⁰, 36B², 8B⁰, 48A⁰, 2B⁰, 1A⁰, 16B⁰, 24A⁰, 9A⁰, 144A⁸, 32B¹, 18E¹, 3A⁰, 96A³, 6D⁰</t>
        </is>
      </c>
      <c r="O7075" t="inlineStr"/>
    </row>
    <row r="7076">
      <c r="A7076">
        <f>HYPERLINK("https://mathstats.uncg.edu/sites/pauli/congruence/csg21.html#group308A21", "308A²¹")</f>
        <v/>
      </c>
      <c r="B7076" t="n">
        <v>21</v>
      </c>
      <c r="C7076" t="inlineStr"/>
      <c r="D7076" t="inlineStr">
        <is>
          <t>308</t>
        </is>
      </c>
      <c r="E7076" t="inlineStr">
        <is>
          <t>2</t>
        </is>
      </c>
      <c r="F7076" t="inlineStr">
        <is>
          <t>308</t>
        </is>
      </c>
      <c r="G7076" t="inlineStr">
        <is>
          <t>18</t>
        </is>
      </c>
      <c r="H7076" t="inlineStr">
        <is>
          <t>2</t>
        </is>
      </c>
      <c r="I7076" t="inlineStr">
        <is>
          <t>308¹</t>
        </is>
      </c>
      <c r="J7076" t="n">
        <v>1</v>
      </c>
      <c r="K7076" t="inlineStr">
        <is>
          <t>8², 24⁴, 40⁴, 120⁸</t>
        </is>
      </c>
      <c r="L7076" t="inlineStr">
        <is>
          <t>44A², 77A⁴</t>
        </is>
      </c>
      <c r="M7076" t="inlineStr"/>
      <c r="N7076" t="inlineStr">
        <is>
          <t>11A⁰, 44A², 1A⁰, 4A⁰, 7A⁰, 77A⁴</t>
        </is>
      </c>
      <c r="O7076" t="inlineStr"/>
    </row>
    <row r="7077">
      <c r="A7077">
        <f>HYPERLINK("https://mathstats.uncg.edu/sites/pauli/congruence/csg21.html#group308B21", "308B²¹")</f>
        <v/>
      </c>
      <c r="B7077" t="n">
        <v>21</v>
      </c>
      <c r="C7077" t="inlineStr"/>
      <c r="D7077" t="inlineStr">
        <is>
          <t>308</t>
        </is>
      </c>
      <c r="E7077" t="inlineStr">
        <is>
          <t>2</t>
        </is>
      </c>
      <c r="F7077" t="inlineStr">
        <is>
          <t>308</t>
        </is>
      </c>
      <c r="G7077" t="inlineStr">
        <is>
          <t>18</t>
        </is>
      </c>
      <c r="H7077" t="inlineStr">
        <is>
          <t>2</t>
        </is>
      </c>
      <c r="I7077" t="inlineStr">
        <is>
          <t>308¹</t>
        </is>
      </c>
      <c r="J7077" t="n">
        <v>1</v>
      </c>
      <c r="K7077" t="inlineStr">
        <is>
          <t>8², 24⁴, 40⁴, 120⁸</t>
        </is>
      </c>
      <c r="L7077" t="inlineStr">
        <is>
          <t>44A², 77B⁴</t>
        </is>
      </c>
      <c r="M7077" t="inlineStr"/>
      <c r="N7077" t="inlineStr">
        <is>
          <t>11A⁰, 44A², 77B⁴, 1A⁰, 4A⁰, 7A⁰</t>
        </is>
      </c>
      <c r="O7077" t="inlineStr"/>
    </row>
    <row r="7078">
      <c r="A7078">
        <f>HYPERLINK("https://mathstats.uncg.edu/sites/pauli/congruence/csg22.html#group18A22", "18A²²")</f>
        <v/>
      </c>
      <c r="B7078" t="n">
        <v>22</v>
      </c>
      <c r="C7078" t="inlineStr"/>
      <c r="D7078" t="inlineStr">
        <is>
          <t>486</t>
        </is>
      </c>
      <c r="E7078" t="inlineStr">
        <is>
          <t>1</t>
        </is>
      </c>
      <c r="F7078" t="inlineStr">
        <is>
          <t>81</t>
        </is>
      </c>
      <c r="G7078" t="inlineStr">
        <is>
          <t>6</t>
        </is>
      </c>
      <c r="H7078" t="inlineStr">
        <is>
          <t>0</t>
        </is>
      </c>
      <c r="I7078" t="inlineStr">
        <is>
          <t>9¹⁸, 18¹⁸</t>
        </is>
      </c>
      <c r="J7078" t="n">
        <v>36</v>
      </c>
      <c r="K7078" t="inlineStr">
        <is>
          <t>3³, 6¹²</t>
        </is>
      </c>
      <c r="L7078" t="inlineStr">
        <is>
          <t>9C⁴, 18I⁷, 18M⁷, 18A⁸, 18L¹⁰</t>
        </is>
      </c>
      <c r="M7078" t="inlineStr"/>
      <c r="N7078" t="inlineStr">
        <is>
          <t>18I¹, 9G⁰, 18M⁷, 6G⁰, 9E¹, 18I⁷, 2B⁰, 9B², 9E⁰, 18K⁴, 1A⁰, 9B¹, 18E³, 18A⁸, 18L¹⁰, 9D⁰, 9C⁴, 18J³, 9A⁰, 3C⁰, 9G¹, 18E¹, 3A⁰, 9F⁰, 18I², 6D⁰, 9F¹</t>
        </is>
      </c>
      <c r="O7078" t="inlineStr"/>
    </row>
    <row r="7079">
      <c r="A7079">
        <f>HYPERLINK("https://mathstats.uncg.edu/sites/pauli/congruence/csg22.html#group19A22", "19A²²")</f>
        <v/>
      </c>
      <c r="B7079" t="n">
        <v>22</v>
      </c>
      <c r="C7079" t="inlineStr"/>
      <c r="D7079" t="inlineStr">
        <is>
          <t>380</t>
        </is>
      </c>
      <c r="E7079" t="inlineStr">
        <is>
          <t>1</t>
        </is>
      </c>
      <c r="F7079" t="inlineStr">
        <is>
          <t>190</t>
        </is>
      </c>
      <c r="G7079" t="inlineStr">
        <is>
          <t>0</t>
        </is>
      </c>
      <c r="H7079" t="inlineStr">
        <is>
          <t>2</t>
        </is>
      </c>
      <c r="I7079" t="inlineStr">
        <is>
          <t>19²⁰</t>
        </is>
      </c>
      <c r="J7079" t="n">
        <v>20</v>
      </c>
      <c r="K7079" t="inlineStr">
        <is>
          <t>1¹, 9¹, 18¹⁰</t>
        </is>
      </c>
      <c r="L7079" t="inlineStr">
        <is>
          <t>19A¹, 19A⁹</t>
        </is>
      </c>
      <c r="M7079" t="inlineStr"/>
      <c r="N7079" t="inlineStr">
        <is>
          <t>19A¹, 1A⁰, 19A⁹</t>
        </is>
      </c>
      <c r="O7079" t="inlineStr"/>
    </row>
    <row r="7080">
      <c r="A7080">
        <f>HYPERLINK("https://mathstats.uncg.edu/sites/pauli/congruence/csg22.html#group20A22", "20A²²")</f>
        <v/>
      </c>
      <c r="B7080" t="n">
        <v>22</v>
      </c>
      <c r="C7080" t="inlineStr"/>
      <c r="D7080" t="inlineStr">
        <is>
          <t>360</t>
        </is>
      </c>
      <c r="E7080" t="inlineStr">
        <is>
          <t>1</t>
        </is>
      </c>
      <c r="F7080" t="inlineStr">
        <is>
          <t>5</t>
        </is>
      </c>
      <c r="G7080" t="inlineStr">
        <is>
          <t>0</t>
        </is>
      </c>
      <c r="H7080" t="inlineStr">
        <is>
          <t>0</t>
        </is>
      </c>
      <c r="I7080" t="inlineStr">
        <is>
          <t>20¹⁸</t>
        </is>
      </c>
      <c r="J7080" t="n">
        <v>18</v>
      </c>
      <c r="K7080" t="inlineStr">
        <is>
          <t>1¹, 4¹</t>
        </is>
      </c>
      <c r="L7080" t="inlineStr">
        <is>
          <t>20A⁶, 20A⁸, 20B⁸, 20A¹⁰, 20B¹⁰</t>
        </is>
      </c>
      <c r="M7080" t="inlineStr"/>
      <c r="N7080" t="inlineStr">
        <is>
          <t>20D⁴, 2A⁰, 5A⁰, 10A², 20E⁴, 4C⁰, 4G⁰, 2B⁰, 4E⁰, 20A¹, 4B⁰, 1A⁰, 20A¹⁰, 10A⁰, 10I¹, 20D², 4D⁰, 20B¹⁰, 20A⁶, 20A², 20D³, 10A⁴, 10B¹, 20B², 20C⁴, 10B², 20B⁸, 10E⁰, 4A⁰, 20A⁴, 5E⁰, 20A⁸, 4F⁰, 2C⁰</t>
        </is>
      </c>
      <c r="O7080" t="inlineStr"/>
    </row>
    <row r="7081">
      <c r="A7081">
        <f>HYPERLINK("https://mathstats.uncg.edu/sites/pauli/congruence/csg22.html#group20B22", "20B²²")</f>
        <v/>
      </c>
      <c r="B7081" t="n">
        <v>22</v>
      </c>
      <c r="C7081" t="inlineStr"/>
      <c r="D7081" t="inlineStr">
        <is>
          <t>360</t>
        </is>
      </c>
      <c r="E7081" t="inlineStr">
        <is>
          <t>1</t>
        </is>
      </c>
      <c r="F7081" t="inlineStr">
        <is>
          <t>30</t>
        </is>
      </c>
      <c r="G7081" t="inlineStr">
        <is>
          <t>0</t>
        </is>
      </c>
      <c r="H7081" t="inlineStr">
        <is>
          <t>0</t>
        </is>
      </c>
      <c r="I7081" t="inlineStr">
        <is>
          <t>20¹⁸</t>
        </is>
      </c>
      <c r="J7081" t="n">
        <v>18</v>
      </c>
      <c r="K7081" t="inlineStr">
        <is>
          <t>2³, 4⁶</t>
        </is>
      </c>
      <c r="L7081" t="inlineStr">
        <is>
          <t>20C⁶, 20D¹⁰</t>
        </is>
      </c>
      <c r="M7081" t="inlineStr"/>
      <c r="N7081" t="inlineStr">
        <is>
          <t>2A⁰, 5A⁰, 10A⁴, 10A², 10B¹, 2B⁰, 10B², 1A⁰, 10A⁰, 10I¹, 10E⁰, 20D¹⁰, 20C⁶, 20C⁵, 5E⁰, 20P³, 2C⁰</t>
        </is>
      </c>
      <c r="O7081" t="inlineStr"/>
    </row>
    <row r="7082">
      <c r="A7082">
        <f>HYPERLINK("https://mathstats.uncg.edu/sites/pauli/congruence/csg22.html#group20C22", "20C²²")</f>
        <v/>
      </c>
      <c r="B7082" t="n">
        <v>22</v>
      </c>
      <c r="C7082" t="inlineStr"/>
      <c r="D7082" t="inlineStr">
        <is>
          <t>360</t>
        </is>
      </c>
      <c r="E7082" t="inlineStr">
        <is>
          <t>1</t>
        </is>
      </c>
      <c r="F7082" t="inlineStr">
        <is>
          <t>45</t>
        </is>
      </c>
      <c r="G7082" t="inlineStr">
        <is>
          <t>0</t>
        </is>
      </c>
      <c r="H7082" t="inlineStr">
        <is>
          <t>0</t>
        </is>
      </c>
      <c r="I7082" t="inlineStr">
        <is>
          <t>20¹⁸</t>
        </is>
      </c>
      <c r="J7082" t="n">
        <v>18</v>
      </c>
      <c r="K7082" t="inlineStr">
        <is>
          <t>1³, 2³, 4⁹</t>
        </is>
      </c>
      <c r="L7082" t="inlineStr">
        <is>
          <t>20A¹⁰, 20D¹⁰, 20F¹⁰</t>
        </is>
      </c>
      <c r="M7082" t="inlineStr"/>
      <c r="N7082" t="inlineStr">
        <is>
          <t>20D⁴, 2A⁰, 5A⁰, 10A², 20E⁴, 4C⁰, 2B⁰, 4E⁰, 4B⁰, 1A⁰, 20F¹⁰, 20A¹⁰, 10A⁰, 10I¹, 20D¹⁰, 20C⁵, 20P³, 20A², 10A⁴, 10B¹, 20B², 10B², 10E⁰, 20A⁴, 5E⁰, 2C⁰</t>
        </is>
      </c>
      <c r="O7082" t="inlineStr"/>
    </row>
    <row r="7083">
      <c r="A7083">
        <f>HYPERLINK("https://mathstats.uncg.edu/sites/pauli/congruence/csg22.html#group22A22", "22A²²")</f>
        <v/>
      </c>
      <c r="B7083" t="n">
        <v>22</v>
      </c>
      <c r="C7083" t="inlineStr"/>
      <c r="D7083" t="inlineStr">
        <is>
          <t>396</t>
        </is>
      </c>
      <c r="E7083" t="inlineStr">
        <is>
          <t>1</t>
        </is>
      </c>
      <c r="F7083" t="inlineStr">
        <is>
          <t>198</t>
        </is>
      </c>
      <c r="G7083" t="inlineStr">
        <is>
          <t>0</t>
        </is>
      </c>
      <c r="H7083" t="inlineStr">
        <is>
          <t>0</t>
        </is>
      </c>
      <c r="I7083" t="inlineStr">
        <is>
          <t>11¹², 22¹²</t>
        </is>
      </c>
      <c r="J7083" t="n">
        <v>24</v>
      </c>
      <c r="K7083" t="inlineStr">
        <is>
          <t>1³, 5³, 10¹⁸</t>
        </is>
      </c>
      <c r="L7083" t="inlineStr">
        <is>
          <t>22C², 11A⁶, 22A¹⁰</t>
        </is>
      </c>
      <c r="M7083" t="inlineStr"/>
      <c r="N7083" t="inlineStr">
        <is>
          <t>11A⁰, 11A⁶, 11A¹, 2B⁰, 22B², 22C², 1A⁰, 11A², 22A¹⁰</t>
        </is>
      </c>
      <c r="O7083" t="inlineStr"/>
    </row>
    <row r="7084">
      <c r="A7084">
        <f>HYPERLINK("https://mathstats.uncg.edu/sites/pauli/congruence/csg22.html#group22B22", "22B²²")</f>
        <v/>
      </c>
      <c r="B7084" t="n">
        <v>22</v>
      </c>
      <c r="C7084" t="inlineStr"/>
      <c r="D7084" t="inlineStr">
        <is>
          <t>396</t>
        </is>
      </c>
      <c r="E7084" t="inlineStr">
        <is>
          <t>1</t>
        </is>
      </c>
      <c r="F7084" t="inlineStr">
        <is>
          <t>198</t>
        </is>
      </c>
      <c r="G7084" t="inlineStr">
        <is>
          <t>12</t>
        </is>
      </c>
      <c r="H7084" t="inlineStr">
        <is>
          <t>0</t>
        </is>
      </c>
      <c r="I7084" t="inlineStr">
        <is>
          <t>22¹⁸</t>
        </is>
      </c>
      <c r="J7084" t="n">
        <v>18</v>
      </c>
      <c r="K7084" t="inlineStr">
        <is>
          <t>1³, 5³, 10¹⁸</t>
        </is>
      </c>
      <c r="L7084" t="inlineStr">
        <is>
          <t>22B⁶, 22A¹⁰</t>
        </is>
      </c>
      <c r="M7084" t="inlineStr"/>
      <c r="N7084" t="inlineStr">
        <is>
          <t>11A⁰, 22B⁶, 2B⁰, 22B², 1A⁰, 11A², 22A¹⁰</t>
        </is>
      </c>
      <c r="O7084" t="inlineStr"/>
    </row>
    <row r="7085">
      <c r="A7085">
        <f>HYPERLINK("https://mathstats.uncg.edu/sites/pauli/congruence/csg22.html#group25A22", "25A²²")</f>
        <v/>
      </c>
      <c r="B7085" t="n">
        <v>22</v>
      </c>
      <c r="C7085" t="inlineStr"/>
      <c r="D7085" t="inlineStr">
        <is>
          <t>375</t>
        </is>
      </c>
      <c r="E7085" t="inlineStr">
        <is>
          <t>1</t>
        </is>
      </c>
      <c r="F7085" t="inlineStr">
        <is>
          <t>375</t>
        </is>
      </c>
      <c r="G7085" t="inlineStr">
        <is>
          <t>11</t>
        </is>
      </c>
      <c r="H7085" t="inlineStr">
        <is>
          <t>0</t>
        </is>
      </c>
      <c r="I7085" t="inlineStr">
        <is>
          <t>25¹⁵</t>
        </is>
      </c>
      <c r="J7085" t="n">
        <v>15</v>
      </c>
      <c r="K7085" t="inlineStr">
        <is>
          <t>1¹, 4⁶, 10¹, 20¹⁷</t>
        </is>
      </c>
      <c r="L7085" t="inlineStr">
        <is>
          <t>25F²</t>
        </is>
      </c>
      <c r="M7085" t="inlineStr"/>
      <c r="N7085" t="inlineStr">
        <is>
          <t>25F², 5E⁰, 1A⁰, 5A⁰</t>
        </is>
      </c>
      <c r="O7085" t="inlineStr"/>
    </row>
    <row r="7086">
      <c r="A7086">
        <f>HYPERLINK("https://mathstats.uncg.edu/sites/pauli/congruence/csg22.html#group26A22", "26A²²")</f>
        <v/>
      </c>
      <c r="B7086" t="n">
        <v>22</v>
      </c>
      <c r="C7086" t="inlineStr"/>
      <c r="D7086" t="inlineStr">
        <is>
          <t>364</t>
        </is>
      </c>
      <c r="E7086" t="inlineStr">
        <is>
          <t>1</t>
        </is>
      </c>
      <c r="F7086" t="inlineStr">
        <is>
          <t>91</t>
        </is>
      </c>
      <c r="G7086" t="inlineStr">
        <is>
          <t>4</t>
        </is>
      </c>
      <c r="H7086" t="inlineStr">
        <is>
          <t>4</t>
        </is>
      </c>
      <c r="I7086" t="inlineStr">
        <is>
          <t>26¹⁴</t>
        </is>
      </c>
      <c r="J7086" t="n">
        <v>14</v>
      </c>
      <c r="K7086" t="inlineStr">
        <is>
          <t>1¹, 6¹, 12⁷</t>
        </is>
      </c>
      <c r="L7086" t="inlineStr">
        <is>
          <t>26A⁰, 13B⁸, 26B¹⁰, 26C¹⁰</t>
        </is>
      </c>
      <c r="M7086" t="inlineStr"/>
      <c r="N7086" t="inlineStr">
        <is>
          <t>26C¹⁰, 13B⁸, 26B¹⁰, 13A⁰, 13C³, 26A⁰, 1A⁰</t>
        </is>
      </c>
      <c r="O7086" t="inlineStr"/>
    </row>
    <row r="7087">
      <c r="A7087">
        <f>HYPERLINK("https://mathstats.uncg.edu/sites/pauli/congruence/csg22.html#group27A22", "27A²²")</f>
        <v/>
      </c>
      <c r="B7087" t="n">
        <v>22</v>
      </c>
      <c r="C7087" t="inlineStr"/>
      <c r="D7087" t="inlineStr">
        <is>
          <t>324</t>
        </is>
      </c>
      <c r="E7087" t="inlineStr">
        <is>
          <t>1</t>
        </is>
      </c>
      <c r="F7087" t="inlineStr">
        <is>
          <t>18</t>
        </is>
      </c>
      <c r="G7087" t="inlineStr">
        <is>
          <t>0</t>
        </is>
      </c>
      <c r="H7087" t="inlineStr">
        <is>
          <t>0</t>
        </is>
      </c>
      <c r="I7087" t="inlineStr">
        <is>
          <t>27¹²</t>
        </is>
      </c>
      <c r="J7087" t="n">
        <v>12</v>
      </c>
      <c r="K7087" t="inlineStr">
        <is>
          <t>1¹, 2¹, 3¹, 6²</t>
        </is>
      </c>
      <c r="L7087" t="inlineStr">
        <is>
          <t>9B⁴, 27F⁷</t>
        </is>
      </c>
      <c r="M7087" t="inlineStr"/>
      <c r="N7087" t="inlineStr">
        <is>
          <t>3B⁰, 9B⁰, 9E¹, 9C⁰, 9E⁰, 1A⁰, 9B¹, 9D⁰, 9B⁴, 9A², 27F⁷, 9A⁰, 9A¹, 3C⁰, 9C¹, 9H⁰, 3A⁰, 3D⁰</t>
        </is>
      </c>
      <c r="O7087" t="inlineStr"/>
    </row>
    <row r="7088">
      <c r="A7088">
        <f>HYPERLINK("https://mathstats.uncg.edu/sites/pauli/congruence/csg22.html#group27B22", "27B²²")</f>
        <v/>
      </c>
      <c r="B7088" t="n">
        <v>22</v>
      </c>
      <c r="C7088" t="inlineStr"/>
      <c r="D7088" t="inlineStr">
        <is>
          <t>324</t>
        </is>
      </c>
      <c r="E7088" t="inlineStr">
        <is>
          <t>2</t>
        </is>
      </c>
      <c r="F7088" t="inlineStr">
        <is>
          <t>9</t>
        </is>
      </c>
      <c r="G7088" t="inlineStr">
        <is>
          <t>0</t>
        </is>
      </c>
      <c r="H7088" t="inlineStr">
        <is>
          <t>0</t>
        </is>
      </c>
      <c r="I7088" t="inlineStr">
        <is>
          <t>27¹²</t>
        </is>
      </c>
      <c r="J7088" t="n">
        <v>12</v>
      </c>
      <c r="K7088" t="inlineStr">
        <is>
          <t>2³, 6²</t>
        </is>
      </c>
      <c r="L7088" t="inlineStr">
        <is>
          <t>9A⁴, 27H⁷, 27A¹⁰, 27A¹¹</t>
        </is>
      </c>
      <c r="M7088" t="inlineStr"/>
      <c r="N7088" t="inlineStr">
        <is>
          <t>27A¹⁰, 3B⁰, 27A¹¹, 9G⁰, 27B³, 9B², 9E⁰, 1A⁰, 9B¹, 3D⁰, 9D⁰, 9A², 9A⁰, 3C⁰, 9H⁰, 9A⁴, 3A⁰, 27H⁷, 9F¹</t>
        </is>
      </c>
      <c r="O7088" t="inlineStr"/>
    </row>
    <row r="7089">
      <c r="A7089">
        <f>HYPERLINK("https://mathstats.uncg.edu/sites/pauli/congruence/csg22.html#group27C22", "27C²²")</f>
        <v/>
      </c>
      <c r="B7089" t="n">
        <v>22</v>
      </c>
      <c r="C7089" t="inlineStr"/>
      <c r="D7089" t="inlineStr">
        <is>
          <t>486</t>
        </is>
      </c>
      <c r="E7089" t="inlineStr">
        <is>
          <t>1</t>
        </is>
      </c>
      <c r="F7089" t="inlineStr">
        <is>
          <t>162</t>
        </is>
      </c>
      <c r="G7089" t="inlineStr">
        <is>
          <t>6</t>
        </is>
      </c>
      <c r="H7089" t="inlineStr">
        <is>
          <t>0</t>
        </is>
      </c>
      <c r="I7089" t="inlineStr">
        <is>
          <t>9²⁷, 27⁹</t>
        </is>
      </c>
      <c r="J7089" t="n">
        <v>36</v>
      </c>
      <c r="K7089" t="inlineStr">
        <is>
          <t>3¹, 6⁴, 9¹, 18⁷</t>
        </is>
      </c>
      <c r="L7089" t="inlineStr">
        <is>
          <t>9C⁴, 27G⁷, 27A⁸</t>
        </is>
      </c>
      <c r="M7089" t="inlineStr"/>
      <c r="N7089" t="inlineStr">
        <is>
          <t>27G⁷, 9G⁰, 27A⁸, 9E¹, 9B², 9E⁰, 1A⁰, 9B¹, 9D⁰, 9C⁴, 9A⁰, 3C⁰, 9G¹, 3A⁰, 9F⁰, 9F¹</t>
        </is>
      </c>
      <c r="O7089" t="inlineStr"/>
    </row>
    <row r="7090">
      <c r="A7090">
        <f>HYPERLINK("https://mathstats.uncg.edu/sites/pauli/congruence/csg22.html#group29A22", "29A²²")</f>
        <v/>
      </c>
      <c r="B7090" t="n">
        <v>22</v>
      </c>
      <c r="C7090" t="inlineStr">
        <is>
          <t>Γ₁(29)</t>
        </is>
      </c>
      <c r="D7090" t="inlineStr">
        <is>
          <t>420</t>
        </is>
      </c>
      <c r="E7090" t="inlineStr">
        <is>
          <t>1</t>
        </is>
      </c>
      <c r="F7090" t="inlineStr">
        <is>
          <t>30</t>
        </is>
      </c>
      <c r="G7090" t="inlineStr">
        <is>
          <t>0</t>
        </is>
      </c>
      <c r="H7090" t="inlineStr">
        <is>
          <t>0</t>
        </is>
      </c>
      <c r="I7090" t="inlineStr">
        <is>
          <t>1¹⁴, 29¹⁴</t>
        </is>
      </c>
      <c r="J7090" t="n">
        <v>28</v>
      </c>
      <c r="K7090" t="inlineStr">
        <is>
          <t>1², 28¹</t>
        </is>
      </c>
      <c r="L7090" t="inlineStr">
        <is>
          <t>29A⁴, 29A⁸</t>
        </is>
      </c>
      <c r="M7090" t="inlineStr"/>
      <c r="N7090" t="inlineStr">
        <is>
          <t>29A⁸, 29A⁴, 1A⁰, 29A²</t>
        </is>
      </c>
      <c r="O7090" t="inlineStr"/>
    </row>
    <row r="7091">
      <c r="A7091">
        <f>HYPERLINK("https://mathstats.uncg.edu/sites/pauli/congruence/csg22.html#group30A22", "30A²²")</f>
        <v/>
      </c>
      <c r="B7091" t="n">
        <v>22</v>
      </c>
      <c r="C7091" t="inlineStr"/>
      <c r="D7091" t="inlineStr">
        <is>
          <t>360</t>
        </is>
      </c>
      <c r="E7091" t="inlineStr">
        <is>
          <t>1</t>
        </is>
      </c>
      <c r="F7091" t="inlineStr">
        <is>
          <t>20</t>
        </is>
      </c>
      <c r="G7091" t="inlineStr">
        <is>
          <t>0</t>
        </is>
      </c>
      <c r="H7091" t="inlineStr">
        <is>
          <t>0</t>
        </is>
      </c>
      <c r="I7091" t="inlineStr">
        <is>
          <t>10⁹, 30⁹</t>
        </is>
      </c>
      <c r="J7091" t="n">
        <v>18</v>
      </c>
      <c r="K7091" t="inlineStr">
        <is>
          <t>1², 2¹, 4², 8¹</t>
        </is>
      </c>
      <c r="L7091" t="inlineStr">
        <is>
          <t>10A⁴, 30E⁶, 30A⁸, 30B⁸, 30F¹⁰</t>
        </is>
      </c>
      <c r="M7091" t="inlineStr"/>
      <c r="N7091" t="inlineStr">
        <is>
          <t>3B⁰, 2A⁰, 5A⁰, 10A⁴, 30E⁶, 10A², 30F¹⁰, 6I⁰, 10B¹, 30D², 6C⁰, 2B⁰, 10B², 1A⁰, 15A³, 30A⁸, 10A⁰, 30B⁸, 10I¹, 30D⁴, 10E⁰, 5E⁰, 15B¹, 6F⁰, 2C⁰</t>
        </is>
      </c>
      <c r="O7091" t="inlineStr"/>
    </row>
    <row r="7092">
      <c r="A7092">
        <f>HYPERLINK("https://mathstats.uncg.edu/sites/pauli/congruence/csg22.html#group30B22", "30B²²")</f>
        <v/>
      </c>
      <c r="B7092" t="n">
        <v>22</v>
      </c>
      <c r="C7092" t="inlineStr"/>
      <c r="D7092" t="inlineStr">
        <is>
          <t>360</t>
        </is>
      </c>
      <c r="E7092" t="inlineStr">
        <is>
          <t>1</t>
        </is>
      </c>
      <c r="F7092" t="inlineStr">
        <is>
          <t>40</t>
        </is>
      </c>
      <c r="G7092" t="inlineStr">
        <is>
          <t>0</t>
        </is>
      </c>
      <c r="H7092" t="inlineStr">
        <is>
          <t>9</t>
        </is>
      </c>
      <c r="I7092" t="inlineStr">
        <is>
          <t>30¹²</t>
        </is>
      </c>
      <c r="J7092" t="n">
        <v>12</v>
      </c>
      <c r="K7092" t="inlineStr">
        <is>
          <t>8⁵</t>
        </is>
      </c>
      <c r="L7092" t="inlineStr">
        <is>
          <t>10D³, 30G⁴, 30G⁷, 30H⁷, 30C⁸</t>
        </is>
      </c>
      <c r="M7092" t="inlineStr"/>
      <c r="N7092" t="inlineStr">
        <is>
          <t>10H¹, 2A⁰, 30G⁷, 5A⁰, 30B⁴, 10D³, 10D⁰, 5F⁰, 1A⁰, 30C⁸, 30B², 30A¹, 10A⁰, 10J¹, 30H⁷, 6A⁰, 30B¹, 10E⁰, 30G⁴, 10C¹, 15B³, 5C⁰, 15A⁰</t>
        </is>
      </c>
      <c r="O7092" t="inlineStr"/>
    </row>
    <row r="7093">
      <c r="A7093">
        <f>HYPERLINK("https://mathstats.uncg.edu/sites/pauli/congruence/csg22.html#group30C22", "30C²²")</f>
        <v/>
      </c>
      <c r="B7093" t="n">
        <v>22</v>
      </c>
      <c r="C7093" t="inlineStr"/>
      <c r="D7093" t="inlineStr">
        <is>
          <t>360</t>
        </is>
      </c>
      <c r="E7093" t="inlineStr">
        <is>
          <t>1</t>
        </is>
      </c>
      <c r="F7093" t="inlineStr">
        <is>
          <t>180</t>
        </is>
      </c>
      <c r="G7093" t="inlineStr">
        <is>
          <t>0</t>
        </is>
      </c>
      <c r="H7093" t="inlineStr">
        <is>
          <t>0</t>
        </is>
      </c>
      <c r="I7093" t="inlineStr">
        <is>
          <t>10⁹, 30⁹</t>
        </is>
      </c>
      <c r="J7093" t="n">
        <v>18</v>
      </c>
      <c r="K7093" t="inlineStr">
        <is>
          <t>1⁶, 2⁹, 4²¹, 8⁹</t>
        </is>
      </c>
      <c r="L7093" t="inlineStr">
        <is>
          <t>10C³, 30D⁸, 30F¹⁰</t>
        </is>
      </c>
      <c r="M7093" t="inlineStr"/>
      <c r="N7093" t="inlineStr">
        <is>
          <t>3B⁰, 5A⁰, 30D⁸, 30F¹⁰, 10B¹, 2B⁰, 10E¹, 1A⁰, 10C³, 15A³, 10I¹, 30D⁴, 5E⁰, 15B¹, 6F⁰</t>
        </is>
      </c>
      <c r="O7093" t="inlineStr"/>
    </row>
    <row r="7094">
      <c r="A7094">
        <f>HYPERLINK("https://mathstats.uncg.edu/sites/pauli/congruence/csg22.html#group30D22", "30D²²")</f>
        <v/>
      </c>
      <c r="B7094" t="n">
        <v>22</v>
      </c>
      <c r="C7094" t="inlineStr"/>
      <c r="D7094" t="inlineStr">
        <is>
          <t>360</t>
        </is>
      </c>
      <c r="E7094" t="inlineStr">
        <is>
          <t>2</t>
        </is>
      </c>
      <c r="F7094" t="inlineStr">
        <is>
          <t>40</t>
        </is>
      </c>
      <c r="G7094" t="inlineStr">
        <is>
          <t>0</t>
        </is>
      </c>
      <c r="H7094" t="inlineStr">
        <is>
          <t>9</t>
        </is>
      </c>
      <c r="I7094" t="inlineStr">
        <is>
          <t>30¹²</t>
        </is>
      </c>
      <c r="J7094" t="n">
        <v>12</v>
      </c>
      <c r="K7094" t="inlineStr">
        <is>
          <t>4⁴, 8⁸</t>
        </is>
      </c>
      <c r="L7094" t="inlineStr">
        <is>
          <t>30G⁴, 30E⁶, 30K⁷, 30M⁷, 30E⁸</t>
        </is>
      </c>
      <c r="M7094" t="inlineStr"/>
      <c r="N7094" t="inlineStr">
        <is>
          <t>30E⁸, 2A⁰, 5A⁰, 3B⁰, 30E⁶, 15D³, 30D², 30K⁷, 6C⁰, 1A⁰, 30B², 30A¹, 10A⁰, 6A⁰, 30B¹, 10E⁰, 6J⁰, 15B¹, 30M⁷, 30G⁴, 15A⁰</t>
        </is>
      </c>
      <c r="O7094" t="inlineStr"/>
    </row>
    <row r="7095">
      <c r="A7095">
        <f>HYPERLINK("https://mathstats.uncg.edu/sites/pauli/congruence/csg22.html#group30E22", "30E²²")</f>
        <v/>
      </c>
      <c r="B7095" t="n">
        <v>22</v>
      </c>
      <c r="C7095" t="inlineStr"/>
      <c r="D7095" t="inlineStr">
        <is>
          <t>360</t>
        </is>
      </c>
      <c r="E7095" t="inlineStr">
        <is>
          <t>2</t>
        </is>
      </c>
      <c r="F7095" t="inlineStr">
        <is>
          <t>60</t>
        </is>
      </c>
      <c r="G7095" t="inlineStr">
        <is>
          <t>12</t>
        </is>
      </c>
      <c r="H7095" t="inlineStr">
        <is>
          <t>0</t>
        </is>
      </c>
      <c r="I7095" t="inlineStr">
        <is>
          <t>30¹²</t>
        </is>
      </c>
      <c r="J7095" t="n">
        <v>12</v>
      </c>
      <c r="K7095" t="inlineStr">
        <is>
          <t>8¹⁵</t>
        </is>
      </c>
      <c r="L7095" t="inlineStr">
        <is>
          <t>30F⁶, 15C⁷</t>
        </is>
      </c>
      <c r="M7095" t="inlineStr"/>
      <c r="N7095" t="inlineStr">
        <is>
          <t>15C⁷, 15E², 5A⁰, 15F¹, 5E⁰, 15H³, 3A⁰, 1A⁰, 15A¹, 30F⁶, 15A⁰</t>
        </is>
      </c>
      <c r="O7095" t="inlineStr"/>
    </row>
    <row r="7096">
      <c r="A7096">
        <f>HYPERLINK("https://mathstats.uncg.edu/sites/pauli/congruence/csg22.html#group30F22", "30F²²")</f>
        <v/>
      </c>
      <c r="B7096" t="n">
        <v>22</v>
      </c>
      <c r="C7096" t="inlineStr"/>
      <c r="D7096" t="inlineStr">
        <is>
          <t>360</t>
        </is>
      </c>
      <c r="E7096" t="inlineStr">
        <is>
          <t>2</t>
        </is>
      </c>
      <c r="F7096" t="inlineStr">
        <is>
          <t>120</t>
        </is>
      </c>
      <c r="G7096" t="inlineStr">
        <is>
          <t>0</t>
        </is>
      </c>
      <c r="H7096" t="inlineStr">
        <is>
          <t>9</t>
        </is>
      </c>
      <c r="I7096" t="inlineStr">
        <is>
          <t>30¹²</t>
        </is>
      </c>
      <c r="J7096" t="n">
        <v>12</v>
      </c>
      <c r="K7096" t="inlineStr">
        <is>
          <t>8³⁰</t>
        </is>
      </c>
      <c r="L7096" t="inlineStr">
        <is>
          <t>30G⁴, 30O⁷</t>
        </is>
      </c>
      <c r="M7096" t="inlineStr"/>
      <c r="N7096" t="inlineStr">
        <is>
          <t>2A⁰, 30B², 30A¹, 5A⁰, 10A⁰, 15E², 6A⁰, 30B¹, 10E⁰, 30G⁴, 1A⁰, 30O⁷, 15A⁰</t>
        </is>
      </c>
      <c r="O7096" t="inlineStr"/>
    </row>
    <row r="7097">
      <c r="A7097">
        <f>HYPERLINK("https://mathstats.uncg.edu/sites/pauli/congruence/csg22.html#group30G22", "30G²²")</f>
        <v/>
      </c>
      <c r="B7097" t="n">
        <v>22</v>
      </c>
      <c r="C7097" t="inlineStr"/>
      <c r="D7097" t="inlineStr">
        <is>
          <t>360</t>
        </is>
      </c>
      <c r="E7097" t="inlineStr">
        <is>
          <t>2</t>
        </is>
      </c>
      <c r="F7097" t="inlineStr">
        <is>
          <t>180</t>
        </is>
      </c>
      <c r="G7097" t="inlineStr">
        <is>
          <t>4</t>
        </is>
      </c>
      <c r="H7097" t="inlineStr">
        <is>
          <t>0</t>
        </is>
      </c>
      <c r="I7097" t="inlineStr">
        <is>
          <t>15⁸, 30⁸</t>
        </is>
      </c>
      <c r="J7097" t="n">
        <v>16</v>
      </c>
      <c r="K7097" t="inlineStr">
        <is>
          <t>8⁴⁵</t>
        </is>
      </c>
      <c r="L7097" t="inlineStr">
        <is>
          <t>15E⁴, 30F¹¹</t>
        </is>
      </c>
      <c r="M7097" t="inlineStr"/>
      <c r="N7097" t="inlineStr">
        <is>
          <t>15E², 30F¹¹, 15E⁴, 5A⁰, 30E³, 10B¹, 2B⁰, 1A⁰, 15A⁰</t>
        </is>
      </c>
      <c r="O7097" t="inlineStr"/>
    </row>
    <row r="7098">
      <c r="A7098">
        <f>HYPERLINK("https://mathstats.uncg.edu/sites/pauli/congruence/csg22.html#group32A22", "32A²²")</f>
        <v/>
      </c>
      <c r="B7098" t="n">
        <v>22</v>
      </c>
      <c r="C7098" t="inlineStr"/>
      <c r="D7098" t="inlineStr">
        <is>
          <t>384</t>
        </is>
      </c>
      <c r="E7098" t="inlineStr">
        <is>
          <t>1</t>
        </is>
      </c>
      <c r="F7098" t="inlineStr">
        <is>
          <t>96</t>
        </is>
      </c>
      <c r="G7098" t="inlineStr">
        <is>
          <t>4</t>
        </is>
      </c>
      <c r="H7098" t="inlineStr">
        <is>
          <t>0</t>
        </is>
      </c>
      <c r="I7098" t="inlineStr">
        <is>
          <t>16¹⁶, 32⁴</t>
        </is>
      </c>
      <c r="J7098" t="n">
        <v>20</v>
      </c>
      <c r="K7098" t="inlineStr">
        <is>
          <t>8², 16⁵</t>
        </is>
      </c>
      <c r="L7098" t="inlineStr">
        <is>
          <t>32Q⁹, 32R⁹, 16A¹⁰</t>
        </is>
      </c>
      <c r="M7098" t="inlineStr"/>
      <c r="N7098" t="inlineStr">
        <is>
          <t>16I¹, 8D⁰, 4C⁰, 8B⁰, 32R⁹, 16P³, 8A⁰, 2B⁰, 1A⁰, 8K⁰, 8D¹, 8H¹, 16E², 16A¹⁰, 8H⁰, 16E⁰, 16B⁴, 16D¹, 4A⁰, 16I⁵, 16C¹, 32Q⁹, 4F⁰</t>
        </is>
      </c>
      <c r="O7098" t="inlineStr"/>
    </row>
    <row r="7099">
      <c r="A7099">
        <f>HYPERLINK("https://mathstats.uncg.edu/sites/pauli/congruence/csg22.html#group32B22", "32B²²")</f>
        <v/>
      </c>
      <c r="B7099" t="n">
        <v>22</v>
      </c>
      <c r="C7099" t="inlineStr"/>
      <c r="D7099" t="inlineStr">
        <is>
          <t>384</t>
        </is>
      </c>
      <c r="E7099" t="inlineStr">
        <is>
          <t>1</t>
        </is>
      </c>
      <c r="F7099" t="inlineStr">
        <is>
          <t>96</t>
        </is>
      </c>
      <c r="G7099" t="inlineStr">
        <is>
          <t>4</t>
        </is>
      </c>
      <c r="H7099" t="inlineStr">
        <is>
          <t>0</t>
        </is>
      </c>
      <c r="I7099" t="inlineStr">
        <is>
          <t>16¹⁶, 32⁴</t>
        </is>
      </c>
      <c r="J7099" t="n">
        <v>20</v>
      </c>
      <c r="K7099" t="inlineStr">
        <is>
          <t>8², 16⁵</t>
        </is>
      </c>
      <c r="L7099" t="inlineStr">
        <is>
          <t>32Q⁹, 32R⁹, 16A¹⁰</t>
        </is>
      </c>
      <c r="M7099" t="inlineStr"/>
      <c r="N7099" t="inlineStr">
        <is>
          <t>16I¹, 8D⁰, 4C⁰, 8B⁰, 32R⁹, 16P³, 8A⁰, 2B⁰, 1A⁰, 8K⁰, 8D¹, 8H¹, 16E², 16A¹⁰, 8H⁰, 16E⁰, 16B⁴, 16D¹, 4A⁰, 16I⁵, 16C¹, 32Q⁹, 4F⁰</t>
        </is>
      </c>
      <c r="O7099" t="inlineStr"/>
    </row>
    <row r="7100">
      <c r="A7100">
        <f>HYPERLINK("https://mathstats.uncg.edu/sites/pauli/congruence/csg22.html#group33A22", "33A²²")</f>
        <v/>
      </c>
      <c r="B7100" t="n">
        <v>22</v>
      </c>
      <c r="C7100" t="inlineStr"/>
      <c r="D7100" t="inlineStr">
        <is>
          <t>330</t>
        </is>
      </c>
      <c r="E7100" t="inlineStr">
        <is>
          <t>1</t>
        </is>
      </c>
      <c r="F7100" t="inlineStr">
        <is>
          <t>55</t>
        </is>
      </c>
      <c r="G7100" t="inlineStr">
        <is>
          <t>6</t>
        </is>
      </c>
      <c r="H7100" t="inlineStr">
        <is>
          <t>0</t>
        </is>
      </c>
      <c r="I7100" t="inlineStr">
        <is>
          <t>33¹⁰</t>
        </is>
      </c>
      <c r="J7100" t="n">
        <v>10</v>
      </c>
      <c r="K7100" t="inlineStr">
        <is>
          <t>5¹, 10⁵</t>
        </is>
      </c>
      <c r="L7100" t="inlineStr">
        <is>
          <t>11A⁴, 33A⁷</t>
        </is>
      </c>
      <c r="M7100" t="inlineStr"/>
      <c r="N7100" t="inlineStr">
        <is>
          <t>11C¹, 1A⁰, 3A⁰, 11A⁴, 33A⁷</t>
        </is>
      </c>
      <c r="O7100" t="inlineStr"/>
    </row>
    <row r="7101">
      <c r="A7101">
        <f>HYPERLINK("https://mathstats.uncg.edu/sites/pauli/congruence/csg22.html#group33B22", "33B²²")</f>
        <v/>
      </c>
      <c r="B7101" t="n">
        <v>22</v>
      </c>
      <c r="C7101" t="inlineStr"/>
      <c r="D7101" t="inlineStr">
        <is>
          <t>330</t>
        </is>
      </c>
      <c r="E7101" t="inlineStr">
        <is>
          <t>1</t>
        </is>
      </c>
      <c r="F7101" t="inlineStr">
        <is>
          <t>165</t>
        </is>
      </c>
      <c r="G7101" t="inlineStr">
        <is>
          <t>6</t>
        </is>
      </c>
      <c r="H7101" t="inlineStr">
        <is>
          <t>0</t>
        </is>
      </c>
      <c r="I7101" t="inlineStr">
        <is>
          <t>33¹⁰</t>
        </is>
      </c>
      <c r="J7101" t="n">
        <v>10</v>
      </c>
      <c r="K7101" t="inlineStr">
        <is>
          <t>5¹, 10⁶, 20⁵</t>
        </is>
      </c>
      <c r="L7101" t="inlineStr">
        <is>
          <t>33A⁴, 33B¹⁰</t>
        </is>
      </c>
      <c r="M7101" t="inlineStr"/>
      <c r="N7101" t="inlineStr">
        <is>
          <t>11A⁰, 33A¹, 3C⁰, 33B¹⁰, 11B¹, 3A⁰, 1A⁰, 33A⁴</t>
        </is>
      </c>
      <c r="O7101" t="inlineStr"/>
    </row>
    <row r="7102">
      <c r="A7102">
        <f>HYPERLINK("https://mathstats.uncg.edu/sites/pauli/congruence/csg22.html#group33C22", "33C²²")</f>
        <v/>
      </c>
      <c r="B7102" t="n">
        <v>22</v>
      </c>
      <c r="C7102" t="inlineStr"/>
      <c r="D7102" t="inlineStr">
        <is>
          <t>396</t>
        </is>
      </c>
      <c r="E7102" t="inlineStr">
        <is>
          <t>1</t>
        </is>
      </c>
      <c r="F7102" t="inlineStr">
        <is>
          <t>198</t>
        </is>
      </c>
      <c r="G7102" t="inlineStr">
        <is>
          <t>24</t>
        </is>
      </c>
      <c r="H7102" t="inlineStr">
        <is>
          <t>0</t>
        </is>
      </c>
      <c r="I7102" t="inlineStr">
        <is>
          <t>33¹²</t>
        </is>
      </c>
      <c r="J7102" t="n">
        <v>12</v>
      </c>
      <c r="K7102" t="inlineStr">
        <is>
          <t>1¹, 2¹, 5¹, 10⁷, 20⁶</t>
        </is>
      </c>
      <c r="L7102" t="inlineStr">
        <is>
          <t>33C¹⁰</t>
        </is>
      </c>
      <c r="M7102" t="inlineStr"/>
      <c r="N7102" t="inlineStr">
        <is>
          <t>33C¹⁰, 11A⁰, 11A², 3A⁰, 1A⁰, 33A¹</t>
        </is>
      </c>
      <c r="O7102" t="inlineStr"/>
    </row>
    <row r="7103">
      <c r="A7103">
        <f>HYPERLINK("https://mathstats.uncg.edu/sites/pauli/congruence/csg22.html#group34A22", "34A²²")</f>
        <v/>
      </c>
      <c r="B7103" t="n">
        <v>22</v>
      </c>
      <c r="C7103" t="inlineStr"/>
      <c r="D7103" t="inlineStr">
        <is>
          <t>306</t>
        </is>
      </c>
      <c r="E7103" t="inlineStr">
        <is>
          <t>1</t>
        </is>
      </c>
      <c r="F7103" t="inlineStr">
        <is>
          <t>153</t>
        </is>
      </c>
      <c r="G7103" t="inlineStr">
        <is>
          <t>0</t>
        </is>
      </c>
      <c r="H7103" t="inlineStr">
        <is>
          <t>0</t>
        </is>
      </c>
      <c r="I7103" t="inlineStr">
        <is>
          <t>34⁹</t>
        </is>
      </c>
      <c r="J7103" t="n">
        <v>9</v>
      </c>
      <c r="K7103" t="inlineStr">
        <is>
          <t>1¹, 8¹, 16⁹</t>
        </is>
      </c>
      <c r="L7103" t="inlineStr">
        <is>
          <t>2A⁰, 17A⁷</t>
        </is>
      </c>
      <c r="M7103" t="inlineStr"/>
      <c r="N7103" t="inlineStr">
        <is>
          <t>2A⁰, 1A⁰, 17A⁷</t>
        </is>
      </c>
      <c r="O7103" t="inlineStr"/>
    </row>
    <row r="7104">
      <c r="A7104">
        <f>HYPERLINK("https://mathstats.uncg.edu/sites/pauli/congruence/csg22.html#group35A22", "35A²²")</f>
        <v/>
      </c>
      <c r="B7104" t="n">
        <v>22</v>
      </c>
      <c r="C7104" t="inlineStr"/>
      <c r="D7104" t="inlineStr">
        <is>
          <t>360</t>
        </is>
      </c>
      <c r="E7104" t="inlineStr">
        <is>
          <t>1</t>
        </is>
      </c>
      <c r="F7104" t="inlineStr">
        <is>
          <t>40</t>
        </is>
      </c>
      <c r="G7104" t="inlineStr">
        <is>
          <t>0</t>
        </is>
      </c>
      <c r="H7104" t="inlineStr">
        <is>
          <t>0</t>
        </is>
      </c>
      <c r="I7104" t="inlineStr">
        <is>
          <t>5⁹, 35⁹</t>
        </is>
      </c>
      <c r="J7104" t="n">
        <v>18</v>
      </c>
      <c r="K7104" t="inlineStr">
        <is>
          <t>1², 4², 6¹, 24¹</t>
        </is>
      </c>
      <c r="L7104" t="inlineStr">
        <is>
          <t>35C⁶, 35D⁶, 35A⁸, 35B⁸</t>
        </is>
      </c>
      <c r="M7104" t="inlineStr"/>
      <c r="N7104" t="inlineStr">
        <is>
          <t>5A⁰, 35B⁸, 7B⁰, 35D⁶, 5E⁰, 7E⁰, 35B², 35A⁸, 35C⁶, 1A⁰</t>
        </is>
      </c>
      <c r="O7104" t="inlineStr"/>
    </row>
    <row r="7105">
      <c r="A7105">
        <f>HYPERLINK("https://mathstats.uncg.edu/sites/pauli/congruence/csg22.html#group36A22", "36A²²")</f>
        <v/>
      </c>
      <c r="B7105" t="n">
        <v>22</v>
      </c>
      <c r="C7105" t="inlineStr"/>
      <c r="D7105" t="inlineStr">
        <is>
          <t>324</t>
        </is>
      </c>
      <c r="E7105" t="inlineStr">
        <is>
          <t>1</t>
        </is>
      </c>
      <c r="F7105" t="inlineStr">
        <is>
          <t>54</t>
        </is>
      </c>
      <c r="G7105" t="inlineStr">
        <is>
          <t>0</t>
        </is>
      </c>
      <c r="H7105" t="inlineStr">
        <is>
          <t>0</t>
        </is>
      </c>
      <c r="I7105" t="inlineStr">
        <is>
          <t>18⁶, 36⁶</t>
        </is>
      </c>
      <c r="J7105" t="n">
        <v>12</v>
      </c>
      <c r="K7105" t="inlineStr">
        <is>
          <t>1³, 2³, 3³, 6⁶</t>
        </is>
      </c>
      <c r="L7105" t="inlineStr">
        <is>
          <t>36D⁶, 18I⁷, 36A⁸</t>
        </is>
      </c>
      <c r="M7105" t="inlineStr"/>
      <c r="N7105" t="inlineStr">
        <is>
          <t>18I¹, 6G⁰, 36E⁴, 9E¹, 18I⁷, 2B⁰, 9E⁰, 36D⁶, 1A⁰, 36A⁸, 9D⁰, 12C¹, 9A⁰, 3C⁰, 18E¹, 3A⁰, 12C², 18I², 6D⁰</t>
        </is>
      </c>
      <c r="O7105" t="inlineStr"/>
    </row>
    <row r="7106">
      <c r="A7106">
        <f>HYPERLINK("https://mathstats.uncg.edu/sites/pauli/congruence/csg22.html#group36B22", "36B²²")</f>
        <v/>
      </c>
      <c r="B7106" t="n">
        <v>22</v>
      </c>
      <c r="C7106" t="inlineStr"/>
      <c r="D7106" t="inlineStr">
        <is>
          <t>324</t>
        </is>
      </c>
      <c r="E7106" t="inlineStr">
        <is>
          <t>1</t>
        </is>
      </c>
      <c r="F7106" t="inlineStr">
        <is>
          <t>81</t>
        </is>
      </c>
      <c r="G7106" t="inlineStr">
        <is>
          <t>0</t>
        </is>
      </c>
      <c r="H7106" t="inlineStr">
        <is>
          <t>0</t>
        </is>
      </c>
      <c r="I7106" t="inlineStr">
        <is>
          <t>18⁶, 36⁶</t>
        </is>
      </c>
      <c r="J7106" t="n">
        <v>12</v>
      </c>
      <c r="K7106" t="inlineStr">
        <is>
          <t>3³, 6¹²</t>
        </is>
      </c>
      <c r="L7106" t="inlineStr">
        <is>
          <t>4E⁰, 18A¹⁰, 36M¹⁰, 36O¹⁰</t>
        </is>
      </c>
      <c r="M7106" t="inlineStr"/>
      <c r="N7106" t="inlineStr">
        <is>
          <t>2A⁰, 2C⁰, 36O¹⁰, 18A¹⁰, 18K⁴, 4C⁰, 2B⁰, 4E⁰, 18J², 4B⁰, 9F⁰, 1A⁰, 36M¹⁰</t>
        </is>
      </c>
      <c r="O7106" t="inlineStr"/>
    </row>
    <row r="7107">
      <c r="A7107">
        <f>HYPERLINK("https://mathstats.uncg.edu/sites/pauli/congruence/csg22.html#group36C22", "36C²²")</f>
        <v/>
      </c>
      <c r="B7107" t="n">
        <v>22</v>
      </c>
      <c r="C7107" t="inlineStr"/>
      <c r="D7107" t="inlineStr">
        <is>
          <t>324</t>
        </is>
      </c>
      <c r="E7107" t="inlineStr">
        <is>
          <t>1</t>
        </is>
      </c>
      <c r="F7107" t="inlineStr">
        <is>
          <t>81</t>
        </is>
      </c>
      <c r="G7107" t="inlineStr">
        <is>
          <t>0</t>
        </is>
      </c>
      <c r="H7107" t="inlineStr">
        <is>
          <t>0</t>
        </is>
      </c>
      <c r="I7107" t="inlineStr">
        <is>
          <t>18⁶, 36⁶</t>
        </is>
      </c>
      <c r="J7107" t="n">
        <v>12</v>
      </c>
      <c r="K7107" t="inlineStr">
        <is>
          <t>3³, 6¹²</t>
        </is>
      </c>
      <c r="L7107" t="inlineStr">
        <is>
          <t>36D⁶, 18A⁸, 36E⁸, 36P¹⁰</t>
        </is>
      </c>
      <c r="M7107" t="inlineStr"/>
      <c r="N7107" t="inlineStr">
        <is>
          <t>36E⁸, 36E³, 18I¹, 9G⁰, 6G⁰, 36E⁴, 2B⁰, 9B², 9E⁰, 36D⁶, 1A⁰, 9B¹, 18E³, 18A⁸, 36P¹⁰, 12C¹, 18J³, 9A⁰, 3C⁰, 18E¹, 3A⁰, 12C², 6D⁰</t>
        </is>
      </c>
      <c r="O7107" t="inlineStr"/>
    </row>
    <row r="7108">
      <c r="A7108">
        <f>HYPERLINK("https://mathstats.uncg.edu/sites/pauli/congruence/csg22.html#group36D22", "36D²²")</f>
        <v/>
      </c>
      <c r="B7108" t="n">
        <v>22</v>
      </c>
      <c r="C7108" t="inlineStr"/>
      <c r="D7108" t="inlineStr">
        <is>
          <t>324</t>
        </is>
      </c>
      <c r="E7108" t="inlineStr">
        <is>
          <t>1</t>
        </is>
      </c>
      <c r="F7108" t="inlineStr">
        <is>
          <t>81</t>
        </is>
      </c>
      <c r="G7108" t="inlineStr">
        <is>
          <t>0</t>
        </is>
      </c>
      <c r="H7108" t="inlineStr">
        <is>
          <t>0</t>
        </is>
      </c>
      <c r="I7108" t="inlineStr">
        <is>
          <t>18⁶, 36⁶</t>
        </is>
      </c>
      <c r="J7108" t="n">
        <v>12</v>
      </c>
      <c r="K7108" t="inlineStr">
        <is>
          <t>3³, 6¹²</t>
        </is>
      </c>
      <c r="L7108" t="inlineStr">
        <is>
          <t>18K⁷, 36F⁸, 36N¹⁰, 36G¹¹</t>
        </is>
      </c>
      <c r="M7108" t="inlineStr"/>
      <c r="N7108" t="inlineStr">
        <is>
          <t>6B⁰, 18K⁷, 36N¹⁰, 18H¹, 12D², 9G⁰, 36E⁴, 2B⁰, 4B⁰, 1A⁰, 18A⁰, 18L², 12C¹, 18J³, 9A⁰, 36G¹¹, 36D⁴, 18E¹, 36F⁸, 12B¹, 6H⁰, 3A⁰, 6D⁰</t>
        </is>
      </c>
      <c r="O7108" t="inlineStr"/>
    </row>
    <row r="7109">
      <c r="A7109">
        <f>HYPERLINK("https://mathstats.uncg.edu/sites/pauli/congruence/csg22.html#group36E22", "36E²²")</f>
        <v/>
      </c>
      <c r="B7109" t="n">
        <v>22</v>
      </c>
      <c r="C7109" t="inlineStr"/>
      <c r="D7109" t="inlineStr">
        <is>
          <t>324</t>
        </is>
      </c>
      <c r="E7109" t="inlineStr">
        <is>
          <t>1</t>
        </is>
      </c>
      <c r="F7109" t="inlineStr">
        <is>
          <t>81</t>
        </is>
      </c>
      <c r="G7109" t="inlineStr">
        <is>
          <t>0</t>
        </is>
      </c>
      <c r="H7109" t="inlineStr">
        <is>
          <t>0</t>
        </is>
      </c>
      <c r="I7109" t="inlineStr">
        <is>
          <t>18⁶, 36⁶</t>
        </is>
      </c>
      <c r="J7109" t="n">
        <v>12</v>
      </c>
      <c r="K7109" t="inlineStr">
        <is>
          <t>3³, 6¹²</t>
        </is>
      </c>
      <c r="L7109" t="inlineStr">
        <is>
          <t>36L⁷, 36G⁸, 18C¹⁰, 36G¹¹</t>
        </is>
      </c>
      <c r="M7109" t="inlineStr"/>
      <c r="N7109" t="inlineStr">
        <is>
          <t>2A⁰, 18B⁴, 9G⁰, 6C¹, 12E², 36E⁴, 2B⁰, 18A², 36G⁸, 1A⁰, 36L⁷, 12C¹, 6A⁰, 18A⁴, 9A⁰, 18J³, 36G¹¹, 6A¹, 12D⁰, 18E¹, 3A⁰, 2C⁰, 6D⁰, 36C², 18C¹⁰</t>
        </is>
      </c>
      <c r="O7109" t="inlineStr"/>
    </row>
    <row r="7110">
      <c r="A7110">
        <f>HYPERLINK("https://mathstats.uncg.edu/sites/pauli/congruence/csg22.html#group36F22", "36F²²")</f>
        <v/>
      </c>
      <c r="B7110" t="n">
        <v>22</v>
      </c>
      <c r="C7110" t="inlineStr"/>
      <c r="D7110" t="inlineStr">
        <is>
          <t>324</t>
        </is>
      </c>
      <c r="E7110" t="inlineStr">
        <is>
          <t>1</t>
        </is>
      </c>
      <c r="F7110" t="inlineStr">
        <is>
          <t>81</t>
        </is>
      </c>
      <c r="G7110" t="inlineStr">
        <is>
          <t>0</t>
        </is>
      </c>
      <c r="H7110" t="inlineStr">
        <is>
          <t>0</t>
        </is>
      </c>
      <c r="I7110" t="inlineStr">
        <is>
          <t>18⁶, 36⁶</t>
        </is>
      </c>
      <c r="J7110" t="n">
        <v>12</v>
      </c>
      <c r="K7110" t="inlineStr">
        <is>
          <t>3³, 6¹²</t>
        </is>
      </c>
      <c r="L7110" t="inlineStr">
        <is>
          <t>36B⁸, 36L⁸, 18C¹⁰, 36N¹⁰</t>
        </is>
      </c>
      <c r="M7110" t="inlineStr"/>
      <c r="N7110" t="inlineStr">
        <is>
          <t>2A⁰, 12C⁰, 36N¹⁰, 36L⁸, 36B², 6C¹, 12B², 4C⁰, 2B⁰, 4E⁰, 4B⁰, 1A⁰, 18A⁴, 12B¹, 6A¹, 18E¹, 3A⁰, 18B⁴, 9G⁰, 36B⁸, 18A², 6A⁰, 18J³, 9A⁰, 36D⁴, 2C⁰, 6D⁰, 18C¹⁰</t>
        </is>
      </c>
      <c r="O7110" t="inlineStr"/>
    </row>
    <row r="7111">
      <c r="A7111">
        <f>HYPERLINK("https://mathstats.uncg.edu/sites/pauli/congruence/csg22.html#group36G22", "36G²²")</f>
        <v/>
      </c>
      <c r="B7111" t="n">
        <v>22</v>
      </c>
      <c r="C7111" t="inlineStr"/>
      <c r="D7111" t="inlineStr">
        <is>
          <t>324</t>
        </is>
      </c>
      <c r="E7111" t="inlineStr">
        <is>
          <t>1</t>
        </is>
      </c>
      <c r="F7111" t="inlineStr">
        <is>
          <t>162</t>
        </is>
      </c>
      <c r="G7111" t="inlineStr">
        <is>
          <t>6</t>
        </is>
      </c>
      <c r="H7111" t="inlineStr">
        <is>
          <t>0</t>
        </is>
      </c>
      <c r="I7111" t="inlineStr">
        <is>
          <t>36⁹</t>
        </is>
      </c>
      <c r="J7111" t="n">
        <v>9</v>
      </c>
      <c r="K7111" t="inlineStr">
        <is>
          <t>3², 6¹⁰, 12⁸</t>
        </is>
      </c>
      <c r="L7111" t="inlineStr">
        <is>
          <t>4F⁰, 36G⁶, 36O¹⁰</t>
        </is>
      </c>
      <c r="M7111" t="inlineStr"/>
      <c r="N7111" t="inlineStr">
        <is>
          <t>4A⁰, 36O¹⁰, 18K⁴, 4C⁰, 2B⁰, 4F⁰, 9F⁰, 1A⁰, 36G⁶</t>
        </is>
      </c>
      <c r="O7111" t="inlineStr"/>
    </row>
    <row r="7112">
      <c r="A7112">
        <f>HYPERLINK("https://mathstats.uncg.edu/sites/pauli/congruence/csg22.html#group36H22", "36H²²")</f>
        <v/>
      </c>
      <c r="B7112" t="n">
        <v>22</v>
      </c>
      <c r="C7112" t="inlineStr"/>
      <c r="D7112" t="inlineStr">
        <is>
          <t>324</t>
        </is>
      </c>
      <c r="E7112" t="inlineStr">
        <is>
          <t>2</t>
        </is>
      </c>
      <c r="F7112" t="inlineStr">
        <is>
          <t>27</t>
        </is>
      </c>
      <c r="G7112" t="inlineStr">
        <is>
          <t>0</t>
        </is>
      </c>
      <c r="H7112" t="inlineStr">
        <is>
          <t>0</t>
        </is>
      </c>
      <c r="I7112" t="inlineStr">
        <is>
          <t>18⁶, 36⁶</t>
        </is>
      </c>
      <c r="J7112" t="n">
        <v>12</v>
      </c>
      <c r="K7112" t="inlineStr">
        <is>
          <t>2⁹, 6⁶</t>
        </is>
      </c>
      <c r="L7112" t="inlineStr">
        <is>
          <t>18M⁷, 36A⁸, 36E⁸, 36P¹⁰, 36G¹¹</t>
        </is>
      </c>
      <c r="M7112" t="inlineStr"/>
      <c r="N7112" t="inlineStr">
        <is>
          <t>36E⁸, 36E³, 9G⁰, 18M⁷, 6G⁰, 36E⁴, 2B⁰, 1A⁰, 9B¹, 18E³, 36A⁸, 36P¹⁰, 9D⁰, 12C¹, 18J³, 9A⁰, 36G¹¹, 3C⁰, 18E¹, 3A⁰, 12C², 18I², 6D⁰, 9F¹</t>
        </is>
      </c>
      <c r="O7112" t="inlineStr"/>
    </row>
    <row r="7113">
      <c r="A7113">
        <f>HYPERLINK("https://mathstats.uncg.edu/sites/pauli/congruence/csg22.html#group36I22", "36I²²")</f>
        <v/>
      </c>
      <c r="B7113" t="n">
        <v>22</v>
      </c>
      <c r="C7113" t="inlineStr"/>
      <c r="D7113" t="inlineStr">
        <is>
          <t>324</t>
        </is>
      </c>
      <c r="E7113" t="inlineStr">
        <is>
          <t>2</t>
        </is>
      </c>
      <c r="F7113" t="inlineStr">
        <is>
          <t>81</t>
        </is>
      </c>
      <c r="G7113" t="inlineStr">
        <is>
          <t>0</t>
        </is>
      </c>
      <c r="H7113" t="inlineStr">
        <is>
          <t>0</t>
        </is>
      </c>
      <c r="I7113" t="inlineStr">
        <is>
          <t>18⁶, 36⁶</t>
        </is>
      </c>
      <c r="J7113" t="n">
        <v>12</v>
      </c>
      <c r="K7113" t="inlineStr">
        <is>
          <t>6²⁷</t>
        </is>
      </c>
      <c r="L7113" t="inlineStr">
        <is>
          <t>18B⁸, 36C⁸, 36F⁸, 36N¹⁰, 36P¹⁰</t>
        </is>
      </c>
      <c r="M7113" t="inlineStr"/>
      <c r="N7113" t="inlineStr">
        <is>
          <t>6B⁰, 36C⁸, 36N¹⁰, 36E³, 12D², 9G⁰, 6H⁰, 18K², 18B¹, 36E⁴, 2B⁰, 4B⁰, 18M², 1A⁰, 18A⁰, 18L², 18D³, 36P¹⁰, 12C¹, 18J³, 9A⁰, 36D⁴, 36F⁸, 18B⁸, 12B¹, 18E¹, 3A⁰, 18A¹, 6D⁰</t>
        </is>
      </c>
      <c r="O7113" t="inlineStr"/>
    </row>
    <row r="7114">
      <c r="A7114">
        <f>HYPERLINK("https://mathstats.uncg.edu/sites/pauli/congruence/csg22.html#group36J22", "36J²²")</f>
        <v/>
      </c>
      <c r="B7114" t="n">
        <v>22</v>
      </c>
      <c r="C7114" t="inlineStr"/>
      <c r="D7114" t="inlineStr">
        <is>
          <t>324</t>
        </is>
      </c>
      <c r="E7114" t="inlineStr">
        <is>
          <t>2</t>
        </is>
      </c>
      <c r="F7114" t="inlineStr">
        <is>
          <t>81</t>
        </is>
      </c>
      <c r="G7114" t="inlineStr">
        <is>
          <t>0</t>
        </is>
      </c>
      <c r="H7114" t="inlineStr">
        <is>
          <t>0</t>
        </is>
      </c>
      <c r="I7114" t="inlineStr">
        <is>
          <t>18⁶, 36⁶</t>
        </is>
      </c>
      <c r="J7114" t="n">
        <v>12</v>
      </c>
      <c r="K7114" t="inlineStr">
        <is>
          <t>6²⁷</t>
        </is>
      </c>
      <c r="L7114" t="inlineStr">
        <is>
          <t>36D⁸, 36G⁸, 36M⁸, 18C¹⁰, 36P¹⁰</t>
        </is>
      </c>
      <c r="M7114" t="inlineStr"/>
      <c r="N7114" t="inlineStr">
        <is>
          <t>2A⁰, 18B⁴, 36E³, 9G⁰, 6C¹, 12E², 36E⁴, 2B⁰, 18A², 36G⁸, 1A⁰, 36D⁸, 36M⁸, 36P¹⁰, 12C¹, 6A⁰, 18J³, 9A⁰, 18A⁴, 36D³, 6A¹, 12D⁰, 18E¹, 3A⁰, 2C⁰, 6D⁰, 36C², 18C¹⁰</t>
        </is>
      </c>
      <c r="O7114" t="inlineStr"/>
    </row>
    <row r="7115">
      <c r="A7115">
        <f>HYPERLINK("https://mathstats.uncg.edu/sites/pauli/congruence/csg22.html#group36K22", "36K²²")</f>
        <v/>
      </c>
      <c r="B7115" t="n">
        <v>22</v>
      </c>
      <c r="C7115" t="inlineStr"/>
      <c r="D7115" t="inlineStr">
        <is>
          <t>432</t>
        </is>
      </c>
      <c r="E7115" t="inlineStr">
        <is>
          <t>1</t>
        </is>
      </c>
      <c r="F7115" t="inlineStr">
        <is>
          <t>12</t>
        </is>
      </c>
      <c r="G7115" t="inlineStr">
        <is>
          <t>0</t>
        </is>
      </c>
      <c r="H7115" t="inlineStr">
        <is>
          <t>0</t>
        </is>
      </c>
      <c r="I7115" t="inlineStr">
        <is>
          <t>6¹², 12³, 18¹², 36³</t>
        </is>
      </c>
      <c r="J7115" t="n">
        <v>30</v>
      </c>
      <c r="K7115" t="inlineStr">
        <is>
          <t>1⁶, 2³</t>
        </is>
      </c>
      <c r="L7115" t="inlineStr">
        <is>
          <t>12N³, 36J³, 36I⁸, 36H⁸, 18E¹⁰</t>
        </is>
      </c>
      <c r="M7115" t="inlineStr"/>
      <c r="N7115" t="inlineStr">
        <is>
          <t>6C¹, 12I⁰, 18D², 2B⁰, 12N³, 1A⁰, 18C⁰, 18C¹, 3C⁰, 18E⁴, 6H⁰, 6E¹, 3B⁰, 18B⁰, 18E¹⁰, 18J¹, 18H⁴, 18E⁰, 6A⁰, 9A¹, 9C¹, 3D⁰, 2C⁰, 6D⁰, 2A⁰, 18D¹, 18E², 6G⁰, 36I⁸, 18F⁴, 9C⁰, 18G⁴, 6B¹, 18C², 6K⁰, 6A¹, 3A⁰, 6F⁰, 12U¹, 6B⁰, 6I⁰, 18K¹, 6F¹, 6C⁰, 9B⁰, 18B², 6D¹, 36H⁸, 6E⁰, 6L⁰, 6J⁰, 18D⁴, 18M⁴, 36J³, 18C⁴</t>
        </is>
      </c>
      <c r="O7115" t="inlineStr"/>
    </row>
    <row r="7116">
      <c r="A7116">
        <f>HYPERLINK("https://mathstats.uncg.edu/sites/pauli/congruence/csg22.html#group36L22", "36L²²")</f>
        <v/>
      </c>
      <c r="B7116" t="n">
        <v>22</v>
      </c>
      <c r="C7116" t="inlineStr"/>
      <c r="D7116" t="inlineStr">
        <is>
          <t>432</t>
        </is>
      </c>
      <c r="E7116" t="inlineStr">
        <is>
          <t>1</t>
        </is>
      </c>
      <c r="F7116" t="inlineStr">
        <is>
          <t>24</t>
        </is>
      </c>
      <c r="G7116" t="inlineStr">
        <is>
          <t>0</t>
        </is>
      </c>
      <c r="H7116" t="inlineStr">
        <is>
          <t>0</t>
        </is>
      </c>
      <c r="I7116" t="inlineStr">
        <is>
          <t>3⁶, 6³, 9⁶, 12⁶, 18³, 36⁶</t>
        </is>
      </c>
      <c r="J7116" t="n">
        <v>30</v>
      </c>
      <c r="K7116" t="inlineStr">
        <is>
          <t>1⁸, 2⁶, 4¹</t>
        </is>
      </c>
      <c r="L7116" t="inlineStr">
        <is>
          <t>12O³, 36K³, 36J⁸, 36K⁸, 36Q¹⁰</t>
        </is>
      </c>
      <c r="M7116" t="inlineStr"/>
      <c r="N7116" t="inlineStr">
        <is>
          <t>12K¹, 18E², 12J⁰, 6G⁰, 12S¹, 2B⁰, 18D², 9C⁰, 4B⁰, 1A⁰, 36K⁸, 6D⁰, 3C⁰, 6K⁰, 12B¹, 3A⁰, 6F⁰, 36J⁸, 12O³, 3B⁰, 36Q¹⁰, 36G⁴, 9B⁰, 36F⁴, 12G⁰, 18E⁰, 9A¹, 9C¹, 36K³, 12D⁰, 36C¹, 18M⁴, 3D⁰, 12E⁰</t>
        </is>
      </c>
      <c r="O7116" t="inlineStr"/>
    </row>
    <row r="7117">
      <c r="A7117">
        <f>HYPERLINK("https://mathstats.uncg.edu/sites/pauli/congruence/csg22.html#group36M22", "36M²²")</f>
        <v/>
      </c>
      <c r="B7117" t="n">
        <v>22</v>
      </c>
      <c r="C7117" t="inlineStr"/>
      <c r="D7117" t="inlineStr">
        <is>
          <t>432</t>
        </is>
      </c>
      <c r="E7117" t="inlineStr">
        <is>
          <t>1</t>
        </is>
      </c>
      <c r="F7117" t="inlineStr">
        <is>
          <t>24</t>
        </is>
      </c>
      <c r="G7117" t="inlineStr">
        <is>
          <t>0</t>
        </is>
      </c>
      <c r="H7117" t="inlineStr">
        <is>
          <t>18</t>
        </is>
      </c>
      <c r="I7117" t="inlineStr">
        <is>
          <t>12⁹, 36⁹</t>
        </is>
      </c>
      <c r="J7117" t="n">
        <v>18</v>
      </c>
      <c r="K7117" t="inlineStr">
        <is>
          <t>2⁶, 6²</t>
        </is>
      </c>
      <c r="L7117" t="inlineStr">
        <is>
          <t>36S⁴, 36J⁶, 36K⁶, 18P⁷</t>
        </is>
      </c>
      <c r="M7117" t="inlineStr"/>
      <c r="N7117" t="inlineStr">
        <is>
          <t>3B⁰, 2A⁰, 9J⁰, 18B⁰, 18K¹, 18D¹, 6C⁰, 18O², 9C⁰, 1A⁰, 36J⁶, 18C⁰, 36S⁴, 6A⁰, 18N², 36B¹, 36K⁶, 6J⁰, 18P⁷, 36A², 12O¹, 36A⁰, 12B⁰</t>
        </is>
      </c>
      <c r="O7117" t="inlineStr"/>
    </row>
    <row r="7118">
      <c r="A7118">
        <f>HYPERLINK("https://mathstats.uncg.edu/sites/pauli/congruence/csg22.html#group36N22", "36N²²")</f>
        <v/>
      </c>
      <c r="B7118" t="n">
        <v>22</v>
      </c>
      <c r="C7118" t="inlineStr"/>
      <c r="D7118" t="inlineStr">
        <is>
          <t>432</t>
        </is>
      </c>
      <c r="E7118" t="inlineStr">
        <is>
          <t>1</t>
        </is>
      </c>
      <c r="F7118" t="inlineStr">
        <is>
          <t>36</t>
        </is>
      </c>
      <c r="G7118" t="inlineStr">
        <is>
          <t>0</t>
        </is>
      </c>
      <c r="H7118" t="inlineStr">
        <is>
          <t>0</t>
        </is>
      </c>
      <c r="I7118" t="inlineStr">
        <is>
          <t>6¹², 12³, 18¹², 36³</t>
        </is>
      </c>
      <c r="J7118" t="n">
        <v>30</v>
      </c>
      <c r="K7118" t="inlineStr">
        <is>
          <t>1⁶, 2⁶, 6³</t>
        </is>
      </c>
      <c r="L7118" t="inlineStr">
        <is>
          <t>36H⁸, 18G¹⁰</t>
        </is>
      </c>
      <c r="M7118" t="inlineStr"/>
      <c r="N7118" t="inlineStr">
        <is>
          <t>3B⁰, 2A⁰, 18C⁴, 9J⁰, 18B⁰, 18G¹⁰, 6I⁰, 6C⁰, 12I⁰, 18D², 2B⁰, 9C⁰, 18O², 1A⁰, 18P⁴, 36H⁸, 18N², 6F⁰, 2C⁰, 18C²</t>
        </is>
      </c>
      <c r="O7118" t="inlineStr"/>
    </row>
    <row r="7119">
      <c r="A7119">
        <f>HYPERLINK("https://mathstats.uncg.edu/sites/pauli/congruence/csg22.html#group36O22", "36O²²")</f>
        <v/>
      </c>
      <c r="B7119" t="n">
        <v>22</v>
      </c>
      <c r="C7119" t="inlineStr"/>
      <c r="D7119" t="inlineStr">
        <is>
          <t>432</t>
        </is>
      </c>
      <c r="E7119" t="inlineStr">
        <is>
          <t>1</t>
        </is>
      </c>
      <c r="F7119" t="inlineStr">
        <is>
          <t>36</t>
        </is>
      </c>
      <c r="G7119" t="inlineStr">
        <is>
          <t>0</t>
        </is>
      </c>
      <c r="H7119" t="inlineStr">
        <is>
          <t>0</t>
        </is>
      </c>
      <c r="I7119" t="inlineStr">
        <is>
          <t>6¹², 12³, 18¹², 36³</t>
        </is>
      </c>
      <c r="J7119" t="n">
        <v>30</v>
      </c>
      <c r="K7119" t="inlineStr">
        <is>
          <t>1⁶, 2⁶, 6³</t>
        </is>
      </c>
      <c r="L7119" t="inlineStr">
        <is>
          <t>36I⁸, 18H¹⁰</t>
        </is>
      </c>
      <c r="M7119" t="inlineStr"/>
      <c r="N7119" t="inlineStr">
        <is>
          <t>3B⁰, 2A⁰, 6I⁰, 6C⁰, 12I⁰, 18E², 36I⁸, 2B⁰, 1A⁰, 18B², 18J⁴, 18H¹⁰, 9A¹, 18Q⁴, 18D⁴, 18I⁴, 9D¹, 6F⁰, 2C⁰, 18D¹</t>
        </is>
      </c>
      <c r="O7119" t="inlineStr"/>
    </row>
    <row r="7120">
      <c r="A7120">
        <f>HYPERLINK("https://mathstats.uncg.edu/sites/pauli/congruence/csg22.html#group36P22", "36P²²")</f>
        <v/>
      </c>
      <c r="B7120" t="n">
        <v>22</v>
      </c>
      <c r="C7120" t="inlineStr"/>
      <c r="D7120" t="inlineStr">
        <is>
          <t>432</t>
        </is>
      </c>
      <c r="E7120" t="inlineStr">
        <is>
          <t>1</t>
        </is>
      </c>
      <c r="F7120" t="inlineStr">
        <is>
          <t>72</t>
        </is>
      </c>
      <c r="G7120" t="inlineStr">
        <is>
          <t>0</t>
        </is>
      </c>
      <c r="H7120" t="inlineStr">
        <is>
          <t>0</t>
        </is>
      </c>
      <c r="I7120" t="inlineStr">
        <is>
          <t>3⁶, 6³, 9⁶, 12⁶, 18³, 36⁶</t>
        </is>
      </c>
      <c r="J7120" t="n">
        <v>30</v>
      </c>
      <c r="K7120" t="inlineStr">
        <is>
          <t>1⁸, 2¹⁰, 4², 6⁴, 12¹</t>
        </is>
      </c>
      <c r="L7120" t="inlineStr">
        <is>
          <t>36J⁸, 36R¹⁰</t>
        </is>
      </c>
      <c r="M7120" t="inlineStr"/>
      <c r="N7120" t="inlineStr">
        <is>
          <t>3B⁰, 18P⁴, 9J⁰, 36R¹⁰, 6F⁰, 12J⁰, 18D², 36F⁴, 2B⁰, 9C⁰, 4B⁰, 1A⁰, 12E⁰, 36J⁸</t>
        </is>
      </c>
      <c r="O7120" t="inlineStr"/>
    </row>
    <row r="7121">
      <c r="A7121">
        <f>HYPERLINK("https://mathstats.uncg.edu/sites/pauli/congruence/csg22.html#group36Q22", "36Q²²")</f>
        <v/>
      </c>
      <c r="B7121" t="n">
        <v>22</v>
      </c>
      <c r="C7121" t="inlineStr"/>
      <c r="D7121" t="inlineStr">
        <is>
          <t>432</t>
        </is>
      </c>
      <c r="E7121" t="inlineStr">
        <is>
          <t>1</t>
        </is>
      </c>
      <c r="F7121" t="inlineStr">
        <is>
          <t>72</t>
        </is>
      </c>
      <c r="G7121" t="inlineStr">
        <is>
          <t>0</t>
        </is>
      </c>
      <c r="H7121" t="inlineStr">
        <is>
          <t>0</t>
        </is>
      </c>
      <c r="I7121" t="inlineStr">
        <is>
          <t>3⁶, 6³, 9⁶, 12⁶, 18³, 36⁶</t>
        </is>
      </c>
      <c r="J7121" t="n">
        <v>30</v>
      </c>
      <c r="K7121" t="inlineStr">
        <is>
          <t>1⁸, 2¹⁰, 4², 6⁴, 12¹</t>
        </is>
      </c>
      <c r="L7121" t="inlineStr">
        <is>
          <t>36K⁸, 36S¹⁰</t>
        </is>
      </c>
      <c r="M7121" t="inlineStr"/>
      <c r="N7121" t="inlineStr">
        <is>
          <t>3B⁰, 36K⁸, 9A¹, 18E², 6F⁰, 12J⁰, 36G⁴, 18Q⁴, 2B⁰, 36S¹⁰, 4B⁰, 9D¹, 1A⁰, 12E⁰</t>
        </is>
      </c>
      <c r="O7121" t="inlineStr"/>
    </row>
    <row r="7122">
      <c r="A7122">
        <f>HYPERLINK("https://mathstats.uncg.edu/sites/pauli/congruence/csg22.html#group38A22", "38A²²")</f>
        <v/>
      </c>
      <c r="B7122" t="n">
        <v>22</v>
      </c>
      <c r="C7122" t="inlineStr"/>
      <c r="D7122" t="inlineStr">
        <is>
          <t>342</t>
        </is>
      </c>
      <c r="E7122" t="inlineStr">
        <is>
          <t>2</t>
        </is>
      </c>
      <c r="F7122" t="inlineStr">
        <is>
          <t>171</t>
        </is>
      </c>
      <c r="G7122" t="inlineStr">
        <is>
          <t>12</t>
        </is>
      </c>
      <c r="H7122" t="inlineStr">
        <is>
          <t>0</t>
        </is>
      </c>
      <c r="I7122" t="inlineStr">
        <is>
          <t>38⁹</t>
        </is>
      </c>
      <c r="J7122" t="n">
        <v>9</v>
      </c>
      <c r="K7122" t="inlineStr">
        <is>
          <t>18¹⁹</t>
        </is>
      </c>
      <c r="L7122" t="inlineStr">
        <is>
          <t>19A⁸</t>
        </is>
      </c>
      <c r="M7122" t="inlineStr"/>
      <c r="N7122" t="inlineStr">
        <is>
          <t>1A⁰, 19A⁸</t>
        </is>
      </c>
      <c r="O7122" t="inlineStr"/>
    </row>
    <row r="7123">
      <c r="A7123">
        <f>HYPERLINK("https://mathstats.uncg.edu/sites/pauli/congruence/csg22.html#group38B22", "38B²²")</f>
        <v/>
      </c>
      <c r="B7123" t="n">
        <v>22</v>
      </c>
      <c r="C7123" t="inlineStr"/>
      <c r="D7123" t="inlineStr">
        <is>
          <t>360</t>
        </is>
      </c>
      <c r="E7123" t="inlineStr">
        <is>
          <t>1</t>
        </is>
      </c>
      <c r="F7123" t="inlineStr">
        <is>
          <t>20</t>
        </is>
      </c>
      <c r="G7123" t="inlineStr">
        <is>
          <t>0</t>
        </is>
      </c>
      <c r="H7123" t="inlineStr">
        <is>
          <t>0</t>
        </is>
      </c>
      <c r="I7123" t="inlineStr">
        <is>
          <t>2⁹, 38⁹</t>
        </is>
      </c>
      <c r="J7123" t="n">
        <v>18</v>
      </c>
      <c r="K7123" t="inlineStr">
        <is>
          <t>1², 18¹</t>
        </is>
      </c>
      <c r="L7123" t="inlineStr">
        <is>
          <t>38B⁴, 19A⁷</t>
        </is>
      </c>
      <c r="M7123" t="inlineStr"/>
      <c r="N7123" t="inlineStr">
        <is>
          <t>19A¹, 38B⁴, 2A⁰, 19B¹, 38A², 1A⁰, 19A⁷</t>
        </is>
      </c>
      <c r="O7123" t="inlineStr"/>
    </row>
    <row r="7124">
      <c r="A7124">
        <f>HYPERLINK("https://mathstats.uncg.edu/sites/pauli/congruence/csg22.html#group38C22", "38C²²")</f>
        <v/>
      </c>
      <c r="B7124" t="n">
        <v>22</v>
      </c>
      <c r="C7124" t="inlineStr"/>
      <c r="D7124" t="inlineStr">
        <is>
          <t>360</t>
        </is>
      </c>
      <c r="E7124" t="inlineStr">
        <is>
          <t>1</t>
        </is>
      </c>
      <c r="F7124" t="inlineStr">
        <is>
          <t>20</t>
        </is>
      </c>
      <c r="G7124" t="inlineStr">
        <is>
          <t>0</t>
        </is>
      </c>
      <c r="H7124" t="inlineStr">
        <is>
          <t>0</t>
        </is>
      </c>
      <c r="I7124" t="inlineStr">
        <is>
          <t>2⁹, 38⁹</t>
        </is>
      </c>
      <c r="J7124" t="n">
        <v>18</v>
      </c>
      <c r="K7124" t="inlineStr">
        <is>
          <t>1², 18¹</t>
        </is>
      </c>
      <c r="L7124" t="inlineStr">
        <is>
          <t>38B⁴, 38A⁸, 38B⁸, 38A¹⁰</t>
        </is>
      </c>
      <c r="M7124" t="inlineStr"/>
      <c r="N7124" t="inlineStr">
        <is>
          <t>2A⁰, 19A¹, 38A⁸, 38A², 2C⁰, 38A⁴, 38B⁴, 2B⁰, 19B¹, 38B⁸, 1A⁰, 38A¹⁰</t>
        </is>
      </c>
      <c r="O7124" t="inlineStr"/>
    </row>
    <row r="7125">
      <c r="A7125">
        <f>HYPERLINK("https://mathstats.uncg.edu/sites/pauli/congruence/csg22.html#group38D22", "38D²²")</f>
        <v/>
      </c>
      <c r="B7125" t="n">
        <v>22</v>
      </c>
      <c r="C7125" t="inlineStr"/>
      <c r="D7125" t="inlineStr">
        <is>
          <t>380</t>
        </is>
      </c>
      <c r="E7125" t="inlineStr">
        <is>
          <t>1</t>
        </is>
      </c>
      <c r="F7125" t="inlineStr">
        <is>
          <t>190</t>
        </is>
      </c>
      <c r="G7125" t="inlineStr">
        <is>
          <t>20</t>
        </is>
      </c>
      <c r="H7125" t="inlineStr">
        <is>
          <t>2</t>
        </is>
      </c>
      <c r="I7125" t="inlineStr">
        <is>
          <t>38¹⁰</t>
        </is>
      </c>
      <c r="J7125" t="n">
        <v>10</v>
      </c>
      <c r="K7125" t="inlineStr">
        <is>
          <t>1¹, 9¹, 18¹⁰</t>
        </is>
      </c>
      <c r="L7125" t="inlineStr">
        <is>
          <t>19A⁹</t>
        </is>
      </c>
      <c r="M7125" t="inlineStr"/>
      <c r="N7125" t="inlineStr">
        <is>
          <t>1A⁰, 19A⁹</t>
        </is>
      </c>
      <c r="O7125" t="inlineStr"/>
    </row>
    <row r="7126">
      <c r="A7126">
        <f>HYPERLINK("https://mathstats.uncg.edu/sites/pauli/congruence/csg22.html#group40A22", "40A²²")</f>
        <v/>
      </c>
      <c r="B7126" t="n">
        <v>22</v>
      </c>
      <c r="C7126" t="inlineStr"/>
      <c r="D7126" t="inlineStr">
        <is>
          <t>360</t>
        </is>
      </c>
      <c r="E7126" t="inlineStr">
        <is>
          <t>1</t>
        </is>
      </c>
      <c r="F7126" t="inlineStr">
        <is>
          <t>15</t>
        </is>
      </c>
      <c r="G7126" t="inlineStr">
        <is>
          <t>0</t>
        </is>
      </c>
      <c r="H7126" t="inlineStr">
        <is>
          <t>0</t>
        </is>
      </c>
      <c r="I7126" t="inlineStr">
        <is>
          <t>10¹², 40⁶</t>
        </is>
      </c>
      <c r="J7126" t="n">
        <v>18</v>
      </c>
      <c r="K7126" t="inlineStr">
        <is>
          <t>1³, 4³</t>
        </is>
      </c>
      <c r="L7126" t="inlineStr">
        <is>
          <t>40A⁸, 20A¹⁰, 40D¹⁰, 40E¹⁰</t>
        </is>
      </c>
      <c r="M7126" t="inlineStr"/>
      <c r="N7126" t="inlineStr">
        <is>
          <t>20D⁴, 2A⁰, 5A⁰, 10A², 20E⁴, 4C⁰, 40A⁸, 2B⁰, 8C⁰, 4E⁰, 4B⁰, 1A⁰, 20A¹⁰, 40C⁴, 40E¹⁰, 10A⁰, 10I¹, 8G⁰, 20A², 10A⁴, 8D⁰, 10B¹, 20B², 10B², 40B⁴, 10E⁰, 20A⁴, 5E⁰, 40D¹⁰, 2C⁰</t>
        </is>
      </c>
      <c r="O7126" t="inlineStr"/>
    </row>
    <row r="7127">
      <c r="A7127">
        <f>HYPERLINK("https://mathstats.uncg.edu/sites/pauli/congruence/csg22.html#group40B22", "40B²²")</f>
        <v/>
      </c>
      <c r="B7127" t="n">
        <v>22</v>
      </c>
      <c r="C7127" t="inlineStr"/>
      <c r="D7127" t="inlineStr">
        <is>
          <t>360</t>
        </is>
      </c>
      <c r="E7127" t="inlineStr">
        <is>
          <t>1</t>
        </is>
      </c>
      <c r="F7127" t="inlineStr">
        <is>
          <t>30</t>
        </is>
      </c>
      <c r="G7127" t="inlineStr">
        <is>
          <t>12</t>
        </is>
      </c>
      <c r="H7127" t="inlineStr">
        <is>
          <t>0</t>
        </is>
      </c>
      <c r="I7127" t="inlineStr">
        <is>
          <t>20⁶, 40⁶</t>
        </is>
      </c>
      <c r="J7127" t="n">
        <v>12</v>
      </c>
      <c r="K7127" t="inlineStr">
        <is>
          <t>1², 2², 4², 8²</t>
        </is>
      </c>
      <c r="L7127" t="inlineStr">
        <is>
          <t>40B⁸, 20B¹⁰, 40C¹⁰, 40E¹⁰</t>
        </is>
      </c>
      <c r="M7127" t="inlineStr"/>
      <c r="N7127" t="inlineStr">
        <is>
          <t>40B⁸, 5A⁰, 40A⁴, 20E⁴, 8D⁰, 10B¹, 20B², 4C⁰, 8B⁰, 20A¹, 20C⁴, 2B⁰, 1A⁰, 8H⁰, 40C⁴, 40E¹⁰, 10I¹, 40C¹⁰, 4A⁰, 5E⁰, 4F⁰, 20B¹⁰, 20D³</t>
        </is>
      </c>
      <c r="O7127" t="inlineStr"/>
    </row>
    <row r="7128">
      <c r="A7128">
        <f>HYPERLINK("https://mathstats.uncg.edu/sites/pauli/congruence/csg22.html#group40C22", "40C²²")</f>
        <v/>
      </c>
      <c r="B7128" t="n">
        <v>22</v>
      </c>
      <c r="C7128" t="inlineStr"/>
      <c r="D7128" t="inlineStr">
        <is>
          <t>360</t>
        </is>
      </c>
      <c r="E7128" t="inlineStr">
        <is>
          <t>1</t>
        </is>
      </c>
      <c r="F7128" t="inlineStr">
        <is>
          <t>45</t>
        </is>
      </c>
      <c r="G7128" t="inlineStr">
        <is>
          <t>0</t>
        </is>
      </c>
      <c r="H7128" t="inlineStr">
        <is>
          <t>0</t>
        </is>
      </c>
      <c r="I7128" t="inlineStr">
        <is>
          <t>10¹², 40⁶</t>
        </is>
      </c>
      <c r="J7128" t="n">
        <v>18</v>
      </c>
      <c r="K7128" t="inlineStr">
        <is>
          <t>1³, 2³, 4⁹</t>
        </is>
      </c>
      <c r="L7128" t="inlineStr">
        <is>
          <t>20A¹⁰, 40F¹⁰, 40G¹⁰</t>
        </is>
      </c>
      <c r="M7128" t="inlineStr"/>
      <c r="N7128" t="inlineStr">
        <is>
          <t>20D⁴, 2A⁰, 5A⁰, 10A², 20E⁴, 4C⁰, 2B⁰, 4E⁰, 4B⁰, 1A⁰, 20A¹⁰, 10A⁰, 10I¹, 40G¹⁰, 20A², 10A⁴, 10B¹, 20B², 10B², 10E⁰, 20A⁴, 5E⁰, 40F¹⁰, 2C⁰</t>
        </is>
      </c>
      <c r="O7128" t="inlineStr"/>
    </row>
    <row r="7129">
      <c r="A7129">
        <f>HYPERLINK("https://mathstats.uncg.edu/sites/pauli/congruence/csg22.html#group40D22", "40D²²")</f>
        <v/>
      </c>
      <c r="B7129" t="n">
        <v>22</v>
      </c>
      <c r="C7129" t="inlineStr"/>
      <c r="D7129" t="inlineStr">
        <is>
          <t>360</t>
        </is>
      </c>
      <c r="E7129" t="inlineStr">
        <is>
          <t>1</t>
        </is>
      </c>
      <c r="F7129" t="inlineStr">
        <is>
          <t>60</t>
        </is>
      </c>
      <c r="G7129" t="inlineStr">
        <is>
          <t>0</t>
        </is>
      </c>
      <c r="H7129" t="inlineStr">
        <is>
          <t>0</t>
        </is>
      </c>
      <c r="I7129" t="inlineStr">
        <is>
          <t>5⁶, 10³, 20³, 40⁶</t>
        </is>
      </c>
      <c r="J7129" t="n">
        <v>18</v>
      </c>
      <c r="K7129" t="inlineStr">
        <is>
          <t>1⁴, 2², 4⁵, 8², 16¹</t>
        </is>
      </c>
      <c r="L7129" t="inlineStr">
        <is>
          <t>40C⁸, 40D¹⁰</t>
        </is>
      </c>
      <c r="M7129" t="inlineStr"/>
      <c r="N7129" t="inlineStr">
        <is>
          <t>20A², 20D⁴, 5A⁰, 10I¹, 10B¹, 5E⁰, 1A⁰, 2B⁰, 8C⁰, 8I⁰, 4B⁰, 40B⁴, 40D¹⁰, 40C⁸</t>
        </is>
      </c>
      <c r="O7129" t="inlineStr"/>
    </row>
    <row r="7130">
      <c r="A7130">
        <f>HYPERLINK("https://mathstats.uncg.edu/sites/pauli/congruence/csg22.html#group40E22", "40E²²")</f>
        <v/>
      </c>
      <c r="B7130" t="n">
        <v>22</v>
      </c>
      <c r="C7130" t="inlineStr"/>
      <c r="D7130" t="inlineStr">
        <is>
          <t>360</t>
        </is>
      </c>
      <c r="E7130" t="inlineStr">
        <is>
          <t>1</t>
        </is>
      </c>
      <c r="F7130" t="inlineStr">
        <is>
          <t>60</t>
        </is>
      </c>
      <c r="G7130" t="inlineStr">
        <is>
          <t>0</t>
        </is>
      </c>
      <c r="H7130" t="inlineStr">
        <is>
          <t>0</t>
        </is>
      </c>
      <c r="I7130" t="inlineStr">
        <is>
          <t>10⁶, 20⁹, 40³</t>
        </is>
      </c>
      <c r="J7130" t="n">
        <v>18</v>
      </c>
      <c r="K7130" t="inlineStr">
        <is>
          <t>1⁸, 2², 4⁸, 8²</t>
        </is>
      </c>
      <c r="L7130" t="inlineStr">
        <is>
          <t>40D⁸, 20A¹⁰</t>
        </is>
      </c>
      <c r="M7130" t="inlineStr"/>
      <c r="N7130" t="inlineStr">
        <is>
          <t>20A², 20D⁴, 2A⁰, 5A⁰, 10A⁴, 10A², 20E⁴, 10B¹, 20B², 40D⁸, 4C⁰, 2B⁰, 4E⁰, 10B², 4B⁰, 1A⁰, 20A¹⁰, 10A⁰, 10I¹, 10E⁰, 20A⁴, 5E⁰, 8J⁰, 2C⁰</t>
        </is>
      </c>
      <c r="O7130" t="inlineStr"/>
    </row>
    <row r="7131">
      <c r="A7131">
        <f>HYPERLINK("https://mathstats.uncg.edu/sites/pauli/congruence/csg22.html#group40F22", "40F²²")</f>
        <v/>
      </c>
      <c r="B7131" t="n">
        <v>22</v>
      </c>
      <c r="C7131" t="inlineStr"/>
      <c r="D7131" t="inlineStr">
        <is>
          <t>360</t>
        </is>
      </c>
      <c r="E7131" t="inlineStr">
        <is>
          <t>1</t>
        </is>
      </c>
      <c r="F7131" t="inlineStr">
        <is>
          <t>60</t>
        </is>
      </c>
      <c r="G7131" t="inlineStr">
        <is>
          <t>6</t>
        </is>
      </c>
      <c r="H7131" t="inlineStr">
        <is>
          <t>0</t>
        </is>
      </c>
      <c r="I7131" t="inlineStr">
        <is>
          <t>20¹², 40³</t>
        </is>
      </c>
      <c r="J7131" t="n">
        <v>15</v>
      </c>
      <c r="K7131" t="inlineStr">
        <is>
          <t>2², 4², 8², 16²</t>
        </is>
      </c>
      <c r="L7131" t="inlineStr">
        <is>
          <t>40E⁸, 20B¹⁰</t>
        </is>
      </c>
      <c r="M7131" t="inlineStr"/>
      <c r="N7131" t="inlineStr">
        <is>
          <t>5A⁰, 20E⁴, 10B¹, 20B², 4C⁰, 20A¹, 20C⁴, 2B⁰, 8K⁰, 1A⁰, 40E⁸, 10I¹, 4A⁰, 5E⁰, 4F⁰, 20B¹⁰, 20D³</t>
        </is>
      </c>
      <c r="O7131" t="inlineStr"/>
    </row>
    <row r="7132">
      <c r="A7132">
        <f>HYPERLINK("https://mathstats.uncg.edu/sites/pauli/congruence/csg22.html#group40G22", "40G²²")</f>
        <v/>
      </c>
      <c r="B7132" t="n">
        <v>22</v>
      </c>
      <c r="C7132" t="inlineStr"/>
      <c r="D7132" t="inlineStr">
        <is>
          <t>360</t>
        </is>
      </c>
      <c r="E7132" t="inlineStr">
        <is>
          <t>1</t>
        </is>
      </c>
      <c r="F7132" t="inlineStr">
        <is>
          <t>60</t>
        </is>
      </c>
      <c r="G7132" t="inlineStr">
        <is>
          <t>12</t>
        </is>
      </c>
      <c r="H7132" t="inlineStr">
        <is>
          <t>0</t>
        </is>
      </c>
      <c r="I7132" t="inlineStr">
        <is>
          <t>20⁶, 40⁶</t>
        </is>
      </c>
      <c r="J7132" t="n">
        <v>12</v>
      </c>
      <c r="K7132" t="inlineStr">
        <is>
          <t>1⁴, 2², 4⁵, 8², 16¹</t>
        </is>
      </c>
      <c r="L7132" t="inlineStr">
        <is>
          <t>40F⁸, 40C¹⁰</t>
        </is>
      </c>
      <c r="M7132" t="inlineStr"/>
      <c r="N7132" t="inlineStr">
        <is>
          <t>5A⁰, 40A⁴, 20E⁴, 10I¹, 40C¹⁰, 10B¹, 20B², 4C⁰, 8B⁰, 5E⁰, 8L⁰, 2B⁰, 1A⁰, 40F⁸</t>
        </is>
      </c>
      <c r="O7132" t="inlineStr"/>
    </row>
    <row r="7133">
      <c r="A7133">
        <f>HYPERLINK("https://mathstats.uncg.edu/sites/pauli/congruence/csg22.html#group40H22", "40H²²")</f>
        <v/>
      </c>
      <c r="B7133" t="n">
        <v>22</v>
      </c>
      <c r="C7133" t="inlineStr"/>
      <c r="D7133" t="inlineStr">
        <is>
          <t>360</t>
        </is>
      </c>
      <c r="E7133" t="inlineStr">
        <is>
          <t>1</t>
        </is>
      </c>
      <c r="F7133" t="inlineStr">
        <is>
          <t>90</t>
        </is>
      </c>
      <c r="G7133" t="inlineStr">
        <is>
          <t>0</t>
        </is>
      </c>
      <c r="H7133" t="inlineStr">
        <is>
          <t>0</t>
        </is>
      </c>
      <c r="I7133" t="inlineStr">
        <is>
          <t>10¹², 40⁶</t>
        </is>
      </c>
      <c r="J7133" t="n">
        <v>18</v>
      </c>
      <c r="K7133" t="inlineStr">
        <is>
          <t>2⁷, 4¹³, 8³</t>
        </is>
      </c>
      <c r="L7133" t="inlineStr">
        <is>
          <t>20C¹⁰, 40F¹⁰</t>
        </is>
      </c>
      <c r="M7133" t="inlineStr"/>
      <c r="N7133" t="inlineStr">
        <is>
          <t>20A², 20D⁴, 10C³, 5A⁰, 10I¹, 20C¹⁰, 10B¹, 20C⁵, 10E¹, 5E⁰, 2B⁰, 4B⁰, 40F¹⁰, 1A⁰</t>
        </is>
      </c>
      <c r="O7133" t="inlineStr"/>
    </row>
    <row r="7134">
      <c r="A7134">
        <f>HYPERLINK("https://mathstats.uncg.edu/sites/pauli/congruence/csg22.html#group40I22", "40I²²")</f>
        <v/>
      </c>
      <c r="B7134" t="n">
        <v>22</v>
      </c>
      <c r="C7134" t="inlineStr"/>
      <c r="D7134" t="inlineStr">
        <is>
          <t>360</t>
        </is>
      </c>
      <c r="E7134" t="inlineStr">
        <is>
          <t>1</t>
        </is>
      </c>
      <c r="F7134" t="inlineStr">
        <is>
          <t>90</t>
        </is>
      </c>
      <c r="G7134" t="inlineStr">
        <is>
          <t>0</t>
        </is>
      </c>
      <c r="H7134" t="inlineStr">
        <is>
          <t>0</t>
        </is>
      </c>
      <c r="I7134" t="inlineStr">
        <is>
          <t>10¹², 40⁶</t>
        </is>
      </c>
      <c r="J7134" t="n">
        <v>18</v>
      </c>
      <c r="K7134" t="inlineStr">
        <is>
          <t>1⁴, 2⁵, 4¹³, 8³</t>
        </is>
      </c>
      <c r="L7134" t="inlineStr">
        <is>
          <t>20C¹⁰, 40D¹⁰, 40F¹⁰</t>
        </is>
      </c>
      <c r="M7134" t="inlineStr"/>
      <c r="N7134" t="inlineStr">
        <is>
          <t>20A², 20D⁴, 5A⁰, 10B¹, 2B⁰, 8C⁰, 4B⁰, 40B⁴, 1A⁰, 10E¹, 10C³, 10I¹, 20C¹⁰, 20C⁵, 5E⁰, 40F¹⁰, 40D¹⁰</t>
        </is>
      </c>
      <c r="O7134" t="inlineStr"/>
    </row>
    <row r="7135">
      <c r="A7135">
        <f>HYPERLINK("https://mathstats.uncg.edu/sites/pauli/congruence/csg22.html#group40J22", "40J²²")</f>
        <v/>
      </c>
      <c r="B7135" t="n">
        <v>22</v>
      </c>
      <c r="C7135" t="inlineStr"/>
      <c r="D7135" t="inlineStr">
        <is>
          <t>360</t>
        </is>
      </c>
      <c r="E7135" t="inlineStr">
        <is>
          <t>1</t>
        </is>
      </c>
      <c r="F7135" t="inlineStr">
        <is>
          <t>90</t>
        </is>
      </c>
      <c r="G7135" t="inlineStr">
        <is>
          <t>12</t>
        </is>
      </c>
      <c r="H7135" t="inlineStr">
        <is>
          <t>0</t>
        </is>
      </c>
      <c r="I7135" t="inlineStr">
        <is>
          <t>20⁶, 40⁶</t>
        </is>
      </c>
      <c r="J7135" t="n">
        <v>12</v>
      </c>
      <c r="K7135" t="inlineStr">
        <is>
          <t>1², 2⁴, 4⁸, 8⁶</t>
        </is>
      </c>
      <c r="L7135" t="inlineStr">
        <is>
          <t>20F¹⁰, 40C¹⁰, 40G¹⁰</t>
        </is>
      </c>
      <c r="M7135" t="inlineStr"/>
      <c r="N7135" t="inlineStr">
        <is>
          <t>20F¹⁰, 5A⁰, 10I¹, 20E⁴, 40A⁴, 40C¹⁰, 10B¹, 20B², 4C⁰, 8B⁰, 5E⁰, 1A⁰, 2B⁰, 40G¹⁰</t>
        </is>
      </c>
      <c r="O7135" t="inlineStr"/>
    </row>
    <row r="7136">
      <c r="A7136">
        <f>HYPERLINK("https://mathstats.uncg.edu/sites/pauli/congruence/csg22.html#group40K22", "40K²²")</f>
        <v/>
      </c>
      <c r="B7136" t="n">
        <v>22</v>
      </c>
      <c r="C7136" t="inlineStr"/>
      <c r="D7136" t="inlineStr">
        <is>
          <t>360</t>
        </is>
      </c>
      <c r="E7136" t="inlineStr">
        <is>
          <t>1</t>
        </is>
      </c>
      <c r="F7136" t="inlineStr">
        <is>
          <t>180</t>
        </is>
      </c>
      <c r="G7136" t="inlineStr">
        <is>
          <t>0</t>
        </is>
      </c>
      <c r="H7136" t="inlineStr">
        <is>
          <t>0</t>
        </is>
      </c>
      <c r="I7136" t="inlineStr">
        <is>
          <t>5⁶, 10³, 20³, 40⁶</t>
        </is>
      </c>
      <c r="J7136" t="n">
        <v>18</v>
      </c>
      <c r="K7136" t="inlineStr">
        <is>
          <t>1⁴, 2⁶, 4¹⁵, 8⁷, 16³</t>
        </is>
      </c>
      <c r="L7136" t="inlineStr">
        <is>
          <t>40D¹⁰</t>
        </is>
      </c>
      <c r="M7136" t="inlineStr"/>
      <c r="N7136" t="inlineStr">
        <is>
          <t>20A², 20D⁴, 5A⁰, 10I¹, 10B¹, 5E⁰, 1A⁰, 2B⁰, 8C⁰, 4B⁰, 40B⁴, 40D¹⁰</t>
        </is>
      </c>
      <c r="O7136" t="inlineStr"/>
    </row>
    <row r="7137">
      <c r="A7137">
        <f>HYPERLINK("https://mathstats.uncg.edu/sites/pauli/congruence/csg22.html#group40L22", "40L²²")</f>
        <v/>
      </c>
      <c r="B7137" t="n">
        <v>22</v>
      </c>
      <c r="C7137" t="inlineStr"/>
      <c r="D7137" t="inlineStr">
        <is>
          <t>360</t>
        </is>
      </c>
      <c r="E7137" t="inlineStr">
        <is>
          <t>1</t>
        </is>
      </c>
      <c r="F7137" t="inlineStr">
        <is>
          <t>180</t>
        </is>
      </c>
      <c r="G7137" t="inlineStr">
        <is>
          <t>0</t>
        </is>
      </c>
      <c r="H7137" t="inlineStr">
        <is>
          <t>0</t>
        </is>
      </c>
      <c r="I7137" t="inlineStr">
        <is>
          <t>10⁶, 20⁹, 40³</t>
        </is>
      </c>
      <c r="J7137" t="n">
        <v>18</v>
      </c>
      <c r="K7137" t="inlineStr">
        <is>
          <t>1⁸, 2¹⁰, 4²⁶, 8⁶</t>
        </is>
      </c>
      <c r="L7137" t="inlineStr">
        <is>
          <t>20A¹⁰</t>
        </is>
      </c>
      <c r="M7137" t="inlineStr"/>
      <c r="N7137" t="inlineStr">
        <is>
          <t>20A², 20D⁴, 2A⁰, 5A⁰, 10A⁴, 10A², 20E⁴, 10B¹, 20B², 4C⁰, 2B⁰, 4E⁰, 10B², 4B⁰, 1A⁰, 20A¹⁰, 10A⁰, 10I¹, 10E⁰, 20A⁴, 5E⁰, 2C⁰</t>
        </is>
      </c>
      <c r="O7137" t="inlineStr"/>
    </row>
    <row r="7138">
      <c r="A7138">
        <f>HYPERLINK("https://mathstats.uncg.edu/sites/pauli/congruence/csg22.html#group40M22", "40M²²")</f>
        <v/>
      </c>
      <c r="B7138" t="n">
        <v>22</v>
      </c>
      <c r="C7138" t="inlineStr"/>
      <c r="D7138" t="inlineStr">
        <is>
          <t>360</t>
        </is>
      </c>
      <c r="E7138" t="inlineStr">
        <is>
          <t>1</t>
        </is>
      </c>
      <c r="F7138" t="inlineStr">
        <is>
          <t>180</t>
        </is>
      </c>
      <c r="G7138" t="inlineStr">
        <is>
          <t>6</t>
        </is>
      </c>
      <c r="H7138" t="inlineStr">
        <is>
          <t>0</t>
        </is>
      </c>
      <c r="I7138" t="inlineStr">
        <is>
          <t>20¹², 40³</t>
        </is>
      </c>
      <c r="J7138" t="n">
        <v>15</v>
      </c>
      <c r="K7138" t="inlineStr">
        <is>
          <t>2², 4⁴, 8⁸, 16⁶</t>
        </is>
      </c>
      <c r="L7138" t="inlineStr">
        <is>
          <t>20B¹⁰</t>
        </is>
      </c>
      <c r="M7138" t="inlineStr"/>
      <c r="N7138" t="inlineStr">
        <is>
          <t>5A⁰, 10I¹, 20E⁴, 4A⁰, 10B¹, 20B², 4C⁰, 5E⁰, 20A¹, 20C⁴, 2B⁰, 4F⁰, 1A⁰, 20B¹⁰, 20D³</t>
        </is>
      </c>
      <c r="O7138" t="inlineStr"/>
    </row>
    <row r="7139">
      <c r="A7139">
        <f>HYPERLINK("https://mathstats.uncg.edu/sites/pauli/congruence/csg22.html#group40N22", "40N²²")</f>
        <v/>
      </c>
      <c r="B7139" t="n">
        <v>22</v>
      </c>
      <c r="C7139" t="inlineStr"/>
      <c r="D7139" t="inlineStr">
        <is>
          <t>360</t>
        </is>
      </c>
      <c r="E7139" t="inlineStr">
        <is>
          <t>1</t>
        </is>
      </c>
      <c r="F7139" t="inlineStr">
        <is>
          <t>180</t>
        </is>
      </c>
      <c r="G7139" t="inlineStr">
        <is>
          <t>12</t>
        </is>
      </c>
      <c r="H7139" t="inlineStr">
        <is>
          <t>0</t>
        </is>
      </c>
      <c r="I7139" t="inlineStr">
        <is>
          <t>20⁶, 40⁶</t>
        </is>
      </c>
      <c r="J7139" t="n">
        <v>12</v>
      </c>
      <c r="K7139" t="inlineStr">
        <is>
          <t>1⁴, 2⁶, 4¹⁵, 8⁷, 16³</t>
        </is>
      </c>
      <c r="L7139" t="inlineStr">
        <is>
          <t>40C¹⁰</t>
        </is>
      </c>
      <c r="M7139" t="inlineStr"/>
      <c r="N7139" t="inlineStr">
        <is>
          <t>5A⁰, 40A⁴, 20E⁴, 10I¹, 40C¹⁰, 10B¹, 20B², 4C⁰, 8B⁰, 5E⁰, 2B⁰, 1A⁰</t>
        </is>
      </c>
      <c r="O7139" t="inlineStr"/>
    </row>
    <row r="7140">
      <c r="A7140">
        <f>HYPERLINK("https://mathstats.uncg.edu/sites/pauli/congruence/csg22.html#group42A22", "42A²²")</f>
        <v/>
      </c>
      <c r="B7140" t="n">
        <v>22</v>
      </c>
      <c r="C7140" t="inlineStr"/>
      <c r="D7140" t="inlineStr">
        <is>
          <t>378</t>
        </is>
      </c>
      <c r="E7140" t="inlineStr">
        <is>
          <t>1</t>
        </is>
      </c>
      <c r="F7140" t="inlineStr">
        <is>
          <t>63</t>
        </is>
      </c>
      <c r="G7140" t="inlineStr">
        <is>
          <t>24</t>
        </is>
      </c>
      <c r="H7140" t="inlineStr">
        <is>
          <t>0</t>
        </is>
      </c>
      <c r="I7140" t="inlineStr">
        <is>
          <t>42⁹</t>
        </is>
      </c>
      <c r="J7140" t="n">
        <v>9</v>
      </c>
      <c r="K7140" t="inlineStr">
        <is>
          <t>3³, 6⁹</t>
        </is>
      </c>
      <c r="L7140" t="inlineStr">
        <is>
          <t>42I⁴, 14G⁵, 42K¹⁰</t>
        </is>
      </c>
      <c r="M7140" t="inlineStr"/>
      <c r="N7140" t="inlineStr">
        <is>
          <t>42I⁴, 7D⁰, 14B¹, 42K¹⁰, 21A⁰, 2B⁰, 1A⁰, 14G⁵, 21E¹, 14F², 3A⁰, 14E¹, 42C³, 6D⁰, 7A⁰</t>
        </is>
      </c>
      <c r="O7140" t="inlineStr"/>
    </row>
    <row r="7141">
      <c r="A7141">
        <f>HYPERLINK("https://mathstats.uncg.edu/sites/pauli/congruence/csg22.html#group42B22", "42B²²")</f>
        <v/>
      </c>
      <c r="B7141" t="n">
        <v>22</v>
      </c>
      <c r="C7141" t="inlineStr"/>
      <c r="D7141" t="inlineStr">
        <is>
          <t>378</t>
        </is>
      </c>
      <c r="E7141" t="inlineStr">
        <is>
          <t>1</t>
        </is>
      </c>
      <c r="F7141" t="inlineStr">
        <is>
          <t>189</t>
        </is>
      </c>
      <c r="G7141" t="inlineStr">
        <is>
          <t>18</t>
        </is>
      </c>
      <c r="H7141" t="inlineStr">
        <is>
          <t>0</t>
        </is>
      </c>
      <c r="I7141" t="inlineStr">
        <is>
          <t>21⁶, 42⁶</t>
        </is>
      </c>
      <c r="J7141" t="n">
        <v>12</v>
      </c>
      <c r="K7141" t="inlineStr">
        <is>
          <t>3³, 6¹², 12⁹</t>
        </is>
      </c>
      <c r="L7141" t="inlineStr">
        <is>
          <t>21D⁴, 42K¹⁰</t>
        </is>
      </c>
      <c r="M7141" t="inlineStr"/>
      <c r="N7141" t="inlineStr">
        <is>
          <t>21D⁴, 7D⁰, 14B¹, 42K¹⁰, 21A⁰, 2B⁰, 1A⁰, 21E¹, 14F², 3A⁰, 42C³, 6D⁰, 7A⁰</t>
        </is>
      </c>
      <c r="O7141" t="inlineStr"/>
    </row>
    <row r="7142">
      <c r="A7142">
        <f>HYPERLINK("https://mathstats.uncg.edu/sites/pauli/congruence/csg22.html#group42C22", "42C²²")</f>
        <v/>
      </c>
      <c r="B7142" t="n">
        <v>22</v>
      </c>
      <c r="C7142" t="inlineStr"/>
      <c r="D7142" t="inlineStr">
        <is>
          <t>378</t>
        </is>
      </c>
      <c r="E7142" t="inlineStr">
        <is>
          <t>2</t>
        </is>
      </c>
      <c r="F7142" t="inlineStr">
        <is>
          <t>21</t>
        </is>
      </c>
      <c r="G7142" t="inlineStr">
        <is>
          <t>18</t>
        </is>
      </c>
      <c r="H7142" t="inlineStr">
        <is>
          <t>0</t>
        </is>
      </c>
      <c r="I7142" t="inlineStr">
        <is>
          <t>21⁶, 42⁶</t>
        </is>
      </c>
      <c r="J7142" t="n">
        <v>12</v>
      </c>
      <c r="K7142" t="inlineStr">
        <is>
          <t>2³, 6⁶</t>
        </is>
      </c>
      <c r="L7142" t="inlineStr">
        <is>
          <t>14A⁴, 21E⁴, 42A⁸, 42B⁸, 42K¹⁰</t>
        </is>
      </c>
      <c r="M7142" t="inlineStr"/>
      <c r="N7142" t="inlineStr">
        <is>
          <t>14A⁴, 7D⁰, 42B⁸, 14B¹, 42K¹⁰, 21C², 21A⁰, 2B⁰, 42A⁸, 7G⁰, 1A⁰, 14A², 21E¹, 7C⁰, 21C¹, 14F², 3A⁰, 42C³, 21E⁴, 6D⁰, 7A⁰</t>
        </is>
      </c>
      <c r="O7142" t="inlineStr"/>
    </row>
    <row r="7143">
      <c r="A7143">
        <f>HYPERLINK("https://mathstats.uncg.edu/sites/pauli/congruence/csg22.html#group44A22", "44A²²")</f>
        <v/>
      </c>
      <c r="B7143" t="n">
        <v>22</v>
      </c>
      <c r="C7143" t="inlineStr"/>
      <c r="D7143" t="inlineStr">
        <is>
          <t>330</t>
        </is>
      </c>
      <c r="E7143" t="inlineStr">
        <is>
          <t>1</t>
        </is>
      </c>
      <c r="F7143" t="inlineStr">
        <is>
          <t>165</t>
        </is>
      </c>
      <c r="G7143" t="inlineStr">
        <is>
          <t>6</t>
        </is>
      </c>
      <c r="H7143" t="inlineStr">
        <is>
          <t>0</t>
        </is>
      </c>
      <c r="I7143" t="inlineStr">
        <is>
          <t>22⁵, 44⁵</t>
        </is>
      </c>
      <c r="J7143" t="n">
        <v>10</v>
      </c>
      <c r="K7143" t="inlineStr">
        <is>
          <t>5³, 10¹⁵</t>
        </is>
      </c>
      <c r="L7143" t="inlineStr">
        <is>
          <t>44C⁴, 22B⁹</t>
        </is>
      </c>
      <c r="M7143" t="inlineStr"/>
      <c r="N7143" t="inlineStr">
        <is>
          <t>11A⁰, 44C⁴, 4C⁰, 2B⁰, 11B¹, 22B², 1A⁰, 22B⁹</t>
        </is>
      </c>
      <c r="O7143" t="inlineStr"/>
    </row>
    <row r="7144">
      <c r="A7144">
        <f>HYPERLINK("https://mathstats.uncg.edu/sites/pauli/congruence/csg22.html#group44B22", "44B²²")</f>
        <v/>
      </c>
      <c r="B7144" t="n">
        <v>22</v>
      </c>
      <c r="C7144" t="inlineStr"/>
      <c r="D7144" t="inlineStr">
        <is>
          <t>330</t>
        </is>
      </c>
      <c r="E7144" t="inlineStr">
        <is>
          <t>2</t>
        </is>
      </c>
      <c r="F7144" t="inlineStr">
        <is>
          <t>165</t>
        </is>
      </c>
      <c r="G7144" t="inlineStr">
        <is>
          <t>6</t>
        </is>
      </c>
      <c r="H7144" t="inlineStr">
        <is>
          <t>0</t>
        </is>
      </c>
      <c r="I7144" t="inlineStr">
        <is>
          <t>22⁵, 44⁵</t>
        </is>
      </c>
      <c r="J7144" t="n">
        <v>10</v>
      </c>
      <c r="K7144" t="inlineStr">
        <is>
          <t>10³³</t>
        </is>
      </c>
      <c r="L7144" t="inlineStr">
        <is>
          <t>22A⁸</t>
        </is>
      </c>
      <c r="M7144" t="inlineStr"/>
      <c r="N7144" t="inlineStr">
        <is>
          <t>11C¹, 1A⁰, 22A⁸, 2B⁰</t>
        </is>
      </c>
      <c r="O7144" t="inlineStr"/>
    </row>
    <row r="7145">
      <c r="A7145">
        <f>HYPERLINK("https://mathstats.uncg.edu/sites/pauli/congruence/csg22.html#group44C22", "44C²²")</f>
        <v/>
      </c>
      <c r="B7145" t="n">
        <v>22</v>
      </c>
      <c r="C7145" t="inlineStr"/>
      <c r="D7145" t="inlineStr">
        <is>
          <t>396</t>
        </is>
      </c>
      <c r="E7145" t="inlineStr">
        <is>
          <t>1</t>
        </is>
      </c>
      <c r="F7145" t="inlineStr">
        <is>
          <t>198</t>
        </is>
      </c>
      <c r="G7145" t="inlineStr">
        <is>
          <t>12</t>
        </is>
      </c>
      <c r="H7145" t="inlineStr">
        <is>
          <t>0</t>
        </is>
      </c>
      <c r="I7145" t="inlineStr">
        <is>
          <t>11¹², 44⁶</t>
        </is>
      </c>
      <c r="J7145" t="n">
        <v>18</v>
      </c>
      <c r="K7145" t="inlineStr">
        <is>
          <t>1³, 5³, 10¹⁸</t>
        </is>
      </c>
      <c r="L7145" t="inlineStr">
        <is>
          <t>22A¹⁰</t>
        </is>
      </c>
      <c r="M7145" t="inlineStr"/>
      <c r="N7145" t="inlineStr">
        <is>
          <t>11A⁰, 2B⁰, 22B², 1A⁰, 11A², 22A¹⁰</t>
        </is>
      </c>
      <c r="O7145" t="inlineStr"/>
    </row>
    <row r="7146">
      <c r="A7146">
        <f>HYPERLINK("https://mathstats.uncg.edu/sites/pauli/congruence/csg22.html#group45A22", "45A²²")</f>
        <v/>
      </c>
      <c r="B7146" t="n">
        <v>22</v>
      </c>
      <c r="C7146" t="inlineStr"/>
      <c r="D7146" t="inlineStr">
        <is>
          <t>324</t>
        </is>
      </c>
      <c r="E7146" t="inlineStr">
        <is>
          <t>1</t>
        </is>
      </c>
      <c r="F7146" t="inlineStr">
        <is>
          <t>162</t>
        </is>
      </c>
      <c r="G7146" t="inlineStr">
        <is>
          <t>0</t>
        </is>
      </c>
      <c r="H7146" t="inlineStr">
        <is>
          <t>0</t>
        </is>
      </c>
      <c r="I7146" t="inlineStr">
        <is>
          <t>9⁶, 45⁶</t>
        </is>
      </c>
      <c r="J7146" t="n">
        <v>12</v>
      </c>
      <c r="K7146" t="inlineStr">
        <is>
          <t>3², 6⁸, 12¹, 24⁴</t>
        </is>
      </c>
      <c r="L7146" t="inlineStr">
        <is>
          <t>5D⁰, 45A¹⁰</t>
        </is>
      </c>
      <c r="M7146" t="inlineStr"/>
      <c r="N7146" t="inlineStr">
        <is>
          <t>5B⁰, 5D⁰, 9F⁰, 1A⁰, 45A¹⁰</t>
        </is>
      </c>
      <c r="O7146" t="inlineStr"/>
    </row>
    <row r="7147">
      <c r="A7147">
        <f>HYPERLINK("https://mathstats.uncg.edu/sites/pauli/congruence/csg22.html#group45B22", "45B²²")</f>
        <v/>
      </c>
      <c r="B7147" t="n">
        <v>22</v>
      </c>
      <c r="C7147" t="inlineStr"/>
      <c r="D7147" t="inlineStr">
        <is>
          <t>324</t>
        </is>
      </c>
      <c r="E7147" t="inlineStr">
        <is>
          <t>1</t>
        </is>
      </c>
      <c r="F7147" t="inlineStr">
        <is>
          <t>162</t>
        </is>
      </c>
      <c r="G7147" t="inlineStr">
        <is>
          <t>0</t>
        </is>
      </c>
      <c r="H7147" t="inlineStr">
        <is>
          <t>0</t>
        </is>
      </c>
      <c r="I7147" t="inlineStr">
        <is>
          <t>9⁶, 45⁶</t>
        </is>
      </c>
      <c r="J7147" t="n">
        <v>12</v>
      </c>
      <c r="K7147" t="inlineStr">
        <is>
          <t>3², 6⁸, 12¹, 24⁴</t>
        </is>
      </c>
      <c r="L7147" t="inlineStr">
        <is>
          <t>45A⁸, 45D⁸</t>
        </is>
      </c>
      <c r="M7147" t="inlineStr"/>
      <c r="N7147" t="inlineStr">
        <is>
          <t>45A², 15B⁰, 45D⁸, 9A⁰, 45A⁸, 5B⁰, 9G⁰, 15B², 5D⁰, 3A⁰, 1A⁰</t>
        </is>
      </c>
      <c r="O7147" t="inlineStr"/>
    </row>
    <row r="7148">
      <c r="A7148">
        <f>HYPERLINK("https://mathstats.uncg.edu/sites/pauli/congruence/csg22.html#group48A22", "48A²²")</f>
        <v/>
      </c>
      <c r="B7148" t="n">
        <v>22</v>
      </c>
      <c r="C7148" t="inlineStr"/>
      <c r="D7148" t="inlineStr">
        <is>
          <t>288</t>
        </is>
      </c>
      <c r="E7148" t="inlineStr">
        <is>
          <t>1</t>
        </is>
      </c>
      <c r="F7148" t="inlineStr">
        <is>
          <t>4</t>
        </is>
      </c>
      <c r="G7148" t="inlineStr">
        <is>
          <t>0</t>
        </is>
      </c>
      <c r="H7148" t="inlineStr">
        <is>
          <t>0</t>
        </is>
      </c>
      <c r="I7148" t="inlineStr">
        <is>
          <t>48⁶</t>
        </is>
      </c>
      <c r="J7148" t="n">
        <v>6</v>
      </c>
      <c r="K7148" t="inlineStr">
        <is>
          <t>2²</t>
        </is>
      </c>
      <c r="L7148" t="inlineStr">
        <is>
          <t>48I⁴, 16A⁶, 48A⁸, 24A¹⁰, 48F¹⁰</t>
        </is>
      </c>
      <c r="M7148" t="inlineStr"/>
      <c r="N7148" t="inlineStr">
        <is>
          <t>24A¹⁰, 2A⁰, 48A⁸, 12C⁰, 6C¹, 4C⁰, 12B², 8A⁰, 4G⁰, 2B⁰, 48F¹⁰, 4E⁰, 4B⁰, 1A⁰, 12A⁴, 24A¹, 48A³, 4D⁰, 12A², 6A¹, 12B¹, 48I⁴, 3A⁰, 16A⁰, 24E², 12E¹, 24A⁴, 8E⁰, 16G³, 16A⁶, 8D¹, 8A², 24H⁴, 12A⁰, 6A⁰, 4A⁰, 16F⁰, 12J¹, 4F⁰, 2C⁰, 6D⁰</t>
        </is>
      </c>
      <c r="O7148" t="inlineStr"/>
    </row>
    <row r="7149">
      <c r="A7149">
        <f>HYPERLINK("https://mathstats.uncg.edu/sites/pauli/congruence/csg22.html#group48B22", "48B²²")</f>
        <v/>
      </c>
      <c r="B7149" t="n">
        <v>22</v>
      </c>
      <c r="C7149" t="inlineStr"/>
      <c r="D7149" t="inlineStr">
        <is>
          <t>288</t>
        </is>
      </c>
      <c r="E7149" t="inlineStr">
        <is>
          <t>1</t>
        </is>
      </c>
      <c r="F7149" t="inlineStr">
        <is>
          <t>12</t>
        </is>
      </c>
      <c r="G7149" t="inlineStr">
        <is>
          <t>0</t>
        </is>
      </c>
      <c r="H7149" t="inlineStr">
        <is>
          <t>0</t>
        </is>
      </c>
      <c r="I7149" t="inlineStr">
        <is>
          <t>48⁶</t>
        </is>
      </c>
      <c r="J7149" t="n">
        <v>6</v>
      </c>
      <c r="K7149" t="inlineStr">
        <is>
          <t>2², 4²</t>
        </is>
      </c>
      <c r="L7149" t="inlineStr">
        <is>
          <t>48B⁸, 24A¹⁰, 48G¹⁰</t>
        </is>
      </c>
      <c r="M7149" t="inlineStr"/>
      <c r="N7149" t="inlineStr">
        <is>
          <t>24A¹⁰, 2A⁰, 12C⁰, 6C¹, 4C⁰, 12B², 8A⁰, 4G⁰, 2B⁰, 4E⁰, 4B⁰, 1A⁰, 12A⁴, 24A¹, 4D⁰, 6D⁰, 12A², 6A¹, 12B¹, 3A⁰, 48B³, 24E², 12E¹, 24A⁴, 8E⁰, 8D¹, 48G¹⁰, 8A², 24H⁴, 12A⁰, 6A⁰, 4A⁰, 12J¹, 4F⁰, 2C⁰, 48B⁸</t>
        </is>
      </c>
      <c r="O7149" t="inlineStr"/>
    </row>
    <row r="7150">
      <c r="A7150">
        <f>HYPERLINK("https://mathstats.uncg.edu/sites/pauli/congruence/csg22.html#group48C22", "48C²²")</f>
        <v/>
      </c>
      <c r="B7150" t="n">
        <v>22</v>
      </c>
      <c r="C7150" t="inlineStr"/>
      <c r="D7150" t="inlineStr">
        <is>
          <t>288</t>
        </is>
      </c>
      <c r="E7150" t="inlineStr">
        <is>
          <t>1</t>
        </is>
      </c>
      <c r="F7150" t="inlineStr">
        <is>
          <t>24</t>
        </is>
      </c>
      <c r="G7150" t="inlineStr">
        <is>
          <t>0</t>
        </is>
      </c>
      <c r="H7150" t="inlineStr">
        <is>
          <t>0</t>
        </is>
      </c>
      <c r="I7150" t="inlineStr">
        <is>
          <t>48⁶</t>
        </is>
      </c>
      <c r="J7150" t="n">
        <v>6</v>
      </c>
      <c r="K7150" t="inlineStr">
        <is>
          <t>4², 8²</t>
        </is>
      </c>
      <c r="L7150" t="inlineStr">
        <is>
          <t>16B⁶, 24C¹⁰, 48F¹⁰</t>
        </is>
      </c>
      <c r="M7150" t="inlineStr"/>
      <c r="N7150" t="inlineStr">
        <is>
          <t>24C¹⁰, 24A³, 16B⁶, 12C⁰, 8A¹, 16A⁰, 8D⁰, 4C⁰, 8B², 8A⁰, 16G³, 2B⁰, 48F¹⁰, 1A⁰, 8D¹, 8K⁰, 24J³, 24H⁴, 12A⁰, 8C¹, 24A¹, 48A³, 4A⁰, 24C¹, 12J¹, 4F⁰, 3A⁰, 6D⁰, 24B⁵</t>
        </is>
      </c>
      <c r="O7150" t="inlineStr"/>
    </row>
    <row r="7151">
      <c r="A7151">
        <f>HYPERLINK("https://mathstats.uncg.edu/sites/pauli/congruence/csg22.html#group48D22", "48D²²")</f>
        <v/>
      </c>
      <c r="B7151" t="n">
        <v>22</v>
      </c>
      <c r="C7151" t="inlineStr"/>
      <c r="D7151" t="inlineStr">
        <is>
          <t>288</t>
        </is>
      </c>
      <c r="E7151" t="inlineStr">
        <is>
          <t>1</t>
        </is>
      </c>
      <c r="F7151" t="inlineStr">
        <is>
          <t>72</t>
        </is>
      </c>
      <c r="G7151" t="inlineStr">
        <is>
          <t>0</t>
        </is>
      </c>
      <c r="H7151" t="inlineStr">
        <is>
          <t>0</t>
        </is>
      </c>
      <c r="I7151" t="inlineStr">
        <is>
          <t>48⁶</t>
        </is>
      </c>
      <c r="J7151" t="n">
        <v>6</v>
      </c>
      <c r="K7151" t="inlineStr">
        <is>
          <t>4², 8⁴, 16²</t>
        </is>
      </c>
      <c r="L7151" t="inlineStr">
        <is>
          <t>24C¹⁰, 48G¹⁰</t>
        </is>
      </c>
      <c r="M7151" t="inlineStr"/>
      <c r="N7151" t="inlineStr">
        <is>
          <t>24C¹⁰, 24A³, 12C⁰, 8A¹, 8D⁰, 4C⁰, 8B², 8A⁰, 2B⁰, 1A⁰, 8D¹, 8K⁰, 48G¹⁰, 24J³, 24H⁴, 12A⁰, 8C¹, 24A¹, 4A⁰, 24C¹, 12J¹, 4F⁰, 3A⁰, 6D⁰, 24B⁵, 48B³</t>
        </is>
      </c>
      <c r="O7151" t="inlineStr"/>
    </row>
    <row r="7152">
      <c r="A7152">
        <f>HYPERLINK("https://mathstats.uncg.edu/sites/pauli/congruence/csg22.html#group50A22", "50A²²")</f>
        <v/>
      </c>
      <c r="B7152" t="n">
        <v>22</v>
      </c>
      <c r="C7152" t="inlineStr"/>
      <c r="D7152" t="inlineStr">
        <is>
          <t>300</t>
        </is>
      </c>
      <c r="E7152" t="inlineStr">
        <is>
          <t>1</t>
        </is>
      </c>
      <c r="F7152" t="inlineStr">
        <is>
          <t>30</t>
        </is>
      </c>
      <c r="G7152" t="inlineStr">
        <is>
          <t>0</t>
        </is>
      </c>
      <c r="H7152" t="inlineStr">
        <is>
          <t>0</t>
        </is>
      </c>
      <c r="I7152" t="inlineStr">
        <is>
          <t>25⁴, 50⁴</t>
        </is>
      </c>
      <c r="J7152" t="n">
        <v>8</v>
      </c>
      <c r="K7152" t="inlineStr">
        <is>
          <t>2³, 4⁶</t>
        </is>
      </c>
      <c r="L7152" t="inlineStr">
        <is>
          <t>10D², 25E⁴, 50A¹¹</t>
        </is>
      </c>
      <c r="M7152" t="inlineStr"/>
      <c r="N7152" t="inlineStr">
        <is>
          <t>5A⁰, 25E⁴, 10B¹, 5C⁰, 25E², 5F⁰, 1A⁰, 2B⁰, 50A¹¹, 10D², 10F¹</t>
        </is>
      </c>
      <c r="O7152" t="inlineStr"/>
    </row>
    <row r="7153">
      <c r="A7153">
        <f>HYPERLINK("https://mathstats.uncg.edu/sites/pauli/congruence/csg22.html#group50B22", "50B²²")</f>
        <v/>
      </c>
      <c r="B7153" t="n">
        <v>22</v>
      </c>
      <c r="C7153" t="inlineStr"/>
      <c r="D7153" t="inlineStr">
        <is>
          <t>300</t>
        </is>
      </c>
      <c r="E7153" t="inlineStr">
        <is>
          <t>1</t>
        </is>
      </c>
      <c r="F7153" t="inlineStr">
        <is>
          <t>150</t>
        </is>
      </c>
      <c r="G7153" t="inlineStr">
        <is>
          <t>4</t>
        </is>
      </c>
      <c r="H7153" t="inlineStr">
        <is>
          <t>0</t>
        </is>
      </c>
      <c r="I7153" t="inlineStr">
        <is>
          <t>50⁶</t>
        </is>
      </c>
      <c r="J7153" t="n">
        <v>6</v>
      </c>
      <c r="K7153" t="inlineStr">
        <is>
          <t>2¹, 4⁷, 20⁶</t>
        </is>
      </c>
      <c r="L7153" t="inlineStr">
        <is>
          <t>10C², 50E⁴, 25A¹⁰</t>
        </is>
      </c>
      <c r="M7153" t="inlineStr"/>
      <c r="N7153" t="inlineStr">
        <is>
          <t>5A⁰, 25A¹⁰, 10D⁰, 25E², 10C², 5B⁰, 5E⁰, 50E⁴, 1A⁰, 10E¹, 5C⁰, 5G⁰, 10B⁰</t>
        </is>
      </c>
      <c r="O7153" t="inlineStr"/>
    </row>
    <row r="7154">
      <c r="A7154">
        <f>HYPERLINK("https://mathstats.uncg.edu/sites/pauli/congruence/csg22.html#group50C22", "50C²²")</f>
        <v/>
      </c>
      <c r="B7154" t="n">
        <v>22</v>
      </c>
      <c r="C7154" t="inlineStr"/>
      <c r="D7154" t="inlineStr">
        <is>
          <t>300</t>
        </is>
      </c>
      <c r="E7154" t="inlineStr">
        <is>
          <t>1</t>
        </is>
      </c>
      <c r="F7154" t="inlineStr">
        <is>
          <t>150</t>
        </is>
      </c>
      <c r="G7154" t="inlineStr">
        <is>
          <t>4</t>
        </is>
      </c>
      <c r="H7154" t="inlineStr">
        <is>
          <t>0</t>
        </is>
      </c>
      <c r="I7154" t="inlineStr">
        <is>
          <t>50⁶</t>
        </is>
      </c>
      <c r="J7154" t="n">
        <v>6</v>
      </c>
      <c r="K7154" t="inlineStr">
        <is>
          <t>2³, 4⁶, 20⁶</t>
        </is>
      </c>
      <c r="L7154" t="inlineStr">
        <is>
          <t>10E², 50E⁴, 50A¹¹</t>
        </is>
      </c>
      <c r="M7154" t="inlineStr"/>
      <c r="N7154" t="inlineStr">
        <is>
          <t>10E², 10D⁰, 5C⁰, 25E², 50E⁴, 2B⁰, 50A¹¹, 1A⁰, 10F¹</t>
        </is>
      </c>
      <c r="O7154" t="inlineStr"/>
    </row>
    <row r="7155">
      <c r="A7155">
        <f>HYPERLINK("https://mathstats.uncg.edu/sites/pauli/congruence/csg22.html#group50D22", "50D²²")</f>
        <v/>
      </c>
      <c r="B7155" t="n">
        <v>22</v>
      </c>
      <c r="C7155" t="inlineStr"/>
      <c r="D7155" t="inlineStr">
        <is>
          <t>450</t>
        </is>
      </c>
      <c r="E7155" t="inlineStr">
        <is>
          <t>1</t>
        </is>
      </c>
      <c r="F7155" t="inlineStr">
        <is>
          <t>45</t>
        </is>
      </c>
      <c r="G7155" t="inlineStr">
        <is>
          <t>10</t>
        </is>
      </c>
      <c r="H7155" t="inlineStr">
        <is>
          <t>0</t>
        </is>
      </c>
      <c r="I7155" t="inlineStr">
        <is>
          <t>5¹⁰, 10¹⁰, 25⁴, 50⁴</t>
        </is>
      </c>
      <c r="J7155" t="n">
        <v>28</v>
      </c>
      <c r="K7155" t="inlineStr">
        <is>
          <t>1³, 2³, 4⁹</t>
        </is>
      </c>
      <c r="L7155" t="inlineStr">
        <is>
          <t>10F², 25F⁴, 50B¹¹</t>
        </is>
      </c>
      <c r="M7155" t="inlineStr"/>
      <c r="N7155" t="inlineStr">
        <is>
          <t>25F², 25F⁴, 5A⁰, 10I¹, 10F², 10B¹, 5B⁰, 10C⁰, 5E⁰, 1A⁰, 2B⁰, 5G⁰, 5C⁰, 50B¹¹, 10F¹</t>
        </is>
      </c>
      <c r="O7155" t="inlineStr"/>
    </row>
    <row r="7156">
      <c r="A7156">
        <f>HYPERLINK("https://mathstats.uncg.edu/sites/pauli/congruence/csg22.html#group50E22", "50E²²")</f>
        <v/>
      </c>
      <c r="B7156" t="n">
        <v>22</v>
      </c>
      <c r="C7156" t="inlineStr"/>
      <c r="D7156" t="inlineStr">
        <is>
          <t>450</t>
        </is>
      </c>
      <c r="E7156" t="inlineStr">
        <is>
          <t>1</t>
        </is>
      </c>
      <c r="F7156" t="inlineStr">
        <is>
          <t>90</t>
        </is>
      </c>
      <c r="G7156" t="inlineStr">
        <is>
          <t>10</t>
        </is>
      </c>
      <c r="H7156" t="inlineStr">
        <is>
          <t>0</t>
        </is>
      </c>
      <c r="I7156" t="inlineStr">
        <is>
          <t>1⁵, 2⁵, 5⁴, 10⁴, 25⁵, 50⁵</t>
        </is>
      </c>
      <c r="J7156" t="n">
        <v>28</v>
      </c>
      <c r="K7156" t="inlineStr">
        <is>
          <t>1⁶, 4⁶, 20³</t>
        </is>
      </c>
      <c r="L7156" t="inlineStr">
        <is>
          <t>50B², 25G⁴</t>
        </is>
      </c>
      <c r="M7156" t="inlineStr"/>
      <c r="N7156" t="inlineStr">
        <is>
          <t>25A⁰, 10C⁰, 5B⁰, 2B⁰, 50B², 1A⁰, 25G⁴</t>
        </is>
      </c>
      <c r="O7156" t="inlineStr"/>
    </row>
    <row r="7157">
      <c r="A7157">
        <f>HYPERLINK("https://mathstats.uncg.edu/sites/pauli/congruence/csg22.html#group54A22", "54A²²")</f>
        <v/>
      </c>
      <c r="B7157" t="n">
        <v>22</v>
      </c>
      <c r="C7157" t="inlineStr"/>
      <c r="D7157" t="inlineStr">
        <is>
          <t>324</t>
        </is>
      </c>
      <c r="E7157" t="inlineStr">
        <is>
          <t>1</t>
        </is>
      </c>
      <c r="F7157" t="inlineStr">
        <is>
          <t>36</t>
        </is>
      </c>
      <c r="G7157" t="inlineStr">
        <is>
          <t>0</t>
        </is>
      </c>
      <c r="H7157" t="inlineStr">
        <is>
          <t>0</t>
        </is>
      </c>
      <c r="I7157" t="inlineStr">
        <is>
          <t>9³, 18³, 27³, 54³</t>
        </is>
      </c>
      <c r="J7157" t="n">
        <v>12</v>
      </c>
      <c r="K7157" t="inlineStr">
        <is>
          <t>1⁶, 2⁶, 6³</t>
        </is>
      </c>
      <c r="L7157" t="inlineStr">
        <is>
          <t>18M⁴, 27A⁷</t>
        </is>
      </c>
      <c r="M7157" t="inlineStr"/>
      <c r="N7157" t="inlineStr">
        <is>
          <t>27A⁷, 3B⁰, 18E², 9B⁰, 18D², 6G⁰, 2B⁰, 9C⁰, 1A⁰, 18E⁰, 9A¹, 6F⁰, 3C⁰, 9C¹, 6K⁰, 18M⁴, 3A⁰, 3D⁰, 6D⁰</t>
        </is>
      </c>
      <c r="O7157" t="inlineStr"/>
    </row>
    <row r="7158">
      <c r="A7158">
        <f>HYPERLINK("https://mathstats.uncg.edu/sites/pauli/congruence/csg22.html#group54B22", "54B²²")</f>
        <v/>
      </c>
      <c r="B7158" t="n">
        <v>22</v>
      </c>
      <c r="C7158" t="inlineStr"/>
      <c r="D7158" t="inlineStr">
        <is>
          <t>324</t>
        </is>
      </c>
      <c r="E7158" t="inlineStr">
        <is>
          <t>1</t>
        </is>
      </c>
      <c r="F7158" t="inlineStr">
        <is>
          <t>36</t>
        </is>
      </c>
      <c r="G7158" t="inlineStr">
        <is>
          <t>0</t>
        </is>
      </c>
      <c r="H7158" t="inlineStr">
        <is>
          <t>0</t>
        </is>
      </c>
      <c r="I7158" t="inlineStr">
        <is>
          <t>9³, 18³, 27³, 54³</t>
        </is>
      </c>
      <c r="J7158" t="n">
        <v>12</v>
      </c>
      <c r="K7158" t="inlineStr">
        <is>
          <t>1⁶, 2⁶, 6³</t>
        </is>
      </c>
      <c r="L7158" t="inlineStr">
        <is>
          <t>18P⁴, 27D⁴, 54A⁸, 54B⁸</t>
        </is>
      </c>
      <c r="M7158" t="inlineStr"/>
      <c r="N7158" t="inlineStr">
        <is>
          <t>3B⁰, 18P⁴, 9J⁰, 27D⁴, 27B², 54B⁸, 18D², 2B⁰, 1A⁰, 27B¹, 9C⁰, 6F⁰, 54A⁸</t>
        </is>
      </c>
      <c r="O7158" t="inlineStr"/>
    </row>
    <row r="7159">
      <c r="A7159">
        <f>HYPERLINK("https://mathstats.uncg.edu/sites/pauli/congruence/csg22.html#group54C22", "54C²²")</f>
        <v/>
      </c>
      <c r="B7159" t="n">
        <v>22</v>
      </c>
      <c r="C7159" t="inlineStr"/>
      <c r="D7159" t="inlineStr">
        <is>
          <t>324</t>
        </is>
      </c>
      <c r="E7159" t="inlineStr">
        <is>
          <t>1</t>
        </is>
      </c>
      <c r="F7159" t="inlineStr">
        <is>
          <t>36</t>
        </is>
      </c>
      <c r="G7159" t="inlineStr">
        <is>
          <t>0</t>
        </is>
      </c>
      <c r="H7159" t="inlineStr">
        <is>
          <t>0</t>
        </is>
      </c>
      <c r="I7159" t="inlineStr">
        <is>
          <t>9³, 18³, 27³, 54³</t>
        </is>
      </c>
      <c r="J7159" t="n">
        <v>12</v>
      </c>
      <c r="K7159" t="inlineStr">
        <is>
          <t>1⁶, 2⁶, 6³</t>
        </is>
      </c>
      <c r="L7159" t="inlineStr">
        <is>
          <t>18P⁴, 27B⁷, 54A⁸, 54C⁸</t>
        </is>
      </c>
      <c r="M7159" t="inlineStr"/>
      <c r="N7159" t="inlineStr">
        <is>
          <t>3B⁰, 18P⁴, 27B⁷, 9J⁰, 27A³, 54C⁸, 18D², 1A⁰, 2B⁰, 27B¹, 9C⁰, 6F⁰, 54A⁸</t>
        </is>
      </c>
      <c r="O7159" t="inlineStr"/>
    </row>
    <row r="7160">
      <c r="A7160">
        <f>HYPERLINK("https://mathstats.uncg.edu/sites/pauli/congruence/csg22.html#group54D22", "54D²²")</f>
        <v/>
      </c>
      <c r="B7160" t="n">
        <v>22</v>
      </c>
      <c r="C7160" t="inlineStr"/>
      <c r="D7160" t="inlineStr">
        <is>
          <t>324</t>
        </is>
      </c>
      <c r="E7160" t="inlineStr">
        <is>
          <t>1</t>
        </is>
      </c>
      <c r="F7160" t="inlineStr">
        <is>
          <t>36</t>
        </is>
      </c>
      <c r="G7160" t="inlineStr">
        <is>
          <t>0</t>
        </is>
      </c>
      <c r="H7160" t="inlineStr">
        <is>
          <t>0</t>
        </is>
      </c>
      <c r="I7160" t="inlineStr">
        <is>
          <t>9³, 18³, 27³, 54³</t>
        </is>
      </c>
      <c r="J7160" t="n">
        <v>12</v>
      </c>
      <c r="K7160" t="inlineStr">
        <is>
          <t>1⁶, 2⁶, 6³</t>
        </is>
      </c>
      <c r="L7160" t="inlineStr">
        <is>
          <t>18P⁴, 27C⁷, 54B⁸, 54C⁸</t>
        </is>
      </c>
      <c r="M7160" t="inlineStr"/>
      <c r="N7160" t="inlineStr">
        <is>
          <t>3B⁰, 18P⁴, 9J⁰, 27B², 6F⁰, 27C⁷, 54C⁸, 54B⁸, 18D², 2B⁰, 9C⁰, 1A⁰, 27A³</t>
        </is>
      </c>
      <c r="O7160" t="inlineStr"/>
    </row>
    <row r="7161">
      <c r="A7161">
        <f>HYPERLINK("https://mathstats.uncg.edu/sites/pauli/congruence/csg22.html#group54E22", "54E²²")</f>
        <v/>
      </c>
      <c r="B7161" t="n">
        <v>22</v>
      </c>
      <c r="C7161" t="inlineStr"/>
      <c r="D7161" t="inlineStr">
        <is>
          <t>324</t>
        </is>
      </c>
      <c r="E7161" t="inlineStr">
        <is>
          <t>1</t>
        </is>
      </c>
      <c r="F7161" t="inlineStr">
        <is>
          <t>36</t>
        </is>
      </c>
      <c r="G7161" t="inlineStr">
        <is>
          <t>0</t>
        </is>
      </c>
      <c r="H7161" t="inlineStr">
        <is>
          <t>0</t>
        </is>
      </c>
      <c r="I7161" t="inlineStr">
        <is>
          <t>9³, 18³, 27³, 54³</t>
        </is>
      </c>
      <c r="J7161" t="n">
        <v>12</v>
      </c>
      <c r="K7161" t="inlineStr">
        <is>
          <t>1⁶, 2⁶, 6³</t>
        </is>
      </c>
      <c r="L7161" t="inlineStr">
        <is>
          <t>18M⁴, 27D⁷, 54A⁸, 54B⁸, 54C⁸</t>
        </is>
      </c>
      <c r="M7161" t="inlineStr"/>
      <c r="N7161" t="inlineStr">
        <is>
          <t>3B⁰, 18E², 9B⁰, 18D², 27B¹, 2B⁰, 6G⁰, 9C⁰, 1A⁰, 3D⁰, 18E⁰, 27B², 6D⁰, 9A¹, 54C⁸, 27D⁷, 54B⁸, 3C⁰, 9C¹, 6K⁰, 18M⁴, 3A⁰, 54A⁸, 6F⁰, 27A³</t>
        </is>
      </c>
      <c r="O7161" t="inlineStr"/>
    </row>
    <row r="7162">
      <c r="A7162">
        <f>HYPERLINK("https://mathstats.uncg.edu/sites/pauli/congruence/csg22.html#group54F22", "54F²²")</f>
        <v/>
      </c>
      <c r="B7162" t="n">
        <v>22</v>
      </c>
      <c r="C7162" t="inlineStr"/>
      <c r="D7162" t="inlineStr">
        <is>
          <t>324</t>
        </is>
      </c>
      <c r="E7162" t="inlineStr">
        <is>
          <t>1</t>
        </is>
      </c>
      <c r="F7162" t="inlineStr">
        <is>
          <t>108</t>
        </is>
      </c>
      <c r="G7162" t="inlineStr">
        <is>
          <t>0</t>
        </is>
      </c>
      <c r="H7162" t="inlineStr">
        <is>
          <t>0</t>
        </is>
      </c>
      <c r="I7162" t="inlineStr">
        <is>
          <t>9³, 18³, 27³, 54³</t>
        </is>
      </c>
      <c r="J7162" t="n">
        <v>12</v>
      </c>
      <c r="K7162" t="inlineStr">
        <is>
          <t>3⁶, 6¹⁵</t>
        </is>
      </c>
      <c r="L7162" t="inlineStr">
        <is>
          <t>18P⁴, 27A⁶</t>
        </is>
      </c>
      <c r="M7162" t="inlineStr"/>
      <c r="N7162" t="inlineStr">
        <is>
          <t>3B⁰, 18P⁴, 9J⁰, 27A⁶, 18D², 1A⁰, 2B⁰, 9C⁰, 6F⁰</t>
        </is>
      </c>
      <c r="O7162" t="inlineStr"/>
    </row>
    <row r="7163">
      <c r="A7163">
        <f>HYPERLINK("https://mathstats.uncg.edu/sites/pauli/congruence/csg22.html#group54G22", "54G²²")</f>
        <v/>
      </c>
      <c r="B7163" t="n">
        <v>22</v>
      </c>
      <c r="C7163" t="inlineStr"/>
      <c r="D7163" t="inlineStr">
        <is>
          <t>324</t>
        </is>
      </c>
      <c r="E7163" t="inlineStr">
        <is>
          <t>1</t>
        </is>
      </c>
      <c r="F7163" t="inlineStr">
        <is>
          <t>108</t>
        </is>
      </c>
      <c r="G7163" t="inlineStr">
        <is>
          <t>0</t>
        </is>
      </c>
      <c r="H7163" t="inlineStr">
        <is>
          <t>0</t>
        </is>
      </c>
      <c r="I7163" t="inlineStr">
        <is>
          <t>9³, 18³, 27³, 54³</t>
        </is>
      </c>
      <c r="J7163" t="n">
        <v>12</v>
      </c>
      <c r="K7163" t="inlineStr">
        <is>
          <t>3⁶, 6¹⁵</t>
        </is>
      </c>
      <c r="L7163" t="inlineStr">
        <is>
          <t>18Q⁴, 27E⁷</t>
        </is>
      </c>
      <c r="M7163" t="inlineStr"/>
      <c r="N7163" t="inlineStr">
        <is>
          <t>3B⁰, 27E⁷, 9A¹, 18E², 18Q⁴, 1A⁰, 2B⁰, 9D¹, 6F⁰</t>
        </is>
      </c>
      <c r="O7163" t="inlineStr"/>
    </row>
    <row r="7164">
      <c r="A7164">
        <f>HYPERLINK("https://mathstats.uncg.edu/sites/pauli/congruence/csg22.html#group54H22", "54H²²")</f>
        <v/>
      </c>
      <c r="B7164" t="n">
        <v>22</v>
      </c>
      <c r="C7164" t="inlineStr"/>
      <c r="D7164" t="inlineStr">
        <is>
          <t>324</t>
        </is>
      </c>
      <c r="E7164" t="inlineStr">
        <is>
          <t>1</t>
        </is>
      </c>
      <c r="F7164" t="inlineStr">
        <is>
          <t>162</t>
        </is>
      </c>
      <c r="G7164" t="inlineStr">
        <is>
          <t>0</t>
        </is>
      </c>
      <c r="H7164" t="inlineStr">
        <is>
          <t>0</t>
        </is>
      </c>
      <c r="I7164" t="inlineStr">
        <is>
          <t>18⁹, 54³</t>
        </is>
      </c>
      <c r="J7164" t="n">
        <v>12</v>
      </c>
      <c r="K7164" t="inlineStr">
        <is>
          <t>3¹, 6⁴, 9¹, 18⁷</t>
        </is>
      </c>
      <c r="L7164" t="inlineStr">
        <is>
          <t>18C⁷, 27A⁸</t>
        </is>
      </c>
      <c r="M7164" t="inlineStr"/>
      <c r="N7164" t="inlineStr">
        <is>
          <t>18F², 2A⁰, 6B⁰, 18B⁴, 18H¹, 9G⁰, 27A⁸, 18A², 9B², 9E⁰, 18C⁷, 1A⁰, 18A⁰, 9B¹, 6B¹, 9A⁰, 18C³, 3C⁰, 6A¹, 3A⁰</t>
        </is>
      </c>
      <c r="O7164" t="inlineStr"/>
    </row>
    <row r="7165">
      <c r="A7165">
        <f>HYPERLINK("https://mathstats.uncg.edu/sites/pauli/congruence/csg22.html#group54I22", "54I²²")</f>
        <v/>
      </c>
      <c r="B7165" t="n">
        <v>22</v>
      </c>
      <c r="C7165" t="inlineStr"/>
      <c r="D7165" t="inlineStr">
        <is>
          <t>324</t>
        </is>
      </c>
      <c r="E7165" t="inlineStr">
        <is>
          <t>1</t>
        </is>
      </c>
      <c r="F7165" t="inlineStr">
        <is>
          <t>162</t>
        </is>
      </c>
      <c r="G7165" t="inlineStr">
        <is>
          <t>0</t>
        </is>
      </c>
      <c r="H7165" t="inlineStr">
        <is>
          <t>0</t>
        </is>
      </c>
      <c r="I7165" t="inlineStr">
        <is>
          <t>18⁹, 54³</t>
        </is>
      </c>
      <c r="J7165" t="n">
        <v>12</v>
      </c>
      <c r="K7165" t="inlineStr">
        <is>
          <t>1¹, 2⁴, 6³, 9¹, 18⁷</t>
        </is>
      </c>
      <c r="L7165" t="inlineStr">
        <is>
          <t>18B⁷, 27G⁷</t>
        </is>
      </c>
      <c r="M7165" t="inlineStr"/>
      <c r="N7165" t="inlineStr">
        <is>
          <t>18F², 2A⁰, 27G⁷, 6B⁰, 18A³, 18B⁷, 9E¹, 18A², 9E⁰, 1A⁰, 9D⁰, 6B¹, 9A⁰, 3C⁰, 6A¹, 3A⁰, 18A¹</t>
        </is>
      </c>
      <c r="O7165" t="inlineStr"/>
    </row>
    <row r="7166">
      <c r="A7166">
        <f>HYPERLINK("https://mathstats.uncg.edu/sites/pauli/congruence/csg22.html#group54J22", "54J²²")</f>
        <v/>
      </c>
      <c r="B7166" t="n">
        <v>22</v>
      </c>
      <c r="C7166" t="inlineStr"/>
      <c r="D7166" t="inlineStr">
        <is>
          <t>324</t>
        </is>
      </c>
      <c r="E7166" t="inlineStr">
        <is>
          <t>2</t>
        </is>
      </c>
      <c r="F7166" t="inlineStr">
        <is>
          <t>81</t>
        </is>
      </c>
      <c r="G7166" t="inlineStr">
        <is>
          <t>12</t>
        </is>
      </c>
      <c r="H7166" t="inlineStr">
        <is>
          <t>0</t>
        </is>
      </c>
      <c r="I7166" t="inlineStr">
        <is>
          <t>54⁶</t>
        </is>
      </c>
      <c r="J7166" t="n">
        <v>6</v>
      </c>
      <c r="K7166" t="inlineStr">
        <is>
          <t>6⁹, 18⁶</t>
        </is>
      </c>
      <c r="L7166" t="inlineStr">
        <is>
          <t>18S⁴, 54A⁷, 27A¹⁰, 54A¹¹</t>
        </is>
      </c>
      <c r="M7166" t="inlineStr"/>
      <c r="N7166" t="inlineStr">
        <is>
          <t>27A¹⁰, 18S⁴, 6B⁰, 18H¹, 9G⁰, 18K², 27B³, 54A⁷, 1A⁰, 9B¹, 18A⁰, 9D⁰, 18D⁰, 6E⁰, 9A⁰, 3C⁰, 18G², 3A⁰, 18A¹, 54A¹¹, 9F¹</t>
        </is>
      </c>
      <c r="O7166" t="inlineStr"/>
    </row>
    <row r="7167">
      <c r="A7167">
        <f>HYPERLINK("https://mathstats.uncg.edu/sites/pauli/congruence/csg22.html#group54K22", "54K²²")</f>
        <v/>
      </c>
      <c r="B7167" t="n">
        <v>22</v>
      </c>
      <c r="C7167" t="inlineStr"/>
      <c r="D7167" t="inlineStr">
        <is>
          <t>324</t>
        </is>
      </c>
      <c r="E7167" t="inlineStr">
        <is>
          <t>2</t>
        </is>
      </c>
      <c r="F7167" t="inlineStr">
        <is>
          <t>162</t>
        </is>
      </c>
      <c r="G7167" t="inlineStr">
        <is>
          <t>12</t>
        </is>
      </c>
      <c r="H7167" t="inlineStr">
        <is>
          <t>0</t>
        </is>
      </c>
      <c r="I7167" t="inlineStr">
        <is>
          <t>54⁶</t>
        </is>
      </c>
      <c r="J7167" t="n">
        <v>6</v>
      </c>
      <c r="K7167" t="inlineStr">
        <is>
          <t>6¹⁸, 18¹²</t>
        </is>
      </c>
      <c r="L7167" t="inlineStr">
        <is>
          <t>18S⁴, 54B¹¹</t>
        </is>
      </c>
      <c r="M7167" t="inlineStr"/>
      <c r="N7167" t="inlineStr">
        <is>
          <t>18S⁴, 6B⁰, 18H¹, 9G⁰, 18K², 9F¹, 1A⁰, 18A⁰, 9B¹, 9D⁰, 18D⁰, 6E⁰, 9A⁰, 3C⁰, 18G², 3A⁰, 18A¹, 54B¹¹</t>
        </is>
      </c>
      <c r="O7167" t="inlineStr"/>
    </row>
    <row r="7168">
      <c r="A7168">
        <f>HYPERLINK("https://mathstats.uncg.edu/sites/pauli/congruence/csg22.html#group55A22", "55A²²")</f>
        <v/>
      </c>
      <c r="B7168" t="n">
        <v>22</v>
      </c>
      <c r="C7168" t="inlineStr"/>
      <c r="D7168" t="inlineStr">
        <is>
          <t>330</t>
        </is>
      </c>
      <c r="E7168" t="inlineStr">
        <is>
          <t>1</t>
        </is>
      </c>
      <c r="F7168" t="inlineStr">
        <is>
          <t>330</t>
        </is>
      </c>
      <c r="G7168" t="inlineStr">
        <is>
          <t>6</t>
        </is>
      </c>
      <c r="H7168" t="inlineStr">
        <is>
          <t>0</t>
        </is>
      </c>
      <c r="I7168" t="inlineStr">
        <is>
          <t>11⁵, 55⁵</t>
        </is>
      </c>
      <c r="J7168" t="n">
        <v>10</v>
      </c>
      <c r="K7168" t="inlineStr">
        <is>
          <t>5², 10¹⁰, 20¹, 40⁵</t>
        </is>
      </c>
      <c r="L7168" t="inlineStr">
        <is>
          <t>11B¹, 55A⁴</t>
        </is>
      </c>
      <c r="M7168" t="inlineStr"/>
      <c r="N7168" t="inlineStr">
        <is>
          <t>5B⁰, 11A⁰, 55A⁴, 11B¹, 1A⁰</t>
        </is>
      </c>
      <c r="O7168" t="inlineStr"/>
    </row>
    <row r="7169">
      <c r="A7169">
        <f>HYPERLINK("https://mathstats.uncg.edu/sites/pauli/congruence/csg22.html#group56A22", "56A²²")</f>
        <v/>
      </c>
      <c r="B7169" t="n">
        <v>22</v>
      </c>
      <c r="C7169" t="inlineStr"/>
      <c r="D7169" t="inlineStr">
        <is>
          <t>336</t>
        </is>
      </c>
      <c r="E7169" t="inlineStr">
        <is>
          <t>1</t>
        </is>
      </c>
      <c r="F7169" t="inlineStr">
        <is>
          <t>84</t>
        </is>
      </c>
      <c r="G7169" t="inlineStr">
        <is>
          <t>16</t>
        </is>
      </c>
      <c r="H7169" t="inlineStr">
        <is>
          <t>0</t>
        </is>
      </c>
      <c r="I7169" t="inlineStr">
        <is>
          <t>56⁶</t>
        </is>
      </c>
      <c r="J7169" t="n">
        <v>6</v>
      </c>
      <c r="K7169" t="inlineStr">
        <is>
          <t>12², 24⁶</t>
        </is>
      </c>
      <c r="L7169" t="inlineStr">
        <is>
          <t>28B⁸, 56J¹¹</t>
        </is>
      </c>
      <c r="M7169" t="inlineStr"/>
      <c r="N7169" t="inlineStr">
        <is>
          <t>56J¹¹, 7D⁰, 4A⁰, 28B⁸, 1A⁰, 28B⁴, 28A¹, 14E¹, 7A⁰, 56A³</t>
        </is>
      </c>
      <c r="O7169" t="inlineStr"/>
    </row>
    <row r="7170">
      <c r="A7170">
        <f>HYPERLINK("https://mathstats.uncg.edu/sites/pauli/congruence/csg22.html#group56B22", "56B²²")</f>
        <v/>
      </c>
      <c r="B7170" t="n">
        <v>22</v>
      </c>
      <c r="C7170" t="inlineStr"/>
      <c r="D7170" t="inlineStr">
        <is>
          <t>336</t>
        </is>
      </c>
      <c r="E7170" t="inlineStr">
        <is>
          <t>1</t>
        </is>
      </c>
      <c r="F7170" t="inlineStr">
        <is>
          <t>84</t>
        </is>
      </c>
      <c r="G7170" t="inlineStr">
        <is>
          <t>16</t>
        </is>
      </c>
      <c r="H7170" t="inlineStr">
        <is>
          <t>0</t>
        </is>
      </c>
      <c r="I7170" t="inlineStr">
        <is>
          <t>56⁶</t>
        </is>
      </c>
      <c r="J7170" t="n">
        <v>6</v>
      </c>
      <c r="K7170" t="inlineStr">
        <is>
          <t>12², 24⁶</t>
        </is>
      </c>
      <c r="L7170" t="inlineStr">
        <is>
          <t>28B⁸, 56K¹¹</t>
        </is>
      </c>
      <c r="M7170" t="inlineStr"/>
      <c r="N7170" t="inlineStr">
        <is>
          <t>14E¹, 56B³, 7D⁰, 56K¹¹, 4A⁰, 28B⁸, 28B⁴, 28A¹, 1A⁰, 7A⁰</t>
        </is>
      </c>
      <c r="O7170" t="inlineStr"/>
    </row>
    <row r="7171">
      <c r="A7171">
        <f>HYPERLINK("https://mathstats.uncg.edu/sites/pauli/congruence/csg22.html#group56C22", "56C²²")</f>
        <v/>
      </c>
      <c r="B7171" t="n">
        <v>22</v>
      </c>
      <c r="C7171" t="inlineStr"/>
      <c r="D7171" t="inlineStr">
        <is>
          <t>336</t>
        </is>
      </c>
      <c r="E7171" t="inlineStr">
        <is>
          <t>2</t>
        </is>
      </c>
      <c r="F7171" t="inlineStr">
        <is>
          <t>84</t>
        </is>
      </c>
      <c r="G7171" t="inlineStr">
        <is>
          <t>8</t>
        </is>
      </c>
      <c r="H7171" t="inlineStr">
        <is>
          <t>0</t>
        </is>
      </c>
      <c r="I7171" t="inlineStr">
        <is>
          <t>28⁸, 56²</t>
        </is>
      </c>
      <c r="J7171" t="n">
        <v>10</v>
      </c>
      <c r="K7171" t="inlineStr">
        <is>
          <t>4², 8², 12⁴, 24⁴</t>
        </is>
      </c>
      <c r="L7171" t="inlineStr">
        <is>
          <t>28A¹⁰, 56F¹¹, 56G¹¹</t>
        </is>
      </c>
      <c r="M7171" t="inlineStr"/>
      <c r="N7171" t="inlineStr">
        <is>
          <t>56G¹¹, 28E², 14A⁰, 28C⁴, 14B¹, 4C⁰, 14C², 28C⁵, 2B⁰, 1A⁰, 8K⁰, 28A¹⁰, 28C², 56F¹¹, 4A⁰, 28D⁵, 4F⁰, 28A¹, 28B², 7A⁰</t>
        </is>
      </c>
      <c r="O7171" t="inlineStr"/>
    </row>
    <row r="7172">
      <c r="A7172">
        <f>HYPERLINK("https://mathstats.uncg.edu/sites/pauli/congruence/csg22.html#group56D22", "56D²²")</f>
        <v/>
      </c>
      <c r="B7172" t="n">
        <v>22</v>
      </c>
      <c r="C7172" t="inlineStr"/>
      <c r="D7172" t="inlineStr">
        <is>
          <t>336</t>
        </is>
      </c>
      <c r="E7172" t="inlineStr">
        <is>
          <t>2</t>
        </is>
      </c>
      <c r="F7172" t="inlineStr">
        <is>
          <t>84</t>
        </is>
      </c>
      <c r="G7172" t="inlineStr">
        <is>
          <t>12</t>
        </is>
      </c>
      <c r="H7172" t="inlineStr">
        <is>
          <t>0</t>
        </is>
      </c>
      <c r="I7172" t="inlineStr">
        <is>
          <t>28⁴, 56⁴</t>
        </is>
      </c>
      <c r="J7172" t="n">
        <v>8</v>
      </c>
      <c r="K7172" t="inlineStr">
        <is>
          <t>4⁶, 12¹²</t>
        </is>
      </c>
      <c r="L7172" t="inlineStr">
        <is>
          <t>56C¹⁰, 56D¹⁰</t>
        </is>
      </c>
      <c r="M7172" t="inlineStr"/>
      <c r="N7172" t="inlineStr">
        <is>
          <t>56C⁵, 14B¹, 8D⁰, 4C⁰, 8B⁰, 2B⁰, 56D¹⁰, 1A⁰, 56C¹⁰, 8H⁰, 28C², 4A⁰, 28D⁵, 4F⁰, 28A¹, 7A⁰, 56B⁴</t>
        </is>
      </c>
      <c r="O7172" t="inlineStr"/>
    </row>
    <row r="7173">
      <c r="A7173">
        <f>HYPERLINK("https://mathstats.uncg.edu/sites/pauli/congruence/csg22.html#group56E22", "56E²²")</f>
        <v/>
      </c>
      <c r="B7173" t="n">
        <v>22</v>
      </c>
      <c r="C7173" t="inlineStr"/>
      <c r="D7173" t="inlineStr">
        <is>
          <t>336</t>
        </is>
      </c>
      <c r="E7173" t="inlineStr">
        <is>
          <t>2</t>
        </is>
      </c>
      <c r="F7173" t="inlineStr">
        <is>
          <t>84</t>
        </is>
      </c>
      <c r="G7173" t="inlineStr">
        <is>
          <t>12</t>
        </is>
      </c>
      <c r="H7173" t="inlineStr">
        <is>
          <t>0</t>
        </is>
      </c>
      <c r="I7173" t="inlineStr">
        <is>
          <t>28⁴, 56⁴</t>
        </is>
      </c>
      <c r="J7173" t="n">
        <v>8</v>
      </c>
      <c r="K7173" t="inlineStr">
        <is>
          <t>4⁶, 12¹²</t>
        </is>
      </c>
      <c r="L7173" t="inlineStr">
        <is>
          <t>8P⁰, 56C¹⁰, 56E¹⁰</t>
        </is>
      </c>
      <c r="M7173" t="inlineStr"/>
      <c r="N7173" t="inlineStr">
        <is>
          <t>56C⁵, 56E¹⁰, 14B¹, 8D⁰, 4C⁰, 8B⁰, 8L⁰, 2B⁰, 1A⁰, 56C¹⁰, 8H⁰, 28C², 4A⁰, 28D⁵, 4F⁰, 8P⁰, 28A¹, 7A⁰, 56B⁴</t>
        </is>
      </c>
      <c r="O7173" t="inlineStr"/>
    </row>
    <row r="7174">
      <c r="A7174">
        <f>HYPERLINK("https://mathstats.uncg.edu/sites/pauli/congruence/csg22.html#group56F22", "56F²²")</f>
        <v/>
      </c>
      <c r="B7174" t="n">
        <v>22</v>
      </c>
      <c r="C7174" t="inlineStr"/>
      <c r="D7174" t="inlineStr">
        <is>
          <t>336</t>
        </is>
      </c>
      <c r="E7174" t="inlineStr">
        <is>
          <t>2</t>
        </is>
      </c>
      <c r="F7174" t="inlineStr">
        <is>
          <t>84</t>
        </is>
      </c>
      <c r="G7174" t="inlineStr">
        <is>
          <t>12</t>
        </is>
      </c>
      <c r="H7174" t="inlineStr">
        <is>
          <t>0</t>
        </is>
      </c>
      <c r="I7174" t="inlineStr">
        <is>
          <t>28⁴, 56⁴</t>
        </is>
      </c>
      <c r="J7174" t="n">
        <v>8</v>
      </c>
      <c r="K7174" t="inlineStr">
        <is>
          <t>4⁸, 8², 12¹⁶, 24⁴</t>
        </is>
      </c>
      <c r="L7174" t="inlineStr">
        <is>
          <t>56B¹⁰, 56D¹⁰, 56E¹⁰</t>
        </is>
      </c>
      <c r="M7174" t="inlineStr"/>
      <c r="N7174" t="inlineStr">
        <is>
          <t>28C², 56B⁵, 56B¹⁰, 56E¹⁰, 14B¹, 4C⁰, 8B⁰, 28C⁵, 2B⁰, 56D¹⁰, 8L⁰, 1A⁰, 7A⁰, 56B⁴</t>
        </is>
      </c>
      <c r="O7174" t="inlineStr"/>
    </row>
    <row r="7175">
      <c r="A7175">
        <f>HYPERLINK("https://mathstats.uncg.edu/sites/pauli/congruence/csg22.html#group56G22", "56G²²")</f>
        <v/>
      </c>
      <c r="B7175" t="n">
        <v>22</v>
      </c>
      <c r="C7175" t="inlineStr"/>
      <c r="D7175" t="inlineStr">
        <is>
          <t>336</t>
        </is>
      </c>
      <c r="E7175" t="inlineStr">
        <is>
          <t>2</t>
        </is>
      </c>
      <c r="F7175" t="inlineStr">
        <is>
          <t>84</t>
        </is>
      </c>
      <c r="G7175" t="inlineStr">
        <is>
          <t>12</t>
        </is>
      </c>
      <c r="H7175" t="inlineStr">
        <is>
          <t>0</t>
        </is>
      </c>
      <c r="I7175" t="inlineStr">
        <is>
          <t>28⁴, 56⁴</t>
        </is>
      </c>
      <c r="J7175" t="n">
        <v>8</v>
      </c>
      <c r="K7175" t="inlineStr">
        <is>
          <t>4⁸, 8², 12¹⁶, 24⁴</t>
        </is>
      </c>
      <c r="L7175" t="inlineStr">
        <is>
          <t>56B¹⁰, 56D¹⁰, 56E¹⁰</t>
        </is>
      </c>
      <c r="M7175" t="inlineStr"/>
      <c r="N7175" t="inlineStr">
        <is>
          <t>28C², 56B⁵, 56B¹⁰, 56E¹⁰, 14B¹, 4C⁰, 8B⁰, 28C⁵, 2B⁰, 56D¹⁰, 8L⁰, 1A⁰, 7A⁰, 56B⁴</t>
        </is>
      </c>
      <c r="O7175" t="inlineStr"/>
    </row>
    <row r="7176">
      <c r="A7176">
        <f>HYPERLINK("https://mathstats.uncg.edu/sites/pauli/congruence/csg22.html#group56H22", "56H²²")</f>
        <v/>
      </c>
      <c r="B7176" t="n">
        <v>22</v>
      </c>
      <c r="C7176" t="inlineStr"/>
      <c r="D7176" t="inlineStr">
        <is>
          <t>336</t>
        </is>
      </c>
      <c r="E7176" t="inlineStr">
        <is>
          <t>2</t>
        </is>
      </c>
      <c r="F7176" t="inlineStr">
        <is>
          <t>84</t>
        </is>
      </c>
      <c r="G7176" t="inlineStr">
        <is>
          <t>16</t>
        </is>
      </c>
      <c r="H7176" t="inlineStr">
        <is>
          <t>0</t>
        </is>
      </c>
      <c r="I7176" t="inlineStr">
        <is>
          <t>56⁶</t>
        </is>
      </c>
      <c r="J7176" t="n">
        <v>6</v>
      </c>
      <c r="K7176" t="inlineStr">
        <is>
          <t>12², 24⁶</t>
        </is>
      </c>
      <c r="L7176" t="inlineStr">
        <is>
          <t>28B⁸, 56H¹¹, 56I¹¹</t>
        </is>
      </c>
      <c r="M7176" t="inlineStr"/>
      <c r="N7176" t="inlineStr">
        <is>
          <t>14E¹, 56D³, 7D⁰, 4A⁰, 56I¹¹, 28B⁸, 8A⁰, 56C³, 28B⁴, 28A¹, 1A⁰, 56H¹¹, 7A⁰</t>
        </is>
      </c>
      <c r="O7176" t="inlineStr"/>
    </row>
    <row r="7177">
      <c r="A7177">
        <f>HYPERLINK("https://mathstats.uncg.edu/sites/pauli/congruence/csg22.html#group56I22", "56I²²")</f>
        <v/>
      </c>
      <c r="B7177" t="n">
        <v>22</v>
      </c>
      <c r="C7177" t="inlineStr"/>
      <c r="D7177" t="inlineStr">
        <is>
          <t>336</t>
        </is>
      </c>
      <c r="E7177" t="inlineStr">
        <is>
          <t>2</t>
        </is>
      </c>
      <c r="F7177" t="inlineStr">
        <is>
          <t>168</t>
        </is>
      </c>
      <c r="G7177" t="inlineStr">
        <is>
          <t>8</t>
        </is>
      </c>
      <c r="H7177" t="inlineStr">
        <is>
          <t>6</t>
        </is>
      </c>
      <c r="I7177" t="inlineStr">
        <is>
          <t>56⁶</t>
        </is>
      </c>
      <c r="J7177" t="n">
        <v>6</v>
      </c>
      <c r="K7177" t="inlineStr">
        <is>
          <t>24²⁸</t>
        </is>
      </c>
      <c r="L7177" t="inlineStr">
        <is>
          <t>28D⁹</t>
        </is>
      </c>
      <c r="M7177" t="inlineStr"/>
      <c r="N7177" t="inlineStr">
        <is>
          <t>14A⁰, 28D⁹, 14F¹, 1A⁰, 7A⁰</t>
        </is>
      </c>
      <c r="O7177" t="inlineStr"/>
    </row>
    <row r="7178">
      <c r="A7178">
        <f>HYPERLINK("https://mathstats.uncg.edu/sites/pauli/congruence/csg22.html#group56J22", "56J²²")</f>
        <v/>
      </c>
      <c r="B7178" t="n">
        <v>22</v>
      </c>
      <c r="C7178" t="inlineStr"/>
      <c r="D7178" t="inlineStr">
        <is>
          <t>336</t>
        </is>
      </c>
      <c r="E7178" t="inlineStr">
        <is>
          <t>2</t>
        </is>
      </c>
      <c r="F7178" t="inlineStr">
        <is>
          <t>168</t>
        </is>
      </c>
      <c r="G7178" t="inlineStr">
        <is>
          <t>8</t>
        </is>
      </c>
      <c r="H7178" t="inlineStr">
        <is>
          <t>6</t>
        </is>
      </c>
      <c r="I7178" t="inlineStr">
        <is>
          <t>56⁶</t>
        </is>
      </c>
      <c r="J7178" t="n">
        <v>6</v>
      </c>
      <c r="K7178" t="inlineStr">
        <is>
          <t>24²⁸</t>
        </is>
      </c>
      <c r="L7178" t="inlineStr">
        <is>
          <t>28D⁹</t>
        </is>
      </c>
      <c r="M7178" t="inlineStr"/>
      <c r="N7178" t="inlineStr">
        <is>
          <t>14A⁰, 28D⁹, 14F¹, 1A⁰, 7A⁰</t>
        </is>
      </c>
      <c r="O7178" t="inlineStr"/>
    </row>
    <row r="7179">
      <c r="A7179">
        <f>HYPERLINK("https://mathstats.uncg.edu/sites/pauli/congruence/csg22.html#group56K22", "56K²²")</f>
        <v/>
      </c>
      <c r="B7179" t="n">
        <v>22</v>
      </c>
      <c r="C7179" t="inlineStr"/>
      <c r="D7179" t="inlineStr">
        <is>
          <t>336</t>
        </is>
      </c>
      <c r="E7179" t="inlineStr">
        <is>
          <t>2</t>
        </is>
      </c>
      <c r="F7179" t="inlineStr">
        <is>
          <t>168</t>
        </is>
      </c>
      <c r="G7179" t="inlineStr">
        <is>
          <t>8</t>
        </is>
      </c>
      <c r="H7179" t="inlineStr">
        <is>
          <t>6</t>
        </is>
      </c>
      <c r="I7179" t="inlineStr">
        <is>
          <t>56⁶</t>
        </is>
      </c>
      <c r="J7179" t="n">
        <v>6</v>
      </c>
      <c r="K7179" t="inlineStr">
        <is>
          <t>24²⁸</t>
        </is>
      </c>
      <c r="L7179" t="inlineStr">
        <is>
          <t>56F⁶, 28E⁹</t>
        </is>
      </c>
      <c r="M7179" t="inlineStr"/>
      <c r="N7179" t="inlineStr">
        <is>
          <t>28E², 28E⁹, 14A⁰, 14F¹, 4A⁰, 8A⁰, 56C³, 28A¹, 1A⁰, 56F⁶, 7A⁰, 56A³</t>
        </is>
      </c>
      <c r="O7179" t="inlineStr"/>
    </row>
    <row r="7180">
      <c r="A7180">
        <f>HYPERLINK("https://mathstats.uncg.edu/sites/pauli/congruence/csg22.html#group56L22", "56L²²")</f>
        <v/>
      </c>
      <c r="B7180" t="n">
        <v>22</v>
      </c>
      <c r="C7180" t="inlineStr"/>
      <c r="D7180" t="inlineStr">
        <is>
          <t>336</t>
        </is>
      </c>
      <c r="E7180" t="inlineStr">
        <is>
          <t>2</t>
        </is>
      </c>
      <c r="F7180" t="inlineStr">
        <is>
          <t>168</t>
        </is>
      </c>
      <c r="G7180" t="inlineStr">
        <is>
          <t>8</t>
        </is>
      </c>
      <c r="H7180" t="inlineStr">
        <is>
          <t>6</t>
        </is>
      </c>
      <c r="I7180" t="inlineStr">
        <is>
          <t>56⁶</t>
        </is>
      </c>
      <c r="J7180" t="n">
        <v>6</v>
      </c>
      <c r="K7180" t="inlineStr">
        <is>
          <t>24²⁸</t>
        </is>
      </c>
      <c r="L7180" t="inlineStr">
        <is>
          <t>56G⁶, 28E⁹</t>
        </is>
      </c>
      <c r="M7180" t="inlineStr"/>
      <c r="N7180" t="inlineStr">
        <is>
          <t>28E², 28E⁹, 14A⁰, 56D³, 14F¹, 56B³, 4A⁰, 8A⁰, 28A¹, 1A⁰, 56G⁶, 7A⁰</t>
        </is>
      </c>
      <c r="O7180" t="inlineStr"/>
    </row>
    <row r="7181">
      <c r="A7181">
        <f>HYPERLINK("https://mathstats.uncg.edu/sites/pauli/congruence/csg22.html#group58A22", "58A²²")</f>
        <v/>
      </c>
      <c r="B7181" t="n">
        <v>22</v>
      </c>
      <c r="C7181" t="inlineStr"/>
      <c r="D7181" t="inlineStr">
        <is>
          <t>420</t>
        </is>
      </c>
      <c r="E7181" t="inlineStr">
        <is>
          <t>1</t>
        </is>
      </c>
      <c r="F7181" t="inlineStr">
        <is>
          <t>30</t>
        </is>
      </c>
      <c r="G7181" t="inlineStr">
        <is>
          <t>28</t>
        </is>
      </c>
      <c r="H7181" t="inlineStr">
        <is>
          <t>0</t>
        </is>
      </c>
      <c r="I7181" t="inlineStr">
        <is>
          <t>2⁷, 58⁷</t>
        </is>
      </c>
      <c r="J7181" t="n">
        <v>14</v>
      </c>
      <c r="K7181" t="inlineStr">
        <is>
          <t>1², 28¹</t>
        </is>
      </c>
      <c r="L7181" t="inlineStr">
        <is>
          <t>58A⁴, 29A⁸</t>
        </is>
      </c>
      <c r="M7181" t="inlineStr"/>
      <c r="N7181" t="inlineStr">
        <is>
          <t>29A⁸, 58A⁴, 1A⁰, 29A²</t>
        </is>
      </c>
      <c r="O7181" t="inlineStr"/>
    </row>
    <row r="7182">
      <c r="A7182">
        <f>HYPERLINK("https://mathstats.uncg.edu/sites/pauli/congruence/csg22.html#group60A22", "60A²²")</f>
        <v/>
      </c>
      <c r="B7182" t="n">
        <v>22</v>
      </c>
      <c r="C7182" t="inlineStr"/>
      <c r="D7182" t="inlineStr">
        <is>
          <t>360</t>
        </is>
      </c>
      <c r="E7182" t="inlineStr">
        <is>
          <t>1</t>
        </is>
      </c>
      <c r="F7182" t="inlineStr">
        <is>
          <t>60</t>
        </is>
      </c>
      <c r="G7182" t="inlineStr">
        <is>
          <t>0</t>
        </is>
      </c>
      <c r="H7182" t="inlineStr">
        <is>
          <t>0</t>
        </is>
      </c>
      <c r="I7182" t="inlineStr">
        <is>
          <t>5⁶, 15⁶, 20³, 60³</t>
        </is>
      </c>
      <c r="J7182" t="n">
        <v>18</v>
      </c>
      <c r="K7182" t="inlineStr">
        <is>
          <t>1⁶, 2³, 4⁶, 8³</t>
        </is>
      </c>
      <c r="L7182" t="inlineStr">
        <is>
          <t>20D⁴, 60C⁸, 30F¹⁰</t>
        </is>
      </c>
      <c r="M7182" t="inlineStr"/>
      <c r="N7182" t="inlineStr">
        <is>
          <t>20A², 20D⁴, 3B⁰, 5A⁰, 30F¹⁰, 10B¹, 2B⁰, 4B⁰, 1A⁰, 15A³, 10I¹, 30D⁴, 60C⁸, 5E⁰, 15B¹, 6F⁰, 12E⁰</t>
        </is>
      </c>
      <c r="O7182" t="inlineStr"/>
    </row>
    <row r="7183">
      <c r="A7183">
        <f>HYPERLINK("https://mathstats.uncg.edu/sites/pauli/congruence/csg22.html#group60B22", "60B²²")</f>
        <v/>
      </c>
      <c r="B7183" t="n">
        <v>22</v>
      </c>
      <c r="C7183" t="inlineStr"/>
      <c r="D7183" t="inlineStr">
        <is>
          <t>360</t>
        </is>
      </c>
      <c r="E7183" t="inlineStr">
        <is>
          <t>1</t>
        </is>
      </c>
      <c r="F7183" t="inlineStr">
        <is>
          <t>60</t>
        </is>
      </c>
      <c r="G7183" t="inlineStr">
        <is>
          <t>24</t>
        </is>
      </c>
      <c r="H7183" t="inlineStr">
        <is>
          <t>0</t>
        </is>
      </c>
      <c r="I7183" t="inlineStr">
        <is>
          <t>60⁶</t>
        </is>
      </c>
      <c r="J7183" t="n">
        <v>6</v>
      </c>
      <c r="K7183" t="inlineStr">
        <is>
          <t>2², 4², 8², 16²</t>
        </is>
      </c>
      <c r="L7183" t="inlineStr">
        <is>
          <t>30E⁴, 60D⁸, 60B¹⁰</t>
        </is>
      </c>
      <c r="M7183" t="inlineStr"/>
      <c r="N7183" t="inlineStr">
        <is>
          <t>5A⁰, 6B⁰, 60D⁸, 15F¹, 12F⁰, 20A¹, 1A⁰, 60A³, 12A⁰, 60B¹⁰, 30E⁴, 30A², 4A⁰, 60A⁴, 5E⁰, 15A⁰, 3A⁰, 15A¹, 20D³</t>
        </is>
      </c>
      <c r="O7183" t="inlineStr"/>
    </row>
    <row r="7184">
      <c r="A7184">
        <f>HYPERLINK("https://mathstats.uncg.edu/sites/pauli/congruence/csg22.html#group60C22", "60C²²")</f>
        <v/>
      </c>
      <c r="B7184" t="n">
        <v>22</v>
      </c>
      <c r="C7184" t="inlineStr"/>
      <c r="D7184" t="inlineStr">
        <is>
          <t>360</t>
        </is>
      </c>
      <c r="E7184" t="inlineStr">
        <is>
          <t>1</t>
        </is>
      </c>
      <c r="F7184" t="inlineStr">
        <is>
          <t>60</t>
        </is>
      </c>
      <c r="G7184" t="inlineStr">
        <is>
          <t>24</t>
        </is>
      </c>
      <c r="H7184" t="inlineStr">
        <is>
          <t>0</t>
        </is>
      </c>
      <c r="I7184" t="inlineStr">
        <is>
          <t>60⁶</t>
        </is>
      </c>
      <c r="J7184" t="n">
        <v>6</v>
      </c>
      <c r="K7184" t="inlineStr">
        <is>
          <t>2², 4², 8⁶</t>
        </is>
      </c>
      <c r="L7184" t="inlineStr">
        <is>
          <t>30F⁴, 20B⁶, 60B¹⁰</t>
        </is>
      </c>
      <c r="M7184" t="inlineStr"/>
      <c r="N7184" t="inlineStr">
        <is>
          <t>5A⁰, 20B⁶, 15F¹, 20A¹, 10E¹, 1A⁰, 60A³, 30F⁴, 12A⁰, 60B¹⁰, 4A⁰, 60A⁴, 5E⁰, 20D³, 3A⁰, 15A¹, 15A⁰</t>
        </is>
      </c>
      <c r="O7184" t="inlineStr"/>
    </row>
    <row r="7185">
      <c r="A7185">
        <f>HYPERLINK("https://mathstats.uncg.edu/sites/pauli/congruence/csg22.html#group60D22", "60D²²")</f>
        <v/>
      </c>
      <c r="B7185" t="n">
        <v>22</v>
      </c>
      <c r="C7185" t="inlineStr"/>
      <c r="D7185" t="inlineStr">
        <is>
          <t>360</t>
        </is>
      </c>
      <c r="E7185" t="inlineStr">
        <is>
          <t>1</t>
        </is>
      </c>
      <c r="F7185" t="inlineStr">
        <is>
          <t>180</t>
        </is>
      </c>
      <c r="G7185" t="inlineStr">
        <is>
          <t>0</t>
        </is>
      </c>
      <c r="H7185" t="inlineStr">
        <is>
          <t>0</t>
        </is>
      </c>
      <c r="I7185" t="inlineStr">
        <is>
          <t>5⁶, 15⁶, 20³, 60³</t>
        </is>
      </c>
      <c r="J7185" t="n">
        <v>18</v>
      </c>
      <c r="K7185" t="inlineStr">
        <is>
          <t>1⁶, 2⁹, 4²¹, 8⁹</t>
        </is>
      </c>
      <c r="L7185" t="inlineStr">
        <is>
          <t>20P³, 30F¹⁰</t>
        </is>
      </c>
      <c r="M7185" t="inlineStr"/>
      <c r="N7185" t="inlineStr">
        <is>
          <t>3B⁰, 5A⁰, 30F¹⁰, 10B¹, 2B⁰, 1A⁰, 15A³, 10I¹, 30D⁴, 5E⁰, 20P³, 15B¹, 6F⁰</t>
        </is>
      </c>
      <c r="O7185" t="inlineStr"/>
    </row>
    <row r="7186">
      <c r="A7186">
        <f>HYPERLINK("https://mathstats.uncg.edu/sites/pauli/congruence/csg22.html#group63A22", "63A²²")</f>
        <v/>
      </c>
      <c r="B7186" t="n">
        <v>22</v>
      </c>
      <c r="C7186" t="inlineStr"/>
      <c r="D7186" t="inlineStr">
        <is>
          <t>378</t>
        </is>
      </c>
      <c r="E7186" t="inlineStr">
        <is>
          <t>1</t>
        </is>
      </c>
      <c r="F7186" t="inlineStr">
        <is>
          <t>63</t>
        </is>
      </c>
      <c r="G7186" t="inlineStr">
        <is>
          <t>30</t>
        </is>
      </c>
      <c r="H7186" t="inlineStr">
        <is>
          <t>0</t>
        </is>
      </c>
      <c r="I7186" t="inlineStr">
        <is>
          <t>63⁶</t>
        </is>
      </c>
      <c r="J7186" t="n">
        <v>6</v>
      </c>
      <c r="K7186" t="inlineStr">
        <is>
          <t>3¹, 6⁴, 12³</t>
        </is>
      </c>
      <c r="L7186" t="inlineStr">
        <is>
          <t>21C⁶, 63E⁶, 63D⁹</t>
        </is>
      </c>
      <c r="M7186" t="inlineStr"/>
      <c r="N7186" t="inlineStr">
        <is>
          <t>21D², 63D⁹, 21C⁶, 9D⁰, 7D⁰, 21E¹, 9A⁰, 63A², 63E⁶, 21A⁰, 3C⁰, 3A⁰, 1A⁰, 7A⁰</t>
        </is>
      </c>
      <c r="O7186" t="inlineStr"/>
    </row>
    <row r="7187">
      <c r="A7187">
        <f>HYPERLINK("https://mathstats.uncg.edu/sites/pauli/congruence/csg22.html#group63B22", "63B²²")</f>
        <v/>
      </c>
      <c r="B7187" t="n">
        <v>22</v>
      </c>
      <c r="C7187" t="inlineStr"/>
      <c r="D7187" t="inlineStr">
        <is>
          <t>378</t>
        </is>
      </c>
      <c r="E7187" t="inlineStr">
        <is>
          <t>2</t>
        </is>
      </c>
      <c r="F7187" t="inlineStr">
        <is>
          <t>63</t>
        </is>
      </c>
      <c r="G7187" t="inlineStr">
        <is>
          <t>30</t>
        </is>
      </c>
      <c r="H7187" t="inlineStr">
        <is>
          <t>0</t>
        </is>
      </c>
      <c r="I7187" t="inlineStr">
        <is>
          <t>63⁶</t>
        </is>
      </c>
      <c r="J7187" t="n">
        <v>6</v>
      </c>
      <c r="K7187" t="inlineStr">
        <is>
          <t>2¹, 4¹, 6², 12³, 36²</t>
        </is>
      </c>
      <c r="L7187" t="inlineStr">
        <is>
          <t>21E⁴, 63A⁸, 63D⁹</t>
        </is>
      </c>
      <c r="M7187" t="inlineStr"/>
      <c r="N7187" t="inlineStr">
        <is>
          <t>7D⁰, 21C², 21A⁰, 7G⁰, 1A⁰, 63A², 63A⁸, 63D⁹, 21E¹, 9A⁰, 7C⁰, 21C¹, 3A⁰, 21E⁴, 7A⁰</t>
        </is>
      </c>
      <c r="O7187" t="inlineStr"/>
    </row>
    <row r="7188">
      <c r="A7188">
        <f>HYPERLINK("https://mathstats.uncg.edu/sites/pauli/congruence/csg22.html#group64A22", "64A²²")</f>
        <v/>
      </c>
      <c r="B7188" t="n">
        <v>22</v>
      </c>
      <c r="C7188" t="inlineStr"/>
      <c r="D7188" t="inlineStr">
        <is>
          <t>384</t>
        </is>
      </c>
      <c r="E7188" t="inlineStr">
        <is>
          <t>1</t>
        </is>
      </c>
      <c r="F7188" t="inlineStr">
        <is>
          <t>96</t>
        </is>
      </c>
      <c r="G7188" t="inlineStr">
        <is>
          <t>4</t>
        </is>
      </c>
      <c r="H7188" t="inlineStr">
        <is>
          <t>0</t>
        </is>
      </c>
      <c r="I7188" t="inlineStr">
        <is>
          <t>8¹⁶, 64⁴</t>
        </is>
      </c>
      <c r="J7188" t="n">
        <v>20</v>
      </c>
      <c r="K7188" t="inlineStr">
        <is>
          <t>2², 4³, 8², 16⁴</t>
        </is>
      </c>
      <c r="L7188" t="inlineStr">
        <is>
          <t>64G⁹, 64H⁹, 32B¹⁰</t>
        </is>
      </c>
      <c r="M7188" t="inlineStr"/>
      <c r="N7188" t="inlineStr">
        <is>
          <t>32I⁵, 64G⁹, 16I¹, 8D⁰, 4C⁰, 8B⁰, 8A⁰, 2B⁰, 1A⁰, 8K⁰, 8D¹, 8H¹, 16E², 8H⁰, 16E⁰, 16B⁴, 16D¹, 4A⁰, 32B¹⁰, 16C¹, 4F⁰, 64H⁹, 32P³</t>
        </is>
      </c>
      <c r="O7188" t="inlineStr"/>
    </row>
    <row r="7189">
      <c r="A7189">
        <f>HYPERLINK("https://mathstats.uncg.edu/sites/pauli/congruence/csg22.html#group64B22", "64B²²")</f>
        <v/>
      </c>
      <c r="B7189" t="n">
        <v>22</v>
      </c>
      <c r="C7189" t="inlineStr"/>
      <c r="D7189" t="inlineStr">
        <is>
          <t>384</t>
        </is>
      </c>
      <c r="E7189" t="inlineStr">
        <is>
          <t>1</t>
        </is>
      </c>
      <c r="F7189" t="inlineStr">
        <is>
          <t>96</t>
        </is>
      </c>
      <c r="G7189" t="inlineStr">
        <is>
          <t>4</t>
        </is>
      </c>
      <c r="H7189" t="inlineStr">
        <is>
          <t>0</t>
        </is>
      </c>
      <c r="I7189" t="inlineStr">
        <is>
          <t>8¹⁶, 64⁴</t>
        </is>
      </c>
      <c r="J7189" t="n">
        <v>20</v>
      </c>
      <c r="K7189" t="inlineStr">
        <is>
          <t>2², 4³, 8², 16⁴</t>
        </is>
      </c>
      <c r="L7189" t="inlineStr">
        <is>
          <t>64G⁹, 64H⁹, 32B¹⁰</t>
        </is>
      </c>
      <c r="M7189" t="inlineStr"/>
      <c r="N7189" t="inlineStr">
        <is>
          <t>32I⁵, 64G⁹, 16I¹, 8D⁰, 4C⁰, 8B⁰, 8A⁰, 2B⁰, 1A⁰, 8K⁰, 8D¹, 8H¹, 16E², 8H⁰, 16E⁰, 16B⁴, 16D¹, 4A⁰, 32B¹⁰, 16C¹, 4F⁰, 64H⁹, 32P³</t>
        </is>
      </c>
      <c r="O7189" t="inlineStr"/>
    </row>
    <row r="7190">
      <c r="A7190">
        <f>HYPERLINK("https://mathstats.uncg.edu/sites/pauli/congruence/csg22.html#group66A22", "66A²²")</f>
        <v/>
      </c>
      <c r="B7190" t="n">
        <v>22</v>
      </c>
      <c r="C7190" t="inlineStr"/>
      <c r="D7190" t="inlineStr">
        <is>
          <t>330</t>
        </is>
      </c>
      <c r="E7190" t="inlineStr">
        <is>
          <t>1</t>
        </is>
      </c>
      <c r="F7190" t="inlineStr">
        <is>
          <t>55</t>
        </is>
      </c>
      <c r="G7190" t="inlineStr">
        <is>
          <t>0</t>
        </is>
      </c>
      <c r="H7190" t="inlineStr">
        <is>
          <t>12</t>
        </is>
      </c>
      <c r="I7190" t="inlineStr">
        <is>
          <t>66⁵</t>
        </is>
      </c>
      <c r="J7190" t="n">
        <v>5</v>
      </c>
      <c r="K7190" t="inlineStr">
        <is>
          <t>10¹, 20⁵</t>
        </is>
      </c>
      <c r="L7190" t="inlineStr">
        <is>
          <t>22B⁵, 33A⁸</t>
        </is>
      </c>
      <c r="M7190" t="inlineStr"/>
      <c r="N7190" t="inlineStr">
        <is>
          <t>11A⁰, 2A⁰, 1A⁰, 22A¹, 33A⁸, 11B¹, 22B⁵</t>
        </is>
      </c>
      <c r="O7190" t="inlineStr"/>
    </row>
    <row r="7191">
      <c r="A7191">
        <f>HYPERLINK("https://mathstats.uncg.edu/sites/pauli/congruence/csg22.html#group66B22", "66B²²")</f>
        <v/>
      </c>
      <c r="B7191" t="n">
        <v>22</v>
      </c>
      <c r="C7191" t="inlineStr"/>
      <c r="D7191" t="inlineStr">
        <is>
          <t>330</t>
        </is>
      </c>
      <c r="E7191" t="inlineStr">
        <is>
          <t>1</t>
        </is>
      </c>
      <c r="F7191" t="inlineStr">
        <is>
          <t>55</t>
        </is>
      </c>
      <c r="G7191" t="inlineStr">
        <is>
          <t>0</t>
        </is>
      </c>
      <c r="H7191" t="inlineStr">
        <is>
          <t>12</t>
        </is>
      </c>
      <c r="I7191" t="inlineStr">
        <is>
          <t>66⁵</t>
        </is>
      </c>
      <c r="J7191" t="n">
        <v>5</v>
      </c>
      <c r="K7191" t="inlineStr">
        <is>
          <t>10¹, 20⁵</t>
        </is>
      </c>
      <c r="L7191" t="inlineStr">
        <is>
          <t>22B⁵, 33B⁸</t>
        </is>
      </c>
      <c r="M7191" t="inlineStr"/>
      <c r="N7191" t="inlineStr">
        <is>
          <t>11A⁰, 2A⁰, 1A⁰, 22A¹, 11B¹, 22B⁵, 33B⁸</t>
        </is>
      </c>
      <c r="O7191" t="inlineStr"/>
    </row>
    <row r="7192">
      <c r="A7192">
        <f>HYPERLINK("https://mathstats.uncg.edu/sites/pauli/congruence/csg22.html#group66C22", "66C²²")</f>
        <v/>
      </c>
      <c r="B7192" t="n">
        <v>22</v>
      </c>
      <c r="C7192" t="inlineStr"/>
      <c r="D7192" t="inlineStr">
        <is>
          <t>330</t>
        </is>
      </c>
      <c r="E7192" t="inlineStr">
        <is>
          <t>1</t>
        </is>
      </c>
      <c r="F7192" t="inlineStr">
        <is>
          <t>110</t>
        </is>
      </c>
      <c r="G7192" t="inlineStr">
        <is>
          <t>0</t>
        </is>
      </c>
      <c r="H7192" t="inlineStr">
        <is>
          <t>12</t>
        </is>
      </c>
      <c r="I7192" t="inlineStr">
        <is>
          <t>66⁵</t>
        </is>
      </c>
      <c r="J7192" t="n">
        <v>5</v>
      </c>
      <c r="K7192" t="inlineStr">
        <is>
          <t>10¹, 20⁵</t>
        </is>
      </c>
      <c r="L7192" t="inlineStr">
        <is>
          <t>66A⁴, 22B⁵</t>
        </is>
      </c>
      <c r="M7192" t="inlineStr"/>
      <c r="N7192" t="inlineStr">
        <is>
          <t>11A⁰, 2A⁰, 22A¹, 6A⁰, 22B⁵, 66A⁴, 11B¹, 1A⁰</t>
        </is>
      </c>
      <c r="O7192" t="inlineStr"/>
    </row>
    <row r="7193">
      <c r="A7193">
        <f>HYPERLINK("https://mathstats.uncg.edu/sites/pauli/congruence/csg22.html#group66D22", "66D²²")</f>
        <v/>
      </c>
      <c r="B7193" t="n">
        <v>22</v>
      </c>
      <c r="C7193" t="inlineStr"/>
      <c r="D7193" t="inlineStr">
        <is>
          <t>330</t>
        </is>
      </c>
      <c r="E7193" t="inlineStr">
        <is>
          <t>1</t>
        </is>
      </c>
      <c r="F7193" t="inlineStr">
        <is>
          <t>165</t>
        </is>
      </c>
      <c r="G7193" t="inlineStr">
        <is>
          <t>16</t>
        </is>
      </c>
      <c r="H7193" t="inlineStr">
        <is>
          <t>0</t>
        </is>
      </c>
      <c r="I7193" t="inlineStr">
        <is>
          <t>66⁵</t>
        </is>
      </c>
      <c r="J7193" t="n">
        <v>5</v>
      </c>
      <c r="K7193" t="inlineStr">
        <is>
          <t>5¹, 10⁶, 20⁵</t>
        </is>
      </c>
      <c r="L7193" t="inlineStr">
        <is>
          <t>33A⁷</t>
        </is>
      </c>
      <c r="M7193" t="inlineStr"/>
      <c r="N7193" t="inlineStr">
        <is>
          <t>3A⁰, 11C¹, 33A⁷, 1A⁰</t>
        </is>
      </c>
      <c r="O7193" t="inlineStr"/>
    </row>
    <row r="7194">
      <c r="A7194">
        <f>HYPERLINK("https://mathstats.uncg.edu/sites/pauli/congruence/csg22.html#group66E22", "66E²²")</f>
        <v/>
      </c>
      <c r="B7194" t="n">
        <v>22</v>
      </c>
      <c r="C7194" t="inlineStr"/>
      <c r="D7194" t="inlineStr">
        <is>
          <t>396</t>
        </is>
      </c>
      <c r="E7194" t="inlineStr">
        <is>
          <t>1</t>
        </is>
      </c>
      <c r="F7194" t="inlineStr">
        <is>
          <t>66</t>
        </is>
      </c>
      <c r="G7194" t="inlineStr">
        <is>
          <t>36</t>
        </is>
      </c>
      <c r="H7194" t="inlineStr">
        <is>
          <t>0</t>
        </is>
      </c>
      <c r="I7194" t="inlineStr">
        <is>
          <t>66⁶</t>
        </is>
      </c>
      <c r="J7194" t="n">
        <v>6</v>
      </c>
      <c r="K7194" t="inlineStr">
        <is>
          <t>1¹, 5¹, 10⁶</t>
        </is>
      </c>
      <c r="L7194" t="inlineStr">
        <is>
          <t>22B⁶, 33C¹⁰</t>
        </is>
      </c>
      <c r="M7194" t="inlineStr"/>
      <c r="N7194" t="inlineStr">
        <is>
          <t>33C¹⁰, 11A⁰, 11A², 22B⁶, 3A⁰, 1A⁰, 33A¹</t>
        </is>
      </c>
      <c r="O7194" t="inlineStr"/>
    </row>
    <row r="7195">
      <c r="A7195">
        <f>HYPERLINK("https://mathstats.uncg.edu/sites/pauli/congruence/csg22.html#group70A22", "70A²²")</f>
        <v/>
      </c>
      <c r="B7195" t="n">
        <v>22</v>
      </c>
      <c r="C7195" t="inlineStr"/>
      <c r="D7195" t="inlineStr">
        <is>
          <t>315</t>
        </is>
      </c>
      <c r="E7195" t="inlineStr">
        <is>
          <t>2</t>
        </is>
      </c>
      <c r="F7195" t="inlineStr">
        <is>
          <t>105</t>
        </is>
      </c>
      <c r="G7195" t="inlineStr">
        <is>
          <t>9</t>
        </is>
      </c>
      <c r="H7195" t="inlineStr">
        <is>
          <t>0</t>
        </is>
      </c>
      <c r="I7195" t="inlineStr">
        <is>
          <t>35³, 70³</t>
        </is>
      </c>
      <c r="J7195" t="n">
        <v>6</v>
      </c>
      <c r="K7195" t="inlineStr">
        <is>
          <t>2³, 6⁶, 8³, 24⁶</t>
        </is>
      </c>
      <c r="L7195" t="inlineStr">
        <is>
          <t>10I¹, 35B⁶, 70A⁸</t>
        </is>
      </c>
      <c r="M7195" t="inlineStr"/>
      <c r="N7195" t="inlineStr">
        <is>
          <t>5A⁰, 10I¹, 14B¹, 10B¹, 70A⁸, 5E⁰, 2B⁰, 35B⁶, 1A⁰, 35A², 7A⁰</t>
        </is>
      </c>
      <c r="O7195" t="inlineStr"/>
    </row>
    <row r="7196">
      <c r="A7196">
        <f>HYPERLINK("https://mathstats.uncg.edu/sites/pauli/congruence/csg22.html#group72A22", "72A²²")</f>
        <v/>
      </c>
      <c r="B7196" t="n">
        <v>22</v>
      </c>
      <c r="C7196" t="inlineStr"/>
      <c r="D7196" t="inlineStr">
        <is>
          <t>288</t>
        </is>
      </c>
      <c r="E7196" t="inlineStr">
        <is>
          <t>1</t>
        </is>
      </c>
      <c r="F7196" t="inlineStr">
        <is>
          <t>48</t>
        </is>
      </c>
      <c r="G7196" t="inlineStr">
        <is>
          <t>0</t>
        </is>
      </c>
      <c r="H7196" t="inlineStr">
        <is>
          <t>0</t>
        </is>
      </c>
      <c r="I7196" t="inlineStr">
        <is>
          <t>24³, 72³</t>
        </is>
      </c>
      <c r="J7196" t="n">
        <v>6</v>
      </c>
      <c r="K7196" t="inlineStr">
        <is>
          <t>2⁴, 4⁶, 8²</t>
        </is>
      </c>
      <c r="L7196" t="inlineStr">
        <is>
          <t>24B⁶, 72A⁶, 36J¹⁰</t>
        </is>
      </c>
      <c r="M7196" t="inlineStr"/>
      <c r="N7196" t="inlineStr">
        <is>
          <t>3B⁰, 72A⁶, 36J¹⁰, 24A², 12F¹, 4C⁰, 8A⁰, 18D², 2B⁰, 9C⁰, 36A⁵, 1A⁰, 8D¹, 36C³, 4A⁰, 12A¹, 12G², 24B⁶, 4F⁰, 6F⁰</t>
        </is>
      </c>
      <c r="O7196" t="inlineStr"/>
    </row>
    <row r="7197">
      <c r="A7197">
        <f>HYPERLINK("https://mathstats.uncg.edu/sites/pauli/congruence/csg22.html#group72B22", "72B²²")</f>
        <v/>
      </c>
      <c r="B7197" t="n">
        <v>22</v>
      </c>
      <c r="C7197" t="inlineStr"/>
      <c r="D7197" t="inlineStr">
        <is>
          <t>288</t>
        </is>
      </c>
      <c r="E7197" t="inlineStr">
        <is>
          <t>1</t>
        </is>
      </c>
      <c r="F7197" t="inlineStr">
        <is>
          <t>48</t>
        </is>
      </c>
      <c r="G7197" t="inlineStr">
        <is>
          <t>0</t>
        </is>
      </c>
      <c r="H7197" t="inlineStr">
        <is>
          <t>0</t>
        </is>
      </c>
      <c r="I7197" t="inlineStr">
        <is>
          <t>24³, 72³</t>
        </is>
      </c>
      <c r="J7197" t="n">
        <v>6</v>
      </c>
      <c r="K7197" t="inlineStr">
        <is>
          <t>2⁴, 4⁶, 8²</t>
        </is>
      </c>
      <c r="L7197" t="inlineStr">
        <is>
          <t>24B⁶, 72A⁸, 36K¹⁰</t>
        </is>
      </c>
      <c r="M7197" t="inlineStr"/>
      <c r="N7197" t="inlineStr">
        <is>
          <t>3B⁰, 24A², 12F¹, 4C⁰, 18E², 8A⁰, 72A⁸, 36B⁵, 2B⁰, 1A⁰, 36K¹⁰, 8D¹, 4A⁰, 12A¹, 9A¹, 36C⁴, 12G², 24B⁶, 4F⁰, 6F⁰</t>
        </is>
      </c>
      <c r="O7197" t="inlineStr"/>
    </row>
    <row r="7198">
      <c r="A7198">
        <f>HYPERLINK("https://mathstats.uncg.edu/sites/pauli/congruence/csg22.html#group72C22", "72C²²")</f>
        <v/>
      </c>
      <c r="B7198" t="n">
        <v>22</v>
      </c>
      <c r="C7198" t="inlineStr"/>
      <c r="D7198" t="inlineStr">
        <is>
          <t>288</t>
        </is>
      </c>
      <c r="E7198" t="inlineStr">
        <is>
          <t>2</t>
        </is>
      </c>
      <c r="F7198" t="inlineStr">
        <is>
          <t>16</t>
        </is>
      </c>
      <c r="G7198" t="inlineStr">
        <is>
          <t>0</t>
        </is>
      </c>
      <c r="H7198" t="inlineStr">
        <is>
          <t>0</t>
        </is>
      </c>
      <c r="I7198" t="inlineStr">
        <is>
          <t>24³, 72³</t>
        </is>
      </c>
      <c r="J7198" t="n">
        <v>6</v>
      </c>
      <c r="K7198" t="inlineStr">
        <is>
          <t>4⁴, 8²</t>
        </is>
      </c>
      <c r="L7198" t="inlineStr">
        <is>
          <t>72A⁶, 24D⁷, 72A⁷, 72A⁸, 36H¹⁰</t>
        </is>
      </c>
      <c r="M7198" t="inlineStr"/>
      <c r="N7198" t="inlineStr">
        <is>
          <t>36H¹⁰, 24A², 8A⁰, 72A⁸, 24D⁷, 9C⁰, 1A⁰, 72A⁷, 24A¹, 12A¹, 3C⁰, 3A⁰, 36B³, 12G¹, 3B⁰, 72A⁶, 24D³, 12B³, 9B⁰, 24B¹, 36C³, 24E³, 12A⁰, 4A⁰, 9A¹, 9C¹, 36C⁴, 3D⁰</t>
        </is>
      </c>
      <c r="O7198" t="inlineStr"/>
    </row>
    <row r="7199">
      <c r="A7199">
        <f>HYPERLINK("https://mathstats.uncg.edu/sites/pauli/congruence/csg22.html#group72D22", "72D²²")</f>
        <v/>
      </c>
      <c r="B7199" t="n">
        <v>22</v>
      </c>
      <c r="C7199" t="inlineStr"/>
      <c r="D7199" t="inlineStr">
        <is>
          <t>288</t>
        </is>
      </c>
      <c r="E7199" t="inlineStr">
        <is>
          <t>2</t>
        </is>
      </c>
      <c r="F7199" t="inlineStr">
        <is>
          <t>48</t>
        </is>
      </c>
      <c r="G7199" t="inlineStr">
        <is>
          <t>0</t>
        </is>
      </c>
      <c r="H7199" t="inlineStr">
        <is>
          <t>0</t>
        </is>
      </c>
      <c r="I7199" t="inlineStr">
        <is>
          <t>24³, 72³</t>
        </is>
      </c>
      <c r="J7199" t="n">
        <v>6</v>
      </c>
      <c r="K7199" t="inlineStr">
        <is>
          <t>4⁴, 8⁴, 24²</t>
        </is>
      </c>
      <c r="L7199" t="inlineStr">
        <is>
          <t>72A⁸, 36L¹⁰</t>
        </is>
      </c>
      <c r="M7199" t="inlineStr"/>
      <c r="N7199" t="inlineStr">
        <is>
          <t>3B⁰, 24A², 4A⁰, 12A¹, 9A¹, 36L¹⁰, 8A⁰, 72A⁸, 36C⁴, 9D¹, 1A⁰</t>
        </is>
      </c>
      <c r="O7199" t="inlineStr"/>
    </row>
    <row r="7200">
      <c r="A7200">
        <f>HYPERLINK("https://mathstats.uncg.edu/sites/pauli/congruence/csg22.html#group72E22", "72E²²")</f>
        <v/>
      </c>
      <c r="B7200" t="n">
        <v>22</v>
      </c>
      <c r="C7200" t="inlineStr"/>
      <c r="D7200" t="inlineStr">
        <is>
          <t>324</t>
        </is>
      </c>
      <c r="E7200" t="inlineStr">
        <is>
          <t>1</t>
        </is>
      </c>
      <c r="F7200" t="inlineStr">
        <is>
          <t>81</t>
        </is>
      </c>
      <c r="G7200" t="inlineStr">
        <is>
          <t>12</t>
        </is>
      </c>
      <c r="H7200" t="inlineStr">
        <is>
          <t>0</t>
        </is>
      </c>
      <c r="I7200" t="inlineStr">
        <is>
          <t>36³, 72³</t>
        </is>
      </c>
      <c r="J7200" t="n">
        <v>6</v>
      </c>
      <c r="K7200" t="inlineStr">
        <is>
          <t>3³, 6¹²</t>
        </is>
      </c>
      <c r="L7200" t="inlineStr">
        <is>
          <t>8B⁰, 36O¹⁰</t>
        </is>
      </c>
      <c r="M7200" t="inlineStr"/>
      <c r="N7200" t="inlineStr">
        <is>
          <t>36O¹⁰, 4C⁰, 18K⁴, 8B⁰, 2B⁰, 9F⁰, 1A⁰</t>
        </is>
      </c>
      <c r="O7200" t="inlineStr"/>
    </row>
    <row r="7201">
      <c r="A7201">
        <f>HYPERLINK("https://mathstats.uncg.edu/sites/pauli/congruence/csg22.html#group72F22", "72F²²")</f>
        <v/>
      </c>
      <c r="B7201" t="n">
        <v>22</v>
      </c>
      <c r="C7201" t="inlineStr"/>
      <c r="D7201" t="inlineStr">
        <is>
          <t>324</t>
        </is>
      </c>
      <c r="E7201" t="inlineStr">
        <is>
          <t>1</t>
        </is>
      </c>
      <c r="F7201" t="inlineStr">
        <is>
          <t>162</t>
        </is>
      </c>
      <c r="G7201" t="inlineStr">
        <is>
          <t>0</t>
        </is>
      </c>
      <c r="H7201" t="inlineStr">
        <is>
          <t>0</t>
        </is>
      </c>
      <c r="I7201" t="inlineStr">
        <is>
          <t>9⁶, 18³, 72³</t>
        </is>
      </c>
      <c r="J7201" t="n">
        <v>12</v>
      </c>
      <c r="K7201" t="inlineStr">
        <is>
          <t>3⁴, 6¹⁷, 12⁴</t>
        </is>
      </c>
      <c r="L7201" t="inlineStr">
        <is>
          <t>8C⁰, 36M¹⁰</t>
        </is>
      </c>
      <c r="M7201" t="inlineStr"/>
      <c r="N7201" t="inlineStr">
        <is>
          <t>8C⁰, 2B⁰, 4B⁰, 9F⁰, 1A⁰, 36M¹⁰, 18K⁴</t>
        </is>
      </c>
      <c r="O7201" t="inlineStr"/>
    </row>
    <row r="7202">
      <c r="A7202">
        <f>HYPERLINK("https://mathstats.uncg.edu/sites/pauli/congruence/csg22.html#group72G22", "72G²²")</f>
        <v/>
      </c>
      <c r="B7202" t="n">
        <v>22</v>
      </c>
      <c r="C7202" t="inlineStr"/>
      <c r="D7202" t="inlineStr">
        <is>
          <t>324</t>
        </is>
      </c>
      <c r="E7202" t="inlineStr">
        <is>
          <t>1</t>
        </is>
      </c>
      <c r="F7202" t="inlineStr">
        <is>
          <t>162</t>
        </is>
      </c>
      <c r="G7202" t="inlineStr">
        <is>
          <t>0</t>
        </is>
      </c>
      <c r="H7202" t="inlineStr">
        <is>
          <t>0</t>
        </is>
      </c>
      <c r="I7202" t="inlineStr">
        <is>
          <t>9⁶, 18³, 72³</t>
        </is>
      </c>
      <c r="J7202" t="n">
        <v>12</v>
      </c>
      <c r="K7202" t="inlineStr">
        <is>
          <t>3⁴, 6¹⁷, 12⁴</t>
        </is>
      </c>
      <c r="L7202" t="inlineStr">
        <is>
          <t>72B⁸, 36N¹⁰</t>
        </is>
      </c>
      <c r="M7202" t="inlineStr"/>
      <c r="N7202" t="inlineStr">
        <is>
          <t>24B², 36N¹⁰, 4B⁰, 18J³, 9A⁰, 72B⁸, 9G⁰, 36D⁴, 12B¹, 2B⁰, 8C⁰, 18E¹, 3A⁰, 1A⁰, 6D⁰</t>
        </is>
      </c>
      <c r="O7202" t="inlineStr"/>
    </row>
    <row r="7203">
      <c r="A7203">
        <f>HYPERLINK("https://mathstats.uncg.edu/sites/pauli/congruence/csg22.html#group72H22", "72H²²")</f>
        <v/>
      </c>
      <c r="B7203" t="n">
        <v>22</v>
      </c>
      <c r="C7203" t="inlineStr"/>
      <c r="D7203" t="inlineStr">
        <is>
          <t>324</t>
        </is>
      </c>
      <c r="E7203" t="inlineStr">
        <is>
          <t>1</t>
        </is>
      </c>
      <c r="F7203" t="inlineStr">
        <is>
          <t>162</t>
        </is>
      </c>
      <c r="G7203" t="inlineStr">
        <is>
          <t>0</t>
        </is>
      </c>
      <c r="H7203" t="inlineStr">
        <is>
          <t>0</t>
        </is>
      </c>
      <c r="I7203" t="inlineStr">
        <is>
          <t>9⁶, 18³, 72³</t>
        </is>
      </c>
      <c r="J7203" t="n">
        <v>12</v>
      </c>
      <c r="K7203" t="inlineStr">
        <is>
          <t>3⁴, 6¹⁷, 12⁴</t>
        </is>
      </c>
      <c r="L7203" t="inlineStr">
        <is>
          <t>72E⁸, 36N¹⁰</t>
        </is>
      </c>
      <c r="M7203" t="inlineStr"/>
      <c r="N7203" t="inlineStr">
        <is>
          <t>72E⁸, 36N¹⁰, 4B⁰, 18J³, 9A⁰, 9G⁰, 36D⁴, 24D², 12B¹, 2B⁰, 18E¹, 3A⁰, 1A⁰, 6D⁰</t>
        </is>
      </c>
      <c r="O7203" t="inlineStr"/>
    </row>
    <row r="7204">
      <c r="A7204">
        <f>HYPERLINK("https://mathstats.uncg.edu/sites/pauli/congruence/csg22.html#group72I22", "72I²²")</f>
        <v/>
      </c>
      <c r="B7204" t="n">
        <v>22</v>
      </c>
      <c r="C7204" t="inlineStr"/>
      <c r="D7204" t="inlineStr">
        <is>
          <t>324</t>
        </is>
      </c>
      <c r="E7204" t="inlineStr">
        <is>
          <t>1</t>
        </is>
      </c>
      <c r="F7204" t="inlineStr">
        <is>
          <t>162</t>
        </is>
      </c>
      <c r="G7204" t="inlineStr">
        <is>
          <t>6</t>
        </is>
      </c>
      <c r="H7204" t="inlineStr">
        <is>
          <t>0</t>
        </is>
      </c>
      <c r="I7204" t="inlineStr">
        <is>
          <t>18⁶, 72³</t>
        </is>
      </c>
      <c r="J7204" t="n">
        <v>9</v>
      </c>
      <c r="K7204" t="inlineStr">
        <is>
          <t>3², 6¹⁰, 12⁸</t>
        </is>
      </c>
      <c r="L7204" t="inlineStr">
        <is>
          <t>8D⁰, 36O¹⁰</t>
        </is>
      </c>
      <c r="M7204" t="inlineStr"/>
      <c r="N7204" t="inlineStr">
        <is>
          <t>8D⁰, 36O¹⁰, 4C⁰, 18K⁴, 2B⁰, 9F⁰, 1A⁰</t>
        </is>
      </c>
      <c r="O7204" t="inlineStr"/>
    </row>
    <row r="7205">
      <c r="A7205">
        <f>HYPERLINK("https://mathstats.uncg.edu/sites/pauli/congruence/csg22.html#group72J22", "72J²²")</f>
        <v/>
      </c>
      <c r="B7205" t="n">
        <v>22</v>
      </c>
      <c r="C7205" t="inlineStr"/>
      <c r="D7205" t="inlineStr">
        <is>
          <t>324</t>
        </is>
      </c>
      <c r="E7205" t="inlineStr">
        <is>
          <t>2</t>
        </is>
      </c>
      <c r="F7205" t="inlineStr">
        <is>
          <t>81</t>
        </is>
      </c>
      <c r="G7205" t="inlineStr">
        <is>
          <t>12</t>
        </is>
      </c>
      <c r="H7205" t="inlineStr">
        <is>
          <t>0</t>
        </is>
      </c>
      <c r="I7205" t="inlineStr">
        <is>
          <t>36³, 72³</t>
        </is>
      </c>
      <c r="J7205" t="n">
        <v>6</v>
      </c>
      <c r="K7205" t="inlineStr">
        <is>
          <t>6²⁷</t>
        </is>
      </c>
      <c r="L7205" t="inlineStr">
        <is>
          <t>72B⁶, 36L⁸, 72D⁸</t>
        </is>
      </c>
      <c r="M7205" t="inlineStr"/>
      <c r="N7205" t="inlineStr">
        <is>
          <t>12C⁰, 36L⁸, 9A⁰, 36B², 4C⁰, 18J³, 18E¹, 9G⁰, 72D⁸, 2B⁰, 24C², 72B⁶, 3A⁰, 1A⁰, 6D⁰</t>
        </is>
      </c>
      <c r="O7205" t="inlineStr"/>
    </row>
    <row r="7206">
      <c r="A7206">
        <f>HYPERLINK("https://mathstats.uncg.edu/sites/pauli/congruence/csg22.html#group72K22", "72K²²")</f>
        <v/>
      </c>
      <c r="B7206" t="n">
        <v>22</v>
      </c>
      <c r="C7206" t="inlineStr"/>
      <c r="D7206" t="inlineStr">
        <is>
          <t>324</t>
        </is>
      </c>
      <c r="E7206" t="inlineStr">
        <is>
          <t>2</t>
        </is>
      </c>
      <c r="F7206" t="inlineStr">
        <is>
          <t>162</t>
        </is>
      </c>
      <c r="G7206" t="inlineStr">
        <is>
          <t>0</t>
        </is>
      </c>
      <c r="H7206" t="inlineStr">
        <is>
          <t>0</t>
        </is>
      </c>
      <c r="I7206" t="inlineStr">
        <is>
          <t>9⁶, 18³, 72³</t>
        </is>
      </c>
      <c r="J7206" t="n">
        <v>12</v>
      </c>
      <c r="K7206" t="inlineStr">
        <is>
          <t>6³⁶, 12⁹</t>
        </is>
      </c>
      <c r="L7206" t="inlineStr">
        <is>
          <t>72C⁸, 72E⁸, 36N¹⁰</t>
        </is>
      </c>
      <c r="M7206" t="inlineStr"/>
      <c r="N7206" t="inlineStr">
        <is>
          <t>72E⁸, 36N¹⁰, 4B⁰, 72C⁸, 18J³, 9A⁰, 9G⁰, 36D⁴, 24D², 12B¹, 2B⁰, 18E¹, 3A⁰, 1A⁰, 6D⁰</t>
        </is>
      </c>
      <c r="O7206" t="inlineStr"/>
    </row>
    <row r="7207">
      <c r="A7207">
        <f>HYPERLINK("https://mathstats.uncg.edu/sites/pauli/congruence/csg22.html#group72L22", "72L²²")</f>
        <v/>
      </c>
      <c r="B7207" t="n">
        <v>22</v>
      </c>
      <c r="C7207" t="inlineStr"/>
      <c r="D7207" t="inlineStr">
        <is>
          <t>432</t>
        </is>
      </c>
      <c r="E7207" t="inlineStr">
        <is>
          <t>1</t>
        </is>
      </c>
      <c r="F7207" t="inlineStr">
        <is>
          <t>12</t>
        </is>
      </c>
      <c r="G7207" t="inlineStr">
        <is>
          <t>0</t>
        </is>
      </c>
      <c r="H7207" t="inlineStr">
        <is>
          <t>0</t>
        </is>
      </c>
      <c r="I7207" t="inlineStr">
        <is>
          <t>3¹², 9¹², 24³, 72³</t>
        </is>
      </c>
      <c r="J7207" t="n">
        <v>30</v>
      </c>
      <c r="K7207" t="inlineStr">
        <is>
          <t>1⁶, 2³</t>
        </is>
      </c>
      <c r="L7207" t="inlineStr">
        <is>
          <t>24AC³, 72A³, 72F⁸, 72G⁸, 36Q¹⁰</t>
        </is>
      </c>
      <c r="M7207" t="inlineStr"/>
      <c r="N7207" t="inlineStr">
        <is>
          <t>12K¹, 18E², 6G⁰, 18D², 12S¹, 2B⁰, 9C⁰, 4B⁰, 1A⁰, 72A³, 6D⁰, 3C⁰, 6K⁰, 12B¹, 3A⁰, 6F⁰, 72G⁸, 3B⁰, 36Q¹⁰, 24I¹, 9B⁰, 36G⁴, 36F⁴, 24AC³, 12G⁰, 18E⁰, 24B⁰, 9A¹, 9C¹, 12D⁰, 36C¹, 18M⁴, 3D⁰, 72F⁸, 12E⁰</t>
        </is>
      </c>
      <c r="O7207" t="inlineStr"/>
    </row>
    <row r="7208">
      <c r="A7208">
        <f>HYPERLINK("https://mathstats.uncg.edu/sites/pauli/congruence/csg22.html#group72M22", "72M²²")</f>
        <v/>
      </c>
      <c r="B7208" t="n">
        <v>22</v>
      </c>
      <c r="C7208" t="inlineStr"/>
      <c r="D7208" t="inlineStr">
        <is>
          <t>432</t>
        </is>
      </c>
      <c r="E7208" t="inlineStr">
        <is>
          <t>1</t>
        </is>
      </c>
      <c r="F7208" t="inlineStr">
        <is>
          <t>36</t>
        </is>
      </c>
      <c r="G7208" t="inlineStr">
        <is>
          <t>0</t>
        </is>
      </c>
      <c r="H7208" t="inlineStr">
        <is>
          <t>0</t>
        </is>
      </c>
      <c r="I7208" t="inlineStr">
        <is>
          <t>3¹², 9¹², 24³, 72³</t>
        </is>
      </c>
      <c r="J7208" t="n">
        <v>30</v>
      </c>
      <c r="K7208" t="inlineStr">
        <is>
          <t>1⁶, 2⁶, 6³</t>
        </is>
      </c>
      <c r="L7208" t="inlineStr">
        <is>
          <t>72F⁸, 36R¹⁰</t>
        </is>
      </c>
      <c r="M7208" t="inlineStr"/>
      <c r="N7208" t="inlineStr">
        <is>
          <t>3B⁰, 18P⁴, 9J⁰, 24B⁰, 36R¹⁰, 6F⁰, 18D², 36F⁴, 2B⁰, 9C⁰, 4B⁰, 1A⁰, 72F⁸, 12E⁰</t>
        </is>
      </c>
      <c r="O7208" t="inlineStr"/>
    </row>
    <row r="7209">
      <c r="A7209">
        <f>HYPERLINK("https://mathstats.uncg.edu/sites/pauli/congruence/csg22.html#group72N22", "72N²²")</f>
        <v/>
      </c>
      <c r="B7209" t="n">
        <v>22</v>
      </c>
      <c r="C7209" t="inlineStr"/>
      <c r="D7209" t="inlineStr">
        <is>
          <t>432</t>
        </is>
      </c>
      <c r="E7209" t="inlineStr">
        <is>
          <t>1</t>
        </is>
      </c>
      <c r="F7209" t="inlineStr">
        <is>
          <t>36</t>
        </is>
      </c>
      <c r="G7209" t="inlineStr">
        <is>
          <t>0</t>
        </is>
      </c>
      <c r="H7209" t="inlineStr">
        <is>
          <t>0</t>
        </is>
      </c>
      <c r="I7209" t="inlineStr">
        <is>
          <t>3¹², 9¹², 24³, 72³</t>
        </is>
      </c>
      <c r="J7209" t="n">
        <v>30</v>
      </c>
      <c r="K7209" t="inlineStr">
        <is>
          <t>1⁶, 2⁶, 6³</t>
        </is>
      </c>
      <c r="L7209" t="inlineStr">
        <is>
          <t>72G⁸, 36S¹⁰</t>
        </is>
      </c>
      <c r="M7209" t="inlineStr"/>
      <c r="N7209" t="inlineStr">
        <is>
          <t>3B⁰, 24B⁰, 9A¹, 18E², 6F⁰, 36G⁴, 18Q⁴, 1A⁰, 2B⁰, 36S¹⁰, 4B⁰, 9D¹, 72G⁸, 12E⁰</t>
        </is>
      </c>
      <c r="O7209" t="inlineStr"/>
    </row>
    <row r="7210">
      <c r="A7210">
        <f>HYPERLINK("https://mathstats.uncg.edu/sites/pauli/congruence/csg22.html#group74A22", "74A²²")</f>
        <v/>
      </c>
      <c r="B7210" t="n">
        <v>22</v>
      </c>
      <c r="C7210" t="inlineStr"/>
      <c r="D7210" t="inlineStr">
        <is>
          <t>342</t>
        </is>
      </c>
      <c r="E7210" t="inlineStr">
        <is>
          <t>1</t>
        </is>
      </c>
      <c r="F7210" t="inlineStr">
        <is>
          <t>114</t>
        </is>
      </c>
      <c r="G7210" t="inlineStr">
        <is>
          <t>6</t>
        </is>
      </c>
      <c r="H7210" t="inlineStr">
        <is>
          <t>0</t>
        </is>
      </c>
      <c r="I7210" t="inlineStr">
        <is>
          <t>1³, 2³, 37³, 74³</t>
        </is>
      </c>
      <c r="J7210" t="n">
        <v>12</v>
      </c>
      <c r="K7210" t="inlineStr">
        <is>
          <t>1⁶, 36³</t>
        </is>
      </c>
      <c r="L7210" t="inlineStr">
        <is>
          <t>37B⁴, 74A⁸</t>
        </is>
      </c>
      <c r="M7210" t="inlineStr"/>
      <c r="N7210" t="inlineStr">
        <is>
          <t>37A², 37B⁴, 2B⁰, 74A⁸, 1A⁰</t>
        </is>
      </c>
      <c r="O7210" t="inlineStr"/>
    </row>
    <row r="7211">
      <c r="A7211">
        <f>HYPERLINK("https://mathstats.uncg.edu/sites/pauli/congruence/csg22.html#group75A22", "75A²²")</f>
        <v/>
      </c>
      <c r="B7211" t="n">
        <v>22</v>
      </c>
      <c r="C7211" t="inlineStr"/>
      <c r="D7211" t="inlineStr">
        <is>
          <t>300</t>
        </is>
      </c>
      <c r="E7211" t="inlineStr">
        <is>
          <t>1</t>
        </is>
      </c>
      <c r="F7211" t="inlineStr">
        <is>
          <t>150</t>
        </is>
      </c>
      <c r="G7211" t="inlineStr">
        <is>
          <t>8</t>
        </is>
      </c>
      <c r="H7211" t="inlineStr">
        <is>
          <t>0</t>
        </is>
      </c>
      <c r="I7211" t="inlineStr">
        <is>
          <t>75⁴</t>
        </is>
      </c>
      <c r="J7211" t="n">
        <v>4</v>
      </c>
      <c r="K7211" t="inlineStr">
        <is>
          <t>2¹, 4³, 8², 20², 40²</t>
        </is>
      </c>
      <c r="L7211" t="inlineStr">
        <is>
          <t>15D², 75A¹¹</t>
        </is>
      </c>
      <c r="M7211" t="inlineStr"/>
      <c r="N7211" t="inlineStr">
        <is>
          <t>15D¹, 5C⁰, 25E², 15D², 75A¹¹, 3A⁰, 1A⁰</t>
        </is>
      </c>
      <c r="O7211" t="inlineStr"/>
    </row>
    <row r="7212">
      <c r="A7212">
        <f>HYPERLINK("https://mathstats.uncg.edu/sites/pauli/congruence/csg22.html#group76A22", "76A²²")</f>
        <v/>
      </c>
      <c r="B7212" t="n">
        <v>22</v>
      </c>
      <c r="C7212" t="inlineStr"/>
      <c r="D7212" t="inlineStr">
        <is>
          <t>360</t>
        </is>
      </c>
      <c r="E7212" t="inlineStr">
        <is>
          <t>1</t>
        </is>
      </c>
      <c r="F7212" t="inlineStr">
        <is>
          <t>60</t>
        </is>
      </c>
      <c r="G7212" t="inlineStr">
        <is>
          <t>0</t>
        </is>
      </c>
      <c r="H7212" t="inlineStr">
        <is>
          <t>0</t>
        </is>
      </c>
      <c r="I7212" t="inlineStr">
        <is>
          <t>1⁶, 4³, 19⁶, 76³</t>
        </is>
      </c>
      <c r="J7212" t="n">
        <v>18</v>
      </c>
      <c r="K7212" t="inlineStr">
        <is>
          <t>1⁶, 18³</t>
        </is>
      </c>
      <c r="L7212" t="inlineStr">
        <is>
          <t>76A⁸, 38A¹⁰</t>
        </is>
      </c>
      <c r="M7212" t="inlineStr"/>
      <c r="N7212" t="inlineStr">
        <is>
          <t>19A¹, 38A⁴, 76A⁸, 2B⁰, 19B¹, 4B⁰, 1A⁰, 38A¹⁰</t>
        </is>
      </c>
      <c r="O7212" t="inlineStr"/>
    </row>
    <row r="7213">
      <c r="A7213">
        <f>HYPERLINK("https://mathstats.uncg.edu/sites/pauli/congruence/csg22.html#group78A22", "78A²²")</f>
        <v/>
      </c>
      <c r="B7213" t="n">
        <v>22</v>
      </c>
      <c r="C7213" t="inlineStr"/>
      <c r="D7213" t="inlineStr">
        <is>
          <t>378</t>
        </is>
      </c>
      <c r="E7213" t="inlineStr">
        <is>
          <t>1</t>
        </is>
      </c>
      <c r="F7213" t="inlineStr">
        <is>
          <t>42</t>
        </is>
      </c>
      <c r="G7213" t="inlineStr">
        <is>
          <t>18</t>
        </is>
      </c>
      <c r="H7213" t="inlineStr">
        <is>
          <t>0</t>
        </is>
      </c>
      <c r="I7213" t="inlineStr">
        <is>
          <t>3³, 6³, 39³, 78³</t>
        </is>
      </c>
      <c r="J7213" t="n">
        <v>12</v>
      </c>
      <c r="K7213" t="inlineStr">
        <is>
          <t>1⁶, 12³</t>
        </is>
      </c>
      <c r="L7213" t="inlineStr">
        <is>
          <t>26C⁴, 39C⁴, 78A⁸, 78B⁸</t>
        </is>
      </c>
      <c r="M7213" t="inlineStr"/>
      <c r="N7213" t="inlineStr">
        <is>
          <t>78A⁸, 39A², 26A², 13A⁰, 26C⁴, 39C⁴, 2B⁰, 13C⁰, 39A¹, 3A⁰, 1A⁰, 78B⁸, 6D⁰</t>
        </is>
      </c>
      <c r="O7213" t="inlineStr"/>
    </row>
    <row r="7214">
      <c r="A7214">
        <f>HYPERLINK("https://mathstats.uncg.edu/sites/pauli/congruence/csg22.html#group80A22", "80A²²")</f>
        <v/>
      </c>
      <c r="B7214" t="n">
        <v>22</v>
      </c>
      <c r="C7214" t="inlineStr"/>
      <c r="D7214" t="inlineStr">
        <is>
          <t>320</t>
        </is>
      </c>
      <c r="E7214" t="inlineStr">
        <is>
          <t>2</t>
        </is>
      </c>
      <c r="F7214" t="inlineStr">
        <is>
          <t>160</t>
        </is>
      </c>
      <c r="G7214" t="inlineStr">
        <is>
          <t>4</t>
        </is>
      </c>
      <c r="H7214" t="inlineStr">
        <is>
          <t>8</t>
        </is>
      </c>
      <c r="I7214" t="inlineStr">
        <is>
          <t>80⁴</t>
        </is>
      </c>
      <c r="J7214" t="n">
        <v>4</v>
      </c>
      <c r="K7214" t="inlineStr">
        <is>
          <t>8⁸, 32⁸</t>
        </is>
      </c>
      <c r="L7214" t="inlineStr">
        <is>
          <t>16H², 80A⁴, 40B¹⁰</t>
        </is>
      </c>
      <c r="M7214" t="inlineStr"/>
      <c r="N7214" t="inlineStr">
        <is>
          <t>5A⁰, 80A⁴, 8F⁰, 16A⁰, 16H², 4A⁰, 8A⁰, 40D⁵, 20A¹, 8M⁰, 1A⁰, 40B¹⁰, 40A²</t>
        </is>
      </c>
      <c r="O7214" t="inlineStr"/>
    </row>
    <row r="7215">
      <c r="A7215">
        <f>HYPERLINK("https://mathstats.uncg.edu/sites/pauli/congruence/csg22.html#group80B22", "80B²²")</f>
        <v/>
      </c>
      <c r="B7215" t="n">
        <v>22</v>
      </c>
      <c r="C7215" t="inlineStr"/>
      <c r="D7215" t="inlineStr">
        <is>
          <t>360</t>
        </is>
      </c>
      <c r="E7215" t="inlineStr">
        <is>
          <t>1</t>
        </is>
      </c>
      <c r="F7215" t="inlineStr">
        <is>
          <t>15</t>
        </is>
      </c>
      <c r="G7215" t="inlineStr">
        <is>
          <t>24</t>
        </is>
      </c>
      <c r="H7215" t="inlineStr">
        <is>
          <t>0</t>
        </is>
      </c>
      <c r="I7215" t="inlineStr">
        <is>
          <t>40³, 80³</t>
        </is>
      </c>
      <c r="J7215" t="n">
        <v>6</v>
      </c>
      <c r="K7215" t="inlineStr">
        <is>
          <t>1³, 4³</t>
        </is>
      </c>
      <c r="L7215" t="inlineStr">
        <is>
          <t>80A⁸, 40C¹⁰</t>
        </is>
      </c>
      <c r="M7215" t="inlineStr"/>
      <c r="N7215" t="inlineStr">
        <is>
          <t>16B⁰, 5A⁰, 40A⁴, 20E⁴, 10I¹, 40C¹⁰, 10B¹, 20B², 4C⁰, 8B⁰, 5E⁰, 2B⁰, 1A⁰, 80A⁸</t>
        </is>
      </c>
      <c r="O7215" t="inlineStr"/>
    </row>
    <row r="7216">
      <c r="A7216">
        <f>HYPERLINK("https://mathstats.uncg.edu/sites/pauli/congruence/csg22.html#group80C22", "80C²²")</f>
        <v/>
      </c>
      <c r="B7216" t="n">
        <v>22</v>
      </c>
      <c r="C7216" t="inlineStr"/>
      <c r="D7216" t="inlineStr">
        <is>
          <t>360</t>
        </is>
      </c>
      <c r="E7216" t="inlineStr">
        <is>
          <t>1</t>
        </is>
      </c>
      <c r="F7216" t="inlineStr">
        <is>
          <t>30</t>
        </is>
      </c>
      <c r="G7216" t="inlineStr">
        <is>
          <t>0</t>
        </is>
      </c>
      <c r="H7216" t="inlineStr">
        <is>
          <t>0</t>
        </is>
      </c>
      <c r="I7216" t="inlineStr">
        <is>
          <t>5¹², 20³, 80³</t>
        </is>
      </c>
      <c r="J7216" t="n">
        <v>18</v>
      </c>
      <c r="K7216" t="inlineStr">
        <is>
          <t>1⁴, 2¹, 4⁴, 8¹</t>
        </is>
      </c>
      <c r="L7216" t="inlineStr">
        <is>
          <t>80B⁸, 40D¹⁰</t>
        </is>
      </c>
      <c r="M7216" t="inlineStr"/>
      <c r="N7216" t="inlineStr">
        <is>
          <t>20A², 20D⁴, 5A⁰, 10I¹, 80B⁸, 16C⁰, 10B¹, 5E⁰, 1A⁰, 8C⁰, 2B⁰, 4B⁰, 40B⁴, 40D¹⁰</t>
        </is>
      </c>
      <c r="O7216" t="inlineStr"/>
    </row>
    <row r="7217">
      <c r="A7217">
        <f>HYPERLINK("https://mathstats.uncg.edu/sites/pauli/congruence/csg22.html#group80D22", "80D²²")</f>
        <v/>
      </c>
      <c r="B7217" t="n">
        <v>22</v>
      </c>
      <c r="C7217" t="inlineStr"/>
      <c r="D7217" t="inlineStr">
        <is>
          <t>360</t>
        </is>
      </c>
      <c r="E7217" t="inlineStr">
        <is>
          <t>1</t>
        </is>
      </c>
      <c r="F7217" t="inlineStr">
        <is>
          <t>60</t>
        </is>
      </c>
      <c r="G7217" t="inlineStr">
        <is>
          <t>0</t>
        </is>
      </c>
      <c r="H7217" t="inlineStr">
        <is>
          <t>0</t>
        </is>
      </c>
      <c r="I7217" t="inlineStr">
        <is>
          <t>5⁶, 10⁹, 80³</t>
        </is>
      </c>
      <c r="J7217" t="n">
        <v>18</v>
      </c>
      <c r="K7217" t="inlineStr">
        <is>
          <t>1⁴, 2², 4⁵, 8², 16¹</t>
        </is>
      </c>
      <c r="L7217" t="inlineStr">
        <is>
          <t>80C⁸, 40D¹⁰</t>
        </is>
      </c>
      <c r="M7217" t="inlineStr"/>
      <c r="N7217" t="inlineStr">
        <is>
          <t>80C⁸, 20A², 20D⁴, 5A⁰, 10I¹, 10B¹, 16D⁰, 5E⁰, 1A⁰, 8C⁰, 2B⁰, 4B⁰, 40B⁴, 40D¹⁰</t>
        </is>
      </c>
      <c r="O7217" t="inlineStr"/>
    </row>
    <row r="7218">
      <c r="A7218">
        <f>HYPERLINK("https://mathstats.uncg.edu/sites/pauli/congruence/csg22.html#group80E22", "80E²²")</f>
        <v/>
      </c>
      <c r="B7218" t="n">
        <v>22</v>
      </c>
      <c r="C7218" t="inlineStr"/>
      <c r="D7218" t="inlineStr">
        <is>
          <t>360</t>
        </is>
      </c>
      <c r="E7218" t="inlineStr">
        <is>
          <t>1</t>
        </is>
      </c>
      <c r="F7218" t="inlineStr">
        <is>
          <t>60</t>
        </is>
      </c>
      <c r="G7218" t="inlineStr">
        <is>
          <t>6</t>
        </is>
      </c>
      <c r="H7218" t="inlineStr">
        <is>
          <t>0</t>
        </is>
      </c>
      <c r="I7218" t="inlineStr">
        <is>
          <t>10¹², 80³</t>
        </is>
      </c>
      <c r="J7218" t="n">
        <v>15</v>
      </c>
      <c r="K7218" t="inlineStr">
        <is>
          <t>1², 2¹, 4⁴, 8¹, 16²</t>
        </is>
      </c>
      <c r="L7218" t="inlineStr">
        <is>
          <t>80D⁸, 40E¹⁰</t>
        </is>
      </c>
      <c r="M7218" t="inlineStr"/>
      <c r="N7218" t="inlineStr">
        <is>
          <t>40C⁴, 16E⁰, 40E¹⁰, 5A⁰, 10I¹, 20E⁴, 8D⁰, 10B¹, 20B², 4C⁰, 5E⁰, 80D⁸, 2B⁰, 1A⁰</t>
        </is>
      </c>
      <c r="O7218" t="inlineStr"/>
    </row>
    <row r="7219">
      <c r="A7219">
        <f>HYPERLINK("https://mathstats.uncg.edu/sites/pauli/congruence/csg22.html#group80F22", "80F²²")</f>
        <v/>
      </c>
      <c r="B7219" t="n">
        <v>22</v>
      </c>
      <c r="C7219" t="inlineStr"/>
      <c r="D7219" t="inlineStr">
        <is>
          <t>360</t>
        </is>
      </c>
      <c r="E7219" t="inlineStr">
        <is>
          <t>1</t>
        </is>
      </c>
      <c r="F7219" t="inlineStr">
        <is>
          <t>90</t>
        </is>
      </c>
      <c r="G7219" t="inlineStr">
        <is>
          <t>0</t>
        </is>
      </c>
      <c r="H7219" t="inlineStr">
        <is>
          <t>0</t>
        </is>
      </c>
      <c r="I7219" t="inlineStr">
        <is>
          <t>5¹², 20³, 80³</t>
        </is>
      </c>
      <c r="J7219" t="n">
        <v>18</v>
      </c>
      <c r="K7219" t="inlineStr">
        <is>
          <t>1⁴, 2⁵, 4¹³, 8³</t>
        </is>
      </c>
      <c r="L7219" t="inlineStr">
        <is>
          <t>40D¹⁰</t>
        </is>
      </c>
      <c r="M7219" t="inlineStr"/>
      <c r="N7219" t="inlineStr">
        <is>
          <t>20A², 20D⁴, 5A⁰, 10I¹, 10B¹, 5E⁰, 1A⁰, 2B⁰, 8C⁰, 4B⁰, 40B⁴, 40D¹⁰</t>
        </is>
      </c>
      <c r="O7219" t="inlineStr"/>
    </row>
    <row r="7220">
      <c r="A7220">
        <f>HYPERLINK("https://mathstats.uncg.edu/sites/pauli/congruence/csg22.html#group80G22", "80G²²")</f>
        <v/>
      </c>
      <c r="B7220" t="n">
        <v>22</v>
      </c>
      <c r="C7220" t="inlineStr"/>
      <c r="D7220" t="inlineStr">
        <is>
          <t>360</t>
        </is>
      </c>
      <c r="E7220" t="inlineStr">
        <is>
          <t>1</t>
        </is>
      </c>
      <c r="F7220" t="inlineStr">
        <is>
          <t>180</t>
        </is>
      </c>
      <c r="G7220" t="inlineStr">
        <is>
          <t>0</t>
        </is>
      </c>
      <c r="H7220" t="inlineStr">
        <is>
          <t>0</t>
        </is>
      </c>
      <c r="I7220" t="inlineStr">
        <is>
          <t>5⁶, 10⁹, 80³</t>
        </is>
      </c>
      <c r="J7220" t="n">
        <v>18</v>
      </c>
      <c r="K7220" t="inlineStr">
        <is>
          <t>1⁴, 2⁶, 4¹⁵, 8⁷, 16³</t>
        </is>
      </c>
      <c r="L7220" t="inlineStr">
        <is>
          <t>40D¹⁰</t>
        </is>
      </c>
      <c r="M7220" t="inlineStr"/>
      <c r="N7220" t="inlineStr">
        <is>
          <t>20A², 20D⁴, 5A⁰, 10I¹, 10B¹, 5E⁰, 1A⁰, 2B⁰, 8C⁰, 4B⁰, 40B⁴, 40D¹⁰</t>
        </is>
      </c>
      <c r="O7220" t="inlineStr"/>
    </row>
    <row r="7221">
      <c r="A7221">
        <f>HYPERLINK("https://mathstats.uncg.edu/sites/pauli/congruence/csg22.html#group80H22", "80H²²")</f>
        <v/>
      </c>
      <c r="B7221" t="n">
        <v>22</v>
      </c>
      <c r="C7221" t="inlineStr"/>
      <c r="D7221" t="inlineStr">
        <is>
          <t>360</t>
        </is>
      </c>
      <c r="E7221" t="inlineStr">
        <is>
          <t>1</t>
        </is>
      </c>
      <c r="F7221" t="inlineStr">
        <is>
          <t>180</t>
        </is>
      </c>
      <c r="G7221" t="inlineStr">
        <is>
          <t>6</t>
        </is>
      </c>
      <c r="H7221" t="inlineStr">
        <is>
          <t>0</t>
        </is>
      </c>
      <c r="I7221" t="inlineStr">
        <is>
          <t>10¹², 80³</t>
        </is>
      </c>
      <c r="J7221" t="n">
        <v>15</v>
      </c>
      <c r="K7221" t="inlineStr">
        <is>
          <t>1², 2³, 4⁹, 8⁵, 16⁶</t>
        </is>
      </c>
      <c r="L7221" t="inlineStr">
        <is>
          <t>40E¹⁰</t>
        </is>
      </c>
      <c r="M7221" t="inlineStr"/>
      <c r="N7221" t="inlineStr">
        <is>
          <t>40C⁴, 5A⁰, 40E¹⁰, 10I¹, 20E⁴, 8D⁰, 10B¹, 20B², 4C⁰, 5E⁰, 2B⁰, 1A⁰</t>
        </is>
      </c>
      <c r="O7221" t="inlineStr"/>
    </row>
    <row r="7222">
      <c r="A7222">
        <f>HYPERLINK("https://mathstats.uncg.edu/sites/pauli/congruence/csg22.html#group81A22", "81A²²")</f>
        <v/>
      </c>
      <c r="B7222" t="n">
        <v>22</v>
      </c>
      <c r="C7222" t="inlineStr"/>
      <c r="D7222" t="inlineStr">
        <is>
          <t>324</t>
        </is>
      </c>
      <c r="E7222" t="inlineStr">
        <is>
          <t>1</t>
        </is>
      </c>
      <c r="F7222" t="inlineStr">
        <is>
          <t>36</t>
        </is>
      </c>
      <c r="G7222" t="inlineStr">
        <is>
          <t>0</t>
        </is>
      </c>
      <c r="H7222" t="inlineStr">
        <is>
          <t>0</t>
        </is>
      </c>
      <c r="I7222" t="inlineStr">
        <is>
          <t>9⁹, 81³</t>
        </is>
      </c>
      <c r="J7222" t="n">
        <v>12</v>
      </c>
      <c r="K7222" t="inlineStr">
        <is>
          <t>1², 2², 6², 18¹</t>
        </is>
      </c>
      <c r="L7222" t="inlineStr">
        <is>
          <t>27C⁴</t>
        </is>
      </c>
      <c r="M7222" t="inlineStr"/>
      <c r="N7222" t="inlineStr">
        <is>
          <t>3B⁰, 27A¹, 27C⁴, 27A², 9A¹, 27A⁰, 9B⁰, 9C¹, 3C⁰, 9C⁰, 3A⁰, 1A⁰, 3D⁰</t>
        </is>
      </c>
      <c r="O7222" t="inlineStr"/>
    </row>
    <row r="7223">
      <c r="A7223">
        <f>HYPERLINK("https://mathstats.uncg.edu/sites/pauli/congruence/csg22.html#group81B22", "81B²²")</f>
        <v/>
      </c>
      <c r="B7223" t="n">
        <v>22</v>
      </c>
      <c r="C7223" t="inlineStr"/>
      <c r="D7223" t="inlineStr">
        <is>
          <t>324</t>
        </is>
      </c>
      <c r="E7223" t="inlineStr">
        <is>
          <t>1</t>
        </is>
      </c>
      <c r="F7223" t="inlineStr">
        <is>
          <t>36</t>
        </is>
      </c>
      <c r="G7223" t="inlineStr">
        <is>
          <t>0</t>
        </is>
      </c>
      <c r="H7223" t="inlineStr">
        <is>
          <t>0</t>
        </is>
      </c>
      <c r="I7223" t="inlineStr">
        <is>
          <t>9⁹, 81³</t>
        </is>
      </c>
      <c r="J7223" t="n">
        <v>12</v>
      </c>
      <c r="K7223" t="inlineStr">
        <is>
          <t>3², 6⁵</t>
        </is>
      </c>
      <c r="L7223" t="inlineStr">
        <is>
          <t>27B⁴</t>
        </is>
      </c>
      <c r="M7223" t="inlineStr"/>
      <c r="N7223" t="inlineStr">
        <is>
          <t>27B⁴, 9I⁰, 3B⁰, 9B⁰, 27A¹, 27A², 1A⁰</t>
        </is>
      </c>
      <c r="O7223" t="inlineStr"/>
    </row>
    <row r="7224">
      <c r="A7224">
        <f>HYPERLINK("https://mathstats.uncg.edu/sites/pauli/congruence/csg22.html#group81C22", "81C²²")</f>
        <v/>
      </c>
      <c r="B7224" t="n">
        <v>22</v>
      </c>
      <c r="C7224" t="inlineStr"/>
      <c r="D7224" t="inlineStr">
        <is>
          <t>324</t>
        </is>
      </c>
      <c r="E7224" t="inlineStr">
        <is>
          <t>1</t>
        </is>
      </c>
      <c r="F7224" t="inlineStr">
        <is>
          <t>36</t>
        </is>
      </c>
      <c r="G7224" t="inlineStr">
        <is>
          <t>0</t>
        </is>
      </c>
      <c r="H7224" t="inlineStr">
        <is>
          <t>9</t>
        </is>
      </c>
      <c r="I7224" t="inlineStr">
        <is>
          <t>27³, 81³</t>
        </is>
      </c>
      <c r="J7224" t="n">
        <v>6</v>
      </c>
      <c r="K7224" t="inlineStr">
        <is>
          <t>3², 6⁵</t>
        </is>
      </c>
      <c r="L7224" t="inlineStr">
        <is>
          <t>27D⁴</t>
        </is>
      </c>
      <c r="M7224" t="inlineStr"/>
      <c r="N7224" t="inlineStr">
        <is>
          <t>9C⁰, 3B⁰, 27B¹, 9J⁰, 27D⁴, 27B², 1A⁰</t>
        </is>
      </c>
      <c r="O7224" t="inlineStr"/>
    </row>
    <row r="7225">
      <c r="A7225">
        <f>HYPERLINK("https://mathstats.uncg.edu/sites/pauli/congruence/csg22.html#group81D22", "81D²²")</f>
        <v/>
      </c>
      <c r="B7225" t="n">
        <v>22</v>
      </c>
      <c r="C7225" t="inlineStr"/>
      <c r="D7225" t="inlineStr">
        <is>
          <t>324</t>
        </is>
      </c>
      <c r="E7225" t="inlineStr">
        <is>
          <t>2</t>
        </is>
      </c>
      <c r="F7225" t="inlineStr">
        <is>
          <t>36</t>
        </is>
      </c>
      <c r="G7225" t="inlineStr">
        <is>
          <t>0</t>
        </is>
      </c>
      <c r="H7225" t="inlineStr">
        <is>
          <t>0</t>
        </is>
      </c>
      <c r="I7225" t="inlineStr">
        <is>
          <t>9⁹, 81³</t>
        </is>
      </c>
      <c r="J7225" t="n">
        <v>12</v>
      </c>
      <c r="K7225" t="inlineStr">
        <is>
          <t>2⁶, 6⁴, 18²</t>
        </is>
      </c>
      <c r="L7225" t="inlineStr">
        <is>
          <t>27A⁴</t>
        </is>
      </c>
      <c r="M7225" t="inlineStr"/>
      <c r="N7225" t="inlineStr">
        <is>
          <t>9I⁰, 27A⁰, 3B⁰, 9B⁰, 27A², 1A⁰, 27A⁴</t>
        </is>
      </c>
      <c r="O7225" t="inlineStr"/>
    </row>
    <row r="7226">
      <c r="A7226">
        <f>HYPERLINK("https://mathstats.uncg.edu/sites/pauli/congruence/csg22.html#group84A22", "84A²²")</f>
        <v/>
      </c>
      <c r="B7226" t="n">
        <v>22</v>
      </c>
      <c r="C7226" t="inlineStr"/>
      <c r="D7226" t="inlineStr">
        <is>
          <t>288</t>
        </is>
      </c>
      <c r="E7226" t="inlineStr">
        <is>
          <t>1</t>
        </is>
      </c>
      <c r="F7226" t="inlineStr">
        <is>
          <t>8</t>
        </is>
      </c>
      <c r="G7226" t="inlineStr">
        <is>
          <t>0</t>
        </is>
      </c>
      <c r="H7226" t="inlineStr">
        <is>
          <t>0</t>
        </is>
      </c>
      <c r="I7226" t="inlineStr">
        <is>
          <t>12³, 84³</t>
        </is>
      </c>
      <c r="J7226" t="n">
        <v>6</v>
      </c>
      <c r="K7226" t="inlineStr">
        <is>
          <t>1², 6¹</t>
        </is>
      </c>
      <c r="L7226" t="inlineStr">
        <is>
          <t>84A⁴, 28E⁶, 84A⁸, 42E¹⁰</t>
        </is>
      </c>
      <c r="M7226" t="inlineStr"/>
      <c r="N7226" t="inlineStr">
        <is>
          <t>2A⁰, 28A⁰, 6C¹, 42E¹⁰, 84A⁴, 28E⁶, 2B⁰, 14E², 1A⁰, 42B², 84A⁸, 6A⁰, 42B⁴, 21A², 42A⁵, 7B⁰, 14B⁰, 14C¹, 6A¹, 3A⁰, 2C⁰, 6D⁰</t>
        </is>
      </c>
      <c r="O7226" t="inlineStr"/>
    </row>
    <row r="7227">
      <c r="A7227">
        <f>HYPERLINK("https://mathstats.uncg.edu/sites/pauli/congruence/csg22.html#group84B22", "84B²²")</f>
        <v/>
      </c>
      <c r="B7227" t="n">
        <v>22</v>
      </c>
      <c r="C7227" t="inlineStr"/>
      <c r="D7227" t="inlineStr">
        <is>
          <t>288</t>
        </is>
      </c>
      <c r="E7227" t="inlineStr">
        <is>
          <t>1</t>
        </is>
      </c>
      <c r="F7227" t="inlineStr">
        <is>
          <t>8</t>
        </is>
      </c>
      <c r="G7227" t="inlineStr">
        <is>
          <t>0</t>
        </is>
      </c>
      <c r="H7227" t="inlineStr">
        <is>
          <t>0</t>
        </is>
      </c>
      <c r="I7227" t="inlineStr">
        <is>
          <t>12³, 84³</t>
        </is>
      </c>
      <c r="J7227" t="n">
        <v>6</v>
      </c>
      <c r="K7227" t="inlineStr">
        <is>
          <t>1², 6¹</t>
        </is>
      </c>
      <c r="L7227" t="inlineStr">
        <is>
          <t>84B⁴, 28D⁶, 84A⁸, 42D¹⁰</t>
        </is>
      </c>
      <c r="M7227" t="inlineStr"/>
      <c r="N7227" t="inlineStr">
        <is>
          <t>2A⁰, 28A⁰, 28D⁶, 14D², 21A⁴, 7E⁰, 1A⁰, 84B⁴, 84A⁸, 21A², 42B⁴, 7B⁰, 42D¹⁰, 14B⁰, 42C², 6A¹, 3A⁰, 21A¹</t>
        </is>
      </c>
      <c r="O7227" t="inlineStr"/>
    </row>
    <row r="7228">
      <c r="A7228">
        <f>HYPERLINK("https://mathstats.uncg.edu/sites/pauli/congruence/csg22.html#group84C22", "84C²²")</f>
        <v/>
      </c>
      <c r="B7228" t="n">
        <v>22</v>
      </c>
      <c r="C7228" t="inlineStr"/>
      <c r="D7228" t="inlineStr">
        <is>
          <t>288</t>
        </is>
      </c>
      <c r="E7228" t="inlineStr">
        <is>
          <t>1</t>
        </is>
      </c>
      <c r="F7228" t="inlineStr">
        <is>
          <t>16</t>
        </is>
      </c>
      <c r="G7228" t="inlineStr">
        <is>
          <t>0</t>
        </is>
      </c>
      <c r="H7228" t="inlineStr">
        <is>
          <t>0</t>
        </is>
      </c>
      <c r="I7228" t="inlineStr">
        <is>
          <t>12³, 84³</t>
        </is>
      </c>
      <c r="J7228" t="n">
        <v>6</v>
      </c>
      <c r="K7228" t="inlineStr">
        <is>
          <t>2², 12¹</t>
        </is>
      </c>
      <c r="L7228" t="inlineStr">
        <is>
          <t>84A⁴, 28D⁶, 84A⁶, 42F¹⁰</t>
        </is>
      </c>
      <c r="M7228" t="inlineStr"/>
      <c r="N7228" t="inlineStr">
        <is>
          <t>42B², 2A⁰, 6A⁰, 28A⁰, 7B⁰, 28D⁶, 14D², 14B⁰, 84A⁴, 84A⁶, 42F¹⁰, 7E⁰, 1A⁰, 42B³</t>
        </is>
      </c>
      <c r="O7228" t="inlineStr"/>
    </row>
    <row r="7229">
      <c r="A7229">
        <f>HYPERLINK("https://mathstats.uncg.edu/sites/pauli/congruence/csg22.html#group84D22", "84D²²")</f>
        <v/>
      </c>
      <c r="B7229" t="n">
        <v>22</v>
      </c>
      <c r="C7229" t="inlineStr"/>
      <c r="D7229" t="inlineStr">
        <is>
          <t>288</t>
        </is>
      </c>
      <c r="E7229" t="inlineStr">
        <is>
          <t>1</t>
        </is>
      </c>
      <c r="F7229" t="inlineStr">
        <is>
          <t>16</t>
        </is>
      </c>
      <c r="G7229" t="inlineStr">
        <is>
          <t>0</t>
        </is>
      </c>
      <c r="H7229" t="inlineStr">
        <is>
          <t>0</t>
        </is>
      </c>
      <c r="I7229" t="inlineStr">
        <is>
          <t>12³, 84³</t>
        </is>
      </c>
      <c r="J7229" t="n">
        <v>6</v>
      </c>
      <c r="K7229" t="inlineStr">
        <is>
          <t>1⁴, 6²</t>
        </is>
      </c>
      <c r="L7229" t="inlineStr">
        <is>
          <t>28F², 84A⁶, 84A⁸, 42G¹⁰</t>
        </is>
      </c>
      <c r="M7229" t="inlineStr"/>
      <c r="N7229" t="inlineStr">
        <is>
          <t>2A⁰, 3A⁰, 42G¹⁰, 28A⁰, 84A⁶, 1A⁰, 84A⁸, 21A², 42B⁴, 7B⁰, 14B⁰, 6A¹, 14C⁰, 28F², 42B³</t>
        </is>
      </c>
      <c r="O7229" t="inlineStr"/>
    </row>
    <row r="7230">
      <c r="A7230">
        <f>HYPERLINK("https://mathstats.uncg.edu/sites/pauli/congruence/csg22.html#group84E22", "84E²²")</f>
        <v/>
      </c>
      <c r="B7230" t="n">
        <v>22</v>
      </c>
      <c r="C7230" t="inlineStr"/>
      <c r="D7230" t="inlineStr">
        <is>
          <t>288</t>
        </is>
      </c>
      <c r="E7230" t="inlineStr">
        <is>
          <t>1</t>
        </is>
      </c>
      <c r="F7230" t="inlineStr">
        <is>
          <t>24</t>
        </is>
      </c>
      <c r="G7230" t="inlineStr">
        <is>
          <t>0</t>
        </is>
      </c>
      <c r="H7230" t="inlineStr">
        <is>
          <t>0</t>
        </is>
      </c>
      <c r="I7230" t="inlineStr">
        <is>
          <t>12³, 84³</t>
        </is>
      </c>
      <c r="J7230" t="n">
        <v>6</v>
      </c>
      <c r="K7230" t="inlineStr">
        <is>
          <t>1², 2², 6¹, 12¹</t>
        </is>
      </c>
      <c r="L7230" t="inlineStr">
        <is>
          <t>84B⁸, 42D¹⁰</t>
        </is>
      </c>
      <c r="M7230" t="inlineStr"/>
      <c r="N7230" t="inlineStr">
        <is>
          <t>2A⁰, 14D², 21A⁴, 7E⁰, 1A⁰, 21A², 42B⁴, 84B⁸, 7B⁰, 42D¹⁰, 14B⁰, 42C², 6A¹, 3A⁰, 21A¹</t>
        </is>
      </c>
      <c r="O7230" t="inlineStr"/>
    </row>
    <row r="7231">
      <c r="A7231">
        <f>HYPERLINK("https://mathstats.uncg.edu/sites/pauli/congruence/csg22.html#group84F22", "84F²²")</f>
        <v/>
      </c>
      <c r="B7231" t="n">
        <v>22</v>
      </c>
      <c r="C7231" t="inlineStr"/>
      <c r="D7231" t="inlineStr">
        <is>
          <t>288</t>
        </is>
      </c>
      <c r="E7231" t="inlineStr">
        <is>
          <t>1</t>
        </is>
      </c>
      <c r="F7231" t="inlineStr">
        <is>
          <t>24</t>
        </is>
      </c>
      <c r="G7231" t="inlineStr">
        <is>
          <t>0</t>
        </is>
      </c>
      <c r="H7231" t="inlineStr">
        <is>
          <t>0</t>
        </is>
      </c>
      <c r="I7231" t="inlineStr">
        <is>
          <t>12³, 84³</t>
        </is>
      </c>
      <c r="J7231" t="n">
        <v>6</v>
      </c>
      <c r="K7231" t="inlineStr">
        <is>
          <t>1², 2², 6¹, 12¹</t>
        </is>
      </c>
      <c r="L7231" t="inlineStr">
        <is>
          <t>84B⁸, 42E¹⁰</t>
        </is>
      </c>
      <c r="M7231" t="inlineStr"/>
      <c r="N7231" t="inlineStr">
        <is>
          <t>2A⁰, 6C¹, 42E¹⁰, 2B⁰, 14E², 1A⁰, 42B², 21A², 42B⁴, 6A⁰, 84B⁸, 7B⁰, 42A⁵, 14B⁰, 14C¹, 6A¹, 3A⁰, 2C⁰, 6D⁰</t>
        </is>
      </c>
      <c r="O7231" t="inlineStr"/>
    </row>
    <row r="7232">
      <c r="A7232">
        <f>HYPERLINK("https://mathstats.uncg.edu/sites/pauli/congruence/csg22.html#group84G22", "84G²²")</f>
        <v/>
      </c>
      <c r="B7232" t="n">
        <v>22</v>
      </c>
      <c r="C7232" t="inlineStr"/>
      <c r="D7232" t="inlineStr">
        <is>
          <t>288</t>
        </is>
      </c>
      <c r="E7232" t="inlineStr">
        <is>
          <t>1</t>
        </is>
      </c>
      <c r="F7232" t="inlineStr">
        <is>
          <t>32</t>
        </is>
      </c>
      <c r="G7232" t="inlineStr">
        <is>
          <t>0</t>
        </is>
      </c>
      <c r="H7232" t="inlineStr">
        <is>
          <t>0</t>
        </is>
      </c>
      <c r="I7232" t="inlineStr">
        <is>
          <t>12³, 84³</t>
        </is>
      </c>
      <c r="J7232" t="n">
        <v>6</v>
      </c>
      <c r="K7232" t="inlineStr">
        <is>
          <t>2⁴, 12²</t>
        </is>
      </c>
      <c r="L7232" t="inlineStr">
        <is>
          <t>21A⁴, 28F⁶, 84A⁷, 84C⁸</t>
        </is>
      </c>
      <c r="M7232" t="inlineStr"/>
      <c r="N7232" t="inlineStr">
        <is>
          <t>28F⁶, 12A⁰, 21A², 84C⁸, 4A⁰, 7B⁰, 21A⁴, 7E⁰, 84A⁷, 3A⁰, 1A⁰, 28A², 21A¹</t>
        </is>
      </c>
      <c r="O7232" t="inlineStr"/>
    </row>
    <row r="7233">
      <c r="A7233">
        <f>HYPERLINK("https://mathstats.uncg.edu/sites/pauli/congruence/csg22.html#group84H22", "84H²²")</f>
        <v/>
      </c>
      <c r="B7233" t="n">
        <v>22</v>
      </c>
      <c r="C7233" t="inlineStr"/>
      <c r="D7233" t="inlineStr">
        <is>
          <t>288</t>
        </is>
      </c>
      <c r="E7233" t="inlineStr">
        <is>
          <t>1</t>
        </is>
      </c>
      <c r="F7233" t="inlineStr">
        <is>
          <t>48</t>
        </is>
      </c>
      <c r="G7233" t="inlineStr">
        <is>
          <t>0</t>
        </is>
      </c>
      <c r="H7233" t="inlineStr">
        <is>
          <t>0</t>
        </is>
      </c>
      <c r="I7233" t="inlineStr">
        <is>
          <t>12³, 84³</t>
        </is>
      </c>
      <c r="J7233" t="n">
        <v>6</v>
      </c>
      <c r="K7233" t="inlineStr">
        <is>
          <t>1⁴, 2⁴, 6², 12²</t>
        </is>
      </c>
      <c r="L7233" t="inlineStr">
        <is>
          <t>84B⁸, 42G¹⁰</t>
        </is>
      </c>
      <c r="M7233" t="inlineStr"/>
      <c r="N7233" t="inlineStr">
        <is>
          <t>14C⁰, 2A⁰, 3A⁰, 42G¹⁰, 21A², 42B⁴, 7B⁰, 14B⁰, 6A¹, 84B⁸, 1A⁰, 42B³</t>
        </is>
      </c>
      <c r="O7233" t="inlineStr"/>
    </row>
    <row r="7234">
      <c r="A7234">
        <f>HYPERLINK("https://mathstats.uncg.edu/sites/pauli/congruence/csg22.html#group84I22", "84I²²")</f>
        <v/>
      </c>
      <c r="B7234" t="n">
        <v>22</v>
      </c>
      <c r="C7234" t="inlineStr"/>
      <c r="D7234" t="inlineStr">
        <is>
          <t>288</t>
        </is>
      </c>
      <c r="E7234" t="inlineStr">
        <is>
          <t>1</t>
        </is>
      </c>
      <c r="F7234" t="inlineStr">
        <is>
          <t>48</t>
        </is>
      </c>
      <c r="G7234" t="inlineStr">
        <is>
          <t>0</t>
        </is>
      </c>
      <c r="H7234" t="inlineStr">
        <is>
          <t>0</t>
        </is>
      </c>
      <c r="I7234" t="inlineStr">
        <is>
          <t>12³, 84³</t>
        </is>
      </c>
      <c r="J7234" t="n">
        <v>6</v>
      </c>
      <c r="K7234" t="inlineStr">
        <is>
          <t>1⁴, 2⁴, 6², 12²</t>
        </is>
      </c>
      <c r="L7234" t="inlineStr">
        <is>
          <t>12J¹, 28G⁶, 84C⁸, 84A¹¹</t>
        </is>
      </c>
      <c r="M7234" t="inlineStr"/>
      <c r="N7234" t="inlineStr">
        <is>
          <t>28C³, 12C⁰, 4C⁰, 2B⁰, 28G⁶, 1A⁰, 28A², 12A⁰, 21A², 84C⁸, 4A⁰, 7B⁰, 42A⁵, 14C¹, 12J¹, 4F⁰, 84A¹¹, 3A⁰, 6D⁰</t>
        </is>
      </c>
      <c r="O7234" t="inlineStr"/>
    </row>
    <row r="7235">
      <c r="A7235">
        <f>HYPERLINK("https://mathstats.uncg.edu/sites/pauli/congruence/csg22.html#group84J22", "84J²²")</f>
        <v/>
      </c>
      <c r="B7235" t="n">
        <v>22</v>
      </c>
      <c r="C7235" t="inlineStr"/>
      <c r="D7235" t="inlineStr">
        <is>
          <t>288</t>
        </is>
      </c>
      <c r="E7235" t="inlineStr">
        <is>
          <t>1</t>
        </is>
      </c>
      <c r="F7235" t="inlineStr">
        <is>
          <t>144</t>
        </is>
      </c>
      <c r="G7235" t="inlineStr">
        <is>
          <t>0</t>
        </is>
      </c>
      <c r="H7235" t="inlineStr">
        <is>
          <t>0</t>
        </is>
      </c>
      <c r="I7235" t="inlineStr">
        <is>
          <t>12³, 84³</t>
        </is>
      </c>
      <c r="J7235" t="n">
        <v>6</v>
      </c>
      <c r="K7235" t="inlineStr">
        <is>
          <t>1⁴, 2⁸, 4⁴, 6², 12⁴, 24²</t>
        </is>
      </c>
      <c r="L7235" t="inlineStr">
        <is>
          <t>12M¹, 84A¹¹</t>
        </is>
      </c>
      <c r="M7235" t="inlineStr"/>
      <c r="N7235" t="inlineStr">
        <is>
          <t>28C³, 12C⁰, 4C⁰, 12M¹, 2B⁰, 1A⁰, 21A², 42A⁵, 7B⁰, 14C¹, 84A¹¹, 3A⁰, 6D⁰</t>
        </is>
      </c>
      <c r="O7235" t="inlineStr"/>
    </row>
    <row r="7236">
      <c r="A7236">
        <f>HYPERLINK("https://mathstats.uncg.edu/sites/pauli/congruence/csg22.html#group84K22", "84K²²")</f>
        <v/>
      </c>
      <c r="B7236" t="n">
        <v>22</v>
      </c>
      <c r="C7236" t="inlineStr"/>
      <c r="D7236" t="inlineStr">
        <is>
          <t>288</t>
        </is>
      </c>
      <c r="E7236" t="inlineStr">
        <is>
          <t>2</t>
        </is>
      </c>
      <c r="F7236" t="inlineStr">
        <is>
          <t>8</t>
        </is>
      </c>
      <c r="G7236" t="inlineStr">
        <is>
          <t>0</t>
        </is>
      </c>
      <c r="H7236" t="inlineStr">
        <is>
          <t>0</t>
        </is>
      </c>
      <c r="I7236" t="inlineStr">
        <is>
          <t>12³, 84³</t>
        </is>
      </c>
      <c r="J7236" t="n">
        <v>6</v>
      </c>
      <c r="K7236" t="inlineStr">
        <is>
          <t>2², 12¹</t>
        </is>
      </c>
      <c r="L7236" t="inlineStr">
        <is>
          <t>84B⁴, 28E⁶, 84A⁶, 42J¹⁰</t>
        </is>
      </c>
      <c r="M7236" t="inlineStr"/>
      <c r="N7236" t="inlineStr">
        <is>
          <t>2A⁰, 42J¹⁰, 28A⁰, 42B⁵, 2B⁰, 84A⁶, 28E⁶, 14E², 1A⁰, 84B⁴, 7B⁰, 14B⁰, 42C², 14C¹, 2C⁰, 42B³, 21A¹</t>
        </is>
      </c>
      <c r="O7236" t="inlineStr"/>
    </row>
    <row r="7237">
      <c r="A7237">
        <f>HYPERLINK("https://mathstats.uncg.edu/sites/pauli/congruence/csg22.html#group84L22", "84L²²")</f>
        <v/>
      </c>
      <c r="B7237" t="n">
        <v>22</v>
      </c>
      <c r="C7237" t="inlineStr"/>
      <c r="D7237" t="inlineStr">
        <is>
          <t>288</t>
        </is>
      </c>
      <c r="E7237" t="inlineStr">
        <is>
          <t>2</t>
        </is>
      </c>
      <c r="F7237" t="inlineStr">
        <is>
          <t>48</t>
        </is>
      </c>
      <c r="G7237" t="inlineStr">
        <is>
          <t>0</t>
        </is>
      </c>
      <c r="H7237" t="inlineStr">
        <is>
          <t>0</t>
        </is>
      </c>
      <c r="I7237" t="inlineStr">
        <is>
          <t>12³, 84³</t>
        </is>
      </c>
      <c r="J7237" t="n">
        <v>6</v>
      </c>
      <c r="K7237" t="inlineStr">
        <is>
          <t>2⁴, 4⁴, 12², 24²</t>
        </is>
      </c>
      <c r="L7237" t="inlineStr">
        <is>
          <t>28G⁶, 84A⁷, 84C¹¹</t>
        </is>
      </c>
      <c r="M7237" t="inlineStr"/>
      <c r="N7237" t="inlineStr">
        <is>
          <t>84C¹¹, 42B⁵, 7B⁰, 4A⁰, 4C⁰, 14C¹, 2B⁰, 84A⁷, 4F⁰, 28G⁶, 28C³, 1A⁰, 28A², 21A¹</t>
        </is>
      </c>
      <c r="O7237" t="inlineStr"/>
    </row>
    <row r="7238">
      <c r="A7238">
        <f>HYPERLINK("https://mathstats.uncg.edu/sites/pauli/congruence/csg22.html#group84M22", "84M²²")</f>
        <v/>
      </c>
      <c r="B7238" t="n">
        <v>22</v>
      </c>
      <c r="C7238" t="inlineStr"/>
      <c r="D7238" t="inlineStr">
        <is>
          <t>378</t>
        </is>
      </c>
      <c r="E7238" t="inlineStr">
        <is>
          <t>1</t>
        </is>
      </c>
      <c r="F7238" t="inlineStr">
        <is>
          <t>63</t>
        </is>
      </c>
      <c r="G7238" t="inlineStr">
        <is>
          <t>24</t>
        </is>
      </c>
      <c r="H7238" t="inlineStr">
        <is>
          <t>0</t>
        </is>
      </c>
      <c r="I7238" t="inlineStr">
        <is>
          <t>21⁶, 84³</t>
        </is>
      </c>
      <c r="J7238" t="n">
        <v>9</v>
      </c>
      <c r="K7238" t="inlineStr">
        <is>
          <t>3³, 6⁹</t>
        </is>
      </c>
      <c r="L7238" t="inlineStr">
        <is>
          <t>28H⁵, 42K¹⁰</t>
        </is>
      </c>
      <c r="M7238" t="inlineStr"/>
      <c r="N7238" t="inlineStr">
        <is>
          <t>7D⁰, 14B¹, 42K¹⁰, 21A⁰, 2B⁰, 1A⁰, 21E¹, 28H⁵, 14F², 3A⁰, 42C³, 6D⁰, 7A⁰</t>
        </is>
      </c>
      <c r="O7238" t="inlineStr"/>
    </row>
    <row r="7239">
      <c r="A7239">
        <f>HYPERLINK("https://mathstats.uncg.edu/sites/pauli/congruence/csg22.html#group84N22", "84N²²")</f>
        <v/>
      </c>
      <c r="B7239" t="n">
        <v>22</v>
      </c>
      <c r="C7239" t="inlineStr"/>
      <c r="D7239" t="inlineStr">
        <is>
          <t>378</t>
        </is>
      </c>
      <c r="E7239" t="inlineStr">
        <is>
          <t>1</t>
        </is>
      </c>
      <c r="F7239" t="inlineStr">
        <is>
          <t>63</t>
        </is>
      </c>
      <c r="G7239" t="inlineStr">
        <is>
          <t>30</t>
        </is>
      </c>
      <c r="H7239" t="inlineStr">
        <is>
          <t>0</t>
        </is>
      </c>
      <c r="I7239" t="inlineStr">
        <is>
          <t>42³, 84³</t>
        </is>
      </c>
      <c r="J7239" t="n">
        <v>6</v>
      </c>
      <c r="K7239" t="inlineStr">
        <is>
          <t>3³, 6⁹</t>
        </is>
      </c>
      <c r="L7239" t="inlineStr">
        <is>
          <t>28I⁶, 84B⁶, 42K¹⁰</t>
        </is>
      </c>
      <c r="M7239" t="inlineStr"/>
      <c r="N7239" t="inlineStr">
        <is>
          <t>12C⁰, 7D⁰, 14B¹, 42K¹⁰, 4C⁰, 21A⁰, 2B⁰, 28I⁶, 1A⁰, 28C², 21E¹, 14F², 3A⁰, 42C³, 84B⁶, 6D⁰, 7A⁰</t>
        </is>
      </c>
      <c r="O7239" t="inlineStr"/>
    </row>
    <row r="7240">
      <c r="A7240">
        <f>HYPERLINK("https://mathstats.uncg.edu/sites/pauli/congruence/csg22.html#group88A22", "88A²²")</f>
        <v/>
      </c>
      <c r="B7240" t="n">
        <v>22</v>
      </c>
      <c r="C7240" t="inlineStr"/>
      <c r="D7240" t="inlineStr">
        <is>
          <t>288</t>
        </is>
      </c>
      <c r="E7240" t="inlineStr">
        <is>
          <t>1</t>
        </is>
      </c>
      <c r="F7240" t="inlineStr">
        <is>
          <t>144</t>
        </is>
      </c>
      <c r="G7240" t="inlineStr">
        <is>
          <t>0</t>
        </is>
      </c>
      <c r="H7240" t="inlineStr">
        <is>
          <t>0</t>
        </is>
      </c>
      <c r="I7240" t="inlineStr">
        <is>
          <t>8³, 88³</t>
        </is>
      </c>
      <c r="J7240" t="n">
        <v>6</v>
      </c>
      <c r="K7240" t="inlineStr">
        <is>
          <t>2⁴, 4⁴, 20², 40²</t>
        </is>
      </c>
      <c r="L7240" t="inlineStr">
        <is>
          <t>8D¹, 88A⁸, 44C¹⁰</t>
        </is>
      </c>
      <c r="M7240" t="inlineStr"/>
      <c r="N7240" t="inlineStr">
        <is>
          <t>44C¹⁰, 4A⁰, 11A¹, 44B⁴, 4C⁰, 8A⁰, 44B⁵, 2B⁰, 4F⁰, 88A⁸, 22C², 1A⁰, 8D¹</t>
        </is>
      </c>
      <c r="O7240" t="inlineStr"/>
    </row>
    <row r="7241">
      <c r="A7241">
        <f>HYPERLINK("https://mathstats.uncg.edu/sites/pauli/congruence/csg22.html#group90A22", "90A²²")</f>
        <v/>
      </c>
      <c r="B7241" t="n">
        <v>22</v>
      </c>
      <c r="C7241" t="inlineStr"/>
      <c r="D7241" t="inlineStr">
        <is>
          <t>270</t>
        </is>
      </c>
      <c r="E7241" t="inlineStr">
        <is>
          <t>1</t>
        </is>
      </c>
      <c r="F7241" t="inlineStr">
        <is>
          <t>45</t>
        </is>
      </c>
      <c r="G7241" t="inlineStr">
        <is>
          <t>0</t>
        </is>
      </c>
      <c r="H7241" t="inlineStr">
        <is>
          <t>0</t>
        </is>
      </c>
      <c r="I7241" t="inlineStr">
        <is>
          <t>90³</t>
        </is>
      </c>
      <c r="J7241" t="n">
        <v>3</v>
      </c>
      <c r="K7241" t="inlineStr">
        <is>
          <t>1¹, 2¹, 4¹, 6¹, 8¹, 24¹</t>
        </is>
      </c>
      <c r="L7241" t="inlineStr">
        <is>
          <t>30A⁷, 45D⁷, 90A⁸</t>
        </is>
      </c>
      <c r="M7241" t="inlineStr"/>
      <c r="N7241" t="inlineStr">
        <is>
          <t>2A⁰, 30A³, 5A⁰, 10A², 30A⁷, 15F¹, 90A⁸, 18A², 1A⁰, 45D⁷, 10A⁰, 30B¹, 9A⁰, 5E⁰, 45A³, 6A¹, 3A⁰, 15A¹, 15A⁰</t>
        </is>
      </c>
      <c r="O7241" t="inlineStr"/>
    </row>
    <row r="7242">
      <c r="A7242">
        <f>HYPERLINK("https://mathstats.uncg.edu/sites/pauli/congruence/csg22.html#group90B22", "90B²²")</f>
        <v/>
      </c>
      <c r="B7242" t="n">
        <v>22</v>
      </c>
      <c r="C7242" t="inlineStr"/>
      <c r="D7242" t="inlineStr">
        <is>
          <t>270</t>
        </is>
      </c>
      <c r="E7242" t="inlineStr">
        <is>
          <t>1</t>
        </is>
      </c>
      <c r="F7242" t="inlineStr">
        <is>
          <t>45</t>
        </is>
      </c>
      <c r="G7242" t="inlineStr">
        <is>
          <t>0</t>
        </is>
      </c>
      <c r="H7242" t="inlineStr">
        <is>
          <t>0</t>
        </is>
      </c>
      <c r="I7242" t="inlineStr">
        <is>
          <t>90³</t>
        </is>
      </c>
      <c r="J7242" t="n">
        <v>3</v>
      </c>
      <c r="K7242" t="inlineStr">
        <is>
          <t>1¹, 2¹, 4¹, 6¹, 8¹, 24¹</t>
        </is>
      </c>
      <c r="L7242" t="inlineStr">
        <is>
          <t>18A⁴, 30B⁷, 90A⁸, 90D¹⁰</t>
        </is>
      </c>
      <c r="M7242" t="inlineStr"/>
      <c r="N7242" t="inlineStr">
        <is>
          <t>2A⁰, 30A³, 5A⁰, 90D¹⁰, 10B¹, 6C¹, 90A⁸, 30B⁷, 18A², 2B⁰, 10B², 1A⁰, 30D³, 30A¹, 10A⁰, 6A⁰, 18A⁴, 9A⁰, 6D⁰, 6A¹, 18E¹, 3A⁰, 2C⁰, 15A¹, 45A³</t>
        </is>
      </c>
      <c r="O7242" t="inlineStr"/>
    </row>
    <row r="7243">
      <c r="A7243">
        <f>HYPERLINK("https://mathstats.uncg.edu/sites/pauli/congruence/csg22.html#group90C22", "90C²²")</f>
        <v/>
      </c>
      <c r="B7243" t="n">
        <v>22</v>
      </c>
      <c r="C7243" t="inlineStr"/>
      <c r="D7243" t="inlineStr">
        <is>
          <t>270</t>
        </is>
      </c>
      <c r="E7243" t="inlineStr">
        <is>
          <t>1</t>
        </is>
      </c>
      <c r="F7243" t="inlineStr">
        <is>
          <t>90</t>
        </is>
      </c>
      <c r="G7243" t="inlineStr">
        <is>
          <t>0</t>
        </is>
      </c>
      <c r="H7243" t="inlineStr">
        <is>
          <t>0</t>
        </is>
      </c>
      <c r="I7243" t="inlineStr">
        <is>
          <t>90³</t>
        </is>
      </c>
      <c r="J7243" t="n">
        <v>3</v>
      </c>
      <c r="K7243" t="inlineStr">
        <is>
          <t>2¹, 4³, 8², 12¹, 24²</t>
        </is>
      </c>
      <c r="L7243" t="inlineStr">
        <is>
          <t>30D⁷, 90A⁸</t>
        </is>
      </c>
      <c r="M7243" t="inlineStr"/>
      <c r="N7243" t="inlineStr">
        <is>
          <t>2A⁰, 30A³, 5A⁰, 30B², 10A⁰, 10E⁰, 9A⁰, 30D⁷, 90A⁸, 6A¹, 18A², 3A⁰, 1A⁰, 15A¹, 45A³</t>
        </is>
      </c>
      <c r="O7243" t="inlineStr"/>
    </row>
    <row r="7244">
      <c r="A7244">
        <f>HYPERLINK("https://mathstats.uncg.edu/sites/pauli/congruence/csg22.html#group90D22", "90D²²")</f>
        <v/>
      </c>
      <c r="B7244" t="n">
        <v>22</v>
      </c>
      <c r="C7244" t="inlineStr"/>
      <c r="D7244" t="inlineStr">
        <is>
          <t>270</t>
        </is>
      </c>
      <c r="E7244" t="inlineStr">
        <is>
          <t>1</t>
        </is>
      </c>
      <c r="F7244" t="inlineStr">
        <is>
          <t>135</t>
        </is>
      </c>
      <c r="G7244" t="inlineStr">
        <is>
          <t>0</t>
        </is>
      </c>
      <c r="H7244" t="inlineStr">
        <is>
          <t>0</t>
        </is>
      </c>
      <c r="I7244" t="inlineStr">
        <is>
          <t>90³</t>
        </is>
      </c>
      <c r="J7244" t="n">
        <v>3</v>
      </c>
      <c r="K7244" t="inlineStr">
        <is>
          <t>3¹, 6⁴, 12¹, 24⁴</t>
        </is>
      </c>
      <c r="L7244" t="inlineStr">
        <is>
          <t>18B⁴, 90A⁸, 45B⁹</t>
        </is>
      </c>
      <c r="M7244" t="inlineStr"/>
      <c r="N7244" t="inlineStr">
        <is>
          <t>2A⁰, 30A³, 5A⁰, 18B⁴, 9G⁰, 90A⁸, 18A², 1A⁰, 45B⁹, 10A⁰, 9A⁰, 6A¹, 3A⁰, 15A¹, 45A³</t>
        </is>
      </c>
      <c r="O7244" t="inlineStr"/>
    </row>
    <row r="7245">
      <c r="A7245">
        <f>HYPERLINK("https://mathstats.uncg.edu/sites/pauli/congruence/csg22.html#group90E22", "90E²²")</f>
        <v/>
      </c>
      <c r="B7245" t="n">
        <v>22</v>
      </c>
      <c r="C7245" t="inlineStr"/>
      <c r="D7245" t="inlineStr">
        <is>
          <t>324</t>
        </is>
      </c>
      <c r="E7245" t="inlineStr">
        <is>
          <t>1</t>
        </is>
      </c>
      <c r="F7245" t="inlineStr">
        <is>
          <t>162</t>
        </is>
      </c>
      <c r="G7245" t="inlineStr">
        <is>
          <t>8</t>
        </is>
      </c>
      <c r="H7245" t="inlineStr">
        <is>
          <t>0</t>
        </is>
      </c>
      <c r="I7245" t="inlineStr">
        <is>
          <t>9², 18², 45², 90²</t>
        </is>
      </c>
      <c r="J7245" t="n">
        <v>8</v>
      </c>
      <c r="K7245" t="inlineStr">
        <is>
          <t>1⁶, 2⁶, 4³, 6⁶, 8³, 24³</t>
        </is>
      </c>
      <c r="L7245" t="inlineStr">
        <is>
          <t>30I⁴, 45D⁶, 90E¹⁰</t>
        </is>
      </c>
      <c r="M7245" t="inlineStr"/>
      <c r="N7245" t="inlineStr">
        <is>
          <t>45A², 15B⁰, 30E², 45D⁶, 9A⁰, 30I⁴, 90E¹⁰, 5B⁰, 10C⁰, 2B⁰, 18E¹, 3A⁰, 1A⁰, 6D⁰, 15C⁰</t>
        </is>
      </c>
      <c r="O7245" t="inlineStr"/>
    </row>
    <row r="7246">
      <c r="A7246">
        <f>HYPERLINK("https://mathstats.uncg.edu/sites/pauli/congruence/csg22.html#group90F22", "90F²²")</f>
        <v/>
      </c>
      <c r="B7246" t="n">
        <v>22</v>
      </c>
      <c r="C7246" t="inlineStr"/>
      <c r="D7246" t="inlineStr">
        <is>
          <t>324</t>
        </is>
      </c>
      <c r="E7246" t="inlineStr">
        <is>
          <t>1</t>
        </is>
      </c>
      <c r="F7246" t="inlineStr">
        <is>
          <t>162</t>
        </is>
      </c>
      <c r="G7246" t="inlineStr">
        <is>
          <t>12</t>
        </is>
      </c>
      <c r="H7246" t="inlineStr">
        <is>
          <t>0</t>
        </is>
      </c>
      <c r="I7246" t="inlineStr">
        <is>
          <t>18³, 90³</t>
        </is>
      </c>
      <c r="J7246" t="n">
        <v>6</v>
      </c>
      <c r="K7246" t="inlineStr">
        <is>
          <t>3², 6⁸, 12¹, 24⁴</t>
        </is>
      </c>
      <c r="L7246" t="inlineStr">
        <is>
          <t>10B⁰, 45A¹⁰</t>
        </is>
      </c>
      <c r="M7246" t="inlineStr"/>
      <c r="N7246" t="inlineStr">
        <is>
          <t>5B⁰, 9F⁰, 1A⁰, 45A¹⁰, 10B⁰</t>
        </is>
      </c>
      <c r="O7246" t="inlineStr"/>
    </row>
    <row r="7247">
      <c r="A7247">
        <f>HYPERLINK("https://mathstats.uncg.edu/sites/pauli/congruence/csg22.html#group90G22", "90G²²")</f>
        <v/>
      </c>
      <c r="B7247" t="n">
        <v>22</v>
      </c>
      <c r="C7247" t="inlineStr"/>
      <c r="D7247" t="inlineStr">
        <is>
          <t>324</t>
        </is>
      </c>
      <c r="E7247" t="inlineStr">
        <is>
          <t>1</t>
        </is>
      </c>
      <c r="F7247" t="inlineStr">
        <is>
          <t>162</t>
        </is>
      </c>
      <c r="G7247" t="inlineStr">
        <is>
          <t>12</t>
        </is>
      </c>
      <c r="H7247" t="inlineStr">
        <is>
          <t>0</t>
        </is>
      </c>
      <c r="I7247" t="inlineStr">
        <is>
          <t>18³, 90³</t>
        </is>
      </c>
      <c r="J7247" t="n">
        <v>6</v>
      </c>
      <c r="K7247" t="inlineStr">
        <is>
          <t>1⁶, 2⁶, 4³, 6⁶, 8³, 24³</t>
        </is>
      </c>
      <c r="L7247" t="inlineStr">
        <is>
          <t>30D⁶, 90B⁶, 90E¹⁰</t>
        </is>
      </c>
      <c r="M7247" t="inlineStr"/>
      <c r="N7247" t="inlineStr">
        <is>
          <t>45A², 90B⁶, 15B⁰, 30D⁶, 30E², 9A⁰, 90E¹⁰, 5B⁰, 10C⁰, 2B⁰, 18E¹, 3A⁰, 1A⁰, 6D⁰, 30C²</t>
        </is>
      </c>
      <c r="O7247" t="inlineStr"/>
    </row>
    <row r="7248">
      <c r="A7248">
        <f>HYPERLINK("https://mathstats.uncg.edu/sites/pauli/congruence/csg22.html#group90H22", "90H²²")</f>
        <v/>
      </c>
      <c r="B7248" t="n">
        <v>22</v>
      </c>
      <c r="C7248" t="inlineStr"/>
      <c r="D7248" t="inlineStr">
        <is>
          <t>324</t>
        </is>
      </c>
      <c r="E7248" t="inlineStr">
        <is>
          <t>2</t>
        </is>
      </c>
      <c r="F7248" t="inlineStr">
        <is>
          <t>162</t>
        </is>
      </c>
      <c r="G7248" t="inlineStr">
        <is>
          <t>12</t>
        </is>
      </c>
      <c r="H7248" t="inlineStr">
        <is>
          <t>0</t>
        </is>
      </c>
      <c r="I7248" t="inlineStr">
        <is>
          <t>18³, 90³</t>
        </is>
      </c>
      <c r="J7248" t="n">
        <v>6</v>
      </c>
      <c r="K7248" t="inlineStr">
        <is>
          <t>6¹⁸, 24⁹</t>
        </is>
      </c>
      <c r="L7248" t="inlineStr">
        <is>
          <t>90B⁶, 45D⁸, 90B⁸</t>
        </is>
      </c>
      <c r="M7248" t="inlineStr"/>
      <c r="N7248" t="inlineStr">
        <is>
          <t>45A², 90B⁸, 90B⁶, 15B⁰, 45D⁸, 9A⁰, 9G⁰, 5B⁰, 3A⁰, 1A⁰, 30C²</t>
        </is>
      </c>
      <c r="O7248" t="inlineStr"/>
    </row>
    <row r="7249">
      <c r="A7249">
        <f>HYPERLINK("https://mathstats.uncg.edu/sites/pauli/congruence/csg22.html#group90I22", "90I²²")</f>
        <v/>
      </c>
      <c r="B7249" t="n">
        <v>22</v>
      </c>
      <c r="C7249" t="inlineStr"/>
      <c r="D7249" t="inlineStr">
        <is>
          <t>360</t>
        </is>
      </c>
      <c r="E7249" t="inlineStr">
        <is>
          <t>1</t>
        </is>
      </c>
      <c r="F7249" t="inlineStr">
        <is>
          <t>40</t>
        </is>
      </c>
      <c r="G7249" t="inlineStr">
        <is>
          <t>0</t>
        </is>
      </c>
      <c r="H7249" t="inlineStr">
        <is>
          <t>18</t>
        </is>
      </c>
      <c r="I7249" t="inlineStr">
        <is>
          <t>30³, 90³</t>
        </is>
      </c>
      <c r="J7249" t="n">
        <v>6</v>
      </c>
      <c r="K7249" t="inlineStr">
        <is>
          <t>2⁴, 8⁴</t>
        </is>
      </c>
      <c r="L7249" t="inlineStr">
        <is>
          <t>18K¹, 90C⁶, 30K⁷, 90E⁷, 90C⁸</t>
        </is>
      </c>
      <c r="M7249" t="inlineStr"/>
      <c r="N7249" t="inlineStr">
        <is>
          <t>3B⁰, 2A⁰, 5A⁰, 18K¹, 18B⁰, 6C⁰, 30K⁷, 30D², 9C⁰, 1A⁰, 18C⁰, 90E⁷, 45B³, 10A⁰, 30A¹, 6A⁰, 90C⁶, 6J⁰, 15B¹, 90C⁸, 18D¹</t>
        </is>
      </c>
      <c r="O7249" t="inlineStr"/>
    </row>
    <row r="7250">
      <c r="A7250">
        <f>HYPERLINK("https://mathstats.uncg.edu/sites/pauli/congruence/csg22.html#group90J22", "90J²²")</f>
        <v/>
      </c>
      <c r="B7250" t="n">
        <v>22</v>
      </c>
      <c r="C7250" t="inlineStr"/>
      <c r="D7250" t="inlineStr">
        <is>
          <t>360</t>
        </is>
      </c>
      <c r="E7250" t="inlineStr">
        <is>
          <t>1</t>
        </is>
      </c>
      <c r="F7250" t="inlineStr">
        <is>
          <t>40</t>
        </is>
      </c>
      <c r="G7250" t="inlineStr">
        <is>
          <t>0</t>
        </is>
      </c>
      <c r="H7250" t="inlineStr">
        <is>
          <t>18</t>
        </is>
      </c>
      <c r="I7250" t="inlineStr">
        <is>
          <t>30³, 90³</t>
        </is>
      </c>
      <c r="J7250" t="n">
        <v>6</v>
      </c>
      <c r="K7250" t="inlineStr">
        <is>
          <t>2², 4⁵, 8²</t>
        </is>
      </c>
      <c r="L7250" t="inlineStr">
        <is>
          <t>30E⁶, 90C⁶, 90F⁸</t>
        </is>
      </c>
      <c r="M7250" t="inlineStr"/>
      <c r="N7250" t="inlineStr">
        <is>
          <t>90F⁸, 3B⁰, 2A⁰, 5A⁰, 45B³, 30E⁶, 10A⁰, 90C⁶, 18B⁰, 10E⁰, 30D², 6C⁰, 15B¹, 9C⁰, 1A⁰</t>
        </is>
      </c>
      <c r="O7250" t="inlineStr"/>
    </row>
    <row r="7251">
      <c r="A7251">
        <f>HYPERLINK("https://mathstats.uncg.edu/sites/pauli/congruence/csg22.html#group90K22", "90K²²")</f>
        <v/>
      </c>
      <c r="B7251" t="n">
        <v>22</v>
      </c>
      <c r="C7251" t="inlineStr"/>
      <c r="D7251" t="inlineStr">
        <is>
          <t>360</t>
        </is>
      </c>
      <c r="E7251" t="inlineStr">
        <is>
          <t>2</t>
        </is>
      </c>
      <c r="F7251" t="inlineStr">
        <is>
          <t>20</t>
        </is>
      </c>
      <c r="G7251" t="inlineStr">
        <is>
          <t>0</t>
        </is>
      </c>
      <c r="H7251" t="inlineStr">
        <is>
          <t>18</t>
        </is>
      </c>
      <c r="I7251" t="inlineStr">
        <is>
          <t>30³, 90³</t>
        </is>
      </c>
      <c r="J7251" t="n">
        <v>6</v>
      </c>
      <c r="K7251" t="inlineStr">
        <is>
          <t>2², 4¹, 8⁴</t>
        </is>
      </c>
      <c r="L7251" t="inlineStr">
        <is>
          <t>90C⁶, 30M⁷, 90F⁷, 90D⁸, 45C¹⁰</t>
        </is>
      </c>
      <c r="M7251" t="inlineStr"/>
      <c r="N7251" t="inlineStr">
        <is>
          <t>3B⁰, 2A⁰, 5A⁰, 45C³, 15D³, 18B⁰, 30D², 6C⁰, 45B⁴, 90D⁸, 9C⁰, 1A⁰, 90F⁷, 45B³, 10A⁰, 30B¹, 90C⁶, 15B¹, 30M⁷, 45C¹⁰, 15A⁰</t>
        </is>
      </c>
      <c r="O7251" t="inlineStr"/>
    </row>
    <row r="7252">
      <c r="A7252">
        <f>HYPERLINK("https://mathstats.uncg.edu/sites/pauli/congruence/csg22.html#group90L22", "90L²²")</f>
        <v/>
      </c>
      <c r="B7252" t="n">
        <v>22</v>
      </c>
      <c r="C7252" t="inlineStr"/>
      <c r="D7252" t="inlineStr">
        <is>
          <t>360</t>
        </is>
      </c>
      <c r="E7252" t="inlineStr">
        <is>
          <t>2</t>
        </is>
      </c>
      <c r="F7252" t="inlineStr">
        <is>
          <t>40</t>
        </is>
      </c>
      <c r="G7252" t="inlineStr">
        <is>
          <t>0</t>
        </is>
      </c>
      <c r="H7252" t="inlineStr">
        <is>
          <t>9</t>
        </is>
      </c>
      <c r="I7252" t="inlineStr">
        <is>
          <t>10⁹, 90³</t>
        </is>
      </c>
      <c r="J7252" t="n">
        <v>12</v>
      </c>
      <c r="K7252" t="inlineStr">
        <is>
          <t>4⁴, 8⁸</t>
        </is>
      </c>
      <c r="L7252" t="inlineStr">
        <is>
          <t>30E⁶, 90E⁷, 90F⁷, 90E⁸</t>
        </is>
      </c>
      <c r="M7252" t="inlineStr"/>
      <c r="N7252" t="inlineStr">
        <is>
          <t>3B⁰, 2A⁰, 90E⁷, 5A⁰, 30E⁶, 10A⁰, 18C⁰, 45C³, 90E⁸, 10E⁰, 30D², 6C⁰, 15B¹, 1A⁰, 90F⁷</t>
        </is>
      </c>
      <c r="O7252" t="inlineStr"/>
    </row>
    <row r="7253">
      <c r="A7253">
        <f>HYPERLINK("https://mathstats.uncg.edu/sites/pauli/congruence/csg22.html#group92A22", "92A²²")</f>
        <v/>
      </c>
      <c r="B7253" t="n">
        <v>22</v>
      </c>
      <c r="C7253" t="inlineStr"/>
      <c r="D7253" t="inlineStr">
        <is>
          <t>288</t>
        </is>
      </c>
      <c r="E7253" t="inlineStr">
        <is>
          <t>1</t>
        </is>
      </c>
      <c r="F7253" t="inlineStr">
        <is>
          <t>24</t>
        </is>
      </c>
      <c r="G7253" t="inlineStr">
        <is>
          <t>0</t>
        </is>
      </c>
      <c r="H7253" t="inlineStr">
        <is>
          <t>0</t>
        </is>
      </c>
      <c r="I7253" t="inlineStr">
        <is>
          <t>4³, 92³</t>
        </is>
      </c>
      <c r="J7253" t="n">
        <v>6</v>
      </c>
      <c r="K7253" t="inlineStr">
        <is>
          <t>1², 22¹</t>
        </is>
      </c>
      <c r="L7253" t="inlineStr">
        <is>
          <t>92A⁸, 46A¹⁰</t>
        </is>
      </c>
      <c r="M7253" t="inlineStr"/>
      <c r="N7253" t="inlineStr">
        <is>
          <t>2A⁰, 46A⁵, 92A⁸, 23A², 2B⁰, 46A¹⁰, 1A⁰, 2C⁰, 46A⁴</t>
        </is>
      </c>
      <c r="O7253" t="inlineStr"/>
    </row>
    <row r="7254">
      <c r="A7254">
        <f>HYPERLINK("https://mathstats.uncg.edu/sites/pauli/congruence/csg22.html#group92B22", "92B²²")</f>
        <v/>
      </c>
      <c r="B7254" t="n">
        <v>22</v>
      </c>
      <c r="C7254" t="inlineStr"/>
      <c r="D7254" t="inlineStr">
        <is>
          <t>288</t>
        </is>
      </c>
      <c r="E7254" t="inlineStr">
        <is>
          <t>1</t>
        </is>
      </c>
      <c r="F7254" t="inlineStr">
        <is>
          <t>144</t>
        </is>
      </c>
      <c r="G7254" t="inlineStr">
        <is>
          <t>0</t>
        </is>
      </c>
      <c r="H7254" t="inlineStr">
        <is>
          <t>0</t>
        </is>
      </c>
      <c r="I7254" t="inlineStr">
        <is>
          <t>4³, 92³</t>
        </is>
      </c>
      <c r="J7254" t="n">
        <v>6</v>
      </c>
      <c r="K7254" t="inlineStr">
        <is>
          <t>1⁴, 2⁴, 22², 44²</t>
        </is>
      </c>
      <c r="L7254" t="inlineStr">
        <is>
          <t>4F⁰, 92B⁸, 92A¹¹</t>
        </is>
      </c>
      <c r="M7254" t="inlineStr"/>
      <c r="N7254" t="inlineStr">
        <is>
          <t>92A¹¹, 4A⁰, 4C⁰, 46A⁵, 92B⁸, 23A², 2B⁰, 4F⁰, 1A⁰</t>
        </is>
      </c>
      <c r="O7254" t="inlineStr"/>
    </row>
    <row r="7255">
      <c r="A7255">
        <f>HYPERLINK("https://mathstats.uncg.edu/sites/pauli/congruence/csg22.html#group93A22", "93A²²")</f>
        <v/>
      </c>
      <c r="B7255" t="n">
        <v>22</v>
      </c>
      <c r="C7255" t="inlineStr"/>
      <c r="D7255" t="inlineStr">
        <is>
          <t>288</t>
        </is>
      </c>
      <c r="E7255" t="inlineStr">
        <is>
          <t>1</t>
        </is>
      </c>
      <c r="F7255" t="inlineStr">
        <is>
          <t>32</t>
        </is>
      </c>
      <c r="G7255" t="inlineStr">
        <is>
          <t>0</t>
        </is>
      </c>
      <c r="H7255" t="inlineStr">
        <is>
          <t>0</t>
        </is>
      </c>
      <c r="I7255" t="inlineStr">
        <is>
          <t>3³, 93³</t>
        </is>
      </c>
      <c r="J7255" t="n">
        <v>6</v>
      </c>
      <c r="K7255" t="inlineStr">
        <is>
          <t>1², 30¹</t>
        </is>
      </c>
      <c r="L7255" t="inlineStr">
        <is>
          <t>31A⁶, 93A⁷, 93A⁸</t>
        </is>
      </c>
      <c r="M7255" t="inlineStr"/>
      <c r="N7255" t="inlineStr">
        <is>
          <t>93A⁷, 31A⁶, 31A², 93A⁸, 3A⁰, 1A⁰</t>
        </is>
      </c>
      <c r="O7255" t="inlineStr"/>
    </row>
    <row r="7256">
      <c r="A7256">
        <f>HYPERLINK("https://mathstats.uncg.edu/sites/pauli/congruence/csg22.html#group94A22", "94A²²")</f>
        <v/>
      </c>
      <c r="B7256" t="n">
        <v>22</v>
      </c>
      <c r="C7256" t="inlineStr"/>
      <c r="D7256" t="inlineStr">
        <is>
          <t>288</t>
        </is>
      </c>
      <c r="E7256" t="inlineStr">
        <is>
          <t>1</t>
        </is>
      </c>
      <c r="F7256" t="inlineStr">
        <is>
          <t>48</t>
        </is>
      </c>
      <c r="G7256" t="inlineStr">
        <is>
          <t>0</t>
        </is>
      </c>
      <c r="H7256" t="inlineStr">
        <is>
          <t>0</t>
        </is>
      </c>
      <c r="I7256" t="inlineStr">
        <is>
          <t>2³, 94³</t>
        </is>
      </c>
      <c r="J7256" t="n">
        <v>6</v>
      </c>
      <c r="K7256" t="inlineStr">
        <is>
          <t>1², 46¹</t>
        </is>
      </c>
      <c r="L7256" t="inlineStr">
        <is>
          <t>2C⁰, 94A⁸, 94A¹¹</t>
        </is>
      </c>
      <c r="M7256" t="inlineStr"/>
      <c r="N7256" t="inlineStr">
        <is>
          <t>94A¹¹, 2A⁰, 47A⁴, 2B⁰, 94A⁸, 1A⁰, 2C⁰</t>
        </is>
      </c>
      <c r="O7256" t="inlineStr"/>
    </row>
    <row r="7257">
      <c r="A7257">
        <f>HYPERLINK("https://mathstats.uncg.edu/sites/pauli/congruence/csg22.html#group96A22", "96A²²")</f>
        <v/>
      </c>
      <c r="B7257" t="n">
        <v>22</v>
      </c>
      <c r="C7257" t="inlineStr"/>
      <c r="D7257" t="inlineStr">
        <is>
          <t>288</t>
        </is>
      </c>
      <c r="E7257" t="inlineStr">
        <is>
          <t>1</t>
        </is>
      </c>
      <c r="F7257" t="inlineStr">
        <is>
          <t>12</t>
        </is>
      </c>
      <c r="G7257" t="inlineStr">
        <is>
          <t>0</t>
        </is>
      </c>
      <c r="H7257" t="inlineStr">
        <is>
          <t>0</t>
        </is>
      </c>
      <c r="I7257" t="inlineStr">
        <is>
          <t>24⁴, 96²</t>
        </is>
      </c>
      <c r="J7257" t="n">
        <v>6</v>
      </c>
      <c r="K7257" t="inlineStr">
        <is>
          <t>2⁶</t>
        </is>
      </c>
      <c r="L7257" t="inlineStr">
        <is>
          <t>32A⁶, 48A¹⁰, 96C¹⁰</t>
        </is>
      </c>
      <c r="M7257" t="inlineStr"/>
      <c r="N7257" t="inlineStr">
        <is>
          <t>2A⁰, 48A¹⁰, 12C⁰, 16C², 8D⁰, 6C¹, 4C⁰, 12B², 2B⁰, 4E⁰, 8C⁰, 32A⁶, 4B⁰, 32I³, 1A⁰, 24D⁴, 24B², 48E⁴, 6A⁰, 8G⁰, 16C¹, 24C¹, 12B¹, 6A¹, 3A⁰, 2C⁰, 6D⁰, 96C¹⁰</t>
        </is>
      </c>
      <c r="O7257" t="inlineStr"/>
    </row>
    <row r="7258">
      <c r="A7258">
        <f>HYPERLINK("https://mathstats.uncg.edu/sites/pauli/congruence/csg22.html#group96B22", "96B²²")</f>
        <v/>
      </c>
      <c r="B7258" t="n">
        <v>22</v>
      </c>
      <c r="C7258" t="inlineStr"/>
      <c r="D7258" t="inlineStr">
        <is>
          <t>288</t>
        </is>
      </c>
      <c r="E7258" t="inlineStr">
        <is>
          <t>1</t>
        </is>
      </c>
      <c r="F7258" t="inlineStr">
        <is>
          <t>24</t>
        </is>
      </c>
      <c r="G7258" t="inlineStr">
        <is>
          <t>0</t>
        </is>
      </c>
      <c r="H7258" t="inlineStr">
        <is>
          <t>0</t>
        </is>
      </c>
      <c r="I7258" t="inlineStr">
        <is>
          <t>24⁴, 96²</t>
        </is>
      </c>
      <c r="J7258" t="n">
        <v>6</v>
      </c>
      <c r="K7258" t="inlineStr">
        <is>
          <t>2⁴, 8²</t>
        </is>
      </c>
      <c r="L7258" t="inlineStr">
        <is>
          <t>32B⁶, 48C¹⁰, 96C¹⁰</t>
        </is>
      </c>
      <c r="M7258" t="inlineStr"/>
      <c r="N7258" t="inlineStr">
        <is>
          <t>16D², 24A³, 12C⁰, 8A¹, 8D⁰, 4C⁰, 32I³, 2B⁰, 1A⁰, 16E⁰, 12A⁰, 48E⁴, 8C¹, 4A⁰, 16C¹, 24C¹, 12J¹, 32B⁶, 48C¹⁰, 3A⁰, 4F⁰, 48D³, 6D⁰, 24B⁵, 96C¹⁰</t>
        </is>
      </c>
      <c r="O7258" t="inlineStr"/>
    </row>
    <row r="7259">
      <c r="A7259">
        <f>HYPERLINK("https://mathstats.uncg.edu/sites/pauli/congruence/csg22.html#group96C22", "96C²²")</f>
        <v/>
      </c>
      <c r="B7259" t="n">
        <v>22</v>
      </c>
      <c r="C7259" t="inlineStr"/>
      <c r="D7259" t="inlineStr">
        <is>
          <t>288</t>
        </is>
      </c>
      <c r="E7259" t="inlineStr">
        <is>
          <t>1</t>
        </is>
      </c>
      <c r="F7259" t="inlineStr">
        <is>
          <t>36</t>
        </is>
      </c>
      <c r="G7259" t="inlineStr">
        <is>
          <t>0</t>
        </is>
      </c>
      <c r="H7259" t="inlineStr">
        <is>
          <t>0</t>
        </is>
      </c>
      <c r="I7259" t="inlineStr">
        <is>
          <t>24⁴, 96²</t>
        </is>
      </c>
      <c r="J7259" t="n">
        <v>6</v>
      </c>
      <c r="K7259" t="inlineStr">
        <is>
          <t>2⁶, 4⁶</t>
        </is>
      </c>
      <c r="L7259" t="inlineStr">
        <is>
          <t>48A¹⁰, 96D¹⁰</t>
        </is>
      </c>
      <c r="M7259" t="inlineStr"/>
      <c r="N7259" t="inlineStr">
        <is>
          <t>2A⁰, 48A¹⁰, 12C⁰, 16C², 8D⁰, 6C¹, 4C⁰, 12B², 2B⁰, 4E⁰, 8C⁰, 4B⁰, 1A⁰, 24D⁴, 24B², 48E⁴, 6A⁰, 8G⁰, 16C¹, 24C¹, 12B¹, 6A¹, 3A⁰, 2C⁰, 6D⁰, 96D¹⁰</t>
        </is>
      </c>
      <c r="O7259" t="inlineStr"/>
    </row>
    <row r="7260">
      <c r="A7260">
        <f>HYPERLINK("https://mathstats.uncg.edu/sites/pauli/congruence/csg22.html#group96D22", "96D²²")</f>
        <v/>
      </c>
      <c r="B7260" t="n">
        <v>22</v>
      </c>
      <c r="C7260" t="inlineStr"/>
      <c r="D7260" t="inlineStr">
        <is>
          <t>288</t>
        </is>
      </c>
      <c r="E7260" t="inlineStr">
        <is>
          <t>1</t>
        </is>
      </c>
      <c r="F7260" t="inlineStr">
        <is>
          <t>72</t>
        </is>
      </c>
      <c r="G7260" t="inlineStr">
        <is>
          <t>0</t>
        </is>
      </c>
      <c r="H7260" t="inlineStr">
        <is>
          <t>0</t>
        </is>
      </c>
      <c r="I7260" t="inlineStr">
        <is>
          <t>24⁴, 96²</t>
        </is>
      </c>
      <c r="J7260" t="n">
        <v>6</v>
      </c>
      <c r="K7260" t="inlineStr">
        <is>
          <t>2⁴, 4⁴, 8², 16²</t>
        </is>
      </c>
      <c r="L7260" t="inlineStr">
        <is>
          <t>48C¹⁰, 96D¹⁰</t>
        </is>
      </c>
      <c r="M7260" t="inlineStr"/>
      <c r="N7260" t="inlineStr">
        <is>
          <t>16D², 24A³, 12C⁰, 8A¹, 8D⁰, 4C⁰, 2B⁰, 1A⁰, 16E⁰, 12A⁰, 48E⁴, 8C¹, 4A⁰, 16C¹, 24B⁵, 24C¹, 12J¹, 48D³, 48C¹⁰, 3A⁰, 4F⁰, 6D⁰, 96D¹⁰</t>
        </is>
      </c>
      <c r="O7260" t="inlineStr"/>
    </row>
    <row r="7261">
      <c r="A7261">
        <f>HYPERLINK("https://mathstats.uncg.edu/sites/pauli/congruence/csg22.html#group98A22", "98A²²")</f>
        <v/>
      </c>
      <c r="B7261" t="n">
        <v>22</v>
      </c>
      <c r="C7261" t="inlineStr"/>
      <c r="D7261" t="inlineStr">
        <is>
          <t>294</t>
        </is>
      </c>
      <c r="E7261" t="inlineStr">
        <is>
          <t>1</t>
        </is>
      </c>
      <c r="F7261" t="inlineStr">
        <is>
          <t>147</t>
        </is>
      </c>
      <c r="G7261" t="inlineStr">
        <is>
          <t>8</t>
        </is>
      </c>
      <c r="H7261" t="inlineStr">
        <is>
          <t>0</t>
        </is>
      </c>
      <c r="I7261" t="inlineStr">
        <is>
          <t>98³</t>
        </is>
      </c>
      <c r="J7261" t="n">
        <v>3</v>
      </c>
      <c r="K7261" t="inlineStr">
        <is>
          <t>3¹, 6³, 42³</t>
        </is>
      </c>
      <c r="L7261" t="inlineStr">
        <is>
          <t>14E¹, 49A⁹</t>
        </is>
      </c>
      <c r="M7261" t="inlineStr"/>
      <c r="N7261" t="inlineStr">
        <is>
          <t>1A⁰, 7D⁰, 14E¹, 49A⁹, 7A⁰</t>
        </is>
      </c>
      <c r="O7261" t="inlineStr"/>
    </row>
    <row r="7262">
      <c r="A7262">
        <f>HYPERLINK("https://mathstats.uncg.edu/sites/pauli/congruence/csg22.html#group98B22", "98B²²")</f>
        <v/>
      </c>
      <c r="B7262" t="n">
        <v>22</v>
      </c>
      <c r="C7262" t="inlineStr"/>
      <c r="D7262" t="inlineStr">
        <is>
          <t>392</t>
        </is>
      </c>
      <c r="E7262" t="inlineStr">
        <is>
          <t>1</t>
        </is>
      </c>
      <c r="F7262" t="inlineStr">
        <is>
          <t>196</t>
        </is>
      </c>
      <c r="G7262" t="inlineStr">
        <is>
          <t>8</t>
        </is>
      </c>
      <c r="H7262" t="inlineStr">
        <is>
          <t>14</t>
        </is>
      </c>
      <c r="I7262" t="inlineStr">
        <is>
          <t>14⁷, 98³</t>
        </is>
      </c>
      <c r="J7262" t="n">
        <v>10</v>
      </c>
      <c r="K7262" t="inlineStr">
        <is>
          <t>3¹, 6³, 7¹, 42⁴</t>
        </is>
      </c>
      <c r="L7262" t="inlineStr">
        <is>
          <t>14G¹, 49B⁹</t>
        </is>
      </c>
      <c r="M7262" t="inlineStr"/>
      <c r="N7262" t="inlineStr">
        <is>
          <t>7F⁰, 14A⁰, 14G¹, 7A⁰, 1A⁰, 49B⁹</t>
        </is>
      </c>
      <c r="O7262" t="inlineStr"/>
    </row>
    <row r="7263">
      <c r="A7263">
        <f>HYPERLINK("https://mathstats.uncg.edu/sites/pauli/congruence/csg22.html#group100A22", "100A²²")</f>
        <v/>
      </c>
      <c r="B7263" t="n">
        <v>22</v>
      </c>
      <c r="C7263" t="inlineStr"/>
      <c r="D7263" t="inlineStr">
        <is>
          <t>300</t>
        </is>
      </c>
      <c r="E7263" t="inlineStr">
        <is>
          <t>1</t>
        </is>
      </c>
      <c r="F7263" t="inlineStr">
        <is>
          <t>150</t>
        </is>
      </c>
      <c r="G7263" t="inlineStr">
        <is>
          <t>4</t>
        </is>
      </c>
      <c r="H7263" t="inlineStr">
        <is>
          <t>0</t>
        </is>
      </c>
      <c r="I7263" t="inlineStr">
        <is>
          <t>25⁴, 100²</t>
        </is>
      </c>
      <c r="J7263" t="n">
        <v>6</v>
      </c>
      <c r="K7263" t="inlineStr">
        <is>
          <t>2³, 4⁶, 20⁶</t>
        </is>
      </c>
      <c r="L7263" t="inlineStr">
        <is>
          <t>20F², 50A¹¹</t>
        </is>
      </c>
      <c r="M7263" t="inlineStr"/>
      <c r="N7263" t="inlineStr">
        <is>
          <t>2B⁰, 50A¹¹, 20F², 1A⁰, 25E², 5C⁰, 10F¹</t>
        </is>
      </c>
      <c r="O7263" t="inlineStr"/>
    </row>
    <row r="7264">
      <c r="A7264">
        <f>HYPERLINK("https://mathstats.uncg.edu/sites/pauli/congruence/csg22.html#group105A22", "105A²²")</f>
        <v/>
      </c>
      <c r="B7264" t="n">
        <v>22</v>
      </c>
      <c r="C7264" t="inlineStr"/>
      <c r="D7264" t="inlineStr">
        <is>
          <t>280</t>
        </is>
      </c>
      <c r="E7264" t="inlineStr">
        <is>
          <t>2</t>
        </is>
      </c>
      <c r="F7264" t="inlineStr">
        <is>
          <t>280</t>
        </is>
      </c>
      <c r="G7264" t="inlineStr">
        <is>
          <t>0</t>
        </is>
      </c>
      <c r="H7264" t="inlineStr">
        <is>
          <t>1</t>
        </is>
      </c>
      <c r="I7264" t="inlineStr">
        <is>
          <t>35², 105²</t>
        </is>
      </c>
      <c r="J7264" t="n">
        <v>4</v>
      </c>
      <c r="K7264" t="inlineStr">
        <is>
          <t>4², 8⁵, 12⁴, 16², 24¹⁰, 48⁴</t>
        </is>
      </c>
      <c r="L7264" t="inlineStr">
        <is>
          <t>15C², 21B², 35B⁴</t>
        </is>
      </c>
      <c r="M7264" t="inlineStr"/>
      <c r="N7264" t="inlineStr">
        <is>
          <t>3B⁰, 21B², 35B⁴, 5C⁰, 15C², 1A⁰, 7A⁰</t>
        </is>
      </c>
      <c r="O7264" t="inlineStr"/>
    </row>
    <row r="7265">
      <c r="A7265">
        <f>HYPERLINK("https://mathstats.uncg.edu/sites/pauli/congruence/csg22.html#group105B22", "105B²²")</f>
        <v/>
      </c>
      <c r="B7265" t="n">
        <v>22</v>
      </c>
      <c r="C7265" t="inlineStr"/>
      <c r="D7265" t="inlineStr">
        <is>
          <t>315</t>
        </is>
      </c>
      <c r="E7265" t="inlineStr">
        <is>
          <t>1</t>
        </is>
      </c>
      <c r="F7265" t="inlineStr">
        <is>
          <t>105</t>
        </is>
      </c>
      <c r="G7265" t="inlineStr">
        <is>
          <t>15</t>
        </is>
      </c>
      <c r="H7265" t="inlineStr">
        <is>
          <t>0</t>
        </is>
      </c>
      <c r="I7265" t="inlineStr">
        <is>
          <t>105³</t>
        </is>
      </c>
      <c r="J7265" t="n">
        <v>3</v>
      </c>
      <c r="K7265" t="inlineStr">
        <is>
          <t>3¹, 6³, 12¹, 24³</t>
        </is>
      </c>
      <c r="L7265" t="inlineStr">
        <is>
          <t>21E¹, 35A⁷, 105A⁷</t>
        </is>
      </c>
      <c r="M7265" t="inlineStr"/>
      <c r="N7265" t="inlineStr">
        <is>
          <t>5A⁰, 7D⁰, 21E¹, 35A⁷, 21A⁰, 35A², 3A⁰, 1A⁰, 105A⁷, 15A¹, 7A⁰</t>
        </is>
      </c>
      <c r="O7265" t="inlineStr"/>
    </row>
    <row r="7266">
      <c r="A7266">
        <f>HYPERLINK("https://mathstats.uncg.edu/sites/pauli/congruence/csg22.html#group105C22", "105C²²")</f>
        <v/>
      </c>
      <c r="B7266" t="n">
        <v>22</v>
      </c>
      <c r="C7266" t="inlineStr"/>
      <c r="D7266" t="inlineStr">
        <is>
          <t>315</t>
        </is>
      </c>
      <c r="E7266" t="inlineStr">
        <is>
          <t>2</t>
        </is>
      </c>
      <c r="F7266" t="inlineStr">
        <is>
          <t>105</t>
        </is>
      </c>
      <c r="G7266" t="inlineStr">
        <is>
          <t>15</t>
        </is>
      </c>
      <c r="H7266" t="inlineStr">
        <is>
          <t>0</t>
        </is>
      </c>
      <c r="I7266" t="inlineStr">
        <is>
          <t>105³</t>
        </is>
      </c>
      <c r="J7266" t="n">
        <v>3</v>
      </c>
      <c r="K7266" t="inlineStr">
        <is>
          <t>6¹, 12³, 24¹, 48³</t>
        </is>
      </c>
      <c r="L7266" t="inlineStr">
        <is>
          <t>105A⁶, 105B⁶, 35A⁷</t>
        </is>
      </c>
      <c r="M7266" t="inlineStr"/>
      <c r="N7266" t="inlineStr">
        <is>
          <t>105A⁶, 5A⁰, 105B⁶, 7D⁰, 35A⁷, 1A⁰, 35A², 7A⁰, 15A⁰</t>
        </is>
      </c>
      <c r="O7266" t="inlineStr"/>
    </row>
    <row r="7267">
      <c r="A7267">
        <f>HYPERLINK("https://mathstats.uncg.edu/sites/pauli/congruence/csg22.html#group105D22", "105D²²")</f>
        <v/>
      </c>
      <c r="B7267" t="n">
        <v>22</v>
      </c>
      <c r="C7267" t="inlineStr"/>
      <c r="D7267" t="inlineStr">
        <is>
          <t>378</t>
        </is>
      </c>
      <c r="E7267" t="inlineStr">
        <is>
          <t>1</t>
        </is>
      </c>
      <c r="F7267" t="inlineStr">
        <is>
          <t>126</t>
        </is>
      </c>
      <c r="G7267" t="inlineStr">
        <is>
          <t>30</t>
        </is>
      </c>
      <c r="H7267" t="inlineStr">
        <is>
          <t>0</t>
        </is>
      </c>
      <c r="I7267" t="inlineStr">
        <is>
          <t>21³, 105³</t>
        </is>
      </c>
      <c r="J7267" t="n">
        <v>6</v>
      </c>
      <c r="K7267" t="inlineStr">
        <is>
          <t>3², 6⁶, 12¹, 24³</t>
        </is>
      </c>
      <c r="L7267" t="inlineStr">
        <is>
          <t>21E¹, 35E⁶, 105C⁶</t>
        </is>
      </c>
      <c r="M7267" t="inlineStr"/>
      <c r="N7267" t="inlineStr">
        <is>
          <t>35C², 15B⁰, 7D⁰, 105C⁶, 21E¹, 35E⁶, 5B⁰, 21A⁰, 3A⁰, 1A⁰, 7A⁰</t>
        </is>
      </c>
      <c r="O7267" t="inlineStr"/>
    </row>
    <row r="7268">
      <c r="A7268">
        <f>HYPERLINK("https://mathstats.uncg.edu/sites/pauli/congruence/csg22.html#group108A22", "108A²²")</f>
        <v/>
      </c>
      <c r="B7268" t="n">
        <v>22</v>
      </c>
      <c r="C7268" t="inlineStr"/>
      <c r="D7268" t="inlineStr">
        <is>
          <t>288</t>
        </is>
      </c>
      <c r="E7268" t="inlineStr">
        <is>
          <t>1</t>
        </is>
      </c>
      <c r="F7268" t="inlineStr">
        <is>
          <t>96</t>
        </is>
      </c>
      <c r="G7268" t="inlineStr">
        <is>
          <t>0</t>
        </is>
      </c>
      <c r="H7268" t="inlineStr">
        <is>
          <t>3</t>
        </is>
      </c>
      <c r="I7268" t="inlineStr">
        <is>
          <t>36², 108²</t>
        </is>
      </c>
      <c r="J7268" t="n">
        <v>4</v>
      </c>
      <c r="K7268" t="inlineStr">
        <is>
          <t>4¹², 12⁴</t>
        </is>
      </c>
      <c r="L7268" t="inlineStr">
        <is>
          <t>36G⁵, 54C⁵</t>
        </is>
      </c>
      <c r="M7268" t="inlineStr"/>
      <c r="N7268" t="inlineStr">
        <is>
          <t>3B⁰, 2A⁰, 12I¹, 18B⁰, 4A⁰, 4D⁰, 6C⁰, 12A¹, 54C⁵, 9C⁰, 1A⁰, 36G⁵, 36C³</t>
        </is>
      </c>
      <c r="O7268" t="inlineStr"/>
    </row>
    <row r="7269">
      <c r="A7269">
        <f>HYPERLINK("https://mathstats.uncg.edu/sites/pauli/congruence/csg22.html#group108B22", "108B²²")</f>
        <v/>
      </c>
      <c r="B7269" t="n">
        <v>22</v>
      </c>
      <c r="C7269" t="inlineStr"/>
      <c r="D7269" t="inlineStr">
        <is>
          <t>432</t>
        </is>
      </c>
      <c r="E7269" t="inlineStr">
        <is>
          <t>1</t>
        </is>
      </c>
      <c r="F7269" t="inlineStr">
        <is>
          <t>12</t>
        </is>
      </c>
      <c r="G7269" t="inlineStr">
        <is>
          <t>0</t>
        </is>
      </c>
      <c r="H7269" t="inlineStr">
        <is>
          <t>36</t>
        </is>
      </c>
      <c r="I7269" t="inlineStr">
        <is>
          <t>36³, 108³</t>
        </is>
      </c>
      <c r="J7269" t="n">
        <v>6</v>
      </c>
      <c r="K7269" t="inlineStr">
        <is>
          <t>1², 2², 6¹</t>
        </is>
      </c>
      <c r="L7269" t="inlineStr">
        <is>
          <t>108A⁴, 36J⁶, 108A⁸, 54C¹⁰</t>
        </is>
      </c>
      <c r="M7269" t="inlineStr"/>
      <c r="N7269" t="inlineStr">
        <is>
          <t>3B⁰, 2A⁰, 9J⁰, 18B⁰, 6C⁰, 54B⁴, 108A⁴, 27B¹, 54A², 9C⁰, 1A⁰, 108A⁸, 54C¹⁰, 36J⁶, 27D⁴, 27B², 18N², 36A⁰, 12B⁰</t>
        </is>
      </c>
      <c r="O7269" t="inlineStr"/>
    </row>
    <row r="7270">
      <c r="A7270">
        <f>HYPERLINK("https://mathstats.uncg.edu/sites/pauli/congruence/csg22.html#group108C22", "108C²²")</f>
        <v/>
      </c>
      <c r="B7270" t="n">
        <v>22</v>
      </c>
      <c r="C7270" t="inlineStr"/>
      <c r="D7270" t="inlineStr">
        <is>
          <t>432</t>
        </is>
      </c>
      <c r="E7270" t="inlineStr">
        <is>
          <t>1</t>
        </is>
      </c>
      <c r="F7270" t="inlineStr">
        <is>
          <t>24</t>
        </is>
      </c>
      <c r="G7270" t="inlineStr">
        <is>
          <t>0</t>
        </is>
      </c>
      <c r="H7270" t="inlineStr">
        <is>
          <t>36</t>
        </is>
      </c>
      <c r="I7270" t="inlineStr">
        <is>
          <t>36³, 108³</t>
        </is>
      </c>
      <c r="J7270" t="n">
        <v>6</v>
      </c>
      <c r="K7270" t="inlineStr">
        <is>
          <t>2⁶, 6²</t>
        </is>
      </c>
      <c r="L7270" t="inlineStr">
        <is>
          <t>36S⁴, 108A⁴, 108A⁶, 108B⁸, 54F¹⁰</t>
        </is>
      </c>
      <c r="M7270" t="inlineStr"/>
      <c r="N7270" t="inlineStr">
        <is>
          <t>3B⁰, 2A⁰, 108A⁶, 18K¹, 18B⁰, 18D¹, 6C⁰, 54D⁴, 108A⁴, 27B¹, 54A², 9C⁰, 1A⁰, 54C³, 18C⁰, 36S⁴, 54F¹⁰, 6A⁰, 36B¹, 6J⁰, 108B⁸, 36A², 12O¹, 36A⁰, 12B⁰</t>
        </is>
      </c>
      <c r="O7270" t="inlineStr"/>
    </row>
    <row r="7271">
      <c r="A7271">
        <f>HYPERLINK("https://mathstats.uncg.edu/sites/pauli/congruence/csg22.html#group108D22", "108D²²")</f>
        <v/>
      </c>
      <c r="B7271" t="n">
        <v>22</v>
      </c>
      <c r="C7271" t="inlineStr"/>
      <c r="D7271" t="inlineStr">
        <is>
          <t>432</t>
        </is>
      </c>
      <c r="E7271" t="inlineStr">
        <is>
          <t>1</t>
        </is>
      </c>
      <c r="F7271" t="inlineStr">
        <is>
          <t>24</t>
        </is>
      </c>
      <c r="G7271" t="inlineStr">
        <is>
          <t>0</t>
        </is>
      </c>
      <c r="H7271" t="inlineStr">
        <is>
          <t>36</t>
        </is>
      </c>
      <c r="I7271" t="inlineStr">
        <is>
          <t>36³, 108³</t>
        </is>
      </c>
      <c r="J7271" t="n">
        <v>6</v>
      </c>
      <c r="K7271" t="inlineStr">
        <is>
          <t>1⁴, 2⁴, 6²</t>
        </is>
      </c>
      <c r="L7271" t="inlineStr">
        <is>
          <t>108A⁴, 36K⁶, 108A⁶, 54G¹⁰</t>
        </is>
      </c>
      <c r="M7271" t="inlineStr"/>
      <c r="N7271" t="inlineStr">
        <is>
          <t>3B⁰, 2A⁰, 54G¹⁰, 108A⁶, 18B⁰, 6C⁰, 108A⁴, 27B¹, 54A², 18O², 9C⁰, 1A⁰, 54C³, 36K⁶, 36A⁰, 12B⁰</t>
        </is>
      </c>
      <c r="O7271" t="inlineStr"/>
    </row>
    <row r="7272">
      <c r="A7272">
        <f>HYPERLINK("https://mathstats.uncg.edu/sites/pauli/congruence/csg22.html#group108E22", "108E²²")</f>
        <v/>
      </c>
      <c r="B7272" t="n">
        <v>22</v>
      </c>
      <c r="C7272" t="inlineStr"/>
      <c r="D7272" t="inlineStr">
        <is>
          <t>432</t>
        </is>
      </c>
      <c r="E7272" t="inlineStr">
        <is>
          <t>1</t>
        </is>
      </c>
      <c r="F7272" t="inlineStr">
        <is>
          <t>36</t>
        </is>
      </c>
      <c r="G7272" t="inlineStr">
        <is>
          <t>0</t>
        </is>
      </c>
      <c r="H7272" t="inlineStr">
        <is>
          <t>0</t>
        </is>
      </c>
      <c r="I7272" t="inlineStr">
        <is>
          <t>2¹², 4³, 6⁸, 12², 54⁴, 108¹</t>
        </is>
      </c>
      <c r="J7272" t="n">
        <v>30</v>
      </c>
      <c r="K7272" t="inlineStr">
        <is>
          <t>1⁶, 2⁶, 6³</t>
        </is>
      </c>
      <c r="L7272" t="inlineStr">
        <is>
          <t>36J³, 54A¹⁰</t>
        </is>
      </c>
      <c r="M7272" t="inlineStr"/>
      <c r="N7272" t="inlineStr">
        <is>
          <t>3B⁰, 2A⁰, 6I⁰, 6C⁰, 12I⁰, 9B⁰, 2B⁰, 18J¹, 1A⁰, 18C⁰, 18E⁰, 27A¹, 18C¹, 54C⁴, 54A¹⁰, 54A⁴, 36J³, 6F⁰, 2C⁰, 54E⁴</t>
        </is>
      </c>
      <c r="O7272" t="inlineStr"/>
    </row>
    <row r="7273">
      <c r="A7273">
        <f>HYPERLINK("https://mathstats.uncg.edu/sites/pauli/congruence/csg22.html#group108F22", "108F²²")</f>
        <v/>
      </c>
      <c r="B7273" t="n">
        <v>22</v>
      </c>
      <c r="C7273" t="inlineStr"/>
      <c r="D7273" t="inlineStr">
        <is>
          <t>432</t>
        </is>
      </c>
      <c r="E7273" t="inlineStr">
        <is>
          <t>1</t>
        </is>
      </c>
      <c r="F7273" t="inlineStr">
        <is>
          <t>72</t>
        </is>
      </c>
      <c r="G7273" t="inlineStr">
        <is>
          <t>0</t>
        </is>
      </c>
      <c r="H7273" t="inlineStr">
        <is>
          <t>0</t>
        </is>
      </c>
      <c r="I7273" t="inlineStr">
        <is>
          <t>1⁶, 2³, 3⁴, 4⁶, 6², 12⁴, 27², 54¹, 108²</t>
        </is>
      </c>
      <c r="J7273" t="n">
        <v>30</v>
      </c>
      <c r="K7273" t="inlineStr">
        <is>
          <t>1⁸, 2¹⁰, 4², 6⁴, 12¹</t>
        </is>
      </c>
      <c r="L7273" t="inlineStr">
        <is>
          <t>36K³, 108F¹⁰</t>
        </is>
      </c>
      <c r="M7273" t="inlineStr"/>
      <c r="N7273" t="inlineStr">
        <is>
          <t>3B⁰, 27A¹, 18E⁰, 108F¹⁰, 6F⁰, 9B⁰, 12J⁰, 36K³, 2B⁰, 36C¹, 4B⁰, 1A⁰, 12E⁰, 54E⁴</t>
        </is>
      </c>
      <c r="O7273" t="inlineStr"/>
    </row>
    <row r="7274">
      <c r="A7274">
        <f>HYPERLINK("https://mathstats.uncg.edu/sites/pauli/congruence/csg22.html#group109A22", "109A²²")</f>
        <v/>
      </c>
      <c r="B7274" t="n">
        <v>22</v>
      </c>
      <c r="C7274" t="inlineStr"/>
      <c r="D7274" t="inlineStr">
        <is>
          <t>330</t>
        </is>
      </c>
      <c r="E7274" t="inlineStr">
        <is>
          <t>1</t>
        </is>
      </c>
      <c r="F7274" t="inlineStr">
        <is>
          <t>110</t>
        </is>
      </c>
      <c r="G7274" t="inlineStr">
        <is>
          <t>6</t>
        </is>
      </c>
      <c r="H7274" t="inlineStr">
        <is>
          <t>6</t>
        </is>
      </c>
      <c r="I7274" t="inlineStr">
        <is>
          <t>1³, 109³</t>
        </is>
      </c>
      <c r="J7274" t="n">
        <v>6</v>
      </c>
      <c r="K7274" t="inlineStr">
        <is>
          <t>1², 108¹</t>
        </is>
      </c>
      <c r="L7274" t="inlineStr">
        <is>
          <t>109A⁸</t>
        </is>
      </c>
      <c r="M7274" t="inlineStr"/>
      <c r="N7274" t="inlineStr">
        <is>
          <t>1A⁰, 109A⁸</t>
        </is>
      </c>
      <c r="O7274" t="inlineStr"/>
    </row>
    <row r="7275">
      <c r="A7275">
        <f>HYPERLINK("https://mathstats.uncg.edu/sites/pauli/congruence/csg22.html#group111A22", "111A²²")</f>
        <v/>
      </c>
      <c r="B7275" t="n">
        <v>22</v>
      </c>
      <c r="C7275" t="inlineStr"/>
      <c r="D7275" t="inlineStr">
        <is>
          <t>342</t>
        </is>
      </c>
      <c r="E7275" t="inlineStr">
        <is>
          <t>1</t>
        </is>
      </c>
      <c r="F7275" t="inlineStr">
        <is>
          <t>38</t>
        </is>
      </c>
      <c r="G7275" t="inlineStr">
        <is>
          <t>18</t>
        </is>
      </c>
      <c r="H7275" t="inlineStr">
        <is>
          <t>0</t>
        </is>
      </c>
      <c r="I7275" t="inlineStr">
        <is>
          <t>3³, 111³</t>
        </is>
      </c>
      <c r="J7275" t="n">
        <v>6</v>
      </c>
      <c r="K7275" t="inlineStr">
        <is>
          <t>1², 36¹</t>
        </is>
      </c>
      <c r="L7275" t="inlineStr">
        <is>
          <t>37B⁴, 111A⁸, 111B⁸</t>
        </is>
      </c>
      <c r="M7275" t="inlineStr"/>
      <c r="N7275" t="inlineStr">
        <is>
          <t>37A², 37B⁴, 111A⁸, 111B⁸, 3A⁰, 1A⁰</t>
        </is>
      </c>
      <c r="O7275" t="inlineStr"/>
    </row>
    <row r="7276">
      <c r="A7276">
        <f>HYPERLINK("https://mathstats.uncg.edu/sites/pauli/congruence/csg22.html#group112A22", "112A²²")</f>
        <v/>
      </c>
      <c r="B7276" t="n">
        <v>22</v>
      </c>
      <c r="C7276" t="inlineStr"/>
      <c r="D7276" t="inlineStr">
        <is>
          <t>336</t>
        </is>
      </c>
      <c r="E7276" t="inlineStr">
        <is>
          <t>2</t>
        </is>
      </c>
      <c r="F7276" t="inlineStr">
        <is>
          <t>84</t>
        </is>
      </c>
      <c r="G7276" t="inlineStr">
        <is>
          <t>8</t>
        </is>
      </c>
      <c r="H7276" t="inlineStr">
        <is>
          <t>0</t>
        </is>
      </c>
      <c r="I7276" t="inlineStr">
        <is>
          <t>14⁸, 112²</t>
        </is>
      </c>
      <c r="J7276" t="n">
        <v>10</v>
      </c>
      <c r="K7276" t="inlineStr">
        <is>
          <t>2², 4¹, 6⁴, 8², 12², 24⁴</t>
        </is>
      </c>
      <c r="L7276" t="inlineStr">
        <is>
          <t>56A¹⁰, 112C¹¹, 112D¹¹</t>
        </is>
      </c>
      <c r="M7276" t="inlineStr"/>
      <c r="N7276" t="inlineStr">
        <is>
          <t>56B⁵, 14A⁰, 56C⁵, 28C⁴, 112D¹¹, 14B¹, 8D⁰, 4C⁰, 14C², 2B⁰, 1A⁰, 56A¹⁰, 28C², 16E⁰, 112C¹¹, 28B², 7A⁰</t>
        </is>
      </c>
      <c r="O7276" t="inlineStr"/>
    </row>
    <row r="7277">
      <c r="A7277">
        <f>HYPERLINK("https://mathstats.uncg.edu/sites/pauli/congruence/csg22.html#group114A22", "114A²²")</f>
        <v/>
      </c>
      <c r="B7277" t="n">
        <v>22</v>
      </c>
      <c r="C7277" t="inlineStr"/>
      <c r="D7277" t="inlineStr">
        <is>
          <t>360</t>
        </is>
      </c>
      <c r="E7277" t="inlineStr">
        <is>
          <t>1</t>
        </is>
      </c>
      <c r="F7277" t="inlineStr">
        <is>
          <t>40</t>
        </is>
      </c>
      <c r="G7277" t="inlineStr">
        <is>
          <t>0</t>
        </is>
      </c>
      <c r="H7277" t="inlineStr">
        <is>
          <t>18</t>
        </is>
      </c>
      <c r="I7277" t="inlineStr">
        <is>
          <t>6³, 114³</t>
        </is>
      </c>
      <c r="J7277" t="n">
        <v>6</v>
      </c>
      <c r="K7277" t="inlineStr">
        <is>
          <t>2², 36¹</t>
        </is>
      </c>
      <c r="L7277" t="inlineStr">
        <is>
          <t>38B⁴, 114A⁸, 114B⁸</t>
        </is>
      </c>
      <c r="M7277" t="inlineStr"/>
      <c r="N7277" t="inlineStr">
        <is>
          <t>114A⁸, 2A⁰, 19A¹, 38A², 114B⁸, 6A⁰, 38B⁴, 19B¹, 1A⁰</t>
        </is>
      </c>
      <c r="O7277" t="inlineStr"/>
    </row>
    <row r="7278">
      <c r="A7278">
        <f>HYPERLINK("https://mathstats.uncg.edu/sites/pauli/congruence/csg22.html#group114B22", "114B²²")</f>
        <v/>
      </c>
      <c r="B7278" t="n">
        <v>22</v>
      </c>
      <c r="C7278" t="inlineStr"/>
      <c r="D7278" t="inlineStr">
        <is>
          <t>360</t>
        </is>
      </c>
      <c r="E7278" t="inlineStr">
        <is>
          <t>2</t>
        </is>
      </c>
      <c r="F7278" t="inlineStr">
        <is>
          <t>20</t>
        </is>
      </c>
      <c r="G7278" t="inlineStr">
        <is>
          <t>0</t>
        </is>
      </c>
      <c r="H7278" t="inlineStr">
        <is>
          <t>18</t>
        </is>
      </c>
      <c r="I7278" t="inlineStr">
        <is>
          <t>6³, 114³</t>
        </is>
      </c>
      <c r="J7278" t="n">
        <v>6</v>
      </c>
      <c r="K7278" t="inlineStr">
        <is>
          <t>2², 36¹</t>
        </is>
      </c>
      <c r="L7278" t="inlineStr">
        <is>
          <t>38B⁴, 57B¹⁰</t>
        </is>
      </c>
      <c r="M7278" t="inlineStr"/>
      <c r="N7278" t="inlineStr">
        <is>
          <t>19A¹, 38B⁴, 2A⁰, 19B¹, 57B¹⁰, 38A², 1A⁰</t>
        </is>
      </c>
      <c r="O7278" t="inlineStr"/>
    </row>
    <row r="7279">
      <c r="A7279">
        <f>HYPERLINK("https://mathstats.uncg.edu/sites/pauli/congruence/csg22.html#group117A22", "117A²²")</f>
        <v/>
      </c>
      <c r="B7279" t="n">
        <v>22</v>
      </c>
      <c r="C7279" t="inlineStr"/>
      <c r="D7279" t="inlineStr">
        <is>
          <t>378</t>
        </is>
      </c>
      <c r="E7279" t="inlineStr">
        <is>
          <t>1</t>
        </is>
      </c>
      <c r="F7279" t="inlineStr">
        <is>
          <t>126</t>
        </is>
      </c>
      <c r="G7279" t="inlineStr">
        <is>
          <t>30</t>
        </is>
      </c>
      <c r="H7279" t="inlineStr">
        <is>
          <t>0</t>
        </is>
      </c>
      <c r="I7279" t="inlineStr">
        <is>
          <t>9³, 117³</t>
        </is>
      </c>
      <c r="J7279" t="n">
        <v>6</v>
      </c>
      <c r="K7279" t="inlineStr">
        <is>
          <t>1², 2², 6², 12¹, 24¹, 72¹</t>
        </is>
      </c>
      <c r="L7279" t="inlineStr">
        <is>
          <t>39C⁴, 117A⁸</t>
        </is>
      </c>
      <c r="M7279" t="inlineStr"/>
      <c r="N7279" t="inlineStr">
        <is>
          <t>117A⁸, 39A², 9A⁰, 13A⁰, 39C⁴, 13C⁰, 39A¹, 3A⁰, 1A⁰</t>
        </is>
      </c>
      <c r="O7279" t="inlineStr"/>
    </row>
    <row r="7280">
      <c r="A7280">
        <f>HYPERLINK("https://mathstats.uncg.edu/sites/pauli/congruence/csg22.html#group126A22", "126A²²")</f>
        <v/>
      </c>
      <c r="B7280" t="n">
        <v>22</v>
      </c>
      <c r="C7280" t="inlineStr"/>
      <c r="D7280" t="inlineStr">
        <is>
          <t>378</t>
        </is>
      </c>
      <c r="E7280" t="inlineStr">
        <is>
          <t>2</t>
        </is>
      </c>
      <c r="F7280" t="inlineStr">
        <is>
          <t>189</t>
        </is>
      </c>
      <c r="G7280" t="inlineStr">
        <is>
          <t>36</t>
        </is>
      </c>
      <c r="H7280" t="inlineStr">
        <is>
          <t>0</t>
        </is>
      </c>
      <c r="I7280" t="inlineStr">
        <is>
          <t>126³</t>
        </is>
      </c>
      <c r="J7280" t="n">
        <v>3</v>
      </c>
      <c r="K7280" t="inlineStr">
        <is>
          <t>6¹, 12⁴, 18², 36⁸</t>
        </is>
      </c>
      <c r="L7280" t="inlineStr">
        <is>
          <t>18H¹, 126A⁵, 126B⁵, 63B¹⁰</t>
        </is>
      </c>
      <c r="M7280" t="inlineStr"/>
      <c r="N7280" t="inlineStr">
        <is>
          <t>6B⁰, 63B¹⁰, 3A⁰, 18H¹, 9A⁰, 9G⁰, 63A², 126B⁵, 21A⁰, 42B¹, 126A⁵, 1A⁰, 18A⁰, 7A⁰</t>
        </is>
      </c>
      <c r="O7280" t="inlineStr"/>
    </row>
    <row r="7281">
      <c r="A7281">
        <f>HYPERLINK("https://mathstats.uncg.edu/sites/pauli/congruence/csg22.html#group132A22", "132A²²")</f>
        <v/>
      </c>
      <c r="B7281" t="n">
        <v>22</v>
      </c>
      <c r="C7281" t="inlineStr"/>
      <c r="D7281" t="inlineStr">
        <is>
          <t>264</t>
        </is>
      </c>
      <c r="E7281" t="inlineStr">
        <is>
          <t>2</t>
        </is>
      </c>
      <c r="F7281" t="inlineStr">
        <is>
          <t>44</t>
        </is>
      </c>
      <c r="G7281" t="inlineStr">
        <is>
          <t>0</t>
        </is>
      </c>
      <c r="H7281" t="inlineStr">
        <is>
          <t>0</t>
        </is>
      </c>
      <c r="I7281" t="inlineStr">
        <is>
          <t>132²</t>
        </is>
      </c>
      <c r="J7281" t="n">
        <v>2</v>
      </c>
      <c r="K7281" t="inlineStr">
        <is>
          <t>4², 20⁴</t>
        </is>
      </c>
      <c r="L7281" t="inlineStr">
        <is>
          <t>12A², 44A⁶, 66A⁶, 132A⁷</t>
        </is>
      </c>
      <c r="M7281" t="inlineStr"/>
      <c r="N7281" t="inlineStr">
        <is>
          <t>2A⁰, 22A¹, 44A², 33A¹, 1A⁰, 44A⁶, 11A⁰, 132A⁷, 12A⁰, 4A⁰, 4D⁰, 12A², 6A¹, 3A⁰, 66A⁶</t>
        </is>
      </c>
      <c r="O7281" t="inlineStr"/>
    </row>
    <row r="7282">
      <c r="A7282">
        <f>HYPERLINK("https://mathstats.uncg.edu/sites/pauli/congruence/csg22.html#group140A22", "140A²²")</f>
        <v/>
      </c>
      <c r="B7282" t="n">
        <v>22</v>
      </c>
      <c r="C7282" t="inlineStr"/>
      <c r="D7282" t="inlineStr">
        <is>
          <t>280</t>
        </is>
      </c>
      <c r="E7282" t="inlineStr">
        <is>
          <t>2</t>
        </is>
      </c>
      <c r="F7282" t="inlineStr">
        <is>
          <t>140</t>
        </is>
      </c>
      <c r="G7282" t="inlineStr">
        <is>
          <t>0</t>
        </is>
      </c>
      <c r="H7282" t="inlineStr">
        <is>
          <t>4</t>
        </is>
      </c>
      <c r="I7282" t="inlineStr">
        <is>
          <t>140²</t>
        </is>
      </c>
      <c r="J7282" t="n">
        <v>2</v>
      </c>
      <c r="K7282" t="inlineStr">
        <is>
          <t>4², 12⁴, 16², 48⁴</t>
        </is>
      </c>
      <c r="L7282" t="inlineStr">
        <is>
          <t>20D², 28A⁴, 70A⁵, 140A¹⁰</t>
        </is>
      </c>
      <c r="M7282" t="inlineStr"/>
      <c r="N7282" t="inlineStr">
        <is>
          <t>2A⁰, 140A¹⁰, 5A⁰, 14A¹, 20A¹, 1A⁰, 35A², 10A⁰, 20D², 4A⁰, 28A⁴, 4D⁰, 70A⁵, 28A¹, 7A⁰</t>
        </is>
      </c>
      <c r="O7282" t="inlineStr"/>
    </row>
    <row r="7283">
      <c r="A7283">
        <f>HYPERLINK("https://mathstats.uncg.edu/sites/pauli/congruence/csg22.html#group143A22", "143A²²")</f>
        <v/>
      </c>
      <c r="B7283" t="n">
        <v>22</v>
      </c>
      <c r="C7283" t="inlineStr"/>
      <c r="D7283" t="inlineStr">
        <is>
          <t>308</t>
        </is>
      </c>
      <c r="E7283" t="inlineStr">
        <is>
          <t>2</t>
        </is>
      </c>
      <c r="F7283" t="inlineStr">
        <is>
          <t>154</t>
        </is>
      </c>
      <c r="G7283" t="inlineStr">
        <is>
          <t>0</t>
        </is>
      </c>
      <c r="H7283" t="inlineStr">
        <is>
          <t>8</t>
        </is>
      </c>
      <c r="I7283" t="inlineStr">
        <is>
          <t>11², 143²</t>
        </is>
      </c>
      <c r="J7283" t="n">
        <v>4</v>
      </c>
      <c r="K7283" t="inlineStr">
        <is>
          <t>2², 10⁴, 24¹, 120²</t>
        </is>
      </c>
      <c r="L7283" t="inlineStr">
        <is>
          <t>13B⁰, 143A¹⁰</t>
        </is>
      </c>
      <c r="M7283" t="inlineStr"/>
      <c r="N7283" t="inlineStr">
        <is>
          <t>143A¹⁰, 11A⁰, 13A⁰, 13B⁰, 1A⁰</t>
        </is>
      </c>
      <c r="O7283" t="inlineStr"/>
    </row>
    <row r="7284">
      <c r="A7284">
        <f>HYPERLINK("https://mathstats.uncg.edu/sites/pauli/congruence/csg22.html#group144A22", "144A²²")</f>
        <v/>
      </c>
      <c r="B7284" t="n">
        <v>22</v>
      </c>
      <c r="C7284" t="inlineStr"/>
      <c r="D7284" t="inlineStr">
        <is>
          <t>288</t>
        </is>
      </c>
      <c r="E7284" t="inlineStr">
        <is>
          <t>1</t>
        </is>
      </c>
      <c r="F7284" t="inlineStr">
        <is>
          <t>48</t>
        </is>
      </c>
      <c r="G7284" t="inlineStr">
        <is>
          <t>0</t>
        </is>
      </c>
      <c r="H7284" t="inlineStr">
        <is>
          <t>0</t>
        </is>
      </c>
      <c r="I7284" t="inlineStr">
        <is>
          <t>12², 36², 48¹, 144¹</t>
        </is>
      </c>
      <c r="J7284" t="n">
        <v>6</v>
      </c>
      <c r="K7284" t="inlineStr">
        <is>
          <t>1⁴, 2⁴, 4⁵, 8²</t>
        </is>
      </c>
      <c r="L7284" t="inlineStr">
        <is>
          <t>48D⁶, 72C¹⁰</t>
        </is>
      </c>
      <c r="M7284" t="inlineStr"/>
      <c r="N7284" t="inlineStr">
        <is>
          <t>3B⁰, 24I², 72C¹⁰, 8D⁰, 48D⁶, 12F¹, 4C⁰, 16C¹, 18D², 1A⁰, 2B⁰, 9C⁰, 36A⁵, 6F⁰</t>
        </is>
      </c>
      <c r="O7284" t="inlineStr"/>
    </row>
    <row r="7285">
      <c r="A7285">
        <f>HYPERLINK("https://mathstats.uncg.edu/sites/pauli/congruence/csg22.html#group144B22", "144B²²")</f>
        <v/>
      </c>
      <c r="B7285" t="n">
        <v>22</v>
      </c>
      <c r="C7285" t="inlineStr"/>
      <c r="D7285" t="inlineStr">
        <is>
          <t>288</t>
        </is>
      </c>
      <c r="E7285" t="inlineStr">
        <is>
          <t>1</t>
        </is>
      </c>
      <c r="F7285" t="inlineStr">
        <is>
          <t>48</t>
        </is>
      </c>
      <c r="G7285" t="inlineStr">
        <is>
          <t>0</t>
        </is>
      </c>
      <c r="H7285" t="inlineStr">
        <is>
          <t>0</t>
        </is>
      </c>
      <c r="I7285" t="inlineStr">
        <is>
          <t>12², 36², 48¹, 144¹</t>
        </is>
      </c>
      <c r="J7285" t="n">
        <v>6</v>
      </c>
      <c r="K7285" t="inlineStr">
        <is>
          <t>1⁴, 2⁴, 4⁵, 8²</t>
        </is>
      </c>
      <c r="L7285" t="inlineStr">
        <is>
          <t>48D⁶, 72D¹⁰</t>
        </is>
      </c>
      <c r="M7285" t="inlineStr"/>
      <c r="N7285" t="inlineStr">
        <is>
          <t>3B⁰, 24I², 8D⁰, 12F¹, 48D⁶, 16C¹, 4C⁰, 18E², 72D¹⁰, 9A¹, 1A⁰, 36B⁵, 2B⁰, 6F⁰</t>
        </is>
      </c>
      <c r="O7285" t="inlineStr"/>
    </row>
    <row r="7286">
      <c r="A7286">
        <f>HYPERLINK("https://mathstats.uncg.edu/sites/pauli/congruence/csg22.html#group144C22", "144C²²")</f>
        <v/>
      </c>
      <c r="B7286" t="n">
        <v>22</v>
      </c>
      <c r="C7286" t="inlineStr"/>
      <c r="D7286" t="inlineStr">
        <is>
          <t>288</t>
        </is>
      </c>
      <c r="E7286" t="inlineStr">
        <is>
          <t>1</t>
        </is>
      </c>
      <c r="F7286" t="inlineStr">
        <is>
          <t>144</t>
        </is>
      </c>
      <c r="G7286" t="inlineStr">
        <is>
          <t>8</t>
        </is>
      </c>
      <c r="H7286" t="inlineStr">
        <is>
          <t>0</t>
        </is>
      </c>
      <c r="I7286" t="inlineStr">
        <is>
          <t>144²</t>
        </is>
      </c>
      <c r="J7286" t="n">
        <v>2</v>
      </c>
      <c r="K7286" t="inlineStr">
        <is>
          <t>16⁶, 48⁴</t>
        </is>
      </c>
      <c r="L7286" t="inlineStr">
        <is>
          <t>48E⁶, 72E¹⁰</t>
        </is>
      </c>
      <c r="M7286" t="inlineStr"/>
      <c r="N7286" t="inlineStr">
        <is>
          <t>6B⁰, 12F⁰, 48E⁶, 72E¹⁰, 24B¹, 72D⁴, 1A⁰, 36A¹, 12A⁰, 4A⁰, 9A⁰, 3A⁰, 24G², 18A¹, 36L⁴</t>
        </is>
      </c>
      <c r="O7286" t="inlineStr"/>
    </row>
    <row r="7287">
      <c r="A7287">
        <f>HYPERLINK("https://mathstats.uncg.edu/sites/pauli/congruence/csg22.html#group144D22", "144D²²")</f>
        <v/>
      </c>
      <c r="B7287" t="n">
        <v>22</v>
      </c>
      <c r="C7287" t="inlineStr"/>
      <c r="D7287" t="inlineStr">
        <is>
          <t>288</t>
        </is>
      </c>
      <c r="E7287" t="inlineStr">
        <is>
          <t>1</t>
        </is>
      </c>
      <c r="F7287" t="inlineStr">
        <is>
          <t>144</t>
        </is>
      </c>
      <c r="G7287" t="inlineStr">
        <is>
          <t>8</t>
        </is>
      </c>
      <c r="H7287" t="inlineStr">
        <is>
          <t>0</t>
        </is>
      </c>
      <c r="I7287" t="inlineStr">
        <is>
          <t>144²</t>
        </is>
      </c>
      <c r="J7287" t="n">
        <v>2</v>
      </c>
      <c r="K7287" t="inlineStr">
        <is>
          <t>16⁶, 48⁴</t>
        </is>
      </c>
      <c r="L7287" t="inlineStr">
        <is>
          <t>48E⁶, 72G¹⁰</t>
        </is>
      </c>
      <c r="M7287" t="inlineStr"/>
      <c r="N7287" t="inlineStr">
        <is>
          <t>36N⁴, 12A⁰, 6B⁰, 4A⁰, 12F⁰, 18B¹, 48E⁶, 24B¹, 3A⁰, 1A⁰, 24G², 72G¹⁰</t>
        </is>
      </c>
      <c r="O7287" t="inlineStr"/>
    </row>
    <row r="7288">
      <c r="A7288">
        <f>HYPERLINK("https://mathstats.uncg.edu/sites/pauli/congruence/csg22.html#group144E22", "144E²²")</f>
        <v/>
      </c>
      <c r="B7288" t="n">
        <v>22</v>
      </c>
      <c r="C7288" t="inlineStr"/>
      <c r="D7288" t="inlineStr">
        <is>
          <t>288</t>
        </is>
      </c>
      <c r="E7288" t="inlineStr">
        <is>
          <t>1</t>
        </is>
      </c>
      <c r="F7288" t="inlineStr">
        <is>
          <t>144</t>
        </is>
      </c>
      <c r="G7288" t="inlineStr">
        <is>
          <t>8</t>
        </is>
      </c>
      <c r="H7288" t="inlineStr">
        <is>
          <t>0</t>
        </is>
      </c>
      <c r="I7288" t="inlineStr">
        <is>
          <t>144²</t>
        </is>
      </c>
      <c r="J7288" t="n">
        <v>2</v>
      </c>
      <c r="K7288" t="inlineStr">
        <is>
          <t>16⁶, 48⁴</t>
        </is>
      </c>
      <c r="L7288" t="inlineStr">
        <is>
          <t>48E⁶, 72G¹⁰</t>
        </is>
      </c>
      <c r="M7288" t="inlineStr"/>
      <c r="N7288" t="inlineStr">
        <is>
          <t>36N⁴, 12A⁰, 6B⁰, 4A⁰, 12F⁰, 18B¹, 48E⁶, 24B¹, 3A⁰, 1A⁰, 24G², 72G¹⁰</t>
        </is>
      </c>
      <c r="O7288" t="inlineStr"/>
    </row>
    <row r="7289">
      <c r="A7289">
        <f>HYPERLINK("https://mathstats.uncg.edu/sites/pauli/congruence/csg22.html#group144F22", "144F²²")</f>
        <v/>
      </c>
      <c r="B7289" t="n">
        <v>22</v>
      </c>
      <c r="C7289" t="inlineStr"/>
      <c r="D7289" t="inlineStr">
        <is>
          <t>288</t>
        </is>
      </c>
      <c r="E7289" t="inlineStr">
        <is>
          <t>1</t>
        </is>
      </c>
      <c r="F7289" t="inlineStr">
        <is>
          <t>144</t>
        </is>
      </c>
      <c r="G7289" t="inlineStr">
        <is>
          <t>8</t>
        </is>
      </c>
      <c r="H7289" t="inlineStr">
        <is>
          <t>0</t>
        </is>
      </c>
      <c r="I7289" t="inlineStr">
        <is>
          <t>144²</t>
        </is>
      </c>
      <c r="J7289" t="n">
        <v>2</v>
      </c>
      <c r="K7289" t="inlineStr">
        <is>
          <t>16⁶, 48⁴</t>
        </is>
      </c>
      <c r="L7289" t="inlineStr">
        <is>
          <t>48F⁶, 72F¹⁰</t>
        </is>
      </c>
      <c r="M7289" t="inlineStr"/>
      <c r="N7289" t="inlineStr">
        <is>
          <t>6B⁰, 72F¹⁰, 12F⁰, 72C⁴, 24B¹, 1A⁰, 48F⁶, 36A¹, 12A⁰, 4A⁰, 9A⁰, 3A⁰, 18A¹, 24H², 36L⁴</t>
        </is>
      </c>
      <c r="O7289" t="inlineStr"/>
    </row>
    <row r="7290">
      <c r="A7290">
        <f>HYPERLINK("https://mathstats.uncg.edu/sites/pauli/congruence/csg22.html#group144G22", "144G²²")</f>
        <v/>
      </c>
      <c r="B7290" t="n">
        <v>22</v>
      </c>
      <c r="C7290" t="inlineStr"/>
      <c r="D7290" t="inlineStr">
        <is>
          <t>288</t>
        </is>
      </c>
      <c r="E7290" t="inlineStr">
        <is>
          <t>1</t>
        </is>
      </c>
      <c r="F7290" t="inlineStr">
        <is>
          <t>144</t>
        </is>
      </c>
      <c r="G7290" t="inlineStr">
        <is>
          <t>8</t>
        </is>
      </c>
      <c r="H7290" t="inlineStr">
        <is>
          <t>0</t>
        </is>
      </c>
      <c r="I7290" t="inlineStr">
        <is>
          <t>144²</t>
        </is>
      </c>
      <c r="J7290" t="n">
        <v>2</v>
      </c>
      <c r="K7290" t="inlineStr">
        <is>
          <t>16⁶, 48⁴</t>
        </is>
      </c>
      <c r="L7290" t="inlineStr">
        <is>
          <t>48F⁶, 72H¹⁰</t>
        </is>
      </c>
      <c r="M7290" t="inlineStr"/>
      <c r="N7290" t="inlineStr">
        <is>
          <t>48F⁶, 36N⁴, 72H¹⁰, 12A⁰, 6B⁰, 4A⁰, 12F⁰, 18B¹, 24B¹, 3A⁰, 1A⁰, 24H²</t>
        </is>
      </c>
      <c r="O7290" t="inlineStr"/>
    </row>
    <row r="7291">
      <c r="A7291">
        <f>HYPERLINK("https://mathstats.uncg.edu/sites/pauli/congruence/csg22.html#group144H22", "144H²²")</f>
        <v/>
      </c>
      <c r="B7291" t="n">
        <v>22</v>
      </c>
      <c r="C7291" t="inlineStr"/>
      <c r="D7291" t="inlineStr">
        <is>
          <t>288</t>
        </is>
      </c>
      <c r="E7291" t="inlineStr">
        <is>
          <t>1</t>
        </is>
      </c>
      <c r="F7291" t="inlineStr">
        <is>
          <t>144</t>
        </is>
      </c>
      <c r="G7291" t="inlineStr">
        <is>
          <t>8</t>
        </is>
      </c>
      <c r="H7291" t="inlineStr">
        <is>
          <t>0</t>
        </is>
      </c>
      <c r="I7291" t="inlineStr">
        <is>
          <t>144²</t>
        </is>
      </c>
      <c r="J7291" t="n">
        <v>2</v>
      </c>
      <c r="K7291" t="inlineStr">
        <is>
          <t>16⁶, 48⁴</t>
        </is>
      </c>
      <c r="L7291" t="inlineStr">
        <is>
          <t>48F⁶, 72H¹⁰</t>
        </is>
      </c>
      <c r="M7291" t="inlineStr"/>
      <c r="N7291" t="inlineStr">
        <is>
          <t>48F⁶, 36N⁴, 72H¹⁰, 12A⁰, 6B⁰, 4A⁰, 12F⁰, 18B¹, 24B¹, 3A⁰, 1A⁰, 24H²</t>
        </is>
      </c>
      <c r="O7291" t="inlineStr"/>
    </row>
    <row r="7292">
      <c r="A7292">
        <f>HYPERLINK("https://mathstats.uncg.edu/sites/pauli/congruence/csg22.html#group144I22", "144I²²")</f>
        <v/>
      </c>
      <c r="B7292" t="n">
        <v>22</v>
      </c>
      <c r="C7292" t="inlineStr"/>
      <c r="D7292" t="inlineStr">
        <is>
          <t>288</t>
        </is>
      </c>
      <c r="E7292" t="inlineStr">
        <is>
          <t>2</t>
        </is>
      </c>
      <c r="F7292" t="inlineStr">
        <is>
          <t>72</t>
        </is>
      </c>
      <c r="G7292" t="inlineStr">
        <is>
          <t>8</t>
        </is>
      </c>
      <c r="H7292" t="inlineStr">
        <is>
          <t>0</t>
        </is>
      </c>
      <c r="I7292" t="inlineStr">
        <is>
          <t>144²</t>
        </is>
      </c>
      <c r="J7292" t="n">
        <v>2</v>
      </c>
      <c r="K7292" t="inlineStr">
        <is>
          <t>8², 16², 48²</t>
        </is>
      </c>
      <c r="L7292" t="inlineStr">
        <is>
          <t>48G⁶, 72I¹⁰, 144C¹⁰, 144D¹⁰</t>
        </is>
      </c>
      <c r="M7292" t="inlineStr"/>
      <c r="N7292" t="inlineStr">
        <is>
          <t>6B⁰, 72B⁴, 144C¹⁰, 144D¹⁰, 12F⁰, 8A⁰, 24B¹, 72I¹⁰, 1A⁰, 48G⁶, 72A⁴, 36A¹, 12A⁰, 24K², 24A¹, 4A⁰, 9A⁰, 3A⁰, 18A¹, 36L⁴, 48B³</t>
        </is>
      </c>
      <c r="O7292" t="inlineStr"/>
    </row>
    <row r="7293">
      <c r="A7293">
        <f>HYPERLINK("https://mathstats.uncg.edu/sites/pauli/congruence/csg22.html#group144J22", "144J²²")</f>
        <v/>
      </c>
      <c r="B7293" t="n">
        <v>22</v>
      </c>
      <c r="C7293" t="inlineStr"/>
      <c r="D7293" t="inlineStr">
        <is>
          <t>288</t>
        </is>
      </c>
      <c r="E7293" t="inlineStr">
        <is>
          <t>2</t>
        </is>
      </c>
      <c r="F7293" t="inlineStr">
        <is>
          <t>72</t>
        </is>
      </c>
      <c r="G7293" t="inlineStr">
        <is>
          <t>8</t>
        </is>
      </c>
      <c r="H7293" t="inlineStr">
        <is>
          <t>0</t>
        </is>
      </c>
      <c r="I7293" t="inlineStr">
        <is>
          <t>144²</t>
        </is>
      </c>
      <c r="J7293" t="n">
        <v>2</v>
      </c>
      <c r="K7293" t="inlineStr">
        <is>
          <t>8², 16², 48²</t>
        </is>
      </c>
      <c r="L7293" t="inlineStr">
        <is>
          <t>48H⁶, 72I¹⁰, 144A¹⁰, 144B¹⁰</t>
        </is>
      </c>
      <c r="M7293" t="inlineStr"/>
      <c r="N7293" t="inlineStr">
        <is>
          <t>6B⁰, 16A⁰, 72B⁴, 48H⁶, 12F⁰, 144B¹⁰, 8A⁰, 24B¹, 72I¹⁰, 1A⁰, 72A⁴, 36A¹, 144A¹⁰, 12A⁰, 24K², 24A¹, 48A³, 4A⁰, 9A⁰, 3A⁰, 18A¹, 36L⁴, 48B³</t>
        </is>
      </c>
      <c r="O7293" t="inlineStr"/>
    </row>
    <row r="7294">
      <c r="A7294">
        <f>HYPERLINK("https://mathstats.uncg.edu/sites/pauli/congruence/csg22.html#group144K22", "144K²²")</f>
        <v/>
      </c>
      <c r="B7294" t="n">
        <v>22</v>
      </c>
      <c r="C7294" t="inlineStr"/>
      <c r="D7294" t="inlineStr">
        <is>
          <t>288</t>
        </is>
      </c>
      <c r="E7294" t="inlineStr">
        <is>
          <t>2</t>
        </is>
      </c>
      <c r="F7294" t="inlineStr">
        <is>
          <t>144</t>
        </is>
      </c>
      <c r="G7294" t="inlineStr">
        <is>
          <t>4</t>
        </is>
      </c>
      <c r="H7294" t="inlineStr">
        <is>
          <t>0</t>
        </is>
      </c>
      <c r="I7294" t="inlineStr">
        <is>
          <t>48³, 144¹</t>
        </is>
      </c>
      <c r="J7294" t="n">
        <v>4</v>
      </c>
      <c r="K7294" t="inlineStr">
        <is>
          <t>8², 16², 24², 48⁴</t>
        </is>
      </c>
      <c r="L7294" t="inlineStr">
        <is>
          <t>48I⁷, 72K¹⁰</t>
        </is>
      </c>
      <c r="M7294" t="inlineStr"/>
      <c r="N7294" t="inlineStr">
        <is>
          <t>48I⁷, 12G¹, 24E³, 12A⁰, 72K¹⁰, 24A¹, 4A⁰, 8A⁰, 36M⁴, 3C⁰, 24B¹, 9E⁰, 3A⁰, 1A⁰, 48B³</t>
        </is>
      </c>
      <c r="O7294" t="inlineStr"/>
    </row>
    <row r="7295">
      <c r="A7295">
        <f>HYPERLINK("https://mathstats.uncg.edu/sites/pauli/congruence/csg22.html#group144L22", "144L²²")</f>
        <v/>
      </c>
      <c r="B7295" t="n">
        <v>22</v>
      </c>
      <c r="C7295" t="inlineStr"/>
      <c r="D7295" t="inlineStr">
        <is>
          <t>288</t>
        </is>
      </c>
      <c r="E7295" t="inlineStr">
        <is>
          <t>2</t>
        </is>
      </c>
      <c r="F7295" t="inlineStr">
        <is>
          <t>144</t>
        </is>
      </c>
      <c r="G7295" t="inlineStr">
        <is>
          <t>4</t>
        </is>
      </c>
      <c r="H7295" t="inlineStr">
        <is>
          <t>0</t>
        </is>
      </c>
      <c r="I7295" t="inlineStr">
        <is>
          <t>48³, 144¹</t>
        </is>
      </c>
      <c r="J7295" t="n">
        <v>4</v>
      </c>
      <c r="K7295" t="inlineStr">
        <is>
          <t>8², 16², 24², 48⁴</t>
        </is>
      </c>
      <c r="L7295" t="inlineStr">
        <is>
          <t>48J⁷, 72K¹⁰</t>
        </is>
      </c>
      <c r="M7295" t="inlineStr"/>
      <c r="N7295" t="inlineStr">
        <is>
          <t>12G¹, 16A⁰, 8A⁰, 24B¹, 9E⁰, 1A⁰, 24E³, 12A⁰, 72K¹⁰, 48A³, 24A¹, 48J⁷, 4A⁰, 36M⁴, 3C⁰, 3A⁰, 48B³</t>
        </is>
      </c>
      <c r="O7295" t="inlineStr"/>
    </row>
    <row r="7296">
      <c r="A7296">
        <f>HYPERLINK("https://mathstats.uncg.edu/sites/pauli/congruence/csg22.html#group144M22", "144M²²")</f>
        <v/>
      </c>
      <c r="B7296" t="n">
        <v>22</v>
      </c>
      <c r="C7296" t="inlineStr"/>
      <c r="D7296" t="inlineStr">
        <is>
          <t>288</t>
        </is>
      </c>
      <c r="E7296" t="inlineStr">
        <is>
          <t>2</t>
        </is>
      </c>
      <c r="F7296" t="inlineStr">
        <is>
          <t>144</t>
        </is>
      </c>
      <c r="G7296" t="inlineStr">
        <is>
          <t>8</t>
        </is>
      </c>
      <c r="H7296" t="inlineStr">
        <is>
          <t>0</t>
        </is>
      </c>
      <c r="I7296" t="inlineStr">
        <is>
          <t>144²</t>
        </is>
      </c>
      <c r="J7296" t="n">
        <v>2</v>
      </c>
      <c r="K7296" t="inlineStr">
        <is>
          <t>16⁶, 48⁴</t>
        </is>
      </c>
      <c r="L7296" t="inlineStr">
        <is>
          <t>48G⁶, 72L¹⁰</t>
        </is>
      </c>
      <c r="M7296" t="inlineStr"/>
      <c r="N7296" t="inlineStr">
        <is>
          <t>36N⁴, 12A⁰, 24K², 24A¹, 6B⁰, 4A⁰, 12F⁰, 8A⁰, 18B¹, 24B¹, 72L¹⁰, 3A⁰, 1A⁰, 48G⁶, 48B³</t>
        </is>
      </c>
      <c r="O7296" t="inlineStr"/>
    </row>
    <row r="7297">
      <c r="A7297">
        <f>HYPERLINK("https://mathstats.uncg.edu/sites/pauli/congruence/csg22.html#group144N22", "144N²²")</f>
        <v/>
      </c>
      <c r="B7297" t="n">
        <v>22</v>
      </c>
      <c r="C7297" t="inlineStr"/>
      <c r="D7297" t="inlineStr">
        <is>
          <t>288</t>
        </is>
      </c>
      <c r="E7297" t="inlineStr">
        <is>
          <t>2</t>
        </is>
      </c>
      <c r="F7297" t="inlineStr">
        <is>
          <t>144</t>
        </is>
      </c>
      <c r="G7297" t="inlineStr">
        <is>
          <t>8</t>
        </is>
      </c>
      <c r="H7297" t="inlineStr">
        <is>
          <t>0</t>
        </is>
      </c>
      <c r="I7297" t="inlineStr">
        <is>
          <t>144²</t>
        </is>
      </c>
      <c r="J7297" t="n">
        <v>2</v>
      </c>
      <c r="K7297" t="inlineStr">
        <is>
          <t>16⁶, 48⁴</t>
        </is>
      </c>
      <c r="L7297" t="inlineStr">
        <is>
          <t>48H⁶, 72L¹⁰</t>
        </is>
      </c>
      <c r="M7297" t="inlineStr"/>
      <c r="N7297" t="inlineStr">
        <is>
          <t>6B⁰, 16A⁰, 48H⁶, 12F⁰, 18B¹, 8A⁰, 24B¹, 1A⁰, 36N⁴, 12A⁰, 24K², 24A¹, 48A³, 4A⁰, 72L¹⁰, 3A⁰, 48B³</t>
        </is>
      </c>
      <c r="O7297" t="inlineStr"/>
    </row>
    <row r="7298">
      <c r="A7298">
        <f>HYPERLINK("https://mathstats.uncg.edu/sites/pauli/congruence/csg22.html#group150A22", "150A²²")</f>
        <v/>
      </c>
      <c r="B7298" t="n">
        <v>22</v>
      </c>
      <c r="C7298" t="inlineStr"/>
      <c r="D7298" t="inlineStr">
        <is>
          <t>300</t>
        </is>
      </c>
      <c r="E7298" t="inlineStr">
        <is>
          <t>1</t>
        </is>
      </c>
      <c r="F7298" t="inlineStr">
        <is>
          <t>50</t>
        </is>
      </c>
      <c r="G7298" t="inlineStr">
        <is>
          <t>12</t>
        </is>
      </c>
      <c r="H7298" t="inlineStr">
        <is>
          <t>0</t>
        </is>
      </c>
      <c r="I7298" t="inlineStr">
        <is>
          <t>150²</t>
        </is>
      </c>
      <c r="J7298" t="n">
        <v>2</v>
      </c>
      <c r="K7298" t="inlineStr">
        <is>
          <t>2¹, 4², 20²</t>
        </is>
      </c>
      <c r="L7298" t="inlineStr">
        <is>
          <t>30F², 50E⁴, 75A¹¹</t>
        </is>
      </c>
      <c r="M7298" t="inlineStr"/>
      <c r="N7298" t="inlineStr">
        <is>
          <t>15D¹, 10D⁰, 5C⁰, 25E², 50E⁴, 75A¹¹, 1A⁰, 3A⁰, 30F²</t>
        </is>
      </c>
      <c r="O7298" t="inlineStr"/>
    </row>
    <row r="7299">
      <c r="A7299">
        <f>HYPERLINK("https://mathstats.uncg.edu/sites/pauli/congruence/csg22.html#group162A22", "162A²²")</f>
        <v/>
      </c>
      <c r="B7299" t="n">
        <v>22</v>
      </c>
      <c r="C7299" t="inlineStr"/>
      <c r="D7299" t="inlineStr">
        <is>
          <t>324</t>
        </is>
      </c>
      <c r="E7299" t="inlineStr">
        <is>
          <t>1</t>
        </is>
      </c>
      <c r="F7299" t="inlineStr">
        <is>
          <t>108</t>
        </is>
      </c>
      <c r="G7299" t="inlineStr">
        <is>
          <t>0</t>
        </is>
      </c>
      <c r="H7299" t="inlineStr">
        <is>
          <t>0</t>
        </is>
      </c>
      <c r="I7299" t="inlineStr">
        <is>
          <t>3³, 6³, 9², 18², 81¹, 162¹</t>
        </is>
      </c>
      <c r="J7299" t="n">
        <v>12</v>
      </c>
      <c r="K7299" t="inlineStr">
        <is>
          <t>1⁶, 2⁶, 6⁶, 18³</t>
        </is>
      </c>
      <c r="L7299" t="inlineStr">
        <is>
          <t>54E⁴, 81A⁷</t>
        </is>
      </c>
      <c r="M7299" t="inlineStr"/>
      <c r="N7299" t="inlineStr">
        <is>
          <t>3B⁰, 27A¹, 18E⁰, 6F⁰, 9B⁰, 2B⁰, 81A⁷, 1A⁰, 54E⁴</t>
        </is>
      </c>
      <c r="O7299" t="inlineStr"/>
    </row>
    <row r="7300">
      <c r="A7300">
        <f>HYPERLINK("https://mathstats.uncg.edu/sites/pauli/congruence/csg22.html#group162B22", "162B²²")</f>
        <v/>
      </c>
      <c r="B7300" t="n">
        <v>22</v>
      </c>
      <c r="C7300" t="inlineStr"/>
      <c r="D7300" t="inlineStr">
        <is>
          <t>324</t>
        </is>
      </c>
      <c r="E7300" t="inlineStr">
        <is>
          <t>1</t>
        </is>
      </c>
      <c r="F7300" t="inlineStr">
        <is>
          <t>108</t>
        </is>
      </c>
      <c r="G7300" t="inlineStr">
        <is>
          <t>0</t>
        </is>
      </c>
      <c r="H7300" t="inlineStr">
        <is>
          <t>0</t>
        </is>
      </c>
      <c r="I7300" t="inlineStr">
        <is>
          <t>3³, 6³, 9², 18², 81¹, 162¹</t>
        </is>
      </c>
      <c r="J7300" t="n">
        <v>12</v>
      </c>
      <c r="K7300" t="inlineStr">
        <is>
          <t>1⁶, 2⁶, 6⁶, 18³</t>
        </is>
      </c>
      <c r="L7300" t="inlineStr">
        <is>
          <t>54E⁴, 81B⁷</t>
        </is>
      </c>
      <c r="M7300" t="inlineStr"/>
      <c r="N7300" t="inlineStr">
        <is>
          <t>3B⁰, 27A¹, 18E⁰, 81B⁷, 9B⁰, 1A⁰, 2B⁰, 6F⁰, 54E⁴</t>
        </is>
      </c>
      <c r="O7300" t="inlineStr"/>
    </row>
    <row r="7301">
      <c r="A7301">
        <f>HYPERLINK("https://mathstats.uncg.edu/sites/pauli/congruence/csg22.html#group168A22", "168A²²")</f>
        <v/>
      </c>
      <c r="B7301" t="n">
        <v>22</v>
      </c>
      <c r="C7301" t="inlineStr"/>
      <c r="D7301" t="inlineStr">
        <is>
          <t>288</t>
        </is>
      </c>
      <c r="E7301" t="inlineStr">
        <is>
          <t>1</t>
        </is>
      </c>
      <c r="F7301" t="inlineStr">
        <is>
          <t>24</t>
        </is>
      </c>
      <c r="G7301" t="inlineStr">
        <is>
          <t>0</t>
        </is>
      </c>
      <c r="H7301" t="inlineStr">
        <is>
          <t>0</t>
        </is>
      </c>
      <c r="I7301" t="inlineStr">
        <is>
          <t>6², 24¹, 42², 168¹</t>
        </is>
      </c>
      <c r="J7301" t="n">
        <v>6</v>
      </c>
      <c r="K7301" t="inlineStr">
        <is>
          <t>1⁶, 6³</t>
        </is>
      </c>
      <c r="L7301" t="inlineStr">
        <is>
          <t>56D⁶, 84B¹⁰</t>
        </is>
      </c>
      <c r="M7301" t="inlineStr"/>
      <c r="N7301" t="inlineStr">
        <is>
          <t>3A⁰, 56D⁶, 84B¹⁰, 21A², 42A⁵, 7B⁰, 28D², 14C¹, 12B¹, 2B⁰, 4B⁰, 1A⁰, 6D⁰</t>
        </is>
      </c>
      <c r="O7301" t="inlineStr"/>
    </row>
    <row r="7302">
      <c r="A7302">
        <f>HYPERLINK("https://mathstats.uncg.edu/sites/pauli/congruence/csg22.html#group168B22", "168B²²")</f>
        <v/>
      </c>
      <c r="B7302" t="n">
        <v>22</v>
      </c>
      <c r="C7302" t="inlineStr"/>
      <c r="D7302" t="inlineStr">
        <is>
          <t>288</t>
        </is>
      </c>
      <c r="E7302" t="inlineStr">
        <is>
          <t>1</t>
        </is>
      </c>
      <c r="F7302" t="inlineStr">
        <is>
          <t>48</t>
        </is>
      </c>
      <c r="G7302" t="inlineStr">
        <is>
          <t>0</t>
        </is>
      </c>
      <c r="H7302" t="inlineStr">
        <is>
          <t>0</t>
        </is>
      </c>
      <c r="I7302" t="inlineStr">
        <is>
          <t>6², 24¹, 42², 168¹</t>
        </is>
      </c>
      <c r="J7302" t="n">
        <v>6</v>
      </c>
      <c r="K7302" t="inlineStr">
        <is>
          <t>1⁴, 2⁴, 6², 12²</t>
        </is>
      </c>
      <c r="L7302" t="inlineStr">
        <is>
          <t>24C¹, 56E⁶, 84A¹¹</t>
        </is>
      </c>
      <c r="M7302" t="inlineStr"/>
      <c r="N7302" t="inlineStr">
        <is>
          <t>12C⁰, 3A⁰, 8D⁰, 4C⁰, 2B⁰, 1A⁰, 21A², 42A⁵, 7B⁰, 14C¹, 24C¹, 84A¹¹, 28C³, 56E⁶, 6D⁰</t>
        </is>
      </c>
      <c r="O7302" t="inlineStr"/>
    </row>
    <row r="7303">
      <c r="A7303">
        <f>HYPERLINK("https://mathstats.uncg.edu/sites/pauli/congruence/csg22.html#group168C22", "168C²²")</f>
        <v/>
      </c>
      <c r="B7303" t="n">
        <v>22</v>
      </c>
      <c r="C7303" t="inlineStr"/>
      <c r="D7303" t="inlineStr">
        <is>
          <t>288</t>
        </is>
      </c>
      <c r="E7303" t="inlineStr">
        <is>
          <t>1</t>
        </is>
      </c>
      <c r="F7303" t="inlineStr">
        <is>
          <t>72</t>
        </is>
      </c>
      <c r="G7303" t="inlineStr">
        <is>
          <t>0</t>
        </is>
      </c>
      <c r="H7303" t="inlineStr">
        <is>
          <t>0</t>
        </is>
      </c>
      <c r="I7303" t="inlineStr">
        <is>
          <t>6², 24¹, 42², 168¹</t>
        </is>
      </c>
      <c r="J7303" t="n">
        <v>6</v>
      </c>
      <c r="K7303" t="inlineStr">
        <is>
          <t>1⁶, 2⁶, 6³, 12³</t>
        </is>
      </c>
      <c r="L7303" t="inlineStr">
        <is>
          <t>84B¹⁰</t>
        </is>
      </c>
      <c r="M7303" t="inlineStr"/>
      <c r="N7303" t="inlineStr">
        <is>
          <t>3A⁰, 21A², 84B¹⁰, 42A⁵, 7B⁰, 28D², 14C¹, 12B¹, 2B⁰, 4B⁰, 1A⁰, 6D⁰</t>
        </is>
      </c>
      <c r="O7303" t="inlineStr"/>
    </row>
    <row r="7304">
      <c r="A7304">
        <f>HYPERLINK("https://mathstats.uncg.edu/sites/pauli/congruence/csg22.html#group168D22", "168D²²")</f>
        <v/>
      </c>
      <c r="B7304" t="n">
        <v>22</v>
      </c>
      <c r="C7304" t="inlineStr"/>
      <c r="D7304" t="inlineStr">
        <is>
          <t>288</t>
        </is>
      </c>
      <c r="E7304" t="inlineStr">
        <is>
          <t>1</t>
        </is>
      </c>
      <c r="F7304" t="inlineStr">
        <is>
          <t>144</t>
        </is>
      </c>
      <c r="G7304" t="inlineStr">
        <is>
          <t>0</t>
        </is>
      </c>
      <c r="H7304" t="inlineStr">
        <is>
          <t>0</t>
        </is>
      </c>
      <c r="I7304" t="inlineStr">
        <is>
          <t>6², 24¹, 42², 168¹</t>
        </is>
      </c>
      <c r="J7304" t="n">
        <v>6</v>
      </c>
      <c r="K7304" t="inlineStr">
        <is>
          <t>1⁴, 2⁸, 4⁴, 6², 12⁴, 24²</t>
        </is>
      </c>
      <c r="L7304" t="inlineStr">
        <is>
          <t>24E¹, 84A¹¹</t>
        </is>
      </c>
      <c r="M7304" t="inlineStr"/>
      <c r="N7304" t="inlineStr">
        <is>
          <t>24E¹, 28C³, 12C⁰, 4C⁰, 2B⁰, 1A⁰, 21A², 42A⁵, 7B⁰, 14C¹, 84A¹¹, 3A⁰, 6D⁰</t>
        </is>
      </c>
      <c r="O7304" t="inlineStr"/>
    </row>
    <row r="7305">
      <c r="A7305">
        <f>HYPERLINK("https://mathstats.uncg.edu/sites/pauli/congruence/csg22.html#group168E22", "168E²²")</f>
        <v/>
      </c>
      <c r="B7305" t="n">
        <v>22</v>
      </c>
      <c r="C7305" t="inlineStr"/>
      <c r="D7305" t="inlineStr">
        <is>
          <t>288</t>
        </is>
      </c>
      <c r="E7305" t="inlineStr">
        <is>
          <t>2</t>
        </is>
      </c>
      <c r="F7305" t="inlineStr">
        <is>
          <t>24</t>
        </is>
      </c>
      <c r="G7305" t="inlineStr">
        <is>
          <t>0</t>
        </is>
      </c>
      <c r="H7305" t="inlineStr">
        <is>
          <t>0</t>
        </is>
      </c>
      <c r="I7305" t="inlineStr">
        <is>
          <t>6², 24¹, 42², 168¹</t>
        </is>
      </c>
      <c r="J7305" t="n">
        <v>6</v>
      </c>
      <c r="K7305" t="inlineStr">
        <is>
          <t>2⁶, 12³</t>
        </is>
      </c>
      <c r="L7305" t="inlineStr">
        <is>
          <t>56D⁶, 84D¹⁰</t>
        </is>
      </c>
      <c r="M7305" t="inlineStr"/>
      <c r="N7305" t="inlineStr">
        <is>
          <t>56D⁶, 42B⁵, 7B⁰, 28D², 14C¹, 2B⁰, 4B⁰, 84D¹⁰, 1A⁰, 21A¹</t>
        </is>
      </c>
      <c r="O7305" t="inlineStr"/>
    </row>
    <row r="7306">
      <c r="A7306">
        <f>HYPERLINK("https://mathstats.uncg.edu/sites/pauli/congruence/csg22.html#group168F22", "168F²²")</f>
        <v/>
      </c>
      <c r="B7306" t="n">
        <v>22</v>
      </c>
      <c r="C7306" t="inlineStr"/>
      <c r="D7306" t="inlineStr">
        <is>
          <t>288</t>
        </is>
      </c>
      <c r="E7306" t="inlineStr">
        <is>
          <t>2</t>
        </is>
      </c>
      <c r="F7306" t="inlineStr">
        <is>
          <t>48</t>
        </is>
      </c>
      <c r="G7306" t="inlineStr">
        <is>
          <t>0</t>
        </is>
      </c>
      <c r="H7306" t="inlineStr">
        <is>
          <t>0</t>
        </is>
      </c>
      <c r="I7306" t="inlineStr">
        <is>
          <t>6², 24¹, 42², 168¹</t>
        </is>
      </c>
      <c r="J7306" t="n">
        <v>6</v>
      </c>
      <c r="K7306" t="inlineStr">
        <is>
          <t>2⁴, 4⁴, 12², 24²</t>
        </is>
      </c>
      <c r="L7306" t="inlineStr">
        <is>
          <t>56E⁶, 84C¹¹</t>
        </is>
      </c>
      <c r="M7306" t="inlineStr"/>
      <c r="N7306" t="inlineStr">
        <is>
          <t>84C¹¹, 42B⁵, 8D⁰, 7B⁰, 4C⁰, 14C¹, 1A⁰, 2B⁰, 28C³, 56E⁶, 21A¹</t>
        </is>
      </c>
      <c r="O7306" t="inlineStr"/>
    </row>
    <row r="7307">
      <c r="A7307">
        <f>HYPERLINK("https://mathstats.uncg.edu/sites/pauli/congruence/csg22.html#group168G22", "168G²²")</f>
        <v/>
      </c>
      <c r="B7307" t="n">
        <v>22</v>
      </c>
      <c r="C7307" t="inlineStr"/>
      <c r="D7307" t="inlineStr">
        <is>
          <t>336</t>
        </is>
      </c>
      <c r="E7307" t="inlineStr">
        <is>
          <t>2</t>
        </is>
      </c>
      <c r="F7307" t="inlineStr">
        <is>
          <t>28</t>
        </is>
      </c>
      <c r="G7307" t="inlineStr">
        <is>
          <t>24</t>
        </is>
      </c>
      <c r="H7307" t="inlineStr">
        <is>
          <t>0</t>
        </is>
      </c>
      <c r="I7307" t="inlineStr">
        <is>
          <t>168²</t>
        </is>
      </c>
      <c r="J7307" t="n">
        <v>2</v>
      </c>
      <c r="K7307" t="inlineStr">
        <is>
          <t>8², 24⁴</t>
        </is>
      </c>
      <c r="L7307" t="inlineStr">
        <is>
          <t>56F⁶, 84H⁸, 168A¹⁰, 168C¹⁰</t>
        </is>
      </c>
      <c r="M7307" t="inlineStr"/>
      <c r="N7307" t="inlineStr">
        <is>
          <t>28E², 14A⁰, 42A¹, 8A⁰, 21A⁰, 1A⁰, 84A³, 12A⁰, 168C¹⁰, 84H⁸, 24A¹, 4A⁰, 168A¹⁰, 56C³, 3A⁰, 28A¹, 56F⁶, 7A⁰, 56A³</t>
        </is>
      </c>
      <c r="O7307" t="inlineStr"/>
    </row>
    <row r="7308">
      <c r="A7308">
        <f>HYPERLINK("https://mathstats.uncg.edu/sites/pauli/congruence/csg22.html#group168H22", "168H²²")</f>
        <v/>
      </c>
      <c r="B7308" t="n">
        <v>22</v>
      </c>
      <c r="C7308" t="inlineStr"/>
      <c r="D7308" t="inlineStr">
        <is>
          <t>336</t>
        </is>
      </c>
      <c r="E7308" t="inlineStr">
        <is>
          <t>2</t>
        </is>
      </c>
      <c r="F7308" t="inlineStr">
        <is>
          <t>28</t>
        </is>
      </c>
      <c r="G7308" t="inlineStr">
        <is>
          <t>24</t>
        </is>
      </c>
      <c r="H7308" t="inlineStr">
        <is>
          <t>0</t>
        </is>
      </c>
      <c r="I7308" t="inlineStr">
        <is>
          <t>168²</t>
        </is>
      </c>
      <c r="J7308" t="n">
        <v>2</v>
      </c>
      <c r="K7308" t="inlineStr">
        <is>
          <t>8², 24⁴</t>
        </is>
      </c>
      <c r="L7308" t="inlineStr">
        <is>
          <t>56G⁶, 84H⁸, 168B¹⁰, 168D¹⁰</t>
        </is>
      </c>
      <c r="M7308" t="inlineStr"/>
      <c r="N7308" t="inlineStr">
        <is>
          <t>28E², 14A⁰, 56D³, 56B³, 42A¹, 8A⁰, 21A⁰, 168B¹⁰, 1A⁰, 56G⁶, 84A³, 12A⁰, 24A¹, 84H⁸, 4A⁰, 168D¹⁰, 3A⁰, 28A¹, 7A⁰</t>
        </is>
      </c>
      <c r="O7308" t="inlineStr"/>
    </row>
    <row r="7309">
      <c r="A7309">
        <f>HYPERLINK("https://mathstats.uncg.edu/sites/pauli/congruence/csg22.html#group168I22", "168I²²")</f>
        <v/>
      </c>
      <c r="B7309" t="n">
        <v>22</v>
      </c>
      <c r="C7309" t="inlineStr"/>
      <c r="D7309" t="inlineStr">
        <is>
          <t>336</t>
        </is>
      </c>
      <c r="E7309" t="inlineStr">
        <is>
          <t>2</t>
        </is>
      </c>
      <c r="F7309" t="inlineStr">
        <is>
          <t>84</t>
        </is>
      </c>
      <c r="G7309" t="inlineStr">
        <is>
          <t>24</t>
        </is>
      </c>
      <c r="H7309" t="inlineStr">
        <is>
          <t>0</t>
        </is>
      </c>
      <c r="I7309" t="inlineStr">
        <is>
          <t>168²</t>
        </is>
      </c>
      <c r="J7309" t="n">
        <v>2</v>
      </c>
      <c r="K7309" t="inlineStr">
        <is>
          <t>8², 16², 24⁴, 48⁴</t>
        </is>
      </c>
      <c r="L7309" t="inlineStr">
        <is>
          <t>84H⁸, 168E¹⁰, 168G¹⁰</t>
        </is>
      </c>
      <c r="M7309" t="inlineStr"/>
      <c r="N7309" t="inlineStr">
        <is>
          <t>28E², 14A⁰, 42A¹, 21A⁰, 24B¹, 1A⁰, 168G¹⁰, 84A³, 168E¹⁰, 12A⁰, 84H⁸, 4A⁰, 3A⁰, 28A¹, 7A⁰</t>
        </is>
      </c>
      <c r="O7309" t="inlineStr"/>
    </row>
    <row r="7310">
      <c r="A7310">
        <f>HYPERLINK("https://mathstats.uncg.edu/sites/pauli/congruence/csg22.html#group168J22", "168J²²")</f>
        <v/>
      </c>
      <c r="B7310" t="n">
        <v>22</v>
      </c>
      <c r="C7310" t="inlineStr"/>
      <c r="D7310" t="inlineStr">
        <is>
          <t>336</t>
        </is>
      </c>
      <c r="E7310" t="inlineStr">
        <is>
          <t>2</t>
        </is>
      </c>
      <c r="F7310" t="inlineStr">
        <is>
          <t>84</t>
        </is>
      </c>
      <c r="G7310" t="inlineStr">
        <is>
          <t>24</t>
        </is>
      </c>
      <c r="H7310" t="inlineStr">
        <is>
          <t>0</t>
        </is>
      </c>
      <c r="I7310" t="inlineStr">
        <is>
          <t>168²</t>
        </is>
      </c>
      <c r="J7310" t="n">
        <v>2</v>
      </c>
      <c r="K7310" t="inlineStr">
        <is>
          <t>8², 16², 24⁴, 48⁴</t>
        </is>
      </c>
      <c r="L7310" t="inlineStr">
        <is>
          <t>84H⁸, 168F¹⁰, 168H¹⁰</t>
        </is>
      </c>
      <c r="M7310" t="inlineStr"/>
      <c r="N7310" t="inlineStr">
        <is>
          <t>28E², 14A⁰, 42A¹, 21A⁰, 24B¹, 1A⁰, 168F¹⁰, 84A³, 168H¹⁰, 12A⁰, 84H⁸, 4A⁰, 3A⁰, 28A¹, 7A⁰</t>
        </is>
      </c>
      <c r="O7310" t="inlineStr"/>
    </row>
    <row r="7311">
      <c r="A7311">
        <f>HYPERLINK("https://mathstats.uncg.edu/sites/pauli/congruence/csg22.html#group168K22", "168K²²")</f>
        <v/>
      </c>
      <c r="B7311" t="n">
        <v>22</v>
      </c>
      <c r="C7311" t="inlineStr"/>
      <c r="D7311" t="inlineStr">
        <is>
          <t>336</t>
        </is>
      </c>
      <c r="E7311" t="inlineStr">
        <is>
          <t>2</t>
        </is>
      </c>
      <c r="F7311" t="inlineStr">
        <is>
          <t>84</t>
        </is>
      </c>
      <c r="G7311" t="inlineStr">
        <is>
          <t>24</t>
        </is>
      </c>
      <c r="H7311" t="inlineStr">
        <is>
          <t>0</t>
        </is>
      </c>
      <c r="I7311" t="inlineStr">
        <is>
          <t>168²</t>
        </is>
      </c>
      <c r="J7311" t="n">
        <v>2</v>
      </c>
      <c r="K7311" t="inlineStr">
        <is>
          <t>8², 16², 24⁴, 48⁴</t>
        </is>
      </c>
      <c r="L7311" t="inlineStr">
        <is>
          <t>84I⁸, 168A¹⁰, 168E¹⁰</t>
        </is>
      </c>
      <c r="M7311" t="inlineStr"/>
      <c r="N7311" t="inlineStr">
        <is>
          <t>6B⁰, 84I⁸, 12F⁰, 21A⁰, 1A⁰, 84A³, 168E¹⁰, 12A⁰, 4A⁰, 168A¹⁰, 42B¹, 3A⁰, 28A¹, 7A⁰, 56A³</t>
        </is>
      </c>
      <c r="O7311" t="inlineStr"/>
    </row>
    <row r="7312">
      <c r="A7312">
        <f>HYPERLINK("https://mathstats.uncg.edu/sites/pauli/congruence/csg22.html#group168L22", "168L²²")</f>
        <v/>
      </c>
      <c r="B7312" t="n">
        <v>22</v>
      </c>
      <c r="C7312" t="inlineStr"/>
      <c r="D7312" t="inlineStr">
        <is>
          <t>336</t>
        </is>
      </c>
      <c r="E7312" t="inlineStr">
        <is>
          <t>2</t>
        </is>
      </c>
      <c r="F7312" t="inlineStr">
        <is>
          <t>84</t>
        </is>
      </c>
      <c r="G7312" t="inlineStr">
        <is>
          <t>24</t>
        </is>
      </c>
      <c r="H7312" t="inlineStr">
        <is>
          <t>0</t>
        </is>
      </c>
      <c r="I7312" t="inlineStr">
        <is>
          <t>168²</t>
        </is>
      </c>
      <c r="J7312" t="n">
        <v>2</v>
      </c>
      <c r="K7312" t="inlineStr">
        <is>
          <t>8², 16², 24⁴, 48⁴</t>
        </is>
      </c>
      <c r="L7312" t="inlineStr">
        <is>
          <t>84I⁸, 168B¹⁰, 168F¹⁰</t>
        </is>
      </c>
      <c r="M7312" t="inlineStr"/>
      <c r="N7312" t="inlineStr">
        <is>
          <t>56B³, 6B⁰, 84I⁸, 12F⁰, 21A⁰, 168B¹⁰, 1A⁰, 168F¹⁰, 84A³, 12A⁰, 4A⁰, 42B¹, 3A⁰, 28A¹, 7A⁰</t>
        </is>
      </c>
      <c r="O7312" t="inlineStr"/>
    </row>
    <row r="7313">
      <c r="A7313">
        <f>HYPERLINK("https://mathstats.uncg.edu/sites/pauli/congruence/csg22.html#group168M22", "168M²²")</f>
        <v/>
      </c>
      <c r="B7313" t="n">
        <v>22</v>
      </c>
      <c r="C7313" t="inlineStr"/>
      <c r="D7313" t="inlineStr">
        <is>
          <t>336</t>
        </is>
      </c>
      <c r="E7313" t="inlineStr">
        <is>
          <t>2</t>
        </is>
      </c>
      <c r="F7313" t="inlineStr">
        <is>
          <t>84</t>
        </is>
      </c>
      <c r="G7313" t="inlineStr">
        <is>
          <t>24</t>
        </is>
      </c>
      <c r="H7313" t="inlineStr">
        <is>
          <t>0</t>
        </is>
      </c>
      <c r="I7313" t="inlineStr">
        <is>
          <t>168²</t>
        </is>
      </c>
      <c r="J7313" t="n">
        <v>2</v>
      </c>
      <c r="K7313" t="inlineStr">
        <is>
          <t>8², 16², 24⁴, 48⁴</t>
        </is>
      </c>
      <c r="L7313" t="inlineStr">
        <is>
          <t>84I⁸, 168E¹⁰, 168F¹⁰</t>
        </is>
      </c>
      <c r="M7313" t="inlineStr"/>
      <c r="N7313" t="inlineStr">
        <is>
          <t>168F¹⁰, 84A³, 168E¹⁰, 12A⁰, 6B⁰, 4A⁰, 84I⁸, 12F⁰, 21A⁰, 42B¹, 3A⁰, 28A¹, 1A⁰, 7A⁰</t>
        </is>
      </c>
      <c r="O7313" t="inlineStr"/>
    </row>
    <row r="7314">
      <c r="A7314">
        <f>HYPERLINK("https://mathstats.uncg.edu/sites/pauli/congruence/csg22.html#group168N22", "168N²²")</f>
        <v/>
      </c>
      <c r="B7314" t="n">
        <v>22</v>
      </c>
      <c r="C7314" t="inlineStr"/>
      <c r="D7314" t="inlineStr">
        <is>
          <t>336</t>
        </is>
      </c>
      <c r="E7314" t="inlineStr">
        <is>
          <t>2</t>
        </is>
      </c>
      <c r="F7314" t="inlineStr">
        <is>
          <t>84</t>
        </is>
      </c>
      <c r="G7314" t="inlineStr">
        <is>
          <t>24</t>
        </is>
      </c>
      <c r="H7314" t="inlineStr">
        <is>
          <t>0</t>
        </is>
      </c>
      <c r="I7314" t="inlineStr">
        <is>
          <t>168²</t>
        </is>
      </c>
      <c r="J7314" t="n">
        <v>2</v>
      </c>
      <c r="K7314" t="inlineStr">
        <is>
          <t>8², 16², 24⁴, 48⁴</t>
        </is>
      </c>
      <c r="L7314" t="inlineStr">
        <is>
          <t>84I⁸, 168E¹⁰, 168F¹⁰</t>
        </is>
      </c>
      <c r="M7314" t="inlineStr"/>
      <c r="N7314" t="inlineStr">
        <is>
          <t>168F¹⁰, 84A³, 168E¹⁰, 12A⁰, 6B⁰, 4A⁰, 84I⁸, 12F⁰, 21A⁰, 42B¹, 3A⁰, 28A¹, 1A⁰, 7A⁰</t>
        </is>
      </c>
      <c r="O7314" t="inlineStr"/>
    </row>
    <row r="7315">
      <c r="A7315">
        <f>HYPERLINK("https://mathstats.uncg.edu/sites/pauli/congruence/csg22.html#group168O22", "168O²²")</f>
        <v/>
      </c>
      <c r="B7315" t="n">
        <v>22</v>
      </c>
      <c r="C7315" t="inlineStr"/>
      <c r="D7315" t="inlineStr">
        <is>
          <t>336</t>
        </is>
      </c>
      <c r="E7315" t="inlineStr">
        <is>
          <t>2</t>
        </is>
      </c>
      <c r="F7315" t="inlineStr">
        <is>
          <t>84</t>
        </is>
      </c>
      <c r="G7315" t="inlineStr">
        <is>
          <t>24</t>
        </is>
      </c>
      <c r="H7315" t="inlineStr">
        <is>
          <t>0</t>
        </is>
      </c>
      <c r="I7315" t="inlineStr">
        <is>
          <t>168²</t>
        </is>
      </c>
      <c r="J7315" t="n">
        <v>2</v>
      </c>
      <c r="K7315" t="inlineStr">
        <is>
          <t>8², 16², 24⁴, 48⁴</t>
        </is>
      </c>
      <c r="L7315" t="inlineStr">
        <is>
          <t>24G², 84I⁸, 168G¹⁰, 168H¹⁰</t>
        </is>
      </c>
      <c r="M7315" t="inlineStr"/>
      <c r="N7315" t="inlineStr">
        <is>
          <t>6B⁰, 84I⁸, 12F⁰, 21A⁰, 24B¹, 1A⁰, 168G¹⁰, 84A³, 168H¹⁰, 12A⁰, 4A⁰, 42B¹, 3A⁰, 28A¹, 24G², 7A⁰</t>
        </is>
      </c>
      <c r="O7315" t="inlineStr"/>
    </row>
    <row r="7316">
      <c r="A7316">
        <f>HYPERLINK("https://mathstats.uncg.edu/sites/pauli/congruence/csg22.html#group168P22", "168P²²")</f>
        <v/>
      </c>
      <c r="B7316" t="n">
        <v>22</v>
      </c>
      <c r="C7316" t="inlineStr"/>
      <c r="D7316" t="inlineStr">
        <is>
          <t>336</t>
        </is>
      </c>
      <c r="E7316" t="inlineStr">
        <is>
          <t>2</t>
        </is>
      </c>
      <c r="F7316" t="inlineStr">
        <is>
          <t>84</t>
        </is>
      </c>
      <c r="G7316" t="inlineStr">
        <is>
          <t>24</t>
        </is>
      </c>
      <c r="H7316" t="inlineStr">
        <is>
          <t>0</t>
        </is>
      </c>
      <c r="I7316" t="inlineStr">
        <is>
          <t>168²</t>
        </is>
      </c>
      <c r="J7316" t="n">
        <v>2</v>
      </c>
      <c r="K7316" t="inlineStr">
        <is>
          <t>8², 16², 24⁴, 48⁴</t>
        </is>
      </c>
      <c r="L7316" t="inlineStr">
        <is>
          <t>24H², 84I⁸, 168G¹⁰, 168H¹⁰</t>
        </is>
      </c>
      <c r="M7316" t="inlineStr"/>
      <c r="N7316" t="inlineStr">
        <is>
          <t>6B⁰, 84I⁸, 12F⁰, 21A⁰, 24B¹, 1A⁰, 168G¹⁰, 84A³, 168H¹⁰, 12A⁰, 4A⁰, 42B¹, 3A⁰, 28A¹, 24H², 7A⁰</t>
        </is>
      </c>
      <c r="O7316" t="inlineStr"/>
    </row>
    <row r="7317">
      <c r="A7317">
        <f>HYPERLINK("https://mathstats.uncg.edu/sites/pauli/congruence/csg22.html#group168Q22", "168Q²²")</f>
        <v/>
      </c>
      <c r="B7317" t="n">
        <v>22</v>
      </c>
      <c r="C7317" t="inlineStr"/>
      <c r="D7317" t="inlineStr">
        <is>
          <t>336</t>
        </is>
      </c>
      <c r="E7317" t="inlineStr">
        <is>
          <t>2</t>
        </is>
      </c>
      <c r="F7317" t="inlineStr">
        <is>
          <t>84</t>
        </is>
      </c>
      <c r="G7317" t="inlineStr">
        <is>
          <t>24</t>
        </is>
      </c>
      <c r="H7317" t="inlineStr">
        <is>
          <t>0</t>
        </is>
      </c>
      <c r="I7317" t="inlineStr">
        <is>
          <t>168²</t>
        </is>
      </c>
      <c r="J7317" t="n">
        <v>2</v>
      </c>
      <c r="K7317" t="inlineStr">
        <is>
          <t>8², 16², 24⁴, 48⁴</t>
        </is>
      </c>
      <c r="L7317" t="inlineStr">
        <is>
          <t>24K², 84I⁸, 168C¹⁰, 168G¹⁰</t>
        </is>
      </c>
      <c r="M7317" t="inlineStr"/>
      <c r="N7317" t="inlineStr">
        <is>
          <t>6B⁰, 84I⁸, 8A⁰, 21A⁰, 12F⁰, 24B¹, 1A⁰, 168G¹⁰, 84A³, 12A⁰, 168C¹⁰, 24K², 24A¹, 4A⁰, 56C³, 42B¹, 3A⁰, 28A¹, 7A⁰</t>
        </is>
      </c>
      <c r="O7317" t="inlineStr"/>
    </row>
    <row r="7318">
      <c r="A7318">
        <f>HYPERLINK("https://mathstats.uncg.edu/sites/pauli/congruence/csg22.html#group168R22", "168R²²")</f>
        <v/>
      </c>
      <c r="B7318" t="n">
        <v>22</v>
      </c>
      <c r="C7318" t="inlineStr"/>
      <c r="D7318" t="inlineStr">
        <is>
          <t>336</t>
        </is>
      </c>
      <c r="E7318" t="inlineStr">
        <is>
          <t>2</t>
        </is>
      </c>
      <c r="F7318" t="inlineStr">
        <is>
          <t>84</t>
        </is>
      </c>
      <c r="G7318" t="inlineStr">
        <is>
          <t>24</t>
        </is>
      </c>
      <c r="H7318" t="inlineStr">
        <is>
          <t>0</t>
        </is>
      </c>
      <c r="I7318" t="inlineStr">
        <is>
          <t>168²</t>
        </is>
      </c>
      <c r="J7318" t="n">
        <v>2</v>
      </c>
      <c r="K7318" t="inlineStr">
        <is>
          <t>8², 16², 24⁴, 48⁴</t>
        </is>
      </c>
      <c r="L7318" t="inlineStr">
        <is>
          <t>24K², 84I⁸, 168D¹⁰, 168H¹⁰</t>
        </is>
      </c>
      <c r="M7318" t="inlineStr"/>
      <c r="N7318" t="inlineStr">
        <is>
          <t>56D³, 6B⁰, 84I⁸, 8A⁰, 21A⁰, 12F⁰, 24B¹, 1A⁰, 84A³, 168H¹⁰, 24K², 24A¹, 12A⁰, 4A⁰, 168D¹⁰, 42B¹, 3A⁰, 28A¹, 7A⁰</t>
        </is>
      </c>
      <c r="O7318" t="inlineStr"/>
    </row>
    <row r="7319">
      <c r="A7319">
        <f>HYPERLINK("https://mathstats.uncg.edu/sites/pauli/congruence/csg22.html#group176A22", "176A²²")</f>
        <v/>
      </c>
      <c r="B7319" t="n">
        <v>22</v>
      </c>
      <c r="C7319" t="inlineStr"/>
      <c r="D7319" t="inlineStr">
        <is>
          <t>264</t>
        </is>
      </c>
      <c r="E7319" t="inlineStr">
        <is>
          <t>2</t>
        </is>
      </c>
      <c r="F7319" t="inlineStr">
        <is>
          <t>33</t>
        </is>
      </c>
      <c r="G7319" t="inlineStr">
        <is>
          <t>0</t>
        </is>
      </c>
      <c r="H7319" t="inlineStr">
        <is>
          <t>0</t>
        </is>
      </c>
      <c r="I7319" t="inlineStr">
        <is>
          <t>88¹, 176¹</t>
        </is>
      </c>
      <c r="J7319" t="n">
        <v>2</v>
      </c>
      <c r="K7319" t="inlineStr">
        <is>
          <t>2³, 10⁶</t>
        </is>
      </c>
      <c r="L7319" t="inlineStr">
        <is>
          <t>16A², 88B⁸</t>
        </is>
      </c>
      <c r="M7319" t="inlineStr"/>
      <c r="N7319" t="inlineStr">
        <is>
          <t>11A⁰, 16A², 44C⁴, 4C⁰, 8B⁰, 2B⁰, 22B², 1A⁰, 88B⁸</t>
        </is>
      </c>
      <c r="O7319" t="inlineStr"/>
    </row>
    <row r="7320">
      <c r="A7320">
        <f>HYPERLINK("https://mathstats.uncg.edu/sites/pauli/congruence/csg22.html#group176B22", "176B²²")</f>
        <v/>
      </c>
      <c r="B7320" t="n">
        <v>22</v>
      </c>
      <c r="C7320" t="inlineStr"/>
      <c r="D7320" t="inlineStr">
        <is>
          <t>264</t>
        </is>
      </c>
      <c r="E7320" t="inlineStr">
        <is>
          <t>2</t>
        </is>
      </c>
      <c r="F7320" t="inlineStr">
        <is>
          <t>132</t>
        </is>
      </c>
      <c r="G7320" t="inlineStr">
        <is>
          <t>0</t>
        </is>
      </c>
      <c r="H7320" t="inlineStr">
        <is>
          <t>0</t>
        </is>
      </c>
      <c r="I7320" t="inlineStr">
        <is>
          <t>88¹, 176¹</t>
        </is>
      </c>
      <c r="J7320" t="n">
        <v>2</v>
      </c>
      <c r="K7320" t="inlineStr">
        <is>
          <t>2⁴, 4², 8¹, 10⁸, 20⁴, 40²</t>
        </is>
      </c>
      <c r="L7320" t="inlineStr">
        <is>
          <t>16B², 88A¹¹</t>
        </is>
      </c>
      <c r="M7320" t="inlineStr"/>
      <c r="N7320" t="inlineStr">
        <is>
          <t>11A⁰, 16B², 8A¹, 44C⁴, 88A¹¹, 4C⁰, 2B⁰, 22B², 1A⁰</t>
        </is>
      </c>
      <c r="O7320" t="inlineStr"/>
    </row>
    <row r="7321">
      <c r="A7321">
        <f>HYPERLINK("https://mathstats.uncg.edu/sites/pauli/congruence/csg22.html#group176C22", "176C²²")</f>
        <v/>
      </c>
      <c r="B7321" t="n">
        <v>22</v>
      </c>
      <c r="C7321" t="inlineStr"/>
      <c r="D7321" t="inlineStr">
        <is>
          <t>288</t>
        </is>
      </c>
      <c r="E7321" t="inlineStr">
        <is>
          <t>1</t>
        </is>
      </c>
      <c r="F7321" t="inlineStr">
        <is>
          <t>144</t>
        </is>
      </c>
      <c r="G7321" t="inlineStr">
        <is>
          <t>0</t>
        </is>
      </c>
      <c r="H7321" t="inlineStr">
        <is>
          <t>0</t>
        </is>
      </c>
      <c r="I7321" t="inlineStr">
        <is>
          <t>4², 16¹, 44², 176¹</t>
        </is>
      </c>
      <c r="J7321" t="n">
        <v>6</v>
      </c>
      <c r="K7321" t="inlineStr">
        <is>
          <t>1⁴, 2², 4⁴, 10², 20¹, 40²</t>
        </is>
      </c>
      <c r="L7321" t="inlineStr">
        <is>
          <t>16C¹, 88C¹⁰</t>
        </is>
      </c>
      <c r="M7321" t="inlineStr"/>
      <c r="N7321" t="inlineStr">
        <is>
          <t>8D⁰, 11A¹, 16C¹, 4C⁰, 44B⁵, 2B⁰, 22C², 1A⁰, 88C¹⁰</t>
        </is>
      </c>
      <c r="O7321" t="inlineStr"/>
    </row>
    <row r="7322">
      <c r="A7322">
        <f>HYPERLINK("https://mathstats.uncg.edu/sites/pauli/congruence/csg22.html#group180A22", "180A²²")</f>
        <v/>
      </c>
      <c r="B7322" t="n">
        <v>22</v>
      </c>
      <c r="C7322" t="inlineStr"/>
      <c r="D7322" t="inlineStr">
        <is>
          <t>270</t>
        </is>
      </c>
      <c r="E7322" t="inlineStr">
        <is>
          <t>1</t>
        </is>
      </c>
      <c r="F7322" t="inlineStr">
        <is>
          <t>135</t>
        </is>
      </c>
      <c r="G7322" t="inlineStr">
        <is>
          <t>0</t>
        </is>
      </c>
      <c r="H7322" t="inlineStr">
        <is>
          <t>0</t>
        </is>
      </c>
      <c r="I7322" t="inlineStr">
        <is>
          <t>45², 180¹</t>
        </is>
      </c>
      <c r="J7322" t="n">
        <v>3</v>
      </c>
      <c r="K7322" t="inlineStr">
        <is>
          <t>1³, 2³, 4³, 6³, 8³, 24³</t>
        </is>
      </c>
      <c r="L7322" t="inlineStr">
        <is>
          <t>36D⁴, 60A⁷, 90D¹⁰</t>
        </is>
      </c>
      <c r="M7322" t="inlineStr"/>
      <c r="N7322" t="inlineStr">
        <is>
          <t>20A², 5A⁰, 15A¹, 90D¹⁰, 10B¹, 2B⁰, 4B⁰, 1A⁰, 60A⁷, 30D³, 9A⁰, 36D⁴, 12B¹, 18E¹, 3A⁰, 6D⁰, 45A³</t>
        </is>
      </c>
      <c r="O7322" t="inlineStr"/>
    </row>
    <row r="7323">
      <c r="A7323">
        <f>HYPERLINK("https://mathstats.uncg.edu/sites/pauli/congruence/csg22.html#group180B22", "180B²²")</f>
        <v/>
      </c>
      <c r="B7323" t="n">
        <v>22</v>
      </c>
      <c r="C7323" t="inlineStr"/>
      <c r="D7323" t="inlineStr">
        <is>
          <t>270</t>
        </is>
      </c>
      <c r="E7323" t="inlineStr">
        <is>
          <t>2</t>
        </is>
      </c>
      <c r="F7323" t="inlineStr">
        <is>
          <t>135</t>
        </is>
      </c>
      <c r="G7323" t="inlineStr">
        <is>
          <t>2</t>
        </is>
      </c>
      <c r="H7323" t="inlineStr">
        <is>
          <t>0</t>
        </is>
      </c>
      <c r="I7323" t="inlineStr">
        <is>
          <t>90¹, 180¹</t>
        </is>
      </c>
      <c r="J7323" t="n">
        <v>2</v>
      </c>
      <c r="K7323" t="inlineStr">
        <is>
          <t>2⁹, 6⁶, 8⁹, 24⁶</t>
        </is>
      </c>
      <c r="L7323" t="inlineStr">
        <is>
          <t>36E⁴, 60B⁷, 90D¹⁰</t>
        </is>
      </c>
      <c r="M7323" t="inlineStr"/>
      <c r="N7323" t="inlineStr">
        <is>
          <t>5A⁰, 90D¹⁰, 10B¹, 60B⁷, 36E⁴, 2B⁰, 1A⁰, 30D³, 12C¹, 9A⁰, 6D⁰, 18E¹, 3A⁰, 15A¹, 45A³</t>
        </is>
      </c>
      <c r="O7323" t="inlineStr"/>
    </row>
    <row r="7324">
      <c r="A7324">
        <f>HYPERLINK("https://mathstats.uncg.edu/sites/pauli/congruence/csg22.html#group180C22", "180C²²")</f>
        <v/>
      </c>
      <c r="B7324" t="n">
        <v>22</v>
      </c>
      <c r="C7324" t="inlineStr"/>
      <c r="D7324" t="inlineStr">
        <is>
          <t>324</t>
        </is>
      </c>
      <c r="E7324" t="inlineStr">
        <is>
          <t>1</t>
        </is>
      </c>
      <c r="F7324" t="inlineStr">
        <is>
          <t>162</t>
        </is>
      </c>
      <c r="G7324" t="inlineStr">
        <is>
          <t>12</t>
        </is>
      </c>
      <c r="H7324" t="inlineStr">
        <is>
          <t>0</t>
        </is>
      </c>
      <c r="I7324" t="inlineStr">
        <is>
          <t>9², 36¹, 45², 180¹</t>
        </is>
      </c>
      <c r="J7324" t="n">
        <v>6</v>
      </c>
      <c r="K7324" t="inlineStr">
        <is>
          <t>1⁶, 2⁶, 4³, 6⁶, 8³, 24³</t>
        </is>
      </c>
      <c r="L7324" t="inlineStr">
        <is>
          <t>60E⁶, 90E¹⁰</t>
        </is>
      </c>
      <c r="M7324" t="inlineStr"/>
      <c r="N7324" t="inlineStr">
        <is>
          <t>45A², 15B⁰, 60E⁶, 30E², 9A⁰, 90E¹⁰, 5B⁰, 10C⁰, 2B⁰, 18E¹, 3A⁰, 1A⁰, 6D⁰</t>
        </is>
      </c>
      <c r="O7324" t="inlineStr"/>
    </row>
    <row r="7325">
      <c r="A7325">
        <f>HYPERLINK("https://mathstats.uncg.edu/sites/pauli/congruence/csg22.html#group180D22", "180D²²")</f>
        <v/>
      </c>
      <c r="B7325" t="n">
        <v>22</v>
      </c>
      <c r="C7325" t="inlineStr"/>
      <c r="D7325" t="inlineStr">
        <is>
          <t>324</t>
        </is>
      </c>
      <c r="E7325" t="inlineStr">
        <is>
          <t>2</t>
        </is>
      </c>
      <c r="F7325" t="inlineStr">
        <is>
          <t>162</t>
        </is>
      </c>
      <c r="G7325" t="inlineStr">
        <is>
          <t>16</t>
        </is>
      </c>
      <c r="H7325" t="inlineStr">
        <is>
          <t>0</t>
        </is>
      </c>
      <c r="I7325" t="inlineStr">
        <is>
          <t>18¹, 36¹, 90¹, 180¹</t>
        </is>
      </c>
      <c r="J7325" t="n">
        <v>4</v>
      </c>
      <c r="K7325" t="inlineStr">
        <is>
          <t>2¹⁸, 6¹², 8⁹, 24⁶</t>
        </is>
      </c>
      <c r="L7325" t="inlineStr">
        <is>
          <t>60F⁶, 90E¹⁰</t>
        </is>
      </c>
      <c r="M7325" t="inlineStr"/>
      <c r="N7325" t="inlineStr">
        <is>
          <t>45A², 15B⁰, 60F⁶, 30E², 9A⁰, 90E¹⁰, 5B⁰, 10C⁰, 2B⁰, 18E¹, 3A⁰, 1A⁰, 6D⁰</t>
        </is>
      </c>
      <c r="O7325" t="inlineStr"/>
    </row>
    <row r="7326">
      <c r="A7326">
        <f>HYPERLINK("https://mathstats.uncg.edu/sites/pauli/congruence/csg22.html#group182A22", "182A²²")</f>
        <v/>
      </c>
      <c r="B7326" t="n">
        <v>22</v>
      </c>
      <c r="C7326" t="inlineStr"/>
      <c r="D7326" t="inlineStr">
        <is>
          <t>294</t>
        </is>
      </c>
      <c r="E7326" t="inlineStr">
        <is>
          <t>2</t>
        </is>
      </c>
      <c r="F7326" t="inlineStr">
        <is>
          <t>294</t>
        </is>
      </c>
      <c r="G7326" t="inlineStr">
        <is>
          <t>6</t>
        </is>
      </c>
      <c r="H7326" t="inlineStr">
        <is>
          <t>0</t>
        </is>
      </c>
      <c r="I7326" t="inlineStr">
        <is>
          <t>7¹, 14¹, 91¹, 182¹</t>
        </is>
      </c>
      <c r="J7326" t="n">
        <v>4</v>
      </c>
      <c r="K7326" t="inlineStr">
        <is>
          <t>2⁶, 6¹², 24³, 72⁶</t>
        </is>
      </c>
      <c r="L7326" t="inlineStr">
        <is>
          <t>14B¹, 26A², 91A⁶</t>
        </is>
      </c>
      <c r="M7326" t="inlineStr"/>
      <c r="N7326" t="inlineStr">
        <is>
          <t>14B¹, 13A⁰, 2B⁰, 91A⁶, 1A⁰, 26A², 7A⁰</t>
        </is>
      </c>
      <c r="O7326" t="inlineStr"/>
    </row>
    <row r="7327">
      <c r="A7327">
        <f>HYPERLINK("https://mathstats.uncg.edu/sites/pauli/congruence/csg22.html#group184A22", "184A²²")</f>
        <v/>
      </c>
      <c r="B7327" t="n">
        <v>22</v>
      </c>
      <c r="C7327" t="inlineStr"/>
      <c r="D7327" t="inlineStr">
        <is>
          <t>288</t>
        </is>
      </c>
      <c r="E7327" t="inlineStr">
        <is>
          <t>1</t>
        </is>
      </c>
      <c r="F7327" t="inlineStr">
        <is>
          <t>72</t>
        </is>
      </c>
      <c r="G7327" t="inlineStr">
        <is>
          <t>0</t>
        </is>
      </c>
      <c r="H7327" t="inlineStr">
        <is>
          <t>0</t>
        </is>
      </c>
      <c r="I7327" t="inlineStr">
        <is>
          <t>2², 8¹, 46², 184¹</t>
        </is>
      </c>
      <c r="J7327" t="n">
        <v>6</v>
      </c>
      <c r="K7327" t="inlineStr">
        <is>
          <t>1⁶, 22³</t>
        </is>
      </c>
      <c r="L7327" t="inlineStr">
        <is>
          <t>92A¹⁰</t>
        </is>
      </c>
      <c r="M7327" t="inlineStr"/>
      <c r="N7327" t="inlineStr">
        <is>
          <t>92A¹⁰, 2B⁰, 23A², 4B⁰, 1A⁰, 46A⁵</t>
        </is>
      </c>
      <c r="O7327" t="inlineStr"/>
    </row>
    <row r="7328">
      <c r="A7328">
        <f>HYPERLINK("https://mathstats.uncg.edu/sites/pauli/congruence/csg22.html#group184B22", "184B²²")</f>
        <v/>
      </c>
      <c r="B7328" t="n">
        <v>22</v>
      </c>
      <c r="C7328" t="inlineStr"/>
      <c r="D7328" t="inlineStr">
        <is>
          <t>288</t>
        </is>
      </c>
      <c r="E7328" t="inlineStr">
        <is>
          <t>1</t>
        </is>
      </c>
      <c r="F7328" t="inlineStr">
        <is>
          <t>144</t>
        </is>
      </c>
      <c r="G7328" t="inlineStr">
        <is>
          <t>0</t>
        </is>
      </c>
      <c r="H7328" t="inlineStr">
        <is>
          <t>0</t>
        </is>
      </c>
      <c r="I7328" t="inlineStr">
        <is>
          <t>2², 8¹, 46², 184¹</t>
        </is>
      </c>
      <c r="J7328" t="n">
        <v>6</v>
      </c>
      <c r="K7328" t="inlineStr">
        <is>
          <t>1⁴, 2⁴, 22², 44²</t>
        </is>
      </c>
      <c r="L7328" t="inlineStr">
        <is>
          <t>8D⁰, 92A¹¹</t>
        </is>
      </c>
      <c r="M7328" t="inlineStr"/>
      <c r="N7328" t="inlineStr">
        <is>
          <t>92A¹¹, 8D⁰, 4C⁰, 46A⁵, 2B⁰, 23A², 1A⁰</t>
        </is>
      </c>
      <c r="O7328" t="inlineStr"/>
    </row>
    <row r="7329">
      <c r="A7329">
        <f>HYPERLINK("https://mathstats.uncg.edu/sites/pauli/congruence/csg22.html#group188A22", "188A²²")</f>
        <v/>
      </c>
      <c r="B7329" t="n">
        <v>22</v>
      </c>
      <c r="C7329" t="inlineStr">
        <is>
          <t>Γ₀(188)</t>
        </is>
      </c>
      <c r="D7329" t="inlineStr">
        <is>
          <t>288</t>
        </is>
      </c>
      <c r="E7329" t="inlineStr">
        <is>
          <t>1</t>
        </is>
      </c>
      <c r="F7329" t="inlineStr">
        <is>
          <t>144</t>
        </is>
      </c>
      <c r="G7329" t="inlineStr">
        <is>
          <t>0</t>
        </is>
      </c>
      <c r="H7329" t="inlineStr">
        <is>
          <t>0</t>
        </is>
      </c>
      <c r="I7329" t="inlineStr">
        <is>
          <t>1², 4¹, 47², 188¹</t>
        </is>
      </c>
      <c r="J7329" t="n">
        <v>6</v>
      </c>
      <c r="K7329" t="inlineStr">
        <is>
          <t>1⁶, 46³</t>
        </is>
      </c>
      <c r="L7329" t="inlineStr">
        <is>
          <t>4B⁰, 94A¹¹</t>
        </is>
      </c>
      <c r="M7329" t="inlineStr"/>
      <c r="N7329" t="inlineStr">
        <is>
          <t>47A⁴, 94A¹¹, 2B⁰, 4B⁰, 1A⁰</t>
        </is>
      </c>
      <c r="O7329" t="inlineStr"/>
    </row>
    <row r="7330">
      <c r="A7330">
        <f>HYPERLINK("https://mathstats.uncg.edu/sites/pauli/congruence/csg22.html#group189A22", "189A²²")</f>
        <v/>
      </c>
      <c r="B7330" t="n">
        <v>22</v>
      </c>
      <c r="C7330" t="inlineStr"/>
      <c r="D7330" t="inlineStr">
        <is>
          <t>288</t>
        </is>
      </c>
      <c r="E7330" t="inlineStr">
        <is>
          <t>2</t>
        </is>
      </c>
      <c r="F7330" t="inlineStr">
        <is>
          <t>96</t>
        </is>
      </c>
      <c r="G7330" t="inlineStr">
        <is>
          <t>0</t>
        </is>
      </c>
      <c r="H7330" t="inlineStr">
        <is>
          <t>3</t>
        </is>
      </c>
      <c r="I7330" t="inlineStr">
        <is>
          <t>9¹, 27¹, 63¹, 189¹</t>
        </is>
      </c>
      <c r="J7330" t="n">
        <v>4</v>
      </c>
      <c r="K7330" t="inlineStr">
        <is>
          <t>2¹², 6⁴, 12⁶, 36²</t>
        </is>
      </c>
      <c r="L7330" t="inlineStr">
        <is>
          <t>63B⁵</t>
        </is>
      </c>
      <c r="M7330" t="inlineStr"/>
      <c r="N7330" t="inlineStr">
        <is>
          <t>3B⁰, 63B⁵, 21B¹, 9C⁰, 1A⁰, 7B⁰</t>
        </is>
      </c>
      <c r="O7330" t="inlineStr"/>
    </row>
    <row r="7331">
      <c r="A7331">
        <f>HYPERLINK("https://mathstats.uncg.edu/sites/pauli/congruence/csg22.html#group192A22", "192A²²")</f>
        <v/>
      </c>
      <c r="B7331" t="n">
        <v>22</v>
      </c>
      <c r="C7331" t="inlineStr"/>
      <c r="D7331" t="inlineStr">
        <is>
          <t>288</t>
        </is>
      </c>
      <c r="E7331" t="inlineStr">
        <is>
          <t>1</t>
        </is>
      </c>
      <c r="F7331" t="inlineStr">
        <is>
          <t>24</t>
        </is>
      </c>
      <c r="G7331" t="inlineStr">
        <is>
          <t>0</t>
        </is>
      </c>
      <c r="H7331" t="inlineStr">
        <is>
          <t>0</t>
        </is>
      </c>
      <c r="I7331" t="inlineStr">
        <is>
          <t>12⁴, 48¹, 192¹</t>
        </is>
      </c>
      <c r="J7331" t="n">
        <v>6</v>
      </c>
      <c r="K7331" t="inlineStr">
        <is>
          <t>2⁸, 8¹</t>
        </is>
      </c>
      <c r="L7331" t="inlineStr">
        <is>
          <t>64A⁶, 96A¹⁰</t>
        </is>
      </c>
      <c r="M7331" t="inlineStr"/>
      <c r="N7331" t="inlineStr">
        <is>
          <t>96A¹⁰, 8C⁰, 2B⁰, 4B⁰, 1A⁰, 64A⁶, 48B⁴, 24B², 16C⁰, 32A², 12B¹, 3A⁰, 6D⁰</t>
        </is>
      </c>
      <c r="O7331" t="inlineStr"/>
    </row>
    <row r="7332">
      <c r="A7332">
        <f>HYPERLINK("https://mathstats.uncg.edu/sites/pauli/congruence/csg22.html#group192B22", "192B²²")</f>
        <v/>
      </c>
      <c r="B7332" t="n">
        <v>22</v>
      </c>
      <c r="C7332" t="inlineStr"/>
      <c r="D7332" t="inlineStr">
        <is>
          <t>288</t>
        </is>
      </c>
      <c r="E7332" t="inlineStr">
        <is>
          <t>1</t>
        </is>
      </c>
      <c r="F7332" t="inlineStr">
        <is>
          <t>72</t>
        </is>
      </c>
      <c r="G7332" t="inlineStr">
        <is>
          <t>0</t>
        </is>
      </c>
      <c r="H7332" t="inlineStr">
        <is>
          <t>0</t>
        </is>
      </c>
      <c r="I7332" t="inlineStr">
        <is>
          <t>12⁴, 48¹, 192¹</t>
        </is>
      </c>
      <c r="J7332" t="n">
        <v>6</v>
      </c>
      <c r="K7332" t="inlineStr">
        <is>
          <t>2⁸, 4⁸, 8¹, 16¹</t>
        </is>
      </c>
      <c r="L7332" t="inlineStr">
        <is>
          <t>96A¹⁰</t>
        </is>
      </c>
      <c r="M7332" t="inlineStr"/>
      <c r="N7332" t="inlineStr">
        <is>
          <t>24B², 3A⁰, 16C⁰, 96A¹⁰, 8C⁰, 2B⁰, 32A², 4B⁰, 12B¹, 1A⁰, 6D⁰, 48B⁴</t>
        </is>
      </c>
      <c r="O7332" t="inlineStr"/>
    </row>
    <row r="7333">
      <c r="A7333">
        <f>HYPERLINK("https://mathstats.uncg.edu/sites/pauli/congruence/csg22.html#group198A22", "198A²²")</f>
        <v/>
      </c>
      <c r="B7333" t="n">
        <v>22</v>
      </c>
      <c r="C7333" t="inlineStr"/>
      <c r="D7333" t="inlineStr">
        <is>
          <t>264</t>
        </is>
      </c>
      <c r="E7333" t="inlineStr">
        <is>
          <t>2</t>
        </is>
      </c>
      <c r="F7333" t="inlineStr">
        <is>
          <t>44</t>
        </is>
      </c>
      <c r="G7333" t="inlineStr">
        <is>
          <t>0</t>
        </is>
      </c>
      <c r="H7333" t="inlineStr">
        <is>
          <t>0</t>
        </is>
      </c>
      <c r="I7333" t="inlineStr">
        <is>
          <t>66¹, 198¹</t>
        </is>
      </c>
      <c r="J7333" t="n">
        <v>2</v>
      </c>
      <c r="K7333" t="inlineStr">
        <is>
          <t>2², 4¹, 10⁴, 20²</t>
        </is>
      </c>
      <c r="L7333" t="inlineStr">
        <is>
          <t>18B², 66E⁶, 99A¹¹</t>
        </is>
      </c>
      <c r="M7333" t="inlineStr"/>
      <c r="N7333" t="inlineStr">
        <is>
          <t>11A⁰, 3B⁰, 2A⁰, 18B², 22A¹, 33B³, 9A¹, 6C⁰, 66E⁶, 99A¹¹, 1A⁰</t>
        </is>
      </c>
      <c r="O7333" t="inlineStr"/>
    </row>
    <row r="7334">
      <c r="A7334">
        <f>HYPERLINK("https://mathstats.uncg.edu/sites/pauli/congruence/csg22.html#group198B22", "198B²²")</f>
        <v/>
      </c>
      <c r="B7334" t="n">
        <v>22</v>
      </c>
      <c r="C7334" t="inlineStr"/>
      <c r="D7334" t="inlineStr">
        <is>
          <t>264</t>
        </is>
      </c>
      <c r="E7334" t="inlineStr">
        <is>
          <t>2</t>
        </is>
      </c>
      <c r="F7334" t="inlineStr">
        <is>
          <t>88</t>
        </is>
      </c>
      <c r="G7334" t="inlineStr">
        <is>
          <t>0</t>
        </is>
      </c>
      <c r="H7334" t="inlineStr">
        <is>
          <t>0</t>
        </is>
      </c>
      <c r="I7334" t="inlineStr">
        <is>
          <t>66¹, 198¹</t>
        </is>
      </c>
      <c r="J7334" t="n">
        <v>2</v>
      </c>
      <c r="K7334" t="inlineStr">
        <is>
          <t>4⁴, 20⁸</t>
        </is>
      </c>
      <c r="L7334" t="inlineStr">
        <is>
          <t>18C², 66E⁶</t>
        </is>
      </c>
      <c r="M7334" t="inlineStr"/>
      <c r="N7334" t="inlineStr">
        <is>
          <t>11A⁰, 3B⁰, 2A⁰, 22A¹, 33B³, 6C⁰, 66E⁶, 1A⁰, 18C²</t>
        </is>
      </c>
      <c r="O7334" t="inlineStr"/>
    </row>
    <row r="7335">
      <c r="A7335">
        <f>HYPERLINK("https://mathstats.uncg.edu/sites/pauli/congruence/csg22.html#group210A22", "210A²²")</f>
        <v/>
      </c>
      <c r="B7335" t="n">
        <v>22</v>
      </c>
      <c r="C7335" t="inlineStr"/>
      <c r="D7335" t="inlineStr">
        <is>
          <t>280</t>
        </is>
      </c>
      <c r="E7335" t="inlineStr">
        <is>
          <t>2</t>
        </is>
      </c>
      <c r="F7335" t="inlineStr">
        <is>
          <t>140</t>
        </is>
      </c>
      <c r="G7335" t="inlineStr">
        <is>
          <t>0</t>
        </is>
      </c>
      <c r="H7335" t="inlineStr">
        <is>
          <t>4</t>
        </is>
      </c>
      <c r="I7335" t="inlineStr">
        <is>
          <t>70¹, 210¹</t>
        </is>
      </c>
      <c r="J7335" t="n">
        <v>2</v>
      </c>
      <c r="K7335" t="inlineStr">
        <is>
          <t>2², 4¹, 6⁴, 8², 12², 16¹, 24⁴, 48²</t>
        </is>
      </c>
      <c r="L7335" t="inlineStr">
        <is>
          <t>42D⁴, 70A⁴, 105A¹¹</t>
        </is>
      </c>
      <c r="M7335" t="inlineStr"/>
      <c r="N7335" t="inlineStr">
        <is>
          <t>3B⁰, 14A⁰, 5A⁰, 21B², 70A⁴, 105A¹¹, 42D⁴, 15B¹, 1A⁰, 35A², 7A⁰</t>
        </is>
      </c>
      <c r="O7335" t="inlineStr"/>
    </row>
    <row r="7336">
      <c r="A7336">
        <f>HYPERLINK("https://mathstats.uncg.edu/sites/pauli/congruence/csg22.html#group210B22", "210B²²")</f>
        <v/>
      </c>
      <c r="B7336" t="n">
        <v>22</v>
      </c>
      <c r="C7336" t="inlineStr"/>
      <c r="D7336" t="inlineStr">
        <is>
          <t>280</t>
        </is>
      </c>
      <c r="E7336" t="inlineStr">
        <is>
          <t>2</t>
        </is>
      </c>
      <c r="F7336" t="inlineStr">
        <is>
          <t>140</t>
        </is>
      </c>
      <c r="G7336" t="inlineStr">
        <is>
          <t>0</t>
        </is>
      </c>
      <c r="H7336" t="inlineStr">
        <is>
          <t>4</t>
        </is>
      </c>
      <c r="I7336" t="inlineStr">
        <is>
          <t>70¹, 210¹</t>
        </is>
      </c>
      <c r="J7336" t="n">
        <v>2</v>
      </c>
      <c r="K7336" t="inlineStr">
        <is>
          <t>2², 4¹, 6⁴, 8², 12², 16¹, 24⁴, 48²</t>
        </is>
      </c>
      <c r="L7336" t="inlineStr">
        <is>
          <t>30D², 42E⁴, 70A⁵, 105A¹¹</t>
        </is>
      </c>
      <c r="M7336" t="inlineStr"/>
      <c r="N7336" t="inlineStr">
        <is>
          <t>3B⁰, 2A⁰, 5A⁰, 30D², 6C⁰, 14A¹, 1A⁰, 35A², 10A⁰, 21B², 105A¹¹, 42E⁴, 70A⁵, 15B¹, 7A⁰</t>
        </is>
      </c>
      <c r="O7336" t="inlineStr"/>
    </row>
    <row r="7337">
      <c r="A7337">
        <f>HYPERLINK("https://mathstats.uncg.edu/sites/pauli/congruence/csg22.html#group216A22", "216A²²")</f>
        <v/>
      </c>
      <c r="B7337" t="n">
        <v>22</v>
      </c>
      <c r="C7337" t="inlineStr"/>
      <c r="D7337" t="inlineStr">
        <is>
          <t>288</t>
        </is>
      </c>
      <c r="E7337" t="inlineStr">
        <is>
          <t>2</t>
        </is>
      </c>
      <c r="F7337" t="inlineStr">
        <is>
          <t>48</t>
        </is>
      </c>
      <c r="G7337" t="inlineStr">
        <is>
          <t>0</t>
        </is>
      </c>
      <c r="H7337" t="inlineStr">
        <is>
          <t>0</t>
        </is>
      </c>
      <c r="I7337" t="inlineStr">
        <is>
          <t>8³, 24², 216¹</t>
        </is>
      </c>
      <c r="J7337" t="n">
        <v>6</v>
      </c>
      <c r="K7337" t="inlineStr">
        <is>
          <t>4⁴, 8⁴, 24²</t>
        </is>
      </c>
      <c r="L7337" t="inlineStr">
        <is>
          <t>72A⁷, 108D¹⁰</t>
        </is>
      </c>
      <c r="M7337" t="inlineStr"/>
      <c r="N7337" t="inlineStr">
        <is>
          <t>3B⁰, 72A⁷, 27A¹, 108D¹⁰, 24A², 4A⁰, 12A¹, 8A⁰, 9B⁰, 36B³, 1A⁰</t>
        </is>
      </c>
      <c r="O7337" t="inlineStr"/>
    </row>
    <row r="7338">
      <c r="A7338">
        <f>HYPERLINK("https://mathstats.uncg.edu/sites/pauli/congruence/csg22.html#group216B22", "216B²²")</f>
        <v/>
      </c>
      <c r="B7338" t="n">
        <v>22</v>
      </c>
      <c r="C7338" t="inlineStr"/>
      <c r="D7338" t="inlineStr">
        <is>
          <t>288</t>
        </is>
      </c>
      <c r="E7338" t="inlineStr">
        <is>
          <t>2</t>
        </is>
      </c>
      <c r="F7338" t="inlineStr">
        <is>
          <t>48</t>
        </is>
      </c>
      <c r="G7338" t="inlineStr">
        <is>
          <t>0</t>
        </is>
      </c>
      <c r="H7338" t="inlineStr">
        <is>
          <t>6</t>
        </is>
      </c>
      <c r="I7338" t="inlineStr">
        <is>
          <t>72¹, 216¹</t>
        </is>
      </c>
      <c r="J7338" t="n">
        <v>2</v>
      </c>
      <c r="K7338" t="inlineStr">
        <is>
          <t>4⁴, 8⁴, 24²</t>
        </is>
      </c>
      <c r="L7338" t="inlineStr">
        <is>
          <t>72A⁶, 108D¹¹</t>
        </is>
      </c>
      <c r="M7338" t="inlineStr"/>
      <c r="N7338" t="inlineStr">
        <is>
          <t>3B⁰, 72A⁶, 27B², 24A², 4A⁰, 12A¹, 8A⁰, 108D¹¹, 9C⁰, 1A⁰, 36C³</t>
        </is>
      </c>
      <c r="O7338" t="inlineStr"/>
    </row>
    <row r="7339">
      <c r="A7339">
        <f>HYPERLINK("https://mathstats.uncg.edu/sites/pauli/congruence/csg22.html#group216C22", "216C²²")</f>
        <v/>
      </c>
      <c r="B7339" t="n">
        <v>22</v>
      </c>
      <c r="C7339" t="inlineStr"/>
      <c r="D7339" t="inlineStr">
        <is>
          <t>432</t>
        </is>
      </c>
      <c r="E7339" t="inlineStr">
        <is>
          <t>1</t>
        </is>
      </c>
      <c r="F7339" t="inlineStr">
        <is>
          <t>36</t>
        </is>
      </c>
      <c r="G7339" t="inlineStr">
        <is>
          <t>0</t>
        </is>
      </c>
      <c r="H7339" t="inlineStr">
        <is>
          <t>0</t>
        </is>
      </c>
      <c r="I7339" t="inlineStr">
        <is>
          <t>1¹², 3⁸, 8³, 24², 27⁴, 216¹</t>
        </is>
      </c>
      <c r="J7339" t="n">
        <v>30</v>
      </c>
      <c r="K7339" t="inlineStr">
        <is>
          <t>1⁶, 2⁶, 6³</t>
        </is>
      </c>
      <c r="L7339" t="inlineStr">
        <is>
          <t>72A³, 108F¹⁰</t>
        </is>
      </c>
      <c r="M7339" t="inlineStr"/>
      <c r="N7339" t="inlineStr">
        <is>
          <t>72A³, 3B⁰, 18E⁰, 27A¹, 108F¹⁰, 24B⁰, 6F⁰, 9B⁰, 2B⁰, 36C¹, 4B⁰, 1A⁰, 12E⁰, 54E⁴</t>
        </is>
      </c>
      <c r="O7339" t="inlineStr"/>
    </row>
    <row r="7340">
      <c r="A7340">
        <f>HYPERLINK("https://mathstats.uncg.edu/sites/pauli/congruence/csg22.html#group231A22", "231A²²")</f>
        <v/>
      </c>
      <c r="B7340" t="n">
        <v>22</v>
      </c>
      <c r="C7340" t="inlineStr"/>
      <c r="D7340" t="inlineStr">
        <is>
          <t>264</t>
        </is>
      </c>
      <c r="E7340" t="inlineStr">
        <is>
          <t>2</t>
        </is>
      </c>
      <c r="F7340" t="inlineStr">
        <is>
          <t>88</t>
        </is>
      </c>
      <c r="G7340" t="inlineStr">
        <is>
          <t>0</t>
        </is>
      </c>
      <c r="H7340" t="inlineStr">
        <is>
          <t>0</t>
        </is>
      </c>
      <c r="I7340" t="inlineStr">
        <is>
          <t>33¹, 231¹</t>
        </is>
      </c>
      <c r="J7340" t="n">
        <v>2</v>
      </c>
      <c r="K7340" t="inlineStr">
        <is>
          <t>2², 10⁴, 12¹, 60²</t>
        </is>
      </c>
      <c r="L7340" t="inlineStr">
        <is>
          <t>33A¹, 21A², 77A⁶</t>
        </is>
      </c>
      <c r="M7340" t="inlineStr"/>
      <c r="N7340" t="inlineStr">
        <is>
          <t>11A⁰, 21A², 7B⁰, 33A¹, 3A⁰, 1A⁰, 77A⁶</t>
        </is>
      </c>
      <c r="O7340" t="inlineStr"/>
    </row>
    <row r="7341">
      <c r="A7341">
        <f>HYPERLINK("https://mathstats.uncg.edu/sites/pauli/congruence/csg22.html#group242A22", "242A²²")</f>
        <v/>
      </c>
      <c r="B7341" t="n">
        <v>22</v>
      </c>
      <c r="C7341" t="inlineStr">
        <is>
          <t>Γ₀(242)</t>
        </is>
      </c>
      <c r="D7341" t="inlineStr">
        <is>
          <t>396</t>
        </is>
      </c>
      <c r="E7341" t="inlineStr">
        <is>
          <t>1</t>
        </is>
      </c>
      <c r="F7341" t="inlineStr">
        <is>
          <t>396</t>
        </is>
      </c>
      <c r="G7341" t="inlineStr">
        <is>
          <t>0</t>
        </is>
      </c>
      <c r="H7341" t="inlineStr">
        <is>
          <t>0</t>
        </is>
      </c>
      <c r="I7341" t="inlineStr">
        <is>
          <t>1¹¹, 2¹¹, 121¹, 242¹</t>
        </is>
      </c>
      <c r="J7341" t="n">
        <v>24</v>
      </c>
      <c r="K7341" t="inlineStr">
        <is>
          <t>1⁶, 10⁶, 110³</t>
        </is>
      </c>
      <c r="L7341" t="inlineStr">
        <is>
          <t>22C², 121A⁶</t>
        </is>
      </c>
      <c r="M7341" t="inlineStr"/>
      <c r="N7341" t="inlineStr">
        <is>
          <t>2B⁰, 22C², 1A⁰, 11A¹, 121A⁶</t>
        </is>
      </c>
      <c r="O7341" t="inlineStr"/>
    </row>
    <row r="7342">
      <c r="A7342">
        <f>HYPERLINK("https://mathstats.uncg.edu/sites/pauli/congruence/csg22.html#group243A22", "243A²²")</f>
        <v/>
      </c>
      <c r="B7342" t="n">
        <v>22</v>
      </c>
      <c r="C7342" t="inlineStr"/>
      <c r="D7342" t="inlineStr">
        <is>
          <t>324</t>
        </is>
      </c>
      <c r="E7342" t="inlineStr">
        <is>
          <t>1</t>
        </is>
      </c>
      <c r="F7342" t="inlineStr">
        <is>
          <t>108</t>
        </is>
      </c>
      <c r="G7342" t="inlineStr">
        <is>
          <t>0</t>
        </is>
      </c>
      <c r="H7342" t="inlineStr">
        <is>
          <t>0</t>
        </is>
      </c>
      <c r="I7342" t="inlineStr">
        <is>
          <t>3⁹, 27², 243¹</t>
        </is>
      </c>
      <c r="J7342" t="n">
        <v>12</v>
      </c>
      <c r="K7342" t="inlineStr">
        <is>
          <t>1², 2², 6², 18², 54¹</t>
        </is>
      </c>
      <c r="L7342" t="inlineStr">
        <is>
          <t>81A⁴</t>
        </is>
      </c>
      <c r="M7342" t="inlineStr"/>
      <c r="N7342" t="inlineStr">
        <is>
          <t>3B⁰, 81A⁴, 9B⁰, 27A¹, 1A⁰</t>
        </is>
      </c>
      <c r="O7342" t="inlineStr"/>
    </row>
    <row r="7343">
      <c r="A7343">
        <f>HYPERLINK("https://mathstats.uncg.edu/sites/pauli/congruence/csg22.html#group250A22", "250A²²")</f>
        <v/>
      </c>
      <c r="B7343" t="n">
        <v>22</v>
      </c>
      <c r="C7343" t="inlineStr"/>
      <c r="D7343" t="inlineStr">
        <is>
          <t>300</t>
        </is>
      </c>
      <c r="E7343" t="inlineStr">
        <is>
          <t>1</t>
        </is>
      </c>
      <c r="F7343" t="inlineStr">
        <is>
          <t>150</t>
        </is>
      </c>
      <c r="G7343" t="inlineStr">
        <is>
          <t>4</t>
        </is>
      </c>
      <c r="H7343" t="inlineStr">
        <is>
          <t>0</t>
        </is>
      </c>
      <c r="I7343" t="inlineStr">
        <is>
          <t>10⁵, 250¹</t>
        </is>
      </c>
      <c r="J7343" t="n">
        <v>6</v>
      </c>
      <c r="K7343" t="inlineStr">
        <is>
          <t>2², 4⁴, 20⁴, 100²</t>
        </is>
      </c>
      <c r="L7343" t="inlineStr">
        <is>
          <t>50A², 125A¹⁰</t>
        </is>
      </c>
      <c r="M7343" t="inlineStr"/>
      <c r="N7343" t="inlineStr">
        <is>
          <t>25A⁰, 5B⁰, 1A⁰, 125A¹⁰, 50A², 10B⁰</t>
        </is>
      </c>
      <c r="O7343" t="inlineStr"/>
    </row>
    <row r="7344">
      <c r="A7344">
        <f>HYPERLINK("https://mathstats.uncg.edu/sites/pauli/congruence/csg22.html#group250B22", "250B²²")</f>
        <v/>
      </c>
      <c r="B7344" t="n">
        <v>22</v>
      </c>
      <c r="C7344" t="inlineStr"/>
      <c r="D7344" t="inlineStr">
        <is>
          <t>300</t>
        </is>
      </c>
      <c r="E7344" t="inlineStr">
        <is>
          <t>1</t>
        </is>
      </c>
      <c r="F7344" t="inlineStr">
        <is>
          <t>150</t>
        </is>
      </c>
      <c r="G7344" t="inlineStr">
        <is>
          <t>4</t>
        </is>
      </c>
      <c r="H7344" t="inlineStr">
        <is>
          <t>0</t>
        </is>
      </c>
      <c r="I7344" t="inlineStr">
        <is>
          <t>10⁵, 250¹</t>
        </is>
      </c>
      <c r="J7344" t="n">
        <v>6</v>
      </c>
      <c r="K7344" t="inlineStr">
        <is>
          <t>2², 4⁴, 20⁴, 100²</t>
        </is>
      </c>
      <c r="L7344" t="inlineStr">
        <is>
          <t>50A², 125B¹⁰</t>
        </is>
      </c>
      <c r="M7344" t="inlineStr"/>
      <c r="N7344" t="inlineStr">
        <is>
          <t>25A⁰, 5B⁰, 125B¹⁰, 1A⁰, 50A², 10B⁰</t>
        </is>
      </c>
      <c r="O7344" t="inlineStr"/>
    </row>
    <row r="7345">
      <c r="A7345">
        <f>HYPERLINK("https://mathstats.uncg.edu/sites/pauli/congruence/csg22.html#group253A22", "253A²²")</f>
        <v/>
      </c>
      <c r="B7345" t="n">
        <v>22</v>
      </c>
      <c r="C7345" t="inlineStr"/>
      <c r="D7345" t="inlineStr">
        <is>
          <t>264</t>
        </is>
      </c>
      <c r="E7345" t="inlineStr">
        <is>
          <t>2</t>
        </is>
      </c>
      <c r="F7345" t="inlineStr">
        <is>
          <t>264</t>
        </is>
      </c>
      <c r="G7345" t="inlineStr">
        <is>
          <t>0</t>
        </is>
      </c>
      <c r="H7345" t="inlineStr">
        <is>
          <t>0</t>
        </is>
      </c>
      <c r="I7345" t="inlineStr">
        <is>
          <t>11¹, 253¹</t>
        </is>
      </c>
      <c r="J7345" t="n">
        <v>2</v>
      </c>
      <c r="K7345" t="inlineStr">
        <is>
          <t>2², 10⁴, 44¹, 220²</t>
        </is>
      </c>
      <c r="L7345" t="inlineStr">
        <is>
          <t>11A⁰, 23A²</t>
        </is>
      </c>
      <c r="M7345" t="inlineStr"/>
      <c r="N7345" t="inlineStr">
        <is>
          <t>11A⁰, 1A⁰, 23A²</t>
        </is>
      </c>
      <c r="O7345" t="inlineStr"/>
    </row>
    <row r="7346">
      <c r="A7346">
        <f>HYPERLINK("https://mathstats.uncg.edu/sites/pauli/congruence/csg22.html#group258A22", "258A²²")</f>
        <v/>
      </c>
      <c r="B7346" t="n">
        <v>22</v>
      </c>
      <c r="C7346" t="inlineStr"/>
      <c r="D7346" t="inlineStr">
        <is>
          <t>264</t>
        </is>
      </c>
      <c r="E7346" t="inlineStr">
        <is>
          <t>1</t>
        </is>
      </c>
      <c r="F7346" t="inlineStr">
        <is>
          <t>44</t>
        </is>
      </c>
      <c r="G7346" t="inlineStr">
        <is>
          <t>0</t>
        </is>
      </c>
      <c r="H7346" t="inlineStr">
        <is>
          <t>0</t>
        </is>
      </c>
      <c r="I7346" t="inlineStr">
        <is>
          <t>6¹, 258¹</t>
        </is>
      </c>
      <c r="J7346" t="n">
        <v>2</v>
      </c>
      <c r="K7346" t="inlineStr">
        <is>
          <t>1², 42¹</t>
        </is>
      </c>
      <c r="L7346" t="inlineStr">
        <is>
          <t>6A¹, 86A⁶, 129A¹¹</t>
        </is>
      </c>
      <c r="M7346" t="inlineStr"/>
      <c r="N7346" t="inlineStr">
        <is>
          <t>2A⁰, 43A³, 86A⁶, 6A¹, 3A⁰, 1A⁰, 129A¹¹</t>
        </is>
      </c>
      <c r="O7346" t="inlineStr"/>
    </row>
    <row r="7347">
      <c r="A7347">
        <f>HYPERLINK("https://mathstats.uncg.edu/sites/pauli/congruence/csg22.html#group258B22", "258B²²")</f>
        <v/>
      </c>
      <c r="B7347" t="n">
        <v>22</v>
      </c>
      <c r="C7347" t="inlineStr"/>
      <c r="D7347" t="inlineStr">
        <is>
          <t>264</t>
        </is>
      </c>
      <c r="E7347" t="inlineStr">
        <is>
          <t>1</t>
        </is>
      </c>
      <c r="F7347" t="inlineStr">
        <is>
          <t>132</t>
        </is>
      </c>
      <c r="G7347" t="inlineStr">
        <is>
          <t>0</t>
        </is>
      </c>
      <c r="H7347" t="inlineStr">
        <is>
          <t>0</t>
        </is>
      </c>
      <c r="I7347" t="inlineStr">
        <is>
          <t>6¹, 258¹</t>
        </is>
      </c>
      <c r="J7347" t="n">
        <v>2</v>
      </c>
      <c r="K7347" t="inlineStr">
        <is>
          <t>1², 2², 42¹, 84¹</t>
        </is>
      </c>
      <c r="L7347" t="inlineStr">
        <is>
          <t>6B⁰, 129A¹¹</t>
        </is>
      </c>
      <c r="M7347" t="inlineStr"/>
      <c r="N7347" t="inlineStr">
        <is>
          <t>43A³, 6B⁰, 3A⁰, 1A⁰, 129A¹¹</t>
        </is>
      </c>
      <c r="O7347" t="inlineStr"/>
    </row>
    <row r="7348">
      <c r="A7348">
        <f>HYPERLINK("https://mathstats.uncg.edu/sites/pauli/congruence/csg22.html#group262A22", "262A²²")</f>
        <v/>
      </c>
      <c r="B7348" t="n">
        <v>22</v>
      </c>
      <c r="C7348" t="inlineStr"/>
      <c r="D7348" t="inlineStr">
        <is>
          <t>264</t>
        </is>
      </c>
      <c r="E7348" t="inlineStr">
        <is>
          <t>1</t>
        </is>
      </c>
      <c r="F7348" t="inlineStr">
        <is>
          <t>132</t>
        </is>
      </c>
      <c r="G7348" t="inlineStr">
        <is>
          <t>0</t>
        </is>
      </c>
      <c r="H7348" t="inlineStr">
        <is>
          <t>0</t>
        </is>
      </c>
      <c r="I7348" t="inlineStr">
        <is>
          <t>2¹, 262¹</t>
        </is>
      </c>
      <c r="J7348" t="n">
        <v>2</v>
      </c>
      <c r="K7348" t="inlineStr">
        <is>
          <t>1², 130¹</t>
        </is>
      </c>
      <c r="L7348" t="inlineStr">
        <is>
          <t>2A⁰, 131A¹¹</t>
        </is>
      </c>
      <c r="M7348" t="inlineStr"/>
      <c r="N7348" t="inlineStr">
        <is>
          <t>2A⁰, 1A⁰, 131A¹¹</t>
        </is>
      </c>
      <c r="O7348" t="inlineStr"/>
    </row>
    <row r="7349">
      <c r="A7349">
        <f>HYPERLINK("https://mathstats.uncg.edu/sites/pauli/congruence/csg22.html#group263A22", "263A²²")</f>
        <v/>
      </c>
      <c r="B7349" t="n">
        <v>22</v>
      </c>
      <c r="C7349" t="inlineStr">
        <is>
          <t>Γ₀(263)</t>
        </is>
      </c>
      <c r="D7349" t="inlineStr">
        <is>
          <t>264</t>
        </is>
      </c>
      <c r="E7349" t="inlineStr">
        <is>
          <t>1</t>
        </is>
      </c>
      <c r="F7349" t="inlineStr">
        <is>
          <t>264</t>
        </is>
      </c>
      <c r="G7349" t="inlineStr">
        <is>
          <t>0</t>
        </is>
      </c>
      <c r="H7349" t="inlineStr">
        <is>
          <t>0</t>
        </is>
      </c>
      <c r="I7349" t="inlineStr">
        <is>
          <t>1¹, 263¹</t>
        </is>
      </c>
      <c r="J7349" t="n">
        <v>2</v>
      </c>
      <c r="K7349" t="inlineStr">
        <is>
          <t>1², 262¹</t>
        </is>
      </c>
      <c r="L7349" t="inlineStr">
        <is>
          <t>1A⁰</t>
        </is>
      </c>
      <c r="M7349" t="inlineStr"/>
      <c r="N7349" t="inlineStr">
        <is>
          <t>1A⁰</t>
        </is>
      </c>
      <c r="O7349" t="inlineStr"/>
    </row>
    <row r="7350">
      <c r="A7350">
        <f>HYPERLINK("https://mathstats.uncg.edu/sites/pauli/congruence/csg22.html#group265A22", "265A²²")</f>
        <v/>
      </c>
      <c r="B7350" t="n">
        <v>22</v>
      </c>
      <c r="C7350" t="inlineStr"/>
      <c r="D7350" t="inlineStr">
        <is>
          <t>270</t>
        </is>
      </c>
      <c r="E7350" t="inlineStr">
        <is>
          <t>1</t>
        </is>
      </c>
      <c r="F7350" t="inlineStr">
        <is>
          <t>270</t>
        </is>
      </c>
      <c r="G7350" t="inlineStr">
        <is>
          <t>2</t>
        </is>
      </c>
      <c r="H7350" t="inlineStr">
        <is>
          <t>0</t>
        </is>
      </c>
      <c r="I7350" t="inlineStr">
        <is>
          <t>5¹, 265¹</t>
        </is>
      </c>
      <c r="J7350" t="n">
        <v>2</v>
      </c>
      <c r="K7350" t="inlineStr">
        <is>
          <t>1², 4², 52¹, 208¹</t>
        </is>
      </c>
      <c r="L7350" t="inlineStr">
        <is>
          <t>5A⁰, 53A⁴</t>
        </is>
      </c>
      <c r="M7350" t="inlineStr"/>
      <c r="N7350" t="inlineStr">
        <is>
          <t>1A⁰, 5A⁰, 53A⁴</t>
        </is>
      </c>
      <c r="O7350" t="inlineStr"/>
    </row>
    <row r="7351">
      <c r="A7351">
        <f>HYPERLINK("https://mathstats.uncg.edu/sites/pauli/congruence/csg22.html#group266A22", "266A²²")</f>
        <v/>
      </c>
      <c r="B7351" t="n">
        <v>22</v>
      </c>
      <c r="C7351" t="inlineStr"/>
      <c r="D7351" t="inlineStr">
        <is>
          <t>280</t>
        </is>
      </c>
      <c r="E7351" t="inlineStr">
        <is>
          <t>2</t>
        </is>
      </c>
      <c r="F7351" t="inlineStr">
        <is>
          <t>140</t>
        </is>
      </c>
      <c r="G7351" t="inlineStr">
        <is>
          <t>0</t>
        </is>
      </c>
      <c r="H7351" t="inlineStr">
        <is>
          <t>4</t>
        </is>
      </c>
      <c r="I7351" t="inlineStr">
        <is>
          <t>14¹, 266¹</t>
        </is>
      </c>
      <c r="J7351" t="n">
        <v>2</v>
      </c>
      <c r="K7351" t="inlineStr">
        <is>
          <t>2², 6⁴, 36¹, 108²</t>
        </is>
      </c>
      <c r="L7351" t="inlineStr">
        <is>
          <t>14A⁰, 133A¹¹</t>
        </is>
      </c>
      <c r="M7351" t="inlineStr"/>
      <c r="N7351" t="inlineStr">
        <is>
          <t>19A¹, 14A⁰, 133A¹¹, 1A⁰, 7A⁰</t>
        </is>
      </c>
      <c r="O7351" t="inlineStr"/>
    </row>
    <row r="7352">
      <c r="A7352">
        <f>HYPERLINK("https://mathstats.uncg.edu/sites/pauli/congruence/csg22.html#group266B22", "266B²²")</f>
        <v/>
      </c>
      <c r="B7352" t="n">
        <v>22</v>
      </c>
      <c r="C7352" t="inlineStr"/>
      <c r="D7352" t="inlineStr">
        <is>
          <t>280</t>
        </is>
      </c>
      <c r="E7352" t="inlineStr">
        <is>
          <t>2</t>
        </is>
      </c>
      <c r="F7352" t="inlineStr">
        <is>
          <t>140</t>
        </is>
      </c>
      <c r="G7352" t="inlineStr">
        <is>
          <t>0</t>
        </is>
      </c>
      <c r="H7352" t="inlineStr">
        <is>
          <t>4</t>
        </is>
      </c>
      <c r="I7352" t="inlineStr">
        <is>
          <t>14¹, 266¹</t>
        </is>
      </c>
      <c r="J7352" t="n">
        <v>2</v>
      </c>
      <c r="K7352" t="inlineStr">
        <is>
          <t>2², 6⁴, 36¹, 108²</t>
        </is>
      </c>
      <c r="L7352" t="inlineStr">
        <is>
          <t>14A¹, 38A², 133A¹¹</t>
        </is>
      </c>
      <c r="M7352" t="inlineStr"/>
      <c r="N7352" t="inlineStr">
        <is>
          <t>19A¹, 2A⁰, 38A², 14A¹, 133A¹¹, 1A⁰, 7A⁰</t>
        </is>
      </c>
      <c r="O7352" t="inlineStr"/>
    </row>
    <row r="7353">
      <c r="A7353">
        <f>HYPERLINK("https://mathstats.uncg.edu/sites/pauli/congruence/csg22.html#group268A22", "268A²²")</f>
        <v/>
      </c>
      <c r="B7353" t="n">
        <v>22</v>
      </c>
      <c r="C7353" t="inlineStr"/>
      <c r="D7353" t="inlineStr">
        <is>
          <t>272</t>
        </is>
      </c>
      <c r="E7353" t="inlineStr">
        <is>
          <t>1</t>
        </is>
      </c>
      <c r="F7353" t="inlineStr">
        <is>
          <t>272</t>
        </is>
      </c>
      <c r="G7353" t="inlineStr">
        <is>
          <t>0</t>
        </is>
      </c>
      <c r="H7353" t="inlineStr">
        <is>
          <t>2</t>
        </is>
      </c>
      <c r="I7353" t="inlineStr">
        <is>
          <t>4¹, 268¹</t>
        </is>
      </c>
      <c r="J7353" t="n">
        <v>2</v>
      </c>
      <c r="K7353" t="inlineStr">
        <is>
          <t>2⁴, 132²</t>
        </is>
      </c>
      <c r="L7353" t="inlineStr">
        <is>
          <t>4A⁰, 67A⁵</t>
        </is>
      </c>
      <c r="M7353" t="inlineStr"/>
      <c r="N7353" t="inlineStr">
        <is>
          <t>1A⁰, 4A⁰, 67A⁵</t>
        </is>
      </c>
      <c r="O7353" t="inlineStr"/>
    </row>
    <row r="7354">
      <c r="A7354">
        <f>HYPERLINK("https://mathstats.uncg.edu/sites/pauli/congruence/csg22.html#group269A22", "269A²²")</f>
        <v/>
      </c>
      <c r="B7354" t="n">
        <v>22</v>
      </c>
      <c r="C7354" t="inlineStr">
        <is>
          <t>Γ₀(269)</t>
        </is>
      </c>
      <c r="D7354" t="inlineStr">
        <is>
          <t>270</t>
        </is>
      </c>
      <c r="E7354" t="inlineStr">
        <is>
          <t>1</t>
        </is>
      </c>
      <c r="F7354" t="inlineStr">
        <is>
          <t>270</t>
        </is>
      </c>
      <c r="G7354" t="inlineStr">
        <is>
          <t>2</t>
        </is>
      </c>
      <c r="H7354" t="inlineStr">
        <is>
          <t>0</t>
        </is>
      </c>
      <c r="I7354" t="inlineStr">
        <is>
          <t>1¹, 269¹</t>
        </is>
      </c>
      <c r="J7354" t="n">
        <v>2</v>
      </c>
      <c r="K7354" t="inlineStr">
        <is>
          <t>1², 268¹</t>
        </is>
      </c>
      <c r="L7354" t="inlineStr">
        <is>
          <t>1A⁰</t>
        </is>
      </c>
      <c r="M7354" t="inlineStr"/>
      <c r="N7354" t="inlineStr">
        <is>
          <t>1A⁰</t>
        </is>
      </c>
      <c r="O7354" t="inlineStr"/>
    </row>
    <row r="7355">
      <c r="A7355">
        <f>HYPERLINK("https://mathstats.uncg.edu/sites/pauli/congruence/csg22.html#group270A22", "270A²²")</f>
        <v/>
      </c>
      <c r="B7355" t="n">
        <v>22</v>
      </c>
      <c r="C7355" t="inlineStr"/>
      <c r="D7355" t="inlineStr">
        <is>
          <t>360</t>
        </is>
      </c>
      <c r="E7355" t="inlineStr">
        <is>
          <t>1</t>
        </is>
      </c>
      <c r="F7355" t="inlineStr">
        <is>
          <t>60</t>
        </is>
      </c>
      <c r="G7355" t="inlineStr">
        <is>
          <t>0</t>
        </is>
      </c>
      <c r="H7355" t="inlineStr">
        <is>
          <t>24</t>
        </is>
      </c>
      <c r="I7355" t="inlineStr">
        <is>
          <t>90¹, 270¹</t>
        </is>
      </c>
      <c r="J7355" t="n">
        <v>2</v>
      </c>
      <c r="K7355" t="inlineStr">
        <is>
          <t>1², 2², 4², 6¹, 8², 24¹</t>
        </is>
      </c>
      <c r="L7355" t="inlineStr">
        <is>
          <t>54A², 90C⁶, 135A¹¹</t>
        </is>
      </c>
      <c r="M7355" t="inlineStr"/>
      <c r="N7355" t="inlineStr">
        <is>
          <t>3B⁰, 2A⁰, 5A⁰, 45B³, 10A⁰, 135A¹¹, 90C⁶, 18B⁰, 30D², 6C⁰, 15B¹, 27B¹, 54A², 9C⁰, 1A⁰</t>
        </is>
      </c>
      <c r="O7355" t="inlineStr"/>
    </row>
    <row r="7356">
      <c r="A7356">
        <f>HYPERLINK("https://mathstats.uncg.edu/sites/pauli/congruence/csg22.html#group271A22", "271A²²")</f>
        <v/>
      </c>
      <c r="B7356" t="n">
        <v>22</v>
      </c>
      <c r="C7356" t="inlineStr">
        <is>
          <t>Γ₀(271)</t>
        </is>
      </c>
      <c r="D7356" t="inlineStr">
        <is>
          <t>272</t>
        </is>
      </c>
      <c r="E7356" t="inlineStr">
        <is>
          <t>1</t>
        </is>
      </c>
      <c r="F7356" t="inlineStr">
        <is>
          <t>272</t>
        </is>
      </c>
      <c r="G7356" t="inlineStr">
        <is>
          <t>0</t>
        </is>
      </c>
      <c r="H7356" t="inlineStr">
        <is>
          <t>2</t>
        </is>
      </c>
      <c r="I7356" t="inlineStr">
        <is>
          <t>1¹, 271¹</t>
        </is>
      </c>
      <c r="J7356" t="n">
        <v>2</v>
      </c>
      <c r="K7356" t="inlineStr">
        <is>
          <t>1², 270¹</t>
        </is>
      </c>
      <c r="L7356" t="inlineStr">
        <is>
          <t>1A⁰</t>
        </is>
      </c>
      <c r="M7356" t="inlineStr"/>
      <c r="N7356" t="inlineStr">
        <is>
          <t>1A⁰</t>
        </is>
      </c>
      <c r="O7356" t="inlineStr"/>
    </row>
    <row r="7357">
      <c r="A7357">
        <f>HYPERLINK("https://mathstats.uncg.edu/sites/pauli/congruence/csg22.html#group277A22", "277A²²")</f>
        <v/>
      </c>
      <c r="B7357" t="n">
        <v>22</v>
      </c>
      <c r="C7357" t="inlineStr">
        <is>
          <t>Γ₀(277)</t>
        </is>
      </c>
      <c r="D7357" t="inlineStr">
        <is>
          <t>278</t>
        </is>
      </c>
      <c r="E7357" t="inlineStr">
        <is>
          <t>1</t>
        </is>
      </c>
      <c r="F7357" t="inlineStr">
        <is>
          <t>278</t>
        </is>
      </c>
      <c r="G7357" t="inlineStr">
        <is>
          <t>2</t>
        </is>
      </c>
      <c r="H7357" t="inlineStr">
        <is>
          <t>2</t>
        </is>
      </c>
      <c r="I7357" t="inlineStr">
        <is>
          <t>1¹, 277¹</t>
        </is>
      </c>
      <c r="J7357" t="n">
        <v>2</v>
      </c>
      <c r="K7357" t="inlineStr">
        <is>
          <t>1², 276¹</t>
        </is>
      </c>
      <c r="L7357" t="inlineStr">
        <is>
          <t>1A⁰</t>
        </is>
      </c>
      <c r="M7357" t="inlineStr"/>
      <c r="N7357" t="inlineStr">
        <is>
          <t>1A⁰</t>
        </is>
      </c>
      <c r="O7357" t="inlineStr"/>
    </row>
    <row r="7358">
      <c r="A7358">
        <f>HYPERLINK("https://mathstats.uncg.edu/sites/pauli/congruence/csg22.html#group278A22", "278A²²")</f>
        <v/>
      </c>
      <c r="B7358" t="n">
        <v>22</v>
      </c>
      <c r="C7358" t="inlineStr"/>
      <c r="D7358" t="inlineStr">
        <is>
          <t>280</t>
        </is>
      </c>
      <c r="E7358" t="inlineStr">
        <is>
          <t>1</t>
        </is>
      </c>
      <c r="F7358" t="inlineStr">
        <is>
          <t>140</t>
        </is>
      </c>
      <c r="G7358" t="inlineStr">
        <is>
          <t>0</t>
        </is>
      </c>
      <c r="H7358" t="inlineStr">
        <is>
          <t>4</t>
        </is>
      </c>
      <c r="I7358" t="inlineStr">
        <is>
          <t>2¹, 278¹</t>
        </is>
      </c>
      <c r="J7358" t="n">
        <v>2</v>
      </c>
      <c r="K7358" t="inlineStr">
        <is>
          <t>1², 138¹</t>
        </is>
      </c>
      <c r="L7358" t="inlineStr">
        <is>
          <t>2A⁰, 139A¹¹</t>
        </is>
      </c>
      <c r="M7358" t="inlineStr"/>
      <c r="N7358" t="inlineStr">
        <is>
          <t>139A¹¹, 2A⁰, 1A⁰</t>
        </is>
      </c>
      <c r="O7358" t="inlineStr"/>
    </row>
    <row r="7359">
      <c r="A7359">
        <f>HYPERLINK("https://mathstats.uncg.edu/sites/pauli/congruence/csg22.html#group291A22", "291A²²")</f>
        <v/>
      </c>
      <c r="B7359" t="n">
        <v>22</v>
      </c>
      <c r="C7359" t="inlineStr"/>
      <c r="D7359" t="inlineStr">
        <is>
          <t>294</t>
        </is>
      </c>
      <c r="E7359" t="inlineStr">
        <is>
          <t>2</t>
        </is>
      </c>
      <c r="F7359" t="inlineStr">
        <is>
          <t>98</t>
        </is>
      </c>
      <c r="G7359" t="inlineStr">
        <is>
          <t>6</t>
        </is>
      </c>
      <c r="H7359" t="inlineStr">
        <is>
          <t>3</t>
        </is>
      </c>
      <c r="I7359" t="inlineStr">
        <is>
          <t>3¹, 291¹</t>
        </is>
      </c>
      <c r="J7359" t="n">
        <v>2</v>
      </c>
      <c r="K7359" t="inlineStr">
        <is>
          <t>2², 192¹</t>
        </is>
      </c>
      <c r="L7359" t="inlineStr">
        <is>
          <t>97A⁷</t>
        </is>
      </c>
      <c r="M7359" t="inlineStr"/>
      <c r="N7359" t="inlineStr">
        <is>
          <t>1A⁰, 97A⁷</t>
        </is>
      </c>
      <c r="O7359" t="inlineStr"/>
    </row>
    <row r="7360">
      <c r="A7360">
        <f>HYPERLINK("https://mathstats.uncg.edu/sites/pauli/congruence/csg22.html#group338A22", "338A²²")</f>
        <v/>
      </c>
      <c r="B7360" t="n">
        <v>22</v>
      </c>
      <c r="C7360" t="inlineStr"/>
      <c r="D7360" t="inlineStr">
        <is>
          <t>364</t>
        </is>
      </c>
      <c r="E7360" t="inlineStr">
        <is>
          <t>1</t>
        </is>
      </c>
      <c r="F7360" t="inlineStr">
        <is>
          <t>182</t>
        </is>
      </c>
      <c r="G7360" t="inlineStr">
        <is>
          <t>4</t>
        </is>
      </c>
      <c r="H7360" t="inlineStr">
        <is>
          <t>4</t>
        </is>
      </c>
      <c r="I7360" t="inlineStr">
        <is>
          <t>2¹³, 338¹</t>
        </is>
      </c>
      <c r="J7360" t="n">
        <v>14</v>
      </c>
      <c r="K7360" t="inlineStr">
        <is>
          <t>1², 12², 156¹</t>
        </is>
      </c>
      <c r="L7360" t="inlineStr">
        <is>
          <t>26A⁰, 169A⁸</t>
        </is>
      </c>
      <c r="M7360" t="inlineStr"/>
      <c r="N7360" t="inlineStr">
        <is>
          <t>13A⁰, 26A⁰, 1A⁰, 169A⁸</t>
        </is>
      </c>
      <c r="O7360" t="inlineStr"/>
    </row>
    <row r="7361">
      <c r="A7361">
        <f>HYPERLINK("https://mathstats.uncg.edu/sites/pauli/congruence/csg22.html#group361A22", "361A²²")</f>
        <v/>
      </c>
      <c r="B7361" t="n">
        <v>22</v>
      </c>
      <c r="C7361" t="inlineStr">
        <is>
          <t>Γ₀(361)</t>
        </is>
      </c>
      <c r="D7361" t="inlineStr">
        <is>
          <t>380</t>
        </is>
      </c>
      <c r="E7361" t="inlineStr">
        <is>
          <t>1</t>
        </is>
      </c>
      <c r="F7361" t="inlineStr">
        <is>
          <t>380</t>
        </is>
      </c>
      <c r="G7361" t="inlineStr">
        <is>
          <t>0</t>
        </is>
      </c>
      <c r="H7361" t="inlineStr">
        <is>
          <t>2</t>
        </is>
      </c>
      <c r="I7361" t="inlineStr">
        <is>
          <t>1¹⁹, 361¹</t>
        </is>
      </c>
      <c r="J7361" t="n">
        <v>20</v>
      </c>
      <c r="K7361" t="inlineStr">
        <is>
          <t>1², 18², 342¹</t>
        </is>
      </c>
      <c r="L7361" t="inlineStr">
        <is>
          <t>19A¹</t>
        </is>
      </c>
      <c r="M7361" t="inlineStr"/>
      <c r="N7361" t="inlineStr">
        <is>
          <t>19A¹, 1A⁰</t>
        </is>
      </c>
      <c r="O7361" t="inlineStr"/>
    </row>
    <row r="7362">
      <c r="A7362">
        <f>HYPERLINK("https://mathstats.uncg.edu/sites/pauli/congruence/csg23.html#group14A23", "14A²³")</f>
        <v/>
      </c>
      <c r="B7362" t="n">
        <v>23</v>
      </c>
      <c r="C7362" t="inlineStr"/>
      <c r="D7362" t="inlineStr">
        <is>
          <t>504</t>
        </is>
      </c>
      <c r="E7362" t="inlineStr">
        <is>
          <t>1</t>
        </is>
      </c>
      <c r="F7362" t="inlineStr">
        <is>
          <t>63</t>
        </is>
      </c>
      <c r="G7362" t="inlineStr">
        <is>
          <t>8</t>
        </is>
      </c>
      <c r="H7362" t="inlineStr">
        <is>
          <t>0</t>
        </is>
      </c>
      <c r="I7362" t="inlineStr">
        <is>
          <t>14³⁶</t>
        </is>
      </c>
      <c r="J7362" t="n">
        <v>36</v>
      </c>
      <c r="K7362" t="inlineStr">
        <is>
          <t>3³, 6⁹</t>
        </is>
      </c>
      <c r="L7362" t="inlineStr">
        <is>
          <t>14B⁶, 14B⁷, 14D⁷, 14C⁹, 14A¹¹</t>
        </is>
      </c>
      <c r="M7362" t="inlineStr"/>
      <c r="N7362" t="inlineStr">
        <is>
          <t>14A⁰, 14A⁴, 14B², 14B⁷, 7D⁰, 14B¹, 14C⁹, 14C², 14D⁷, 2B⁰, 7G⁰, 7C¹, 14B⁶, 14G¹, 1A⁰, 14F⁵, 14A⁶, 14D³, 14A¹¹, 14G⁵, 14A², 14F¹, 7C⁰, 7A¹, 7F⁰, 14F³, 14F², 14E¹, 7A⁰</t>
        </is>
      </c>
      <c r="O7362" t="inlineStr"/>
    </row>
    <row r="7363">
      <c r="A7363">
        <f>HYPERLINK("https://mathstats.uncg.edu/sites/pauli/congruence/csg23.html#group15A23", "15A²³")</f>
        <v/>
      </c>
      <c r="B7363" t="n">
        <v>23</v>
      </c>
      <c r="C7363" t="inlineStr"/>
      <c r="D7363" t="inlineStr">
        <is>
          <t>480</t>
        </is>
      </c>
      <c r="E7363" t="inlineStr">
        <is>
          <t>1</t>
        </is>
      </c>
      <c r="F7363" t="inlineStr">
        <is>
          <t>80</t>
        </is>
      </c>
      <c r="G7363" t="inlineStr">
        <is>
          <t>0</t>
        </is>
      </c>
      <c r="H7363" t="inlineStr">
        <is>
          <t>6</t>
        </is>
      </c>
      <c r="I7363" t="inlineStr">
        <is>
          <t>15³²</t>
        </is>
      </c>
      <c r="J7363" t="n">
        <v>32</v>
      </c>
      <c r="K7363" t="inlineStr">
        <is>
          <t>4², 8⁹</t>
        </is>
      </c>
      <c r="L7363" t="inlineStr">
        <is>
          <t>15E⁴, 15D⁵, 15A¹²</t>
        </is>
      </c>
      <c r="M7363" t="inlineStr"/>
      <c r="N7363" t="inlineStr">
        <is>
          <t>3B⁰, 15E², 5A⁰, 15E⁴, 15D³, 15D⁵, 15G³, 15A¹², 15B¹, 5F⁰, 15B³, 15C², 1A⁰, 5C⁰, 15A⁰</t>
        </is>
      </c>
      <c r="O7363" t="inlineStr"/>
    </row>
    <row r="7364">
      <c r="A7364">
        <f>HYPERLINK("https://mathstats.uncg.edu/sites/pauli/congruence/csg23.html#group26A23", "26A²³")</f>
        <v/>
      </c>
      <c r="B7364" t="n">
        <v>23</v>
      </c>
      <c r="C7364" t="inlineStr"/>
      <c r="D7364" t="inlineStr">
        <is>
          <t>364</t>
        </is>
      </c>
      <c r="E7364" t="inlineStr">
        <is>
          <t>1</t>
        </is>
      </c>
      <c r="F7364" t="inlineStr">
        <is>
          <t>91</t>
        </is>
      </c>
      <c r="G7364" t="inlineStr">
        <is>
          <t>0</t>
        </is>
      </c>
      <c r="H7364" t="inlineStr">
        <is>
          <t>4</t>
        </is>
      </c>
      <c r="I7364" t="inlineStr">
        <is>
          <t>26¹⁴</t>
        </is>
      </c>
      <c r="J7364" t="n">
        <v>14</v>
      </c>
      <c r="K7364" t="inlineStr">
        <is>
          <t>1¹, 6¹, 12⁷</t>
        </is>
      </c>
      <c r="L7364" t="inlineStr">
        <is>
          <t>26A¹, 13B⁸, 26C⁹, 26A¹²</t>
        </is>
      </c>
      <c r="M7364" t="inlineStr"/>
      <c r="N7364" t="inlineStr">
        <is>
          <t>2A⁰, 26A¹, 13B⁸, 26C⁹, 13A⁰, 13C³, 26A¹², 1A⁰</t>
        </is>
      </c>
      <c r="O7364" t="inlineStr"/>
    </row>
    <row r="7365">
      <c r="A7365">
        <f>HYPERLINK("https://mathstats.uncg.edu/sites/pauli/congruence/csg23.html#group26B23", "26B²³")</f>
        <v/>
      </c>
      <c r="B7365" t="n">
        <v>23</v>
      </c>
      <c r="C7365" t="inlineStr"/>
      <c r="D7365" t="inlineStr">
        <is>
          <t>364</t>
        </is>
      </c>
      <c r="E7365" t="inlineStr">
        <is>
          <t>1</t>
        </is>
      </c>
      <c r="F7365" t="inlineStr">
        <is>
          <t>91</t>
        </is>
      </c>
      <c r="G7365" t="inlineStr">
        <is>
          <t>0</t>
        </is>
      </c>
      <c r="H7365" t="inlineStr">
        <is>
          <t>4</t>
        </is>
      </c>
      <c r="I7365" t="inlineStr">
        <is>
          <t>26¹⁴</t>
        </is>
      </c>
      <c r="J7365" t="n">
        <v>14</v>
      </c>
      <c r="K7365" t="inlineStr">
        <is>
          <t>2¹, 6², 12¹⁴</t>
        </is>
      </c>
      <c r="L7365" t="inlineStr">
        <is>
          <t>13A⁷, 26C¹⁰, 26A¹²</t>
        </is>
      </c>
      <c r="M7365" t="inlineStr"/>
      <c r="N7365" t="inlineStr">
        <is>
          <t>13C³, 26A¹², 26C¹⁰, 2A⁰, 1A⁰, 13A⁷</t>
        </is>
      </c>
      <c r="O7365" t="inlineStr"/>
    </row>
    <row r="7366">
      <c r="A7366">
        <f>HYPERLINK("https://mathstats.uncg.edu/sites/pauli/congruence/csg23.html#group26C23", "26C²³")</f>
        <v/>
      </c>
      <c r="B7366" t="n">
        <v>23</v>
      </c>
      <c r="C7366" t="inlineStr"/>
      <c r="D7366" t="inlineStr">
        <is>
          <t>364</t>
        </is>
      </c>
      <c r="E7366" t="inlineStr">
        <is>
          <t>1</t>
        </is>
      </c>
      <c r="F7366" t="inlineStr">
        <is>
          <t>91</t>
        </is>
      </c>
      <c r="G7366" t="inlineStr">
        <is>
          <t>0</t>
        </is>
      </c>
      <c r="H7366" t="inlineStr">
        <is>
          <t>4</t>
        </is>
      </c>
      <c r="I7366" t="inlineStr">
        <is>
          <t>26¹⁴</t>
        </is>
      </c>
      <c r="J7366" t="n">
        <v>14</v>
      </c>
      <c r="K7366" t="inlineStr">
        <is>
          <t>2¹, 6², 12¹⁴</t>
        </is>
      </c>
      <c r="L7366" t="inlineStr">
        <is>
          <t>13B⁷, 26B¹⁰, 26A¹²</t>
        </is>
      </c>
      <c r="M7366" t="inlineStr"/>
      <c r="N7366" t="inlineStr">
        <is>
          <t>2A⁰, 26A¹², 13B⁷, 13C³, 1A⁰, 26B¹⁰</t>
        </is>
      </c>
      <c r="O7366" t="inlineStr"/>
    </row>
    <row r="7367">
      <c r="A7367">
        <f>HYPERLINK("https://mathstats.uncg.edu/sites/pauli/congruence/csg23.html#group28A23", "28A²³")</f>
        <v/>
      </c>
      <c r="B7367" t="n">
        <v>23</v>
      </c>
      <c r="C7367" t="inlineStr"/>
      <c r="D7367" t="inlineStr">
        <is>
          <t>336</t>
        </is>
      </c>
      <c r="E7367" t="inlineStr">
        <is>
          <t>1</t>
        </is>
      </c>
      <c r="F7367" t="inlineStr">
        <is>
          <t>84</t>
        </is>
      </c>
      <c r="G7367" t="inlineStr">
        <is>
          <t>0</t>
        </is>
      </c>
      <c r="H7367" t="inlineStr">
        <is>
          <t>0</t>
        </is>
      </c>
      <c r="I7367" t="inlineStr">
        <is>
          <t>28¹²</t>
        </is>
      </c>
      <c r="J7367" t="n">
        <v>12</v>
      </c>
      <c r="K7367" t="inlineStr">
        <is>
          <t>6², 12⁶</t>
        </is>
      </c>
      <c r="L7367" t="inlineStr">
        <is>
          <t>14A⁵, 28B¹⁰, 28B¹¹</t>
        </is>
      </c>
      <c r="M7367" t="inlineStr"/>
      <c r="N7367" t="inlineStr">
        <is>
          <t>14A⁰, 28E², 28B¹⁰, 14B², 14A⁵, 7D⁰, 4A⁰, 7A¹, 28B⁴, 28A¹, 1A⁰, 28B¹¹, 7A⁰</t>
        </is>
      </c>
      <c r="O7367" t="inlineStr"/>
    </row>
    <row r="7368">
      <c r="A7368">
        <f>HYPERLINK("https://mathstats.uncg.edu/sites/pauli/congruence/csg23.html#group28B23", "28B²³")</f>
        <v/>
      </c>
      <c r="B7368" t="n">
        <v>23</v>
      </c>
      <c r="C7368" t="inlineStr"/>
      <c r="D7368" t="inlineStr">
        <is>
          <t>336</t>
        </is>
      </c>
      <c r="E7368" t="inlineStr">
        <is>
          <t>1</t>
        </is>
      </c>
      <c r="F7368" t="inlineStr">
        <is>
          <t>84</t>
        </is>
      </c>
      <c r="G7368" t="inlineStr">
        <is>
          <t>0</t>
        </is>
      </c>
      <c r="H7368" t="inlineStr">
        <is>
          <t>0</t>
        </is>
      </c>
      <c r="I7368" t="inlineStr">
        <is>
          <t>28¹²</t>
        </is>
      </c>
      <c r="J7368" t="n">
        <v>12</v>
      </c>
      <c r="K7368" t="inlineStr">
        <is>
          <t>6², 12⁶</t>
        </is>
      </c>
      <c r="L7368" t="inlineStr">
        <is>
          <t>14B⁵, 28B⁸, 28B¹¹, 28A¹²</t>
        </is>
      </c>
      <c r="M7368" t="inlineStr"/>
      <c r="N7368" t="inlineStr">
        <is>
          <t>2A⁰, 7D⁰, 14A¹, 28A¹², 14B⁵, 28B⁴, 1A⁰, 14A³, 28A⁴, 28B⁸, 4A⁰, 4D⁰, 7A¹, 28A¹, 14E¹, 28B¹¹, 7A⁰</t>
        </is>
      </c>
      <c r="O7368" t="inlineStr"/>
    </row>
    <row r="7369">
      <c r="A7369">
        <f>HYPERLINK("https://mathstats.uncg.edu/sites/pauli/congruence/csg23.html#group28C23", "28C²³")</f>
        <v/>
      </c>
      <c r="B7369" t="n">
        <v>23</v>
      </c>
      <c r="C7369" t="inlineStr"/>
      <c r="D7369" t="inlineStr">
        <is>
          <t>336</t>
        </is>
      </c>
      <c r="E7369" t="inlineStr">
        <is>
          <t>2</t>
        </is>
      </c>
      <c r="F7369" t="inlineStr">
        <is>
          <t>7</t>
        </is>
      </c>
      <c r="G7369" t="inlineStr">
        <is>
          <t>0</t>
        </is>
      </c>
      <c r="H7369" t="inlineStr">
        <is>
          <t>0</t>
        </is>
      </c>
      <c r="I7369" t="inlineStr">
        <is>
          <t>28¹²</t>
        </is>
      </c>
      <c r="J7369" t="n">
        <v>12</v>
      </c>
      <c r="K7369" t="inlineStr">
        <is>
          <t>2¹, 6²</t>
        </is>
      </c>
      <c r="L7369" t="inlineStr">
        <is>
          <t>28A⁷, 28A¹⁰, 28C¹¹, 28D¹¹, 28B¹², 28C¹²</t>
        </is>
      </c>
      <c r="M7369" t="inlineStr"/>
      <c r="N7369" t="inlineStr">
        <is>
          <t>2A⁰, 28E², 14A⁰, 28B⁶, 28C⁴, 14B¹, 28B¹², 14B³, 4C⁰, 14A¹, 14C², 28A³, 28C⁵, 2B⁰, 4G⁰, 4E⁰, 4B⁰, 1A⁰, 14D¹, 14A², 28A⁴, 7C⁰, 4D⁰, 28C⁶, 28B³, 7A⁰, 28D³, 14D⁵, 28C¹¹, 28A⁵, 28B⁵, 28A¹⁰, 28C², 28D¹¹, 4A⁰, 28D⁵, 28C¹², 28A⁶, 28A⁷, 4F⁰, 28A¹, 2C⁰, 28B²</t>
        </is>
      </c>
      <c r="O7369" t="inlineStr"/>
    </row>
    <row r="7370">
      <c r="A7370">
        <f>HYPERLINK("https://mathstats.uncg.edu/sites/pauli/congruence/csg23.html#group28D23", "28D²³")</f>
        <v/>
      </c>
      <c r="B7370" t="n">
        <v>23</v>
      </c>
      <c r="C7370" t="inlineStr"/>
      <c r="D7370" t="inlineStr">
        <is>
          <t>336</t>
        </is>
      </c>
      <c r="E7370" t="inlineStr">
        <is>
          <t>2</t>
        </is>
      </c>
      <c r="F7370" t="inlineStr">
        <is>
          <t>28</t>
        </is>
      </c>
      <c r="G7370" t="inlineStr">
        <is>
          <t>0</t>
        </is>
      </c>
      <c r="H7370" t="inlineStr">
        <is>
          <t>0</t>
        </is>
      </c>
      <c r="I7370" t="inlineStr">
        <is>
          <t>28¹²</t>
        </is>
      </c>
      <c r="J7370" t="n">
        <v>12</v>
      </c>
      <c r="K7370" t="inlineStr">
        <is>
          <t>4², 12⁴</t>
        </is>
      </c>
      <c r="L7370" t="inlineStr">
        <is>
          <t>14C⁵, 28A⁷, 28C⁹, 28B¹⁰, 28A¹²</t>
        </is>
      </c>
      <c r="M7370" t="inlineStr"/>
      <c r="N7370" t="inlineStr">
        <is>
          <t>2A⁰, 28E², 14A⁰, 28B¹⁰, 28D³, 14B², 7D⁰, 14A¹, 14C⁵, 28A¹², 28B⁴, 7G⁰, 1A⁰, 14D¹, 4A⁰, 14A³, 7C⁰, 28A⁴, 4D⁰, 28A⁷, 28A¹, 28C⁹, 7A⁰</t>
        </is>
      </c>
      <c r="O7370" t="inlineStr"/>
    </row>
    <row r="7371">
      <c r="A7371">
        <f>HYPERLINK("https://mathstats.uncg.edu/sites/pauli/congruence/csg23.html#group28E23", "28E²³")</f>
        <v/>
      </c>
      <c r="B7371" t="n">
        <v>23</v>
      </c>
      <c r="C7371" t="inlineStr"/>
      <c r="D7371" t="inlineStr">
        <is>
          <t>504</t>
        </is>
      </c>
      <c r="E7371" t="inlineStr">
        <is>
          <t>1</t>
        </is>
      </c>
      <c r="F7371" t="inlineStr">
        <is>
          <t>63</t>
        </is>
      </c>
      <c r="G7371" t="inlineStr">
        <is>
          <t>8</t>
        </is>
      </c>
      <c r="H7371" t="inlineStr">
        <is>
          <t>0</t>
        </is>
      </c>
      <c r="I7371" t="inlineStr">
        <is>
          <t>7²⁴, 28¹²</t>
        </is>
      </c>
      <c r="J7371" t="n">
        <v>36</v>
      </c>
      <c r="K7371" t="inlineStr">
        <is>
          <t>3³, 6⁹</t>
        </is>
      </c>
      <c r="L7371" t="inlineStr">
        <is>
          <t>28E⁷, 14C⁹, 28I¹¹</t>
        </is>
      </c>
      <c r="M7371" t="inlineStr"/>
      <c r="N7371" t="inlineStr">
        <is>
          <t>14A⁴, 28E⁷, 7D⁰, 14B¹, 14C⁹, 2B⁰, 7G⁰, 7C¹, 14F⁵, 1A⁰, 14D³, 28J⁶, 14A², 28H⁵, 7C⁰, 28I¹¹, 7A¹, 7F⁰, 14F², 28B², 7A⁰</t>
        </is>
      </c>
      <c r="O7371" t="inlineStr"/>
    </row>
    <row r="7372">
      <c r="A7372">
        <f>HYPERLINK("https://mathstats.uncg.edu/sites/pauli/congruence/csg23.html#group30A23", "30A²³")</f>
        <v/>
      </c>
      <c r="B7372" t="n">
        <v>23</v>
      </c>
      <c r="C7372" t="inlineStr"/>
      <c r="D7372" t="inlineStr">
        <is>
          <t>360</t>
        </is>
      </c>
      <c r="E7372" t="inlineStr">
        <is>
          <t>1</t>
        </is>
      </c>
      <c r="F7372" t="inlineStr">
        <is>
          <t>30</t>
        </is>
      </c>
      <c r="G7372" t="inlineStr">
        <is>
          <t>0</t>
        </is>
      </c>
      <c r="H7372" t="inlineStr">
        <is>
          <t>0</t>
        </is>
      </c>
      <c r="I7372" t="inlineStr">
        <is>
          <t>15⁸, 30⁸</t>
        </is>
      </c>
      <c r="J7372" t="n">
        <v>16</v>
      </c>
      <c r="K7372" t="inlineStr">
        <is>
          <t>2³, 4⁶</t>
        </is>
      </c>
      <c r="L7372" t="inlineStr">
        <is>
          <t>6K⁰, 15A⁷, 30L⁷, 30C¹¹</t>
        </is>
      </c>
      <c r="M7372" t="inlineStr"/>
      <c r="N7372" t="inlineStr">
        <is>
          <t>3B⁰, 6G⁰, 15A⁷, 2B⁰, 30L⁷, 15C³, 1A⁰, 3D⁰, 10F¹, 30K⁵, 30C¹¹, 15D¹, 6F⁰, 3C⁰, 6K⁰, 15C², 3A⁰, 5C⁰, 6D⁰</t>
        </is>
      </c>
      <c r="O7372" t="inlineStr"/>
    </row>
    <row r="7373">
      <c r="A7373">
        <f>HYPERLINK("https://mathstats.uncg.edu/sites/pauli/congruence/csg23.html#group30B23", "30B²³")</f>
        <v/>
      </c>
      <c r="B7373" t="n">
        <v>23</v>
      </c>
      <c r="C7373" t="inlineStr"/>
      <c r="D7373" t="inlineStr">
        <is>
          <t>360</t>
        </is>
      </c>
      <c r="E7373" t="inlineStr">
        <is>
          <t>1</t>
        </is>
      </c>
      <c r="F7373" t="inlineStr">
        <is>
          <t>45</t>
        </is>
      </c>
      <c r="G7373" t="inlineStr">
        <is>
          <t>8</t>
        </is>
      </c>
      <c r="H7373" t="inlineStr">
        <is>
          <t>0</t>
        </is>
      </c>
      <c r="I7373" t="inlineStr">
        <is>
          <t>30¹²</t>
        </is>
      </c>
      <c r="J7373" t="n">
        <v>12</v>
      </c>
      <c r="K7373" t="inlineStr">
        <is>
          <t>1¹, 2², 4⁴, 8³</t>
        </is>
      </c>
      <c r="L7373" t="inlineStr">
        <is>
          <t>30I³, 30I⁷, 15A⁹, 30A¹⁰, 30I¹⁰, 30B¹¹, 30C¹²</t>
        </is>
      </c>
      <c r="M7373" t="inlineStr"/>
      <c r="N7373" t="inlineStr">
        <is>
          <t>5A⁰, 30I¹⁰, 15F¹, 5B⁰, 30A⁴, 15C³, 30H³, 1A⁰, 15A⁹, 30L⁵, 30E⁴, 3C⁰, 3A⁰, 30B¹¹, 5G⁰, 15H³, 15A¹, 15D⁴, 6B⁰, 30A¹⁰, 30I³, 30I⁷, 15C⁴, 15D¹, 15B⁰, 30A², 15A², 6E⁰, 15E¹, 5E⁰, 30C¹², 5C⁰, 30C¹, 15A⁰</t>
        </is>
      </c>
      <c r="O7373" t="inlineStr"/>
    </row>
    <row r="7374">
      <c r="A7374">
        <f>HYPERLINK("https://mathstats.uncg.edu/sites/pauli/congruence/csg23.html#group30C23", "30C²³")</f>
        <v/>
      </c>
      <c r="B7374" t="n">
        <v>23</v>
      </c>
      <c r="C7374" t="inlineStr"/>
      <c r="D7374" t="inlineStr">
        <is>
          <t>360</t>
        </is>
      </c>
      <c r="E7374" t="inlineStr">
        <is>
          <t>1</t>
        </is>
      </c>
      <c r="F7374" t="inlineStr">
        <is>
          <t>45</t>
        </is>
      </c>
      <c r="G7374" t="inlineStr">
        <is>
          <t>8</t>
        </is>
      </c>
      <c r="H7374" t="inlineStr">
        <is>
          <t>0</t>
        </is>
      </c>
      <c r="I7374" t="inlineStr">
        <is>
          <t>30¹²</t>
        </is>
      </c>
      <c r="J7374" t="n">
        <v>12</v>
      </c>
      <c r="K7374" t="inlineStr">
        <is>
          <t>1¹, 2², 4⁴, 8³</t>
        </is>
      </c>
      <c r="L7374" t="inlineStr">
        <is>
          <t>30J³, 30J⁷, 15A⁹, 30B¹⁰, 30D¹⁰, 30E¹⁰, 30A¹¹, 30D¹²</t>
        </is>
      </c>
      <c r="M7374" t="inlineStr"/>
      <c r="N7374" t="inlineStr">
        <is>
          <t>30A⁰, 30A¹¹, 5A⁰, 30J³, 10D⁰, 30B¹⁰, 15F¹, 5B⁰, 15C³, 1A⁰, 30J⁷, 30D¹⁰, 15A⁹, 30C⁴, 30F⁴, 30L⁵, 30D¹², 10C², 3C⁰, 15A⁰, 3A⁰, 5G⁰, 15A¹, 15H³, 15D⁴, 30E¹⁰, 10E¹, 30F², 10B⁰, 15C⁴, 15D¹, 15B⁰, 15A², 5E⁰, 5C⁰, 15E¹, 30C²</t>
        </is>
      </c>
      <c r="O7374" t="inlineStr"/>
    </row>
    <row r="7375">
      <c r="A7375">
        <f>HYPERLINK("https://mathstats.uncg.edu/sites/pauli/congruence/csg23.html#group30D23", "30D²³")</f>
        <v/>
      </c>
      <c r="B7375" t="n">
        <v>23</v>
      </c>
      <c r="C7375" t="inlineStr"/>
      <c r="D7375" t="inlineStr">
        <is>
          <t>360</t>
        </is>
      </c>
      <c r="E7375" t="inlineStr">
        <is>
          <t>1</t>
        </is>
      </c>
      <c r="F7375" t="inlineStr">
        <is>
          <t>45</t>
        </is>
      </c>
      <c r="G7375" t="inlineStr">
        <is>
          <t>8</t>
        </is>
      </c>
      <c r="H7375" t="inlineStr">
        <is>
          <t>0</t>
        </is>
      </c>
      <c r="I7375" t="inlineStr">
        <is>
          <t>30¹²</t>
        </is>
      </c>
      <c r="J7375" t="n">
        <v>12</v>
      </c>
      <c r="K7375" t="inlineStr">
        <is>
          <t>2³, 4⁹, 8⁶</t>
        </is>
      </c>
      <c r="L7375" t="inlineStr">
        <is>
          <t>15A⁸, 30D¹⁰, 30A¹¹, 30E¹¹, 30C¹²</t>
        </is>
      </c>
      <c r="M7375" t="inlineStr"/>
      <c r="N7375" t="inlineStr">
        <is>
          <t>15A⁸, 30A¹¹, 5A⁰, 15F¹, 30E¹¹, 15H³, 10E¹, 1A⁰, 30D¹⁰, 15C⁴, 30F⁴, 30L⁵, 15A², 5E⁰, 30C¹², 3C⁰, 3A⁰, 15A¹, 15A⁰</t>
        </is>
      </c>
      <c r="O7375" t="inlineStr"/>
    </row>
    <row r="7376">
      <c r="A7376">
        <f>HYPERLINK("https://mathstats.uncg.edu/sites/pauli/congruence/csg23.html#group30E23", "30E²³")</f>
        <v/>
      </c>
      <c r="B7376" t="n">
        <v>23</v>
      </c>
      <c r="C7376" t="inlineStr"/>
      <c r="D7376" t="inlineStr">
        <is>
          <t>360</t>
        </is>
      </c>
      <c r="E7376" t="inlineStr">
        <is>
          <t>1</t>
        </is>
      </c>
      <c r="F7376" t="inlineStr">
        <is>
          <t>45</t>
        </is>
      </c>
      <c r="G7376" t="inlineStr">
        <is>
          <t>8</t>
        </is>
      </c>
      <c r="H7376" t="inlineStr">
        <is>
          <t>0</t>
        </is>
      </c>
      <c r="I7376" t="inlineStr">
        <is>
          <t>30¹²</t>
        </is>
      </c>
      <c r="J7376" t="n">
        <v>12</v>
      </c>
      <c r="K7376" t="inlineStr">
        <is>
          <t>2³, 4⁹, 8⁶</t>
        </is>
      </c>
      <c r="L7376" t="inlineStr">
        <is>
          <t>15A⁸, 30E¹⁰, 30A¹¹, 30E¹¹, 30C¹²</t>
        </is>
      </c>
      <c r="M7376" t="inlineStr"/>
      <c r="N7376" t="inlineStr">
        <is>
          <t>15A⁸, 30A¹¹, 5A⁰, 30E¹⁰, 15F¹, 30E¹¹, 15H³, 10E¹, 1A⁰, 15C⁴, 30F⁴, 30L⁵, 15A², 5E⁰, 30C¹², 3C⁰, 3A⁰, 15A¹, 15A⁰</t>
        </is>
      </c>
      <c r="O7376" t="inlineStr"/>
    </row>
    <row r="7377">
      <c r="A7377">
        <f>HYPERLINK("https://mathstats.uncg.edu/sites/pauli/congruence/csg23.html#group30F23", "30F²³")</f>
        <v/>
      </c>
      <c r="B7377" t="n">
        <v>23</v>
      </c>
      <c r="C7377" t="inlineStr"/>
      <c r="D7377" t="inlineStr">
        <is>
          <t>360</t>
        </is>
      </c>
      <c r="E7377" t="inlineStr">
        <is>
          <t>1</t>
        </is>
      </c>
      <c r="F7377" t="inlineStr">
        <is>
          <t>90</t>
        </is>
      </c>
      <c r="G7377" t="inlineStr">
        <is>
          <t>0</t>
        </is>
      </c>
      <c r="H7377" t="inlineStr">
        <is>
          <t>0</t>
        </is>
      </c>
      <c r="I7377" t="inlineStr">
        <is>
          <t>15⁸, 30⁸</t>
        </is>
      </c>
      <c r="J7377" t="n">
        <v>16</v>
      </c>
      <c r="K7377" t="inlineStr">
        <is>
          <t>2³, 4⁹, 8⁶</t>
        </is>
      </c>
      <c r="L7377" t="inlineStr">
        <is>
          <t>30A⁶, 15B⁷, 30H¹⁰, 30C¹¹, 30B¹²</t>
        </is>
      </c>
      <c r="M7377" t="inlineStr"/>
      <c r="N7377" t="inlineStr">
        <is>
          <t>5A⁰, 15B⁷, 30H¹⁰, 15A¹, 10B¹, 15B⁴, 6G⁰, 15D², 5F⁰, 2B⁰, 30B¹², 15C³, 1A⁰, 10D², 10F¹, 30K⁵, 30C¹¹, 30D³, 15D¹, 15A², 3C⁰, 30A⁶, 3A⁰, 5C⁰, 6D⁰</t>
        </is>
      </c>
      <c r="O7377" t="inlineStr"/>
    </row>
    <row r="7378">
      <c r="A7378">
        <f>HYPERLINK("https://mathstats.uncg.edu/sites/pauli/congruence/csg23.html#group30G23", "30G²³")</f>
        <v/>
      </c>
      <c r="B7378" t="n">
        <v>23</v>
      </c>
      <c r="C7378" t="inlineStr"/>
      <c r="D7378" t="inlineStr">
        <is>
          <t>360</t>
        </is>
      </c>
      <c r="E7378" t="inlineStr">
        <is>
          <t>1</t>
        </is>
      </c>
      <c r="F7378" t="inlineStr">
        <is>
          <t>90</t>
        </is>
      </c>
      <c r="G7378" t="inlineStr">
        <is>
          <t>8</t>
        </is>
      </c>
      <c r="H7378" t="inlineStr">
        <is>
          <t>0</t>
        </is>
      </c>
      <c r="I7378" t="inlineStr">
        <is>
          <t>30¹²</t>
        </is>
      </c>
      <c r="J7378" t="n">
        <v>12</v>
      </c>
      <c r="K7378" t="inlineStr">
        <is>
          <t>2³, 4⁹, 8⁶</t>
        </is>
      </c>
      <c r="L7378" t="inlineStr">
        <is>
          <t>6L⁰, 30I⁷, 30C¹¹, 30D¹¹</t>
        </is>
      </c>
      <c r="M7378" t="inlineStr"/>
      <c r="N7378" t="inlineStr">
        <is>
          <t>30D¹¹, 6B⁰, 30I⁷, 6G⁰, 2B⁰, 15C³, 30H³, 1A⁰, 10F¹, 30K⁵, 30C¹¹, 15D¹, 6E⁰, 6L⁰, 3C⁰, 6H⁰, 3A⁰, 5C⁰, 6D⁰</t>
        </is>
      </c>
      <c r="O7378" t="inlineStr"/>
    </row>
    <row r="7379">
      <c r="A7379">
        <f>HYPERLINK("https://mathstats.uncg.edu/sites/pauli/congruence/csg23.html#group30H23", "30H²³")</f>
        <v/>
      </c>
      <c r="B7379" t="n">
        <v>23</v>
      </c>
      <c r="C7379" t="inlineStr"/>
      <c r="D7379" t="inlineStr">
        <is>
          <t>360</t>
        </is>
      </c>
      <c r="E7379" t="inlineStr">
        <is>
          <t>1</t>
        </is>
      </c>
      <c r="F7379" t="inlineStr">
        <is>
          <t>90</t>
        </is>
      </c>
      <c r="G7379" t="inlineStr">
        <is>
          <t>8</t>
        </is>
      </c>
      <c r="H7379" t="inlineStr">
        <is>
          <t>0</t>
        </is>
      </c>
      <c r="I7379" t="inlineStr">
        <is>
          <t>30¹²</t>
        </is>
      </c>
      <c r="J7379" t="n">
        <v>12</v>
      </c>
      <c r="K7379" t="inlineStr">
        <is>
          <t>2³, 4⁹, 8⁶</t>
        </is>
      </c>
      <c r="L7379" t="inlineStr">
        <is>
          <t>30J⁷, 30C¹⁰, 30C¹¹, 30G¹²</t>
        </is>
      </c>
      <c r="M7379" t="inlineStr"/>
      <c r="N7379" t="inlineStr">
        <is>
          <t>10D⁰, 6G⁰, 2B⁰, 30G¹², 15C³, 1A⁰, 30C¹⁰, 30J⁷, 30F², 10F¹, 30K⁵, 30C¹¹, 30C⁴, 15D¹, 10E², 3C⁰, 3A⁰, 5C⁰, 6D⁰</t>
        </is>
      </c>
      <c r="O7379" t="inlineStr"/>
    </row>
    <row r="7380">
      <c r="A7380">
        <f>HYPERLINK("https://mathstats.uncg.edu/sites/pauli/congruence/csg23.html#group30I23", "30I²³")</f>
        <v/>
      </c>
      <c r="B7380" t="n">
        <v>23</v>
      </c>
      <c r="C7380" t="inlineStr"/>
      <c r="D7380" t="inlineStr">
        <is>
          <t>360</t>
        </is>
      </c>
      <c r="E7380" t="inlineStr">
        <is>
          <t>1</t>
        </is>
      </c>
      <c r="F7380" t="inlineStr">
        <is>
          <t>180</t>
        </is>
      </c>
      <c r="G7380" t="inlineStr">
        <is>
          <t>8</t>
        </is>
      </c>
      <c r="H7380" t="inlineStr">
        <is>
          <t>0</t>
        </is>
      </c>
      <c r="I7380" t="inlineStr">
        <is>
          <t>30¹²</t>
        </is>
      </c>
      <c r="J7380" t="n">
        <v>12</v>
      </c>
      <c r="K7380" t="inlineStr">
        <is>
          <t>4¹⁵, 8¹⁵</t>
        </is>
      </c>
      <c r="L7380" t="inlineStr">
        <is>
          <t>30J⁷, 30G¹⁰</t>
        </is>
      </c>
      <c r="M7380" t="inlineStr"/>
      <c r="N7380" t="inlineStr">
        <is>
          <t>30C⁴, 15D¹, 30F², 10J¹, 10D⁰, 3C⁰, 1A⁰, 30G¹⁰, 15C³, 3A⁰, 5C⁰, 30J⁷</t>
        </is>
      </c>
      <c r="O7380" t="inlineStr"/>
    </row>
    <row r="7381">
      <c r="A7381">
        <f>HYPERLINK("https://mathstats.uncg.edu/sites/pauli/congruence/csg23.html#group30J23", "30J²³")</f>
        <v/>
      </c>
      <c r="B7381" t="n">
        <v>23</v>
      </c>
      <c r="C7381" t="inlineStr"/>
      <c r="D7381" t="inlineStr">
        <is>
          <t>360</t>
        </is>
      </c>
      <c r="E7381" t="inlineStr">
        <is>
          <t>2</t>
        </is>
      </c>
      <c r="F7381" t="inlineStr">
        <is>
          <t>45</t>
        </is>
      </c>
      <c r="G7381" t="inlineStr">
        <is>
          <t>8</t>
        </is>
      </c>
      <c r="H7381" t="inlineStr">
        <is>
          <t>0</t>
        </is>
      </c>
      <c r="I7381" t="inlineStr">
        <is>
          <t>30¹²</t>
        </is>
      </c>
      <c r="J7381" t="n">
        <v>12</v>
      </c>
      <c r="K7381" t="inlineStr">
        <is>
          <t>2³, 4³, 8⁹</t>
        </is>
      </c>
      <c r="L7381" t="inlineStr">
        <is>
          <t>30L³, 30N⁷, 15B⁸, 30I¹⁰, 30B¹¹, 30E¹¹, 30D¹²</t>
        </is>
      </c>
      <c r="M7381" t="inlineStr"/>
      <c r="N7381" t="inlineStr">
        <is>
          <t>15B⁸, 5A⁰, 30L³, 6B⁰, 30I¹⁰, 15D⁴, 5C⁰, 5B⁰, 15F¹, 15D², 30E¹¹, 15H³, 30H³, 1A⁰, 30C⁴, 15B⁰, 30A², 30L⁵, 30E⁴, 30D¹², 15D¹, 30N⁷, 5E⁰, 15C⁰, 15A⁰, 3A⁰, 30B¹¹, 5G⁰, 15A¹, 30C¹, 30C²</t>
        </is>
      </c>
      <c r="O7381" t="inlineStr"/>
    </row>
    <row r="7382">
      <c r="A7382">
        <f>HYPERLINK("https://mathstats.uncg.edu/sites/pauli/congruence/csg23.html#group30K23", "30K²³")</f>
        <v/>
      </c>
      <c r="B7382" t="n">
        <v>23</v>
      </c>
      <c r="C7382" t="inlineStr"/>
      <c r="D7382" t="inlineStr">
        <is>
          <t>360</t>
        </is>
      </c>
      <c r="E7382" t="inlineStr">
        <is>
          <t>2</t>
        </is>
      </c>
      <c r="F7382" t="inlineStr">
        <is>
          <t>90</t>
        </is>
      </c>
      <c r="G7382" t="inlineStr">
        <is>
          <t>8</t>
        </is>
      </c>
      <c r="H7382" t="inlineStr">
        <is>
          <t>0</t>
        </is>
      </c>
      <c r="I7382" t="inlineStr">
        <is>
          <t>30¹²</t>
        </is>
      </c>
      <c r="J7382" t="n">
        <v>12</v>
      </c>
      <c r="K7382" t="inlineStr">
        <is>
          <t>4⁹, 8¹⁸</t>
        </is>
      </c>
      <c r="L7382" t="inlineStr">
        <is>
          <t>30N⁷, 30H¹⁰, 30D¹¹, 30G¹²</t>
        </is>
      </c>
      <c r="M7382" t="inlineStr"/>
      <c r="N7382" t="inlineStr">
        <is>
          <t>30D¹¹, 6B⁰, 30H¹⁰, 15D², 2B⁰, 30G¹², 30H³, 1A⁰, 10F¹, 30K⁵, 30C⁴, 15D¹, 30N⁷, 6H⁰, 3A⁰, 5C⁰, 6D⁰</t>
        </is>
      </c>
      <c r="O7382" t="inlineStr"/>
    </row>
    <row r="7383">
      <c r="A7383">
        <f>HYPERLINK("https://mathstats.uncg.edu/sites/pauli/congruence/csg23.html#group30L23", "30L²³")</f>
        <v/>
      </c>
      <c r="B7383" t="n">
        <v>23</v>
      </c>
      <c r="C7383" t="inlineStr"/>
      <c r="D7383" t="inlineStr">
        <is>
          <t>432</t>
        </is>
      </c>
      <c r="E7383" t="inlineStr">
        <is>
          <t>1</t>
        </is>
      </c>
      <c r="F7383" t="inlineStr">
        <is>
          <t>108</t>
        </is>
      </c>
      <c r="G7383" t="inlineStr">
        <is>
          <t>8</t>
        </is>
      </c>
      <c r="H7383" t="inlineStr">
        <is>
          <t>0</t>
        </is>
      </c>
      <c r="I7383" t="inlineStr">
        <is>
          <t>6¹², 30¹²</t>
        </is>
      </c>
      <c r="J7383" t="n">
        <v>24</v>
      </c>
      <c r="K7383" t="inlineStr">
        <is>
          <t>2¹⁸, 8⁹</t>
        </is>
      </c>
      <c r="L7383" t="inlineStr">
        <is>
          <t>30R⁷, 30Q⁹</t>
        </is>
      </c>
      <c r="M7383" t="inlineStr"/>
      <c r="N7383" t="inlineStr">
        <is>
          <t>5B⁰, 6G⁰, 2B⁰, 30O⁵, 15H¹, 1A⁰, 30R⁷, 15B⁰, 30E², 15E¹, 30Q⁹, 30I⁴, 10C⁰, 3C⁰, 3A⁰, 6D⁰, 15C⁰</t>
        </is>
      </c>
      <c r="O7383" t="inlineStr"/>
    </row>
    <row r="7384">
      <c r="A7384">
        <f>HYPERLINK("https://mathstats.uncg.edu/sites/pauli/congruence/csg23.html#group32A23", "32A²³")</f>
        <v/>
      </c>
      <c r="B7384" t="n">
        <v>23</v>
      </c>
      <c r="C7384" t="inlineStr"/>
      <c r="D7384" t="inlineStr">
        <is>
          <t>384</t>
        </is>
      </c>
      <c r="E7384" t="inlineStr">
        <is>
          <t>1</t>
        </is>
      </c>
      <c r="F7384" t="inlineStr">
        <is>
          <t>48</t>
        </is>
      </c>
      <c r="G7384" t="inlineStr">
        <is>
          <t>8</t>
        </is>
      </c>
      <c r="H7384" t="inlineStr">
        <is>
          <t>0</t>
        </is>
      </c>
      <c r="I7384" t="inlineStr">
        <is>
          <t>16⁸, 32⁸</t>
        </is>
      </c>
      <c r="J7384" t="n">
        <v>16</v>
      </c>
      <c r="K7384" t="inlineStr">
        <is>
          <t>4², 8⁵</t>
        </is>
      </c>
      <c r="L7384" t="inlineStr">
        <is>
          <t>16I⁹, 32L⁹, 32E¹¹</t>
        </is>
      </c>
      <c r="M7384" t="inlineStr"/>
      <c r="N7384" t="inlineStr">
        <is>
          <t>32F⁵, 16A⁰, 8D⁰, 4C⁰, 8B⁰, 16P³, 8A⁰, 16B¹, 2B⁰, 16G³, 16F¹, 32G⁵, 1A⁰, 8D¹, 8K⁰, 8H¹, 8H⁰, 16B⁰, 16K³, 32E¹¹, 4A⁰, 32D³, 32B¹, 4F⁰, 32L⁹, 16H¹, 16J⁵, 16I⁹</t>
        </is>
      </c>
      <c r="O7384" t="inlineStr"/>
    </row>
    <row r="7385">
      <c r="A7385">
        <f>HYPERLINK("https://mathstats.uncg.edu/sites/pauli/congruence/csg23.html#group32B23", "32B²³")</f>
        <v/>
      </c>
      <c r="B7385" t="n">
        <v>23</v>
      </c>
      <c r="C7385" t="inlineStr"/>
      <c r="D7385" t="inlineStr">
        <is>
          <t>384</t>
        </is>
      </c>
      <c r="E7385" t="inlineStr">
        <is>
          <t>1</t>
        </is>
      </c>
      <c r="F7385" t="inlineStr">
        <is>
          <t>48</t>
        </is>
      </c>
      <c r="G7385" t="inlineStr">
        <is>
          <t>8</t>
        </is>
      </c>
      <c r="H7385" t="inlineStr">
        <is>
          <t>0</t>
        </is>
      </c>
      <c r="I7385" t="inlineStr">
        <is>
          <t>16⁸, 32⁸</t>
        </is>
      </c>
      <c r="J7385" t="n">
        <v>16</v>
      </c>
      <c r="K7385" t="inlineStr">
        <is>
          <t>4², 8⁵</t>
        </is>
      </c>
      <c r="L7385" t="inlineStr">
        <is>
          <t>16J⁹, 32K⁹, 32E¹¹</t>
        </is>
      </c>
      <c r="M7385" t="inlineStr"/>
      <c r="N7385" t="inlineStr">
        <is>
          <t>32F⁵, 8D⁰, 4C⁰, 8B⁰, 8A⁰, 16B¹, 2B⁰, 32G⁵, 8K⁰, 16J⁹, 1A⁰, 8D¹, 8H¹, 8H⁰, 32K⁹, 16B⁰, 16K³, 16L¹, 32E¹¹, 4A⁰, 16I⁵, 32D³, 32B¹, 4F⁰, 16F¹, 16Q³, 16H¹, 16K¹</t>
        </is>
      </c>
      <c r="O7385" t="inlineStr"/>
    </row>
    <row r="7386">
      <c r="A7386">
        <f>HYPERLINK("https://mathstats.uncg.edu/sites/pauli/congruence/csg23.html#group32C23", "32C²³")</f>
        <v/>
      </c>
      <c r="B7386" t="n">
        <v>23</v>
      </c>
      <c r="C7386" t="inlineStr"/>
      <c r="D7386" t="inlineStr">
        <is>
          <t>384</t>
        </is>
      </c>
      <c r="E7386" t="inlineStr">
        <is>
          <t>1</t>
        </is>
      </c>
      <c r="F7386" t="inlineStr">
        <is>
          <t>48</t>
        </is>
      </c>
      <c r="G7386" t="inlineStr">
        <is>
          <t>8</t>
        </is>
      </c>
      <c r="H7386" t="inlineStr">
        <is>
          <t>0</t>
        </is>
      </c>
      <c r="I7386" t="inlineStr">
        <is>
          <t>16⁸, 32⁸</t>
        </is>
      </c>
      <c r="J7386" t="n">
        <v>16</v>
      </c>
      <c r="K7386" t="inlineStr">
        <is>
          <t>2², 4³, 8⁴</t>
        </is>
      </c>
      <c r="L7386" t="inlineStr">
        <is>
          <t>16K⁹, 32N⁹, 32F¹¹</t>
        </is>
      </c>
      <c r="M7386" t="inlineStr"/>
      <c r="N7386" t="inlineStr">
        <is>
          <t>32I⁵, 32E⁵, 16I¹, 8D⁰, 4C⁰, 8B⁰, 16B¹, 32D¹, 2B⁰, 16K⁹, 32G⁵, 1A⁰, 32F¹¹, 32Q³, 8H⁰, 16B⁰, 16E⁰, 8F⁰, 16L³, 32C¹, 4A⁰, 8I¹, 16C¹, 32D³, 32B¹, 4F⁰, 16F¹, 32N⁹</t>
        </is>
      </c>
      <c r="O7386" t="inlineStr"/>
    </row>
    <row r="7387">
      <c r="A7387">
        <f>HYPERLINK("https://mathstats.uncg.edu/sites/pauli/congruence/csg23.html#group32D23", "32D²³")</f>
        <v/>
      </c>
      <c r="B7387" t="n">
        <v>23</v>
      </c>
      <c r="C7387" t="inlineStr"/>
      <c r="D7387" t="inlineStr">
        <is>
          <t>384</t>
        </is>
      </c>
      <c r="E7387" t="inlineStr">
        <is>
          <t>1</t>
        </is>
      </c>
      <c r="F7387" t="inlineStr">
        <is>
          <t>48</t>
        </is>
      </c>
      <c r="G7387" t="inlineStr">
        <is>
          <t>8</t>
        </is>
      </c>
      <c r="H7387" t="inlineStr">
        <is>
          <t>0</t>
        </is>
      </c>
      <c r="I7387" t="inlineStr">
        <is>
          <t>16⁸, 32⁸</t>
        </is>
      </c>
      <c r="J7387" t="n">
        <v>16</v>
      </c>
      <c r="K7387" t="inlineStr">
        <is>
          <t>2², 4³, 8⁴</t>
        </is>
      </c>
      <c r="L7387" t="inlineStr">
        <is>
          <t>16L⁹, 32M⁹, 32F¹¹</t>
        </is>
      </c>
      <c r="M7387" t="inlineStr"/>
      <c r="N7387" t="inlineStr">
        <is>
          <t>32E⁵, 16I¹, 32M⁹, 8D⁰, 4C⁰, 8B⁰, 32H⁵, 16B¹, 2B⁰, 32I³, 32G⁵, 1A⁰, 32F¹¹, 16L⁹, 8H⁰, 16B⁰, 16E⁰, 8F⁰, 16L³, 4A⁰, 8I¹, 16C¹, 32D³, 32B¹, 16G², 4F⁰, 16F¹, 32P³</t>
        </is>
      </c>
      <c r="O7387" t="inlineStr"/>
    </row>
    <row r="7388">
      <c r="A7388">
        <f>HYPERLINK("https://mathstats.uncg.edu/sites/pauli/congruence/csg23.html#group32E23", "32E²³")</f>
        <v/>
      </c>
      <c r="B7388" t="n">
        <v>23</v>
      </c>
      <c r="C7388" t="inlineStr"/>
      <c r="D7388" t="inlineStr">
        <is>
          <t>384</t>
        </is>
      </c>
      <c r="E7388" t="inlineStr">
        <is>
          <t>1</t>
        </is>
      </c>
      <c r="F7388" t="inlineStr">
        <is>
          <t>48</t>
        </is>
      </c>
      <c r="G7388" t="inlineStr">
        <is>
          <t>8</t>
        </is>
      </c>
      <c r="H7388" t="inlineStr">
        <is>
          <t>0</t>
        </is>
      </c>
      <c r="I7388" t="inlineStr">
        <is>
          <t>16⁸, 32⁸</t>
        </is>
      </c>
      <c r="J7388" t="n">
        <v>16</v>
      </c>
      <c r="K7388" t="inlineStr">
        <is>
          <t>4¹⁰, 8¹</t>
        </is>
      </c>
      <c r="L7388" t="inlineStr">
        <is>
          <t>16D⁷, 32K¹¹, 32A¹², 32B¹², 32C¹²</t>
        </is>
      </c>
      <c r="M7388" t="inlineStr"/>
      <c r="N7388" t="inlineStr">
        <is>
          <t>32F⁶, 32J⁵, 16I¹, 32K⁵, 4C⁰, 8C², 8A⁰, 8L⁰, 2B⁰, 32G³, 32F³, 1A⁰, 8K⁰, 16E², 8H¹, 16B⁰, 16E⁰, 16D¹, 32C¹², 16B⁴, 16D⁷, 16F¹, 8P⁰, 8M⁰, 16H¹, 32K¹¹, 8D⁰, 32D⁶, 16M³, 8B⁰, 16B¹, 32A¹², 16J¹, 16L², 8D¹, 8H⁰, 16K³, 8F⁰, 32E⁶, 32C⁶, 16L³, 16F², 32B¹², 4A⁰, 8I¹, 16C¹, 16C⁴, 32E³, 4F⁰, 32H³</t>
        </is>
      </c>
      <c r="O7388" t="inlineStr"/>
    </row>
    <row r="7389">
      <c r="A7389">
        <f>HYPERLINK("https://mathstats.uncg.edu/sites/pauli/congruence/csg23.html#group32F23", "32F²³")</f>
        <v/>
      </c>
      <c r="B7389" t="n">
        <v>23</v>
      </c>
      <c r="C7389" t="inlineStr"/>
      <c r="D7389" t="inlineStr">
        <is>
          <t>384</t>
        </is>
      </c>
      <c r="E7389" t="inlineStr">
        <is>
          <t>1</t>
        </is>
      </c>
      <c r="F7389" t="inlineStr">
        <is>
          <t>96</t>
        </is>
      </c>
      <c r="G7389" t="inlineStr">
        <is>
          <t>0</t>
        </is>
      </c>
      <c r="H7389" t="inlineStr">
        <is>
          <t>0</t>
        </is>
      </c>
      <c r="I7389" t="inlineStr">
        <is>
          <t>16¹⁶, 32⁴</t>
        </is>
      </c>
      <c r="J7389" t="n">
        <v>20</v>
      </c>
      <c r="K7389" t="inlineStr">
        <is>
          <t>8², 16⁵</t>
        </is>
      </c>
      <c r="L7389" t="inlineStr">
        <is>
          <t>16D¹¹</t>
        </is>
      </c>
      <c r="M7389" t="inlineStr"/>
      <c r="N7389" t="inlineStr">
        <is>
          <t>16D², 16A⁴, 16B⁶, 8A¹, 16A⁰, 16H⁵, 8D⁰, 4C⁰, 8B², 8A⁰, 16G³, 2B⁰, 1A⁰, 8K⁰, 8D¹, 16E⁰, 16L¹, 8C¹, 16B², 4A⁰, 16C¹, 4F⁰, 16K¹, 16D¹¹, 16E³</t>
        </is>
      </c>
      <c r="O7389" t="inlineStr"/>
    </row>
    <row r="7390">
      <c r="A7390">
        <f>HYPERLINK("https://mathstats.uncg.edu/sites/pauli/congruence/csg23.html#group32G23", "32G²³")</f>
        <v/>
      </c>
      <c r="B7390" t="n">
        <v>23</v>
      </c>
      <c r="C7390" t="inlineStr"/>
      <c r="D7390" t="inlineStr">
        <is>
          <t>384</t>
        </is>
      </c>
      <c r="E7390" t="inlineStr">
        <is>
          <t>1</t>
        </is>
      </c>
      <c r="F7390" t="inlineStr">
        <is>
          <t>96</t>
        </is>
      </c>
      <c r="G7390" t="inlineStr">
        <is>
          <t>0</t>
        </is>
      </c>
      <c r="H7390" t="inlineStr">
        <is>
          <t>0</t>
        </is>
      </c>
      <c r="I7390" t="inlineStr">
        <is>
          <t>16¹⁶, 32⁴</t>
        </is>
      </c>
      <c r="J7390" t="n">
        <v>20</v>
      </c>
      <c r="K7390" t="inlineStr">
        <is>
          <t>8², 16⁵</t>
        </is>
      </c>
      <c r="L7390" t="inlineStr">
        <is>
          <t>32Q⁹, 32R⁹, 16B¹¹</t>
        </is>
      </c>
      <c r="M7390" t="inlineStr"/>
      <c r="N7390" t="inlineStr">
        <is>
          <t>16A⁰, 16C³, 8D⁰, 4C⁰, 8B⁰, 32R⁹, 16P³, 8A⁰, 2B⁰, 16B¹, 16G³, 1A⁰, 8K⁰, 8D¹, 8H¹, 16A², 8H⁰, 16E⁵, 4A⁰, 32Q⁹, 4F⁰, 16H¹, 16J⁵, 16B¹¹</t>
        </is>
      </c>
      <c r="O7390" t="inlineStr"/>
    </row>
    <row r="7391">
      <c r="A7391">
        <f>HYPERLINK("https://mathstats.uncg.edu/sites/pauli/congruence/csg23.html#group32H23", "32H²³")</f>
        <v/>
      </c>
      <c r="B7391" t="n">
        <v>23</v>
      </c>
      <c r="C7391" t="inlineStr"/>
      <c r="D7391" t="inlineStr">
        <is>
          <t>384</t>
        </is>
      </c>
      <c r="E7391" t="inlineStr">
        <is>
          <t>2</t>
        </is>
      </c>
      <c r="F7391" t="inlineStr">
        <is>
          <t>48</t>
        </is>
      </c>
      <c r="G7391" t="inlineStr">
        <is>
          <t>8</t>
        </is>
      </c>
      <c r="H7391" t="inlineStr">
        <is>
          <t>0</t>
        </is>
      </c>
      <c r="I7391" t="inlineStr">
        <is>
          <t>16⁸, 32⁸</t>
        </is>
      </c>
      <c r="J7391" t="n">
        <v>16</v>
      </c>
      <c r="K7391" t="inlineStr">
        <is>
          <t>4¹⁶, 8⁴</t>
        </is>
      </c>
      <c r="L7391" t="inlineStr">
        <is>
          <t>16E⁷, 32G¹¹, 32K¹¹</t>
        </is>
      </c>
      <c r="M7391" t="inlineStr"/>
      <c r="N7391" t="inlineStr">
        <is>
          <t>32F⁵, 32F⁶, 16R³, 32K¹¹, 32J⁵, 32E⁵, 32K⁵, 8D⁰, 16M³, 32D⁶, 4C⁰, 8B⁰, 16B¹, 8L⁰, 2B⁰, 16S³, 16E⁷, 32G³, 32F³, 16J¹, 1A⁰, 16E², 8H⁰, 16B⁰, 16D¹, 32E⁶, 32C⁶, 16F², 4A⁰, 32G¹¹, 32E³, 4F⁰, 16F¹, 8P⁰, 32H³</t>
        </is>
      </c>
      <c r="O7391" t="inlineStr"/>
    </row>
    <row r="7392">
      <c r="A7392">
        <f>HYPERLINK("https://mathstats.uncg.edu/sites/pauli/congruence/csg23.html#group36A23", "36A²³")</f>
        <v/>
      </c>
      <c r="B7392" t="n">
        <v>23</v>
      </c>
      <c r="C7392" t="inlineStr"/>
      <c r="D7392" t="inlineStr">
        <is>
          <t>432</t>
        </is>
      </c>
      <c r="E7392" t="inlineStr">
        <is>
          <t>1</t>
        </is>
      </c>
      <c r="F7392" t="inlineStr">
        <is>
          <t>18</t>
        </is>
      </c>
      <c r="G7392" t="inlineStr">
        <is>
          <t>24</t>
        </is>
      </c>
      <c r="H7392" t="inlineStr">
        <is>
          <t>0</t>
        </is>
      </c>
      <c r="I7392" t="inlineStr">
        <is>
          <t>18⁸, 36⁸</t>
        </is>
      </c>
      <c r="J7392" t="n">
        <v>16</v>
      </c>
      <c r="K7392" t="inlineStr">
        <is>
          <t>2⁷, 4¹</t>
        </is>
      </c>
      <c r="L7392" t="inlineStr">
        <is>
          <t>12P³, 36O⁹</t>
        </is>
      </c>
      <c r="M7392" t="inlineStr"/>
      <c r="N7392" t="inlineStr">
        <is>
          <t>12T¹, 12C⁰, 36E³, 4C⁰, 36B², 36R⁴, 6G⁰, 2B⁰, 12N¹, 1A⁰, 18A⁰, 18L², 3C⁰, 6H⁰, 3A⁰, 18E¹, 6B⁰, 18L⁴, 36K⁵, 36P⁴, 36O⁹, 36H⁵, 12L¹, 12G⁰, 9D⁰, 12C¹, 18D⁰, 6E⁰, 6L⁰, 12P³, 9A⁰, 12D⁰, 12H⁰, 18I², 6D⁰, 36C²</t>
        </is>
      </c>
      <c r="O7392" t="inlineStr"/>
    </row>
    <row r="7393">
      <c r="A7393">
        <f>HYPERLINK("https://mathstats.uncg.edu/sites/pauli/congruence/csg23.html#group36B23", "36B²³")</f>
        <v/>
      </c>
      <c r="B7393" t="n">
        <v>23</v>
      </c>
      <c r="C7393" t="inlineStr"/>
      <c r="D7393" t="inlineStr">
        <is>
          <t>432</t>
        </is>
      </c>
      <c r="E7393" t="inlineStr">
        <is>
          <t>1</t>
        </is>
      </c>
      <c r="F7393" t="inlineStr">
        <is>
          <t>54</t>
        </is>
      </c>
      <c r="G7393" t="inlineStr">
        <is>
          <t>8</t>
        </is>
      </c>
      <c r="H7393" t="inlineStr">
        <is>
          <t>0</t>
        </is>
      </c>
      <c r="I7393" t="inlineStr">
        <is>
          <t>12¹⁸, 36⁶</t>
        </is>
      </c>
      <c r="J7393" t="n">
        <v>24</v>
      </c>
      <c r="K7393" t="inlineStr">
        <is>
          <t>2³, 4³, 6³, 12⁶</t>
        </is>
      </c>
      <c r="L7393" t="inlineStr">
        <is>
          <t>12C⁵, 36N⁸, 36P⁹, 36B¹²</t>
        </is>
      </c>
      <c r="M7393" t="inlineStr"/>
      <c r="N7393" t="inlineStr">
        <is>
          <t>12T¹, 36K⁴, 36I⁵, 12D¹, 12C⁰, 4C⁰, 6G⁰, 2B⁰, 12N¹, 9E⁰, 1A⁰, 12C⁵, 36N⁸, 3C⁰, 18K³, 18G¹, 36I³, 6H⁰, 3A⁰, 12H³, 12U¹, 6B⁰, 36I⁴, 18I¹, 12L¹, 36P⁹, 36B¹², 12G⁰, 12C¹, 6E⁰, 6L⁰, 12D⁰, 18F¹, 12H⁰, 6D⁰</t>
        </is>
      </c>
      <c r="O7393" t="inlineStr"/>
    </row>
    <row r="7394">
      <c r="A7394">
        <f>HYPERLINK("https://mathstats.uncg.edu/sites/pauli/congruence/csg23.html#group36C23", "36C²³")</f>
        <v/>
      </c>
      <c r="B7394" t="n">
        <v>23</v>
      </c>
      <c r="C7394" t="inlineStr"/>
      <c r="D7394" t="inlineStr">
        <is>
          <t>432</t>
        </is>
      </c>
      <c r="E7394" t="inlineStr">
        <is>
          <t>1</t>
        </is>
      </c>
      <c r="F7394" t="inlineStr">
        <is>
          <t>54</t>
        </is>
      </c>
      <c r="G7394" t="inlineStr">
        <is>
          <t>8</t>
        </is>
      </c>
      <c r="H7394" t="inlineStr">
        <is>
          <t>0</t>
        </is>
      </c>
      <c r="I7394" t="inlineStr">
        <is>
          <t>12¹⁸, 36⁶</t>
        </is>
      </c>
      <c r="J7394" t="n">
        <v>24</v>
      </c>
      <c r="K7394" t="inlineStr">
        <is>
          <t>2³, 4³, 6³, 12⁶</t>
        </is>
      </c>
      <c r="L7394" t="inlineStr">
        <is>
          <t>12C⁵, 36O⁸, 36P⁹, 36A¹²</t>
        </is>
      </c>
      <c r="M7394" t="inlineStr"/>
      <c r="N7394" t="inlineStr">
        <is>
          <t>12T¹, 36I⁵, 12D¹, 12C⁰, 4C⁰, 6G⁰, 2B⁰, 12N¹, 9E⁰, 1A⁰, 12C⁵, 36O⁸, 3C⁰, 18K³, 18G¹, 36I³, 6H⁰, 3A⁰, 12H³, 12U¹, 36J⁴, 6B⁰, 18I¹, 36H⁴, 12L¹, 36P⁹, 36A¹², 12G⁰, 12C¹, 6E⁰, 6L⁰, 12D⁰, 18F¹, 12H⁰, 6D⁰</t>
        </is>
      </c>
      <c r="O7394" t="inlineStr"/>
    </row>
    <row r="7395">
      <c r="A7395">
        <f>HYPERLINK("https://mathstats.uncg.edu/sites/pauli/congruence/csg23.html#group36D23", "36D²³")</f>
        <v/>
      </c>
      <c r="B7395" t="n">
        <v>23</v>
      </c>
      <c r="C7395" t="inlineStr"/>
      <c r="D7395" t="inlineStr">
        <is>
          <t>432</t>
        </is>
      </c>
      <c r="E7395" t="inlineStr">
        <is>
          <t>1</t>
        </is>
      </c>
      <c r="F7395" t="inlineStr">
        <is>
          <t>108</t>
        </is>
      </c>
      <c r="G7395" t="inlineStr">
        <is>
          <t>8</t>
        </is>
      </c>
      <c r="H7395" t="inlineStr">
        <is>
          <t>0</t>
        </is>
      </c>
      <c r="I7395" t="inlineStr">
        <is>
          <t>12¹⁸, 36⁶</t>
        </is>
      </c>
      <c r="J7395" t="n">
        <v>24</v>
      </c>
      <c r="K7395" t="inlineStr">
        <is>
          <t>1², 2⁴, 3², 4², 6⁶, 12⁴</t>
        </is>
      </c>
      <c r="L7395" t="inlineStr">
        <is>
          <t>12D⁵, 36J⁷, 36K⁷, 36P⁹, 36C¹², 36D¹²</t>
        </is>
      </c>
      <c r="M7395" t="inlineStr"/>
      <c r="N7395" t="inlineStr">
        <is>
          <t>36I⁵, 12T¹, 12I², 12C⁰, 4C⁰, 36D¹², 6G⁰, 2B⁰, 12M¹, 9E⁰, 12N¹, 1A⁰, 12H², 36M⁴, 36C¹², 36K⁷, 12Q¹, 3C⁰, 18G¹, 6H⁰, 3A⁰, 18K³, 36I³, 12G¹, 6B⁰, 36J⁷, 18I¹, 12F⁰, 12D⁵, 12L¹, 12J³, 36P⁹, 12G⁰, 12A⁰, 12C¹, 6E⁰, 12I³, 4A⁰, 6L⁰, 12J¹, 18F¹, 4F⁰, 12D⁰, 12H⁰, 6D⁰</t>
        </is>
      </c>
      <c r="O7395" t="inlineStr"/>
    </row>
    <row r="7396">
      <c r="A7396">
        <f>HYPERLINK("https://mathstats.uncg.edu/sites/pauli/congruence/csg23.html#group39A23", "39A²³")</f>
        <v/>
      </c>
      <c r="B7396" t="n">
        <v>23</v>
      </c>
      <c r="C7396" t="inlineStr"/>
      <c r="D7396" t="inlineStr">
        <is>
          <t>364</t>
        </is>
      </c>
      <c r="E7396" t="inlineStr">
        <is>
          <t>1</t>
        </is>
      </c>
      <c r="F7396" t="inlineStr">
        <is>
          <t>364</t>
        </is>
      </c>
      <c r="G7396" t="inlineStr">
        <is>
          <t>0</t>
        </is>
      </c>
      <c r="H7396" t="inlineStr">
        <is>
          <t>4</t>
        </is>
      </c>
      <c r="I7396" t="inlineStr">
        <is>
          <t>13⁷, 39⁷</t>
        </is>
      </c>
      <c r="J7396" t="n">
        <v>14</v>
      </c>
      <c r="K7396" t="inlineStr">
        <is>
          <t>3², 4², 6¹, 8¹, 12¹⁴, 24⁷</t>
        </is>
      </c>
      <c r="L7396" t="inlineStr">
        <is>
          <t>3B⁰, 13B³</t>
        </is>
      </c>
      <c r="M7396" t="inlineStr"/>
      <c r="N7396" t="inlineStr">
        <is>
          <t>3B⁰, 1A⁰, 13B³</t>
        </is>
      </c>
      <c r="O7396" t="inlineStr"/>
    </row>
    <row r="7397">
      <c r="A7397">
        <f>HYPERLINK("https://mathstats.uncg.edu/sites/pauli/congruence/csg23.html#group40A23", "40A²³")</f>
        <v/>
      </c>
      <c r="B7397" t="n">
        <v>23</v>
      </c>
      <c r="C7397" t="inlineStr"/>
      <c r="D7397" t="inlineStr">
        <is>
          <t>320</t>
        </is>
      </c>
      <c r="E7397" t="inlineStr">
        <is>
          <t>1</t>
        </is>
      </c>
      <c r="F7397" t="inlineStr">
        <is>
          <t>160</t>
        </is>
      </c>
      <c r="G7397" t="inlineStr">
        <is>
          <t>0</t>
        </is>
      </c>
      <c r="H7397" t="inlineStr">
        <is>
          <t>2</t>
        </is>
      </c>
      <c r="I7397" t="inlineStr">
        <is>
          <t>40⁸</t>
        </is>
      </c>
      <c r="J7397" t="n">
        <v>8</v>
      </c>
      <c r="K7397" t="inlineStr">
        <is>
          <t>8⁴, 16⁸</t>
        </is>
      </c>
      <c r="L7397" t="inlineStr">
        <is>
          <t>8E¹, 20A⁵, 40A¹⁰</t>
        </is>
      </c>
      <c r="M7397" t="inlineStr"/>
      <c r="N7397" t="inlineStr">
        <is>
          <t>2A⁰, 8F⁰, 4A⁰, 20A⁵, 4D⁰, 5C⁰, 10C¹, 8E¹, 40A¹⁰, 1A⁰, 20E²</t>
        </is>
      </c>
      <c r="O7397" t="inlineStr"/>
    </row>
    <row r="7398">
      <c r="A7398">
        <f>HYPERLINK("https://mathstats.uncg.edu/sites/pauli/congruence/csg23.html#group40B23", "40B²³")</f>
        <v/>
      </c>
      <c r="B7398" t="n">
        <v>23</v>
      </c>
      <c r="C7398" t="inlineStr"/>
      <c r="D7398" t="inlineStr">
        <is>
          <t>320</t>
        </is>
      </c>
      <c r="E7398" t="inlineStr">
        <is>
          <t>1</t>
        </is>
      </c>
      <c r="F7398" t="inlineStr">
        <is>
          <t>160</t>
        </is>
      </c>
      <c r="G7398" t="inlineStr">
        <is>
          <t>0</t>
        </is>
      </c>
      <c r="H7398" t="inlineStr">
        <is>
          <t>2</t>
        </is>
      </c>
      <c r="I7398" t="inlineStr">
        <is>
          <t>40⁸</t>
        </is>
      </c>
      <c r="J7398" t="n">
        <v>8</v>
      </c>
      <c r="K7398" t="inlineStr">
        <is>
          <t>8⁴, 16⁸</t>
        </is>
      </c>
      <c r="L7398" t="inlineStr">
        <is>
          <t>20B⁵, 40D⁵, 40A¹⁰</t>
        </is>
      </c>
      <c r="M7398" t="inlineStr"/>
      <c r="N7398" t="inlineStr">
        <is>
          <t>5A⁰, 8F⁰, 4A⁰, 20E², 5C⁰, 20B⁵, 5F⁰, 20A¹, 40A¹⁰, 1A⁰, 40D⁵</t>
        </is>
      </c>
      <c r="O7398" t="inlineStr"/>
    </row>
    <row r="7399">
      <c r="A7399">
        <f>HYPERLINK("https://mathstats.uncg.edu/sites/pauli/congruence/csg23.html#group40C23", "40C²³")</f>
        <v/>
      </c>
      <c r="B7399" t="n">
        <v>23</v>
      </c>
      <c r="C7399" t="inlineStr"/>
      <c r="D7399" t="inlineStr">
        <is>
          <t>360</t>
        </is>
      </c>
      <c r="E7399" t="inlineStr">
        <is>
          <t>1</t>
        </is>
      </c>
      <c r="F7399" t="inlineStr">
        <is>
          <t>45</t>
        </is>
      </c>
      <c r="G7399" t="inlineStr">
        <is>
          <t>8</t>
        </is>
      </c>
      <c r="H7399" t="inlineStr">
        <is>
          <t>0</t>
        </is>
      </c>
      <c r="I7399" t="inlineStr">
        <is>
          <t>20⁶, 40⁶</t>
        </is>
      </c>
      <c r="J7399" t="n">
        <v>12</v>
      </c>
      <c r="K7399" t="inlineStr">
        <is>
          <t>1³, 2³, 4⁹</t>
        </is>
      </c>
      <c r="L7399" t="inlineStr">
        <is>
          <t>40C³, 40D⁷, 20B⁹, 40E¹¹</t>
        </is>
      </c>
      <c r="M7399" t="inlineStr"/>
      <c r="N7399" t="inlineStr">
        <is>
          <t>20E¹, 5A⁰, 20E⁴, 10B¹, 20B², 4C⁰, 20B⁹, 5B⁰, 2B⁰, 1A⁰, 20F³, 40E¹¹, 40C³, 10F¹, 10I¹, 10F², 20C⁵, 10C⁰, 5E⁰, 5C⁰, 5G⁰, 40D⁷</t>
        </is>
      </c>
      <c r="O7399" t="inlineStr"/>
    </row>
    <row r="7400">
      <c r="A7400">
        <f>HYPERLINK("https://mathstats.uncg.edu/sites/pauli/congruence/csg23.html#group40D23", "40D²³")</f>
        <v/>
      </c>
      <c r="B7400" t="n">
        <v>23</v>
      </c>
      <c r="C7400" t="inlineStr"/>
      <c r="D7400" t="inlineStr">
        <is>
          <t>360</t>
        </is>
      </c>
      <c r="E7400" t="inlineStr">
        <is>
          <t>1</t>
        </is>
      </c>
      <c r="F7400" t="inlineStr">
        <is>
          <t>45</t>
        </is>
      </c>
      <c r="G7400" t="inlineStr">
        <is>
          <t>8</t>
        </is>
      </c>
      <c r="H7400" t="inlineStr">
        <is>
          <t>0</t>
        </is>
      </c>
      <c r="I7400" t="inlineStr">
        <is>
          <t>20⁶, 40⁶</t>
        </is>
      </c>
      <c r="J7400" t="n">
        <v>12</v>
      </c>
      <c r="K7400" t="inlineStr">
        <is>
          <t>1³, 2³, 4⁹</t>
        </is>
      </c>
      <c r="L7400" t="inlineStr">
        <is>
          <t>40D³, 40E⁷, 20B⁹, 40C¹⁰, 40A¹²</t>
        </is>
      </c>
      <c r="M7400" t="inlineStr"/>
      <c r="N7400" t="inlineStr">
        <is>
          <t>20E¹, 40D³, 5A⁰, 40A⁴, 20E⁴, 10B¹, 20B², 4C⁰, 20B⁹, 8B⁰, 5B⁰, 2B⁰, 1A⁰, 20F³, 10F¹, 40E⁷, 40A¹², 10I¹, 10F², 40C¹⁰, 20C⁵, 5E⁰, 10C⁰, 5C⁰, 5G⁰</t>
        </is>
      </c>
      <c r="O7400" t="inlineStr"/>
    </row>
    <row r="7401">
      <c r="A7401">
        <f>HYPERLINK("https://mathstats.uncg.edu/sites/pauli/congruence/csg23.html#group40E23", "40E²³")</f>
        <v/>
      </c>
      <c r="B7401" t="n">
        <v>23</v>
      </c>
      <c r="C7401" t="inlineStr"/>
      <c r="D7401" t="inlineStr">
        <is>
          <t>360</t>
        </is>
      </c>
      <c r="E7401" t="inlineStr">
        <is>
          <t>1</t>
        </is>
      </c>
      <c r="F7401" t="inlineStr">
        <is>
          <t>45</t>
        </is>
      </c>
      <c r="G7401" t="inlineStr">
        <is>
          <t>8</t>
        </is>
      </c>
      <c r="H7401" t="inlineStr">
        <is>
          <t>0</t>
        </is>
      </c>
      <c r="I7401" t="inlineStr">
        <is>
          <t>20⁶, 40⁶</t>
        </is>
      </c>
      <c r="J7401" t="n">
        <v>12</v>
      </c>
      <c r="K7401" t="inlineStr">
        <is>
          <t>2⁹, 4¹⁸</t>
        </is>
      </c>
      <c r="L7401" t="inlineStr">
        <is>
          <t>20C⁸, 40E¹¹, 40A¹²</t>
        </is>
      </c>
      <c r="M7401" t="inlineStr"/>
      <c r="N7401" t="inlineStr">
        <is>
          <t>10C³, 5A⁰, 10I¹, 40A¹², 20E⁴, 10B¹, 20B², 4C⁰, 5E⁰, 20P³, 2B⁰, 10E¹, 1A⁰, 20C⁸, 40E¹¹</t>
        </is>
      </c>
      <c r="O7401" t="inlineStr"/>
    </row>
    <row r="7402">
      <c r="A7402">
        <f>HYPERLINK("https://mathstats.uncg.edu/sites/pauli/congruence/csg23.html#group40F23", "40F²³")</f>
        <v/>
      </c>
      <c r="B7402" t="n">
        <v>23</v>
      </c>
      <c r="C7402" t="inlineStr"/>
      <c r="D7402" t="inlineStr">
        <is>
          <t>360</t>
        </is>
      </c>
      <c r="E7402" t="inlineStr">
        <is>
          <t>1</t>
        </is>
      </c>
      <c r="F7402" t="inlineStr">
        <is>
          <t>45</t>
        </is>
      </c>
      <c r="G7402" t="inlineStr">
        <is>
          <t>8</t>
        </is>
      </c>
      <c r="H7402" t="inlineStr">
        <is>
          <t>0</t>
        </is>
      </c>
      <c r="I7402" t="inlineStr">
        <is>
          <t>20⁶, 40⁶</t>
        </is>
      </c>
      <c r="J7402" t="n">
        <v>12</v>
      </c>
      <c r="K7402" t="inlineStr">
        <is>
          <t>2⁹, 4¹⁸</t>
        </is>
      </c>
      <c r="L7402" t="inlineStr">
        <is>
          <t>20C⁸, 40E¹¹, 40A¹²</t>
        </is>
      </c>
      <c r="M7402" t="inlineStr"/>
      <c r="N7402" t="inlineStr">
        <is>
          <t>10C³, 5A⁰, 10I¹, 40A¹², 20E⁴, 10B¹, 20B², 4C⁰, 5E⁰, 20P³, 2B⁰, 10E¹, 1A⁰, 20C⁸, 40E¹¹</t>
        </is>
      </c>
      <c r="O7402" t="inlineStr"/>
    </row>
    <row r="7403">
      <c r="A7403">
        <f>HYPERLINK("https://mathstats.uncg.edu/sites/pauli/congruence/csg23.html#group40G23", "40G²³")</f>
        <v/>
      </c>
      <c r="B7403" t="n">
        <v>23</v>
      </c>
      <c r="C7403" t="inlineStr"/>
      <c r="D7403" t="inlineStr">
        <is>
          <t>360</t>
        </is>
      </c>
      <c r="E7403" t="inlineStr">
        <is>
          <t>1</t>
        </is>
      </c>
      <c r="F7403" t="inlineStr">
        <is>
          <t>90</t>
        </is>
      </c>
      <c r="G7403" t="inlineStr">
        <is>
          <t>8</t>
        </is>
      </c>
      <c r="H7403" t="inlineStr">
        <is>
          <t>0</t>
        </is>
      </c>
      <c r="I7403" t="inlineStr">
        <is>
          <t>20⁶, 40⁶</t>
        </is>
      </c>
      <c r="J7403" t="n">
        <v>12</v>
      </c>
      <c r="K7403" t="inlineStr">
        <is>
          <t>1², 2⁴, 4⁸, 8⁶</t>
        </is>
      </c>
      <c r="L7403" t="inlineStr">
        <is>
          <t>20B¹⁰, 40G¹⁰, 40E¹¹</t>
        </is>
      </c>
      <c r="M7403" t="inlineStr"/>
      <c r="N7403" t="inlineStr">
        <is>
          <t>5A⁰, 20E⁴, 10B¹, 20B², 4C⁰, 20A¹, 2B⁰, 20C⁴, 1A⁰, 40E¹¹, 10I¹, 4A⁰, 5E⁰, 4F⁰, 40G¹⁰, 20B¹⁰, 20D³</t>
        </is>
      </c>
      <c r="O7403" t="inlineStr"/>
    </row>
    <row r="7404">
      <c r="A7404">
        <f>HYPERLINK("https://mathstats.uncg.edu/sites/pauli/congruence/csg23.html#group40H23", "40H²³")</f>
        <v/>
      </c>
      <c r="B7404" t="n">
        <v>23</v>
      </c>
      <c r="C7404" t="inlineStr"/>
      <c r="D7404" t="inlineStr">
        <is>
          <t>360</t>
        </is>
      </c>
      <c r="E7404" t="inlineStr">
        <is>
          <t>1</t>
        </is>
      </c>
      <c r="F7404" t="inlineStr">
        <is>
          <t>90</t>
        </is>
      </c>
      <c r="G7404" t="inlineStr">
        <is>
          <t>8</t>
        </is>
      </c>
      <c r="H7404" t="inlineStr">
        <is>
          <t>0</t>
        </is>
      </c>
      <c r="I7404" t="inlineStr">
        <is>
          <t>20⁶, 40⁶</t>
        </is>
      </c>
      <c r="J7404" t="n">
        <v>12</v>
      </c>
      <c r="K7404" t="inlineStr">
        <is>
          <t>1², 2⁴, 4⁸, 8⁶</t>
        </is>
      </c>
      <c r="L7404" t="inlineStr">
        <is>
          <t>20F¹⁰, 40E¹⁰, 40E¹¹</t>
        </is>
      </c>
      <c r="M7404" t="inlineStr"/>
      <c r="N7404" t="inlineStr">
        <is>
          <t>20F¹⁰, 40C⁴, 5A⁰, 40E¹⁰, 10I¹, 20E⁴, 8D⁰, 10B¹, 20B², 4C⁰, 5E⁰, 2B⁰, 1A⁰, 40E¹¹</t>
        </is>
      </c>
      <c r="O7404" t="inlineStr"/>
    </row>
    <row r="7405">
      <c r="A7405">
        <f>HYPERLINK("https://mathstats.uncg.edu/sites/pauli/congruence/csg23.html#group40I23", "40I²³")</f>
        <v/>
      </c>
      <c r="B7405" t="n">
        <v>23</v>
      </c>
      <c r="C7405" t="inlineStr"/>
      <c r="D7405" t="inlineStr">
        <is>
          <t>360</t>
        </is>
      </c>
      <c r="E7405" t="inlineStr">
        <is>
          <t>1</t>
        </is>
      </c>
      <c r="F7405" t="inlineStr">
        <is>
          <t>90</t>
        </is>
      </c>
      <c r="G7405" t="inlineStr">
        <is>
          <t>8</t>
        </is>
      </c>
      <c r="H7405" t="inlineStr">
        <is>
          <t>0</t>
        </is>
      </c>
      <c r="I7405" t="inlineStr">
        <is>
          <t>20⁶, 40⁶</t>
        </is>
      </c>
      <c r="J7405" t="n">
        <v>12</v>
      </c>
      <c r="K7405" t="inlineStr">
        <is>
          <t>2⁶, 4¹⁸, 8¹²</t>
        </is>
      </c>
      <c r="L7405" t="inlineStr">
        <is>
          <t>20F¹⁰, 40G¹⁰, 40E¹¹</t>
        </is>
      </c>
      <c r="M7405" t="inlineStr"/>
      <c r="N7405" t="inlineStr">
        <is>
          <t>20F¹⁰, 5A⁰, 10I¹, 20E⁴, 10B¹, 20B², 4C⁰, 5E⁰, 1A⁰, 2B⁰, 40G¹⁰, 40E¹¹</t>
        </is>
      </c>
      <c r="O7405" t="inlineStr"/>
    </row>
    <row r="7406">
      <c r="A7406">
        <f>HYPERLINK("https://mathstats.uncg.edu/sites/pauli/congruence/csg23.html#group40J23", "40J²³")</f>
        <v/>
      </c>
      <c r="B7406" t="n">
        <v>23</v>
      </c>
      <c r="C7406" t="inlineStr"/>
      <c r="D7406" t="inlineStr">
        <is>
          <t>360</t>
        </is>
      </c>
      <c r="E7406" t="inlineStr">
        <is>
          <t>1</t>
        </is>
      </c>
      <c r="F7406" t="inlineStr">
        <is>
          <t>90</t>
        </is>
      </c>
      <c r="G7406" t="inlineStr">
        <is>
          <t>8</t>
        </is>
      </c>
      <c r="H7406" t="inlineStr">
        <is>
          <t>0</t>
        </is>
      </c>
      <c r="I7406" t="inlineStr">
        <is>
          <t>20⁶, 40⁶</t>
        </is>
      </c>
      <c r="J7406" t="n">
        <v>12</v>
      </c>
      <c r="K7406" t="inlineStr">
        <is>
          <t>2⁶, 4¹⁸, 8¹²</t>
        </is>
      </c>
      <c r="L7406" t="inlineStr">
        <is>
          <t>20F¹⁰, 40G¹⁰, 40E¹¹</t>
        </is>
      </c>
      <c r="M7406" t="inlineStr"/>
      <c r="N7406" t="inlineStr">
        <is>
          <t>20F¹⁰, 5A⁰, 10I¹, 20E⁴, 10B¹, 20B², 4C⁰, 5E⁰, 1A⁰, 2B⁰, 40G¹⁰, 40E¹¹</t>
        </is>
      </c>
      <c r="O7406" t="inlineStr"/>
    </row>
    <row r="7407">
      <c r="A7407">
        <f>HYPERLINK("https://mathstats.uncg.edu/sites/pauli/congruence/csg23.html#group42A23", "42A²³")</f>
        <v/>
      </c>
      <c r="B7407" t="n">
        <v>23</v>
      </c>
      <c r="C7407" t="inlineStr"/>
      <c r="D7407" t="inlineStr">
        <is>
          <t>336</t>
        </is>
      </c>
      <c r="E7407" t="inlineStr">
        <is>
          <t>1</t>
        </is>
      </c>
      <c r="F7407" t="inlineStr">
        <is>
          <t>56</t>
        </is>
      </c>
      <c r="G7407" t="inlineStr">
        <is>
          <t>0</t>
        </is>
      </c>
      <c r="H7407" t="inlineStr">
        <is>
          <t>6</t>
        </is>
      </c>
      <c r="I7407" t="inlineStr">
        <is>
          <t>42⁸</t>
        </is>
      </c>
      <c r="J7407" t="n">
        <v>8</v>
      </c>
      <c r="K7407" t="inlineStr">
        <is>
          <t>2¹, 6¹, 12⁴</t>
        </is>
      </c>
      <c r="L7407" t="inlineStr">
        <is>
          <t>42B², 14E⁵, 42D⁵, 42A¹²</t>
        </is>
      </c>
      <c r="M7407" t="inlineStr"/>
      <c r="N7407" t="inlineStr">
        <is>
          <t>2A⁰, 14A⁰, 14A¹, 14G¹, 1A⁰, 14D¹, 14E⁵, 42B², 6A⁰, 42A¹², 7B⁰, 42A³, 7C⁰, 14C³, 14B⁰, 7F⁰, 42D⁵, 7B¹, 7A⁰</t>
        </is>
      </c>
      <c r="O7407" t="inlineStr"/>
    </row>
    <row r="7408">
      <c r="A7408">
        <f>HYPERLINK("https://mathstats.uncg.edu/sites/pauli/congruence/csg23.html#group42B23", "42B²³")</f>
        <v/>
      </c>
      <c r="B7408" t="n">
        <v>23</v>
      </c>
      <c r="C7408" t="inlineStr"/>
      <c r="D7408" t="inlineStr">
        <is>
          <t>336</t>
        </is>
      </c>
      <c r="E7408" t="inlineStr">
        <is>
          <t>1</t>
        </is>
      </c>
      <c r="F7408" t="inlineStr">
        <is>
          <t>56</t>
        </is>
      </c>
      <c r="G7408" t="inlineStr">
        <is>
          <t>0</t>
        </is>
      </c>
      <c r="H7408" t="inlineStr">
        <is>
          <t>6</t>
        </is>
      </c>
      <c r="I7408" t="inlineStr">
        <is>
          <t>42⁸</t>
        </is>
      </c>
      <c r="J7408" t="n">
        <v>8</v>
      </c>
      <c r="K7408" t="inlineStr">
        <is>
          <t>2¹, 6¹, 12⁴</t>
        </is>
      </c>
      <c r="L7408" t="inlineStr">
        <is>
          <t>42C², 14E⁵, 42C⁵, 21A¹⁰</t>
        </is>
      </c>
      <c r="M7408" t="inlineStr"/>
      <c r="N7408" t="inlineStr">
        <is>
          <t>2A⁰, 14A⁰, 21A¹⁰, 14A¹, 14G¹, 14D¹, 1A⁰, 42C⁵, 14E⁵, 7B⁰, 7C⁰, 14C³, 14B⁰, 42C², 21C¹, 7F⁰, 7B¹, 7A⁰, 21A¹</t>
        </is>
      </c>
      <c r="O7408" t="inlineStr"/>
    </row>
    <row r="7409">
      <c r="A7409">
        <f>HYPERLINK("https://mathstats.uncg.edu/sites/pauli/congruence/csg23.html#group42C23", "42C²³")</f>
        <v/>
      </c>
      <c r="B7409" t="n">
        <v>23</v>
      </c>
      <c r="C7409" t="inlineStr"/>
      <c r="D7409" t="inlineStr">
        <is>
          <t>336</t>
        </is>
      </c>
      <c r="E7409" t="inlineStr">
        <is>
          <t>1</t>
        </is>
      </c>
      <c r="F7409" t="inlineStr">
        <is>
          <t>84</t>
        </is>
      </c>
      <c r="G7409" t="inlineStr">
        <is>
          <t>0</t>
        </is>
      </c>
      <c r="H7409" t="inlineStr">
        <is>
          <t>0</t>
        </is>
      </c>
      <c r="I7409" t="inlineStr">
        <is>
          <t>14⁶, 42⁶</t>
        </is>
      </c>
      <c r="J7409" t="n">
        <v>12</v>
      </c>
      <c r="K7409" t="inlineStr">
        <is>
          <t>3², 6⁷, 12³</t>
        </is>
      </c>
      <c r="L7409" t="inlineStr">
        <is>
          <t>14A⁵, 21A⁹, 42F¹²</t>
        </is>
      </c>
      <c r="M7409" t="inlineStr"/>
      <c r="N7409" t="inlineStr">
        <is>
          <t>3B⁰, 14A⁰, 14B², 21B², 14A⁵, 21A⁹, 7D⁰, 42D⁴, 7A¹, 42F¹², 21A⁵, 1A⁰, 7A⁰</t>
        </is>
      </c>
      <c r="O7409" t="inlineStr"/>
    </row>
    <row r="7410">
      <c r="A7410">
        <f>HYPERLINK("https://mathstats.uncg.edu/sites/pauli/congruence/csg23.html#group42D23", "42D²³")</f>
        <v/>
      </c>
      <c r="B7410" t="n">
        <v>23</v>
      </c>
      <c r="C7410" t="inlineStr"/>
      <c r="D7410" t="inlineStr">
        <is>
          <t>336</t>
        </is>
      </c>
      <c r="E7410" t="inlineStr">
        <is>
          <t>1</t>
        </is>
      </c>
      <c r="F7410" t="inlineStr">
        <is>
          <t>84</t>
        </is>
      </c>
      <c r="G7410" t="inlineStr">
        <is>
          <t>0</t>
        </is>
      </c>
      <c r="H7410" t="inlineStr">
        <is>
          <t>0</t>
        </is>
      </c>
      <c r="I7410" t="inlineStr">
        <is>
          <t>14⁶, 42⁶</t>
        </is>
      </c>
      <c r="J7410" t="n">
        <v>12</v>
      </c>
      <c r="K7410" t="inlineStr">
        <is>
          <t>3², 6⁷, 12³</t>
        </is>
      </c>
      <c r="L7410" t="inlineStr">
        <is>
          <t>14B⁵, 21A⁹, 42B¹², 42C¹²</t>
        </is>
      </c>
      <c r="M7410" t="inlineStr"/>
      <c r="N7410" t="inlineStr">
        <is>
          <t>3B⁰, 2A⁰, 42B¹², 7D⁰, 21A⁹, 14A¹, 6C⁰, 14B⁵, 21A⁵, 1A⁰, 21B², 14A³, 42E⁴, 7A¹, 42C¹², 14E¹, 7A⁰</t>
        </is>
      </c>
      <c r="O7410" t="inlineStr"/>
    </row>
    <row r="7411">
      <c r="A7411">
        <f>HYPERLINK("https://mathstats.uncg.edu/sites/pauli/congruence/csg23.html#group42E23", "42E²³")</f>
        <v/>
      </c>
      <c r="B7411" t="n">
        <v>23</v>
      </c>
      <c r="C7411" t="inlineStr"/>
      <c r="D7411" t="inlineStr">
        <is>
          <t>336</t>
        </is>
      </c>
      <c r="E7411" t="inlineStr">
        <is>
          <t>2</t>
        </is>
      </c>
      <c r="F7411" t="inlineStr">
        <is>
          <t>28</t>
        </is>
      </c>
      <c r="G7411" t="inlineStr">
        <is>
          <t>0</t>
        </is>
      </c>
      <c r="H7411" t="inlineStr">
        <is>
          <t>0</t>
        </is>
      </c>
      <c r="I7411" t="inlineStr">
        <is>
          <t>14⁶, 42⁶</t>
        </is>
      </c>
      <c r="J7411" t="n">
        <v>12</v>
      </c>
      <c r="K7411" t="inlineStr">
        <is>
          <t>2², 4¹, 6⁴, 12²</t>
        </is>
      </c>
      <c r="L7411" t="inlineStr">
        <is>
          <t>14C⁵, 42F⁷, 21C⁹, 42C¹², 42F¹²</t>
        </is>
      </c>
      <c r="M7411" t="inlineStr"/>
      <c r="N7411" t="inlineStr">
        <is>
          <t>21B³, 3B⁰, 2A⁰, 14A⁰, 14B², 7D⁰, 6C⁰, 42F⁷, 14A¹, 14C⁵, 7G⁰, 21A⁵, 1A⁰, 14D¹, 21B², 14A³, 42E⁴, 42D⁴, 7C⁰, 42F¹², 42C¹², 21C⁹, 7A⁰</t>
        </is>
      </c>
      <c r="O7411" t="inlineStr"/>
    </row>
    <row r="7412">
      <c r="A7412">
        <f>HYPERLINK("https://mathstats.uncg.edu/sites/pauli/congruence/csg23.html#group42F23", "42F²³")</f>
        <v/>
      </c>
      <c r="B7412" t="n">
        <v>23</v>
      </c>
      <c r="C7412" t="inlineStr"/>
      <c r="D7412" t="inlineStr">
        <is>
          <t>336</t>
        </is>
      </c>
      <c r="E7412" t="inlineStr">
        <is>
          <t>2</t>
        </is>
      </c>
      <c r="F7412" t="inlineStr">
        <is>
          <t>28</t>
        </is>
      </c>
      <c r="G7412" t="inlineStr">
        <is>
          <t>0</t>
        </is>
      </c>
      <c r="H7412" t="inlineStr">
        <is>
          <t>0</t>
        </is>
      </c>
      <c r="I7412" t="inlineStr">
        <is>
          <t>14⁶, 42⁶</t>
        </is>
      </c>
      <c r="J7412" t="n">
        <v>12</v>
      </c>
      <c r="K7412" t="inlineStr">
        <is>
          <t>2², 4¹, 6⁴, 12²</t>
        </is>
      </c>
      <c r="L7412" t="inlineStr">
        <is>
          <t>14D⁵, 42F⁷, 42C¹¹, 42D¹², 42G¹²</t>
        </is>
      </c>
      <c r="M7412" t="inlineStr"/>
      <c r="N7412" t="inlineStr">
        <is>
          <t>21B³, 2A⁰, 3B⁰, 14A⁰, 14B³, 14B¹, 6I⁰, 14D⁵, 14A¹, 42F⁷, 6C⁰, 14C², 42C¹¹, 2B⁰, 1A⁰, 14D¹, 42G¹², 21B², 14A², 42C⁶, 42D¹², 42E⁴, 7C⁰, 42D⁴, 6F⁰, 2C⁰, 7A⁰</t>
        </is>
      </c>
      <c r="O7412" t="inlineStr"/>
    </row>
    <row r="7413">
      <c r="A7413">
        <f>HYPERLINK("https://mathstats.uncg.edu/sites/pauli/congruence/csg23.html#group42G23", "42G²³")</f>
        <v/>
      </c>
      <c r="B7413" t="n">
        <v>23</v>
      </c>
      <c r="C7413" t="inlineStr"/>
      <c r="D7413" t="inlineStr">
        <is>
          <t>336</t>
        </is>
      </c>
      <c r="E7413" t="inlineStr">
        <is>
          <t>2</t>
        </is>
      </c>
      <c r="F7413" t="inlineStr">
        <is>
          <t>56</t>
        </is>
      </c>
      <c r="G7413" t="inlineStr">
        <is>
          <t>0</t>
        </is>
      </c>
      <c r="H7413" t="inlineStr">
        <is>
          <t>6</t>
        </is>
      </c>
      <c r="I7413" t="inlineStr">
        <is>
          <t>42⁸</t>
        </is>
      </c>
      <c r="J7413" t="n">
        <v>8</v>
      </c>
      <c r="K7413" t="inlineStr">
        <is>
          <t>4⁴, 12⁸</t>
        </is>
      </c>
      <c r="L7413" t="inlineStr">
        <is>
          <t>42C⁵, 42F⁷, 21B¹⁰</t>
        </is>
      </c>
      <c r="M7413" t="inlineStr"/>
      <c r="N7413" t="inlineStr">
        <is>
          <t>21B³, 2A⁰, 14A⁰, 3B⁰, 14A¹, 42F⁷, 6C⁰, 21B¹⁰, 14D¹, 1A⁰, 42C⁵, 21B², 7C⁰, 42E⁴, 21C¹, 42D⁴, 7A⁰</t>
        </is>
      </c>
      <c r="O7413" t="inlineStr"/>
    </row>
    <row r="7414">
      <c r="A7414">
        <f>HYPERLINK("https://mathstats.uncg.edu/sites/pauli/congruence/csg23.html#group42H23", "42H²³")</f>
        <v/>
      </c>
      <c r="B7414" t="n">
        <v>23</v>
      </c>
      <c r="C7414" t="inlineStr"/>
      <c r="D7414" t="inlineStr">
        <is>
          <t>336</t>
        </is>
      </c>
      <c r="E7414" t="inlineStr">
        <is>
          <t>2</t>
        </is>
      </c>
      <c r="F7414" t="inlineStr">
        <is>
          <t>56</t>
        </is>
      </c>
      <c r="G7414" t="inlineStr">
        <is>
          <t>0</t>
        </is>
      </c>
      <c r="H7414" t="inlineStr">
        <is>
          <t>6</t>
        </is>
      </c>
      <c r="I7414" t="inlineStr">
        <is>
          <t>42⁸</t>
        </is>
      </c>
      <c r="J7414" t="n">
        <v>8</v>
      </c>
      <c r="K7414" t="inlineStr">
        <is>
          <t>4⁴, 12⁸</t>
        </is>
      </c>
      <c r="L7414" t="inlineStr">
        <is>
          <t>42D⁵, 42F⁷, 42E¹²</t>
        </is>
      </c>
      <c r="M7414" t="inlineStr"/>
      <c r="N7414" t="inlineStr">
        <is>
          <t>21B³, 2A⁰, 14A⁰, 3B⁰, 14A¹, 42F⁷, 6C⁰, 42E¹², 14D¹, 1A⁰, 21B², 6A⁰, 42A³, 7C⁰, 42E⁴, 42D⁴, 6J⁰, 42D⁵, 7A⁰</t>
        </is>
      </c>
      <c r="O7414" t="inlineStr"/>
    </row>
    <row r="7415">
      <c r="A7415">
        <f>HYPERLINK("https://mathstats.uncg.edu/sites/pauli/congruence/csg23.html#group42I23", "42I²³")</f>
        <v/>
      </c>
      <c r="B7415" t="n">
        <v>23</v>
      </c>
      <c r="C7415" t="inlineStr"/>
      <c r="D7415" t="inlineStr">
        <is>
          <t>336</t>
        </is>
      </c>
      <c r="E7415" t="inlineStr">
        <is>
          <t>2</t>
        </is>
      </c>
      <c r="F7415" t="inlineStr">
        <is>
          <t>84</t>
        </is>
      </c>
      <c r="G7415" t="inlineStr">
        <is>
          <t>0</t>
        </is>
      </c>
      <c r="H7415" t="inlineStr">
        <is>
          <t>0</t>
        </is>
      </c>
      <c r="I7415" t="inlineStr">
        <is>
          <t>14⁶, 42⁶</t>
        </is>
      </c>
      <c r="J7415" t="n">
        <v>12</v>
      </c>
      <c r="K7415" t="inlineStr">
        <is>
          <t>6¹⁴, 12⁷</t>
        </is>
      </c>
      <c r="L7415" t="inlineStr">
        <is>
          <t>14F³, 21C⁹, 42B¹², 42F¹²</t>
        </is>
      </c>
      <c r="M7415" t="inlineStr"/>
      <c r="N7415" t="inlineStr">
        <is>
          <t>21B³, 3B⁰, 14A⁰, 14B², 42B¹², 7D⁰, 7G⁰, 21A⁵, 1A⁰, 21B², 7C⁰, 42D⁴, 14F³, 42F¹², 21C⁹, 14E¹, 7A⁰</t>
        </is>
      </c>
      <c r="O7415" t="inlineStr"/>
    </row>
    <row r="7416">
      <c r="A7416">
        <f>HYPERLINK("https://mathstats.uncg.edu/sites/pauli/congruence/csg23.html#group42J23", "42J²³")</f>
        <v/>
      </c>
      <c r="B7416" t="n">
        <v>23</v>
      </c>
      <c r="C7416" t="inlineStr"/>
      <c r="D7416" t="inlineStr">
        <is>
          <t>336</t>
        </is>
      </c>
      <c r="E7416" t="inlineStr">
        <is>
          <t>2</t>
        </is>
      </c>
      <c r="F7416" t="inlineStr">
        <is>
          <t>168</t>
        </is>
      </c>
      <c r="G7416" t="inlineStr">
        <is>
          <t>0</t>
        </is>
      </c>
      <c r="H7416" t="inlineStr">
        <is>
          <t>6</t>
        </is>
      </c>
      <c r="I7416" t="inlineStr">
        <is>
          <t>42⁸</t>
        </is>
      </c>
      <c r="J7416" t="n">
        <v>8</v>
      </c>
      <c r="K7416" t="inlineStr">
        <is>
          <t>12²⁸</t>
        </is>
      </c>
      <c r="L7416" t="inlineStr">
        <is>
          <t>42C⁵, 21A⁸</t>
        </is>
      </c>
      <c r="M7416" t="inlineStr"/>
      <c r="N7416" t="inlineStr">
        <is>
          <t>2A⁰, 21A⁸, 14A⁰, 14D¹, 7C⁰, 14A¹, 21C¹, 1A⁰, 42C⁵, 7A⁰</t>
        </is>
      </c>
      <c r="O7416" t="inlineStr"/>
    </row>
    <row r="7417">
      <c r="A7417">
        <f>HYPERLINK("https://mathstats.uncg.edu/sites/pauli/congruence/csg23.html#group42K23", "42K²³")</f>
        <v/>
      </c>
      <c r="B7417" t="n">
        <v>23</v>
      </c>
      <c r="C7417" t="inlineStr"/>
      <c r="D7417" t="inlineStr">
        <is>
          <t>378</t>
        </is>
      </c>
      <c r="E7417" t="inlineStr">
        <is>
          <t>1</t>
        </is>
      </c>
      <c r="F7417" t="inlineStr">
        <is>
          <t>189</t>
        </is>
      </c>
      <c r="G7417" t="inlineStr">
        <is>
          <t>20</t>
        </is>
      </c>
      <c r="H7417" t="inlineStr">
        <is>
          <t>0</t>
        </is>
      </c>
      <c r="I7417" t="inlineStr">
        <is>
          <t>42⁹</t>
        </is>
      </c>
      <c r="J7417" t="n">
        <v>9</v>
      </c>
      <c r="K7417" t="inlineStr">
        <is>
          <t>3³, 6¹², 12⁹</t>
        </is>
      </c>
      <c r="L7417" t="inlineStr">
        <is>
          <t>42H⁵, 42L⁷, 42K¹⁰</t>
        </is>
      </c>
      <c r="M7417" t="inlineStr"/>
      <c r="N7417" t="inlineStr">
        <is>
          <t>6B⁰, 7D⁰, 14B¹, 6H⁰, 42K¹⁰, 21A⁰, 2B⁰, 1A⁰, 21E¹, 42L⁷, 42H⁵, 14F², 42B¹, 3A⁰, 42C³, 6D⁰, 7A⁰</t>
        </is>
      </c>
      <c r="O7417" t="inlineStr"/>
    </row>
    <row r="7418">
      <c r="A7418">
        <f>HYPERLINK("https://mathstats.uncg.edu/sites/pauli/congruence/csg23.html#group42L23", "42L²³")</f>
        <v/>
      </c>
      <c r="B7418" t="n">
        <v>23</v>
      </c>
      <c r="C7418" t="inlineStr"/>
      <c r="D7418" t="inlineStr">
        <is>
          <t>378</t>
        </is>
      </c>
      <c r="E7418" t="inlineStr">
        <is>
          <t>2</t>
        </is>
      </c>
      <c r="F7418" t="inlineStr">
        <is>
          <t>189</t>
        </is>
      </c>
      <c r="G7418" t="inlineStr">
        <is>
          <t>14</t>
        </is>
      </c>
      <c r="H7418" t="inlineStr">
        <is>
          <t>0</t>
        </is>
      </c>
      <c r="I7418" t="inlineStr">
        <is>
          <t>21⁶, 42⁶</t>
        </is>
      </c>
      <c r="J7418" t="n">
        <v>12</v>
      </c>
      <c r="K7418" t="inlineStr">
        <is>
          <t>6²¹, 12²¹</t>
        </is>
      </c>
      <c r="L7418" t="inlineStr">
        <is>
          <t>21D⁵, 42K⁷, 42K¹⁰</t>
        </is>
      </c>
      <c r="M7418" t="inlineStr"/>
      <c r="N7418" t="inlineStr">
        <is>
          <t>7D⁰, 14B¹, 21D¹, 42K¹⁰, 21A⁰, 42K⁷, 2B⁰, 1A⁰, 21D⁵, 21E¹, 14F², 3A⁰, 42C³, 6D⁰, 7A⁰</t>
        </is>
      </c>
      <c r="O7418" t="inlineStr"/>
    </row>
    <row r="7419">
      <c r="A7419">
        <f>HYPERLINK("https://mathstats.uncg.edu/sites/pauli/congruence/csg23.html#group42M23", "42M²³")</f>
        <v/>
      </c>
      <c r="B7419" t="n">
        <v>23</v>
      </c>
      <c r="C7419" t="inlineStr"/>
      <c r="D7419" t="inlineStr">
        <is>
          <t>384</t>
        </is>
      </c>
      <c r="E7419" t="inlineStr">
        <is>
          <t>2</t>
        </is>
      </c>
      <c r="F7419" t="inlineStr">
        <is>
          <t>64</t>
        </is>
      </c>
      <c r="G7419" t="inlineStr">
        <is>
          <t>0</t>
        </is>
      </c>
      <c r="H7419" t="inlineStr">
        <is>
          <t>6</t>
        </is>
      </c>
      <c r="I7419" t="inlineStr">
        <is>
          <t>6⁸, 42⁸</t>
        </is>
      </c>
      <c r="J7419" t="n">
        <v>16</v>
      </c>
      <c r="K7419" t="inlineStr">
        <is>
          <t>2¹⁶, 12⁸</t>
        </is>
      </c>
      <c r="L7419" t="inlineStr">
        <is>
          <t>42I⁵, 42H¹²</t>
        </is>
      </c>
      <c r="M7419" t="inlineStr"/>
      <c r="N7419" t="inlineStr">
        <is>
          <t>3B⁰, 42I⁵, 2A⁰, 21B¹, 7B⁰, 42E³, 6C⁰, 14B⁰, 42H¹², 42D³, 1A⁰, 21F¹, 42B³</t>
        </is>
      </c>
      <c r="O7419" t="inlineStr"/>
    </row>
    <row r="7420">
      <c r="A7420">
        <f>HYPERLINK("https://mathstats.uncg.edu/sites/pauli/congruence/csg23.html#group44A23", "44A²³")</f>
        <v/>
      </c>
      <c r="B7420" t="n">
        <v>23</v>
      </c>
      <c r="C7420" t="inlineStr"/>
      <c r="D7420" t="inlineStr">
        <is>
          <t>330</t>
        </is>
      </c>
      <c r="E7420" t="inlineStr">
        <is>
          <t>1</t>
        </is>
      </c>
      <c r="F7420" t="inlineStr">
        <is>
          <t>165</t>
        </is>
      </c>
      <c r="G7420" t="inlineStr">
        <is>
          <t>2</t>
        </is>
      </c>
      <c r="H7420" t="inlineStr">
        <is>
          <t>0</t>
        </is>
      </c>
      <c r="I7420" t="inlineStr">
        <is>
          <t>22⁵, 44⁵</t>
        </is>
      </c>
      <c r="J7420" t="n">
        <v>10</v>
      </c>
      <c r="K7420" t="inlineStr">
        <is>
          <t>5³, 10¹⁵</t>
        </is>
      </c>
      <c r="L7420" t="inlineStr">
        <is>
          <t>22A⁸</t>
        </is>
      </c>
      <c r="M7420" t="inlineStr"/>
      <c r="N7420" t="inlineStr">
        <is>
          <t>11C¹, 1A⁰, 22A⁸, 2B⁰</t>
        </is>
      </c>
      <c r="O7420" t="inlineStr"/>
    </row>
    <row r="7421">
      <c r="A7421">
        <f>HYPERLINK("https://mathstats.uncg.edu/sites/pauli/congruence/csg23.html#group45A23", "45A²³")</f>
        <v/>
      </c>
      <c r="B7421" t="n">
        <v>23</v>
      </c>
      <c r="C7421" t="inlineStr"/>
      <c r="D7421" t="inlineStr">
        <is>
          <t>360</t>
        </is>
      </c>
      <c r="E7421" t="inlineStr">
        <is>
          <t>1</t>
        </is>
      </c>
      <c r="F7421" t="inlineStr">
        <is>
          <t>60</t>
        </is>
      </c>
      <c r="G7421" t="inlineStr">
        <is>
          <t>0</t>
        </is>
      </c>
      <c r="H7421" t="inlineStr">
        <is>
          <t>0</t>
        </is>
      </c>
      <c r="I7421" t="inlineStr">
        <is>
          <t>15¹², 45⁴</t>
        </is>
      </c>
      <c r="J7421" t="n">
        <v>16</v>
      </c>
      <c r="K7421" t="inlineStr">
        <is>
          <t>2², 4⁶, 8⁴</t>
        </is>
      </c>
      <c r="L7421" t="inlineStr">
        <is>
          <t>9H⁰, 15A⁷, 45E¹¹</t>
        </is>
      </c>
      <c r="M7421" t="inlineStr"/>
      <c r="N7421" t="inlineStr">
        <is>
          <t>3B⁰, 15D¹, 5C⁰, 3C⁰, 15A⁷, 9H⁰, 15C³, 9E⁰, 3A⁰, 15C², 1A⁰, 45E¹¹, 3D⁰</t>
        </is>
      </c>
      <c r="O7421" t="inlineStr"/>
    </row>
    <row r="7422">
      <c r="A7422">
        <f>HYPERLINK("https://mathstats.uncg.edu/sites/pauli/congruence/csg23.html#group45B23", "45B²³")</f>
        <v/>
      </c>
      <c r="B7422" t="n">
        <v>23</v>
      </c>
      <c r="C7422" t="inlineStr"/>
      <c r="D7422" t="inlineStr">
        <is>
          <t>360</t>
        </is>
      </c>
      <c r="E7422" t="inlineStr">
        <is>
          <t>1</t>
        </is>
      </c>
      <c r="F7422" t="inlineStr">
        <is>
          <t>120</t>
        </is>
      </c>
      <c r="G7422" t="inlineStr">
        <is>
          <t>0</t>
        </is>
      </c>
      <c r="H7422" t="inlineStr">
        <is>
          <t>0</t>
        </is>
      </c>
      <c r="I7422" t="inlineStr">
        <is>
          <t>5⁶, 15⁴, 45⁶</t>
        </is>
      </c>
      <c r="J7422" t="n">
        <v>16</v>
      </c>
      <c r="K7422" t="inlineStr">
        <is>
          <t>2², 4⁶, 8⁴, 12¹, 24²</t>
        </is>
      </c>
      <c r="L7422" t="inlineStr">
        <is>
          <t>9I⁰, 45C⁷</t>
        </is>
      </c>
      <c r="M7422" t="inlineStr"/>
      <c r="N7422" t="inlineStr">
        <is>
          <t>3B⁰, 5C⁰, 9I⁰, 9B⁰, 45C⁷, 15C², 1A⁰</t>
        </is>
      </c>
      <c r="O7422" t="inlineStr"/>
    </row>
    <row r="7423">
      <c r="A7423">
        <f>HYPERLINK("https://mathstats.uncg.edu/sites/pauli/congruence/csg23.html#group45C23", "45C²³")</f>
        <v/>
      </c>
      <c r="B7423" t="n">
        <v>23</v>
      </c>
      <c r="C7423" t="inlineStr"/>
      <c r="D7423" t="inlineStr">
        <is>
          <t>360</t>
        </is>
      </c>
      <c r="E7423" t="inlineStr">
        <is>
          <t>1</t>
        </is>
      </c>
      <c r="F7423" t="inlineStr">
        <is>
          <t>180</t>
        </is>
      </c>
      <c r="G7423" t="inlineStr">
        <is>
          <t>0</t>
        </is>
      </c>
      <c r="H7423" t="inlineStr">
        <is>
          <t>0</t>
        </is>
      </c>
      <c r="I7423" t="inlineStr">
        <is>
          <t>15¹², 45⁴</t>
        </is>
      </c>
      <c r="J7423" t="n">
        <v>16</v>
      </c>
      <c r="K7423" t="inlineStr">
        <is>
          <t>2¹, 4³, 6¹, 8², 12⁴, 24⁴</t>
        </is>
      </c>
      <c r="L7423" t="inlineStr">
        <is>
          <t>45C⁶, 15B⁷, 45E¹¹</t>
        </is>
      </c>
      <c r="M7423" t="inlineStr"/>
      <c r="N7423" t="inlineStr">
        <is>
          <t>45C⁶, 5A⁰, 15B⁷, 15B⁴, 15D², 5F⁰, 15C³, 9E⁰, 1A⁰, 45E¹¹, 15D¹, 15A², 3C⁰, 3A⁰, 5C⁰, 15A¹</t>
        </is>
      </c>
      <c r="O7423" t="inlineStr"/>
    </row>
    <row r="7424">
      <c r="A7424">
        <f>HYPERLINK("https://mathstats.uncg.edu/sites/pauli/congruence/csg23.html#group45D23", "45D²³")</f>
        <v/>
      </c>
      <c r="B7424" t="n">
        <v>23</v>
      </c>
      <c r="C7424" t="inlineStr"/>
      <c r="D7424" t="inlineStr">
        <is>
          <t>432</t>
        </is>
      </c>
      <c r="E7424" t="inlineStr">
        <is>
          <t>1</t>
        </is>
      </c>
      <c r="F7424" t="inlineStr">
        <is>
          <t>36</t>
        </is>
      </c>
      <c r="G7424" t="inlineStr">
        <is>
          <t>24</t>
        </is>
      </c>
      <c r="H7424" t="inlineStr">
        <is>
          <t>0</t>
        </is>
      </c>
      <c r="I7424" t="inlineStr">
        <is>
          <t>9⁸, 45⁸</t>
        </is>
      </c>
      <c r="J7424" t="n">
        <v>16</v>
      </c>
      <c r="K7424" t="inlineStr">
        <is>
          <t>2⁶, 8³</t>
        </is>
      </c>
      <c r="L7424" t="inlineStr">
        <is>
          <t>15I³, 45E⁹</t>
        </is>
      </c>
      <c r="M7424" t="inlineStr"/>
      <c r="N7424" t="inlineStr">
        <is>
          <t>45A², 15B⁰, 45F⁵, 9D⁰, 9A⁰, 45C⁴, 5B⁰, 45E⁹, 3C⁰, 15C⁰, 3A⁰, 15H¹, 1A⁰, 15I³, 15E¹</t>
        </is>
      </c>
      <c r="O7424" t="inlineStr"/>
    </row>
    <row r="7425">
      <c r="A7425">
        <f>HYPERLINK("https://mathstats.uncg.edu/sites/pauli/congruence/csg23.html#group45E23", "45E²³")</f>
        <v/>
      </c>
      <c r="B7425" t="n">
        <v>23</v>
      </c>
      <c r="C7425" t="inlineStr"/>
      <c r="D7425" t="inlineStr">
        <is>
          <t>480</t>
        </is>
      </c>
      <c r="E7425" t="inlineStr">
        <is>
          <t>1</t>
        </is>
      </c>
      <c r="F7425" t="inlineStr">
        <is>
          <t>80</t>
        </is>
      </c>
      <c r="G7425" t="inlineStr">
        <is>
          <t>0</t>
        </is>
      </c>
      <c r="H7425" t="inlineStr">
        <is>
          <t>6</t>
        </is>
      </c>
      <c r="I7425" t="inlineStr">
        <is>
          <t>5²⁴, 45⁸</t>
        </is>
      </c>
      <c r="J7425" t="n">
        <v>32</v>
      </c>
      <c r="K7425" t="inlineStr">
        <is>
          <t>4², 8⁹</t>
        </is>
      </c>
      <c r="L7425" t="inlineStr">
        <is>
          <t>15D⁵, 45H¹²</t>
        </is>
      </c>
      <c r="M7425" t="inlineStr"/>
      <c r="N7425" t="inlineStr">
        <is>
          <t>45H¹², 3B⁰, 45C³, 5A⁰, 15D⁵, 15G³, 15B¹, 5F⁰, 1A⁰, 15C², 5C⁰</t>
        </is>
      </c>
      <c r="O7425" t="inlineStr"/>
    </row>
    <row r="7426">
      <c r="A7426">
        <f>HYPERLINK("https://mathstats.uncg.edu/sites/pauli/congruence/csg23.html#group48A23", "48A²³")</f>
        <v/>
      </c>
      <c r="B7426" t="n">
        <v>23</v>
      </c>
      <c r="C7426" t="inlineStr"/>
      <c r="D7426" t="inlineStr">
        <is>
          <t>384</t>
        </is>
      </c>
      <c r="E7426" t="inlineStr">
        <is>
          <t>1</t>
        </is>
      </c>
      <c r="F7426" t="inlineStr">
        <is>
          <t>96</t>
        </is>
      </c>
      <c r="G7426" t="inlineStr">
        <is>
          <t>0</t>
        </is>
      </c>
      <c r="H7426" t="inlineStr">
        <is>
          <t>0</t>
        </is>
      </c>
      <c r="I7426" t="inlineStr">
        <is>
          <t>8⁸, 16², 24⁸, 48²</t>
        </is>
      </c>
      <c r="J7426" t="n">
        <v>20</v>
      </c>
      <c r="K7426" t="inlineStr">
        <is>
          <t>4⁴, 8⁶, 16²</t>
        </is>
      </c>
      <c r="L7426" t="inlineStr">
        <is>
          <t>24G¹¹</t>
        </is>
      </c>
      <c r="M7426" t="inlineStr"/>
      <c r="N7426" t="inlineStr">
        <is>
          <t>3B⁰, 24K⁵, 8A¹, 24A², 12F¹, 8D⁰, 4C⁰, 8B², 8A⁰, 2B⁰, 1A⁰, 8D¹, 8K⁰, 24C³, 8C¹, 24I², 4A⁰, 24G¹¹, 12A¹, 24R⁴, 12G², 24B⁶, 4F⁰, 6F⁰</t>
        </is>
      </c>
      <c r="O7426" t="inlineStr"/>
    </row>
    <row r="7427">
      <c r="A7427">
        <f>HYPERLINK("https://mathstats.uncg.edu/sites/pauli/congruence/csg23.html#group48B23", "48B²³")</f>
        <v/>
      </c>
      <c r="B7427" t="n">
        <v>23</v>
      </c>
      <c r="C7427" t="inlineStr"/>
      <c r="D7427" t="inlineStr">
        <is>
          <t>384</t>
        </is>
      </c>
      <c r="E7427" t="inlineStr">
        <is>
          <t>1</t>
        </is>
      </c>
      <c r="F7427" t="inlineStr">
        <is>
          <t>96</t>
        </is>
      </c>
      <c r="G7427" t="inlineStr">
        <is>
          <t>0</t>
        </is>
      </c>
      <c r="H7427" t="inlineStr">
        <is>
          <t>0</t>
        </is>
      </c>
      <c r="I7427" t="inlineStr">
        <is>
          <t>8⁸, 16², 24⁸, 48²</t>
        </is>
      </c>
      <c r="J7427" t="n">
        <v>20</v>
      </c>
      <c r="K7427" t="inlineStr">
        <is>
          <t>4⁴, 8⁶, 16²</t>
        </is>
      </c>
      <c r="L7427" t="inlineStr">
        <is>
          <t>16P³, 24F¹¹</t>
        </is>
      </c>
      <c r="M7427" t="inlineStr"/>
      <c r="N7427" t="inlineStr">
        <is>
          <t>24A², 4C⁰, 8A⁰, 16P³, 2B⁰, 1A⁰, 8K⁰, 8H¹, 24F¹¹, 12A¹, 24B⁶, 6F⁰, 3B⁰, 24B³, 8D⁰, 12F¹, 8B⁰, 8D¹, 8H⁰, 24I², 4A⁰, 24R⁴, 12G², 4F⁰, 24J⁵</t>
        </is>
      </c>
      <c r="O7427" t="inlineStr"/>
    </row>
    <row r="7428">
      <c r="A7428">
        <f>HYPERLINK("https://mathstats.uncg.edu/sites/pauli/congruence/csg23.html#group48C23", "48C²³")</f>
        <v/>
      </c>
      <c r="B7428" t="n">
        <v>23</v>
      </c>
      <c r="C7428" t="inlineStr"/>
      <c r="D7428" t="inlineStr">
        <is>
          <t>384</t>
        </is>
      </c>
      <c r="E7428" t="inlineStr">
        <is>
          <t>1</t>
        </is>
      </c>
      <c r="F7428" t="inlineStr">
        <is>
          <t>96</t>
        </is>
      </c>
      <c r="G7428" t="inlineStr">
        <is>
          <t>0</t>
        </is>
      </c>
      <c r="H7428" t="inlineStr">
        <is>
          <t>0</t>
        </is>
      </c>
      <c r="I7428" t="inlineStr">
        <is>
          <t>8⁸, 16², 24⁸, 48²</t>
        </is>
      </c>
      <c r="J7428" t="n">
        <v>20</v>
      </c>
      <c r="K7428" t="inlineStr">
        <is>
          <t>4⁴, 8⁶, 16²</t>
        </is>
      </c>
      <c r="L7428" t="inlineStr">
        <is>
          <t>16Q³, 48H¹⁰, 48I¹⁰, 24F¹¹</t>
        </is>
      </c>
      <c r="M7428" t="inlineStr"/>
      <c r="N7428" t="inlineStr">
        <is>
          <t>24A², 4C⁰, 8A⁰, 2B⁰, 8K⁰, 1A⁰, 8H¹, 24F¹¹, 48I¹⁰, 48H¹⁰, 12A¹, 24B⁶, 16Q³, 6F⁰, 16K¹, 3B⁰, 24B³, 8D⁰, 12F¹, 8B⁰, 8D¹, 8H⁰, 16L¹, 24I², 4A⁰, 24R⁴, 12G², 4F⁰, 24J⁵</t>
        </is>
      </c>
      <c r="O7428" t="inlineStr"/>
    </row>
    <row r="7429">
      <c r="A7429">
        <f>HYPERLINK("https://mathstats.uncg.edu/sites/pauli/congruence/csg23.html#group48D23", "48D²³")</f>
        <v/>
      </c>
      <c r="B7429" t="n">
        <v>23</v>
      </c>
      <c r="C7429" t="inlineStr"/>
      <c r="D7429" t="inlineStr">
        <is>
          <t>384</t>
        </is>
      </c>
      <c r="E7429" t="inlineStr">
        <is>
          <t>1</t>
        </is>
      </c>
      <c r="F7429" t="inlineStr">
        <is>
          <t>96</t>
        </is>
      </c>
      <c r="G7429" t="inlineStr">
        <is>
          <t>0</t>
        </is>
      </c>
      <c r="H7429" t="inlineStr">
        <is>
          <t>0</t>
        </is>
      </c>
      <c r="I7429" t="inlineStr">
        <is>
          <t>8⁸, 16², 24⁸, 48²</t>
        </is>
      </c>
      <c r="J7429" t="n">
        <v>20</v>
      </c>
      <c r="K7429" t="inlineStr">
        <is>
          <t>4⁴, 8⁶, 16²</t>
        </is>
      </c>
      <c r="L7429" t="inlineStr">
        <is>
          <t>16A⁴, 48H¹⁰, 48I¹⁰, 24G¹¹</t>
        </is>
      </c>
      <c r="M7429" t="inlineStr"/>
      <c r="N7429" t="inlineStr">
        <is>
          <t>16A⁴, 24A², 4C⁰, 8A⁰, 2B⁰, 8K⁰, 1A⁰, 48I¹⁰, 48H¹⁰, 24G¹¹, 12A¹, 24B⁶, 6F⁰, 16K¹, 3B⁰, 24K⁵, 8A¹, 8D⁰, 12F¹, 8B², 8D¹, 24C³, 16L¹, 8C¹, 24I², 4A⁰, 24R⁴, 12G², 4F⁰</t>
        </is>
      </c>
      <c r="O7429" t="inlineStr"/>
    </row>
    <row r="7430">
      <c r="A7430">
        <f>HYPERLINK("https://mathstats.uncg.edu/sites/pauli/congruence/csg23.html#group48E23", "48E²³")</f>
        <v/>
      </c>
      <c r="B7430" t="n">
        <v>23</v>
      </c>
      <c r="C7430" t="inlineStr"/>
      <c r="D7430" t="inlineStr">
        <is>
          <t>384</t>
        </is>
      </c>
      <c r="E7430" t="inlineStr">
        <is>
          <t>2</t>
        </is>
      </c>
      <c r="F7430" t="inlineStr">
        <is>
          <t>64</t>
        </is>
      </c>
      <c r="G7430" t="inlineStr">
        <is>
          <t>24</t>
        </is>
      </c>
      <c r="H7430" t="inlineStr">
        <is>
          <t>0</t>
        </is>
      </c>
      <c r="I7430" t="inlineStr">
        <is>
          <t>48⁸</t>
        </is>
      </c>
      <c r="J7430" t="n">
        <v>8</v>
      </c>
      <c r="K7430" t="inlineStr">
        <is>
          <t>8¹⁶</t>
        </is>
      </c>
      <c r="L7430" t="inlineStr">
        <is>
          <t>24S⁴, 16L⁵, 48AP⁹</t>
        </is>
      </c>
      <c r="M7430" t="inlineStr"/>
      <c r="N7430" t="inlineStr">
        <is>
          <t>24F¹, 12A⁰, 8F⁰, 24S⁴, 24A¹, 4A⁰, 48AP⁹, 16L⁵, 8A⁰, 8M⁰, 16G², 3A⁰, 1A⁰</t>
        </is>
      </c>
      <c r="O7430" t="inlineStr"/>
    </row>
    <row r="7431">
      <c r="A7431">
        <f>HYPERLINK("https://mathstats.uncg.edu/sites/pauli/congruence/csg23.html#group48F23", "48F²³")</f>
        <v/>
      </c>
      <c r="B7431" t="n">
        <v>23</v>
      </c>
      <c r="C7431" t="inlineStr"/>
      <c r="D7431" t="inlineStr">
        <is>
          <t>384</t>
        </is>
      </c>
      <c r="E7431" t="inlineStr">
        <is>
          <t>2</t>
        </is>
      </c>
      <c r="F7431" t="inlineStr">
        <is>
          <t>192</t>
        </is>
      </c>
      <c r="G7431" t="inlineStr">
        <is>
          <t>24</t>
        </is>
      </c>
      <c r="H7431" t="inlineStr">
        <is>
          <t>0</t>
        </is>
      </c>
      <c r="I7431" t="inlineStr">
        <is>
          <t>48⁸</t>
        </is>
      </c>
      <c r="J7431" t="n">
        <v>8</v>
      </c>
      <c r="K7431" t="inlineStr">
        <is>
          <t>8¹⁶, 16¹⁶</t>
        </is>
      </c>
      <c r="L7431" t="inlineStr">
        <is>
          <t>24T⁴, 48AP⁹</t>
        </is>
      </c>
      <c r="M7431" t="inlineStr"/>
      <c r="N7431" t="inlineStr">
        <is>
          <t>24F¹, 12A⁰, 8F⁰, 4A⁰, 48AP⁹, 24B¹, 16G², 3A⁰, 1A⁰, 24T⁴</t>
        </is>
      </c>
      <c r="O7431" t="inlineStr"/>
    </row>
    <row r="7432">
      <c r="A7432">
        <f>HYPERLINK("https://mathstats.uncg.edu/sites/pauli/congruence/csg23.html#group50A23", "50A²³")</f>
        <v/>
      </c>
      <c r="B7432" t="n">
        <v>23</v>
      </c>
      <c r="C7432" t="inlineStr"/>
      <c r="D7432" t="inlineStr">
        <is>
          <t>300</t>
        </is>
      </c>
      <c r="E7432" t="inlineStr">
        <is>
          <t>1</t>
        </is>
      </c>
      <c r="F7432" t="inlineStr">
        <is>
          <t>50</t>
        </is>
      </c>
      <c r="G7432" t="inlineStr">
        <is>
          <t>0</t>
        </is>
      </c>
      <c r="H7432" t="inlineStr">
        <is>
          <t>0</t>
        </is>
      </c>
      <c r="I7432" t="inlineStr">
        <is>
          <t>50⁶</t>
        </is>
      </c>
      <c r="J7432" t="n">
        <v>6</v>
      </c>
      <c r="K7432" t="inlineStr">
        <is>
          <t>2¹, 4², 20²</t>
        </is>
      </c>
      <c r="L7432" t="inlineStr">
        <is>
          <t>10A³, 50E⁵, 50A¹¹</t>
        </is>
      </c>
      <c r="M7432" t="inlineStr"/>
      <c r="N7432" t="inlineStr">
        <is>
          <t>2A⁰, 50E⁵, 5C⁰, 25E², 10A³, 10C¹, 2B⁰, 50A¹¹, 1A⁰, 2C⁰, 10F¹</t>
        </is>
      </c>
      <c r="O7432" t="inlineStr"/>
    </row>
    <row r="7433">
      <c r="A7433">
        <f>HYPERLINK("https://mathstats.uncg.edu/sites/pauli/congruence/csg23.html#group50B23", "50B²³")</f>
        <v/>
      </c>
      <c r="B7433" t="n">
        <v>23</v>
      </c>
      <c r="C7433" t="inlineStr"/>
      <c r="D7433" t="inlineStr">
        <is>
          <t>300</t>
        </is>
      </c>
      <c r="E7433" t="inlineStr">
        <is>
          <t>1</t>
        </is>
      </c>
      <c r="F7433" t="inlineStr">
        <is>
          <t>150</t>
        </is>
      </c>
      <c r="G7433" t="inlineStr">
        <is>
          <t>0</t>
        </is>
      </c>
      <c r="H7433" t="inlineStr">
        <is>
          <t>0</t>
        </is>
      </c>
      <c r="I7433" t="inlineStr">
        <is>
          <t>50⁶</t>
        </is>
      </c>
      <c r="J7433" t="n">
        <v>6</v>
      </c>
      <c r="K7433" t="inlineStr">
        <is>
          <t>2¹, 4⁷, 20⁶</t>
        </is>
      </c>
      <c r="L7433" t="inlineStr">
        <is>
          <t>10B³, 50E⁵, 25A¹⁰</t>
        </is>
      </c>
      <c r="M7433" t="inlineStr"/>
      <c r="N7433" t="inlineStr">
        <is>
          <t>2A⁰, 5A⁰, 10A², 5B⁰, 10A¹, 10E¹, 1A⁰, 10A⁰, 50E⁵, 25A¹⁰, 10B³, 25E², 5E⁰, 10C¹, 5C⁰, 5G⁰</t>
        </is>
      </c>
      <c r="O7433" t="inlineStr"/>
    </row>
    <row r="7434">
      <c r="A7434">
        <f>HYPERLINK("https://mathstats.uncg.edu/sites/pauli/congruence/csg23.html#group52A23", "52A²³")</f>
        <v/>
      </c>
      <c r="B7434" t="n">
        <v>23</v>
      </c>
      <c r="C7434" t="inlineStr"/>
      <c r="D7434" t="inlineStr">
        <is>
          <t>336</t>
        </is>
      </c>
      <c r="E7434" t="inlineStr">
        <is>
          <t>1</t>
        </is>
      </c>
      <c r="F7434" t="inlineStr">
        <is>
          <t>14</t>
        </is>
      </c>
      <c r="G7434" t="inlineStr">
        <is>
          <t>0</t>
        </is>
      </c>
      <c r="H7434" t="inlineStr">
        <is>
          <t>0</t>
        </is>
      </c>
      <c r="I7434" t="inlineStr">
        <is>
          <t>4⁶, 52⁶</t>
        </is>
      </c>
      <c r="J7434" t="n">
        <v>12</v>
      </c>
      <c r="K7434" t="inlineStr">
        <is>
          <t>1², 12¹</t>
        </is>
      </c>
      <c r="L7434" t="inlineStr">
        <is>
          <t>52B³, 26A⁹, 52D⁹</t>
        </is>
      </c>
      <c r="M7434" t="inlineStr"/>
      <c r="N7434" t="inlineStr">
        <is>
          <t>52B³, 2A⁰, 26A¹, 26A⁵, 13A⁰, 26A⁹, 52D⁹, 26A⁰, 26B², 1A⁰, 26B¹, 13A², 13C⁰, 13B⁰, 52A¹</t>
        </is>
      </c>
      <c r="O7434" t="inlineStr"/>
    </row>
    <row r="7435">
      <c r="A7435">
        <f>HYPERLINK("https://mathstats.uncg.edu/sites/pauli/congruence/csg23.html#group52B23", "52B²³")</f>
        <v/>
      </c>
      <c r="B7435" t="n">
        <v>23</v>
      </c>
      <c r="C7435" t="inlineStr"/>
      <c r="D7435" t="inlineStr">
        <is>
          <t>336</t>
        </is>
      </c>
      <c r="E7435" t="inlineStr">
        <is>
          <t>1</t>
        </is>
      </c>
      <c r="F7435" t="inlineStr">
        <is>
          <t>14</t>
        </is>
      </c>
      <c r="G7435" t="inlineStr">
        <is>
          <t>0</t>
        </is>
      </c>
      <c r="H7435" t="inlineStr">
        <is>
          <t>0</t>
        </is>
      </c>
      <c r="I7435" t="inlineStr">
        <is>
          <t>4⁶, 52⁶</t>
        </is>
      </c>
      <c r="J7435" t="n">
        <v>12</v>
      </c>
      <c r="K7435" t="inlineStr">
        <is>
          <t>1², 12¹</t>
        </is>
      </c>
      <c r="L7435" t="inlineStr">
        <is>
          <t>52B³, 26B⁹, 52G¹¹</t>
        </is>
      </c>
      <c r="M7435" t="inlineStr"/>
      <c r="N7435" t="inlineStr">
        <is>
          <t>52B³, 2A⁰, 26A¹, 13A⁰, 2B⁰, 26A⁰, 1A⁰, 26A², 26A⁴, 26B⁵, 26B¹, 52G¹¹, 26B⁹, 26B⁴, 13B⁰, 52A¹, 2C⁰</t>
        </is>
      </c>
      <c r="O7435" t="inlineStr"/>
    </row>
    <row r="7436">
      <c r="A7436">
        <f>HYPERLINK("https://mathstats.uncg.edu/sites/pauli/congruence/csg23.html#group52C23", "52C²³")</f>
        <v/>
      </c>
      <c r="B7436" t="n">
        <v>23</v>
      </c>
      <c r="C7436" t="inlineStr"/>
      <c r="D7436" t="inlineStr">
        <is>
          <t>336</t>
        </is>
      </c>
      <c r="E7436" t="inlineStr">
        <is>
          <t>1</t>
        </is>
      </c>
      <c r="F7436" t="inlineStr">
        <is>
          <t>14</t>
        </is>
      </c>
      <c r="G7436" t="inlineStr">
        <is>
          <t>0</t>
        </is>
      </c>
      <c r="H7436" t="inlineStr">
        <is>
          <t>0</t>
        </is>
      </c>
      <c r="I7436" t="inlineStr">
        <is>
          <t>4⁶, 52⁶</t>
        </is>
      </c>
      <c r="J7436" t="n">
        <v>12</v>
      </c>
      <c r="K7436" t="inlineStr">
        <is>
          <t>1², 12¹</t>
        </is>
      </c>
      <c r="L7436" t="inlineStr">
        <is>
          <t>4G⁰, 52B⁷, 52D¹¹, 52F¹¹</t>
        </is>
      </c>
      <c r="M7436" t="inlineStr"/>
      <c r="N7436" t="inlineStr">
        <is>
          <t>2A⁰, 26A¹, 4C⁰, 13A⁰, 52A⁵, 4G⁰, 52B⁷, 2B⁰, 4E⁰, 4B⁰, 1A⁰, 26A², 26B⁵, 52F¹¹, 52A³, 4A⁰, 4D⁰, 52B⁵, 4F⁰, 52D¹¹, 2C⁰</t>
        </is>
      </c>
      <c r="O7436" t="inlineStr"/>
    </row>
    <row r="7437">
      <c r="A7437">
        <f>HYPERLINK("https://mathstats.uncg.edu/sites/pauli/congruence/csg23.html#group52D23", "52D²³")</f>
        <v/>
      </c>
      <c r="B7437" t="n">
        <v>23</v>
      </c>
      <c r="C7437" t="inlineStr"/>
      <c r="D7437" t="inlineStr">
        <is>
          <t>336</t>
        </is>
      </c>
      <c r="E7437" t="inlineStr">
        <is>
          <t>1</t>
        </is>
      </c>
      <c r="F7437" t="inlineStr">
        <is>
          <t>42</t>
        </is>
      </c>
      <c r="G7437" t="inlineStr">
        <is>
          <t>0</t>
        </is>
      </c>
      <c r="H7437" t="inlineStr">
        <is>
          <t>0</t>
        </is>
      </c>
      <c r="I7437" t="inlineStr">
        <is>
          <t>4⁶, 52⁶</t>
        </is>
      </c>
      <c r="J7437" t="n">
        <v>12</v>
      </c>
      <c r="K7437" t="inlineStr">
        <is>
          <t>1⁶, 12³</t>
        </is>
      </c>
      <c r="L7437" t="inlineStr">
        <is>
          <t>52C¹¹, 52D¹¹, 52E¹¹</t>
        </is>
      </c>
      <c r="M7437" t="inlineStr"/>
      <c r="N7437" t="inlineStr">
        <is>
          <t>52C¹¹, 2A⁰, 52E¹¹, 26A¹, 4C⁰, 13A⁰, 52A⁵, 2B⁰, 52A⁴, 4E⁰, 4B⁰, 1A⁰, 26A², 26B⁵, 52A⁶, 52B⁵, 52D¹¹, 2C⁰</t>
        </is>
      </c>
      <c r="O7437" t="inlineStr"/>
    </row>
    <row r="7438">
      <c r="A7438">
        <f>HYPERLINK("https://mathstats.uncg.edu/sites/pauli/congruence/csg23.html#group52E23", "52E²³")</f>
        <v/>
      </c>
      <c r="B7438" t="n">
        <v>23</v>
      </c>
      <c r="C7438" t="inlineStr"/>
      <c r="D7438" t="inlineStr">
        <is>
          <t>336</t>
        </is>
      </c>
      <c r="E7438" t="inlineStr">
        <is>
          <t>1</t>
        </is>
      </c>
      <c r="F7438" t="inlineStr">
        <is>
          <t>56</t>
        </is>
      </c>
      <c r="G7438" t="inlineStr">
        <is>
          <t>0</t>
        </is>
      </c>
      <c r="H7438" t="inlineStr">
        <is>
          <t>0</t>
        </is>
      </c>
      <c r="I7438" t="inlineStr">
        <is>
          <t>4⁶, 52⁶</t>
        </is>
      </c>
      <c r="J7438" t="n">
        <v>12</v>
      </c>
      <c r="K7438" t="inlineStr">
        <is>
          <t>2⁴, 24²</t>
        </is>
      </c>
      <c r="L7438" t="inlineStr">
        <is>
          <t>13A², 52A⁷, 52C⁹</t>
        </is>
      </c>
      <c r="M7438" t="inlineStr"/>
      <c r="N7438" t="inlineStr">
        <is>
          <t>52A⁷, 52A³, 4A⁰, 13A², 13A⁰, 13C⁰, 13B⁰, 52C⁹, 1A⁰</t>
        </is>
      </c>
      <c r="O7438" t="inlineStr"/>
    </row>
    <row r="7439">
      <c r="A7439">
        <f>HYPERLINK("https://mathstats.uncg.edu/sites/pauli/congruence/csg23.html#group52F23", "52F²³")</f>
        <v/>
      </c>
      <c r="B7439" t="n">
        <v>23</v>
      </c>
      <c r="C7439" t="inlineStr"/>
      <c r="D7439" t="inlineStr">
        <is>
          <t>336</t>
        </is>
      </c>
      <c r="E7439" t="inlineStr">
        <is>
          <t>1</t>
        </is>
      </c>
      <c r="F7439" t="inlineStr">
        <is>
          <t>56</t>
        </is>
      </c>
      <c r="G7439" t="inlineStr">
        <is>
          <t>0</t>
        </is>
      </c>
      <c r="H7439" t="inlineStr">
        <is>
          <t>0</t>
        </is>
      </c>
      <c r="I7439" t="inlineStr">
        <is>
          <t>4⁶, 52⁶</t>
        </is>
      </c>
      <c r="J7439" t="n">
        <v>12</v>
      </c>
      <c r="K7439" t="inlineStr">
        <is>
          <t>2⁴, 24²</t>
        </is>
      </c>
      <c r="L7439" t="inlineStr">
        <is>
          <t>26A⁵, 52B⁷, 52C⁹</t>
        </is>
      </c>
      <c r="M7439" t="inlineStr"/>
      <c r="N7439" t="inlineStr">
        <is>
          <t>2A⁰, 26A⁵, 26A¹, 52A³, 4A⁰, 4D⁰, 13A⁰, 52B⁷, 13C⁰, 52C⁹, 1A⁰</t>
        </is>
      </c>
      <c r="O7439" t="inlineStr"/>
    </row>
    <row r="7440">
      <c r="A7440">
        <f>HYPERLINK("https://mathstats.uncg.edu/sites/pauli/congruence/csg23.html#group52G23", "52G²³")</f>
        <v/>
      </c>
      <c r="B7440" t="n">
        <v>23</v>
      </c>
      <c r="C7440" t="inlineStr"/>
      <c r="D7440" t="inlineStr">
        <is>
          <t>336</t>
        </is>
      </c>
      <c r="E7440" t="inlineStr">
        <is>
          <t>1</t>
        </is>
      </c>
      <c r="F7440" t="inlineStr">
        <is>
          <t>84</t>
        </is>
      </c>
      <c r="G7440" t="inlineStr">
        <is>
          <t>0</t>
        </is>
      </c>
      <c r="H7440" t="inlineStr">
        <is>
          <t>0</t>
        </is>
      </c>
      <c r="I7440" t="inlineStr">
        <is>
          <t>4⁶, 52⁶</t>
        </is>
      </c>
      <c r="J7440" t="n">
        <v>12</v>
      </c>
      <c r="K7440" t="inlineStr">
        <is>
          <t>1⁴, 2⁴, 12², 24²</t>
        </is>
      </c>
      <c r="L7440" t="inlineStr">
        <is>
          <t>52A⁷, 52A¹¹, 52E¹¹, 52F¹¹</t>
        </is>
      </c>
      <c r="M7440" t="inlineStr"/>
      <c r="N7440" t="inlineStr">
        <is>
          <t>52A⁷, 52E¹¹, 4C⁰, 13A⁰, 2B⁰, 1A⁰, 52A¹¹, 26A², 26A⁴, 52F¹¹, 52A⁶, 52A³, 4A⁰, 52B⁵, 13B⁰, 4F⁰</t>
        </is>
      </c>
      <c r="O7440" t="inlineStr"/>
    </row>
    <row r="7441">
      <c r="A7441">
        <f>HYPERLINK("https://mathstats.uncg.edu/sites/pauli/congruence/csg23.html#group52H23", "52H²³")</f>
        <v/>
      </c>
      <c r="B7441" t="n">
        <v>23</v>
      </c>
      <c r="C7441" t="inlineStr"/>
      <c r="D7441" t="inlineStr">
        <is>
          <t>336</t>
        </is>
      </c>
      <c r="E7441" t="inlineStr">
        <is>
          <t>2</t>
        </is>
      </c>
      <c r="F7441" t="inlineStr">
        <is>
          <t>42</t>
        </is>
      </c>
      <c r="G7441" t="inlineStr">
        <is>
          <t>0</t>
        </is>
      </c>
      <c r="H7441" t="inlineStr">
        <is>
          <t>0</t>
        </is>
      </c>
      <c r="I7441" t="inlineStr">
        <is>
          <t>4⁶, 52⁶</t>
        </is>
      </c>
      <c r="J7441" t="n">
        <v>12</v>
      </c>
      <c r="K7441" t="inlineStr">
        <is>
          <t>2⁶, 24³</t>
        </is>
      </c>
      <c r="L7441" t="inlineStr">
        <is>
          <t>52E⁹, 52B¹¹, 52G¹¹</t>
        </is>
      </c>
      <c r="M7441" t="inlineStr"/>
      <c r="N7441" t="inlineStr">
        <is>
          <t>52A⁶, 52B¹¹, 52G¹¹, 52A⁵, 13A⁰, 26B⁴, 2B⁰, 26A⁰, 52A¹, 52E⁹, 4B⁰, 1A⁰, 26A²</t>
        </is>
      </c>
      <c r="O7441" t="inlineStr"/>
    </row>
    <row r="7442">
      <c r="A7442">
        <f>HYPERLINK("https://mathstats.uncg.edu/sites/pauli/congruence/csg23.html#group56A23", "56A²³")</f>
        <v/>
      </c>
      <c r="B7442" t="n">
        <v>23</v>
      </c>
      <c r="C7442" t="inlineStr"/>
      <c r="D7442" t="inlineStr">
        <is>
          <t>336</t>
        </is>
      </c>
      <c r="E7442" t="inlineStr">
        <is>
          <t>2</t>
        </is>
      </c>
      <c r="F7442" t="inlineStr">
        <is>
          <t>21</t>
        </is>
      </c>
      <c r="G7442" t="inlineStr">
        <is>
          <t>0</t>
        </is>
      </c>
      <c r="H7442" t="inlineStr">
        <is>
          <t>0</t>
        </is>
      </c>
      <c r="I7442" t="inlineStr">
        <is>
          <t>14⁸, 56⁴</t>
        </is>
      </c>
      <c r="J7442" t="n">
        <v>12</v>
      </c>
      <c r="K7442" t="inlineStr">
        <is>
          <t>2³, 6⁶</t>
        </is>
      </c>
      <c r="L7442" t="inlineStr">
        <is>
          <t>56A¹⁰, 28C¹¹, 56B¹¹, 56C¹¹, 56A¹², 56B¹², 56C¹²</t>
        </is>
      </c>
      <c r="M7442" t="inlineStr"/>
      <c r="N7442" t="inlineStr">
        <is>
          <t>2A⁰, 56B⁵, 14A⁰, 56C⁵, 56C⁶, 28B⁶, 28C⁴, 14B¹, 14B³, 4C⁰, 14A¹, 14C², 28A³, 2B⁰, 4E⁰, 8C⁰, 4B⁰, 1A⁰, 56A¹⁰, 14D¹, 14A², 8G⁰, 7C⁰, 56C¹², 28C⁶, 28B³, 7A⁰, 56A¹², 56C¹¹, 8D⁰, 14D⁵, 56B¹², 28C¹¹, 28A⁵, 28B⁵, 56B¹¹, 28C², 56B⁶, 28A⁶, 2C⁰, 28B²</t>
        </is>
      </c>
      <c r="O7442" t="inlineStr"/>
    </row>
    <row r="7443">
      <c r="A7443">
        <f>HYPERLINK("https://mathstats.uncg.edu/sites/pauli/congruence/csg23.html#group56B23", "56B²³")</f>
        <v/>
      </c>
      <c r="B7443" t="n">
        <v>23</v>
      </c>
      <c r="C7443" t="inlineStr"/>
      <c r="D7443" t="inlineStr">
        <is>
          <t>336</t>
        </is>
      </c>
      <c r="E7443" t="inlineStr">
        <is>
          <t>2</t>
        </is>
      </c>
      <c r="F7443" t="inlineStr">
        <is>
          <t>28</t>
        </is>
      </c>
      <c r="G7443" t="inlineStr">
        <is>
          <t>12</t>
        </is>
      </c>
      <c r="H7443" t="inlineStr">
        <is>
          <t>0</t>
        </is>
      </c>
      <c r="I7443" t="inlineStr">
        <is>
          <t>56⁶</t>
        </is>
      </c>
      <c r="J7443" t="n">
        <v>6</v>
      </c>
      <c r="K7443" t="inlineStr">
        <is>
          <t>8², 24⁴</t>
        </is>
      </c>
      <c r="L7443" t="inlineStr">
        <is>
          <t>56D⁷, 28C⁹, 56I¹¹, 56J¹¹</t>
        </is>
      </c>
      <c r="M7443" t="inlineStr"/>
      <c r="N7443" t="inlineStr">
        <is>
          <t>28D³, 56D³, 7D⁰, 56I¹¹, 8A⁰, 28B⁴, 7G⁰, 1A⁰, 56J¹¹, 56D⁷, 4A⁰, 7C⁰, 56C³, 28A¹, 28C⁹, 7A⁰, 56A³</t>
        </is>
      </c>
      <c r="O7443" t="inlineStr"/>
    </row>
    <row r="7444">
      <c r="A7444">
        <f>HYPERLINK("https://mathstats.uncg.edu/sites/pauli/congruence/csg23.html#group56C23", "56C²³")</f>
        <v/>
      </c>
      <c r="B7444" t="n">
        <v>23</v>
      </c>
      <c r="C7444" t="inlineStr"/>
      <c r="D7444" t="inlineStr">
        <is>
          <t>336</t>
        </is>
      </c>
      <c r="E7444" t="inlineStr">
        <is>
          <t>2</t>
        </is>
      </c>
      <c r="F7444" t="inlineStr">
        <is>
          <t>28</t>
        </is>
      </c>
      <c r="G7444" t="inlineStr">
        <is>
          <t>12</t>
        </is>
      </c>
      <c r="H7444" t="inlineStr">
        <is>
          <t>0</t>
        </is>
      </c>
      <c r="I7444" t="inlineStr">
        <is>
          <t>56⁶</t>
        </is>
      </c>
      <c r="J7444" t="n">
        <v>6</v>
      </c>
      <c r="K7444" t="inlineStr">
        <is>
          <t>8², 24⁴</t>
        </is>
      </c>
      <c r="L7444" t="inlineStr">
        <is>
          <t>56E⁷, 28C⁹, 56I¹¹, 56K¹¹</t>
        </is>
      </c>
      <c r="M7444" t="inlineStr"/>
      <c r="N7444" t="inlineStr">
        <is>
          <t>28D³, 56D³, 56B³, 7D⁰, 56I¹¹, 8A⁰, 28B⁴, 7G⁰, 1A⁰, 56E⁷, 56K¹¹, 4A⁰, 7C⁰, 56C³, 28A¹, 28C⁹, 7A⁰</t>
        </is>
      </c>
      <c r="O7444" t="inlineStr"/>
    </row>
    <row r="7445">
      <c r="A7445">
        <f>HYPERLINK("https://mathstats.uncg.edu/sites/pauli/congruence/csg23.html#group56D23", "56D²³")</f>
        <v/>
      </c>
      <c r="B7445" t="n">
        <v>23</v>
      </c>
      <c r="C7445" t="inlineStr"/>
      <c r="D7445" t="inlineStr">
        <is>
          <t>336</t>
        </is>
      </c>
      <c r="E7445" t="inlineStr">
        <is>
          <t>2</t>
        </is>
      </c>
      <c r="F7445" t="inlineStr">
        <is>
          <t>42</t>
        </is>
      </c>
      <c r="G7445" t="inlineStr">
        <is>
          <t>8</t>
        </is>
      </c>
      <c r="H7445" t="inlineStr">
        <is>
          <t>0</t>
        </is>
      </c>
      <c r="I7445" t="inlineStr">
        <is>
          <t>28⁴, 56⁴</t>
        </is>
      </c>
      <c r="J7445" t="n">
        <v>8</v>
      </c>
      <c r="K7445" t="inlineStr">
        <is>
          <t>2², 4², 6⁴, 12⁴</t>
        </is>
      </c>
      <c r="L7445" t="inlineStr">
        <is>
          <t>56B¹⁰, 56C¹⁰, 28D¹¹, 56A¹¹, 56C¹¹, 56E¹², 56D¹²</t>
        </is>
      </c>
      <c r="M7445" t="inlineStr"/>
      <c r="N7445" t="inlineStr">
        <is>
          <t>28D³, 56B⁵, 56C⁵, 56A¹¹, 56C¹¹, 56B¹⁰, 14B¹, 8D⁰, 4C⁰, 8B⁰, 28C⁵, 2B⁰, 28B⁵, 1A⁰, 56A⁶, 56C¹⁰, 8H⁰, 28D¹¹, 28C², 14A², 4A⁰, 7C⁰, 56E¹², 28D⁵, 56D¹², 4F⁰, 28B³, 28A¹, 7A⁰, 56B⁴</t>
        </is>
      </c>
      <c r="O7445" t="inlineStr"/>
    </row>
    <row r="7446">
      <c r="A7446">
        <f>HYPERLINK("https://mathstats.uncg.edu/sites/pauli/congruence/csg23.html#group56E23", "56E²³")</f>
        <v/>
      </c>
      <c r="B7446" t="n">
        <v>23</v>
      </c>
      <c r="C7446" t="inlineStr"/>
      <c r="D7446" t="inlineStr">
        <is>
          <t>336</t>
        </is>
      </c>
      <c r="E7446" t="inlineStr">
        <is>
          <t>2</t>
        </is>
      </c>
      <c r="F7446" t="inlineStr">
        <is>
          <t>84</t>
        </is>
      </c>
      <c r="G7446" t="inlineStr">
        <is>
          <t>0</t>
        </is>
      </c>
      <c r="H7446" t="inlineStr">
        <is>
          <t>0</t>
        </is>
      </c>
      <c r="I7446" t="inlineStr">
        <is>
          <t>7⁴, 14², 28², 56⁴</t>
        </is>
      </c>
      <c r="J7446" t="n">
        <v>12</v>
      </c>
      <c r="K7446" t="inlineStr">
        <is>
          <t>2⁴, 4², 6⁸, 8¹, 12⁴, 24²</t>
        </is>
      </c>
      <c r="L7446" t="inlineStr">
        <is>
          <t>56B¹¹, 56F¹², 56G¹²</t>
        </is>
      </c>
      <c r="M7446" t="inlineStr"/>
      <c r="N7446" t="inlineStr">
        <is>
          <t>56C⁶, 14B¹, 28A³, 56G¹², 8C⁰, 2B⁰, 8I⁰, 4B⁰, 28A⁵, 1A⁰, 56B¹¹, 14A², 56F¹², 56B⁶, 7C⁰, 28B², 7A⁰</t>
        </is>
      </c>
      <c r="O7446" t="inlineStr"/>
    </row>
    <row r="7447">
      <c r="A7447">
        <f>HYPERLINK("https://mathstats.uncg.edu/sites/pauli/congruence/csg23.html#group56F23", "56F²³")</f>
        <v/>
      </c>
      <c r="B7447" t="n">
        <v>23</v>
      </c>
      <c r="C7447" t="inlineStr"/>
      <c r="D7447" t="inlineStr">
        <is>
          <t>336</t>
        </is>
      </c>
      <c r="E7447" t="inlineStr">
        <is>
          <t>2</t>
        </is>
      </c>
      <c r="F7447" t="inlineStr">
        <is>
          <t>84</t>
        </is>
      </c>
      <c r="G7447" t="inlineStr">
        <is>
          <t>0</t>
        </is>
      </c>
      <c r="H7447" t="inlineStr">
        <is>
          <t>0</t>
        </is>
      </c>
      <c r="I7447" t="inlineStr">
        <is>
          <t>14⁴, 28⁶, 56²</t>
        </is>
      </c>
      <c r="J7447" t="n">
        <v>12</v>
      </c>
      <c r="K7447" t="inlineStr">
        <is>
          <t>2⁸, 4², 6¹⁶, 12⁴</t>
        </is>
      </c>
      <c r="L7447" t="inlineStr">
        <is>
          <t>28C¹¹, 56H¹², 56I¹²</t>
        </is>
      </c>
      <c r="M7447" t="inlineStr"/>
      <c r="N7447" t="inlineStr">
        <is>
          <t>2A⁰, 14A⁰, 28B⁶, 28C⁴, 14B³, 14B¹, 56I¹², 4C⁰, 14A¹, 14C², 28A³, 2B⁰, 4E⁰, 4B⁰, 1A⁰, 14D¹, 56H¹², 14A², 7C⁰, 28C⁶, 28B³, 7A⁰, 14D⁵, 28C¹¹, 28A⁵, 28B⁵, 28C², 28A⁶, 8J⁰, 2C⁰, 28B²</t>
        </is>
      </c>
      <c r="O7447" t="inlineStr"/>
    </row>
    <row r="7448">
      <c r="A7448">
        <f>HYPERLINK("https://mathstats.uncg.edu/sites/pauli/congruence/csg23.html#group56G23", "56G²³")</f>
        <v/>
      </c>
      <c r="B7448" t="n">
        <v>23</v>
      </c>
      <c r="C7448" t="inlineStr"/>
      <c r="D7448" t="inlineStr">
        <is>
          <t>336</t>
        </is>
      </c>
      <c r="E7448" t="inlineStr">
        <is>
          <t>2</t>
        </is>
      </c>
      <c r="F7448" t="inlineStr">
        <is>
          <t>84</t>
        </is>
      </c>
      <c r="G7448" t="inlineStr">
        <is>
          <t>4</t>
        </is>
      </c>
      <c r="H7448" t="inlineStr">
        <is>
          <t>0</t>
        </is>
      </c>
      <c r="I7448" t="inlineStr">
        <is>
          <t>28⁸, 56²</t>
        </is>
      </c>
      <c r="J7448" t="n">
        <v>10</v>
      </c>
      <c r="K7448" t="inlineStr">
        <is>
          <t>4², 8², 12⁴, 24⁴</t>
        </is>
      </c>
      <c r="L7448" t="inlineStr">
        <is>
          <t>28D¹¹, 56F¹¹, 56G¹¹</t>
        </is>
      </c>
      <c r="M7448" t="inlineStr"/>
      <c r="N7448" t="inlineStr">
        <is>
          <t>28D³, 56G¹¹, 14B¹, 4C⁰, 28C⁵, 2B⁰, 28B⁵, 1A⁰, 8K⁰, 28C², 28D¹¹, 14A², 56F¹¹, 4A⁰, 7C⁰, 28D⁵, 4F⁰, 28B³, 28A¹, 7A⁰</t>
        </is>
      </c>
      <c r="O7448" t="inlineStr"/>
    </row>
    <row r="7449">
      <c r="A7449">
        <f>HYPERLINK("https://mathstats.uncg.edu/sites/pauli/congruence/csg23.html#group56H23", "56H²³")</f>
        <v/>
      </c>
      <c r="B7449" t="n">
        <v>23</v>
      </c>
      <c r="C7449" t="inlineStr"/>
      <c r="D7449" t="inlineStr">
        <is>
          <t>336</t>
        </is>
      </c>
      <c r="E7449" t="inlineStr">
        <is>
          <t>2</t>
        </is>
      </c>
      <c r="F7449" t="inlineStr">
        <is>
          <t>84</t>
        </is>
      </c>
      <c r="G7449" t="inlineStr">
        <is>
          <t>8</t>
        </is>
      </c>
      <c r="H7449" t="inlineStr">
        <is>
          <t>0</t>
        </is>
      </c>
      <c r="I7449" t="inlineStr">
        <is>
          <t>28⁴, 56⁴</t>
        </is>
      </c>
      <c r="J7449" t="n">
        <v>8</v>
      </c>
      <c r="K7449" t="inlineStr">
        <is>
          <t>2⁴, 4², 6⁸, 8¹, 12⁴, 24²</t>
        </is>
      </c>
      <c r="L7449" t="inlineStr">
        <is>
          <t>56D¹⁰, 56E¹⁰, 56A¹¹</t>
        </is>
      </c>
      <c r="M7449" t="inlineStr"/>
      <c r="N7449" t="inlineStr">
        <is>
          <t>56A¹¹, 56E¹⁰, 14B¹, 4C⁰, 8B⁰, 8L⁰, 2B⁰, 56D¹⁰, 28B⁵, 1A⁰, 56A⁶, 28C², 14A², 7C⁰, 28B³, 7A⁰, 56B⁴</t>
        </is>
      </c>
      <c r="O7449" t="inlineStr"/>
    </row>
    <row r="7450">
      <c r="A7450">
        <f>HYPERLINK("https://mathstats.uncg.edu/sites/pauli/congruence/csg23.html#group56I23", "56I²³")</f>
        <v/>
      </c>
      <c r="B7450" t="n">
        <v>23</v>
      </c>
      <c r="C7450" t="inlineStr"/>
      <c r="D7450" t="inlineStr">
        <is>
          <t>336</t>
        </is>
      </c>
      <c r="E7450" t="inlineStr">
        <is>
          <t>2</t>
        </is>
      </c>
      <c r="F7450" t="inlineStr">
        <is>
          <t>84</t>
        </is>
      </c>
      <c r="G7450" t="inlineStr">
        <is>
          <t>12</t>
        </is>
      </c>
      <c r="H7450" t="inlineStr">
        <is>
          <t>0</t>
        </is>
      </c>
      <c r="I7450" t="inlineStr">
        <is>
          <t>56⁶</t>
        </is>
      </c>
      <c r="J7450" t="n">
        <v>6</v>
      </c>
      <c r="K7450" t="inlineStr">
        <is>
          <t>4², 8², 12⁴, 24⁴</t>
        </is>
      </c>
      <c r="L7450" t="inlineStr">
        <is>
          <t>56C¹⁰, 56F¹¹, 56J¹²</t>
        </is>
      </c>
      <c r="M7450" t="inlineStr"/>
      <c r="N7450" t="inlineStr">
        <is>
          <t>56C⁵, 56B³, 14B¹, 8D⁰, 4C⁰, 8B⁰, 56J¹², 2B⁰, 1A⁰, 56C¹⁰, 8H⁰, 28C², 56A³, 56F¹¹, 4A⁰, 28D⁵, 4F⁰, 28A¹, 7A⁰, 56B⁴</t>
        </is>
      </c>
      <c r="O7450" t="inlineStr"/>
    </row>
    <row r="7451">
      <c r="A7451">
        <f>HYPERLINK("https://mathstats.uncg.edu/sites/pauli/congruence/csg23.html#group56J23", "56J²³")</f>
        <v/>
      </c>
      <c r="B7451" t="n">
        <v>23</v>
      </c>
      <c r="C7451" t="inlineStr"/>
      <c r="D7451" t="inlineStr">
        <is>
          <t>336</t>
        </is>
      </c>
      <c r="E7451" t="inlineStr">
        <is>
          <t>2</t>
        </is>
      </c>
      <c r="F7451" t="inlineStr">
        <is>
          <t>84</t>
        </is>
      </c>
      <c r="G7451" t="inlineStr">
        <is>
          <t>12</t>
        </is>
      </c>
      <c r="H7451" t="inlineStr">
        <is>
          <t>0</t>
        </is>
      </c>
      <c r="I7451" t="inlineStr">
        <is>
          <t>56⁶</t>
        </is>
      </c>
      <c r="J7451" t="n">
        <v>6</v>
      </c>
      <c r="K7451" t="inlineStr">
        <is>
          <t>4², 8², 12⁴, 24⁴</t>
        </is>
      </c>
      <c r="L7451" t="inlineStr">
        <is>
          <t>8H¹, 56C¹⁰, 56G¹¹, 56K¹²</t>
        </is>
      </c>
      <c r="M7451" t="inlineStr"/>
      <c r="N7451" t="inlineStr">
        <is>
          <t>56G¹¹, 56C⁵, 56D³, 14B¹, 8D⁰, 4C⁰, 8B⁰, 8A⁰, 2B⁰, 1A⁰, 8K⁰, 8H¹, 8D¹, 56C¹⁰, 8H⁰, 28C², 4A⁰, 28D⁵, 56C³, 4F⁰, 28A¹, 56K¹², 7A⁰, 56B⁴</t>
        </is>
      </c>
      <c r="O7451" t="inlineStr"/>
    </row>
    <row r="7452">
      <c r="A7452">
        <f>HYPERLINK("https://mathstats.uncg.edu/sites/pauli/congruence/csg23.html#group56K23", "56K²³")</f>
        <v/>
      </c>
      <c r="B7452" t="n">
        <v>23</v>
      </c>
      <c r="C7452" t="inlineStr"/>
      <c r="D7452" t="inlineStr">
        <is>
          <t>336</t>
        </is>
      </c>
      <c r="E7452" t="inlineStr">
        <is>
          <t>2</t>
        </is>
      </c>
      <c r="F7452" t="inlineStr">
        <is>
          <t>84</t>
        </is>
      </c>
      <c r="G7452" t="inlineStr">
        <is>
          <t>12</t>
        </is>
      </c>
      <c r="H7452" t="inlineStr">
        <is>
          <t>0</t>
        </is>
      </c>
      <c r="I7452" t="inlineStr">
        <is>
          <t>56⁶</t>
        </is>
      </c>
      <c r="J7452" t="n">
        <v>6</v>
      </c>
      <c r="K7452" t="inlineStr">
        <is>
          <t>24¹⁴</t>
        </is>
      </c>
      <c r="L7452" t="inlineStr">
        <is>
          <t>28C⁹, 56H¹¹, 56J¹¹</t>
        </is>
      </c>
      <c r="M7452" t="inlineStr"/>
      <c r="N7452" t="inlineStr">
        <is>
          <t>28D³, 56J¹¹, 7D⁰, 4A⁰, 7C⁰, 7G⁰, 28B⁴, 28A¹, 1A⁰, 28C⁹, 56H¹¹, 7A⁰, 56A³</t>
        </is>
      </c>
      <c r="O7452" t="inlineStr"/>
    </row>
    <row r="7453">
      <c r="A7453">
        <f>HYPERLINK("https://mathstats.uncg.edu/sites/pauli/congruence/csg23.html#group56L23", "56L²³")</f>
        <v/>
      </c>
      <c r="B7453" t="n">
        <v>23</v>
      </c>
      <c r="C7453" t="inlineStr"/>
      <c r="D7453" t="inlineStr">
        <is>
          <t>336</t>
        </is>
      </c>
      <c r="E7453" t="inlineStr">
        <is>
          <t>2</t>
        </is>
      </c>
      <c r="F7453" t="inlineStr">
        <is>
          <t>84</t>
        </is>
      </c>
      <c r="G7453" t="inlineStr">
        <is>
          <t>12</t>
        </is>
      </c>
      <c r="H7453" t="inlineStr">
        <is>
          <t>0</t>
        </is>
      </c>
      <c r="I7453" t="inlineStr">
        <is>
          <t>56⁶</t>
        </is>
      </c>
      <c r="J7453" t="n">
        <v>6</v>
      </c>
      <c r="K7453" t="inlineStr">
        <is>
          <t>24¹⁴</t>
        </is>
      </c>
      <c r="L7453" t="inlineStr">
        <is>
          <t>28C⁹, 56H¹¹, 56K¹¹</t>
        </is>
      </c>
      <c r="M7453" t="inlineStr"/>
      <c r="N7453" t="inlineStr">
        <is>
          <t>28D³, 56B³, 7D⁰, 56K¹¹, 4A⁰, 7C⁰, 7G⁰, 28B⁴, 28A¹, 1A⁰, 28C⁹, 56H¹¹, 7A⁰</t>
        </is>
      </c>
      <c r="O7453" t="inlineStr"/>
    </row>
    <row r="7454">
      <c r="A7454">
        <f>HYPERLINK("https://mathstats.uncg.edu/sites/pauli/congruence/csg23.html#group56M23", "56M²³")</f>
        <v/>
      </c>
      <c r="B7454" t="n">
        <v>23</v>
      </c>
      <c r="C7454" t="inlineStr"/>
      <c r="D7454" t="inlineStr">
        <is>
          <t>336</t>
        </is>
      </c>
      <c r="E7454" t="inlineStr">
        <is>
          <t>2</t>
        </is>
      </c>
      <c r="F7454" t="inlineStr">
        <is>
          <t>84</t>
        </is>
      </c>
      <c r="G7454" t="inlineStr">
        <is>
          <t>12</t>
        </is>
      </c>
      <c r="H7454" t="inlineStr">
        <is>
          <t>0</t>
        </is>
      </c>
      <c r="I7454" t="inlineStr">
        <is>
          <t>56⁶</t>
        </is>
      </c>
      <c r="J7454" t="n">
        <v>6</v>
      </c>
      <c r="K7454" t="inlineStr">
        <is>
          <t>2², 4¹, 6⁴, 8², 12², 24⁴</t>
        </is>
      </c>
      <c r="L7454" t="inlineStr">
        <is>
          <t>56C¹⁰</t>
        </is>
      </c>
      <c r="M7454" t="inlineStr"/>
      <c r="N7454" t="inlineStr">
        <is>
          <t>56C⁵, 14B¹, 8D⁰, 4C⁰, 8B⁰, 2B⁰, 1A⁰, 56C¹⁰, 8H⁰, 28C², 4A⁰, 28D⁵, 4F⁰, 28A¹, 7A⁰, 56B⁴</t>
        </is>
      </c>
      <c r="O7454" t="inlineStr"/>
    </row>
    <row r="7455">
      <c r="A7455">
        <f>HYPERLINK("https://mathstats.uncg.edu/sites/pauli/congruence/csg23.html#group56N23", "56N²³")</f>
        <v/>
      </c>
      <c r="B7455" t="n">
        <v>23</v>
      </c>
      <c r="C7455" t="inlineStr"/>
      <c r="D7455" t="inlineStr">
        <is>
          <t>336</t>
        </is>
      </c>
      <c r="E7455" t="inlineStr">
        <is>
          <t>2</t>
        </is>
      </c>
      <c r="F7455" t="inlineStr">
        <is>
          <t>84</t>
        </is>
      </c>
      <c r="G7455" t="inlineStr">
        <is>
          <t>12</t>
        </is>
      </c>
      <c r="H7455" t="inlineStr">
        <is>
          <t>0</t>
        </is>
      </c>
      <c r="I7455" t="inlineStr">
        <is>
          <t>56⁶</t>
        </is>
      </c>
      <c r="J7455" t="n">
        <v>6</v>
      </c>
      <c r="K7455" t="inlineStr">
        <is>
          <t>2², 4¹, 6⁴, 8², 12², 24⁴</t>
        </is>
      </c>
      <c r="L7455" t="inlineStr">
        <is>
          <t>8I¹, 56H⁶, 56C¹⁰</t>
        </is>
      </c>
      <c r="M7455" t="inlineStr"/>
      <c r="N7455" t="inlineStr">
        <is>
          <t>56C⁵, 14B¹, 8D⁰, 4C⁰, 56H⁶, 8B⁰, 2B⁰, 1A⁰, 56C¹⁰, 8H⁰, 28C², 8F⁰, 4A⁰, 8I¹, 28D⁵, 4F⁰, 28A¹, 7A⁰, 56B⁴</t>
        </is>
      </c>
      <c r="O7455" t="inlineStr"/>
    </row>
    <row r="7456">
      <c r="A7456">
        <f>HYPERLINK("https://mathstats.uncg.edu/sites/pauli/congruence/csg23.html#group56O23", "56O²³")</f>
        <v/>
      </c>
      <c r="B7456" t="n">
        <v>23</v>
      </c>
      <c r="C7456" t="inlineStr"/>
      <c r="D7456" t="inlineStr">
        <is>
          <t>384</t>
        </is>
      </c>
      <c r="E7456" t="inlineStr">
        <is>
          <t>1</t>
        </is>
      </c>
      <c r="F7456" t="inlineStr">
        <is>
          <t>24</t>
        </is>
      </c>
      <c r="G7456" t="inlineStr">
        <is>
          <t>0</t>
        </is>
      </c>
      <c r="H7456" t="inlineStr">
        <is>
          <t>0</t>
        </is>
      </c>
      <c r="I7456" t="inlineStr">
        <is>
          <t>4⁸, 8², 28⁸, 56²</t>
        </is>
      </c>
      <c r="J7456" t="n">
        <v>20</v>
      </c>
      <c r="K7456" t="inlineStr">
        <is>
          <t>1⁶, 6³</t>
        </is>
      </c>
      <c r="L7456" t="inlineStr">
        <is>
          <t>28E¹¹, 56Q¹¹</t>
        </is>
      </c>
      <c r="M7456" t="inlineStr"/>
      <c r="N7456" t="inlineStr">
        <is>
          <t>2A⁰, 28D², 4C⁰, 4G⁰, 2B⁰, 4E⁰, 14E², 28E³, 4B⁰, 28G⁶, 1A⁰, 28A², 56Q¹¹, 28E⁵, 28E¹¹, 7B⁰, 4A⁰, 4D⁰, 14C¹, 14B⁰, 4F⁰, 28C³, 2C⁰</t>
        </is>
      </c>
      <c r="O7456" t="inlineStr"/>
    </row>
    <row r="7457">
      <c r="A7457">
        <f>HYPERLINK("https://mathstats.uncg.edu/sites/pauli/congruence/csg23.html#group56P23", "56P²³")</f>
        <v/>
      </c>
      <c r="B7457" t="n">
        <v>23</v>
      </c>
      <c r="C7457" t="inlineStr"/>
      <c r="D7457" t="inlineStr">
        <is>
          <t>384</t>
        </is>
      </c>
      <c r="E7457" t="inlineStr">
        <is>
          <t>1</t>
        </is>
      </c>
      <c r="F7457" t="inlineStr">
        <is>
          <t>24</t>
        </is>
      </c>
      <c r="G7457" t="inlineStr">
        <is>
          <t>0</t>
        </is>
      </c>
      <c r="H7457" t="inlineStr">
        <is>
          <t>0</t>
        </is>
      </c>
      <c r="I7457" t="inlineStr">
        <is>
          <t>4⁸, 8², 28⁸, 56²</t>
        </is>
      </c>
      <c r="J7457" t="n">
        <v>20</v>
      </c>
      <c r="K7457" t="inlineStr">
        <is>
          <t>1⁶, 6³</t>
        </is>
      </c>
      <c r="L7457" t="inlineStr">
        <is>
          <t>8N⁰, 28E¹¹, 56R¹¹, 56L¹²</t>
        </is>
      </c>
      <c r="M7457" t="inlineStr"/>
      <c r="N7457" t="inlineStr">
        <is>
          <t>2A⁰, 8N⁰, 4C⁰, 56L¹², 28D², 4G⁰, 2B⁰, 4E⁰, 14E², 28G⁶, 4B⁰, 28E³, 8K⁰, 1A⁰, 28A², 28E⁵, 28E¹¹, 4A⁰, 7B⁰, 4D⁰, 14C¹, 14B⁰, 56R¹¹, 4F⁰, 28C³, 8J⁰, 2C⁰</t>
        </is>
      </c>
      <c r="O7457" t="inlineStr"/>
    </row>
    <row r="7458">
      <c r="A7458">
        <f>HYPERLINK("https://mathstats.uncg.edu/sites/pauli/congruence/csg23.html#group56Q23", "56Q²³")</f>
        <v/>
      </c>
      <c r="B7458" t="n">
        <v>23</v>
      </c>
      <c r="C7458" t="inlineStr"/>
      <c r="D7458" t="inlineStr">
        <is>
          <t>384</t>
        </is>
      </c>
      <c r="E7458" t="inlineStr">
        <is>
          <t>1</t>
        </is>
      </c>
      <c r="F7458" t="inlineStr">
        <is>
          <t>48</t>
        </is>
      </c>
      <c r="G7458" t="inlineStr">
        <is>
          <t>0</t>
        </is>
      </c>
      <c r="H7458" t="inlineStr">
        <is>
          <t>0</t>
        </is>
      </c>
      <c r="I7458" t="inlineStr">
        <is>
          <t>2⁴, 4², 8⁴, 14⁴, 28², 56⁴</t>
        </is>
      </c>
      <c r="J7458" t="n">
        <v>20</v>
      </c>
      <c r="K7458" t="inlineStr">
        <is>
          <t>1⁸, 2², 6⁴, 12¹</t>
        </is>
      </c>
      <c r="L7458" t="inlineStr">
        <is>
          <t>56M¹¹, 56O¹¹, 56Q¹¹</t>
        </is>
      </c>
      <c r="M7458" t="inlineStr"/>
      <c r="N7458" t="inlineStr">
        <is>
          <t>2A⁰, 8D⁰, 28D², 4C⁰, 56O¹¹, 8C⁰, 2B⁰, 4E⁰, 14E², 4B⁰, 56D⁵, 1A⁰, 56M¹¹, 56Q¹¹, 28E⁵, 8G⁰, 7B⁰, 14C¹, 14B⁰, 28C³, 56E⁶, 2C⁰</t>
        </is>
      </c>
      <c r="O7458" t="inlineStr"/>
    </row>
    <row r="7459">
      <c r="A7459">
        <f>HYPERLINK("https://mathstats.uncg.edu/sites/pauli/congruence/csg23.html#group56R23", "56R²³")</f>
        <v/>
      </c>
      <c r="B7459" t="n">
        <v>23</v>
      </c>
      <c r="C7459" t="inlineStr"/>
      <c r="D7459" t="inlineStr">
        <is>
          <t>384</t>
        </is>
      </c>
      <c r="E7459" t="inlineStr">
        <is>
          <t>1</t>
        </is>
      </c>
      <c r="F7459" t="inlineStr">
        <is>
          <t>48</t>
        </is>
      </c>
      <c r="G7459" t="inlineStr">
        <is>
          <t>0</t>
        </is>
      </c>
      <c r="H7459" t="inlineStr">
        <is>
          <t>0</t>
        </is>
      </c>
      <c r="I7459" t="inlineStr">
        <is>
          <t>2⁴, 4², 8⁴, 14⁴, 28², 56⁴</t>
        </is>
      </c>
      <c r="J7459" t="n">
        <v>20</v>
      </c>
      <c r="K7459" t="inlineStr">
        <is>
          <t>1⁸, 2², 6⁴, 12¹</t>
        </is>
      </c>
      <c r="L7459" t="inlineStr">
        <is>
          <t>8O⁰, 56M¹¹, 56P¹¹, 56R¹¹</t>
        </is>
      </c>
      <c r="M7459" t="inlineStr"/>
      <c r="N7459" t="inlineStr">
        <is>
          <t>2A⁰, 28C³, 8D⁰, 28D², 4C⁰, 8C⁰, 2B⁰, 8I⁰, 4E⁰, 4B⁰, 56D⁵, 1A⁰, 14E², 56M¹¹, 28E⁵, 8G⁰, 7B⁰, 56E⁶, 14C¹, 14B⁰, 56R¹¹, 56P¹¹, 8J⁰, 2C⁰, 8O⁰</t>
        </is>
      </c>
      <c r="O7459" t="inlineStr"/>
    </row>
    <row r="7460">
      <c r="A7460">
        <f>HYPERLINK("https://mathstats.uncg.edu/sites/pauli/congruence/csg23.html#group56S23", "56S²³")</f>
        <v/>
      </c>
      <c r="B7460" t="n">
        <v>23</v>
      </c>
      <c r="C7460" t="inlineStr"/>
      <c r="D7460" t="inlineStr">
        <is>
          <t>384</t>
        </is>
      </c>
      <c r="E7460" t="inlineStr">
        <is>
          <t>1</t>
        </is>
      </c>
      <c r="F7460" t="inlineStr">
        <is>
          <t>64</t>
        </is>
      </c>
      <c r="G7460" t="inlineStr">
        <is>
          <t>0</t>
        </is>
      </c>
      <c r="H7460" t="inlineStr">
        <is>
          <t>12</t>
        </is>
      </c>
      <c r="I7460" t="inlineStr">
        <is>
          <t>8⁶, 56⁶</t>
        </is>
      </c>
      <c r="J7460" t="n">
        <v>12</v>
      </c>
      <c r="K7460" t="inlineStr">
        <is>
          <t>2⁸, 12⁴</t>
        </is>
      </c>
      <c r="L7460" t="inlineStr">
        <is>
          <t>56F⁷, 28G⁹</t>
        </is>
      </c>
      <c r="M7460" t="inlineStr"/>
      <c r="N7460" t="inlineStr">
        <is>
          <t>28G⁹, 2A⁰, 56F⁷, 4A⁰, 4D⁰, 7B⁰, 14B⁰, 28E³, 14C⁰, 1A⁰, 28A²</t>
        </is>
      </c>
      <c r="O7460" t="inlineStr"/>
    </row>
    <row r="7461">
      <c r="A7461">
        <f>HYPERLINK("https://mathstats.uncg.edu/sites/pauli/congruence/csg23.html#group56T23", "56T²³")</f>
        <v/>
      </c>
      <c r="B7461" t="n">
        <v>23</v>
      </c>
      <c r="C7461" t="inlineStr"/>
      <c r="D7461" t="inlineStr">
        <is>
          <t>384</t>
        </is>
      </c>
      <c r="E7461" t="inlineStr">
        <is>
          <t>1</t>
        </is>
      </c>
      <c r="F7461" t="inlineStr">
        <is>
          <t>64</t>
        </is>
      </c>
      <c r="G7461" t="inlineStr">
        <is>
          <t>0</t>
        </is>
      </c>
      <c r="H7461" t="inlineStr">
        <is>
          <t>12</t>
        </is>
      </c>
      <c r="I7461" t="inlineStr">
        <is>
          <t>8⁶, 56⁶</t>
        </is>
      </c>
      <c r="J7461" t="n">
        <v>12</v>
      </c>
      <c r="K7461" t="inlineStr">
        <is>
          <t>2⁸, 12⁴</t>
        </is>
      </c>
      <c r="L7461" t="inlineStr">
        <is>
          <t>56G⁷, 28G⁹</t>
        </is>
      </c>
      <c r="M7461" t="inlineStr"/>
      <c r="N7461" t="inlineStr">
        <is>
          <t>56G⁷, 28G⁹, 56A⁴, 2A⁰, 7B⁰, 4A⁰, 4D⁰, 14B⁰, 8A⁰, 8E⁰, 28E³, 14C⁰, 1A⁰, 28A²</t>
        </is>
      </c>
      <c r="O7461" t="inlineStr"/>
    </row>
    <row r="7462">
      <c r="A7462">
        <f>HYPERLINK("https://mathstats.uncg.edu/sites/pauli/congruence/csg23.html#group56U23", "56U²³")</f>
        <v/>
      </c>
      <c r="B7462" t="n">
        <v>23</v>
      </c>
      <c r="C7462" t="inlineStr"/>
      <c r="D7462" t="inlineStr">
        <is>
          <t>384</t>
        </is>
      </c>
      <c r="E7462" t="inlineStr">
        <is>
          <t>1</t>
        </is>
      </c>
      <c r="F7462" t="inlineStr">
        <is>
          <t>96</t>
        </is>
      </c>
      <c r="G7462" t="inlineStr">
        <is>
          <t>0</t>
        </is>
      </c>
      <c r="H7462" t="inlineStr">
        <is>
          <t>0</t>
        </is>
      </c>
      <c r="I7462" t="inlineStr">
        <is>
          <t>2⁴, 4², 8⁴, 14⁴, 28², 56⁴</t>
        </is>
      </c>
      <c r="J7462" t="n">
        <v>20</v>
      </c>
      <c r="K7462" t="inlineStr">
        <is>
          <t>1⁸, 2⁴, 4², 6⁴, 12², 24¹</t>
        </is>
      </c>
      <c r="L7462" t="inlineStr">
        <is>
          <t>56N¹¹, 56O¹¹, 56P¹¹</t>
        </is>
      </c>
      <c r="M7462" t="inlineStr"/>
      <c r="N7462" t="inlineStr">
        <is>
          <t>28E⁴, 56D⁶, 4B⁰, 7B⁰, 28D², 14C¹, 56O¹¹, 1A⁰, 8C⁰, 2B⁰, 8I⁰, 56P¹¹, 56N¹¹, 56D⁵</t>
        </is>
      </c>
      <c r="O7462" t="inlineStr"/>
    </row>
    <row r="7463">
      <c r="A7463">
        <f>HYPERLINK("https://mathstats.uncg.edu/sites/pauli/congruence/csg23.html#group56V23", "56V²³")</f>
        <v/>
      </c>
      <c r="B7463" t="n">
        <v>23</v>
      </c>
      <c r="C7463" t="inlineStr"/>
      <c r="D7463" t="inlineStr">
        <is>
          <t>384</t>
        </is>
      </c>
      <c r="E7463" t="inlineStr">
        <is>
          <t>1</t>
        </is>
      </c>
      <c r="F7463" t="inlineStr">
        <is>
          <t>96</t>
        </is>
      </c>
      <c r="G7463" t="inlineStr">
        <is>
          <t>0</t>
        </is>
      </c>
      <c r="H7463" t="inlineStr">
        <is>
          <t>0</t>
        </is>
      </c>
      <c r="I7463" t="inlineStr">
        <is>
          <t>2⁴, 4², 8⁴, 14⁴, 28², 56⁴</t>
        </is>
      </c>
      <c r="J7463" t="n">
        <v>20</v>
      </c>
      <c r="K7463" t="inlineStr">
        <is>
          <t>1¹⁶, 2⁴, 6⁸, 12²</t>
        </is>
      </c>
      <c r="L7463" t="inlineStr">
        <is>
          <t>56L¹¹, 56Q¹¹, 56R¹¹</t>
        </is>
      </c>
      <c r="M7463" t="inlineStr"/>
      <c r="N7463" t="inlineStr">
        <is>
          <t>2A⁰, 28D², 4C⁰, 56L¹¹, 2B⁰, 4E⁰, 14E², 4B⁰, 1A⁰, 56Q¹¹, 28E⁵, 56C⁴, 56D⁶, 7B⁰, 14C¹, 14B⁰, 56R¹¹, 28C³, 8J⁰, 2C⁰</t>
        </is>
      </c>
      <c r="O7463" t="inlineStr"/>
    </row>
    <row r="7464">
      <c r="A7464">
        <f>HYPERLINK("https://mathstats.uncg.edu/sites/pauli/congruence/csg23.html#group56W23", "56W²³")</f>
        <v/>
      </c>
      <c r="B7464" t="n">
        <v>23</v>
      </c>
      <c r="C7464" t="inlineStr"/>
      <c r="D7464" t="inlineStr">
        <is>
          <t>384</t>
        </is>
      </c>
      <c r="E7464" t="inlineStr">
        <is>
          <t>1</t>
        </is>
      </c>
      <c r="F7464" t="inlineStr">
        <is>
          <t>96</t>
        </is>
      </c>
      <c r="G7464" t="inlineStr">
        <is>
          <t>0</t>
        </is>
      </c>
      <c r="H7464" t="inlineStr">
        <is>
          <t>0</t>
        </is>
      </c>
      <c r="I7464" t="inlineStr">
        <is>
          <t>4⁸, 8², 28⁸, 56²</t>
        </is>
      </c>
      <c r="J7464" t="n">
        <v>20</v>
      </c>
      <c r="K7464" t="inlineStr">
        <is>
          <t>1¹⁶, 2⁴, 6⁸, 12²</t>
        </is>
      </c>
      <c r="L7464" t="inlineStr">
        <is>
          <t>28F¹¹, 56Q¹¹, 56R¹¹</t>
        </is>
      </c>
      <c r="M7464" t="inlineStr"/>
      <c r="N7464" t="inlineStr">
        <is>
          <t>2A⁰, 28A⁰, 28F¹¹, 28D², 4C⁰, 2B⁰, 4E⁰, 14E², 28E⁶, 4B⁰, 1A⁰, 28D⁴, 56Q¹¹, 28E⁵, 7B⁰, 14C¹, 14B⁰, 56R¹¹, 28C³, 8J⁰, 2C⁰</t>
        </is>
      </c>
      <c r="O7464" t="inlineStr"/>
    </row>
    <row r="7465">
      <c r="A7465">
        <f>HYPERLINK("https://mathstats.uncg.edu/sites/pauli/congruence/csg23.html#group60A23", "60A²³")</f>
        <v/>
      </c>
      <c r="B7465" t="n">
        <v>23</v>
      </c>
      <c r="C7465" t="inlineStr"/>
      <c r="D7465" t="inlineStr">
        <is>
          <t>320</t>
        </is>
      </c>
      <c r="E7465" t="inlineStr">
        <is>
          <t>1</t>
        </is>
      </c>
      <c r="F7465" t="inlineStr">
        <is>
          <t>160</t>
        </is>
      </c>
      <c r="G7465" t="inlineStr">
        <is>
          <t>0</t>
        </is>
      </c>
      <c r="H7465" t="inlineStr">
        <is>
          <t>2</t>
        </is>
      </c>
      <c r="I7465" t="inlineStr">
        <is>
          <t>20⁴, 60⁴</t>
        </is>
      </c>
      <c r="J7465" t="n">
        <v>8</v>
      </c>
      <c r="K7465" t="inlineStr">
        <is>
          <t>4⁴, 8¹⁰, 16⁴</t>
        </is>
      </c>
      <c r="L7465" t="inlineStr">
        <is>
          <t>20O³, 30I⁵, 60A¹²</t>
        </is>
      </c>
      <c r="M7465" t="inlineStr"/>
      <c r="N7465" t="inlineStr">
        <is>
          <t>3B⁰, 20O³, 4A⁰, 10D⁰, 12A¹, 5C⁰, 1A⁰, 60A¹², 15C², 30I⁵, 20E²</t>
        </is>
      </c>
      <c r="O7465" t="inlineStr"/>
    </row>
    <row r="7466">
      <c r="A7466">
        <f>HYPERLINK("https://mathstats.uncg.edu/sites/pauli/congruence/csg23.html#group60B23", "60B²³")</f>
        <v/>
      </c>
      <c r="B7466" t="n">
        <v>23</v>
      </c>
      <c r="C7466" t="inlineStr"/>
      <c r="D7466" t="inlineStr">
        <is>
          <t>320</t>
        </is>
      </c>
      <c r="E7466" t="inlineStr">
        <is>
          <t>1</t>
        </is>
      </c>
      <c r="F7466" t="inlineStr">
        <is>
          <t>160</t>
        </is>
      </c>
      <c r="G7466" t="inlineStr">
        <is>
          <t>0</t>
        </is>
      </c>
      <c r="H7466" t="inlineStr">
        <is>
          <t>2</t>
        </is>
      </c>
      <c r="I7466" t="inlineStr">
        <is>
          <t>20⁴, 60⁴</t>
        </is>
      </c>
      <c r="J7466" t="n">
        <v>8</v>
      </c>
      <c r="K7466" t="inlineStr">
        <is>
          <t>4⁴, 8¹⁰, 16⁴</t>
        </is>
      </c>
      <c r="L7466" t="inlineStr">
        <is>
          <t>12I¹, 20A⁵, 30J⁵, 60A¹²</t>
        </is>
      </c>
      <c r="M7466" t="inlineStr"/>
      <c r="N7466" t="inlineStr">
        <is>
          <t>30J⁵, 2A⁰, 3B⁰, 12I¹, 6C⁰, 60A¹², 20A⁵, 1A⁰, 4A⁰, 4D⁰, 12A¹, 10C¹, 15C², 5C⁰, 20E²</t>
        </is>
      </c>
      <c r="O7466" t="inlineStr"/>
    </row>
    <row r="7467">
      <c r="A7467">
        <f>HYPERLINK("https://mathstats.uncg.edu/sites/pauli/congruence/csg23.html#group60C23", "60C²³")</f>
        <v/>
      </c>
      <c r="B7467" t="n">
        <v>23</v>
      </c>
      <c r="C7467" t="inlineStr"/>
      <c r="D7467" t="inlineStr">
        <is>
          <t>320</t>
        </is>
      </c>
      <c r="E7467" t="inlineStr">
        <is>
          <t>1</t>
        </is>
      </c>
      <c r="F7467" t="inlineStr">
        <is>
          <t>160</t>
        </is>
      </c>
      <c r="G7467" t="inlineStr">
        <is>
          <t>0</t>
        </is>
      </c>
      <c r="H7467" t="inlineStr">
        <is>
          <t>2</t>
        </is>
      </c>
      <c r="I7467" t="inlineStr">
        <is>
          <t>20⁴, 60⁴</t>
        </is>
      </c>
      <c r="J7467" t="n">
        <v>8</v>
      </c>
      <c r="K7467" t="inlineStr">
        <is>
          <t>4⁴, 8¹⁰, 16⁴</t>
        </is>
      </c>
      <c r="L7467" t="inlineStr">
        <is>
          <t>15G³, 20B⁵, 60A⁶, 60A¹²</t>
        </is>
      </c>
      <c r="M7467" t="inlineStr"/>
      <c r="N7467" t="inlineStr">
        <is>
          <t>3B⁰, 5A⁰, 20B⁵, 20A¹, 5F⁰, 60A¹², 60A⁶, 1A⁰, 4A⁰, 12A¹, 15G³, 15B¹, 15C², 5C⁰, 20E²</t>
        </is>
      </c>
      <c r="O7467" t="inlineStr"/>
    </row>
    <row r="7468">
      <c r="A7468">
        <f>HYPERLINK("https://mathstats.uncg.edu/sites/pauli/congruence/csg23.html#group60D23", "60D²³")</f>
        <v/>
      </c>
      <c r="B7468" t="n">
        <v>23</v>
      </c>
      <c r="C7468" t="inlineStr"/>
      <c r="D7468" t="inlineStr">
        <is>
          <t>360</t>
        </is>
      </c>
      <c r="E7468" t="inlineStr">
        <is>
          <t>1</t>
        </is>
      </c>
      <c r="F7468" t="inlineStr">
        <is>
          <t>90</t>
        </is>
      </c>
      <c r="G7468" t="inlineStr">
        <is>
          <t>8</t>
        </is>
      </c>
      <c r="H7468" t="inlineStr">
        <is>
          <t>0</t>
        </is>
      </c>
      <c r="I7468" t="inlineStr">
        <is>
          <t>15⁸, 60⁴</t>
        </is>
      </c>
      <c r="J7468" t="n">
        <v>12</v>
      </c>
      <c r="K7468" t="inlineStr">
        <is>
          <t>2³, 4⁹, 8⁶</t>
        </is>
      </c>
      <c r="L7468" t="inlineStr">
        <is>
          <t>12G⁰, 30C¹¹, 60M¹¹</t>
        </is>
      </c>
      <c r="M7468" t="inlineStr"/>
      <c r="N7468" t="inlineStr">
        <is>
          <t>30K⁵, 30C¹¹, 15D¹, 12G⁰, 60M¹¹, 5C⁰, 6G⁰, 3C⁰, 2B⁰, 12D⁰, 15C³, 3A⁰, 1A⁰, 6D⁰, 10F¹</t>
        </is>
      </c>
      <c r="O7468" t="inlineStr"/>
    </row>
    <row r="7469">
      <c r="A7469">
        <f>HYPERLINK("https://mathstats.uncg.edu/sites/pauli/congruence/csg23.html#group60E23", "60E²³")</f>
        <v/>
      </c>
      <c r="B7469" t="n">
        <v>23</v>
      </c>
      <c r="C7469" t="inlineStr"/>
      <c r="D7469" t="inlineStr">
        <is>
          <t>360</t>
        </is>
      </c>
      <c r="E7469" t="inlineStr">
        <is>
          <t>1</t>
        </is>
      </c>
      <c r="F7469" t="inlineStr">
        <is>
          <t>90</t>
        </is>
      </c>
      <c r="G7469" t="inlineStr">
        <is>
          <t>8</t>
        </is>
      </c>
      <c r="H7469" t="inlineStr">
        <is>
          <t>0</t>
        </is>
      </c>
      <c r="I7469" t="inlineStr">
        <is>
          <t>15⁸, 60⁴</t>
        </is>
      </c>
      <c r="J7469" t="n">
        <v>12</v>
      </c>
      <c r="K7469" t="inlineStr">
        <is>
          <t>2³, 4⁹, 8⁶</t>
        </is>
      </c>
      <c r="L7469" t="inlineStr">
        <is>
          <t>60C¹⁰, 30C¹¹, 60D¹²</t>
        </is>
      </c>
      <c r="M7469" t="inlineStr"/>
      <c r="N7469" t="inlineStr">
        <is>
          <t>6G⁰, 2B⁰, 15C³, 20F², 1A⁰, 60D¹², 10F¹, 30K⁵, 30C¹¹, 15D¹, 3C⁰, 3A⁰, 60C¹⁰, 5C⁰, 6D⁰</t>
        </is>
      </c>
      <c r="O7469" t="inlineStr"/>
    </row>
    <row r="7470">
      <c r="A7470">
        <f>HYPERLINK("https://mathstats.uncg.edu/sites/pauli/congruence/csg23.html#group60F23", "60F²³")</f>
        <v/>
      </c>
      <c r="B7470" t="n">
        <v>23</v>
      </c>
      <c r="C7470" t="inlineStr"/>
      <c r="D7470" t="inlineStr">
        <is>
          <t>360</t>
        </is>
      </c>
      <c r="E7470" t="inlineStr">
        <is>
          <t>1</t>
        </is>
      </c>
      <c r="F7470" t="inlineStr">
        <is>
          <t>90</t>
        </is>
      </c>
      <c r="G7470" t="inlineStr">
        <is>
          <t>16</t>
        </is>
      </c>
      <c r="H7470" t="inlineStr">
        <is>
          <t>0</t>
        </is>
      </c>
      <c r="I7470" t="inlineStr">
        <is>
          <t>30⁴, 60⁴</t>
        </is>
      </c>
      <c r="J7470" t="n">
        <v>8</v>
      </c>
      <c r="K7470" t="inlineStr">
        <is>
          <t>2³, 4⁹, 8⁶</t>
        </is>
      </c>
      <c r="L7470" t="inlineStr">
        <is>
          <t>30C¹⁰, 60M¹¹, 60E¹²</t>
        </is>
      </c>
      <c r="M7470" t="inlineStr"/>
      <c r="N7470" t="inlineStr">
        <is>
          <t>60M¹¹, 10D⁰, 2B⁰, 1A⁰, 30C¹⁰, 30F², 10F¹, 30K⁵, 15D¹, 10E², 60E¹², 12D⁰, 3A⁰, 5C⁰, 6D⁰</t>
        </is>
      </c>
      <c r="O7470" t="inlineStr"/>
    </row>
    <row r="7471">
      <c r="A7471">
        <f>HYPERLINK("https://mathstats.uncg.edu/sites/pauli/congruence/csg23.html#group60G23", "60G²³")</f>
        <v/>
      </c>
      <c r="B7471" t="n">
        <v>23</v>
      </c>
      <c r="C7471" t="inlineStr"/>
      <c r="D7471" t="inlineStr">
        <is>
          <t>360</t>
        </is>
      </c>
      <c r="E7471" t="inlineStr">
        <is>
          <t>1</t>
        </is>
      </c>
      <c r="F7471" t="inlineStr">
        <is>
          <t>90</t>
        </is>
      </c>
      <c r="G7471" t="inlineStr">
        <is>
          <t>16</t>
        </is>
      </c>
      <c r="H7471" t="inlineStr">
        <is>
          <t>0</t>
        </is>
      </c>
      <c r="I7471" t="inlineStr">
        <is>
          <t>30⁴, 60⁴</t>
        </is>
      </c>
      <c r="J7471" t="n">
        <v>8</v>
      </c>
      <c r="K7471" t="inlineStr">
        <is>
          <t>2³, 4⁹, 8⁶</t>
        </is>
      </c>
      <c r="L7471" t="inlineStr">
        <is>
          <t>30H¹⁰, 60L¹¹, 60E¹²</t>
        </is>
      </c>
      <c r="M7471" t="inlineStr"/>
      <c r="N7471" t="inlineStr">
        <is>
          <t>12C⁰, 30H¹⁰, 4C⁰, 15D², 2B⁰, 1A⁰, 20F³, 10F¹, 30K⁵, 15D¹, 60E¹², 60L¹¹, 3A⁰, 5C⁰, 6D⁰</t>
        </is>
      </c>
      <c r="O7471" t="inlineStr"/>
    </row>
    <row r="7472">
      <c r="A7472">
        <f>HYPERLINK("https://mathstats.uncg.edu/sites/pauli/congruence/csg23.html#group60H23", "60H²³")</f>
        <v/>
      </c>
      <c r="B7472" t="n">
        <v>23</v>
      </c>
      <c r="C7472" t="inlineStr"/>
      <c r="D7472" t="inlineStr">
        <is>
          <t>360</t>
        </is>
      </c>
      <c r="E7472" t="inlineStr">
        <is>
          <t>1</t>
        </is>
      </c>
      <c r="F7472" t="inlineStr">
        <is>
          <t>90</t>
        </is>
      </c>
      <c r="G7472" t="inlineStr">
        <is>
          <t>16</t>
        </is>
      </c>
      <c r="H7472" t="inlineStr">
        <is>
          <t>0</t>
        </is>
      </c>
      <c r="I7472" t="inlineStr">
        <is>
          <t>30⁴, 60⁴</t>
        </is>
      </c>
      <c r="J7472" t="n">
        <v>8</v>
      </c>
      <c r="K7472" t="inlineStr">
        <is>
          <t>2³, 4⁹, 8⁶</t>
        </is>
      </c>
      <c r="L7472" t="inlineStr">
        <is>
          <t>60C¹⁰, 30D¹¹, 60E¹²</t>
        </is>
      </c>
      <c r="M7472" t="inlineStr"/>
      <c r="N7472" t="inlineStr">
        <is>
          <t>30D¹¹, 6B⁰, 2B⁰, 20F², 30H³, 1A⁰, 10F¹, 30K⁵, 15D¹, 60E¹², 6H⁰, 3A⁰, 60C¹⁰, 5C⁰, 6D⁰</t>
        </is>
      </c>
      <c r="O7472" t="inlineStr"/>
    </row>
    <row r="7473">
      <c r="A7473">
        <f>HYPERLINK("https://mathstats.uncg.edu/sites/pauli/congruence/csg23.html#group60I23", "60I²³")</f>
        <v/>
      </c>
      <c r="B7473" t="n">
        <v>23</v>
      </c>
      <c r="C7473" t="inlineStr"/>
      <c r="D7473" t="inlineStr">
        <is>
          <t>360</t>
        </is>
      </c>
      <c r="E7473" t="inlineStr">
        <is>
          <t>1</t>
        </is>
      </c>
      <c r="F7473" t="inlineStr">
        <is>
          <t>90</t>
        </is>
      </c>
      <c r="G7473" t="inlineStr">
        <is>
          <t>16</t>
        </is>
      </c>
      <c r="H7473" t="inlineStr">
        <is>
          <t>0</t>
        </is>
      </c>
      <c r="I7473" t="inlineStr">
        <is>
          <t>30⁴, 60⁴</t>
        </is>
      </c>
      <c r="J7473" t="n">
        <v>8</v>
      </c>
      <c r="K7473" t="inlineStr">
        <is>
          <t>2³, 4⁹, 8⁶</t>
        </is>
      </c>
      <c r="L7473" t="inlineStr">
        <is>
          <t>12H⁰, 30D¹¹, 60L¹¹, 60M¹¹</t>
        </is>
      </c>
      <c r="M7473" t="inlineStr"/>
      <c r="N7473" t="inlineStr">
        <is>
          <t>30D¹¹, 6B⁰, 12C⁰, 60M¹¹, 4C⁰, 2B⁰, 12H⁰, 30H³, 1A⁰, 20F³, 10F¹, 30K⁵, 15D¹, 60L¹¹, 12D⁰, 6H⁰, 3A⁰, 5C⁰, 6D⁰</t>
        </is>
      </c>
      <c r="O7473" t="inlineStr"/>
    </row>
    <row r="7474">
      <c r="A7474">
        <f>HYPERLINK("https://mathstats.uncg.edu/sites/pauli/congruence/csg23.html#group60J23", "60J²³")</f>
        <v/>
      </c>
      <c r="B7474" t="n">
        <v>23</v>
      </c>
      <c r="C7474" t="inlineStr"/>
      <c r="D7474" t="inlineStr">
        <is>
          <t>360</t>
        </is>
      </c>
      <c r="E7474" t="inlineStr">
        <is>
          <t>1</t>
        </is>
      </c>
      <c r="F7474" t="inlineStr">
        <is>
          <t>180</t>
        </is>
      </c>
      <c r="G7474" t="inlineStr">
        <is>
          <t>20</t>
        </is>
      </c>
      <c r="H7474" t="inlineStr">
        <is>
          <t>0</t>
        </is>
      </c>
      <c r="I7474" t="inlineStr">
        <is>
          <t>60⁶</t>
        </is>
      </c>
      <c r="J7474" t="n">
        <v>6</v>
      </c>
      <c r="K7474" t="inlineStr">
        <is>
          <t>2², 4⁴, 8⁸, 16⁶</t>
        </is>
      </c>
      <c r="L7474" t="inlineStr">
        <is>
          <t>15H³, 60B¹⁰</t>
        </is>
      </c>
      <c r="M7474" t="inlineStr"/>
      <c r="N7474" t="inlineStr">
        <is>
          <t>5A⁰, 15F¹, 20A¹, 15H³, 1A⁰, 60A³, 12A⁰, 60B¹⁰, 4A⁰, 60A⁴, 5E⁰, 20D³, 3A⁰, 15A¹, 15A⁰</t>
        </is>
      </c>
      <c r="O7474" t="inlineStr"/>
    </row>
    <row r="7475">
      <c r="A7475">
        <f>HYPERLINK("https://mathstats.uncg.edu/sites/pauli/congruence/csg23.html#group60K23", "60K²³")</f>
        <v/>
      </c>
      <c r="B7475" t="n">
        <v>23</v>
      </c>
      <c r="C7475" t="inlineStr"/>
      <c r="D7475" t="inlineStr">
        <is>
          <t>360</t>
        </is>
      </c>
      <c r="E7475" t="inlineStr">
        <is>
          <t>2</t>
        </is>
      </c>
      <c r="F7475" t="inlineStr">
        <is>
          <t>30</t>
        </is>
      </c>
      <c r="G7475" t="inlineStr">
        <is>
          <t>12</t>
        </is>
      </c>
      <c r="H7475" t="inlineStr">
        <is>
          <t>0</t>
        </is>
      </c>
      <c r="I7475" t="inlineStr">
        <is>
          <t>30⁸, 60²</t>
        </is>
      </c>
      <c r="J7475" t="n">
        <v>10</v>
      </c>
      <c r="K7475" t="inlineStr">
        <is>
          <t>4³, 8⁶</t>
        </is>
      </c>
      <c r="L7475" t="inlineStr">
        <is>
          <t>20G⁵, 30C¹⁰</t>
        </is>
      </c>
      <c r="M7475" t="inlineStr"/>
      <c r="N7475" t="inlineStr">
        <is>
          <t>30K⁵, 15D¹, 30F², 10E², 20G⁵, 10D⁰, 5C⁰, 1A⁰, 2B⁰, 3A⁰, 30C¹⁰, 6D⁰, 10F¹</t>
        </is>
      </c>
      <c r="O7475" t="inlineStr"/>
    </row>
    <row r="7476">
      <c r="A7476">
        <f>HYPERLINK("https://mathstats.uncg.edu/sites/pauli/congruence/csg23.html#group60L23", "60L²³")</f>
        <v/>
      </c>
      <c r="B7476" t="n">
        <v>23</v>
      </c>
      <c r="C7476" t="inlineStr"/>
      <c r="D7476" t="inlineStr">
        <is>
          <t>360</t>
        </is>
      </c>
      <c r="E7476" t="inlineStr">
        <is>
          <t>2</t>
        </is>
      </c>
      <c r="F7476" t="inlineStr">
        <is>
          <t>90</t>
        </is>
      </c>
      <c r="G7476" t="inlineStr">
        <is>
          <t>8</t>
        </is>
      </c>
      <c r="H7476" t="inlineStr">
        <is>
          <t>0</t>
        </is>
      </c>
      <c r="I7476" t="inlineStr">
        <is>
          <t>15⁸, 60⁴</t>
        </is>
      </c>
      <c r="J7476" t="n">
        <v>12</v>
      </c>
      <c r="K7476" t="inlineStr">
        <is>
          <t>4⁹, 8¹⁸</t>
        </is>
      </c>
      <c r="L7476" t="inlineStr">
        <is>
          <t>30H¹⁰, 60M¹¹, 60D¹²</t>
        </is>
      </c>
      <c r="M7476" t="inlineStr"/>
      <c r="N7476" t="inlineStr">
        <is>
          <t>30K⁵, 15D¹, 60M¹¹, 30H¹⁰, 5C⁰, 15D², 2B⁰, 12D⁰, 3A⁰, 1A⁰, 60D¹², 6D⁰, 10F¹</t>
        </is>
      </c>
      <c r="O7476" t="inlineStr"/>
    </row>
    <row r="7477">
      <c r="A7477">
        <f>HYPERLINK("https://mathstats.uncg.edu/sites/pauli/congruence/csg23.html#group60M23", "60M²³")</f>
        <v/>
      </c>
      <c r="B7477" t="n">
        <v>23</v>
      </c>
      <c r="C7477" t="inlineStr"/>
      <c r="D7477" t="inlineStr">
        <is>
          <t>360</t>
        </is>
      </c>
      <c r="E7477" t="inlineStr">
        <is>
          <t>2</t>
        </is>
      </c>
      <c r="F7477" t="inlineStr">
        <is>
          <t>90</t>
        </is>
      </c>
      <c r="G7477" t="inlineStr">
        <is>
          <t>12</t>
        </is>
      </c>
      <c r="H7477" t="inlineStr">
        <is>
          <t>0</t>
        </is>
      </c>
      <c r="I7477" t="inlineStr">
        <is>
          <t>30⁸, 60²</t>
        </is>
      </c>
      <c r="J7477" t="n">
        <v>10</v>
      </c>
      <c r="K7477" t="inlineStr">
        <is>
          <t>4³, 8⁹, 16⁶</t>
        </is>
      </c>
      <c r="L7477" t="inlineStr">
        <is>
          <t>30C¹⁰</t>
        </is>
      </c>
      <c r="M7477" t="inlineStr"/>
      <c r="N7477" t="inlineStr">
        <is>
          <t>30K⁵, 15D¹, 30F², 10E², 10D⁰, 5C⁰, 1A⁰, 2B⁰, 3A⁰, 30C¹⁰, 6D⁰, 10F¹</t>
        </is>
      </c>
      <c r="O7477" t="inlineStr"/>
    </row>
    <row r="7478">
      <c r="A7478">
        <f>HYPERLINK("https://mathstats.uncg.edu/sites/pauli/congruence/csg23.html#group60N23", "60N²³")</f>
        <v/>
      </c>
      <c r="B7478" t="n">
        <v>23</v>
      </c>
      <c r="C7478" t="inlineStr"/>
      <c r="D7478" t="inlineStr">
        <is>
          <t>432</t>
        </is>
      </c>
      <c r="E7478" t="inlineStr">
        <is>
          <t>1</t>
        </is>
      </c>
      <c r="F7478" t="inlineStr">
        <is>
          <t>36</t>
        </is>
      </c>
      <c r="G7478" t="inlineStr">
        <is>
          <t>24</t>
        </is>
      </c>
      <c r="H7478" t="inlineStr">
        <is>
          <t>0</t>
        </is>
      </c>
      <c r="I7478" t="inlineStr">
        <is>
          <t>6⁴, 12⁴, 30⁴, 60⁴</t>
        </is>
      </c>
      <c r="J7478" t="n">
        <v>16</v>
      </c>
      <c r="K7478" t="inlineStr">
        <is>
          <t>1⁸, 2², 4⁴, 8¹</t>
        </is>
      </c>
      <c r="L7478" t="inlineStr">
        <is>
          <t>20T³, 60M⁹</t>
        </is>
      </c>
      <c r="M7478" t="inlineStr"/>
      <c r="N7478" t="inlineStr">
        <is>
          <t>30A⁰, 20E¹, 10G⁰, 12C⁰, 4C⁰, 5B⁰, 60C⁴, 2B⁰, 1A⁰, 20T³, 10B⁰, 20A⁰, 15B⁰, 30E², 20I¹, 60A⁵, 60M⁹, 10C⁰, 30H⁴, 3A⁰, 6D⁰</t>
        </is>
      </c>
      <c r="O7478" t="inlineStr"/>
    </row>
    <row r="7479">
      <c r="A7479">
        <f>HYPERLINK("https://mathstats.uncg.edu/sites/pauli/congruence/csg23.html#group60O23", "60O²³")</f>
        <v/>
      </c>
      <c r="B7479" t="n">
        <v>23</v>
      </c>
      <c r="C7479" t="inlineStr"/>
      <c r="D7479" t="inlineStr">
        <is>
          <t>432</t>
        </is>
      </c>
      <c r="E7479" t="inlineStr">
        <is>
          <t>1</t>
        </is>
      </c>
      <c r="F7479" t="inlineStr">
        <is>
          <t>54</t>
        </is>
      </c>
      <c r="G7479" t="inlineStr">
        <is>
          <t>16</t>
        </is>
      </c>
      <c r="H7479" t="inlineStr">
        <is>
          <t>0</t>
        </is>
      </c>
      <c r="I7479" t="inlineStr">
        <is>
          <t>6⁸, 12², 30⁸, 60²</t>
        </is>
      </c>
      <c r="J7479" t="n">
        <v>20</v>
      </c>
      <c r="K7479" t="inlineStr">
        <is>
          <t>2⁶, 4⁶, 8³, 16³</t>
        </is>
      </c>
      <c r="L7479" t="inlineStr">
        <is>
          <t>30R⁹, 60V¹¹</t>
        </is>
      </c>
      <c r="M7479" t="inlineStr"/>
      <c r="N7479" t="inlineStr">
        <is>
          <t>30A⁰, 6B⁰, 10G⁰, 30C¹, 30R⁹, 5B⁰, 2B⁰, 1A⁰, 30P⁵, 10B⁰, 30D¹, 15B⁰, 30E², 60V¹¹, 30I⁴, 10C⁰, 30H⁴, 6H⁰, 3A⁰, 6D⁰, 15C⁰</t>
        </is>
      </c>
      <c r="O7479" t="inlineStr"/>
    </row>
    <row r="7480">
      <c r="A7480">
        <f>HYPERLINK("https://mathstats.uncg.edu/sites/pauli/congruence/csg23.html#group60P23", "60P²³")</f>
        <v/>
      </c>
      <c r="B7480" t="n">
        <v>23</v>
      </c>
      <c r="C7480" t="inlineStr"/>
      <c r="D7480" t="inlineStr">
        <is>
          <t>432</t>
        </is>
      </c>
      <c r="E7480" t="inlineStr">
        <is>
          <t>1</t>
        </is>
      </c>
      <c r="F7480" t="inlineStr">
        <is>
          <t>54</t>
        </is>
      </c>
      <c r="G7480" t="inlineStr">
        <is>
          <t>16</t>
        </is>
      </c>
      <c r="H7480" t="inlineStr">
        <is>
          <t>0</t>
        </is>
      </c>
      <c r="I7480" t="inlineStr">
        <is>
          <t>6⁸, 12², 30⁸, 60²</t>
        </is>
      </c>
      <c r="J7480" t="n">
        <v>20</v>
      </c>
      <c r="K7480" t="inlineStr">
        <is>
          <t>2⁶, 4⁶, 8³, 16³</t>
        </is>
      </c>
      <c r="L7480" t="inlineStr">
        <is>
          <t>30R⁹, 60V¹¹</t>
        </is>
      </c>
      <c r="M7480" t="inlineStr"/>
      <c r="N7480" t="inlineStr">
        <is>
          <t>30A⁰, 6B⁰, 10G⁰, 30C¹, 30R⁹, 5B⁰, 2B⁰, 1A⁰, 30P⁵, 10B⁰, 30D¹, 15B⁰, 30E², 60V¹¹, 30I⁴, 10C⁰, 30H⁴, 6H⁰, 3A⁰, 6D⁰, 15C⁰</t>
        </is>
      </c>
      <c r="O7480" t="inlineStr"/>
    </row>
    <row r="7481">
      <c r="A7481">
        <f>HYPERLINK("https://mathstats.uncg.edu/sites/pauli/congruence/csg23.html#group60Q23", "60Q²³")</f>
        <v/>
      </c>
      <c r="B7481" t="n">
        <v>23</v>
      </c>
      <c r="C7481" t="inlineStr"/>
      <c r="D7481" t="inlineStr">
        <is>
          <t>432</t>
        </is>
      </c>
      <c r="E7481" t="inlineStr">
        <is>
          <t>1</t>
        </is>
      </c>
      <c r="F7481" t="inlineStr">
        <is>
          <t>108</t>
        </is>
      </c>
      <c r="G7481" t="inlineStr">
        <is>
          <t>8</t>
        </is>
      </c>
      <c r="H7481" t="inlineStr">
        <is>
          <t>0</t>
        </is>
      </c>
      <c r="I7481" t="inlineStr">
        <is>
          <t>3⁸, 12⁴, 15⁸, 60⁴</t>
        </is>
      </c>
      <c r="J7481" t="n">
        <v>24</v>
      </c>
      <c r="K7481" t="inlineStr">
        <is>
          <t>2¹⁸, 8⁹</t>
        </is>
      </c>
      <c r="L7481" t="inlineStr">
        <is>
          <t>30Q⁹</t>
        </is>
      </c>
      <c r="M7481" t="inlineStr"/>
      <c r="N7481" t="inlineStr">
        <is>
          <t>5B⁰, 6G⁰, 2B⁰, 30O⁵, 15H¹, 1A⁰, 15B⁰, 30E², 15E¹, 30Q⁹, 30I⁴, 10C⁰, 3C⁰, 3A⁰, 6D⁰, 15C⁰</t>
        </is>
      </c>
      <c r="O7481" t="inlineStr"/>
    </row>
    <row r="7482">
      <c r="A7482">
        <f>HYPERLINK("https://mathstats.uncg.edu/sites/pauli/congruence/csg23.html#group60R23", "60R²³")</f>
        <v/>
      </c>
      <c r="B7482" t="n">
        <v>23</v>
      </c>
      <c r="C7482" t="inlineStr"/>
      <c r="D7482" t="inlineStr">
        <is>
          <t>432</t>
        </is>
      </c>
      <c r="E7482" t="inlineStr">
        <is>
          <t>1</t>
        </is>
      </c>
      <c r="F7482" t="inlineStr">
        <is>
          <t>108</t>
        </is>
      </c>
      <c r="G7482" t="inlineStr">
        <is>
          <t>24</t>
        </is>
      </c>
      <c r="H7482" t="inlineStr">
        <is>
          <t>0</t>
        </is>
      </c>
      <c r="I7482" t="inlineStr">
        <is>
          <t>6⁴, 12⁴, 30⁴, 60⁴</t>
        </is>
      </c>
      <c r="J7482" t="n">
        <v>16</v>
      </c>
      <c r="K7482" t="inlineStr">
        <is>
          <t>1⁸, 2¹⁰, 4⁶, 8⁵, 16¹</t>
        </is>
      </c>
      <c r="L7482" t="inlineStr">
        <is>
          <t>60M⁹</t>
        </is>
      </c>
      <c r="M7482" t="inlineStr"/>
      <c r="N7482" t="inlineStr">
        <is>
          <t>30A⁰, 20E¹, 10G⁰, 12C⁰, 4C⁰, 5B⁰, 60C⁴, 2B⁰, 1A⁰, 10B⁰, 20A⁰, 15B⁰, 30E², 20I¹, 60A⁵, 60M⁹, 10C⁰, 30H⁴, 3A⁰, 6D⁰</t>
        </is>
      </c>
      <c r="O7482" t="inlineStr"/>
    </row>
    <row r="7483">
      <c r="A7483">
        <f>HYPERLINK("https://mathstats.uncg.edu/sites/pauli/congruence/csg23.html#group60S23", "60S²³")</f>
        <v/>
      </c>
      <c r="B7483" t="n">
        <v>23</v>
      </c>
      <c r="C7483" t="inlineStr"/>
      <c r="D7483" t="inlineStr">
        <is>
          <t>432</t>
        </is>
      </c>
      <c r="E7483" t="inlineStr">
        <is>
          <t>2</t>
        </is>
      </c>
      <c r="F7483" t="inlineStr">
        <is>
          <t>54</t>
        </is>
      </c>
      <c r="G7483" t="inlineStr">
        <is>
          <t>16</t>
        </is>
      </c>
      <c r="H7483" t="inlineStr">
        <is>
          <t>0</t>
        </is>
      </c>
      <c r="I7483" t="inlineStr">
        <is>
          <t>6⁸, 12², 30⁸, 60²</t>
        </is>
      </c>
      <c r="J7483" t="n">
        <v>20</v>
      </c>
      <c r="K7483" t="inlineStr">
        <is>
          <t>2⁶, 4⁶, 8³, 16³</t>
        </is>
      </c>
      <c r="L7483" t="inlineStr">
        <is>
          <t>30R⁹, 60T¹¹, 60V¹¹</t>
        </is>
      </c>
      <c r="M7483" t="inlineStr"/>
      <c r="N7483" t="inlineStr">
        <is>
          <t>30A⁰, 6B⁰, 10G⁰, 30C¹, 30R⁹, 5B⁰, 2B⁰, 20J¹, 1A⁰, 60T¹¹, 30P⁵, 10B⁰, 30D¹, 15B⁰, 30E², 60V¹¹, 30I⁴, 10C⁰, 30H⁴, 6H⁰, 3A⁰, 6D⁰, 15C⁰</t>
        </is>
      </c>
      <c r="O7483" t="inlineStr"/>
    </row>
    <row r="7484">
      <c r="A7484">
        <f>HYPERLINK("https://mathstats.uncg.edu/sites/pauli/congruence/csg23.html#group63A23", "63A²³")</f>
        <v/>
      </c>
      <c r="B7484" t="n">
        <v>23</v>
      </c>
      <c r="C7484" t="inlineStr"/>
      <c r="D7484" t="inlineStr">
        <is>
          <t>378</t>
        </is>
      </c>
      <c r="E7484" t="inlineStr">
        <is>
          <t>2</t>
        </is>
      </c>
      <c r="F7484" t="inlineStr">
        <is>
          <t>189</t>
        </is>
      </c>
      <c r="G7484" t="inlineStr">
        <is>
          <t>26</t>
        </is>
      </c>
      <c r="H7484" t="inlineStr">
        <is>
          <t>0</t>
        </is>
      </c>
      <c r="I7484" t="inlineStr">
        <is>
          <t>63⁶</t>
        </is>
      </c>
      <c r="J7484" t="n">
        <v>6</v>
      </c>
      <c r="K7484" t="inlineStr">
        <is>
          <t>6¹, 12⁴, 18², 36⁸</t>
        </is>
      </c>
      <c r="L7484" t="inlineStr">
        <is>
          <t>63F⁶, 63G⁶, 63B¹⁰</t>
        </is>
      </c>
      <c r="M7484" t="inlineStr"/>
      <c r="N7484" t="inlineStr">
        <is>
          <t>63B¹⁰, 63F⁶, 21D¹, 9A⁰, 9G⁰, 21A⁰, 63G⁶, 7A⁰, 3A⁰, 1A⁰, 63A²</t>
        </is>
      </c>
      <c r="O7484" t="inlineStr"/>
    </row>
    <row r="7485">
      <c r="A7485">
        <f>HYPERLINK("https://mathstats.uncg.edu/sites/pauli/congruence/csg23.html#group63B23", "63B²³")</f>
        <v/>
      </c>
      <c r="B7485" t="n">
        <v>23</v>
      </c>
      <c r="C7485" t="inlineStr"/>
      <c r="D7485" t="inlineStr">
        <is>
          <t>378</t>
        </is>
      </c>
      <c r="E7485" t="inlineStr">
        <is>
          <t>2</t>
        </is>
      </c>
      <c r="F7485" t="inlineStr">
        <is>
          <t>189</t>
        </is>
      </c>
      <c r="G7485" t="inlineStr">
        <is>
          <t>26</t>
        </is>
      </c>
      <c r="H7485" t="inlineStr">
        <is>
          <t>0</t>
        </is>
      </c>
      <c r="I7485" t="inlineStr">
        <is>
          <t>63⁶</t>
        </is>
      </c>
      <c r="J7485" t="n">
        <v>6</v>
      </c>
      <c r="K7485" t="inlineStr">
        <is>
          <t>6⁷, 12⁷, 36⁷</t>
        </is>
      </c>
      <c r="L7485" t="inlineStr">
        <is>
          <t>21D⁵, 63D⁷, 63E⁷, 63D⁹</t>
        </is>
      </c>
      <c r="M7485" t="inlineStr"/>
      <c r="N7485" t="inlineStr">
        <is>
          <t>21D⁵, 63D⁹, 7D⁰, 21E¹, 21D¹, 9A⁰, 63A², 21A⁰, 7A⁰, 3A⁰, 1A⁰, 63D⁷, 63E⁷</t>
        </is>
      </c>
      <c r="O7485" t="inlineStr"/>
    </row>
    <row r="7486">
      <c r="A7486">
        <f>HYPERLINK("https://mathstats.uncg.edu/sites/pauli/congruence/csg23.html#group64A23", "64A²³")</f>
        <v/>
      </c>
      <c r="B7486" t="n">
        <v>23</v>
      </c>
      <c r="C7486" t="inlineStr"/>
      <c r="D7486" t="inlineStr">
        <is>
          <t>384</t>
        </is>
      </c>
      <c r="E7486" t="inlineStr">
        <is>
          <t>1</t>
        </is>
      </c>
      <c r="F7486" t="inlineStr">
        <is>
          <t>96</t>
        </is>
      </c>
      <c r="G7486" t="inlineStr">
        <is>
          <t>0</t>
        </is>
      </c>
      <c r="H7486" t="inlineStr">
        <is>
          <t>0</t>
        </is>
      </c>
      <c r="I7486" t="inlineStr">
        <is>
          <t>8¹⁶, 64⁴</t>
        </is>
      </c>
      <c r="J7486" t="n">
        <v>20</v>
      </c>
      <c r="K7486" t="inlineStr">
        <is>
          <t>2², 4³, 8², 16⁴</t>
        </is>
      </c>
      <c r="L7486" t="inlineStr">
        <is>
          <t>32H¹¹</t>
        </is>
      </c>
      <c r="M7486" t="inlineStr"/>
      <c r="N7486" t="inlineStr">
        <is>
          <t>16D², 8A¹, 32C⁴, 16H⁵, 8D⁰, 4C⁰, 8B², 8A⁰, 32H¹¹, 32D¹, 2B⁰, 32I³, 1A⁰, 8K⁰, 8D¹, 16E⁰, 8C¹, 16B², 32C¹, 4A⁰, 16C¹, 32B⁶, 4F⁰, 16E³</t>
        </is>
      </c>
      <c r="O7486" t="inlineStr"/>
    </row>
    <row r="7487">
      <c r="A7487">
        <f>HYPERLINK("https://mathstats.uncg.edu/sites/pauli/congruence/csg23.html#group64B23", "64B²³")</f>
        <v/>
      </c>
      <c r="B7487" t="n">
        <v>23</v>
      </c>
      <c r="C7487" t="inlineStr"/>
      <c r="D7487" t="inlineStr">
        <is>
          <t>384</t>
        </is>
      </c>
      <c r="E7487" t="inlineStr">
        <is>
          <t>1</t>
        </is>
      </c>
      <c r="F7487" t="inlineStr">
        <is>
          <t>96</t>
        </is>
      </c>
      <c r="G7487" t="inlineStr">
        <is>
          <t>0</t>
        </is>
      </c>
      <c r="H7487" t="inlineStr">
        <is>
          <t>0</t>
        </is>
      </c>
      <c r="I7487" t="inlineStr">
        <is>
          <t>8¹⁶, 64⁴</t>
        </is>
      </c>
      <c r="J7487" t="n">
        <v>20</v>
      </c>
      <c r="K7487" t="inlineStr">
        <is>
          <t>1², 2⁵, 4¹, 8², 16⁴</t>
        </is>
      </c>
      <c r="L7487" t="inlineStr">
        <is>
          <t>64G⁹, 64H⁹, 32C¹¹</t>
        </is>
      </c>
      <c r="M7487" t="inlineStr"/>
      <c r="N7487" t="inlineStr">
        <is>
          <t>64G⁹, 32C¹¹, 16F⁵, 16I¹, 16C³, 8D⁰, 4C⁰, 8B⁰, 32H⁵, 16B¹, 2B⁰, 32I³, 1A⁰, 16A², 8H⁰, 16E⁰, 8F⁰, 4A⁰, 8I¹, 16C¹, 4F⁰, 64H⁹, 32P³</t>
        </is>
      </c>
      <c r="O7487" t="inlineStr"/>
    </row>
    <row r="7488">
      <c r="A7488">
        <f>HYPERLINK("https://mathstats.uncg.edu/sites/pauli/congruence/csg23.html#group66A23", "66A²³")</f>
        <v/>
      </c>
      <c r="B7488" t="n">
        <v>23</v>
      </c>
      <c r="C7488" t="inlineStr"/>
      <c r="D7488" t="inlineStr">
        <is>
          <t>330</t>
        </is>
      </c>
      <c r="E7488" t="inlineStr">
        <is>
          <t>1</t>
        </is>
      </c>
      <c r="F7488" t="inlineStr">
        <is>
          <t>165</t>
        </is>
      </c>
      <c r="G7488" t="inlineStr">
        <is>
          <t>12</t>
        </is>
      </c>
      <c r="H7488" t="inlineStr">
        <is>
          <t>0</t>
        </is>
      </c>
      <c r="I7488" t="inlineStr">
        <is>
          <t>66⁵</t>
        </is>
      </c>
      <c r="J7488" t="n">
        <v>5</v>
      </c>
      <c r="K7488" t="inlineStr">
        <is>
          <t>5¹, 10⁶, 20⁵</t>
        </is>
      </c>
      <c r="L7488" t="inlineStr">
        <is>
          <t>66A³, 33B¹⁰</t>
        </is>
      </c>
      <c r="M7488" t="inlineStr"/>
      <c r="N7488" t="inlineStr">
        <is>
          <t>11A⁰, 6B⁰, 66A³, 33A¹, 33B¹⁰, 11B¹, 3A⁰, 1A⁰</t>
        </is>
      </c>
      <c r="O7488" t="inlineStr"/>
    </row>
    <row r="7489">
      <c r="A7489">
        <f>HYPERLINK("https://mathstats.uncg.edu/sites/pauli/congruence/csg23.html#group70A23", "70A²³")</f>
        <v/>
      </c>
      <c r="B7489" t="n">
        <v>23</v>
      </c>
      <c r="C7489" t="inlineStr"/>
      <c r="D7489" t="inlineStr">
        <is>
          <t>315</t>
        </is>
      </c>
      <c r="E7489" t="inlineStr">
        <is>
          <t>1</t>
        </is>
      </c>
      <c r="F7489" t="inlineStr">
        <is>
          <t>315</t>
        </is>
      </c>
      <c r="G7489" t="inlineStr">
        <is>
          <t>5</t>
        </is>
      </c>
      <c r="H7489" t="inlineStr">
        <is>
          <t>0</t>
        </is>
      </c>
      <c r="I7489" t="inlineStr">
        <is>
          <t>35³, 70³</t>
        </is>
      </c>
      <c r="J7489" t="n">
        <v>6</v>
      </c>
      <c r="K7489" t="inlineStr">
        <is>
          <t>3³, 6⁹, 12³, 24⁹</t>
        </is>
      </c>
      <c r="L7489" t="inlineStr">
        <is>
          <t>14F², 35A⁷, 70A⁸</t>
        </is>
      </c>
      <c r="M7489" t="inlineStr"/>
      <c r="N7489" t="inlineStr">
        <is>
          <t>5A⁰, 7D⁰, 14B¹, 10B¹, 35A⁷, 70A⁸, 14F², 2B⁰, 1A⁰, 35A², 7A⁰</t>
        </is>
      </c>
      <c r="O7489" t="inlineStr"/>
    </row>
    <row r="7490">
      <c r="A7490">
        <f>HYPERLINK("https://mathstats.uncg.edu/sites/pauli/congruence/csg23.html#group72A23", "72A²³")</f>
        <v/>
      </c>
      <c r="B7490" t="n">
        <v>23</v>
      </c>
      <c r="C7490" t="inlineStr"/>
      <c r="D7490" t="inlineStr">
        <is>
          <t>288</t>
        </is>
      </c>
      <c r="E7490" t="inlineStr">
        <is>
          <t>1</t>
        </is>
      </c>
      <c r="F7490" t="inlineStr">
        <is>
          <t>12</t>
        </is>
      </c>
      <c r="G7490" t="inlineStr">
        <is>
          <t>0</t>
        </is>
      </c>
      <c r="H7490" t="inlineStr">
        <is>
          <t>0</t>
        </is>
      </c>
      <c r="I7490" t="inlineStr">
        <is>
          <t>72⁴</t>
        </is>
      </c>
      <c r="J7490" t="n">
        <v>4</v>
      </c>
      <c r="K7490" t="inlineStr">
        <is>
          <t>2², 4²</t>
        </is>
      </c>
      <c r="L7490" t="inlineStr">
        <is>
          <t>24A⁷, 72F⁹, 72E¹⁰, 72F¹⁰, 36D¹¹, 72C¹²</t>
        </is>
      </c>
      <c r="M7490" t="inlineStr"/>
      <c r="N7490" t="inlineStr">
        <is>
          <t>2A⁰, 72F¹⁰, 18A³, 72C⁴, 72E¹⁰, 72D⁴, 36A⁶, 1A⁰, 6B¹, 4D⁰, 24B⁴, 12A², 3C⁰, 36D¹¹, 6A¹, 3A⁰, 72C¹², 24G², 12G¹, 6B⁰, 24D³, 72F⁹, 36H³, 12F⁰, 12C³, 24B¹, 18A², 24A⁷, 36A¹, 12A⁰, 9D⁰, 4A⁰, 9A⁰, 18A¹, 24H², 36L⁴</t>
        </is>
      </c>
      <c r="O7490" t="inlineStr"/>
    </row>
    <row r="7491">
      <c r="A7491">
        <f>HYPERLINK("https://mathstats.uncg.edu/sites/pauli/congruence/csg23.html#group72B23", "72B²³")</f>
        <v/>
      </c>
      <c r="B7491" t="n">
        <v>23</v>
      </c>
      <c r="C7491" t="inlineStr"/>
      <c r="D7491" t="inlineStr">
        <is>
          <t>288</t>
        </is>
      </c>
      <c r="E7491" t="inlineStr">
        <is>
          <t>1</t>
        </is>
      </c>
      <c r="F7491" t="inlineStr">
        <is>
          <t>12</t>
        </is>
      </c>
      <c r="G7491" t="inlineStr">
        <is>
          <t>0</t>
        </is>
      </c>
      <c r="H7491" t="inlineStr">
        <is>
          <t>0</t>
        </is>
      </c>
      <c r="I7491" t="inlineStr">
        <is>
          <t>72⁴</t>
        </is>
      </c>
      <c r="J7491" t="n">
        <v>4</v>
      </c>
      <c r="K7491" t="inlineStr">
        <is>
          <t>2², 4²</t>
        </is>
      </c>
      <c r="L7491" t="inlineStr">
        <is>
          <t>24B⁷, 72G⁹, 72I¹⁰, 36D¹¹, 72A¹², 72B¹²</t>
        </is>
      </c>
      <c r="M7491" t="inlineStr"/>
      <c r="N7491" t="inlineStr">
        <is>
          <t>2A⁰, 8A⁰, 18A³, 72I¹⁰, 36A⁶, 1A⁰, 72A⁴, 24A¹, 6B¹, 4D⁰, 24B⁴, 12A², 3C⁰, 36D¹¹, 72B¹², 6A¹, 36L⁴, 3A⁰, 12G¹, 6B⁰, 72B⁴, 36H³, 12C³, 24A⁴, 8E⁰, 12F⁰, 18A², 24B¹, 36A¹, 24E³, 12A⁰, 9D⁰, 24K², 4A⁰, 9A⁰, 72A¹², 72G⁹, 18A¹, 24B⁷</t>
        </is>
      </c>
      <c r="O7491" t="inlineStr"/>
    </row>
    <row r="7492">
      <c r="A7492">
        <f>HYPERLINK("https://mathstats.uncg.edu/sites/pauli/congruence/csg23.html#group72C23", "72C²³")</f>
        <v/>
      </c>
      <c r="B7492" t="n">
        <v>23</v>
      </c>
      <c r="C7492" t="inlineStr"/>
      <c r="D7492" t="inlineStr">
        <is>
          <t>288</t>
        </is>
      </c>
      <c r="E7492" t="inlineStr">
        <is>
          <t>1</t>
        </is>
      </c>
      <c r="F7492" t="inlineStr">
        <is>
          <t>24</t>
        </is>
      </c>
      <c r="G7492" t="inlineStr">
        <is>
          <t>0</t>
        </is>
      </c>
      <c r="H7492" t="inlineStr">
        <is>
          <t>0</t>
        </is>
      </c>
      <c r="I7492" t="inlineStr">
        <is>
          <t>72⁴</t>
        </is>
      </c>
      <c r="J7492" t="n">
        <v>4</v>
      </c>
      <c r="K7492" t="inlineStr">
        <is>
          <t>4⁶</t>
        </is>
      </c>
      <c r="L7492" t="inlineStr">
        <is>
          <t>24B⁷, 72L¹⁰, 36E¹¹</t>
        </is>
      </c>
      <c r="M7492" t="inlineStr"/>
      <c r="N7492" t="inlineStr">
        <is>
          <t>12G¹, 2A⁰, 6B⁰, 12C³, 12F⁰, 18B¹, 24A⁴, 8A⁰, 24B¹, 8E⁰, 1A⁰, 24E³, 36N⁴, 12A⁰, 24K², 24A¹, 6B¹, 4A⁰, 18B³, 4D⁰, 24B⁴, 12A², 3C⁰, 6A¹, 72L¹⁰, 3A⁰, 36E¹¹, 24B⁷</t>
        </is>
      </c>
      <c r="O7492" t="inlineStr"/>
    </row>
    <row r="7493">
      <c r="A7493">
        <f>HYPERLINK("https://mathstats.uncg.edu/sites/pauli/congruence/csg23.html#group72D23", "72D²³")</f>
        <v/>
      </c>
      <c r="B7493" t="n">
        <v>23</v>
      </c>
      <c r="C7493" t="inlineStr"/>
      <c r="D7493" t="inlineStr">
        <is>
          <t>288</t>
        </is>
      </c>
      <c r="E7493" t="inlineStr">
        <is>
          <t>1</t>
        </is>
      </c>
      <c r="F7493" t="inlineStr">
        <is>
          <t>24</t>
        </is>
      </c>
      <c r="G7493" t="inlineStr">
        <is>
          <t>0</t>
        </is>
      </c>
      <c r="H7493" t="inlineStr">
        <is>
          <t>0</t>
        </is>
      </c>
      <c r="I7493" t="inlineStr">
        <is>
          <t>72⁴</t>
        </is>
      </c>
      <c r="J7493" t="n">
        <v>4</v>
      </c>
      <c r="K7493" t="inlineStr">
        <is>
          <t>4⁶</t>
        </is>
      </c>
      <c r="L7493" t="inlineStr">
        <is>
          <t>24A⁷, 72G¹⁰, 72H¹⁰, 36E¹¹</t>
        </is>
      </c>
      <c r="M7493" t="inlineStr"/>
      <c r="N7493" t="inlineStr">
        <is>
          <t>12G¹, 2A⁰, 72H¹⁰, 6B⁰, 24D³, 12C³, 12F⁰, 18B¹, 24B¹, 24A⁷, 1A⁰, 72G¹⁰, 36N⁴, 12A⁰, 6B¹, 4A⁰, 18B³, 4D⁰, 24B⁴, 12A², 3C⁰, 6A¹, 3A⁰, 36E¹¹, 24G², 24H²</t>
        </is>
      </c>
      <c r="O7493" t="inlineStr"/>
    </row>
    <row r="7494">
      <c r="A7494">
        <f>HYPERLINK("https://mathstats.uncg.edu/sites/pauli/congruence/csg23.html#group72E23", "72E²³")</f>
        <v/>
      </c>
      <c r="B7494" t="n">
        <v>23</v>
      </c>
      <c r="C7494" t="inlineStr"/>
      <c r="D7494" t="inlineStr">
        <is>
          <t>288</t>
        </is>
      </c>
      <c r="E7494" t="inlineStr">
        <is>
          <t>1</t>
        </is>
      </c>
      <c r="F7494" t="inlineStr">
        <is>
          <t>144</t>
        </is>
      </c>
      <c r="G7494" t="inlineStr">
        <is>
          <t>0</t>
        </is>
      </c>
      <c r="H7494" t="inlineStr">
        <is>
          <t>0</t>
        </is>
      </c>
      <c r="I7494" t="inlineStr">
        <is>
          <t>72⁴</t>
        </is>
      </c>
      <c r="J7494" t="n">
        <v>4</v>
      </c>
      <c r="K7494" t="inlineStr">
        <is>
          <t>4⁴, 8⁴, 24⁴</t>
        </is>
      </c>
      <c r="L7494" t="inlineStr">
        <is>
          <t>36A⁶, 24C⁷, 72E⁷</t>
        </is>
      </c>
      <c r="M7494" t="inlineStr"/>
      <c r="N7494" t="inlineStr">
        <is>
          <t>2A⁰, 18A², 8E¹, 36A⁶, 1A⁰, 72E⁷, 36A¹, 24F¹, 24C⁷, 12A⁰, 8F⁰, 4A⁰, 4D⁰, 9A⁰, 12A², 6A¹, 3A⁰</t>
        </is>
      </c>
      <c r="O7494" t="inlineStr"/>
    </row>
    <row r="7495">
      <c r="A7495">
        <f>HYPERLINK("https://mathstats.uncg.edu/sites/pauli/congruence/csg23.html#group72F23", "72F²³")</f>
        <v/>
      </c>
      <c r="B7495" t="n">
        <v>23</v>
      </c>
      <c r="C7495" t="inlineStr"/>
      <c r="D7495" t="inlineStr">
        <is>
          <t>288</t>
        </is>
      </c>
      <c r="E7495" t="inlineStr">
        <is>
          <t>2</t>
        </is>
      </c>
      <c r="F7495" t="inlineStr">
        <is>
          <t>12</t>
        </is>
      </c>
      <c r="G7495" t="inlineStr">
        <is>
          <t>0</t>
        </is>
      </c>
      <c r="H7495" t="inlineStr">
        <is>
          <t>0</t>
        </is>
      </c>
      <c r="I7495" t="inlineStr">
        <is>
          <t>72⁴</t>
        </is>
      </c>
      <c r="J7495" t="n">
        <v>4</v>
      </c>
      <c r="K7495" t="inlineStr">
        <is>
          <t>4², 8²</t>
        </is>
      </c>
      <c r="L7495" t="inlineStr">
        <is>
          <t>24D⁷, 72G⁹, 72F⁹, 36C¹¹, 72G¹¹, 72H¹¹, 72E¹¹, 72F¹¹</t>
        </is>
      </c>
      <c r="M7495" t="inlineStr"/>
      <c r="N7495" t="inlineStr">
        <is>
          <t>36C¹¹, 24A², 72E¹¹, 8A⁰, 72C⁴, 24D⁷, 72D⁴, 1A⁰, 9B¹, 72H¹¹, 72A⁴, 24A¹, 9A², 36E⁵, 12A¹, 3C⁰, 3A⁰, 72F¹¹, 12G¹, 3B⁰, 24D³, 72G¹¹, 12B³, 72F⁹, 72B⁴, 36H³, 24B¹, 36A¹, 24E³, 12A⁰, 9D⁰, 4A⁰, 9A⁰, 3D⁰, 72G⁹</t>
        </is>
      </c>
      <c r="O7495" t="inlineStr"/>
    </row>
    <row r="7496">
      <c r="A7496">
        <f>HYPERLINK("https://mathstats.uncg.edu/sites/pauli/congruence/csg23.html#group72G23", "72G²³")</f>
        <v/>
      </c>
      <c r="B7496" t="n">
        <v>23</v>
      </c>
      <c r="C7496" t="inlineStr"/>
      <c r="D7496" t="inlineStr">
        <is>
          <t>288</t>
        </is>
      </c>
      <c r="E7496" t="inlineStr">
        <is>
          <t>2</t>
        </is>
      </c>
      <c r="F7496" t="inlineStr">
        <is>
          <t>36</t>
        </is>
      </c>
      <c r="G7496" t="inlineStr">
        <is>
          <t>0</t>
        </is>
      </c>
      <c r="H7496" t="inlineStr">
        <is>
          <t>0</t>
        </is>
      </c>
      <c r="I7496" t="inlineStr">
        <is>
          <t>72⁴</t>
        </is>
      </c>
      <c r="J7496" t="n">
        <v>4</v>
      </c>
      <c r="K7496" t="inlineStr">
        <is>
          <t>4⁶, 12⁴</t>
        </is>
      </c>
      <c r="L7496" t="inlineStr">
        <is>
          <t>24A⁷, 72H⁸, 72I⁸, 36F¹¹, 72E¹¹, 72F¹¹, 72B¹², 72C¹²</t>
        </is>
      </c>
      <c r="M7496" t="inlineStr"/>
      <c r="N7496" t="inlineStr">
        <is>
          <t>2A⁰, 72E¹¹, 72C⁴, 72D⁴, 36A⁶, 1A⁰, 18A⁰, 9B¹, 6B¹, 4D⁰, 36E⁵, 24B⁴, 12A², 3C⁰, 6A¹, 72B¹², 3A⁰, 72C¹², 24G², 72F¹¹, 12G¹, 36D², 6B⁰, 24D³, 36F¹¹, 72B⁴, 72H⁸, 12F⁰, 12C³, 24B¹, 18A², 24A⁷, 36A¹, 72I⁸, 12A⁰, 4A⁰, 9A⁰, 18C³, 24H²</t>
        </is>
      </c>
      <c r="O7496" t="inlineStr"/>
    </row>
    <row r="7497">
      <c r="A7497">
        <f>HYPERLINK("https://mathstats.uncg.edu/sites/pauli/congruence/csg23.html#group72H23", "72H²³")</f>
        <v/>
      </c>
      <c r="B7497" t="n">
        <v>23</v>
      </c>
      <c r="C7497" t="inlineStr"/>
      <c r="D7497" t="inlineStr">
        <is>
          <t>288</t>
        </is>
      </c>
      <c r="E7497" t="inlineStr">
        <is>
          <t>2</t>
        </is>
      </c>
      <c r="F7497" t="inlineStr">
        <is>
          <t>36</t>
        </is>
      </c>
      <c r="G7497" t="inlineStr">
        <is>
          <t>0</t>
        </is>
      </c>
      <c r="H7497" t="inlineStr">
        <is>
          <t>0</t>
        </is>
      </c>
      <c r="I7497" t="inlineStr">
        <is>
          <t>72⁴</t>
        </is>
      </c>
      <c r="J7497" t="n">
        <v>4</v>
      </c>
      <c r="K7497" t="inlineStr">
        <is>
          <t>4⁶, 12⁴</t>
        </is>
      </c>
      <c r="L7497" t="inlineStr">
        <is>
          <t>24B⁷, 72J⁸, 72K⁸, 36F¹¹, 72G¹¹, 72H¹¹, 72A¹², 72C¹²</t>
        </is>
      </c>
      <c r="M7497" t="inlineStr"/>
      <c r="N7497" t="inlineStr">
        <is>
          <t>2A⁰, 8A⁰, 72C⁴, 72D⁴, 36A⁶, 1A⁰, 18A⁰, 9B¹, 72H¹¹, 72A⁴, 72K⁸, 24A¹, 6B¹, 4D⁰, 36E⁵, 24B⁴, 12A², 3C⁰, 6A¹, 3A⁰, 72C¹², 12G¹, 72J⁸, 36D², 6B⁰, 36F¹¹, 72G¹¹, 12F⁰, 12C³, 24A⁴, 8E⁰, 24B¹, 18A², 36A¹, 24E³, 12A⁰, 24K², 4A⁰, 9A⁰, 72A¹², 18C³, 24B⁷</t>
        </is>
      </c>
      <c r="O7497" t="inlineStr"/>
    </row>
    <row r="7498">
      <c r="A7498">
        <f>HYPERLINK("https://mathstats.uncg.edu/sites/pauli/congruence/csg23.html#group72I23", "72I²³")</f>
        <v/>
      </c>
      <c r="B7498" t="n">
        <v>23</v>
      </c>
      <c r="C7498" t="inlineStr"/>
      <c r="D7498" t="inlineStr">
        <is>
          <t>432</t>
        </is>
      </c>
      <c r="E7498" t="inlineStr">
        <is>
          <t>1</t>
        </is>
      </c>
      <c r="F7498" t="inlineStr">
        <is>
          <t>54</t>
        </is>
      </c>
      <c r="G7498" t="inlineStr">
        <is>
          <t>8</t>
        </is>
      </c>
      <c r="H7498" t="inlineStr">
        <is>
          <t>0</t>
        </is>
      </c>
      <c r="I7498" t="inlineStr">
        <is>
          <t>6¹², 18⁴, 24⁶, 72²</t>
        </is>
      </c>
      <c r="J7498" t="n">
        <v>24</v>
      </c>
      <c r="K7498" t="inlineStr">
        <is>
          <t>2³, 4³, 6³, 12⁶</t>
        </is>
      </c>
      <c r="L7498" t="inlineStr">
        <is>
          <t>24T⁵, 72L⁸, 36P⁹, 72D¹²</t>
        </is>
      </c>
      <c r="M7498" t="inlineStr"/>
      <c r="N7498" t="inlineStr">
        <is>
          <t>12T¹, 36I⁵, 12C⁰, 4C⁰, 6G⁰, 24M³, 2B⁰, 9E⁰, 12N¹, 1A⁰, 72L⁸, 3C⁰, 18K³, 18G¹, 36I³, 6H⁰, 3A⁰, 24I¹, 6B⁰, 18I¹, 72D¹², 12L¹, 36P⁹, 12G⁰, 12C¹, 6E⁰, 6L⁰, 24T⁵, 12D⁰, 18F¹, 12H⁰, 6D⁰</t>
        </is>
      </c>
      <c r="O7498" t="inlineStr"/>
    </row>
    <row r="7499">
      <c r="A7499">
        <f>HYPERLINK("https://mathstats.uncg.edu/sites/pauli/congruence/csg23.html#group72J23", "72J²³")</f>
        <v/>
      </c>
      <c r="B7499" t="n">
        <v>23</v>
      </c>
      <c r="C7499" t="inlineStr"/>
      <c r="D7499" t="inlineStr">
        <is>
          <t>432</t>
        </is>
      </c>
      <c r="E7499" t="inlineStr">
        <is>
          <t>1</t>
        </is>
      </c>
      <c r="F7499" t="inlineStr">
        <is>
          <t>54</t>
        </is>
      </c>
      <c r="G7499" t="inlineStr">
        <is>
          <t>8</t>
        </is>
      </c>
      <c r="H7499" t="inlineStr">
        <is>
          <t>0</t>
        </is>
      </c>
      <c r="I7499" t="inlineStr">
        <is>
          <t>6¹², 18⁴, 24⁶, 72²</t>
        </is>
      </c>
      <c r="J7499" t="n">
        <v>24</v>
      </c>
      <c r="K7499" t="inlineStr">
        <is>
          <t>2³, 4³, 6³, 12⁶</t>
        </is>
      </c>
      <c r="L7499" t="inlineStr">
        <is>
          <t>24T⁵, 72M⁸, 36P⁹, 72E¹²</t>
        </is>
      </c>
      <c r="M7499" t="inlineStr"/>
      <c r="N7499" t="inlineStr">
        <is>
          <t>12T¹, 36I⁵, 12C⁰, 4C⁰, 6G⁰, 24M³, 2B⁰, 9E⁰, 12N¹, 1A⁰, 72E¹², 3C⁰, 18K³, 18G¹, 36I³, 6H⁰, 3A⁰, 24I¹, 6B⁰, 18I¹, 72M⁸, 12L¹, 36P⁹, 12G⁰, 12C¹, 6E⁰, 6L⁰, 24T⁵, 12D⁰, 18F¹, 12H⁰, 6D⁰</t>
        </is>
      </c>
      <c r="O7499" t="inlineStr"/>
    </row>
    <row r="7500">
      <c r="A7500">
        <f>HYPERLINK("https://mathstats.uncg.edu/sites/pauli/congruence/csg23.html#group72K23", "72K²³")</f>
        <v/>
      </c>
      <c r="B7500" t="n">
        <v>23</v>
      </c>
      <c r="C7500" t="inlineStr"/>
      <c r="D7500" t="inlineStr">
        <is>
          <t>432</t>
        </is>
      </c>
      <c r="E7500" t="inlineStr">
        <is>
          <t>1</t>
        </is>
      </c>
      <c r="F7500" t="inlineStr">
        <is>
          <t>108</t>
        </is>
      </c>
      <c r="G7500" t="inlineStr">
        <is>
          <t>8</t>
        </is>
      </c>
      <c r="H7500" t="inlineStr">
        <is>
          <t>0</t>
        </is>
      </c>
      <c r="I7500" t="inlineStr">
        <is>
          <t>6¹², 18⁴, 24⁶, 72²</t>
        </is>
      </c>
      <c r="J7500" t="n">
        <v>24</v>
      </c>
      <c r="K7500" t="inlineStr">
        <is>
          <t>1², 2⁴, 3², 4², 6⁶, 12⁴</t>
        </is>
      </c>
      <c r="L7500" t="inlineStr">
        <is>
          <t>24U⁵, 36P⁹, 72I¹², 72H¹²</t>
        </is>
      </c>
      <c r="M7500" t="inlineStr"/>
      <c r="N7500" t="inlineStr">
        <is>
          <t>36I⁵, 12T¹, 24E¹, 24O², 12C⁰, 4C⁰, 6G⁰, 2B⁰, 9E⁰, 12N¹, 1A⁰, 24O³, 24N³, 24U⁵, 72H¹², 3C⁰, 18K³, 18G¹, 36I³, 6H⁰, 3A⁰, 6B⁰, 24N², 8D⁰, 18I¹, 12L¹, 36P⁹, 72I¹², 12G⁰, 12C¹, 6E⁰, 6L⁰, 24C¹, 12D⁰, 18F¹, 12H⁰, 6D⁰</t>
        </is>
      </c>
      <c r="O7500" t="inlineStr"/>
    </row>
    <row r="7501">
      <c r="A7501">
        <f>HYPERLINK("https://mathstats.uncg.edu/sites/pauli/congruence/csg23.html#group75A23", "75A²³")</f>
        <v/>
      </c>
      <c r="B7501" t="n">
        <v>23</v>
      </c>
      <c r="C7501" t="inlineStr"/>
      <c r="D7501" t="inlineStr">
        <is>
          <t>300</t>
        </is>
      </c>
      <c r="E7501" t="inlineStr">
        <is>
          <t>1</t>
        </is>
      </c>
      <c r="F7501" t="inlineStr">
        <is>
          <t>150</t>
        </is>
      </c>
      <c r="G7501" t="inlineStr">
        <is>
          <t>4</t>
        </is>
      </c>
      <c r="H7501" t="inlineStr">
        <is>
          <t>0</t>
        </is>
      </c>
      <c r="I7501" t="inlineStr">
        <is>
          <t>75⁴</t>
        </is>
      </c>
      <c r="J7501" t="n">
        <v>4</v>
      </c>
      <c r="K7501" t="inlineStr">
        <is>
          <t>2¹, 4³, 8², 20², 40²</t>
        </is>
      </c>
      <c r="L7501" t="inlineStr">
        <is>
          <t>15C³, 75A¹¹</t>
        </is>
      </c>
      <c r="M7501" t="inlineStr"/>
      <c r="N7501" t="inlineStr">
        <is>
          <t>15D¹, 5C⁰, 25E², 3C⁰, 75A¹¹, 15C³, 3A⁰, 1A⁰</t>
        </is>
      </c>
      <c r="O7501" t="inlineStr"/>
    </row>
    <row r="7502">
      <c r="A7502">
        <f>HYPERLINK("https://mathstats.uncg.edu/sites/pauli/congruence/csg23.html#group78A23", "78A²³")</f>
        <v/>
      </c>
      <c r="B7502" t="n">
        <v>23</v>
      </c>
      <c r="C7502" t="inlineStr"/>
      <c r="D7502" t="inlineStr">
        <is>
          <t>336</t>
        </is>
      </c>
      <c r="E7502" t="inlineStr">
        <is>
          <t>1</t>
        </is>
      </c>
      <c r="F7502" t="inlineStr">
        <is>
          <t>56</t>
        </is>
      </c>
      <c r="G7502" t="inlineStr">
        <is>
          <t>0</t>
        </is>
      </c>
      <c r="H7502" t="inlineStr">
        <is>
          <t>0</t>
        </is>
      </c>
      <c r="I7502" t="inlineStr">
        <is>
          <t>2³, 6³, 26³, 78³</t>
        </is>
      </c>
      <c r="J7502" t="n">
        <v>12</v>
      </c>
      <c r="K7502" t="inlineStr">
        <is>
          <t>1⁴, 2², 12², 24¹</t>
        </is>
      </c>
      <c r="L7502" t="inlineStr">
        <is>
          <t>26B², 78B⁷, 39B⁹</t>
        </is>
      </c>
      <c r="M7502" t="inlineStr"/>
      <c r="N7502" t="inlineStr">
        <is>
          <t>3B⁰, 39A³, 39B⁹, 13A⁰, 78B⁷, 13C⁰, 26A⁰, 26B², 1A⁰</t>
        </is>
      </c>
      <c r="O7502" t="inlineStr"/>
    </row>
    <row r="7503">
      <c r="A7503">
        <f>HYPERLINK("https://mathstats.uncg.edu/sites/pauli/congruence/csg23.html#group78B23", "78B²³")</f>
        <v/>
      </c>
      <c r="B7503" t="n">
        <v>23</v>
      </c>
      <c r="C7503" t="inlineStr"/>
      <c r="D7503" t="inlineStr">
        <is>
          <t>336</t>
        </is>
      </c>
      <c r="E7503" t="inlineStr">
        <is>
          <t>1</t>
        </is>
      </c>
      <c r="F7503" t="inlineStr">
        <is>
          <t>56</t>
        </is>
      </c>
      <c r="G7503" t="inlineStr">
        <is>
          <t>0</t>
        </is>
      </c>
      <c r="H7503" t="inlineStr">
        <is>
          <t>0</t>
        </is>
      </c>
      <c r="I7503" t="inlineStr">
        <is>
          <t>2³, 6³, 26³, 78³</t>
        </is>
      </c>
      <c r="J7503" t="n">
        <v>12</v>
      </c>
      <c r="K7503" t="inlineStr">
        <is>
          <t>1⁴, 2², 12², 24¹</t>
        </is>
      </c>
      <c r="L7503" t="inlineStr">
        <is>
          <t>26A⁵, 78C⁷, 39B⁹</t>
        </is>
      </c>
      <c r="M7503" t="inlineStr"/>
      <c r="N7503" t="inlineStr">
        <is>
          <t>2A⁰, 3B⁰, 26A⁵, 26A¹, 39A³, 78C⁷, 39B⁹, 13A⁰, 6C⁰, 13C⁰, 1A⁰</t>
        </is>
      </c>
      <c r="O7503" t="inlineStr"/>
    </row>
    <row r="7504">
      <c r="A7504">
        <f>HYPERLINK("https://mathstats.uncg.edu/sites/pauli/congruence/csg23.html#group78C23", "78C²³")</f>
        <v/>
      </c>
      <c r="B7504" t="n">
        <v>23</v>
      </c>
      <c r="C7504" t="inlineStr"/>
      <c r="D7504" t="inlineStr">
        <is>
          <t>336</t>
        </is>
      </c>
      <c r="E7504" t="inlineStr">
        <is>
          <t>1</t>
        </is>
      </c>
      <c r="F7504" t="inlineStr">
        <is>
          <t>56</t>
        </is>
      </c>
      <c r="G7504" t="inlineStr">
        <is>
          <t>0</t>
        </is>
      </c>
      <c r="H7504" t="inlineStr">
        <is>
          <t>0</t>
        </is>
      </c>
      <c r="I7504" t="inlineStr">
        <is>
          <t>2³, 6³, 26³, 78³</t>
        </is>
      </c>
      <c r="J7504" t="n">
        <v>12</v>
      </c>
      <c r="K7504" t="inlineStr">
        <is>
          <t>1⁴, 2², 12², 24¹</t>
        </is>
      </c>
      <c r="L7504" t="inlineStr">
        <is>
          <t>6I⁰, 26B⁵, 78C⁷, 78C¹¹</t>
        </is>
      </c>
      <c r="M7504" t="inlineStr"/>
      <c r="N7504" t="inlineStr">
        <is>
          <t>2A⁰, 3B⁰, 26A¹, 39A³, 6I⁰, 78C⁷, 6C⁰, 13A⁰, 2B⁰, 1A⁰, 26A², 26B⁵, 6F⁰, 2C⁰, 78C¹¹</t>
        </is>
      </c>
      <c r="O7504" t="inlineStr"/>
    </row>
    <row r="7505">
      <c r="A7505">
        <f>HYPERLINK("https://mathstats.uncg.edu/sites/pauli/congruence/csg23.html#group78D23", "78D²³")</f>
        <v/>
      </c>
      <c r="B7505" t="n">
        <v>23</v>
      </c>
      <c r="C7505" t="inlineStr"/>
      <c r="D7505" t="inlineStr">
        <is>
          <t>336</t>
        </is>
      </c>
      <c r="E7505" t="inlineStr">
        <is>
          <t>1</t>
        </is>
      </c>
      <c r="F7505" t="inlineStr">
        <is>
          <t>84</t>
        </is>
      </c>
      <c r="G7505" t="inlineStr">
        <is>
          <t>8</t>
        </is>
      </c>
      <c r="H7505" t="inlineStr">
        <is>
          <t>0</t>
        </is>
      </c>
      <c r="I7505" t="inlineStr">
        <is>
          <t>6⁴, 78⁴</t>
        </is>
      </c>
      <c r="J7505" t="n">
        <v>8</v>
      </c>
      <c r="K7505" t="inlineStr">
        <is>
          <t>2⁶, 24³</t>
        </is>
      </c>
      <c r="L7505" t="inlineStr">
        <is>
          <t>39A⁹</t>
        </is>
      </c>
      <c r="M7505" t="inlineStr"/>
      <c r="N7505" t="inlineStr">
        <is>
          <t>39A², 39A⁵, 39A⁹, 13A⁰, 3C⁰, 39A⁴, 3A⁰, 1A⁰</t>
        </is>
      </c>
      <c r="O7505" t="inlineStr"/>
    </row>
    <row r="7506">
      <c r="A7506">
        <f>HYPERLINK("https://mathstats.uncg.edu/sites/pauli/congruence/csg23.html#group78E23", "78E²³")</f>
        <v/>
      </c>
      <c r="B7506" t="n">
        <v>23</v>
      </c>
      <c r="C7506" t="inlineStr"/>
      <c r="D7506" t="inlineStr">
        <is>
          <t>336</t>
        </is>
      </c>
      <c r="E7506" t="inlineStr">
        <is>
          <t>1</t>
        </is>
      </c>
      <c r="F7506" t="inlineStr">
        <is>
          <t>112</t>
        </is>
      </c>
      <c r="G7506" t="inlineStr">
        <is>
          <t>0</t>
        </is>
      </c>
      <c r="H7506" t="inlineStr">
        <is>
          <t>6</t>
        </is>
      </c>
      <c r="I7506" t="inlineStr">
        <is>
          <t>6⁴, 78⁴</t>
        </is>
      </c>
      <c r="J7506" t="n">
        <v>8</v>
      </c>
      <c r="K7506" t="inlineStr">
        <is>
          <t>2⁸, 24⁴</t>
        </is>
      </c>
      <c r="L7506" t="inlineStr">
        <is>
          <t>6J⁰, 78A⁵, 78C⁷</t>
        </is>
      </c>
      <c r="M7506" t="inlineStr"/>
      <c r="N7506" t="inlineStr">
        <is>
          <t>3B⁰, 2A⁰, 26A¹, 39A³, 6A⁰, 78C⁷, 6C⁰, 6J⁰, 13A⁰, 78A⁵, 1A⁰</t>
        </is>
      </c>
      <c r="O7506" t="inlineStr"/>
    </row>
    <row r="7507">
      <c r="A7507">
        <f>HYPERLINK("https://mathstats.uncg.edu/sites/pauli/congruence/csg23.html#group78F23", "78F²³")</f>
        <v/>
      </c>
      <c r="B7507" t="n">
        <v>23</v>
      </c>
      <c r="C7507" t="inlineStr"/>
      <c r="D7507" t="inlineStr">
        <is>
          <t>336</t>
        </is>
      </c>
      <c r="E7507" t="inlineStr">
        <is>
          <t>1</t>
        </is>
      </c>
      <c r="F7507" t="inlineStr">
        <is>
          <t>168</t>
        </is>
      </c>
      <c r="G7507" t="inlineStr">
        <is>
          <t>0</t>
        </is>
      </c>
      <c r="H7507" t="inlineStr">
        <is>
          <t>0</t>
        </is>
      </c>
      <c r="I7507" t="inlineStr">
        <is>
          <t>2³, 6³, 26³, 78³</t>
        </is>
      </c>
      <c r="J7507" t="n">
        <v>12</v>
      </c>
      <c r="K7507" t="inlineStr">
        <is>
          <t>1¹², 2⁶, 12⁶, 24³</t>
        </is>
      </c>
      <c r="L7507" t="inlineStr">
        <is>
          <t>26B⁴, 78B⁷, 78C¹¹</t>
        </is>
      </c>
      <c r="M7507" t="inlineStr"/>
      <c r="N7507" t="inlineStr">
        <is>
          <t>3B⁰, 26A², 39A³, 13A⁰, 78B⁷, 26B⁴, 6F⁰, 2B⁰, 26A⁰, 1A⁰, 78C¹¹</t>
        </is>
      </c>
      <c r="O7507" t="inlineStr"/>
    </row>
    <row r="7508">
      <c r="A7508">
        <f>HYPERLINK("https://mathstats.uncg.edu/sites/pauli/congruence/csg23.html#group78G23", "78G²³")</f>
        <v/>
      </c>
      <c r="B7508" t="n">
        <v>23</v>
      </c>
      <c r="C7508" t="inlineStr"/>
      <c r="D7508" t="inlineStr">
        <is>
          <t>336</t>
        </is>
      </c>
      <c r="E7508" t="inlineStr">
        <is>
          <t>2</t>
        </is>
      </c>
      <c r="F7508" t="inlineStr">
        <is>
          <t>56</t>
        </is>
      </c>
      <c r="G7508" t="inlineStr">
        <is>
          <t>0</t>
        </is>
      </c>
      <c r="H7508" t="inlineStr">
        <is>
          <t>6</t>
        </is>
      </c>
      <c r="I7508" t="inlineStr">
        <is>
          <t>6⁴, 78⁴</t>
        </is>
      </c>
      <c r="J7508" t="n">
        <v>8</v>
      </c>
      <c r="K7508" t="inlineStr">
        <is>
          <t>2⁸, 24⁴</t>
        </is>
      </c>
      <c r="L7508" t="inlineStr">
        <is>
          <t>78A², 78B⁷, 39A¹⁰</t>
        </is>
      </c>
      <c r="M7508" t="inlineStr"/>
      <c r="N7508" t="inlineStr">
        <is>
          <t>3B⁰, 39A³, 39A¹⁰, 78A², 13A⁰, 78B⁷, 26A⁰, 39A¹, 1A⁰</t>
        </is>
      </c>
      <c r="O7508" t="inlineStr"/>
    </row>
    <row r="7509">
      <c r="A7509">
        <f>HYPERLINK("https://mathstats.uncg.edu/sites/pauli/congruence/csg23.html#group78H23", "78H²³")</f>
        <v/>
      </c>
      <c r="B7509" t="n">
        <v>23</v>
      </c>
      <c r="C7509" t="inlineStr"/>
      <c r="D7509" t="inlineStr">
        <is>
          <t>336</t>
        </is>
      </c>
      <c r="E7509" t="inlineStr">
        <is>
          <t>2</t>
        </is>
      </c>
      <c r="F7509" t="inlineStr">
        <is>
          <t>56</t>
        </is>
      </c>
      <c r="G7509" t="inlineStr">
        <is>
          <t>0</t>
        </is>
      </c>
      <c r="H7509" t="inlineStr">
        <is>
          <t>6</t>
        </is>
      </c>
      <c r="I7509" t="inlineStr">
        <is>
          <t>6⁴, 78⁴</t>
        </is>
      </c>
      <c r="J7509" t="n">
        <v>8</v>
      </c>
      <c r="K7509" t="inlineStr">
        <is>
          <t>2⁸, 24⁴</t>
        </is>
      </c>
      <c r="L7509" t="inlineStr">
        <is>
          <t>78C⁵, 78C⁷, 39A¹⁰</t>
        </is>
      </c>
      <c r="M7509" t="inlineStr"/>
      <c r="N7509" t="inlineStr">
        <is>
          <t>3B⁰, 2A⁰, 26A¹, 39A³, 39A¹⁰, 78C⁷, 6C⁰, 13A⁰, 39A¹, 1A⁰, 78C⁵</t>
        </is>
      </c>
      <c r="O7509" t="inlineStr"/>
    </row>
    <row r="7510">
      <c r="A7510">
        <f>HYPERLINK("https://mathstats.uncg.edu/sites/pauli/congruence/csg23.html#group80A23", "80A²³")</f>
        <v/>
      </c>
      <c r="B7510" t="n">
        <v>23</v>
      </c>
      <c r="C7510" t="inlineStr"/>
      <c r="D7510" t="inlineStr">
        <is>
          <t>320</t>
        </is>
      </c>
      <c r="E7510" t="inlineStr">
        <is>
          <t>1</t>
        </is>
      </c>
      <c r="F7510" t="inlineStr">
        <is>
          <t>40</t>
        </is>
      </c>
      <c r="G7510" t="inlineStr">
        <is>
          <t>0</t>
        </is>
      </c>
      <c r="H7510" t="inlineStr">
        <is>
          <t>8</t>
        </is>
      </c>
      <c r="I7510" t="inlineStr">
        <is>
          <t>80⁴</t>
        </is>
      </c>
      <c r="J7510" t="n">
        <v>4</v>
      </c>
      <c r="K7510" t="inlineStr">
        <is>
          <t>4², 8⁴</t>
        </is>
      </c>
      <c r="L7510" t="inlineStr">
        <is>
          <t>40B¹¹, 80E¹¹</t>
        </is>
      </c>
      <c r="M7510" t="inlineStr"/>
      <c r="N7510" t="inlineStr">
        <is>
          <t>40F⁵, 2A⁰, 40B¹¹, 80E¹¹, 4A⁰, 4D⁰, 8A⁰, 8E⁰, 10C¹, 1A⁰, 20A⁵, 5C⁰, 20E²</t>
        </is>
      </c>
      <c r="O7510" t="inlineStr"/>
    </row>
    <row r="7511">
      <c r="A7511">
        <f>HYPERLINK("https://mathstats.uncg.edu/sites/pauli/congruence/csg23.html#group80B23", "80B²³")</f>
        <v/>
      </c>
      <c r="B7511" t="n">
        <v>23</v>
      </c>
      <c r="C7511" t="inlineStr"/>
      <c r="D7511" t="inlineStr">
        <is>
          <t>320</t>
        </is>
      </c>
      <c r="E7511" t="inlineStr">
        <is>
          <t>1</t>
        </is>
      </c>
      <c r="F7511" t="inlineStr">
        <is>
          <t>40</t>
        </is>
      </c>
      <c r="G7511" t="inlineStr">
        <is>
          <t>0</t>
        </is>
      </c>
      <c r="H7511" t="inlineStr">
        <is>
          <t>8</t>
        </is>
      </c>
      <c r="I7511" t="inlineStr">
        <is>
          <t>80⁴</t>
        </is>
      </c>
      <c r="J7511" t="n">
        <v>4</v>
      </c>
      <c r="K7511" t="inlineStr">
        <is>
          <t>4², 8⁴</t>
        </is>
      </c>
      <c r="L7511" t="inlineStr">
        <is>
          <t>16F⁰, 40B¹¹, 80F¹¹</t>
        </is>
      </c>
      <c r="M7511" t="inlineStr"/>
      <c r="N7511" t="inlineStr">
        <is>
          <t>40F⁵, 2A⁰, 40B¹¹, 16A⁰, 4A⁰, 4D⁰, 16F⁰, 8A⁰, 8E⁰, 10C¹, 1A⁰, 20A⁵, 5C⁰, 20E², 80F¹¹</t>
        </is>
      </c>
      <c r="O7511" t="inlineStr"/>
    </row>
    <row r="7512">
      <c r="A7512">
        <f>HYPERLINK("https://mathstats.uncg.edu/sites/pauli/congruence/csg23.html#group80C23", "80C²³")</f>
        <v/>
      </c>
      <c r="B7512" t="n">
        <v>23</v>
      </c>
      <c r="C7512" t="inlineStr"/>
      <c r="D7512" t="inlineStr">
        <is>
          <t>320</t>
        </is>
      </c>
      <c r="E7512" t="inlineStr">
        <is>
          <t>1</t>
        </is>
      </c>
      <c r="F7512" t="inlineStr">
        <is>
          <t>80</t>
        </is>
      </c>
      <c r="G7512" t="inlineStr">
        <is>
          <t>0</t>
        </is>
      </c>
      <c r="H7512" t="inlineStr">
        <is>
          <t>8</t>
        </is>
      </c>
      <c r="I7512" t="inlineStr">
        <is>
          <t>80⁴</t>
        </is>
      </c>
      <c r="J7512" t="n">
        <v>4</v>
      </c>
      <c r="K7512" t="inlineStr">
        <is>
          <t>4⁴, 8⁸</t>
        </is>
      </c>
      <c r="L7512" t="inlineStr">
        <is>
          <t>40A¹¹</t>
        </is>
      </c>
      <c r="M7512" t="inlineStr"/>
      <c r="N7512" t="inlineStr">
        <is>
          <t>2A⁰, 40E⁵, 4A⁰, 4D⁰, 5C⁰, 10C¹, 40A¹¹, 20A⁵, 1A⁰, 20E²</t>
        </is>
      </c>
      <c r="O7512" t="inlineStr"/>
    </row>
    <row r="7513">
      <c r="A7513">
        <f>HYPERLINK("https://mathstats.uncg.edu/sites/pauli/congruence/csg23.html#group80D23", "80D²³")</f>
        <v/>
      </c>
      <c r="B7513" t="n">
        <v>23</v>
      </c>
      <c r="C7513" t="inlineStr"/>
      <c r="D7513" t="inlineStr">
        <is>
          <t>320</t>
        </is>
      </c>
      <c r="E7513" t="inlineStr">
        <is>
          <t>1</t>
        </is>
      </c>
      <c r="F7513" t="inlineStr">
        <is>
          <t>320</t>
        </is>
      </c>
      <c r="G7513" t="inlineStr">
        <is>
          <t>8</t>
        </is>
      </c>
      <c r="H7513" t="inlineStr">
        <is>
          <t>2</t>
        </is>
      </c>
      <c r="I7513" t="inlineStr">
        <is>
          <t>80⁴</t>
        </is>
      </c>
      <c r="J7513" t="n">
        <v>4</v>
      </c>
      <c r="K7513" t="inlineStr">
        <is>
          <t>8⁸, 32⁸</t>
        </is>
      </c>
      <c r="L7513" t="inlineStr">
        <is>
          <t>16G², 40D⁵</t>
        </is>
      </c>
      <c r="M7513" t="inlineStr"/>
      <c r="N7513" t="inlineStr">
        <is>
          <t>20A¹, 5A⁰, 16G², 8F⁰, 4A⁰, 1A⁰, 40D⁵</t>
        </is>
      </c>
      <c r="O7513" t="inlineStr"/>
    </row>
    <row r="7514">
      <c r="A7514">
        <f>HYPERLINK("https://mathstats.uncg.edu/sites/pauli/congruence/csg23.html#group80E23", "80E²³")</f>
        <v/>
      </c>
      <c r="B7514" t="n">
        <v>23</v>
      </c>
      <c r="C7514" t="inlineStr"/>
      <c r="D7514" t="inlineStr">
        <is>
          <t>320</t>
        </is>
      </c>
      <c r="E7514" t="inlineStr">
        <is>
          <t>2</t>
        </is>
      </c>
      <c r="F7514" t="inlineStr">
        <is>
          <t>80</t>
        </is>
      </c>
      <c r="G7514" t="inlineStr">
        <is>
          <t>0</t>
        </is>
      </c>
      <c r="H7514" t="inlineStr">
        <is>
          <t>8</t>
        </is>
      </c>
      <c r="I7514" t="inlineStr">
        <is>
          <t>80⁴</t>
        </is>
      </c>
      <c r="J7514" t="n">
        <v>4</v>
      </c>
      <c r="K7514" t="inlineStr">
        <is>
          <t>16², 32⁴</t>
        </is>
      </c>
      <c r="L7514" t="inlineStr">
        <is>
          <t>80A⁴, 40D¹¹, 80E¹¹, 80F¹¹</t>
        </is>
      </c>
      <c r="M7514" t="inlineStr"/>
      <c r="N7514" t="inlineStr">
        <is>
          <t>40F⁵, 5A⁰, 80E¹¹, 80A⁴, 16A⁰, 40A², 40D¹¹, 8A⁰, 20B⁵, 20A¹, 5F⁰, 1A⁰, 40E⁵, 4A⁰, 5C⁰, 20E², 80F¹¹</t>
        </is>
      </c>
      <c r="O7514" t="inlineStr"/>
    </row>
    <row r="7515">
      <c r="A7515">
        <f>HYPERLINK("https://mathstats.uncg.edu/sites/pauli/congruence/csg23.html#group84A23", "84A²³")</f>
        <v/>
      </c>
      <c r="B7515" t="n">
        <v>23</v>
      </c>
      <c r="C7515" t="inlineStr"/>
      <c r="D7515" t="inlineStr">
        <is>
          <t>336</t>
        </is>
      </c>
      <c r="E7515" t="inlineStr">
        <is>
          <t>2</t>
        </is>
      </c>
      <c r="F7515" t="inlineStr">
        <is>
          <t>42</t>
        </is>
      </c>
      <c r="G7515" t="inlineStr">
        <is>
          <t>16</t>
        </is>
      </c>
      <c r="H7515" t="inlineStr">
        <is>
          <t>0</t>
        </is>
      </c>
      <c r="I7515" t="inlineStr">
        <is>
          <t>84⁴</t>
        </is>
      </c>
      <c r="J7515" t="n">
        <v>4</v>
      </c>
      <c r="K7515" t="inlineStr">
        <is>
          <t>4¹, 8¹, 12², 24²</t>
        </is>
      </c>
      <c r="L7515" t="inlineStr">
        <is>
          <t>42C⁹, 84E¹¹, 84F¹¹</t>
        </is>
      </c>
      <c r="M7515" t="inlineStr"/>
      <c r="N7515" t="inlineStr">
        <is>
          <t>14A⁰, 21D², 12D¹, 6B⁰, 42F⁴, 42A¹, 42H⁴, 21D¹, 21A⁰, 7A⁰, 1A⁰, 84F¹¹, 42A², 6E⁰, 42C⁹, 42E⁵, 42G⁴, 3C⁰, 42B¹, 3A⁰, 84E¹¹, 42F³, 21B⁴</t>
        </is>
      </c>
      <c r="O7515" t="inlineStr"/>
    </row>
    <row r="7516">
      <c r="A7516">
        <f>HYPERLINK("https://mathstats.uncg.edu/sites/pauli/congruence/csg23.html#group84B23", "84B²³")</f>
        <v/>
      </c>
      <c r="B7516" t="n">
        <v>23</v>
      </c>
      <c r="C7516" t="inlineStr"/>
      <c r="D7516" t="inlineStr">
        <is>
          <t>336</t>
        </is>
      </c>
      <c r="E7516" t="inlineStr">
        <is>
          <t>2</t>
        </is>
      </c>
      <c r="F7516" t="inlineStr">
        <is>
          <t>84</t>
        </is>
      </c>
      <c r="G7516" t="inlineStr">
        <is>
          <t>0</t>
        </is>
      </c>
      <c r="H7516" t="inlineStr">
        <is>
          <t>0</t>
        </is>
      </c>
      <c r="I7516" t="inlineStr">
        <is>
          <t>7⁴, 21⁴, 28², 84²</t>
        </is>
      </c>
      <c r="J7516" t="n">
        <v>12</v>
      </c>
      <c r="K7516" t="inlineStr">
        <is>
          <t>2⁶, 4³, 6¹², 12⁶</t>
        </is>
      </c>
      <c r="L7516" t="inlineStr">
        <is>
          <t>28A⁵, 42C¹¹, 84A¹², 84B¹²</t>
        </is>
      </c>
      <c r="M7516" t="inlineStr"/>
      <c r="N7516" t="inlineStr">
        <is>
          <t>21B³, 3B⁰, 84B¹², 14B¹, 28A³, 42C¹¹, 2B⁰, 4B⁰, 28A⁵, 84A¹², 1A⁰, 14A², 21B², 42C⁶, 7C⁰, 12E⁰, 6F⁰, 28B², 7A⁰</t>
        </is>
      </c>
      <c r="O7516" t="inlineStr"/>
    </row>
    <row r="7517">
      <c r="A7517">
        <f>HYPERLINK("https://mathstats.uncg.edu/sites/pauli/congruence/csg23.html#group84C23", "84C²³")</f>
        <v/>
      </c>
      <c r="B7517" t="n">
        <v>23</v>
      </c>
      <c r="C7517" t="inlineStr"/>
      <c r="D7517" t="inlineStr">
        <is>
          <t>336</t>
        </is>
      </c>
      <c r="E7517" t="inlineStr">
        <is>
          <t>2</t>
        </is>
      </c>
      <c r="F7517" t="inlineStr">
        <is>
          <t>84</t>
        </is>
      </c>
      <c r="G7517" t="inlineStr">
        <is>
          <t>16</t>
        </is>
      </c>
      <c r="H7517" t="inlineStr">
        <is>
          <t>0</t>
        </is>
      </c>
      <c r="I7517" t="inlineStr">
        <is>
          <t>84⁴</t>
        </is>
      </c>
      <c r="J7517" t="n">
        <v>4</v>
      </c>
      <c r="K7517" t="inlineStr">
        <is>
          <t>4², 8², 12⁴, 24⁴</t>
        </is>
      </c>
      <c r="L7517" t="inlineStr">
        <is>
          <t>21B⁴, 84E⁹, 84G¹¹</t>
        </is>
      </c>
      <c r="M7517" t="inlineStr"/>
      <c r="N7517" t="inlineStr">
        <is>
          <t>12G¹, 21D², 84A³, 12A⁰, 4A⁰, 21D¹, 21A⁰, 3C⁰, 84G¹¹, 84E⁹, 7A⁰, 3A⁰, 28A¹, 1A⁰, 21B⁴</t>
        </is>
      </c>
      <c r="O7517" t="inlineStr"/>
    </row>
    <row r="7518">
      <c r="A7518">
        <f>HYPERLINK("https://mathstats.uncg.edu/sites/pauli/congruence/csg23.html#group84D23", "84D²³")</f>
        <v/>
      </c>
      <c r="B7518" t="n">
        <v>23</v>
      </c>
      <c r="C7518" t="inlineStr"/>
      <c r="D7518" t="inlineStr">
        <is>
          <t>336</t>
        </is>
      </c>
      <c r="E7518" t="inlineStr">
        <is>
          <t>2</t>
        </is>
      </c>
      <c r="F7518" t="inlineStr">
        <is>
          <t>84</t>
        </is>
      </c>
      <c r="G7518" t="inlineStr">
        <is>
          <t>16</t>
        </is>
      </c>
      <c r="H7518" t="inlineStr">
        <is>
          <t>0</t>
        </is>
      </c>
      <c r="I7518" t="inlineStr">
        <is>
          <t>84⁴</t>
        </is>
      </c>
      <c r="J7518" t="n">
        <v>4</v>
      </c>
      <c r="K7518" t="inlineStr">
        <is>
          <t>4², 8², 12⁴, 24⁴</t>
        </is>
      </c>
      <c r="L7518" t="inlineStr">
        <is>
          <t>42E⁵, 84H⁸, 84F¹⁰, 84G¹¹</t>
        </is>
      </c>
      <c r="M7518" t="inlineStr"/>
      <c r="N7518" t="inlineStr">
        <is>
          <t>12G¹, 14A⁰, 21D², 28E², 42A¹, 21A⁰, 84G¹¹, 1A⁰, 84A³, 12A⁰, 42A², 84F¹⁰, 84H⁸, 42E⁵, 4A⁰, 3C⁰, 3A⁰, 28A¹, 7A⁰</t>
        </is>
      </c>
      <c r="O7518" t="inlineStr"/>
    </row>
    <row r="7519">
      <c r="A7519">
        <f>HYPERLINK("https://mathstats.uncg.edu/sites/pauli/congruence/csg23.html#group84E23", "84E²³")</f>
        <v/>
      </c>
      <c r="B7519" t="n">
        <v>23</v>
      </c>
      <c r="C7519" t="inlineStr"/>
      <c r="D7519" t="inlineStr">
        <is>
          <t>336</t>
        </is>
      </c>
      <c r="E7519" t="inlineStr">
        <is>
          <t>2</t>
        </is>
      </c>
      <c r="F7519" t="inlineStr">
        <is>
          <t>84</t>
        </is>
      </c>
      <c r="G7519" t="inlineStr">
        <is>
          <t>16</t>
        </is>
      </c>
      <c r="H7519" t="inlineStr">
        <is>
          <t>0</t>
        </is>
      </c>
      <c r="I7519" t="inlineStr">
        <is>
          <t>84⁴</t>
        </is>
      </c>
      <c r="J7519" t="n">
        <v>4</v>
      </c>
      <c r="K7519" t="inlineStr">
        <is>
          <t>4², 8², 12⁴, 24⁴</t>
        </is>
      </c>
      <c r="L7519" t="inlineStr">
        <is>
          <t>42F⁵, 84I⁸, 84F¹⁰, 84D¹¹</t>
        </is>
      </c>
      <c r="M7519" t="inlineStr"/>
      <c r="N7519" t="inlineStr">
        <is>
          <t>28D³, 42F⁵, 6B⁰, 84I⁸, 21C², 21A⁰, 12F⁰, 84D¹¹, 1A⁰, 84A³, 12A⁰, 42A², 84F¹⁰, 4A⁰, 7C⁰, 42B¹, 3A⁰, 28A¹, 7A⁰</t>
        </is>
      </c>
      <c r="O7519" t="inlineStr"/>
    </row>
    <row r="7520">
      <c r="A7520">
        <f>HYPERLINK("https://mathstats.uncg.edu/sites/pauli/congruence/csg23.html#group84F23", "84F²³")</f>
        <v/>
      </c>
      <c r="B7520" t="n">
        <v>23</v>
      </c>
      <c r="C7520" t="inlineStr"/>
      <c r="D7520" t="inlineStr">
        <is>
          <t>378</t>
        </is>
      </c>
      <c r="E7520" t="inlineStr">
        <is>
          <t>1</t>
        </is>
      </c>
      <c r="F7520" t="inlineStr">
        <is>
          <t>189</t>
        </is>
      </c>
      <c r="G7520" t="inlineStr">
        <is>
          <t>20</t>
        </is>
      </c>
      <c r="H7520" t="inlineStr">
        <is>
          <t>0</t>
        </is>
      </c>
      <c r="I7520" t="inlineStr">
        <is>
          <t>21⁶, 84³</t>
        </is>
      </c>
      <c r="J7520" t="n">
        <v>9</v>
      </c>
      <c r="K7520" t="inlineStr">
        <is>
          <t>3³, 6¹², 12⁹</t>
        </is>
      </c>
      <c r="L7520" t="inlineStr">
        <is>
          <t>84C⁷, 42K¹⁰</t>
        </is>
      </c>
      <c r="M7520" t="inlineStr"/>
      <c r="N7520" t="inlineStr">
        <is>
          <t>7D⁰, 14B¹, 21E¹, 84C⁷, 42K¹⁰, 21A⁰, 14F², 2B⁰, 12D⁰, 3A⁰, 1A⁰, 42C³, 6D⁰, 7A⁰</t>
        </is>
      </c>
      <c r="O7520" t="inlineStr"/>
    </row>
    <row r="7521">
      <c r="A7521">
        <f>HYPERLINK("https://mathstats.uncg.edu/sites/pauli/congruence/csg23.html#group84G23", "84G²³")</f>
        <v/>
      </c>
      <c r="B7521" t="n">
        <v>23</v>
      </c>
      <c r="C7521" t="inlineStr"/>
      <c r="D7521" t="inlineStr">
        <is>
          <t>384</t>
        </is>
      </c>
      <c r="E7521" t="inlineStr">
        <is>
          <t>1</t>
        </is>
      </c>
      <c r="F7521" t="inlineStr">
        <is>
          <t>64</t>
        </is>
      </c>
      <c r="G7521" t="inlineStr">
        <is>
          <t>0</t>
        </is>
      </c>
      <c r="H7521" t="inlineStr">
        <is>
          <t>12</t>
        </is>
      </c>
      <c r="I7521" t="inlineStr">
        <is>
          <t>4³, 12³, 28³, 84³</t>
        </is>
      </c>
      <c r="J7521" t="n">
        <v>12</v>
      </c>
      <c r="K7521" t="inlineStr">
        <is>
          <t>1⁸, 2⁴, 6⁴, 12²</t>
        </is>
      </c>
      <c r="L7521" t="inlineStr">
        <is>
          <t>84D⁷, 42D⁹</t>
        </is>
      </c>
      <c r="M7521" t="inlineStr"/>
      <c r="N7521" t="inlineStr">
        <is>
          <t>3B⁰, 2A⁰, 42D⁹, 21B¹, 7B⁰, 42E³, 6C⁰, 14B⁰, 14C⁰, 84D⁷, 1A⁰, 12B⁰</t>
        </is>
      </c>
      <c r="O7521" t="inlineStr"/>
    </row>
    <row r="7522">
      <c r="A7522">
        <f>HYPERLINK("https://mathstats.uncg.edu/sites/pauli/congruence/csg23.html#group84H23", "84H²³")</f>
        <v/>
      </c>
      <c r="B7522" t="n">
        <v>23</v>
      </c>
      <c r="C7522" t="inlineStr"/>
      <c r="D7522" t="inlineStr">
        <is>
          <t>384</t>
        </is>
      </c>
      <c r="E7522" t="inlineStr">
        <is>
          <t>1</t>
        </is>
      </c>
      <c r="F7522" t="inlineStr">
        <is>
          <t>64</t>
        </is>
      </c>
      <c r="G7522" t="inlineStr">
        <is>
          <t>0</t>
        </is>
      </c>
      <c r="H7522" t="inlineStr">
        <is>
          <t>12</t>
        </is>
      </c>
      <c r="I7522" t="inlineStr">
        <is>
          <t>4³, 12³, 28³, 84³</t>
        </is>
      </c>
      <c r="J7522" t="n">
        <v>12</v>
      </c>
      <c r="K7522" t="inlineStr">
        <is>
          <t>1⁸, 2⁴, 6⁴, 12²</t>
        </is>
      </c>
      <c r="L7522" t="inlineStr">
        <is>
          <t>28F², 84E⁷, 42D⁹</t>
        </is>
      </c>
      <c r="M7522" t="inlineStr"/>
      <c r="N7522" t="inlineStr">
        <is>
          <t>2A⁰, 3B⁰, 42D⁹, 28A⁰, 21B¹, 7B⁰, 42E³, 6C⁰, 14B⁰, 1A⁰, 84E⁷, 14C⁰, 28F²</t>
        </is>
      </c>
      <c r="O7522" t="inlineStr"/>
    </row>
    <row r="7523">
      <c r="A7523">
        <f>HYPERLINK("https://mathstats.uncg.edu/sites/pauli/congruence/csg23.html#group84I23", "84I²³")</f>
        <v/>
      </c>
      <c r="B7523" t="n">
        <v>23</v>
      </c>
      <c r="C7523" t="inlineStr"/>
      <c r="D7523" t="inlineStr">
        <is>
          <t>384</t>
        </is>
      </c>
      <c r="E7523" t="inlineStr">
        <is>
          <t>1</t>
        </is>
      </c>
      <c r="F7523" t="inlineStr">
        <is>
          <t>96</t>
        </is>
      </c>
      <c r="G7523" t="inlineStr">
        <is>
          <t>0</t>
        </is>
      </c>
      <c r="H7523" t="inlineStr">
        <is>
          <t>0</t>
        </is>
      </c>
      <c r="I7523" t="inlineStr">
        <is>
          <t>2⁴, 4¹, 6⁴, 12¹, 14⁴, 28¹, 42⁴, 84¹</t>
        </is>
      </c>
      <c r="J7523" t="n">
        <v>20</v>
      </c>
      <c r="K7523" t="inlineStr">
        <is>
          <t>1¹², 2⁶, 6⁶, 12³</t>
        </is>
      </c>
      <c r="L7523" t="inlineStr">
        <is>
          <t>12I⁰, 42G¹¹</t>
        </is>
      </c>
      <c r="M7523" t="inlineStr"/>
      <c r="N7523" t="inlineStr">
        <is>
          <t>3B⁰, 2A⁰, 6I⁰, 6C⁰, 12I⁰, 2B⁰, 14E², 42G⁵, 1A⁰, 21B¹, 7B⁰, 42E³, 14C¹, 14B⁰, 6F⁰, 2C⁰, 42G¹¹</t>
        </is>
      </c>
      <c r="O7523" t="inlineStr"/>
    </row>
    <row r="7524">
      <c r="A7524">
        <f>HYPERLINK("https://mathstats.uncg.edu/sites/pauli/congruence/csg23.html#group84J23", "84J²³")</f>
        <v/>
      </c>
      <c r="B7524" t="n">
        <v>23</v>
      </c>
      <c r="C7524" t="inlineStr"/>
      <c r="D7524" t="inlineStr">
        <is>
          <t>384</t>
        </is>
      </c>
      <c r="E7524" t="inlineStr">
        <is>
          <t>1</t>
        </is>
      </c>
      <c r="F7524" t="inlineStr">
        <is>
          <t>96</t>
        </is>
      </c>
      <c r="G7524" t="inlineStr">
        <is>
          <t>0</t>
        </is>
      </c>
      <c r="H7524" t="inlineStr">
        <is>
          <t>0</t>
        </is>
      </c>
      <c r="I7524" t="inlineStr">
        <is>
          <t>2⁴, 4¹, 6⁴, 12¹, 14⁴, 28¹, 42⁴, 84¹</t>
        </is>
      </c>
      <c r="J7524" t="n">
        <v>20</v>
      </c>
      <c r="K7524" t="inlineStr">
        <is>
          <t>1¹², 2⁶, 6⁶, 12³</t>
        </is>
      </c>
      <c r="L7524" t="inlineStr">
        <is>
          <t>28D⁴, 42G¹¹</t>
        </is>
      </c>
      <c r="M7524" t="inlineStr"/>
      <c r="N7524" t="inlineStr">
        <is>
          <t>2A⁰, 3B⁰, 6I⁰, 6C⁰, 2B⁰, 14E², 42G⁵, 1A⁰, 28D⁴, 21B¹, 7B⁰, 42E³, 14B⁰, 14C¹, 6F⁰, 2C⁰, 42G¹¹</t>
        </is>
      </c>
      <c r="O7524" t="inlineStr"/>
    </row>
    <row r="7525">
      <c r="A7525">
        <f>HYPERLINK("https://mathstats.uncg.edu/sites/pauli/congruence/csg23.html#group84K23", "84K²³")</f>
        <v/>
      </c>
      <c r="B7525" t="n">
        <v>23</v>
      </c>
      <c r="C7525" t="inlineStr"/>
      <c r="D7525" t="inlineStr">
        <is>
          <t>384</t>
        </is>
      </c>
      <c r="E7525" t="inlineStr">
        <is>
          <t>1</t>
        </is>
      </c>
      <c r="F7525" t="inlineStr">
        <is>
          <t>192</t>
        </is>
      </c>
      <c r="G7525" t="inlineStr">
        <is>
          <t>0</t>
        </is>
      </c>
      <c r="H7525" t="inlineStr">
        <is>
          <t>0</t>
        </is>
      </c>
      <c r="I7525" t="inlineStr">
        <is>
          <t>1², 2¹, 3², 4², 6¹, 7², 12², 14¹, 21², 28², 42¹, 84²</t>
        </is>
      </c>
      <c r="J7525" t="n">
        <v>20</v>
      </c>
      <c r="K7525" t="inlineStr">
        <is>
          <t>1¹⁶, 2¹², 4², 6⁸, 12⁶, 24¹</t>
        </is>
      </c>
      <c r="L7525" t="inlineStr">
        <is>
          <t>12J⁰, 84I¹¹</t>
        </is>
      </c>
      <c r="M7525" t="inlineStr"/>
      <c r="N7525" t="inlineStr">
        <is>
          <t>3B⁰, 28D², 12J⁰, 2B⁰, 4B⁰, 42G⁵, 1A⁰, 84I¹¹, 21B¹, 7B⁰, 14C¹, 6F⁰, 12E⁰</t>
        </is>
      </c>
      <c r="O7525" t="inlineStr"/>
    </row>
    <row r="7526">
      <c r="A7526">
        <f>HYPERLINK("https://mathstats.uncg.edu/sites/pauli/congruence/csg23.html#group84L23", "84L²³")</f>
        <v/>
      </c>
      <c r="B7526" t="n">
        <v>23</v>
      </c>
      <c r="C7526" t="inlineStr"/>
      <c r="D7526" t="inlineStr">
        <is>
          <t>384</t>
        </is>
      </c>
      <c r="E7526" t="inlineStr">
        <is>
          <t>1</t>
        </is>
      </c>
      <c r="F7526" t="inlineStr">
        <is>
          <t>192</t>
        </is>
      </c>
      <c r="G7526" t="inlineStr">
        <is>
          <t>0</t>
        </is>
      </c>
      <c r="H7526" t="inlineStr">
        <is>
          <t>0</t>
        </is>
      </c>
      <c r="I7526" t="inlineStr">
        <is>
          <t>1², 2¹, 3², 4², 6¹, 7², 12², 14¹, 21², 28², 42¹, 84²</t>
        </is>
      </c>
      <c r="J7526" t="n">
        <v>20</v>
      </c>
      <c r="K7526" t="inlineStr">
        <is>
          <t>1¹⁶, 2¹², 4², 6⁸, 12⁶, 24¹</t>
        </is>
      </c>
      <c r="L7526" t="inlineStr">
        <is>
          <t>28E⁴, 84I¹¹</t>
        </is>
      </c>
      <c r="M7526" t="inlineStr"/>
      <c r="N7526" t="inlineStr">
        <is>
          <t>3B⁰, 28E⁴, 21B¹, 7B⁰, 28D², 14C¹, 42G⁵, 6F⁰, 1A⁰, 2B⁰, 4B⁰, 84I¹¹, 12E⁰</t>
        </is>
      </c>
      <c r="O7526" t="inlineStr"/>
    </row>
    <row r="7527">
      <c r="A7527">
        <f>HYPERLINK("https://mathstats.uncg.edu/sites/pauli/congruence/csg23.html#group90A23", "90A²³")</f>
        <v/>
      </c>
      <c r="B7527" t="n">
        <v>23</v>
      </c>
      <c r="C7527" t="inlineStr"/>
      <c r="D7527" t="inlineStr">
        <is>
          <t>324</t>
        </is>
      </c>
      <c r="E7527" t="inlineStr">
        <is>
          <t>1</t>
        </is>
      </c>
      <c r="F7527" t="inlineStr">
        <is>
          <t>162</t>
        </is>
      </c>
      <c r="G7527" t="inlineStr">
        <is>
          <t>8</t>
        </is>
      </c>
      <c r="H7527" t="inlineStr">
        <is>
          <t>0</t>
        </is>
      </c>
      <c r="I7527" t="inlineStr">
        <is>
          <t>18³, 90³</t>
        </is>
      </c>
      <c r="J7527" t="n">
        <v>6</v>
      </c>
      <c r="K7527" t="inlineStr">
        <is>
          <t>1⁶, 2⁶, 4³, 6⁶, 8³, 24³</t>
        </is>
      </c>
      <c r="L7527" t="inlineStr">
        <is>
          <t>18D³, 30P⁵, 90C⁷, 90D⁷, 90E¹⁰</t>
        </is>
      </c>
      <c r="M7527" t="inlineStr"/>
      <c r="N7527" t="inlineStr">
        <is>
          <t>45A², 6B⁰, 6H⁰, 90E¹⁰, 18B¹, 5B⁰, 2B⁰, 1A⁰, 30P⁵, 18D³, 90D⁷, 15B⁰, 30E², 90C⁷, 9A⁰, 10C⁰, 18E¹, 3A⁰, 18A¹, 6D⁰, 30C¹</t>
        </is>
      </c>
      <c r="O7527" t="inlineStr"/>
    </row>
    <row r="7528">
      <c r="A7528">
        <f>HYPERLINK("https://mathstats.uncg.edu/sites/pauli/congruence/csg23.html#group90B23", "90B²³")</f>
        <v/>
      </c>
      <c r="B7528" t="n">
        <v>23</v>
      </c>
      <c r="C7528" t="inlineStr"/>
      <c r="D7528" t="inlineStr">
        <is>
          <t>324</t>
        </is>
      </c>
      <c r="E7528" t="inlineStr">
        <is>
          <t>2</t>
        </is>
      </c>
      <c r="F7528" t="inlineStr">
        <is>
          <t>162</t>
        </is>
      </c>
      <c r="G7528" t="inlineStr">
        <is>
          <t>4</t>
        </is>
      </c>
      <c r="H7528" t="inlineStr">
        <is>
          <t>0</t>
        </is>
      </c>
      <c r="I7528" t="inlineStr">
        <is>
          <t>9², 18², 45², 90²</t>
        </is>
      </c>
      <c r="J7528" t="n">
        <v>8</v>
      </c>
      <c r="K7528" t="inlineStr">
        <is>
          <t>2¹⁸, 6¹², 8⁹, 24⁶</t>
        </is>
      </c>
      <c r="L7528" t="inlineStr">
        <is>
          <t>18E³, 30O⁵, 45B⁷, 90E¹⁰</t>
        </is>
      </c>
      <c r="M7528" t="inlineStr"/>
      <c r="N7528" t="inlineStr">
        <is>
          <t>45A², 90E¹⁰, 5B⁰, 6G⁰, 2B⁰, 30O⁵, 1A⁰, 9B¹, 18E³, 15B⁰, 30E², 9A⁰, 45B⁷, 10C⁰, 3C⁰, 18E¹, 3A⁰, 6D⁰, 15E¹</t>
        </is>
      </c>
      <c r="O7528" t="inlineStr"/>
    </row>
    <row r="7529">
      <c r="A7529">
        <f>HYPERLINK("https://mathstats.uncg.edu/sites/pauli/congruence/csg23.html#group90C23", "90C²³")</f>
        <v/>
      </c>
      <c r="B7529" t="n">
        <v>23</v>
      </c>
      <c r="C7529" t="inlineStr"/>
      <c r="D7529" t="inlineStr">
        <is>
          <t>360</t>
        </is>
      </c>
      <c r="E7529" t="inlineStr">
        <is>
          <t>1</t>
        </is>
      </c>
      <c r="F7529" t="inlineStr">
        <is>
          <t>30</t>
        </is>
      </c>
      <c r="G7529" t="inlineStr">
        <is>
          <t>24</t>
        </is>
      </c>
      <c r="H7529" t="inlineStr">
        <is>
          <t>0</t>
        </is>
      </c>
      <c r="I7529" t="inlineStr">
        <is>
          <t>90⁴</t>
        </is>
      </c>
      <c r="J7529" t="n">
        <v>4</v>
      </c>
      <c r="K7529" t="inlineStr">
        <is>
          <t>2¹, 4³, 8²</t>
        </is>
      </c>
      <c r="L7529" t="inlineStr">
        <is>
          <t>18D⁰, 30I⁷, 45A¹¹, 90G¹¹</t>
        </is>
      </c>
      <c r="M7529" t="inlineStr"/>
      <c r="N7529" t="inlineStr">
        <is>
          <t>6B⁰, 30I⁷, 45E⁵, 15C³, 30H³, 1A⁰, 18A⁰, 45A¹¹, 90G¹¹, 15D¹, 9D⁰, 18D⁰, 6E⁰, 9A⁰, 3C⁰, 3A⁰, 5C⁰</t>
        </is>
      </c>
      <c r="O7529" t="inlineStr"/>
    </row>
    <row r="7530">
      <c r="A7530">
        <f>HYPERLINK("https://mathstats.uncg.edu/sites/pauli/congruence/csg23.html#group90D23", "90D²³")</f>
        <v/>
      </c>
      <c r="B7530" t="n">
        <v>23</v>
      </c>
      <c r="C7530" t="inlineStr"/>
      <c r="D7530" t="inlineStr">
        <is>
          <t>360</t>
        </is>
      </c>
      <c r="E7530" t="inlineStr">
        <is>
          <t>1</t>
        </is>
      </c>
      <c r="F7530" t="inlineStr">
        <is>
          <t>30</t>
        </is>
      </c>
      <c r="G7530" t="inlineStr">
        <is>
          <t>24</t>
        </is>
      </c>
      <c r="H7530" t="inlineStr">
        <is>
          <t>0</t>
        </is>
      </c>
      <c r="I7530" t="inlineStr">
        <is>
          <t>90⁴</t>
        </is>
      </c>
      <c r="J7530" t="n">
        <v>4</v>
      </c>
      <c r="K7530" t="inlineStr">
        <is>
          <t>2¹, 4³, 8²</t>
        </is>
      </c>
      <c r="L7530" t="inlineStr">
        <is>
          <t>30J⁷, 90F¹⁰, 45A¹¹, 90D¹²</t>
        </is>
      </c>
      <c r="M7530" t="inlineStr"/>
      <c r="N7530" t="inlineStr">
        <is>
          <t>45E⁵, 10D⁰, 15C³, 30F², 1A⁰, 30J⁷, 45A¹¹, 15D¹, 30C⁴, 9D⁰, 9A⁰, 90D¹², 3C⁰, 90F¹⁰, 3A⁰, 5C⁰</t>
        </is>
      </c>
      <c r="O7530" t="inlineStr"/>
    </row>
    <row r="7531">
      <c r="A7531">
        <f>HYPERLINK("https://mathstats.uncg.edu/sites/pauli/congruence/csg23.html#group90E23", "90E²³")</f>
        <v/>
      </c>
      <c r="B7531" t="n">
        <v>23</v>
      </c>
      <c r="C7531" t="inlineStr"/>
      <c r="D7531" t="inlineStr">
        <is>
          <t>360</t>
        </is>
      </c>
      <c r="E7531" t="inlineStr">
        <is>
          <t>1</t>
        </is>
      </c>
      <c r="F7531" t="inlineStr">
        <is>
          <t>120</t>
        </is>
      </c>
      <c r="G7531" t="inlineStr">
        <is>
          <t>0</t>
        </is>
      </c>
      <c r="H7531" t="inlineStr">
        <is>
          <t>0</t>
        </is>
      </c>
      <c r="I7531" t="inlineStr">
        <is>
          <t>5⁶, 10⁶, 45², 90²</t>
        </is>
      </c>
      <c r="J7531" t="n">
        <v>16</v>
      </c>
      <c r="K7531" t="inlineStr">
        <is>
          <t>2⁶, 4¹⁵, 8⁶</t>
        </is>
      </c>
      <c r="L7531" t="inlineStr">
        <is>
          <t>18E⁰, 30L⁷, 45C⁷</t>
        </is>
      </c>
      <c r="M7531" t="inlineStr"/>
      <c r="N7531" t="inlineStr">
        <is>
          <t>3B⁰, 18E⁰, 5C⁰, 6F⁰, 9B⁰, 45C⁷, 15C², 30L⁷, 2B⁰, 1A⁰, 10F¹</t>
        </is>
      </c>
      <c r="O7531" t="inlineStr"/>
    </row>
    <row r="7532">
      <c r="A7532">
        <f>HYPERLINK("https://mathstats.uncg.edu/sites/pauli/congruence/csg23.html#group90F23", "90F²³")</f>
        <v/>
      </c>
      <c r="B7532" t="n">
        <v>23</v>
      </c>
      <c r="C7532" t="inlineStr"/>
      <c r="D7532" t="inlineStr">
        <is>
          <t>360</t>
        </is>
      </c>
      <c r="E7532" t="inlineStr">
        <is>
          <t>2</t>
        </is>
      </c>
      <c r="F7532" t="inlineStr">
        <is>
          <t>90</t>
        </is>
      </c>
      <c r="G7532" t="inlineStr">
        <is>
          <t>24</t>
        </is>
      </c>
      <c r="H7532" t="inlineStr">
        <is>
          <t>0</t>
        </is>
      </c>
      <c r="I7532" t="inlineStr">
        <is>
          <t>90⁴</t>
        </is>
      </c>
      <c r="J7532" t="n">
        <v>4</v>
      </c>
      <c r="K7532" t="inlineStr">
        <is>
          <t>4³, 8⁶, 12², 24⁴</t>
        </is>
      </c>
      <c r="L7532" t="inlineStr">
        <is>
          <t>30N⁷, 45D¹⁰, 90G¹¹, 90D¹²</t>
        </is>
      </c>
      <c r="M7532" t="inlineStr"/>
      <c r="N7532" t="inlineStr">
        <is>
          <t>30C⁴, 15D¹, 6B⁰, 30H³, 45E⁵, 9A⁰, 5C⁰, 30N⁷, 90D¹², 15D², 1A⁰, 3A⁰, 90G¹¹, 18A⁰, 45D¹⁰</t>
        </is>
      </c>
      <c r="O7532" t="inlineStr"/>
    </row>
    <row r="7533">
      <c r="A7533">
        <f>HYPERLINK("https://mathstats.uncg.edu/sites/pauli/congruence/csg23.html#group91A23", "91A²³")</f>
        <v/>
      </c>
      <c r="B7533" t="n">
        <v>23</v>
      </c>
      <c r="C7533" t="inlineStr"/>
      <c r="D7533" t="inlineStr">
        <is>
          <t>336</t>
        </is>
      </c>
      <c r="E7533" t="inlineStr">
        <is>
          <t>1</t>
        </is>
      </c>
      <c r="F7533" t="inlineStr">
        <is>
          <t>112</t>
        </is>
      </c>
      <c r="G7533" t="inlineStr">
        <is>
          <t>0</t>
        </is>
      </c>
      <c r="H7533" t="inlineStr">
        <is>
          <t>0</t>
        </is>
      </c>
      <c r="I7533" t="inlineStr">
        <is>
          <t>1³, 7³, 13³, 91³</t>
        </is>
      </c>
      <c r="J7533" t="n">
        <v>12</v>
      </c>
      <c r="K7533" t="inlineStr">
        <is>
          <t>1⁴, 6², 12², 72¹</t>
        </is>
      </c>
      <c r="L7533" t="inlineStr">
        <is>
          <t>7E⁰, 91A⁷</t>
        </is>
      </c>
      <c r="M7533" t="inlineStr"/>
      <c r="N7533" t="inlineStr">
        <is>
          <t>13A⁰, 7E⁰, 91A⁷, 1A⁰, 7B⁰</t>
        </is>
      </c>
      <c r="O7533" t="inlineStr"/>
    </row>
    <row r="7534">
      <c r="A7534">
        <f>HYPERLINK("https://mathstats.uncg.edu/sites/pauli/congruence/csg23.html#group91B23", "91B²³")</f>
        <v/>
      </c>
      <c r="B7534" t="n">
        <v>23</v>
      </c>
      <c r="C7534" t="inlineStr"/>
      <c r="D7534" t="inlineStr">
        <is>
          <t>336</t>
        </is>
      </c>
      <c r="E7534" t="inlineStr">
        <is>
          <t>1</t>
        </is>
      </c>
      <c r="F7534" t="inlineStr">
        <is>
          <t>112</t>
        </is>
      </c>
      <c r="G7534" t="inlineStr">
        <is>
          <t>0</t>
        </is>
      </c>
      <c r="H7534" t="inlineStr">
        <is>
          <t>0</t>
        </is>
      </c>
      <c r="I7534" t="inlineStr">
        <is>
          <t>1³, 7³, 13³, 91³</t>
        </is>
      </c>
      <c r="J7534" t="n">
        <v>12</v>
      </c>
      <c r="K7534" t="inlineStr">
        <is>
          <t>1⁴, 6², 12², 72¹</t>
        </is>
      </c>
      <c r="L7534" t="inlineStr">
        <is>
          <t>13C⁰, 91A⁷</t>
        </is>
      </c>
      <c r="M7534" t="inlineStr"/>
      <c r="N7534" t="inlineStr">
        <is>
          <t>13A⁰, 13C⁰, 91A⁷, 1A⁰, 7B⁰</t>
        </is>
      </c>
      <c r="O7534" t="inlineStr"/>
    </row>
    <row r="7535">
      <c r="A7535">
        <f>HYPERLINK("https://mathstats.uncg.edu/sites/pauli/congruence/csg23.html#group95A23", "95A²³")</f>
        <v/>
      </c>
      <c r="B7535" t="n">
        <v>23</v>
      </c>
      <c r="C7535" t="inlineStr"/>
      <c r="D7535" t="inlineStr">
        <is>
          <t>300</t>
        </is>
      </c>
      <c r="E7535" t="inlineStr">
        <is>
          <t>1</t>
        </is>
      </c>
      <c r="F7535" t="inlineStr">
        <is>
          <t>100</t>
        </is>
      </c>
      <c r="G7535" t="inlineStr">
        <is>
          <t>0</t>
        </is>
      </c>
      <c r="H7535" t="inlineStr">
        <is>
          <t>0</t>
        </is>
      </c>
      <c r="I7535" t="inlineStr">
        <is>
          <t>5³, 95³</t>
        </is>
      </c>
      <c r="J7535" t="n">
        <v>6</v>
      </c>
      <c r="K7535" t="inlineStr">
        <is>
          <t>1², 4², 18¹, 72¹</t>
        </is>
      </c>
      <c r="L7535" t="inlineStr">
        <is>
          <t>5E⁰, 95A⁷</t>
        </is>
      </c>
      <c r="M7535" t="inlineStr"/>
      <c r="N7535" t="inlineStr">
        <is>
          <t>5E⁰, 19A¹, 5A⁰, 95A⁷, 1A⁰</t>
        </is>
      </c>
      <c r="O7535" t="inlineStr"/>
    </row>
    <row r="7536">
      <c r="A7536">
        <f>HYPERLINK("https://mathstats.uncg.edu/sites/pauli/congruence/csg23.html#group95B23", "95B²³")</f>
        <v/>
      </c>
      <c r="B7536" t="n">
        <v>23</v>
      </c>
      <c r="C7536" t="inlineStr"/>
      <c r="D7536" t="inlineStr">
        <is>
          <t>300</t>
        </is>
      </c>
      <c r="E7536" t="inlineStr">
        <is>
          <t>1</t>
        </is>
      </c>
      <c r="F7536" t="inlineStr">
        <is>
          <t>100</t>
        </is>
      </c>
      <c r="G7536" t="inlineStr">
        <is>
          <t>0</t>
        </is>
      </c>
      <c r="H7536" t="inlineStr">
        <is>
          <t>0</t>
        </is>
      </c>
      <c r="I7536" t="inlineStr">
        <is>
          <t>5³, 95³</t>
        </is>
      </c>
      <c r="J7536" t="n">
        <v>6</v>
      </c>
      <c r="K7536" t="inlineStr">
        <is>
          <t>2², 4⁴, 36¹, 72²</t>
        </is>
      </c>
      <c r="L7536" t="inlineStr">
        <is>
          <t>95A⁷</t>
        </is>
      </c>
      <c r="M7536" t="inlineStr"/>
      <c r="N7536" t="inlineStr">
        <is>
          <t>19A¹, 1A⁰, 5A⁰, 95A⁷</t>
        </is>
      </c>
      <c r="O7536" t="inlineStr"/>
    </row>
    <row r="7537">
      <c r="A7537">
        <f>HYPERLINK("https://mathstats.uncg.edu/sites/pauli/congruence/csg23.html#group95C23", "95C²³")</f>
        <v/>
      </c>
      <c r="B7537" t="n">
        <v>23</v>
      </c>
      <c r="C7537" t="inlineStr"/>
      <c r="D7537" t="inlineStr">
        <is>
          <t>300</t>
        </is>
      </c>
      <c r="E7537" t="inlineStr">
        <is>
          <t>1</t>
        </is>
      </c>
      <c r="F7537" t="inlineStr">
        <is>
          <t>100</t>
        </is>
      </c>
      <c r="G7537" t="inlineStr">
        <is>
          <t>0</t>
        </is>
      </c>
      <c r="H7537" t="inlineStr">
        <is>
          <t>0</t>
        </is>
      </c>
      <c r="I7537" t="inlineStr">
        <is>
          <t>5³, 95³</t>
        </is>
      </c>
      <c r="J7537" t="n">
        <v>6</v>
      </c>
      <c r="K7537" t="inlineStr">
        <is>
          <t>2², 4⁴, 36¹, 72²</t>
        </is>
      </c>
      <c r="L7537" t="inlineStr">
        <is>
          <t>95A⁷</t>
        </is>
      </c>
      <c r="M7537" t="inlineStr"/>
      <c r="N7537" t="inlineStr">
        <is>
          <t>19A¹, 1A⁰, 5A⁰, 95A⁷</t>
        </is>
      </c>
      <c r="O7537" t="inlineStr"/>
    </row>
    <row r="7538">
      <c r="A7538">
        <f>HYPERLINK("https://mathstats.uncg.edu/sites/pauli/congruence/csg23.html#group96A23", "96A²³")</f>
        <v/>
      </c>
      <c r="B7538" t="n">
        <v>23</v>
      </c>
      <c r="C7538" t="inlineStr"/>
      <c r="D7538" t="inlineStr">
        <is>
          <t>288</t>
        </is>
      </c>
      <c r="E7538" t="inlineStr">
        <is>
          <t>1</t>
        </is>
      </c>
      <c r="F7538" t="inlineStr">
        <is>
          <t>6</t>
        </is>
      </c>
      <c r="G7538" t="inlineStr">
        <is>
          <t>0</t>
        </is>
      </c>
      <c r="H7538" t="inlineStr">
        <is>
          <t>0</t>
        </is>
      </c>
      <c r="I7538" t="inlineStr">
        <is>
          <t>48², 96²</t>
        </is>
      </c>
      <c r="J7538" t="n">
        <v>4</v>
      </c>
      <c r="K7538" t="inlineStr">
        <is>
          <t>1², 2²</t>
        </is>
      </c>
      <c r="L7538" t="inlineStr">
        <is>
          <t>48E⁵, 32A⁷, 96B⁹</t>
        </is>
      </c>
      <c r="M7538" t="inlineStr"/>
      <c r="N7538" t="inlineStr">
        <is>
          <t>32A⁷, 48E⁵, 12C⁰, 96B⁹, 8D⁰, 4C⁰, 8B⁰, 16B¹, 48A⁰, 2B⁰, 24L², 1A⁰, 16B⁰, 8H⁰, 48C³, 12A⁰, 24A⁰, 4A⁰, 24C¹, 32D³, 12J¹, 4F⁰, 16F¹, 3A⁰, 6D⁰</t>
        </is>
      </c>
      <c r="O7538" t="inlineStr"/>
    </row>
    <row r="7539">
      <c r="A7539">
        <f>HYPERLINK("https://mathstats.uncg.edu/sites/pauli/congruence/csg23.html#group96B23", "96B²³")</f>
        <v/>
      </c>
      <c r="B7539" t="n">
        <v>23</v>
      </c>
      <c r="C7539" t="inlineStr"/>
      <c r="D7539" t="inlineStr">
        <is>
          <t>288</t>
        </is>
      </c>
      <c r="E7539" t="inlineStr">
        <is>
          <t>1</t>
        </is>
      </c>
      <c r="F7539" t="inlineStr">
        <is>
          <t>6</t>
        </is>
      </c>
      <c r="G7539" t="inlineStr">
        <is>
          <t>0</t>
        </is>
      </c>
      <c r="H7539" t="inlineStr">
        <is>
          <t>0</t>
        </is>
      </c>
      <c r="I7539" t="inlineStr">
        <is>
          <t>48², 96²</t>
        </is>
      </c>
      <c r="J7539" t="n">
        <v>4</v>
      </c>
      <c r="K7539" t="inlineStr">
        <is>
          <t>1⁴, 2¹</t>
        </is>
      </c>
      <c r="L7539" t="inlineStr">
        <is>
          <t>32B⁷, 96C⁹, 48D¹¹</t>
        </is>
      </c>
      <c r="M7539" t="inlineStr"/>
      <c r="N7539" t="inlineStr">
        <is>
          <t>2A⁰, 24A³, 12C⁰, 4C⁰, 24A⁵, 6C¹, 12B², 2B⁰, 4E⁰, 4B⁰, 1A⁰, 16D¹, 16B², 48B⁶, 24A⁰, 48D¹¹, 12B¹, 6A¹, 3A⁰, 16D³, 8A¹, 8B⁰, 8B¹, 6A⁰, 48E³, 32E³, 96C⁹, 32B⁷, 2C⁰, 6D⁰</t>
        </is>
      </c>
      <c r="O7539" t="inlineStr"/>
    </row>
    <row r="7540">
      <c r="A7540">
        <f>HYPERLINK("https://mathstats.uncg.edu/sites/pauli/congruence/csg23.html#group96C23", "96C²³")</f>
        <v/>
      </c>
      <c r="B7540" t="n">
        <v>23</v>
      </c>
      <c r="C7540" t="inlineStr"/>
      <c r="D7540" t="inlineStr">
        <is>
          <t>288</t>
        </is>
      </c>
      <c r="E7540" t="inlineStr">
        <is>
          <t>1</t>
        </is>
      </c>
      <c r="F7540" t="inlineStr">
        <is>
          <t>6</t>
        </is>
      </c>
      <c r="G7540" t="inlineStr">
        <is>
          <t>0</t>
        </is>
      </c>
      <c r="H7540" t="inlineStr">
        <is>
          <t>0</t>
        </is>
      </c>
      <c r="I7540" t="inlineStr">
        <is>
          <t>48², 96²</t>
        </is>
      </c>
      <c r="J7540" t="n">
        <v>4</v>
      </c>
      <c r="K7540" t="inlineStr">
        <is>
          <t>1⁴, 2¹</t>
        </is>
      </c>
      <c r="L7540" t="inlineStr">
        <is>
          <t>32C⁷, 96E⁹, 48D¹¹</t>
        </is>
      </c>
      <c r="M7540" t="inlineStr"/>
      <c r="N7540" t="inlineStr">
        <is>
          <t>2A⁰, 24A³, 16D³, 8A¹, 12C⁰, 4C⁰, 24A⁵, 8B⁰, 6C¹, 12B², 32C⁷, 2B⁰, 8B¹, 4E⁰, 4B⁰, 32G³, 1A⁰, 96E⁹, 16D¹, 16B², 6A⁰, 48B⁶, 48E³, 48D¹¹, 24A⁰, 12B¹, 6A¹, 3A⁰, 2C⁰, 6D⁰</t>
        </is>
      </c>
      <c r="O7540" t="inlineStr"/>
    </row>
    <row r="7541">
      <c r="A7541">
        <f>HYPERLINK("https://mathstats.uncg.edu/sites/pauli/congruence/csg23.html#group96D23", "96D²³")</f>
        <v/>
      </c>
      <c r="B7541" t="n">
        <v>23</v>
      </c>
      <c r="C7541" t="inlineStr"/>
      <c r="D7541" t="inlineStr">
        <is>
          <t>288</t>
        </is>
      </c>
      <c r="E7541" t="inlineStr">
        <is>
          <t>1</t>
        </is>
      </c>
      <c r="F7541" t="inlineStr">
        <is>
          <t>6</t>
        </is>
      </c>
      <c r="G7541" t="inlineStr">
        <is>
          <t>0</t>
        </is>
      </c>
      <c r="H7541" t="inlineStr">
        <is>
          <t>0</t>
        </is>
      </c>
      <c r="I7541" t="inlineStr">
        <is>
          <t>48², 96²</t>
        </is>
      </c>
      <c r="J7541" t="n">
        <v>4</v>
      </c>
      <c r="K7541" t="inlineStr">
        <is>
          <t>1⁴, 2¹</t>
        </is>
      </c>
      <c r="L7541" t="inlineStr">
        <is>
          <t>32D⁷, 96D⁹, 48D¹¹, 96A¹²</t>
        </is>
      </c>
      <c r="M7541" t="inlineStr"/>
      <c r="N7541" t="inlineStr">
        <is>
          <t>2A⁰, 24A³, 12C⁰, 4C⁰, 24A⁵, 6C¹, 12B², 2B⁰, 4E⁰, 32F³, 32A⁴, 4B⁰, 1A⁰, 16D¹, 16B², 48B⁶, 24A⁰, 48D¹¹, 12B¹, 6A¹, 3A⁰, 16D³, 8A¹, 8B⁰, 8B¹, 96A¹², 6A⁰, 48E³, 96D⁹, 32D⁷, 2C⁰, 6D⁰</t>
        </is>
      </c>
      <c r="O7541" t="inlineStr"/>
    </row>
    <row r="7542">
      <c r="A7542">
        <f>HYPERLINK("https://mathstats.uncg.edu/sites/pauli/congruence/csg23.html#group96E23", "96E²³")</f>
        <v/>
      </c>
      <c r="B7542" t="n">
        <v>23</v>
      </c>
      <c r="C7542" t="inlineStr"/>
      <c r="D7542" t="inlineStr">
        <is>
          <t>288</t>
        </is>
      </c>
      <c r="E7542" t="inlineStr">
        <is>
          <t>1</t>
        </is>
      </c>
      <c r="F7542" t="inlineStr">
        <is>
          <t>6</t>
        </is>
      </c>
      <c r="G7542" t="inlineStr">
        <is>
          <t>0</t>
        </is>
      </c>
      <c r="H7542" t="inlineStr">
        <is>
          <t>0</t>
        </is>
      </c>
      <c r="I7542" t="inlineStr">
        <is>
          <t>48², 96²</t>
        </is>
      </c>
      <c r="J7542" t="n">
        <v>4</v>
      </c>
      <c r="K7542" t="inlineStr">
        <is>
          <t>1⁴, 2¹</t>
        </is>
      </c>
      <c r="L7542" t="inlineStr">
        <is>
          <t>32E⁷, 96F⁹, 48D¹¹, 96B¹²</t>
        </is>
      </c>
      <c r="M7542" t="inlineStr"/>
      <c r="N7542" t="inlineStr">
        <is>
          <t>2A⁰, 24A³, 16D³, 8A¹, 12C⁰, 96F⁹, 32E⁷, 4C⁰, 24A⁵, 8B⁰, 6C¹, 12B², 2B⁰, 8B¹, 4E⁰, 32H³, 4B⁰, 1A⁰, 32B⁴, 96B¹², 16D¹, 16B², 6A⁰, 48B⁶, 48E³, 48D¹¹, 24A⁰, 12B¹, 6A¹, 3A⁰, 2C⁰, 6D⁰</t>
        </is>
      </c>
      <c r="O7542" t="inlineStr"/>
    </row>
    <row r="7543">
      <c r="A7543">
        <f>HYPERLINK("https://mathstats.uncg.edu/sites/pauli/congruence/csg23.html#group96F23", "96F²³")</f>
        <v/>
      </c>
      <c r="B7543" t="n">
        <v>23</v>
      </c>
      <c r="C7543" t="inlineStr"/>
      <c r="D7543" t="inlineStr">
        <is>
          <t>288</t>
        </is>
      </c>
      <c r="E7543" t="inlineStr">
        <is>
          <t>1</t>
        </is>
      </c>
      <c r="F7543" t="inlineStr">
        <is>
          <t>12</t>
        </is>
      </c>
      <c r="G7543" t="inlineStr">
        <is>
          <t>0</t>
        </is>
      </c>
      <c r="H7543" t="inlineStr">
        <is>
          <t>0</t>
        </is>
      </c>
      <c r="I7543" t="inlineStr">
        <is>
          <t>48², 96²</t>
        </is>
      </c>
      <c r="J7543" t="n">
        <v>4</v>
      </c>
      <c r="K7543" t="inlineStr">
        <is>
          <t>2⁶</t>
        </is>
      </c>
      <c r="L7543" t="inlineStr">
        <is>
          <t>32F⁷, 48A¹¹</t>
        </is>
      </c>
      <c r="M7543" t="inlineStr"/>
      <c r="N7543" t="inlineStr">
        <is>
          <t>2A⁰, 24A³, 32F⁷, 12C⁰, 4C⁰, 24A⁵, 16A³, 6C¹, 12B², 2B⁰, 4E⁰, 4B⁰, 1A⁰, 24A⁰, 12B¹, 6A¹, 3A⁰, 8A¹, 8B⁰, 16B¹, 8B¹, 48C³, 48A¹¹, 6A⁰, 2C⁰, 6D⁰</t>
        </is>
      </c>
      <c r="O7543" t="inlineStr"/>
    </row>
    <row r="7544">
      <c r="A7544">
        <f>HYPERLINK("https://mathstats.uncg.edu/sites/pauli/congruence/csg23.html#group96G23", "96G²³")</f>
        <v/>
      </c>
      <c r="B7544" t="n">
        <v>23</v>
      </c>
      <c r="C7544" t="inlineStr"/>
      <c r="D7544" t="inlineStr">
        <is>
          <t>288</t>
        </is>
      </c>
      <c r="E7544" t="inlineStr">
        <is>
          <t>1</t>
        </is>
      </c>
      <c r="F7544" t="inlineStr">
        <is>
          <t>12</t>
        </is>
      </c>
      <c r="G7544" t="inlineStr">
        <is>
          <t>0</t>
        </is>
      </c>
      <c r="H7544" t="inlineStr">
        <is>
          <t>0</t>
        </is>
      </c>
      <c r="I7544" t="inlineStr">
        <is>
          <t>48², 96²</t>
        </is>
      </c>
      <c r="J7544" t="n">
        <v>4</v>
      </c>
      <c r="K7544" t="inlineStr">
        <is>
          <t>2⁶</t>
        </is>
      </c>
      <c r="L7544" t="inlineStr">
        <is>
          <t>96A³, 32G⁷, 96B⁹, 48B¹¹</t>
        </is>
      </c>
      <c r="M7544" t="inlineStr"/>
      <c r="N7544" t="inlineStr">
        <is>
          <t>32G⁷, 2A⁰, 24A³, 12C⁰, 96B⁹, 4C⁰, 6C¹, 24A⁵, 12B², 2B⁰, 4E⁰, 4B⁰, 1A⁰, 16A², 16B⁰, 48B¹¹, 24A⁰, 32D³, 32B¹, 12B¹, 6A¹, 3A⁰, 96A³, 8A¹, 16B³, 8B⁰, 48A⁰, 8B¹, 6A⁰, 48A⁶, 2C⁰, 6D⁰</t>
        </is>
      </c>
      <c r="O7544" t="inlineStr"/>
    </row>
    <row r="7545">
      <c r="A7545">
        <f>HYPERLINK("https://mathstats.uncg.edu/sites/pauli/congruence/csg23.html#group96H23", "96H²³")</f>
        <v/>
      </c>
      <c r="B7545" t="n">
        <v>23</v>
      </c>
      <c r="C7545" t="inlineStr"/>
      <c r="D7545" t="inlineStr">
        <is>
          <t>288</t>
        </is>
      </c>
      <c r="E7545" t="inlineStr">
        <is>
          <t>1</t>
        </is>
      </c>
      <c r="F7545" t="inlineStr">
        <is>
          <t>12</t>
        </is>
      </c>
      <c r="G7545" t="inlineStr">
        <is>
          <t>0</t>
        </is>
      </c>
      <c r="H7545" t="inlineStr">
        <is>
          <t>0</t>
        </is>
      </c>
      <c r="I7545" t="inlineStr">
        <is>
          <t>48², 96²</t>
        </is>
      </c>
      <c r="J7545" t="n">
        <v>4</v>
      </c>
      <c r="K7545" t="inlineStr">
        <is>
          <t>1⁴, 2², 4¹</t>
        </is>
      </c>
      <c r="L7545" t="inlineStr">
        <is>
          <t>48F⁵, 32H⁷, 96B⁹</t>
        </is>
      </c>
      <c r="M7545" t="inlineStr"/>
      <c r="N7545" t="inlineStr">
        <is>
          <t>48F⁵, 12C⁰, 96B⁹, 4C⁰, 8B⁰, 48A⁰, 8L⁰, 2B⁰, 16J¹, 1A⁰, 16B⁰, 16D¹, 48E³, 24A⁰, 24M², 32D³, 32H⁷, 3A⁰, 6D⁰</t>
        </is>
      </c>
      <c r="O7545" t="inlineStr"/>
    </row>
    <row r="7546">
      <c r="A7546">
        <f>HYPERLINK("https://mathstats.uncg.edu/sites/pauli/congruence/csg23.html#group96I23", "96I²³")</f>
        <v/>
      </c>
      <c r="B7546" t="n">
        <v>23</v>
      </c>
      <c r="C7546" t="inlineStr"/>
      <c r="D7546" t="inlineStr">
        <is>
          <t>288</t>
        </is>
      </c>
      <c r="E7546" t="inlineStr">
        <is>
          <t>1</t>
        </is>
      </c>
      <c r="F7546" t="inlineStr">
        <is>
          <t>18</t>
        </is>
      </c>
      <c r="G7546" t="inlineStr">
        <is>
          <t>0</t>
        </is>
      </c>
      <c r="H7546" t="inlineStr">
        <is>
          <t>0</t>
        </is>
      </c>
      <c r="I7546" t="inlineStr">
        <is>
          <t>48², 96²</t>
        </is>
      </c>
      <c r="J7546" t="n">
        <v>4</v>
      </c>
      <c r="K7546" t="inlineStr">
        <is>
          <t>1⁴, 2⁵, 4¹</t>
        </is>
      </c>
      <c r="L7546" t="inlineStr">
        <is>
          <t>96I⁹, 48D¹¹</t>
        </is>
      </c>
      <c r="M7546" t="inlineStr"/>
      <c r="N7546" t="inlineStr">
        <is>
          <t>2A⁰, 24A³, 16D³, 8A¹, 12C⁰, 4C⁰, 24A⁵, 8B⁰, 6C¹, 12B², 2B⁰, 8B¹, 4E⁰, 4B⁰, 1A⁰, 96I⁹, 16D¹, 16B², 6A⁰, 48B⁶, 48D¹¹, 48E³, 24A⁰, 12B¹, 6A¹, 3A⁰, 2C⁰, 6D⁰</t>
        </is>
      </c>
      <c r="O7546" t="inlineStr"/>
    </row>
    <row r="7547">
      <c r="A7547">
        <f>HYPERLINK("https://mathstats.uncg.edu/sites/pauli/congruence/csg23.html#group96J23", "96J²³")</f>
        <v/>
      </c>
      <c r="B7547" t="n">
        <v>23</v>
      </c>
      <c r="C7547" t="inlineStr"/>
      <c r="D7547" t="inlineStr">
        <is>
          <t>288</t>
        </is>
      </c>
      <c r="E7547" t="inlineStr">
        <is>
          <t>1</t>
        </is>
      </c>
      <c r="F7547" t="inlineStr">
        <is>
          <t>18</t>
        </is>
      </c>
      <c r="G7547" t="inlineStr">
        <is>
          <t>0</t>
        </is>
      </c>
      <c r="H7547" t="inlineStr">
        <is>
          <t>0</t>
        </is>
      </c>
      <c r="I7547" t="inlineStr">
        <is>
          <t>48², 96²</t>
        </is>
      </c>
      <c r="J7547" t="n">
        <v>4</v>
      </c>
      <c r="K7547" t="inlineStr">
        <is>
          <t>1⁴, 2⁵, 4¹</t>
        </is>
      </c>
      <c r="L7547" t="inlineStr">
        <is>
          <t>96J⁹, 48D¹¹</t>
        </is>
      </c>
      <c r="M7547" t="inlineStr"/>
      <c r="N7547" t="inlineStr">
        <is>
          <t>2A⁰, 24A³, 12C⁰, 4C⁰, 24A⁵, 6C¹, 12B², 2B⁰, 4E⁰, 96J⁹, 4B⁰, 1A⁰, 16D¹, 16B², 48B⁶, 24A⁰, 48D¹¹, 12B¹, 6A¹, 3A⁰, 16D³, 8A¹, 8B⁰, 8B¹, 6A⁰, 48E³, 2C⁰, 6D⁰</t>
        </is>
      </c>
      <c r="O7547" t="inlineStr"/>
    </row>
    <row r="7548">
      <c r="A7548">
        <f>HYPERLINK("https://mathstats.uncg.edu/sites/pauli/congruence/csg23.html#group96K23", "96K²³")</f>
        <v/>
      </c>
      <c r="B7548" t="n">
        <v>23</v>
      </c>
      <c r="C7548" t="inlineStr"/>
      <c r="D7548" t="inlineStr">
        <is>
          <t>288</t>
        </is>
      </c>
      <c r="E7548" t="inlineStr">
        <is>
          <t>1</t>
        </is>
      </c>
      <c r="F7548" t="inlineStr">
        <is>
          <t>18</t>
        </is>
      </c>
      <c r="G7548" t="inlineStr">
        <is>
          <t>0</t>
        </is>
      </c>
      <c r="H7548" t="inlineStr">
        <is>
          <t>0</t>
        </is>
      </c>
      <c r="I7548" t="inlineStr">
        <is>
          <t>48², 96²</t>
        </is>
      </c>
      <c r="J7548" t="n">
        <v>4</v>
      </c>
      <c r="K7548" t="inlineStr">
        <is>
          <t>1⁴, 2⁵, 4¹</t>
        </is>
      </c>
      <c r="L7548" t="inlineStr">
        <is>
          <t>96H⁹, 48D¹¹, 96C¹²</t>
        </is>
      </c>
      <c r="M7548" t="inlineStr"/>
      <c r="N7548" t="inlineStr">
        <is>
          <t>2A⁰, 24A³, 16D³, 8A¹, 12C⁰, 4C⁰, 24A⁵, 8B⁰, 6C¹, 12B², 2B⁰, 8B¹, 4E⁰, 4B⁰, 1A⁰, 16D¹, 16B², 6A⁰, 48B⁶, 48E³, 48D¹¹, 24A⁰, 96H⁹, 12B¹, 6A¹, 3A⁰, 2C⁰, 6D⁰, 96C¹²</t>
        </is>
      </c>
      <c r="O7548" t="inlineStr"/>
    </row>
    <row r="7549">
      <c r="A7549">
        <f>HYPERLINK("https://mathstats.uncg.edu/sites/pauli/congruence/csg23.html#group96L23", "96L²³")</f>
        <v/>
      </c>
      <c r="B7549" t="n">
        <v>23</v>
      </c>
      <c r="C7549" t="inlineStr"/>
      <c r="D7549" t="inlineStr">
        <is>
          <t>288</t>
        </is>
      </c>
      <c r="E7549" t="inlineStr">
        <is>
          <t>1</t>
        </is>
      </c>
      <c r="F7549" t="inlineStr">
        <is>
          <t>18</t>
        </is>
      </c>
      <c r="G7549" t="inlineStr">
        <is>
          <t>0</t>
        </is>
      </c>
      <c r="H7549" t="inlineStr">
        <is>
          <t>0</t>
        </is>
      </c>
      <c r="I7549" t="inlineStr">
        <is>
          <t>48², 96²</t>
        </is>
      </c>
      <c r="J7549" t="n">
        <v>4</v>
      </c>
      <c r="K7549" t="inlineStr">
        <is>
          <t>1⁴, 2⁵, 4¹</t>
        </is>
      </c>
      <c r="L7549" t="inlineStr">
        <is>
          <t>96K⁹, 48D¹¹, 96D¹²</t>
        </is>
      </c>
      <c r="M7549" t="inlineStr"/>
      <c r="N7549" t="inlineStr">
        <is>
          <t>2A⁰, 24A³, 16D³, 8A¹, 12C⁰, 4C⁰, 24A⁵, 8B⁰, 6C¹, 12B², 2B⁰, 8B¹, 4E⁰, 4B⁰, 1A⁰, 16D¹, 16B², 6A⁰, 48B⁶, 48E³, 48D¹¹, 96D¹², 96K⁹, 24A⁰, 12B¹, 6A¹, 3A⁰, 2C⁰, 6D⁰</t>
        </is>
      </c>
      <c r="O7549" t="inlineStr"/>
    </row>
    <row r="7550">
      <c r="A7550">
        <f>HYPERLINK("https://mathstats.uncg.edu/sites/pauli/congruence/csg23.html#group96M23", "96M²³")</f>
        <v/>
      </c>
      <c r="B7550" t="n">
        <v>23</v>
      </c>
      <c r="C7550" t="inlineStr"/>
      <c r="D7550" t="inlineStr">
        <is>
          <t>288</t>
        </is>
      </c>
      <c r="E7550" t="inlineStr">
        <is>
          <t>1</t>
        </is>
      </c>
      <c r="F7550" t="inlineStr">
        <is>
          <t>24</t>
        </is>
      </c>
      <c r="G7550" t="inlineStr">
        <is>
          <t>0</t>
        </is>
      </c>
      <c r="H7550" t="inlineStr">
        <is>
          <t>0</t>
        </is>
      </c>
      <c r="I7550" t="inlineStr">
        <is>
          <t>48², 96²</t>
        </is>
      </c>
      <c r="J7550" t="n">
        <v>4</v>
      </c>
      <c r="K7550" t="inlineStr">
        <is>
          <t>2⁸, 8¹</t>
        </is>
      </c>
      <c r="L7550" t="inlineStr">
        <is>
          <t>32I⁷, 96C⁹, 96D⁹, 48K¹¹</t>
        </is>
      </c>
      <c r="M7550" t="inlineStr"/>
      <c r="N7550" t="inlineStr">
        <is>
          <t>12C⁰, 48K¹¹, 4C⁰, 8B⁰, 8L⁰, 2B⁰, 32F³, 1A⁰, 16A², 16D¹, 32I⁷, 48E³, 24A⁰, 96D⁹, 16F³, 24M², 32E³, 96C⁹, 48A⁶, 3A⁰, 6D⁰</t>
        </is>
      </c>
      <c r="O7550" t="inlineStr"/>
    </row>
    <row r="7551">
      <c r="A7551">
        <f>HYPERLINK("https://mathstats.uncg.edu/sites/pauli/congruence/csg23.html#group96N23", "96N²³")</f>
        <v/>
      </c>
      <c r="B7551" t="n">
        <v>23</v>
      </c>
      <c r="C7551" t="inlineStr"/>
      <c r="D7551" t="inlineStr">
        <is>
          <t>288</t>
        </is>
      </c>
      <c r="E7551" t="inlineStr">
        <is>
          <t>1</t>
        </is>
      </c>
      <c r="F7551" t="inlineStr">
        <is>
          <t>24</t>
        </is>
      </c>
      <c r="G7551" t="inlineStr">
        <is>
          <t>0</t>
        </is>
      </c>
      <c r="H7551" t="inlineStr">
        <is>
          <t>0</t>
        </is>
      </c>
      <c r="I7551" t="inlineStr">
        <is>
          <t>48², 96²</t>
        </is>
      </c>
      <c r="J7551" t="n">
        <v>4</v>
      </c>
      <c r="K7551" t="inlineStr">
        <is>
          <t>2⁸, 8¹</t>
        </is>
      </c>
      <c r="L7551" t="inlineStr">
        <is>
          <t>32J⁷, 96F⁹, 96E⁹, 48K¹¹</t>
        </is>
      </c>
      <c r="M7551" t="inlineStr"/>
      <c r="N7551" t="inlineStr">
        <is>
          <t>12C⁰, 96F⁹, 48K¹¹, 4C⁰, 8B⁰, 32J⁷, 8L⁰, 2B⁰, 32G³, 1A⁰, 96E⁹, 16A², 16D¹, 48E³, 24A⁰, 16F³, 6D⁰, 24M², 48A⁶, 3A⁰, 32H³</t>
        </is>
      </c>
      <c r="O7551" t="inlineStr"/>
    </row>
    <row r="7552">
      <c r="A7552">
        <f>HYPERLINK("https://mathstats.uncg.edu/sites/pauli/congruence/csg23.html#group96O23", "96O²³")</f>
        <v/>
      </c>
      <c r="B7552" t="n">
        <v>23</v>
      </c>
      <c r="C7552" t="inlineStr"/>
      <c r="D7552" t="inlineStr">
        <is>
          <t>288</t>
        </is>
      </c>
      <c r="E7552" t="inlineStr">
        <is>
          <t>1</t>
        </is>
      </c>
      <c r="F7552" t="inlineStr">
        <is>
          <t>36</t>
        </is>
      </c>
      <c r="G7552" t="inlineStr">
        <is>
          <t>0</t>
        </is>
      </c>
      <c r="H7552" t="inlineStr">
        <is>
          <t>0</t>
        </is>
      </c>
      <c r="I7552" t="inlineStr">
        <is>
          <t>48², 96²</t>
        </is>
      </c>
      <c r="J7552" t="n">
        <v>4</v>
      </c>
      <c r="K7552" t="inlineStr">
        <is>
          <t>2⁶, 4⁶</t>
        </is>
      </c>
      <c r="L7552" t="inlineStr">
        <is>
          <t>48A¹¹</t>
        </is>
      </c>
      <c r="M7552" t="inlineStr"/>
      <c r="N7552" t="inlineStr">
        <is>
          <t>2A⁰, 24A³, 8A¹, 12C⁰, 4C⁰, 24A⁵, 16A³, 8B⁰, 16B¹, 6C¹, 2B⁰, 8B¹, 4E⁰, 12B², 4B⁰, 1A⁰, 48C³, 48A¹¹, 6A⁰, 24A⁰, 12B¹, 6A¹, 3A⁰, 2C⁰, 6D⁰</t>
        </is>
      </c>
      <c r="O7552" t="inlineStr"/>
    </row>
    <row r="7553">
      <c r="A7553">
        <f>HYPERLINK("https://mathstats.uncg.edu/sites/pauli/congruence/csg23.html#group96P23", "96P²³")</f>
        <v/>
      </c>
      <c r="B7553" t="n">
        <v>23</v>
      </c>
      <c r="C7553" t="inlineStr"/>
      <c r="D7553" t="inlineStr">
        <is>
          <t>288</t>
        </is>
      </c>
      <c r="E7553" t="inlineStr">
        <is>
          <t>1</t>
        </is>
      </c>
      <c r="F7553" t="inlineStr">
        <is>
          <t>36</t>
        </is>
      </c>
      <c r="G7553" t="inlineStr">
        <is>
          <t>0</t>
        </is>
      </c>
      <c r="H7553" t="inlineStr">
        <is>
          <t>0</t>
        </is>
      </c>
      <c r="I7553" t="inlineStr">
        <is>
          <t>48², 96²</t>
        </is>
      </c>
      <c r="J7553" t="n">
        <v>4</v>
      </c>
      <c r="K7553" t="inlineStr">
        <is>
          <t>2⁶, 4⁶</t>
        </is>
      </c>
      <c r="L7553" t="inlineStr">
        <is>
          <t>96A⁵, 96A⁷, 48B¹¹</t>
        </is>
      </c>
      <c r="M7553" t="inlineStr"/>
      <c r="N7553" t="inlineStr">
        <is>
          <t>2A⁰, 24A³, 12C⁰, 96A⁵, 4C⁰, 24A⁵, 6C¹, 12B², 2B⁰, 4E⁰, 4B⁰, 1A⁰, 16A², 16B⁰, 48B¹¹, 24A⁰, 96A⁷, 12B¹, 6A¹, 3A⁰, 8A¹, 8B⁰, 16B³, 48A⁰, 8B¹, 6A⁰, 48A⁶, 2C⁰, 6D⁰</t>
        </is>
      </c>
      <c r="O7553" t="inlineStr"/>
    </row>
    <row r="7554">
      <c r="A7554">
        <f>HYPERLINK("https://mathstats.uncg.edu/sites/pauli/congruence/csg23.html#group96Q23", "96Q²³")</f>
        <v/>
      </c>
      <c r="B7554" t="n">
        <v>23</v>
      </c>
      <c r="C7554" t="inlineStr"/>
      <c r="D7554" t="inlineStr">
        <is>
          <t>288</t>
        </is>
      </c>
      <c r="E7554" t="inlineStr">
        <is>
          <t>1</t>
        </is>
      </c>
      <c r="F7554" t="inlineStr">
        <is>
          <t>72</t>
        </is>
      </c>
      <c r="G7554" t="inlineStr">
        <is>
          <t>0</t>
        </is>
      </c>
      <c r="H7554" t="inlineStr">
        <is>
          <t>0</t>
        </is>
      </c>
      <c r="I7554" t="inlineStr">
        <is>
          <t>48², 96²</t>
        </is>
      </c>
      <c r="J7554" t="n">
        <v>4</v>
      </c>
      <c r="K7554" t="inlineStr">
        <is>
          <t>2⁴, 4¹⁰, 8¹, 16¹</t>
        </is>
      </c>
      <c r="L7554" t="inlineStr">
        <is>
          <t>48R¹¹, 96C¹²</t>
        </is>
      </c>
      <c r="M7554" t="inlineStr"/>
      <c r="N7554" t="inlineStr">
        <is>
          <t>24A³, 6B⁰, 8A¹, 12C⁰, 48R¹¹, 4C⁰, 2B⁰, 24C², 12H⁰, 1A⁰, 24D⁵, 16B², 48B⁶, 48C⁶, 12D⁰, 6H⁰, 3A⁰, 6D⁰, 96C¹²</t>
        </is>
      </c>
      <c r="O7554" t="inlineStr"/>
    </row>
    <row r="7555">
      <c r="A7555">
        <f>HYPERLINK("https://mathstats.uncg.edu/sites/pauli/congruence/csg23.html#group96R23", "96R²³")</f>
        <v/>
      </c>
      <c r="B7555" t="n">
        <v>23</v>
      </c>
      <c r="C7555" t="inlineStr"/>
      <c r="D7555" t="inlineStr">
        <is>
          <t>288</t>
        </is>
      </c>
      <c r="E7555" t="inlineStr">
        <is>
          <t>1</t>
        </is>
      </c>
      <c r="F7555" t="inlineStr">
        <is>
          <t>72</t>
        </is>
      </c>
      <c r="G7555" t="inlineStr">
        <is>
          <t>0</t>
        </is>
      </c>
      <c r="H7555" t="inlineStr">
        <is>
          <t>0</t>
        </is>
      </c>
      <c r="I7555" t="inlineStr">
        <is>
          <t>48², 96²</t>
        </is>
      </c>
      <c r="J7555" t="n">
        <v>4</v>
      </c>
      <c r="K7555" t="inlineStr">
        <is>
          <t>2⁴, 4¹⁰, 8¹, 16¹</t>
        </is>
      </c>
      <c r="L7555" t="inlineStr">
        <is>
          <t>48R¹¹, 96D¹²</t>
        </is>
      </c>
      <c r="M7555" t="inlineStr"/>
      <c r="N7555" t="inlineStr">
        <is>
          <t>24A³, 6B⁰, 8A¹, 12C⁰, 48R¹¹, 4C⁰, 2B⁰, 24C², 12H⁰, 1A⁰, 24D⁵, 16B², 48B⁶, 48C⁶, 96D¹², 12D⁰, 6H⁰, 3A⁰, 6D⁰</t>
        </is>
      </c>
      <c r="O7555" t="inlineStr"/>
    </row>
    <row r="7556">
      <c r="A7556">
        <f>HYPERLINK("https://mathstats.uncg.edu/sites/pauli/congruence/csg23.html#group96S23", "96S²³")</f>
        <v/>
      </c>
      <c r="B7556" t="n">
        <v>23</v>
      </c>
      <c r="C7556" t="inlineStr"/>
      <c r="D7556" t="inlineStr">
        <is>
          <t>288</t>
        </is>
      </c>
      <c r="E7556" t="inlineStr">
        <is>
          <t>1</t>
        </is>
      </c>
      <c r="F7556" t="inlineStr">
        <is>
          <t>72</t>
        </is>
      </c>
      <c r="G7556" t="inlineStr">
        <is>
          <t>0</t>
        </is>
      </c>
      <c r="H7556" t="inlineStr">
        <is>
          <t>0</t>
        </is>
      </c>
      <c r="I7556" t="inlineStr">
        <is>
          <t>48², 96²</t>
        </is>
      </c>
      <c r="J7556" t="n">
        <v>4</v>
      </c>
      <c r="K7556" t="inlineStr">
        <is>
          <t>2⁸, 4⁸, 8¹, 16¹</t>
        </is>
      </c>
      <c r="L7556" t="inlineStr">
        <is>
          <t>48S¹¹, 96C¹²</t>
        </is>
      </c>
      <c r="M7556" t="inlineStr"/>
      <c r="N7556" t="inlineStr">
        <is>
          <t>24A³, 8A¹, 12C⁰, 4C⁰, 24D¹, 6G⁰, 2B⁰, 24E⁵, 1A⁰, 12L¹, 16B², 12C¹, 48B⁶, 48C⁶, 3C⁰, 3A⁰, 48S¹¹, 6D⁰, 96C¹²</t>
        </is>
      </c>
      <c r="O7556" t="inlineStr"/>
    </row>
    <row r="7557">
      <c r="A7557">
        <f>HYPERLINK("https://mathstats.uncg.edu/sites/pauli/congruence/csg23.html#group96T23", "96T²³")</f>
        <v/>
      </c>
      <c r="B7557" t="n">
        <v>23</v>
      </c>
      <c r="C7557" t="inlineStr"/>
      <c r="D7557" t="inlineStr">
        <is>
          <t>288</t>
        </is>
      </c>
      <c r="E7557" t="inlineStr">
        <is>
          <t>1</t>
        </is>
      </c>
      <c r="F7557" t="inlineStr">
        <is>
          <t>72</t>
        </is>
      </c>
      <c r="G7557" t="inlineStr">
        <is>
          <t>0</t>
        </is>
      </c>
      <c r="H7557" t="inlineStr">
        <is>
          <t>0</t>
        </is>
      </c>
      <c r="I7557" t="inlineStr">
        <is>
          <t>48², 96²</t>
        </is>
      </c>
      <c r="J7557" t="n">
        <v>4</v>
      </c>
      <c r="K7557" t="inlineStr">
        <is>
          <t>2⁸, 4⁸, 8¹, 16¹</t>
        </is>
      </c>
      <c r="L7557" t="inlineStr">
        <is>
          <t>48S¹¹, 96D¹²</t>
        </is>
      </c>
      <c r="M7557" t="inlineStr"/>
      <c r="N7557" t="inlineStr">
        <is>
          <t>24A³, 8A¹, 12C⁰, 4C⁰, 24D¹, 6G⁰, 2B⁰, 24E⁵, 1A⁰, 12L¹, 16B², 12C¹, 48B⁶, 48C⁶, 96D¹², 3C⁰, 3A⁰, 48S¹¹, 6D⁰</t>
        </is>
      </c>
      <c r="O7557" t="inlineStr"/>
    </row>
    <row r="7558">
      <c r="A7558">
        <f>HYPERLINK("https://mathstats.uncg.edu/sites/pauli/congruence/csg23.html#group96U23", "96U²³")</f>
        <v/>
      </c>
      <c r="B7558" t="n">
        <v>23</v>
      </c>
      <c r="C7558" t="inlineStr"/>
      <c r="D7558" t="inlineStr">
        <is>
          <t>288</t>
        </is>
      </c>
      <c r="E7558" t="inlineStr">
        <is>
          <t>1</t>
        </is>
      </c>
      <c r="F7558" t="inlineStr">
        <is>
          <t>72</t>
        </is>
      </c>
      <c r="G7558" t="inlineStr">
        <is>
          <t>0</t>
        </is>
      </c>
      <c r="H7558" t="inlineStr">
        <is>
          <t>0</t>
        </is>
      </c>
      <c r="I7558" t="inlineStr">
        <is>
          <t>48², 96²</t>
        </is>
      </c>
      <c r="J7558" t="n">
        <v>4</v>
      </c>
      <c r="K7558" t="inlineStr">
        <is>
          <t>2⁸, 4⁸, 8¹, 16¹</t>
        </is>
      </c>
      <c r="L7558" t="inlineStr">
        <is>
          <t>96H⁹, 96I⁹, 48K¹¹</t>
        </is>
      </c>
      <c r="M7558" t="inlineStr"/>
      <c r="N7558" t="inlineStr">
        <is>
          <t>12C⁰, 48K¹¹, 4C⁰, 8B⁰, 8L⁰, 2B⁰, 1A⁰, 16A², 96I⁹, 16D¹, 48E³, 24A⁰, 16F³, 24M², 96H⁹, 48A⁶, 3A⁰, 6D⁰</t>
        </is>
      </c>
      <c r="O7558" t="inlineStr"/>
    </row>
    <row r="7559">
      <c r="A7559">
        <f>HYPERLINK("https://mathstats.uncg.edu/sites/pauli/congruence/csg23.html#group96V23", "96V²³")</f>
        <v/>
      </c>
      <c r="B7559" t="n">
        <v>23</v>
      </c>
      <c r="C7559" t="inlineStr"/>
      <c r="D7559" t="inlineStr">
        <is>
          <t>288</t>
        </is>
      </c>
      <c r="E7559" t="inlineStr">
        <is>
          <t>1</t>
        </is>
      </c>
      <c r="F7559" t="inlineStr">
        <is>
          <t>72</t>
        </is>
      </c>
      <c r="G7559" t="inlineStr">
        <is>
          <t>0</t>
        </is>
      </c>
      <c r="H7559" t="inlineStr">
        <is>
          <t>0</t>
        </is>
      </c>
      <c r="I7559" t="inlineStr">
        <is>
          <t>48², 96²</t>
        </is>
      </c>
      <c r="J7559" t="n">
        <v>4</v>
      </c>
      <c r="K7559" t="inlineStr">
        <is>
          <t>2⁸, 4⁸, 8¹, 16¹</t>
        </is>
      </c>
      <c r="L7559" t="inlineStr">
        <is>
          <t>96J⁹, 96K⁹, 48K¹¹</t>
        </is>
      </c>
      <c r="M7559" t="inlineStr"/>
      <c r="N7559" t="inlineStr">
        <is>
          <t>12C⁰, 48K¹¹, 4C⁰, 8B⁰, 8L⁰, 2B⁰, 96J⁹, 1A⁰, 16A², 16D¹, 48E³, 24A⁰, 96K⁹, 16F³, 24M², 48A⁶, 3A⁰, 6D⁰</t>
        </is>
      </c>
      <c r="O7559" t="inlineStr"/>
    </row>
    <row r="7560">
      <c r="A7560">
        <f>HYPERLINK("https://mathstats.uncg.edu/sites/pauli/congruence/csg23.html#group96W23", "96W²³")</f>
        <v/>
      </c>
      <c r="B7560" t="n">
        <v>23</v>
      </c>
      <c r="C7560" t="inlineStr"/>
      <c r="D7560" t="inlineStr">
        <is>
          <t>288</t>
        </is>
      </c>
      <c r="E7560" t="inlineStr">
        <is>
          <t>1</t>
        </is>
      </c>
      <c r="F7560" t="inlineStr">
        <is>
          <t>72</t>
        </is>
      </c>
      <c r="G7560" t="inlineStr">
        <is>
          <t>0</t>
        </is>
      </c>
      <c r="H7560" t="inlineStr">
        <is>
          <t>0</t>
        </is>
      </c>
      <c r="I7560" t="inlineStr">
        <is>
          <t>48², 96²</t>
        </is>
      </c>
      <c r="J7560" t="n">
        <v>4</v>
      </c>
      <c r="K7560" t="inlineStr">
        <is>
          <t>2⁸, 4⁸, 8¹, 16¹</t>
        </is>
      </c>
      <c r="L7560" t="inlineStr">
        <is>
          <t>48R¹¹, 96A¹², 96C¹²</t>
        </is>
      </c>
      <c r="M7560" t="inlineStr"/>
      <c r="N7560" t="inlineStr">
        <is>
          <t>24A³, 6B⁰, 8A¹, 12C⁰, 48R¹¹, 4C⁰, 2B⁰, 24C², 32A⁴, 12H⁰, 1A⁰, 96A¹², 24D⁵, 16B², 48B⁶, 48C⁶, 12D⁰, 6H⁰, 3A⁰, 6D⁰, 96C¹²</t>
        </is>
      </c>
      <c r="O7560" t="inlineStr"/>
    </row>
    <row r="7561">
      <c r="A7561">
        <f>HYPERLINK("https://mathstats.uncg.edu/sites/pauli/congruence/csg23.html#group96X23", "96X²³")</f>
        <v/>
      </c>
      <c r="B7561" t="n">
        <v>23</v>
      </c>
      <c r="C7561" t="inlineStr"/>
      <c r="D7561" t="inlineStr">
        <is>
          <t>288</t>
        </is>
      </c>
      <c r="E7561" t="inlineStr">
        <is>
          <t>1</t>
        </is>
      </c>
      <c r="F7561" t="inlineStr">
        <is>
          <t>72</t>
        </is>
      </c>
      <c r="G7561" t="inlineStr">
        <is>
          <t>0</t>
        </is>
      </c>
      <c r="H7561" t="inlineStr">
        <is>
          <t>0</t>
        </is>
      </c>
      <c r="I7561" t="inlineStr">
        <is>
          <t>48², 96²</t>
        </is>
      </c>
      <c r="J7561" t="n">
        <v>4</v>
      </c>
      <c r="K7561" t="inlineStr">
        <is>
          <t>2⁸, 4⁸, 8¹, 16¹</t>
        </is>
      </c>
      <c r="L7561" t="inlineStr">
        <is>
          <t>48R¹¹, 96B¹², 96D¹²</t>
        </is>
      </c>
      <c r="M7561" t="inlineStr"/>
      <c r="N7561" t="inlineStr">
        <is>
          <t>24A³, 6B⁰, 8A¹, 12C⁰, 48R¹¹, 4C⁰, 2B⁰, 24C², 12H⁰, 1A⁰, 32B⁴, 96B¹², 24D⁵, 16B², 48B⁶, 48C⁶, 96D¹², 12D⁰, 6H⁰, 3A⁰, 6D⁰</t>
        </is>
      </c>
      <c r="O7561" t="inlineStr"/>
    </row>
    <row r="7562">
      <c r="A7562">
        <f>HYPERLINK("https://mathstats.uncg.edu/sites/pauli/congruence/csg23.html#group96Y23", "96Y²³")</f>
        <v/>
      </c>
      <c r="B7562" t="n">
        <v>23</v>
      </c>
      <c r="C7562" t="inlineStr"/>
      <c r="D7562" t="inlineStr">
        <is>
          <t>288</t>
        </is>
      </c>
      <c r="E7562" t="inlineStr">
        <is>
          <t>1</t>
        </is>
      </c>
      <c r="F7562" t="inlineStr">
        <is>
          <t>72</t>
        </is>
      </c>
      <c r="G7562" t="inlineStr">
        <is>
          <t>0</t>
        </is>
      </c>
      <c r="H7562" t="inlineStr">
        <is>
          <t>0</t>
        </is>
      </c>
      <c r="I7562" t="inlineStr">
        <is>
          <t>48², 96²</t>
        </is>
      </c>
      <c r="J7562" t="n">
        <v>4</v>
      </c>
      <c r="K7562" t="inlineStr">
        <is>
          <t>2⁸, 4⁸, 8¹, 16¹</t>
        </is>
      </c>
      <c r="L7562" t="inlineStr">
        <is>
          <t>48S¹¹, 96A¹², 96C¹²</t>
        </is>
      </c>
      <c r="M7562" t="inlineStr"/>
      <c r="N7562" t="inlineStr">
        <is>
          <t>24A³, 8A¹, 12C⁰, 4C⁰, 24D¹, 6G⁰, 2B⁰, 32A⁴, 24E⁵, 1A⁰, 12L¹, 96A¹², 16B², 12C¹, 48B⁶, 48C⁶, 3C⁰, 3A⁰, 48S¹¹, 6D⁰, 96C¹²</t>
        </is>
      </c>
      <c r="O7562" t="inlineStr"/>
    </row>
    <row r="7563">
      <c r="A7563">
        <f>HYPERLINK("https://mathstats.uncg.edu/sites/pauli/congruence/csg23.html#group96Z23", "96Z²³")</f>
        <v/>
      </c>
      <c r="B7563" t="n">
        <v>23</v>
      </c>
      <c r="C7563" t="inlineStr"/>
      <c r="D7563" t="inlineStr">
        <is>
          <t>288</t>
        </is>
      </c>
      <c r="E7563" t="inlineStr">
        <is>
          <t>1</t>
        </is>
      </c>
      <c r="F7563" t="inlineStr">
        <is>
          <t>72</t>
        </is>
      </c>
      <c r="G7563" t="inlineStr">
        <is>
          <t>0</t>
        </is>
      </c>
      <c r="H7563" t="inlineStr">
        <is>
          <t>0</t>
        </is>
      </c>
      <c r="I7563" t="inlineStr">
        <is>
          <t>48², 96²</t>
        </is>
      </c>
      <c r="J7563" t="n">
        <v>4</v>
      </c>
      <c r="K7563" t="inlineStr">
        <is>
          <t>2⁸, 4⁸, 8¹, 16¹</t>
        </is>
      </c>
      <c r="L7563" t="inlineStr">
        <is>
          <t>48S¹¹, 96B¹², 96D¹²</t>
        </is>
      </c>
      <c r="M7563" t="inlineStr"/>
      <c r="N7563" t="inlineStr">
        <is>
          <t>24A³, 8A¹, 12C⁰, 4C⁰, 24D¹, 6G⁰, 2B⁰, 24E⁵, 1A⁰, 12L¹, 32B⁴, 96B¹², 16B², 12C¹, 48B⁶, 48C⁶, 96D¹², 3C⁰, 3A⁰, 48S¹¹, 6D⁰</t>
        </is>
      </c>
      <c r="O7563" t="inlineStr"/>
    </row>
    <row r="7564">
      <c r="A7564">
        <f>HYPERLINK("https://mathstats.uncg.edu/sites/pauli/congruence/csg23.html#group96AA23", "96AA²³")</f>
        <v/>
      </c>
      <c r="B7564" t="n">
        <v>23</v>
      </c>
      <c r="C7564" t="inlineStr"/>
      <c r="D7564" t="inlineStr">
        <is>
          <t>288</t>
        </is>
      </c>
      <c r="E7564" t="inlineStr">
        <is>
          <t>1</t>
        </is>
      </c>
      <c r="F7564" t="inlineStr">
        <is>
          <t>144</t>
        </is>
      </c>
      <c r="G7564" t="inlineStr">
        <is>
          <t>0</t>
        </is>
      </c>
      <c r="H7564" t="inlineStr">
        <is>
          <t>0</t>
        </is>
      </c>
      <c r="I7564" t="inlineStr">
        <is>
          <t>48², 96²</t>
        </is>
      </c>
      <c r="J7564" t="n">
        <v>4</v>
      </c>
      <c r="K7564" t="inlineStr">
        <is>
          <t>2⁴, 4¹⁰, 8⁶, 16³</t>
        </is>
      </c>
      <c r="L7564" t="inlineStr">
        <is>
          <t>48N¹¹</t>
        </is>
      </c>
      <c r="M7564" t="inlineStr"/>
      <c r="N7564" t="inlineStr">
        <is>
          <t>24A³, 6B⁰, 8A¹, 12C⁰, 3A⁰, 4C⁰, 2B⁰, 24C², 1A⁰, 24D⁵, 48C⁶, 12D⁰, 6H⁰, 12H⁰, 6D⁰, 48N¹¹</t>
        </is>
      </c>
      <c r="O7564" t="inlineStr"/>
    </row>
    <row r="7565">
      <c r="A7565">
        <f>HYPERLINK("https://mathstats.uncg.edu/sites/pauli/congruence/csg23.html#group96AB23", "96AB²³")</f>
        <v/>
      </c>
      <c r="B7565" t="n">
        <v>23</v>
      </c>
      <c r="C7565" t="inlineStr"/>
      <c r="D7565" t="inlineStr">
        <is>
          <t>288</t>
        </is>
      </c>
      <c r="E7565" t="inlineStr">
        <is>
          <t>1</t>
        </is>
      </c>
      <c r="F7565" t="inlineStr">
        <is>
          <t>144</t>
        </is>
      </c>
      <c r="G7565" t="inlineStr">
        <is>
          <t>0</t>
        </is>
      </c>
      <c r="H7565" t="inlineStr">
        <is>
          <t>0</t>
        </is>
      </c>
      <c r="I7565" t="inlineStr">
        <is>
          <t>48², 96²</t>
        </is>
      </c>
      <c r="J7565" t="n">
        <v>4</v>
      </c>
      <c r="K7565" t="inlineStr">
        <is>
          <t>2⁴, 4¹⁰, 8⁶, 16³</t>
        </is>
      </c>
      <c r="L7565" t="inlineStr">
        <is>
          <t>48N¹¹</t>
        </is>
      </c>
      <c r="M7565" t="inlineStr"/>
      <c r="N7565" t="inlineStr">
        <is>
          <t>24A³, 6B⁰, 8A¹, 12C⁰, 3A⁰, 4C⁰, 2B⁰, 24C², 1A⁰, 24D⁵, 48C⁶, 12D⁰, 6H⁰, 12H⁰, 6D⁰, 48N¹¹</t>
        </is>
      </c>
      <c r="O7565" t="inlineStr"/>
    </row>
    <row r="7566">
      <c r="A7566">
        <f>HYPERLINK("https://mathstats.uncg.edu/sites/pauli/congruence/csg23.html#group96AC23", "96AC²³")</f>
        <v/>
      </c>
      <c r="B7566" t="n">
        <v>23</v>
      </c>
      <c r="C7566" t="inlineStr"/>
      <c r="D7566" t="inlineStr">
        <is>
          <t>288</t>
        </is>
      </c>
      <c r="E7566" t="inlineStr">
        <is>
          <t>2</t>
        </is>
      </c>
      <c r="F7566" t="inlineStr">
        <is>
          <t>24</t>
        </is>
      </c>
      <c r="G7566" t="inlineStr">
        <is>
          <t>0</t>
        </is>
      </c>
      <c r="H7566" t="inlineStr">
        <is>
          <t>0</t>
        </is>
      </c>
      <c r="I7566" t="inlineStr">
        <is>
          <t>48², 96²</t>
        </is>
      </c>
      <c r="J7566" t="n">
        <v>4</v>
      </c>
      <c r="K7566" t="inlineStr">
        <is>
          <t>2⁸, 4⁴, 8²</t>
        </is>
      </c>
      <c r="L7566" t="inlineStr">
        <is>
          <t>32K⁷, 48J¹¹, 96B¹², 96A¹²</t>
        </is>
      </c>
      <c r="M7566" t="inlineStr"/>
      <c r="N7566" t="inlineStr">
        <is>
          <t>24A³, 8A¹, 48J¹¹, 12C⁰, 8D⁰, 32K⁷, 4C⁰, 2B⁰, 32A⁴, 1A⁰, 96A¹², 32B⁴, 96B¹², 12A⁰, 16B², 8C¹, 48B⁶, 4A⁰, 24C¹, 12J¹, 4F⁰, 3A⁰, 6D⁰, 24B⁵, 16E³</t>
        </is>
      </c>
      <c r="O7566" t="inlineStr"/>
    </row>
    <row r="7567">
      <c r="A7567">
        <f>HYPERLINK("https://mathstats.uncg.edu/sites/pauli/congruence/csg23.html#group96AD23", "96AD²³")</f>
        <v/>
      </c>
      <c r="B7567" t="n">
        <v>23</v>
      </c>
      <c r="C7567" t="inlineStr"/>
      <c r="D7567" t="inlineStr">
        <is>
          <t>288</t>
        </is>
      </c>
      <c r="E7567" t="inlineStr">
        <is>
          <t>2</t>
        </is>
      </c>
      <c r="F7567" t="inlineStr">
        <is>
          <t>72</t>
        </is>
      </c>
      <c r="G7567" t="inlineStr">
        <is>
          <t>0</t>
        </is>
      </c>
      <c r="H7567" t="inlineStr">
        <is>
          <t>0</t>
        </is>
      </c>
      <c r="I7567" t="inlineStr">
        <is>
          <t>48², 96²</t>
        </is>
      </c>
      <c r="J7567" t="n">
        <v>4</v>
      </c>
      <c r="K7567" t="inlineStr">
        <is>
          <t>2⁸, 4¹², 8⁶, 16²</t>
        </is>
      </c>
      <c r="L7567" t="inlineStr">
        <is>
          <t>48J¹¹, 96C¹², 96D¹²</t>
        </is>
      </c>
      <c r="M7567" t="inlineStr"/>
      <c r="N7567" t="inlineStr">
        <is>
          <t>24A³, 8A¹, 48J¹¹, 12C⁰, 8D⁰, 4C⁰, 2B⁰, 1A⁰, 12A⁰, 16B², 8C¹, 48B⁶, 96D¹², 4A⁰, 24B⁵, 24C¹, 12J¹, 4F⁰, 3A⁰, 6D⁰, 96C¹², 16E³</t>
        </is>
      </c>
      <c r="O7567" t="inlineStr"/>
    </row>
    <row r="7568">
      <c r="A7568">
        <f>HYPERLINK("https://mathstats.uncg.edu/sites/pauli/congruence/csg23.html#group96AE23", "96AE²³")</f>
        <v/>
      </c>
      <c r="B7568" t="n">
        <v>23</v>
      </c>
      <c r="C7568" t="inlineStr"/>
      <c r="D7568" t="inlineStr">
        <is>
          <t>288</t>
        </is>
      </c>
      <c r="E7568" t="inlineStr">
        <is>
          <t>2</t>
        </is>
      </c>
      <c r="F7568" t="inlineStr">
        <is>
          <t>72</t>
        </is>
      </c>
      <c r="G7568" t="inlineStr">
        <is>
          <t>0</t>
        </is>
      </c>
      <c r="H7568" t="inlineStr">
        <is>
          <t>0</t>
        </is>
      </c>
      <c r="I7568" t="inlineStr">
        <is>
          <t>48², 96²</t>
        </is>
      </c>
      <c r="J7568" t="n">
        <v>4</v>
      </c>
      <c r="K7568" t="inlineStr">
        <is>
          <t>2⁸, 4¹², 8⁶, 16²</t>
        </is>
      </c>
      <c r="L7568" t="inlineStr">
        <is>
          <t>48V¹¹, 96A¹², 96D¹²</t>
        </is>
      </c>
      <c r="M7568" t="inlineStr"/>
      <c r="N7568" t="inlineStr">
        <is>
          <t>24G⁵, 24E¹, 24A³, 12C⁰, 8A¹, 4C⁰, 12M¹, 2B⁰, 32A⁴, 1A⁰, 96A¹², 16B², 48B⁶, 48C⁶, 48V¹¹, 96D¹², 3A⁰, 6D⁰</t>
        </is>
      </c>
      <c r="O7568" t="inlineStr"/>
    </row>
    <row r="7569">
      <c r="A7569">
        <f>HYPERLINK("https://mathstats.uncg.edu/sites/pauli/congruence/csg23.html#group96AF23", "96AF²³")</f>
        <v/>
      </c>
      <c r="B7569" t="n">
        <v>23</v>
      </c>
      <c r="C7569" t="inlineStr"/>
      <c r="D7569" t="inlineStr">
        <is>
          <t>288</t>
        </is>
      </c>
      <c r="E7569" t="inlineStr">
        <is>
          <t>2</t>
        </is>
      </c>
      <c r="F7569" t="inlineStr">
        <is>
          <t>72</t>
        </is>
      </c>
      <c r="G7569" t="inlineStr">
        <is>
          <t>0</t>
        </is>
      </c>
      <c r="H7569" t="inlineStr">
        <is>
          <t>0</t>
        </is>
      </c>
      <c r="I7569" t="inlineStr">
        <is>
          <t>48², 96²</t>
        </is>
      </c>
      <c r="J7569" t="n">
        <v>4</v>
      </c>
      <c r="K7569" t="inlineStr">
        <is>
          <t>2⁸, 4¹², 8⁶, 16²</t>
        </is>
      </c>
      <c r="L7569" t="inlineStr">
        <is>
          <t>48V¹¹, 96B¹², 96C¹²</t>
        </is>
      </c>
      <c r="M7569" t="inlineStr"/>
      <c r="N7569" t="inlineStr">
        <is>
          <t>24G⁵, 24A³, 24E¹, 8A¹, 12C⁰, 4C⁰, 2B⁰, 12M¹, 1A⁰, 32B⁴, 96B¹², 16B², 48B⁶, 48C⁶, 48V¹¹, 3A⁰, 6D⁰, 96C¹²</t>
        </is>
      </c>
      <c r="O7569" t="inlineStr"/>
    </row>
    <row r="7570">
      <c r="A7570">
        <f>HYPERLINK("https://mathstats.uncg.edu/sites/pauli/congruence/csg23.html#group96AG23", "96AG²³")</f>
        <v/>
      </c>
      <c r="B7570" t="n">
        <v>23</v>
      </c>
      <c r="C7570" t="inlineStr"/>
      <c r="D7570" t="inlineStr">
        <is>
          <t>288</t>
        </is>
      </c>
      <c r="E7570" t="inlineStr">
        <is>
          <t>2</t>
        </is>
      </c>
      <c r="F7570" t="inlineStr">
        <is>
          <t>72</t>
        </is>
      </c>
      <c r="G7570" t="inlineStr">
        <is>
          <t>0</t>
        </is>
      </c>
      <c r="H7570" t="inlineStr">
        <is>
          <t>0</t>
        </is>
      </c>
      <c r="I7570" t="inlineStr">
        <is>
          <t>48², 96²</t>
        </is>
      </c>
      <c r="J7570" t="n">
        <v>4</v>
      </c>
      <c r="K7570" t="inlineStr">
        <is>
          <t>4²⁴, 8¹², 16⁶</t>
        </is>
      </c>
      <c r="L7570" t="inlineStr">
        <is>
          <t>48V¹¹, 96C¹², 96D¹²</t>
        </is>
      </c>
      <c r="M7570" t="inlineStr"/>
      <c r="N7570" t="inlineStr">
        <is>
          <t>24G⁵, 24E¹, 24A³, 12C⁰, 8A¹, 4C⁰, 12M¹, 2B⁰, 1A⁰, 16B², 48B⁶, 48C⁶, 48V¹¹, 96D¹², 3A⁰, 6D⁰, 96C¹²</t>
        </is>
      </c>
      <c r="O7570" t="inlineStr"/>
    </row>
    <row r="7571">
      <c r="A7571">
        <f>HYPERLINK("https://mathstats.uncg.edu/sites/pauli/congruence/csg23.html#group96AH23", "96AH²³")</f>
        <v/>
      </c>
      <c r="B7571" t="n">
        <v>23</v>
      </c>
      <c r="C7571" t="inlineStr"/>
      <c r="D7571" t="inlineStr">
        <is>
          <t>288</t>
        </is>
      </c>
      <c r="E7571" t="inlineStr">
        <is>
          <t>2</t>
        </is>
      </c>
      <c r="F7571" t="inlineStr">
        <is>
          <t>72</t>
        </is>
      </c>
      <c r="G7571" t="inlineStr">
        <is>
          <t>0</t>
        </is>
      </c>
      <c r="H7571" t="inlineStr">
        <is>
          <t>0</t>
        </is>
      </c>
      <c r="I7571" t="inlineStr">
        <is>
          <t>48², 96²</t>
        </is>
      </c>
      <c r="J7571" t="n">
        <v>4</v>
      </c>
      <c r="K7571" t="inlineStr">
        <is>
          <t>4²⁴, 8¹², 16⁶</t>
        </is>
      </c>
      <c r="L7571" t="inlineStr">
        <is>
          <t>48V¹¹, 96C¹², 96D¹²</t>
        </is>
      </c>
      <c r="M7571" t="inlineStr"/>
      <c r="N7571" t="inlineStr">
        <is>
          <t>24G⁵, 24E¹, 24A³, 12C⁰, 8A¹, 4C⁰, 12M¹, 2B⁰, 1A⁰, 16B², 48B⁶, 48C⁶, 48V¹¹, 96D¹², 3A⁰, 6D⁰, 96C¹²</t>
        </is>
      </c>
      <c r="O7571" t="inlineStr"/>
    </row>
    <row r="7572">
      <c r="A7572">
        <f>HYPERLINK("https://mathstats.uncg.edu/sites/pauli/congruence/csg23.html#group96AI23", "96AI²³")</f>
        <v/>
      </c>
      <c r="B7572" t="n">
        <v>23</v>
      </c>
      <c r="C7572" t="inlineStr"/>
      <c r="D7572" t="inlineStr">
        <is>
          <t>384</t>
        </is>
      </c>
      <c r="E7572" t="inlineStr">
        <is>
          <t>1</t>
        </is>
      </c>
      <c r="F7572" t="inlineStr">
        <is>
          <t>96</t>
        </is>
      </c>
      <c r="G7572" t="inlineStr">
        <is>
          <t>0</t>
        </is>
      </c>
      <c r="H7572" t="inlineStr">
        <is>
          <t>0</t>
        </is>
      </c>
      <c r="I7572" t="inlineStr">
        <is>
          <t>4⁸, 12⁸, 32², 96²</t>
        </is>
      </c>
      <c r="J7572" t="n">
        <v>20</v>
      </c>
      <c r="K7572" t="inlineStr">
        <is>
          <t>1⁴, 2⁴, 4³, 8⁵, 16²</t>
        </is>
      </c>
      <c r="L7572" t="inlineStr">
        <is>
          <t>32P³, 48AA¹¹</t>
        </is>
      </c>
      <c r="M7572" t="inlineStr"/>
      <c r="N7572" t="inlineStr">
        <is>
          <t>3B⁰, 16I¹, 24B³, 48AA¹¹, 8D⁰, 12F¹, 48D⁶, 4C⁰, 8B⁰, 2B⁰, 1A⁰, 8H⁰, 16E⁰, 24I², 4A⁰, 48J⁴, 16C¹, 12A¹, 6F⁰, 12G², 24J⁵, 4F⁰, 32P³</t>
        </is>
      </c>
      <c r="O7572" t="inlineStr"/>
    </row>
    <row r="7573">
      <c r="A7573">
        <f>HYPERLINK("https://mathstats.uncg.edu/sites/pauli/congruence/csg23.html#group96AJ23", "96AJ²³")</f>
        <v/>
      </c>
      <c r="B7573" t="n">
        <v>23</v>
      </c>
      <c r="C7573" t="inlineStr"/>
      <c r="D7573" t="inlineStr">
        <is>
          <t>384</t>
        </is>
      </c>
      <c r="E7573" t="inlineStr">
        <is>
          <t>1</t>
        </is>
      </c>
      <c r="F7573" t="inlineStr">
        <is>
          <t>96</t>
        </is>
      </c>
      <c r="G7573" t="inlineStr">
        <is>
          <t>0</t>
        </is>
      </c>
      <c r="H7573" t="inlineStr">
        <is>
          <t>0</t>
        </is>
      </c>
      <c r="I7573" t="inlineStr">
        <is>
          <t>4⁸, 12⁸, 32², 96²</t>
        </is>
      </c>
      <c r="J7573" t="n">
        <v>20</v>
      </c>
      <c r="K7573" t="inlineStr">
        <is>
          <t>1⁴, 2⁴, 4³, 8⁵, 16²</t>
        </is>
      </c>
      <c r="L7573" t="inlineStr">
        <is>
          <t>32C⁴, 96E¹⁰, 96F¹⁰, 48AB¹¹</t>
        </is>
      </c>
      <c r="M7573" t="inlineStr"/>
      <c r="N7573" t="inlineStr">
        <is>
          <t>16D², 3B⁰, 24K⁵, 8A¹, 32C⁴, 8D⁰, 12F¹, 48D⁶, 4C⁰, 32D¹, 2B⁰, 1A⁰, 96F¹⁰, 24C³, 16E⁰, 8C¹, 24I², 32C¹, 4A⁰, 48J⁴, 16C¹, 12A¹, 96E¹⁰, 12G², 4F⁰, 48AB¹¹, 6F⁰</t>
        </is>
      </c>
      <c r="O7573" t="inlineStr"/>
    </row>
    <row r="7574">
      <c r="A7574">
        <f>HYPERLINK("https://mathstats.uncg.edu/sites/pauli/congruence/csg23.html#group96AK23", "96AK²³")</f>
        <v/>
      </c>
      <c r="B7574" t="n">
        <v>23</v>
      </c>
      <c r="C7574" t="inlineStr"/>
      <c r="D7574" t="inlineStr">
        <is>
          <t>384</t>
        </is>
      </c>
      <c r="E7574" t="inlineStr">
        <is>
          <t>1</t>
        </is>
      </c>
      <c r="F7574" t="inlineStr">
        <is>
          <t>96</t>
        </is>
      </c>
      <c r="G7574" t="inlineStr">
        <is>
          <t>0</t>
        </is>
      </c>
      <c r="H7574" t="inlineStr">
        <is>
          <t>0</t>
        </is>
      </c>
      <c r="I7574" t="inlineStr">
        <is>
          <t>4⁸, 12⁸, 32², 96²</t>
        </is>
      </c>
      <c r="J7574" t="n">
        <v>20</v>
      </c>
      <c r="K7574" t="inlineStr">
        <is>
          <t>2⁸, 4⁴, 8⁴, 16²</t>
        </is>
      </c>
      <c r="L7574" t="inlineStr">
        <is>
          <t>48AB¹¹</t>
        </is>
      </c>
      <c r="M7574" t="inlineStr"/>
      <c r="N7574" t="inlineStr">
        <is>
          <t>16D², 3B⁰, 24K⁵, 8A¹, 8D⁰, 12F¹, 48D⁶, 4C⁰, 2B⁰, 1A⁰, 24C³, 16E⁰, 8C¹, 24I², 4A⁰, 48J⁴, 16C¹, 12A¹, 12G², 4F⁰, 48AB¹¹, 6F⁰</t>
        </is>
      </c>
      <c r="O7574" t="inlineStr"/>
    </row>
    <row r="7575">
      <c r="A7575">
        <f>HYPERLINK("https://mathstats.uncg.edu/sites/pauli/congruence/csg23.html#group96AL23", "96AL²³")</f>
        <v/>
      </c>
      <c r="B7575" t="n">
        <v>23</v>
      </c>
      <c r="C7575" t="inlineStr"/>
      <c r="D7575" t="inlineStr">
        <is>
          <t>384</t>
        </is>
      </c>
      <c r="E7575" t="inlineStr">
        <is>
          <t>1</t>
        </is>
      </c>
      <c r="F7575" t="inlineStr">
        <is>
          <t>96</t>
        </is>
      </c>
      <c r="G7575" t="inlineStr">
        <is>
          <t>0</t>
        </is>
      </c>
      <c r="H7575" t="inlineStr">
        <is>
          <t>0</t>
        </is>
      </c>
      <c r="I7575" t="inlineStr">
        <is>
          <t>4⁸, 12⁸, 32², 96²</t>
        </is>
      </c>
      <c r="J7575" t="n">
        <v>20</v>
      </c>
      <c r="K7575" t="inlineStr">
        <is>
          <t>2⁸, 4⁴, 8⁴, 16²</t>
        </is>
      </c>
      <c r="L7575" t="inlineStr">
        <is>
          <t>32Q³, 96E¹⁰, 96F¹⁰, 48AA¹¹</t>
        </is>
      </c>
      <c r="M7575" t="inlineStr"/>
      <c r="N7575" t="inlineStr">
        <is>
          <t>3B⁰, 16I¹, 24B³, 48AA¹¹, 8D⁰, 12F¹, 48D⁶, 4C⁰, 8B⁰, 32D¹, 2B⁰, 1A⁰, 32Q³, 96F¹⁰, 8H⁰, 16E⁰, 24I², 32C¹, 4A⁰, 48J⁴, 16C¹, 12A¹, 96E¹⁰, 12G², 24J⁵, 4F⁰, 6F⁰</t>
        </is>
      </c>
      <c r="O7575" t="inlineStr"/>
    </row>
    <row r="7576">
      <c r="A7576">
        <f>HYPERLINK("https://mathstats.uncg.edu/sites/pauli/congruence/csg23.html#group98A23", "98A²³")</f>
        <v/>
      </c>
      <c r="B7576" t="n">
        <v>23</v>
      </c>
      <c r="C7576" t="inlineStr"/>
      <c r="D7576" t="inlineStr">
        <is>
          <t>294</t>
        </is>
      </c>
      <c r="E7576" t="inlineStr">
        <is>
          <t>2</t>
        </is>
      </c>
      <c r="F7576" t="inlineStr">
        <is>
          <t>147</t>
        </is>
      </c>
      <c r="G7576" t="inlineStr">
        <is>
          <t>4</t>
        </is>
      </c>
      <c r="H7576" t="inlineStr">
        <is>
          <t>0</t>
        </is>
      </c>
      <c r="I7576" t="inlineStr">
        <is>
          <t>98³</t>
        </is>
      </c>
      <c r="J7576" t="n">
        <v>3</v>
      </c>
      <c r="K7576" t="inlineStr">
        <is>
          <t>6⁷, 42⁶</t>
        </is>
      </c>
      <c r="L7576" t="inlineStr">
        <is>
          <t>14B², 49A⁹</t>
        </is>
      </c>
      <c r="M7576" t="inlineStr"/>
      <c r="N7576" t="inlineStr">
        <is>
          <t>14A⁰, 14B², 7D⁰, 1A⁰, 49A⁹, 7A⁰</t>
        </is>
      </c>
      <c r="O7576" t="inlineStr"/>
    </row>
    <row r="7577">
      <c r="A7577">
        <f>HYPERLINK("https://mathstats.uncg.edu/sites/pauli/congruence/csg23.html#group100A23", "100A²³")</f>
        <v/>
      </c>
      <c r="B7577" t="n">
        <v>23</v>
      </c>
      <c r="C7577" t="inlineStr"/>
      <c r="D7577" t="inlineStr">
        <is>
          <t>300</t>
        </is>
      </c>
      <c r="E7577" t="inlineStr">
        <is>
          <t>1</t>
        </is>
      </c>
      <c r="F7577" t="inlineStr">
        <is>
          <t>150</t>
        </is>
      </c>
      <c r="G7577" t="inlineStr">
        <is>
          <t>0</t>
        </is>
      </c>
      <c r="H7577" t="inlineStr">
        <is>
          <t>0</t>
        </is>
      </c>
      <c r="I7577" t="inlineStr">
        <is>
          <t>25⁴, 100²</t>
        </is>
      </c>
      <c r="J7577" t="n">
        <v>6</v>
      </c>
      <c r="K7577" t="inlineStr">
        <is>
          <t>2³, 4⁶, 20⁶</t>
        </is>
      </c>
      <c r="L7577" t="inlineStr">
        <is>
          <t>20E³, 50A¹¹</t>
        </is>
      </c>
      <c r="M7577" t="inlineStr"/>
      <c r="N7577" t="inlineStr">
        <is>
          <t>20E³, 5C⁰, 25E², 2B⁰, 50A¹¹, 4B⁰, 1A⁰, 10F¹</t>
        </is>
      </c>
      <c r="O7577" t="inlineStr"/>
    </row>
    <row r="7578">
      <c r="A7578">
        <f>HYPERLINK("https://mathstats.uncg.edu/sites/pauli/congruence/csg23.html#group100B23", "100B²³")</f>
        <v/>
      </c>
      <c r="B7578" t="n">
        <v>23</v>
      </c>
      <c r="C7578" t="inlineStr"/>
      <c r="D7578" t="inlineStr">
        <is>
          <t>300</t>
        </is>
      </c>
      <c r="E7578" t="inlineStr">
        <is>
          <t>1</t>
        </is>
      </c>
      <c r="F7578" t="inlineStr">
        <is>
          <t>150</t>
        </is>
      </c>
      <c r="G7578" t="inlineStr">
        <is>
          <t>4</t>
        </is>
      </c>
      <c r="H7578" t="inlineStr">
        <is>
          <t>0</t>
        </is>
      </c>
      <c r="I7578" t="inlineStr">
        <is>
          <t>50², 100²</t>
        </is>
      </c>
      <c r="J7578" t="n">
        <v>4</v>
      </c>
      <c r="K7578" t="inlineStr">
        <is>
          <t>2³, 4⁶, 20⁶</t>
        </is>
      </c>
      <c r="L7578" t="inlineStr">
        <is>
          <t>20F³, 50A¹¹</t>
        </is>
      </c>
      <c r="M7578" t="inlineStr"/>
      <c r="N7578" t="inlineStr">
        <is>
          <t>5C⁰, 4C⁰, 25E², 2B⁰, 50A¹¹, 1A⁰, 20F³, 10F¹</t>
        </is>
      </c>
      <c r="O7578" t="inlineStr"/>
    </row>
    <row r="7579">
      <c r="A7579">
        <f>HYPERLINK("https://mathstats.uncg.edu/sites/pauli/congruence/csg23.html#group102A23", "102A²³")</f>
        <v/>
      </c>
      <c r="B7579" t="n">
        <v>23</v>
      </c>
      <c r="C7579" t="inlineStr"/>
      <c r="D7579" t="inlineStr">
        <is>
          <t>324</t>
        </is>
      </c>
      <c r="E7579" t="inlineStr">
        <is>
          <t>1</t>
        </is>
      </c>
      <c r="F7579" t="inlineStr">
        <is>
          <t>162</t>
        </is>
      </c>
      <c r="G7579" t="inlineStr">
        <is>
          <t>4</t>
        </is>
      </c>
      <c r="H7579" t="inlineStr">
        <is>
          <t>0</t>
        </is>
      </c>
      <c r="I7579" t="inlineStr">
        <is>
          <t>3², 6², 51², 102²</t>
        </is>
      </c>
      <c r="J7579" t="n">
        <v>8</v>
      </c>
      <c r="K7579" t="inlineStr">
        <is>
          <t>1⁶, 2⁶, 16³, 32³</t>
        </is>
      </c>
      <c r="L7579" t="inlineStr">
        <is>
          <t>51A⁷, 102C¹¹</t>
        </is>
      </c>
      <c r="M7579" t="inlineStr"/>
      <c r="N7579" t="inlineStr">
        <is>
          <t>102C¹¹, 34C³, 51A³, 51A⁷, 17A¹, 2B⁰, 3A⁰, 1A⁰, 6D⁰</t>
        </is>
      </c>
      <c r="O7579" t="inlineStr"/>
    </row>
    <row r="7580">
      <c r="A7580">
        <f>HYPERLINK("https://mathstats.uncg.edu/sites/pauli/congruence/csg23.html#group102B23", "102B²³")</f>
        <v/>
      </c>
      <c r="B7580" t="n">
        <v>23</v>
      </c>
      <c r="C7580" t="inlineStr"/>
      <c r="D7580" t="inlineStr">
        <is>
          <t>324</t>
        </is>
      </c>
      <c r="E7580" t="inlineStr">
        <is>
          <t>1</t>
        </is>
      </c>
      <c r="F7580" t="inlineStr">
        <is>
          <t>162</t>
        </is>
      </c>
      <c r="G7580" t="inlineStr">
        <is>
          <t>4</t>
        </is>
      </c>
      <c r="H7580" t="inlineStr">
        <is>
          <t>0</t>
        </is>
      </c>
      <c r="I7580" t="inlineStr">
        <is>
          <t>3², 6², 51², 102²</t>
        </is>
      </c>
      <c r="J7580" t="n">
        <v>8</v>
      </c>
      <c r="K7580" t="inlineStr">
        <is>
          <t>1⁶, 2⁶, 16³, 32³</t>
        </is>
      </c>
      <c r="L7580" t="inlineStr">
        <is>
          <t>6G⁰, 51B⁷, 102C¹¹</t>
        </is>
      </c>
      <c r="M7580" t="inlineStr"/>
      <c r="N7580" t="inlineStr">
        <is>
          <t>102C¹¹, 34C³, 51A³, 51B⁷, 6G⁰, 3C⁰, 17A¹, 2B⁰, 3A⁰, 1A⁰, 6D⁰</t>
        </is>
      </c>
      <c r="O7580" t="inlineStr"/>
    </row>
    <row r="7581">
      <c r="A7581">
        <f>HYPERLINK("https://mathstats.uncg.edu/sites/pauli/congruence/csg23.html#group102C23", "102C²³")</f>
        <v/>
      </c>
      <c r="B7581" t="n">
        <v>23</v>
      </c>
      <c r="C7581" t="inlineStr"/>
      <c r="D7581" t="inlineStr">
        <is>
          <t>324</t>
        </is>
      </c>
      <c r="E7581" t="inlineStr">
        <is>
          <t>1</t>
        </is>
      </c>
      <c r="F7581" t="inlineStr">
        <is>
          <t>162</t>
        </is>
      </c>
      <c r="G7581" t="inlineStr">
        <is>
          <t>8</t>
        </is>
      </c>
      <c r="H7581" t="inlineStr">
        <is>
          <t>0</t>
        </is>
      </c>
      <c r="I7581" t="inlineStr">
        <is>
          <t>6³, 102³</t>
        </is>
      </c>
      <c r="J7581" t="n">
        <v>6</v>
      </c>
      <c r="K7581" t="inlineStr">
        <is>
          <t>1⁶, 2⁶, 16³, 32³</t>
        </is>
      </c>
      <c r="L7581" t="inlineStr">
        <is>
          <t>102A⁷, 102C¹¹</t>
        </is>
      </c>
      <c r="M7581" t="inlineStr"/>
      <c r="N7581" t="inlineStr">
        <is>
          <t>102C¹¹, 34C³, 51A³, 17A¹, 2B⁰, 102A⁷, 3A⁰, 1A⁰, 6D⁰</t>
        </is>
      </c>
      <c r="O7581" t="inlineStr"/>
    </row>
    <row r="7582">
      <c r="A7582">
        <f>HYPERLINK("https://mathstats.uncg.edu/sites/pauli/congruence/csg23.html#group102D23", "102D²³")</f>
        <v/>
      </c>
      <c r="B7582" t="n">
        <v>23</v>
      </c>
      <c r="C7582" t="inlineStr"/>
      <c r="D7582" t="inlineStr">
        <is>
          <t>324</t>
        </is>
      </c>
      <c r="E7582" t="inlineStr">
        <is>
          <t>1</t>
        </is>
      </c>
      <c r="F7582" t="inlineStr">
        <is>
          <t>162</t>
        </is>
      </c>
      <c r="G7582" t="inlineStr">
        <is>
          <t>8</t>
        </is>
      </c>
      <c r="H7582" t="inlineStr">
        <is>
          <t>0</t>
        </is>
      </c>
      <c r="I7582" t="inlineStr">
        <is>
          <t>6³, 102³</t>
        </is>
      </c>
      <c r="J7582" t="n">
        <v>6</v>
      </c>
      <c r="K7582" t="inlineStr">
        <is>
          <t>1⁶, 2⁶, 16³, 32³</t>
        </is>
      </c>
      <c r="L7582" t="inlineStr">
        <is>
          <t>6H⁰, 102B⁷, 102C¹¹</t>
        </is>
      </c>
      <c r="M7582" t="inlineStr"/>
      <c r="N7582" t="inlineStr">
        <is>
          <t>102C¹¹, 6B⁰, 34C³, 51A³, 102B⁷, 17A¹, 2B⁰, 6H⁰, 3A⁰, 1A⁰, 6D⁰</t>
        </is>
      </c>
      <c r="O7582" t="inlineStr"/>
    </row>
    <row r="7583">
      <c r="A7583">
        <f>HYPERLINK("https://mathstats.uncg.edu/sites/pauli/congruence/csg23.html#group104A23", "104A²³")</f>
        <v/>
      </c>
      <c r="B7583" t="n">
        <v>23</v>
      </c>
      <c r="C7583" t="inlineStr"/>
      <c r="D7583" t="inlineStr">
        <is>
          <t>336</t>
        </is>
      </c>
      <c r="E7583" t="inlineStr">
        <is>
          <t>1</t>
        </is>
      </c>
      <c r="F7583" t="inlineStr">
        <is>
          <t>42</t>
        </is>
      </c>
      <c r="G7583" t="inlineStr">
        <is>
          <t>0</t>
        </is>
      </c>
      <c r="H7583" t="inlineStr">
        <is>
          <t>0</t>
        </is>
      </c>
      <c r="I7583" t="inlineStr">
        <is>
          <t>2⁴, 8², 26⁴, 104²</t>
        </is>
      </c>
      <c r="J7583" t="n">
        <v>12</v>
      </c>
      <c r="K7583" t="inlineStr">
        <is>
          <t>1⁶, 12³</t>
        </is>
      </c>
      <c r="L7583" t="inlineStr">
        <is>
          <t>52A⁹, 104G¹¹</t>
        </is>
      </c>
      <c r="M7583" t="inlineStr"/>
      <c r="N7583" t="inlineStr">
        <is>
          <t>104G¹¹, 13A⁰, 52A⁹, 52A⁵, 2B⁰, 13B⁰, 52A⁴, 4B⁰, 1A⁰, 26A², 26A⁴</t>
        </is>
      </c>
      <c r="O7583" t="inlineStr"/>
    </row>
    <row r="7584">
      <c r="A7584">
        <f>HYPERLINK("https://mathstats.uncg.edu/sites/pauli/congruence/csg23.html#group104B23", "104B²³")</f>
        <v/>
      </c>
      <c r="B7584" t="n">
        <v>23</v>
      </c>
      <c r="C7584" t="inlineStr"/>
      <c r="D7584" t="inlineStr">
        <is>
          <t>336</t>
        </is>
      </c>
      <c r="E7584" t="inlineStr">
        <is>
          <t>1</t>
        </is>
      </c>
      <c r="F7584" t="inlineStr">
        <is>
          <t>42</t>
        </is>
      </c>
      <c r="G7584" t="inlineStr">
        <is>
          <t>0</t>
        </is>
      </c>
      <c r="H7584" t="inlineStr">
        <is>
          <t>0</t>
        </is>
      </c>
      <c r="I7584" t="inlineStr">
        <is>
          <t>2⁴, 8², 26⁴, 104²</t>
        </is>
      </c>
      <c r="J7584" t="n">
        <v>12</v>
      </c>
      <c r="K7584" t="inlineStr">
        <is>
          <t>1⁶, 12³</t>
        </is>
      </c>
      <c r="L7584" t="inlineStr">
        <is>
          <t>52D¹¹, 104C¹¹, 104E¹¹</t>
        </is>
      </c>
      <c r="M7584" t="inlineStr"/>
      <c r="N7584" t="inlineStr">
        <is>
          <t>2A⁰, 26A¹, 104E¹¹, 4C⁰, 13A⁰, 52A⁵, 2B⁰, 4E⁰, 4B⁰, 1A⁰, 26A², 104C¹¹, 26B⁵, 52B⁵, 52D¹¹, 2C⁰</t>
        </is>
      </c>
      <c r="O7584" t="inlineStr"/>
    </row>
    <row r="7585">
      <c r="A7585">
        <f>HYPERLINK("https://mathstats.uncg.edu/sites/pauli/congruence/csg23.html#group104C23", "104C²³")</f>
        <v/>
      </c>
      <c r="B7585" t="n">
        <v>23</v>
      </c>
      <c r="C7585" t="inlineStr"/>
      <c r="D7585" t="inlineStr">
        <is>
          <t>336</t>
        </is>
      </c>
      <c r="E7585" t="inlineStr">
        <is>
          <t>1</t>
        </is>
      </c>
      <c r="F7585" t="inlineStr">
        <is>
          <t>42</t>
        </is>
      </c>
      <c r="G7585" t="inlineStr">
        <is>
          <t>0</t>
        </is>
      </c>
      <c r="H7585" t="inlineStr">
        <is>
          <t>0</t>
        </is>
      </c>
      <c r="I7585" t="inlineStr">
        <is>
          <t>2⁴, 8², 26⁴, 104²</t>
        </is>
      </c>
      <c r="J7585" t="n">
        <v>12</v>
      </c>
      <c r="K7585" t="inlineStr">
        <is>
          <t>1⁶, 12³</t>
        </is>
      </c>
      <c r="L7585" t="inlineStr">
        <is>
          <t>8G⁰, 52D¹¹, 104D¹¹, 104F¹¹</t>
        </is>
      </c>
      <c r="M7585" t="inlineStr"/>
      <c r="N7585" t="inlineStr">
        <is>
          <t>2A⁰, 26A¹, 104D¹¹, 8D⁰, 4C⁰, 52A⁵, 13A⁰, 8C⁰, 2B⁰, 4E⁰, 4B⁰, 1A⁰, 26A², 26B⁵, 104F¹¹, 8G⁰, 52B⁵, 52D¹¹, 2C⁰</t>
        </is>
      </c>
      <c r="O7585" t="inlineStr"/>
    </row>
    <row r="7586">
      <c r="A7586">
        <f>HYPERLINK("https://mathstats.uncg.edu/sites/pauli/congruence/csg23.html#group104D23", "104D²³")</f>
        <v/>
      </c>
      <c r="B7586" t="n">
        <v>23</v>
      </c>
      <c r="C7586" t="inlineStr"/>
      <c r="D7586" t="inlineStr">
        <is>
          <t>336</t>
        </is>
      </c>
      <c r="E7586" t="inlineStr">
        <is>
          <t>1</t>
        </is>
      </c>
      <c r="F7586" t="inlineStr">
        <is>
          <t>84</t>
        </is>
      </c>
      <c r="G7586" t="inlineStr">
        <is>
          <t>0</t>
        </is>
      </c>
      <c r="H7586" t="inlineStr">
        <is>
          <t>0</t>
        </is>
      </c>
      <c r="I7586" t="inlineStr">
        <is>
          <t>2⁴, 8², 26⁴, 104²</t>
        </is>
      </c>
      <c r="J7586" t="n">
        <v>12</v>
      </c>
      <c r="K7586" t="inlineStr">
        <is>
          <t>1⁴, 2⁴, 12², 24²</t>
        </is>
      </c>
      <c r="L7586" t="inlineStr">
        <is>
          <t>52A¹¹, 104E¹¹, 104F¹¹</t>
        </is>
      </c>
      <c r="M7586" t="inlineStr"/>
      <c r="N7586" t="inlineStr">
        <is>
          <t>104F¹¹, 52A⁶, 104E¹¹, 8D⁰, 4C⁰, 13A⁰, 52B⁵, 2B⁰, 13B⁰, 1A⁰, 52A¹¹, 26A², 26A⁴</t>
        </is>
      </c>
      <c r="O7586" t="inlineStr"/>
    </row>
    <row r="7587">
      <c r="A7587">
        <f>HYPERLINK("https://mathstats.uncg.edu/sites/pauli/congruence/csg23.html#group104E23", "104E²³")</f>
        <v/>
      </c>
      <c r="B7587" t="n">
        <v>23</v>
      </c>
      <c r="C7587" t="inlineStr"/>
      <c r="D7587" t="inlineStr">
        <is>
          <t>336</t>
        </is>
      </c>
      <c r="E7587" t="inlineStr">
        <is>
          <t>1</t>
        </is>
      </c>
      <c r="F7587" t="inlineStr">
        <is>
          <t>84</t>
        </is>
      </c>
      <c r="G7587" t="inlineStr">
        <is>
          <t>0</t>
        </is>
      </c>
      <c r="H7587" t="inlineStr">
        <is>
          <t>0</t>
        </is>
      </c>
      <c r="I7587" t="inlineStr">
        <is>
          <t>2⁴, 8², 26⁴, 104²</t>
        </is>
      </c>
      <c r="J7587" t="n">
        <v>12</v>
      </c>
      <c r="K7587" t="inlineStr">
        <is>
          <t>1⁸, 2², 12⁴, 24¹</t>
        </is>
      </c>
      <c r="L7587" t="inlineStr">
        <is>
          <t>52B¹¹, 104C¹¹, 104D¹¹</t>
        </is>
      </c>
      <c r="M7587" t="inlineStr"/>
      <c r="N7587" t="inlineStr">
        <is>
          <t>52A⁶, 52B¹¹, 104D¹¹, 52A⁵, 13A⁰, 26B⁴, 8C⁰, 2B⁰, 26A⁰, 4B⁰, 1A⁰, 26A², 104C¹¹</t>
        </is>
      </c>
      <c r="O7587" t="inlineStr"/>
    </row>
    <row r="7588">
      <c r="A7588">
        <f>HYPERLINK("https://mathstats.uncg.edu/sites/pauli/congruence/csg23.html#group104F23", "104F²³")</f>
        <v/>
      </c>
      <c r="B7588" t="n">
        <v>23</v>
      </c>
      <c r="C7588" t="inlineStr"/>
      <c r="D7588" t="inlineStr">
        <is>
          <t>336</t>
        </is>
      </c>
      <c r="E7588" t="inlineStr">
        <is>
          <t>1</t>
        </is>
      </c>
      <c r="F7588" t="inlineStr">
        <is>
          <t>84</t>
        </is>
      </c>
      <c r="G7588" t="inlineStr">
        <is>
          <t>8</t>
        </is>
      </c>
      <c r="H7588" t="inlineStr">
        <is>
          <t>0</t>
        </is>
      </c>
      <c r="I7588" t="inlineStr">
        <is>
          <t>4², 8², 52², 104²</t>
        </is>
      </c>
      <c r="J7588" t="n">
        <v>8</v>
      </c>
      <c r="K7588" t="inlineStr">
        <is>
          <t>1⁴, 2⁴, 12², 24²</t>
        </is>
      </c>
      <c r="L7588" t="inlineStr">
        <is>
          <t>52E¹¹, 104A¹¹, 104F¹¹</t>
        </is>
      </c>
      <c r="M7588" t="inlineStr"/>
      <c r="N7588" t="inlineStr">
        <is>
          <t>52E¹¹, 104F¹¹, 8D⁰, 104A¹¹, 4C⁰, 13A⁰, 52B⁵, 2B⁰, 1A⁰, 26A²</t>
        </is>
      </c>
      <c r="O7588" t="inlineStr"/>
    </row>
    <row r="7589">
      <c r="A7589">
        <f>HYPERLINK("https://mathstats.uncg.edu/sites/pauli/congruence/csg23.html#group104G23", "104G²³")</f>
        <v/>
      </c>
      <c r="B7589" t="n">
        <v>23</v>
      </c>
      <c r="C7589" t="inlineStr"/>
      <c r="D7589" t="inlineStr">
        <is>
          <t>336</t>
        </is>
      </c>
      <c r="E7589" t="inlineStr">
        <is>
          <t>1</t>
        </is>
      </c>
      <c r="F7589" t="inlineStr">
        <is>
          <t>84</t>
        </is>
      </c>
      <c r="G7589" t="inlineStr">
        <is>
          <t>8</t>
        </is>
      </c>
      <c r="H7589" t="inlineStr">
        <is>
          <t>0</t>
        </is>
      </c>
      <c r="I7589" t="inlineStr">
        <is>
          <t>4², 8², 52², 104²</t>
        </is>
      </c>
      <c r="J7589" t="n">
        <v>8</v>
      </c>
      <c r="K7589" t="inlineStr">
        <is>
          <t>1⁴, 2⁴, 12², 24²</t>
        </is>
      </c>
      <c r="L7589" t="inlineStr">
        <is>
          <t>52E¹¹, 104B¹¹, 104E¹¹</t>
        </is>
      </c>
      <c r="M7589" t="inlineStr"/>
      <c r="N7589" t="inlineStr">
        <is>
          <t>52E¹¹, 104E¹¹, 4C⁰, 104B¹¹, 8B⁰, 13A⁰, 52B⁵, 2B⁰, 1A⁰, 26A²</t>
        </is>
      </c>
      <c r="O7589" t="inlineStr"/>
    </row>
    <row r="7590">
      <c r="A7590">
        <f>HYPERLINK("https://mathstats.uncg.edu/sites/pauli/congruence/csg23.html#group104H23", "104H²³")</f>
        <v/>
      </c>
      <c r="B7590" t="n">
        <v>23</v>
      </c>
      <c r="C7590" t="inlineStr"/>
      <c r="D7590" t="inlineStr">
        <is>
          <t>336</t>
        </is>
      </c>
      <c r="E7590" t="inlineStr">
        <is>
          <t>1</t>
        </is>
      </c>
      <c r="F7590" t="inlineStr">
        <is>
          <t>84</t>
        </is>
      </c>
      <c r="G7590" t="inlineStr">
        <is>
          <t>8</t>
        </is>
      </c>
      <c r="H7590" t="inlineStr">
        <is>
          <t>0</t>
        </is>
      </c>
      <c r="I7590" t="inlineStr">
        <is>
          <t>4², 8², 52², 104²</t>
        </is>
      </c>
      <c r="J7590" t="n">
        <v>8</v>
      </c>
      <c r="K7590" t="inlineStr">
        <is>
          <t>1⁴, 2⁴, 12², 24²</t>
        </is>
      </c>
      <c r="L7590" t="inlineStr">
        <is>
          <t>52F¹¹, 104A¹¹, 104E¹¹</t>
        </is>
      </c>
      <c r="M7590" t="inlineStr"/>
      <c r="N7590" t="inlineStr">
        <is>
          <t>52F¹¹, 52A³, 104E¹¹, 104A¹¹, 4A⁰, 4C⁰, 13A⁰, 52B⁵, 2B⁰, 4F⁰, 1A⁰, 26A²</t>
        </is>
      </c>
      <c r="O7590" t="inlineStr"/>
    </row>
    <row r="7591">
      <c r="A7591">
        <f>HYPERLINK("https://mathstats.uncg.edu/sites/pauli/congruence/csg23.html#group104I23", "104I²³")</f>
        <v/>
      </c>
      <c r="B7591" t="n">
        <v>23</v>
      </c>
      <c r="C7591" t="inlineStr"/>
      <c r="D7591" t="inlineStr">
        <is>
          <t>336</t>
        </is>
      </c>
      <c r="E7591" t="inlineStr">
        <is>
          <t>1</t>
        </is>
      </c>
      <c r="F7591" t="inlineStr">
        <is>
          <t>84</t>
        </is>
      </c>
      <c r="G7591" t="inlineStr">
        <is>
          <t>8</t>
        </is>
      </c>
      <c r="H7591" t="inlineStr">
        <is>
          <t>0</t>
        </is>
      </c>
      <c r="I7591" t="inlineStr">
        <is>
          <t>4², 8², 52², 104²</t>
        </is>
      </c>
      <c r="J7591" t="n">
        <v>8</v>
      </c>
      <c r="K7591" t="inlineStr">
        <is>
          <t>1⁴, 2⁴, 12², 24²</t>
        </is>
      </c>
      <c r="L7591" t="inlineStr">
        <is>
          <t>8H⁰, 52F¹¹, 104B¹¹, 104F¹¹</t>
        </is>
      </c>
      <c r="M7591" t="inlineStr"/>
      <c r="N7591" t="inlineStr">
        <is>
          <t>8D⁰, 4C⁰, 104B¹¹, 8B⁰, 13A⁰, 2B⁰, 1A⁰, 26A², 8H⁰, 52F¹¹, 104F¹¹, 52A³, 4A⁰, 52B⁵, 4F⁰</t>
        </is>
      </c>
      <c r="O7591" t="inlineStr"/>
    </row>
    <row r="7592">
      <c r="A7592">
        <f>HYPERLINK("https://mathstats.uncg.edu/sites/pauli/congruence/csg23.html#group104J23", "104J²³")</f>
        <v/>
      </c>
      <c r="B7592" t="n">
        <v>23</v>
      </c>
      <c r="C7592" t="inlineStr"/>
      <c r="D7592" t="inlineStr">
        <is>
          <t>336</t>
        </is>
      </c>
      <c r="E7592" t="inlineStr">
        <is>
          <t>1</t>
        </is>
      </c>
      <c r="F7592" t="inlineStr">
        <is>
          <t>84</t>
        </is>
      </c>
      <c r="G7592" t="inlineStr">
        <is>
          <t>8</t>
        </is>
      </c>
      <c r="H7592" t="inlineStr">
        <is>
          <t>0</t>
        </is>
      </c>
      <c r="I7592" t="inlineStr">
        <is>
          <t>4², 8², 52², 104²</t>
        </is>
      </c>
      <c r="J7592" t="n">
        <v>8</v>
      </c>
      <c r="K7592" t="inlineStr">
        <is>
          <t>1⁸, 2², 12⁴, 24¹</t>
        </is>
      </c>
      <c r="L7592" t="inlineStr">
        <is>
          <t>52B⁹</t>
        </is>
      </c>
      <c r="M7592" t="inlineStr"/>
      <c r="N7592" t="inlineStr">
        <is>
          <t>52B⁹, 4C⁰, 13A⁰, 26B⁴, 52B⁵, 2B⁰, 26A⁰, 52A⁴, 1A⁰, 26A²</t>
        </is>
      </c>
      <c r="O7592" t="inlineStr"/>
    </row>
    <row r="7593">
      <c r="A7593">
        <f>HYPERLINK("https://mathstats.uncg.edu/sites/pauli/congruence/csg23.html#group104K23", "104K²³")</f>
        <v/>
      </c>
      <c r="B7593" t="n">
        <v>23</v>
      </c>
      <c r="C7593" t="inlineStr"/>
      <c r="D7593" t="inlineStr">
        <is>
          <t>336</t>
        </is>
      </c>
      <c r="E7593" t="inlineStr">
        <is>
          <t>1</t>
        </is>
      </c>
      <c r="F7593" t="inlineStr">
        <is>
          <t>168</t>
        </is>
      </c>
      <c r="G7593" t="inlineStr">
        <is>
          <t>0</t>
        </is>
      </c>
      <c r="H7593" t="inlineStr">
        <is>
          <t>0</t>
        </is>
      </c>
      <c r="I7593" t="inlineStr">
        <is>
          <t>1², 2¹, 4¹, 8², 13², 26¹, 52¹, 104²</t>
        </is>
      </c>
      <c r="J7593" t="n">
        <v>12</v>
      </c>
      <c r="K7593" t="inlineStr">
        <is>
          <t>1⁸, 2⁴, 4², 12⁴, 24², 48¹</t>
        </is>
      </c>
      <c r="L7593" t="inlineStr">
        <is>
          <t>104D¹¹</t>
        </is>
      </c>
      <c r="M7593" t="inlineStr"/>
      <c r="N7593" t="inlineStr">
        <is>
          <t>104D¹¹, 52A⁵, 13A⁰, 8C⁰, 2B⁰, 4B⁰, 1A⁰, 26A²</t>
        </is>
      </c>
      <c r="O7593" t="inlineStr"/>
    </row>
    <row r="7594">
      <c r="A7594">
        <f>HYPERLINK("https://mathstats.uncg.edu/sites/pauli/congruence/csg23.html#group104L23", "104L²³")</f>
        <v/>
      </c>
      <c r="B7594" t="n">
        <v>23</v>
      </c>
      <c r="C7594" t="inlineStr"/>
      <c r="D7594" t="inlineStr">
        <is>
          <t>336</t>
        </is>
      </c>
      <c r="E7594" t="inlineStr">
        <is>
          <t>1</t>
        </is>
      </c>
      <c r="F7594" t="inlineStr">
        <is>
          <t>168</t>
        </is>
      </c>
      <c r="G7594" t="inlineStr">
        <is>
          <t>0</t>
        </is>
      </c>
      <c r="H7594" t="inlineStr">
        <is>
          <t>0</t>
        </is>
      </c>
      <c r="I7594" t="inlineStr">
        <is>
          <t>1², 2¹, 4¹, 8², 13², 26¹, 52¹, 104²</t>
        </is>
      </c>
      <c r="J7594" t="n">
        <v>12</v>
      </c>
      <c r="K7594" t="inlineStr">
        <is>
          <t>1⁸, 2⁴, 4², 12⁴, 24², 48¹</t>
        </is>
      </c>
      <c r="L7594" t="inlineStr">
        <is>
          <t>8I⁰, 104D¹¹</t>
        </is>
      </c>
      <c r="M7594" t="inlineStr"/>
      <c r="N7594" t="inlineStr">
        <is>
          <t>104D¹¹, 52A⁵, 13A⁰, 8C⁰, 2B⁰, 8I⁰, 4B⁰, 1A⁰, 26A²</t>
        </is>
      </c>
      <c r="O7594" t="inlineStr"/>
    </row>
    <row r="7595">
      <c r="A7595">
        <f>HYPERLINK("https://mathstats.uncg.edu/sites/pauli/congruence/csg23.html#group104M23", "104M²³")</f>
        <v/>
      </c>
      <c r="B7595" t="n">
        <v>23</v>
      </c>
      <c r="C7595" t="inlineStr"/>
      <c r="D7595" t="inlineStr">
        <is>
          <t>336</t>
        </is>
      </c>
      <c r="E7595" t="inlineStr">
        <is>
          <t>1</t>
        </is>
      </c>
      <c r="F7595" t="inlineStr">
        <is>
          <t>168</t>
        </is>
      </c>
      <c r="G7595" t="inlineStr">
        <is>
          <t>0</t>
        </is>
      </c>
      <c r="H7595" t="inlineStr">
        <is>
          <t>0</t>
        </is>
      </c>
      <c r="I7595" t="inlineStr">
        <is>
          <t>2², 4³, 8¹, 26², 52³, 104¹</t>
        </is>
      </c>
      <c r="J7595" t="n">
        <v>12</v>
      </c>
      <c r="K7595" t="inlineStr">
        <is>
          <t>1¹⁶, 2⁴, 12⁸, 24²</t>
        </is>
      </c>
      <c r="L7595" t="inlineStr">
        <is>
          <t>52D¹¹</t>
        </is>
      </c>
      <c r="M7595" t="inlineStr"/>
      <c r="N7595" t="inlineStr">
        <is>
          <t>26B⁵, 2A⁰, 26A¹, 4C⁰, 52A⁵, 13A⁰, 52B⁵, 2B⁰, 4E⁰, 52D¹¹, 4B⁰, 1A⁰, 2C⁰, 26A²</t>
        </is>
      </c>
      <c r="O7595" t="inlineStr"/>
    </row>
    <row r="7596">
      <c r="A7596">
        <f>HYPERLINK("https://mathstats.uncg.edu/sites/pauli/congruence/csg23.html#group104N23", "104N²³")</f>
        <v/>
      </c>
      <c r="B7596" t="n">
        <v>23</v>
      </c>
      <c r="C7596" t="inlineStr"/>
      <c r="D7596" t="inlineStr">
        <is>
          <t>336</t>
        </is>
      </c>
      <c r="E7596" t="inlineStr">
        <is>
          <t>1</t>
        </is>
      </c>
      <c r="F7596" t="inlineStr">
        <is>
          <t>168</t>
        </is>
      </c>
      <c r="G7596" t="inlineStr">
        <is>
          <t>0</t>
        </is>
      </c>
      <c r="H7596" t="inlineStr">
        <is>
          <t>0</t>
        </is>
      </c>
      <c r="I7596" t="inlineStr">
        <is>
          <t>2², 4³, 8¹, 26², 52³, 104¹</t>
        </is>
      </c>
      <c r="J7596" t="n">
        <v>12</v>
      </c>
      <c r="K7596" t="inlineStr">
        <is>
          <t>1¹⁶, 2⁴, 12⁸, 24²</t>
        </is>
      </c>
      <c r="L7596" t="inlineStr">
        <is>
          <t>8J⁰, 52D¹¹</t>
        </is>
      </c>
      <c r="M7596" t="inlineStr"/>
      <c r="N7596" t="inlineStr">
        <is>
          <t>2A⁰, 26A¹, 4C⁰, 52A⁵, 13A⁰, 2B⁰, 4E⁰, 4B⁰, 1A⁰, 26A², 26B⁵, 52B⁵, 52D¹¹, 8J⁰, 2C⁰</t>
        </is>
      </c>
      <c r="O7596" t="inlineStr"/>
    </row>
    <row r="7597">
      <c r="A7597">
        <f>HYPERLINK("https://mathstats.uncg.edu/sites/pauli/congruence/csg23.html#group104O23", "104O²³")</f>
        <v/>
      </c>
      <c r="B7597" t="n">
        <v>23</v>
      </c>
      <c r="C7597" t="inlineStr"/>
      <c r="D7597" t="inlineStr">
        <is>
          <t>336</t>
        </is>
      </c>
      <c r="E7597" t="inlineStr">
        <is>
          <t>1</t>
        </is>
      </c>
      <c r="F7597" t="inlineStr">
        <is>
          <t>168</t>
        </is>
      </c>
      <c r="G7597" t="inlineStr">
        <is>
          <t>4</t>
        </is>
      </c>
      <c r="H7597" t="inlineStr">
        <is>
          <t>0</t>
        </is>
      </c>
      <c r="I7597" t="inlineStr">
        <is>
          <t>4⁴, 8¹, 52⁴, 104¹</t>
        </is>
      </c>
      <c r="J7597" t="n">
        <v>10</v>
      </c>
      <c r="K7597" t="inlineStr">
        <is>
          <t>2⁴, 4⁴, 24², 48²</t>
        </is>
      </c>
      <c r="L7597" t="inlineStr">
        <is>
          <t>52F¹¹</t>
        </is>
      </c>
      <c r="M7597" t="inlineStr"/>
      <c r="N7597" t="inlineStr">
        <is>
          <t>52F¹¹, 52A³, 4A⁰, 4C⁰, 13A⁰, 52B⁵, 2B⁰, 4F⁰, 1A⁰, 26A²</t>
        </is>
      </c>
      <c r="O7597" t="inlineStr"/>
    </row>
    <row r="7598">
      <c r="A7598">
        <f>HYPERLINK("https://mathstats.uncg.edu/sites/pauli/congruence/csg23.html#group104P23", "104P²³")</f>
        <v/>
      </c>
      <c r="B7598" t="n">
        <v>23</v>
      </c>
      <c r="C7598" t="inlineStr"/>
      <c r="D7598" t="inlineStr">
        <is>
          <t>336</t>
        </is>
      </c>
      <c r="E7598" t="inlineStr">
        <is>
          <t>1</t>
        </is>
      </c>
      <c r="F7598" t="inlineStr">
        <is>
          <t>168</t>
        </is>
      </c>
      <c r="G7598" t="inlineStr">
        <is>
          <t>4</t>
        </is>
      </c>
      <c r="H7598" t="inlineStr">
        <is>
          <t>0</t>
        </is>
      </c>
      <c r="I7598" t="inlineStr">
        <is>
          <t>4⁴, 8¹, 52⁴, 104¹</t>
        </is>
      </c>
      <c r="J7598" t="n">
        <v>10</v>
      </c>
      <c r="K7598" t="inlineStr">
        <is>
          <t>2⁴, 4⁴, 24², 48²</t>
        </is>
      </c>
      <c r="L7598" t="inlineStr">
        <is>
          <t>8K⁰, 52F¹¹</t>
        </is>
      </c>
      <c r="M7598" t="inlineStr"/>
      <c r="N7598" t="inlineStr">
        <is>
          <t>4C⁰, 13A⁰, 2B⁰, 1A⁰, 8K⁰, 26A², 52F¹¹, 52A³, 4A⁰, 52B⁵, 4F⁰</t>
        </is>
      </c>
      <c r="O7598" t="inlineStr"/>
    </row>
    <row r="7599">
      <c r="A7599">
        <f>HYPERLINK("https://mathstats.uncg.edu/sites/pauli/congruence/csg23.html#group104Q23", "104Q²³")</f>
        <v/>
      </c>
      <c r="B7599" t="n">
        <v>23</v>
      </c>
      <c r="C7599" t="inlineStr"/>
      <c r="D7599" t="inlineStr">
        <is>
          <t>336</t>
        </is>
      </c>
      <c r="E7599" t="inlineStr">
        <is>
          <t>1</t>
        </is>
      </c>
      <c r="F7599" t="inlineStr">
        <is>
          <t>168</t>
        </is>
      </c>
      <c r="G7599" t="inlineStr">
        <is>
          <t>8</t>
        </is>
      </c>
      <c r="H7599" t="inlineStr">
        <is>
          <t>0</t>
        </is>
      </c>
      <c r="I7599" t="inlineStr">
        <is>
          <t>4², 8², 52², 104²</t>
        </is>
      </c>
      <c r="J7599" t="n">
        <v>8</v>
      </c>
      <c r="K7599" t="inlineStr">
        <is>
          <t>1⁸, 2⁴, 4², 12⁴, 24², 48¹</t>
        </is>
      </c>
      <c r="L7599" t="inlineStr">
        <is>
          <t>104B¹¹</t>
        </is>
      </c>
      <c r="M7599" t="inlineStr"/>
      <c r="N7599" t="inlineStr">
        <is>
          <t>4C⁰, 104B¹¹, 8B⁰, 13A⁰, 52B⁵, 2B⁰, 1A⁰, 26A²</t>
        </is>
      </c>
      <c r="O7599" t="inlineStr"/>
    </row>
    <row r="7600">
      <c r="A7600">
        <f>HYPERLINK("https://mathstats.uncg.edu/sites/pauli/congruence/csg23.html#group104R23", "104R²³")</f>
        <v/>
      </c>
      <c r="B7600" t="n">
        <v>23</v>
      </c>
      <c r="C7600" t="inlineStr"/>
      <c r="D7600" t="inlineStr">
        <is>
          <t>336</t>
        </is>
      </c>
      <c r="E7600" t="inlineStr">
        <is>
          <t>1</t>
        </is>
      </c>
      <c r="F7600" t="inlineStr">
        <is>
          <t>168</t>
        </is>
      </c>
      <c r="G7600" t="inlineStr">
        <is>
          <t>8</t>
        </is>
      </c>
      <c r="H7600" t="inlineStr">
        <is>
          <t>0</t>
        </is>
      </c>
      <c r="I7600" t="inlineStr">
        <is>
          <t>4², 8², 52², 104²</t>
        </is>
      </c>
      <c r="J7600" t="n">
        <v>8</v>
      </c>
      <c r="K7600" t="inlineStr">
        <is>
          <t>1⁸, 2⁴, 4², 12⁴, 24², 48¹</t>
        </is>
      </c>
      <c r="L7600" t="inlineStr">
        <is>
          <t>8L⁰, 104B¹¹</t>
        </is>
      </c>
      <c r="M7600" t="inlineStr"/>
      <c r="N7600" t="inlineStr">
        <is>
          <t>4C⁰, 104B¹¹, 8B⁰, 13A⁰, 8L⁰, 52B⁵, 2B⁰, 1A⁰, 26A²</t>
        </is>
      </c>
      <c r="O7600" t="inlineStr"/>
    </row>
    <row r="7601">
      <c r="A7601">
        <f>HYPERLINK("https://mathstats.uncg.edu/sites/pauli/congruence/csg23.html#group104S23", "104S²³")</f>
        <v/>
      </c>
      <c r="B7601" t="n">
        <v>23</v>
      </c>
      <c r="C7601" t="inlineStr"/>
      <c r="D7601" t="inlineStr">
        <is>
          <t>336</t>
        </is>
      </c>
      <c r="E7601" t="inlineStr">
        <is>
          <t>2</t>
        </is>
      </c>
      <c r="F7601" t="inlineStr">
        <is>
          <t>42</t>
        </is>
      </c>
      <c r="G7601" t="inlineStr">
        <is>
          <t>0</t>
        </is>
      </c>
      <c r="H7601" t="inlineStr">
        <is>
          <t>0</t>
        </is>
      </c>
      <c r="I7601" t="inlineStr">
        <is>
          <t>2⁴, 8², 26⁴, 104²</t>
        </is>
      </c>
      <c r="J7601" t="n">
        <v>12</v>
      </c>
      <c r="K7601" t="inlineStr">
        <is>
          <t>2⁶, 24³</t>
        </is>
      </c>
      <c r="L7601" t="inlineStr">
        <is>
          <t>104A⁹, 52C¹¹, 104G¹¹</t>
        </is>
      </c>
      <c r="M7601" t="inlineStr"/>
      <c r="N7601" t="inlineStr">
        <is>
          <t>52C¹¹, 104G¹¹, 26B⁵, 2A⁰, 26A¹, 52A⁶, 104A⁹, 13A⁰, 2B⁰, 52A⁴, 1A⁰, 2C⁰, 26A²</t>
        </is>
      </c>
      <c r="O7601" t="inlineStr"/>
    </row>
    <row r="7602">
      <c r="A7602">
        <f>HYPERLINK("https://mathstats.uncg.edu/sites/pauli/congruence/csg23.html#group104T23", "104T²³")</f>
        <v/>
      </c>
      <c r="B7602" t="n">
        <v>23</v>
      </c>
      <c r="C7602" t="inlineStr"/>
      <c r="D7602" t="inlineStr">
        <is>
          <t>336</t>
        </is>
      </c>
      <c r="E7602" t="inlineStr">
        <is>
          <t>2</t>
        </is>
      </c>
      <c r="F7602" t="inlineStr">
        <is>
          <t>56</t>
        </is>
      </c>
      <c r="G7602" t="inlineStr">
        <is>
          <t>12</t>
        </is>
      </c>
      <c r="H7602" t="inlineStr">
        <is>
          <t>0</t>
        </is>
      </c>
      <c r="I7602" t="inlineStr">
        <is>
          <t>8³, 104³</t>
        </is>
      </c>
      <c r="J7602" t="n">
        <v>6</v>
      </c>
      <c r="K7602" t="inlineStr">
        <is>
          <t>4⁴, 48²</t>
        </is>
      </c>
      <c r="L7602" t="inlineStr">
        <is>
          <t>104A⁷, 52C⁹</t>
        </is>
      </c>
      <c r="M7602" t="inlineStr"/>
      <c r="N7602" t="inlineStr">
        <is>
          <t>13A⁰, 104A⁷, 13C⁰, 52C⁹, 1A⁰, 4A⁰, 52A³</t>
        </is>
      </c>
      <c r="O7602" t="inlineStr"/>
    </row>
    <row r="7603">
      <c r="A7603">
        <f>HYPERLINK("https://mathstats.uncg.edu/sites/pauli/congruence/csg23.html#group104U23", "104U²³")</f>
        <v/>
      </c>
      <c r="B7603" t="n">
        <v>23</v>
      </c>
      <c r="C7603" t="inlineStr"/>
      <c r="D7603" t="inlineStr">
        <is>
          <t>336</t>
        </is>
      </c>
      <c r="E7603" t="inlineStr">
        <is>
          <t>2</t>
        </is>
      </c>
      <c r="F7603" t="inlineStr">
        <is>
          <t>56</t>
        </is>
      </c>
      <c r="G7603" t="inlineStr">
        <is>
          <t>12</t>
        </is>
      </c>
      <c r="H7603" t="inlineStr">
        <is>
          <t>0</t>
        </is>
      </c>
      <c r="I7603" t="inlineStr">
        <is>
          <t>8³, 104³</t>
        </is>
      </c>
      <c r="J7603" t="n">
        <v>6</v>
      </c>
      <c r="K7603" t="inlineStr">
        <is>
          <t>4⁴, 48²</t>
        </is>
      </c>
      <c r="L7603" t="inlineStr">
        <is>
          <t>104B⁷, 52C⁹</t>
        </is>
      </c>
      <c r="M7603" t="inlineStr"/>
      <c r="N7603" t="inlineStr">
        <is>
          <t>52A³, 104B⁷, 4A⁰, 13A⁰, 8A⁰, 13C⁰, 52C⁹, 1A⁰</t>
        </is>
      </c>
      <c r="O7603" t="inlineStr"/>
    </row>
    <row r="7604">
      <c r="A7604">
        <f>HYPERLINK("https://mathstats.uncg.edu/sites/pauli/congruence/csg23.html#group105A23", "105A²³")</f>
        <v/>
      </c>
      <c r="B7604" t="n">
        <v>23</v>
      </c>
      <c r="C7604" t="inlineStr"/>
      <c r="D7604" t="inlineStr">
        <is>
          <t>320</t>
        </is>
      </c>
      <c r="E7604" t="inlineStr">
        <is>
          <t>1</t>
        </is>
      </c>
      <c r="F7604" t="inlineStr">
        <is>
          <t>320</t>
        </is>
      </c>
      <c r="G7604" t="inlineStr">
        <is>
          <t>0</t>
        </is>
      </c>
      <c r="H7604" t="inlineStr">
        <is>
          <t>2</t>
        </is>
      </c>
      <c r="I7604" t="inlineStr">
        <is>
          <t>5², 15², 35², 105²</t>
        </is>
      </c>
      <c r="J7604" t="n">
        <v>8</v>
      </c>
      <c r="K7604" t="inlineStr">
        <is>
          <t>2⁴, 4¹⁰, 8⁴, 12², 24⁵, 48²</t>
        </is>
      </c>
      <c r="L7604" t="inlineStr">
        <is>
          <t>21B¹, 15C², 35A⁵</t>
        </is>
      </c>
      <c r="M7604" t="inlineStr"/>
      <c r="N7604" t="inlineStr">
        <is>
          <t>3B⁰, 35A⁵, 21B¹, 7B⁰, 5C⁰, 15C², 1A⁰</t>
        </is>
      </c>
      <c r="O7604" t="inlineStr"/>
    </row>
    <row r="7605">
      <c r="A7605">
        <f>HYPERLINK("https://mathstats.uncg.edu/sites/pauli/congruence/csg23.html#group108A23", "108A²³")</f>
        <v/>
      </c>
      <c r="B7605" t="n">
        <v>23</v>
      </c>
      <c r="C7605" t="inlineStr"/>
      <c r="D7605" t="inlineStr">
        <is>
          <t>288</t>
        </is>
      </c>
      <c r="E7605" t="inlineStr">
        <is>
          <t>1</t>
        </is>
      </c>
      <c r="F7605" t="inlineStr">
        <is>
          <t>48</t>
        </is>
      </c>
      <c r="G7605" t="inlineStr">
        <is>
          <t>0</t>
        </is>
      </c>
      <c r="H7605" t="inlineStr">
        <is>
          <t>0</t>
        </is>
      </c>
      <c r="I7605" t="inlineStr">
        <is>
          <t>36², 108²</t>
        </is>
      </c>
      <c r="J7605" t="n">
        <v>4</v>
      </c>
      <c r="K7605" t="inlineStr">
        <is>
          <t>2⁴, 4⁴, 12²</t>
        </is>
      </c>
      <c r="L7605" t="inlineStr">
        <is>
          <t>36G⁵, 54A⁶, 108B¹²</t>
        </is>
      </c>
      <c r="M7605" t="inlineStr"/>
      <c r="N7605" t="inlineStr">
        <is>
          <t>3B⁰, 2A⁰, 12I¹, 18B⁰, 54A⁶, 6C⁰, 9C⁰, 1A⁰, 36G⁵, 108B¹², 36C³, 4A⁰, 4D⁰, 12A¹, 27A³</t>
        </is>
      </c>
      <c r="O7605" t="inlineStr"/>
    </row>
    <row r="7606">
      <c r="A7606">
        <f>HYPERLINK("https://mathstats.uncg.edu/sites/pauli/congruence/csg23.html#group110A23", "110A²³")</f>
        <v/>
      </c>
      <c r="B7606" t="n">
        <v>23</v>
      </c>
      <c r="C7606" t="inlineStr"/>
      <c r="D7606" t="inlineStr">
        <is>
          <t>330</t>
        </is>
      </c>
      <c r="E7606" t="inlineStr">
        <is>
          <t>2</t>
        </is>
      </c>
      <c r="F7606" t="inlineStr">
        <is>
          <t>110</t>
        </is>
      </c>
      <c r="G7606" t="inlineStr">
        <is>
          <t>0</t>
        </is>
      </c>
      <c r="H7606" t="inlineStr">
        <is>
          <t>12</t>
        </is>
      </c>
      <c r="I7606" t="inlineStr">
        <is>
          <t>110³</t>
        </is>
      </c>
      <c r="J7606" t="n">
        <v>3</v>
      </c>
      <c r="K7606" t="inlineStr">
        <is>
          <t>4¹, 8², 20², 40⁴</t>
        </is>
      </c>
      <c r="L7606" t="inlineStr">
        <is>
          <t>10E⁰, 110A⁷</t>
        </is>
      </c>
      <c r="M7606" t="inlineStr"/>
      <c r="N7606" t="inlineStr">
        <is>
          <t>11A⁰, 2A⁰, 5A⁰, 55A³, 10A⁰, 22A¹, 10E⁰, 110A⁷, 1A⁰</t>
        </is>
      </c>
      <c r="O7606" t="inlineStr"/>
    </row>
    <row r="7607">
      <c r="A7607">
        <f>HYPERLINK("https://mathstats.uncg.edu/sites/pauli/congruence/csg23.html#group112A23", "112A²³")</f>
        <v/>
      </c>
      <c r="B7607" t="n">
        <v>23</v>
      </c>
      <c r="C7607" t="inlineStr"/>
      <c r="D7607" t="inlineStr">
        <is>
          <t>336</t>
        </is>
      </c>
      <c r="E7607" t="inlineStr">
        <is>
          <t>2</t>
        </is>
      </c>
      <c r="F7607" t="inlineStr">
        <is>
          <t>21</t>
        </is>
      </c>
      <c r="G7607" t="inlineStr">
        <is>
          <t>16</t>
        </is>
      </c>
      <c r="H7607" t="inlineStr">
        <is>
          <t>0</t>
        </is>
      </c>
      <c r="I7607" t="inlineStr">
        <is>
          <t>56², 112²</t>
        </is>
      </c>
      <c r="J7607" t="n">
        <v>4</v>
      </c>
      <c r="K7607" t="inlineStr">
        <is>
          <t>2³, 6⁶</t>
        </is>
      </c>
      <c r="L7607" t="inlineStr">
        <is>
          <t>112B⁸, 56A¹¹, 112A¹²</t>
        </is>
      </c>
      <c r="M7607" t="inlineStr"/>
      <c r="N7607" t="inlineStr">
        <is>
          <t>56A¹¹, 14B¹, 28B³, 4C⁰, 112A¹², 8B⁰, 2B⁰, 28B⁵, 1A⁰, 56A⁶, 16B⁰, 28C², 14A², 7C⁰, 112B⁸, 7A⁰, 56B⁴</t>
        </is>
      </c>
      <c r="O7607" t="inlineStr"/>
    </row>
    <row r="7608">
      <c r="A7608">
        <f>HYPERLINK("https://mathstats.uncg.edu/sites/pauli/congruence/csg23.html#group112B23", "112B²³")</f>
        <v/>
      </c>
      <c r="B7608" t="n">
        <v>23</v>
      </c>
      <c r="C7608" t="inlineStr"/>
      <c r="D7608" t="inlineStr">
        <is>
          <t>336</t>
        </is>
      </c>
      <c r="E7608" t="inlineStr">
        <is>
          <t>2</t>
        </is>
      </c>
      <c r="F7608" t="inlineStr">
        <is>
          <t>42</t>
        </is>
      </c>
      <c r="G7608" t="inlineStr">
        <is>
          <t>0</t>
        </is>
      </c>
      <c r="H7608" t="inlineStr">
        <is>
          <t>0</t>
        </is>
      </c>
      <c r="I7608" t="inlineStr">
        <is>
          <t>7⁸, 28², 112²</t>
        </is>
      </c>
      <c r="J7608" t="n">
        <v>12</v>
      </c>
      <c r="K7608" t="inlineStr">
        <is>
          <t>2⁴, 4¹, 6⁸, 12²</t>
        </is>
      </c>
      <c r="L7608" t="inlineStr">
        <is>
          <t>56B¹¹, 112B¹², 112C¹²</t>
        </is>
      </c>
      <c r="M7608" t="inlineStr"/>
      <c r="N7608" t="inlineStr">
        <is>
          <t>56C⁶, 14B¹, 28A³, 2B⁰, 8C⁰, 4B⁰, 28A⁵, 1A⁰, 56B¹¹, 14A², 56B⁶, 112B¹², 7C⁰, 16C⁰, 112C¹², 28B², 7A⁰</t>
        </is>
      </c>
      <c r="O7608" t="inlineStr"/>
    </row>
    <row r="7609">
      <c r="A7609">
        <f>HYPERLINK("https://mathstats.uncg.edu/sites/pauli/congruence/csg23.html#group112C23", "112C²³")</f>
        <v/>
      </c>
      <c r="B7609" t="n">
        <v>23</v>
      </c>
      <c r="C7609" t="inlineStr"/>
      <c r="D7609" t="inlineStr">
        <is>
          <t>336</t>
        </is>
      </c>
      <c r="E7609" t="inlineStr">
        <is>
          <t>2</t>
        </is>
      </c>
      <c r="F7609" t="inlineStr">
        <is>
          <t>42</t>
        </is>
      </c>
      <c r="G7609" t="inlineStr">
        <is>
          <t>16</t>
        </is>
      </c>
      <c r="H7609" t="inlineStr">
        <is>
          <t>0</t>
        </is>
      </c>
      <c r="I7609" t="inlineStr">
        <is>
          <t>56², 112²</t>
        </is>
      </c>
      <c r="J7609" t="n">
        <v>4</v>
      </c>
      <c r="K7609" t="inlineStr">
        <is>
          <t>2², 4², 6⁴, 12⁴</t>
        </is>
      </c>
      <c r="L7609" t="inlineStr">
        <is>
          <t>56B⁹, 112A¹¹, 112B¹¹</t>
        </is>
      </c>
      <c r="M7609" t="inlineStr"/>
      <c r="N7609" t="inlineStr">
        <is>
          <t>112A¹¹, 14A⁰, 28C⁴, 14B¹, 14C², 4C⁰, 8B⁰, 16B¹, 2B⁰, 56B⁹, 1A⁰, 28C², 112B¹¹, 56A⁵, 28B², 7A⁰, 56B⁴</t>
        </is>
      </c>
      <c r="O7609" t="inlineStr"/>
    </row>
    <row r="7610">
      <c r="A7610">
        <f>HYPERLINK("https://mathstats.uncg.edu/sites/pauli/congruence/csg23.html#group112D23", "112D²³")</f>
        <v/>
      </c>
      <c r="B7610" t="n">
        <v>23</v>
      </c>
      <c r="C7610" t="inlineStr"/>
      <c r="D7610" t="inlineStr">
        <is>
          <t>336</t>
        </is>
      </c>
      <c r="E7610" t="inlineStr">
        <is>
          <t>2</t>
        </is>
      </c>
      <c r="F7610" t="inlineStr">
        <is>
          <t>42</t>
        </is>
      </c>
      <c r="G7610" t="inlineStr">
        <is>
          <t>16</t>
        </is>
      </c>
      <c r="H7610" t="inlineStr">
        <is>
          <t>0</t>
        </is>
      </c>
      <c r="I7610" t="inlineStr">
        <is>
          <t>56², 112²</t>
        </is>
      </c>
      <c r="J7610" t="n">
        <v>4</v>
      </c>
      <c r="K7610" t="inlineStr">
        <is>
          <t>2², 4², 6⁴, 12⁴</t>
        </is>
      </c>
      <c r="L7610" t="inlineStr">
        <is>
          <t>56B¹⁰, 112A¹⁰, 112B¹¹</t>
        </is>
      </c>
      <c r="M7610" t="inlineStr"/>
      <c r="N7610" t="inlineStr">
        <is>
          <t>28C², 56B⁵, 56B¹⁰, 14B¹, 112B¹¹, 4C⁰, 112A¹⁰, 8B⁰, 16B¹, 28C⁵, 2B⁰, 1A⁰, 7A⁰, 56B⁴</t>
        </is>
      </c>
      <c r="O7610" t="inlineStr"/>
    </row>
    <row r="7611">
      <c r="A7611">
        <f>HYPERLINK("https://mathstats.uncg.edu/sites/pauli/congruence/csg23.html#group112E23", "112E²³")</f>
        <v/>
      </c>
      <c r="B7611" t="n">
        <v>23</v>
      </c>
      <c r="C7611" t="inlineStr"/>
      <c r="D7611" t="inlineStr">
        <is>
          <t>336</t>
        </is>
      </c>
      <c r="E7611" t="inlineStr">
        <is>
          <t>2</t>
        </is>
      </c>
      <c r="F7611" t="inlineStr">
        <is>
          <t>42</t>
        </is>
      </c>
      <c r="G7611" t="inlineStr">
        <is>
          <t>16</t>
        </is>
      </c>
      <c r="H7611" t="inlineStr">
        <is>
          <t>0</t>
        </is>
      </c>
      <c r="I7611" t="inlineStr">
        <is>
          <t>56², 112²</t>
        </is>
      </c>
      <c r="J7611" t="n">
        <v>4</v>
      </c>
      <c r="K7611" t="inlineStr">
        <is>
          <t>2², 4², 6⁴, 12⁴</t>
        </is>
      </c>
      <c r="L7611" t="inlineStr">
        <is>
          <t>56C¹⁰, 112A¹⁰, 112A¹¹</t>
        </is>
      </c>
      <c r="M7611" t="inlineStr"/>
      <c r="N7611" t="inlineStr">
        <is>
          <t>112A¹¹, 56C⁵, 14B¹, 8D⁰, 4C⁰, 8B⁰, 2B⁰, 1A⁰, 56C¹⁰, 8H⁰, 28C², 4A⁰, 28D⁵, 112A¹⁰, 4F⁰, 28A¹, 7A⁰, 56B⁴</t>
        </is>
      </c>
      <c r="O7611" t="inlineStr"/>
    </row>
    <row r="7612">
      <c r="A7612">
        <f>HYPERLINK("https://mathstats.uncg.edu/sites/pauli/congruence/csg23.html#group112F23", "112F²³")</f>
        <v/>
      </c>
      <c r="B7612" t="n">
        <v>23</v>
      </c>
      <c r="C7612" t="inlineStr"/>
      <c r="D7612" t="inlineStr">
        <is>
          <t>336</t>
        </is>
      </c>
      <c r="E7612" t="inlineStr">
        <is>
          <t>2</t>
        </is>
      </c>
      <c r="F7612" t="inlineStr">
        <is>
          <t>84</t>
        </is>
      </c>
      <c r="G7612" t="inlineStr">
        <is>
          <t>0</t>
        </is>
      </c>
      <c r="H7612" t="inlineStr">
        <is>
          <t>0</t>
        </is>
      </c>
      <c r="I7612" t="inlineStr">
        <is>
          <t>7⁴, 14⁶, 112²</t>
        </is>
      </c>
      <c r="J7612" t="n">
        <v>12</v>
      </c>
      <c r="K7612" t="inlineStr">
        <is>
          <t>2⁴, 4², 6⁸, 8¹, 12⁴, 24²</t>
        </is>
      </c>
      <c r="L7612" t="inlineStr">
        <is>
          <t>56B¹¹, 112D¹², 112E¹²</t>
        </is>
      </c>
      <c r="M7612" t="inlineStr"/>
      <c r="N7612" t="inlineStr">
        <is>
          <t>56C⁶, 14B¹, 28A³, 8C⁰, 2B⁰, 4B⁰, 28A⁵, 1A⁰, 56B¹¹, 112E¹², 14A², 56B⁶, 16D⁰, 7C⁰, 112D¹², 28B², 7A⁰</t>
        </is>
      </c>
      <c r="O7612" t="inlineStr"/>
    </row>
    <row r="7613">
      <c r="A7613">
        <f>HYPERLINK("https://mathstats.uncg.edu/sites/pauli/congruence/csg23.html#group112G23", "112G²³")</f>
        <v/>
      </c>
      <c r="B7613" t="n">
        <v>23</v>
      </c>
      <c r="C7613" t="inlineStr"/>
      <c r="D7613" t="inlineStr">
        <is>
          <t>336</t>
        </is>
      </c>
      <c r="E7613" t="inlineStr">
        <is>
          <t>2</t>
        </is>
      </c>
      <c r="F7613" t="inlineStr">
        <is>
          <t>84</t>
        </is>
      </c>
      <c r="G7613" t="inlineStr">
        <is>
          <t>4</t>
        </is>
      </c>
      <c r="H7613" t="inlineStr">
        <is>
          <t>0</t>
        </is>
      </c>
      <c r="I7613" t="inlineStr">
        <is>
          <t>14⁸, 112²</t>
        </is>
      </c>
      <c r="J7613" t="n">
        <v>10</v>
      </c>
      <c r="K7613" t="inlineStr">
        <is>
          <t>2², 4¹, 6⁴, 8², 12², 24⁴</t>
        </is>
      </c>
      <c r="L7613" t="inlineStr">
        <is>
          <t>56C¹¹, 112C¹¹, 112D¹¹</t>
        </is>
      </c>
      <c r="M7613" t="inlineStr"/>
      <c r="N7613" t="inlineStr">
        <is>
          <t>56B⁵, 56C⁵, 56C¹¹, 112D¹¹, 14B¹, 8D⁰, 4C⁰, 2B⁰, 28B⁵, 1A⁰, 28C², 16E⁰, 14A², 7C⁰, 112C¹¹, 28B³, 7A⁰</t>
        </is>
      </c>
      <c r="O7613" t="inlineStr"/>
    </row>
    <row r="7614">
      <c r="A7614">
        <f>HYPERLINK("https://mathstats.uncg.edu/sites/pauli/congruence/csg23.html#group112H23", "112H²³")</f>
        <v/>
      </c>
      <c r="B7614" t="n">
        <v>23</v>
      </c>
      <c r="C7614" t="inlineStr"/>
      <c r="D7614" t="inlineStr">
        <is>
          <t>336</t>
        </is>
      </c>
      <c r="E7614" t="inlineStr">
        <is>
          <t>2</t>
        </is>
      </c>
      <c r="F7614" t="inlineStr">
        <is>
          <t>84</t>
        </is>
      </c>
      <c r="G7614" t="inlineStr">
        <is>
          <t>12</t>
        </is>
      </c>
      <c r="H7614" t="inlineStr">
        <is>
          <t>0</t>
        </is>
      </c>
      <c r="I7614" t="inlineStr">
        <is>
          <t>28⁴, 112²</t>
        </is>
      </c>
      <c r="J7614" t="n">
        <v>6</v>
      </c>
      <c r="K7614" t="inlineStr">
        <is>
          <t>4², 8², 12⁴, 24⁴</t>
        </is>
      </c>
      <c r="L7614" t="inlineStr">
        <is>
          <t>56C¹⁰</t>
        </is>
      </c>
      <c r="M7614" t="inlineStr"/>
      <c r="N7614" t="inlineStr">
        <is>
          <t>56C⁵, 14B¹, 8D⁰, 4C⁰, 8B⁰, 2B⁰, 1A⁰, 56C¹⁰, 8H⁰, 28C², 4A⁰, 28D⁵, 4F⁰, 28A¹, 7A⁰, 56B⁴</t>
        </is>
      </c>
      <c r="O7614" t="inlineStr"/>
    </row>
    <row r="7615">
      <c r="A7615">
        <f>HYPERLINK("https://mathstats.uncg.edu/sites/pauli/congruence/csg23.html#group112I23", "112I²³")</f>
        <v/>
      </c>
      <c r="B7615" t="n">
        <v>23</v>
      </c>
      <c r="C7615" t="inlineStr"/>
      <c r="D7615" t="inlineStr">
        <is>
          <t>336</t>
        </is>
      </c>
      <c r="E7615" t="inlineStr">
        <is>
          <t>2</t>
        </is>
      </c>
      <c r="F7615" t="inlineStr">
        <is>
          <t>84</t>
        </is>
      </c>
      <c r="G7615" t="inlineStr">
        <is>
          <t>12</t>
        </is>
      </c>
      <c r="H7615" t="inlineStr">
        <is>
          <t>0</t>
        </is>
      </c>
      <c r="I7615" t="inlineStr">
        <is>
          <t>28⁴, 112²</t>
        </is>
      </c>
      <c r="J7615" t="n">
        <v>6</v>
      </c>
      <c r="K7615" t="inlineStr">
        <is>
          <t>4², 8², 12⁴, 24⁴</t>
        </is>
      </c>
      <c r="L7615" t="inlineStr">
        <is>
          <t>16H¹, 56C¹⁰</t>
        </is>
      </c>
      <c r="M7615" t="inlineStr"/>
      <c r="N7615" t="inlineStr">
        <is>
          <t>56C⁵, 14B¹, 8D⁰, 4C⁰, 8B⁰, 2B⁰, 1A⁰, 56C¹⁰, 8H⁰, 28C², 4A⁰, 28D⁵, 4F⁰, 28A¹, 16H¹, 7A⁰, 56B⁴</t>
        </is>
      </c>
      <c r="O7615" t="inlineStr"/>
    </row>
    <row r="7616">
      <c r="A7616">
        <f>HYPERLINK("https://mathstats.uncg.edu/sites/pauli/congruence/csg23.html#group112J23", "112J²³")</f>
        <v/>
      </c>
      <c r="B7616" t="n">
        <v>23</v>
      </c>
      <c r="C7616" t="inlineStr"/>
      <c r="D7616" t="inlineStr">
        <is>
          <t>336</t>
        </is>
      </c>
      <c r="E7616" t="inlineStr">
        <is>
          <t>2</t>
        </is>
      </c>
      <c r="F7616" t="inlineStr">
        <is>
          <t>84</t>
        </is>
      </c>
      <c r="G7616" t="inlineStr">
        <is>
          <t>12</t>
        </is>
      </c>
      <c r="H7616" t="inlineStr">
        <is>
          <t>0</t>
        </is>
      </c>
      <c r="I7616" t="inlineStr">
        <is>
          <t>28⁴, 112²</t>
        </is>
      </c>
      <c r="J7616" t="n">
        <v>6</v>
      </c>
      <c r="K7616" t="inlineStr">
        <is>
          <t>2², 4¹, 6⁴, 8², 12², 24⁴</t>
        </is>
      </c>
      <c r="L7616" t="inlineStr">
        <is>
          <t>56C¹⁰, 112C¹¹, 112F¹²</t>
        </is>
      </c>
      <c r="M7616" t="inlineStr"/>
      <c r="N7616" t="inlineStr">
        <is>
          <t>56C⁵, 14B¹, 8D⁰, 4C⁰, 8B⁰, 2B⁰, 1A⁰, 56C¹⁰, 8H⁰, 28C², 4A⁰, 112F¹², 28D⁵, 112C¹¹, 4F⁰, 28A¹, 7A⁰, 56B⁴</t>
        </is>
      </c>
      <c r="O7616" t="inlineStr"/>
    </row>
    <row r="7617">
      <c r="A7617">
        <f>HYPERLINK("https://mathstats.uncg.edu/sites/pauli/congruence/csg23.html#group112K23", "112K²³")</f>
        <v/>
      </c>
      <c r="B7617" t="n">
        <v>23</v>
      </c>
      <c r="C7617" t="inlineStr"/>
      <c r="D7617" t="inlineStr">
        <is>
          <t>336</t>
        </is>
      </c>
      <c r="E7617" t="inlineStr">
        <is>
          <t>2</t>
        </is>
      </c>
      <c r="F7617" t="inlineStr">
        <is>
          <t>84</t>
        </is>
      </c>
      <c r="G7617" t="inlineStr">
        <is>
          <t>12</t>
        </is>
      </c>
      <c r="H7617" t="inlineStr">
        <is>
          <t>0</t>
        </is>
      </c>
      <c r="I7617" t="inlineStr">
        <is>
          <t>28⁴, 112²</t>
        </is>
      </c>
      <c r="J7617" t="n">
        <v>6</v>
      </c>
      <c r="K7617" t="inlineStr">
        <is>
          <t>2², 4¹, 6⁴, 8², 12², 24⁴</t>
        </is>
      </c>
      <c r="L7617" t="inlineStr">
        <is>
          <t>16I¹, 56C¹⁰, 112D¹¹, 112G¹²</t>
        </is>
      </c>
      <c r="M7617" t="inlineStr"/>
      <c r="N7617" t="inlineStr">
        <is>
          <t>56C⁵, 16I¹, 112D¹¹, 8D⁰, 14B¹, 4C⁰, 8B⁰, 2B⁰, 1A⁰, 56C¹⁰, 8H⁰, 16E⁰, 28C², 4A⁰, 16C¹, 112G¹², 28D⁵, 4F⁰, 28A¹, 7A⁰, 56B⁴</t>
        </is>
      </c>
      <c r="O7617" t="inlineStr"/>
    </row>
    <row r="7618">
      <c r="A7618">
        <f>HYPERLINK("https://mathstats.uncg.edu/sites/pauli/congruence/csg23.html#group112L23", "112L²³")</f>
        <v/>
      </c>
      <c r="B7618" t="n">
        <v>23</v>
      </c>
      <c r="C7618" t="inlineStr"/>
      <c r="D7618" t="inlineStr">
        <is>
          <t>336</t>
        </is>
      </c>
      <c r="E7618" t="inlineStr">
        <is>
          <t>2</t>
        </is>
      </c>
      <c r="F7618" t="inlineStr">
        <is>
          <t>84</t>
        </is>
      </c>
      <c r="G7618" t="inlineStr">
        <is>
          <t>16</t>
        </is>
      </c>
      <c r="H7618" t="inlineStr">
        <is>
          <t>0</t>
        </is>
      </c>
      <c r="I7618" t="inlineStr">
        <is>
          <t>56², 112²</t>
        </is>
      </c>
      <c r="J7618" t="n">
        <v>4</v>
      </c>
      <c r="K7618" t="inlineStr">
        <is>
          <t>2⁴, 4², 6⁸, 8¹, 12⁴, 24²</t>
        </is>
      </c>
      <c r="L7618" t="inlineStr">
        <is>
          <t>56B⁹, 112E¹¹, 112F¹¹</t>
        </is>
      </c>
      <c r="M7618" t="inlineStr"/>
      <c r="N7618" t="inlineStr">
        <is>
          <t>14A⁰, 28C⁴, 14B¹, 14C², 4C⁰, 8B⁰, 2B⁰, 56B⁹, 1A⁰, 28C², 16D¹, 112E¹¹, 112F¹¹, 56A⁵, 28B², 7A⁰, 56B⁴</t>
        </is>
      </c>
      <c r="O7618" t="inlineStr"/>
    </row>
    <row r="7619">
      <c r="A7619">
        <f>HYPERLINK("https://mathstats.uncg.edu/sites/pauli/congruence/csg23.html#group112M23", "112M²³")</f>
        <v/>
      </c>
      <c r="B7619" t="n">
        <v>23</v>
      </c>
      <c r="C7619" t="inlineStr"/>
      <c r="D7619" t="inlineStr">
        <is>
          <t>336</t>
        </is>
      </c>
      <c r="E7619" t="inlineStr">
        <is>
          <t>2</t>
        </is>
      </c>
      <c r="F7619" t="inlineStr">
        <is>
          <t>84</t>
        </is>
      </c>
      <c r="G7619" t="inlineStr">
        <is>
          <t>16</t>
        </is>
      </c>
      <c r="H7619" t="inlineStr">
        <is>
          <t>0</t>
        </is>
      </c>
      <c r="I7619" t="inlineStr">
        <is>
          <t>56², 112²</t>
        </is>
      </c>
      <c r="J7619" t="n">
        <v>4</v>
      </c>
      <c r="K7619" t="inlineStr">
        <is>
          <t>2⁴, 4², 6⁸, 8¹, 12⁴, 24²</t>
        </is>
      </c>
      <c r="L7619" t="inlineStr">
        <is>
          <t>56D¹⁰, 112A¹⁰, 112F¹¹</t>
        </is>
      </c>
      <c r="M7619" t="inlineStr"/>
      <c r="N7619" t="inlineStr">
        <is>
          <t>28C², 16D¹, 14B¹, 4C⁰, 112A¹⁰, 8B⁰, 112F¹¹, 2B⁰, 56D¹⁰, 1A⁰, 7A⁰, 56B⁴</t>
        </is>
      </c>
      <c r="O7619" t="inlineStr"/>
    </row>
    <row r="7620">
      <c r="A7620">
        <f>HYPERLINK("https://mathstats.uncg.edu/sites/pauli/congruence/csg23.html#group112N23", "112N²³")</f>
        <v/>
      </c>
      <c r="B7620" t="n">
        <v>23</v>
      </c>
      <c r="C7620" t="inlineStr"/>
      <c r="D7620" t="inlineStr">
        <is>
          <t>336</t>
        </is>
      </c>
      <c r="E7620" t="inlineStr">
        <is>
          <t>2</t>
        </is>
      </c>
      <c r="F7620" t="inlineStr">
        <is>
          <t>84</t>
        </is>
      </c>
      <c r="G7620" t="inlineStr">
        <is>
          <t>16</t>
        </is>
      </c>
      <c r="H7620" t="inlineStr">
        <is>
          <t>0</t>
        </is>
      </c>
      <c r="I7620" t="inlineStr">
        <is>
          <t>56², 112²</t>
        </is>
      </c>
      <c r="J7620" t="n">
        <v>4</v>
      </c>
      <c r="K7620" t="inlineStr">
        <is>
          <t>2⁴, 4², 6⁸, 8¹, 12⁴, 24²</t>
        </is>
      </c>
      <c r="L7620" t="inlineStr">
        <is>
          <t>56E¹⁰, 112A¹⁰, 112E¹¹</t>
        </is>
      </c>
      <c r="M7620" t="inlineStr"/>
      <c r="N7620" t="inlineStr">
        <is>
          <t>28C², 112E¹¹, 56E¹⁰, 14B¹, 4C⁰, 112A¹⁰, 8B⁰, 8L⁰, 2B⁰, 1A⁰, 7A⁰, 56B⁴</t>
        </is>
      </c>
      <c r="O7620" t="inlineStr"/>
    </row>
    <row r="7621">
      <c r="A7621">
        <f>HYPERLINK("https://mathstats.uncg.edu/sites/pauli/congruence/csg23.html#group112O23", "112O²³")</f>
        <v/>
      </c>
      <c r="B7621" t="n">
        <v>23</v>
      </c>
      <c r="C7621" t="inlineStr"/>
      <c r="D7621" t="inlineStr">
        <is>
          <t>384</t>
        </is>
      </c>
      <c r="E7621" t="inlineStr">
        <is>
          <t>1</t>
        </is>
      </c>
      <c r="F7621" t="inlineStr">
        <is>
          <t>24</t>
        </is>
      </c>
      <c r="G7621" t="inlineStr">
        <is>
          <t>0</t>
        </is>
      </c>
      <c r="H7621" t="inlineStr">
        <is>
          <t>0</t>
        </is>
      </c>
      <c r="I7621" t="inlineStr">
        <is>
          <t>2⁸, 14⁸, 16², 112²</t>
        </is>
      </c>
      <c r="J7621" t="n">
        <v>20</v>
      </c>
      <c r="K7621" t="inlineStr">
        <is>
          <t>1⁶, 6³</t>
        </is>
      </c>
      <c r="L7621" t="inlineStr">
        <is>
          <t>56M¹¹, 112I¹¹</t>
        </is>
      </c>
      <c r="M7621" t="inlineStr"/>
      <c r="N7621" t="inlineStr">
        <is>
          <t>2A⁰, 8D⁰, 28D², 4C⁰, 8C⁰, 2B⁰, 4E⁰, 14E², 4B⁰, 56D⁵, 1A⁰, 56M¹¹, 28E⁵, 8G⁰, 7B⁰, 14C¹, 14B⁰, 28C³, 56E⁶, 2C⁰, 112I¹¹</t>
        </is>
      </c>
      <c r="O7621" t="inlineStr"/>
    </row>
    <row r="7622">
      <c r="A7622">
        <f>HYPERLINK("https://mathstats.uncg.edu/sites/pauli/congruence/csg23.html#group112P23", "112P²³")</f>
        <v/>
      </c>
      <c r="B7622" t="n">
        <v>23</v>
      </c>
      <c r="C7622" t="inlineStr"/>
      <c r="D7622" t="inlineStr">
        <is>
          <t>384</t>
        </is>
      </c>
      <c r="E7622" t="inlineStr">
        <is>
          <t>1</t>
        </is>
      </c>
      <c r="F7622" t="inlineStr">
        <is>
          <t>24</t>
        </is>
      </c>
      <c r="G7622" t="inlineStr">
        <is>
          <t>0</t>
        </is>
      </c>
      <c r="H7622" t="inlineStr">
        <is>
          <t>0</t>
        </is>
      </c>
      <c r="I7622" t="inlineStr">
        <is>
          <t>2⁸, 14⁸, 16², 112²</t>
        </is>
      </c>
      <c r="J7622" t="n">
        <v>20</v>
      </c>
      <c r="K7622" t="inlineStr">
        <is>
          <t>1⁶, 6³</t>
        </is>
      </c>
      <c r="L7622" t="inlineStr">
        <is>
          <t>16G⁰, 56M¹¹, 112J¹¹, 112H¹²</t>
        </is>
      </c>
      <c r="M7622" t="inlineStr"/>
      <c r="N7622" t="inlineStr">
        <is>
          <t>16G⁰, 2A⁰, 112J¹¹, 8D⁰, 4C⁰, 28D², 8C⁰, 4E⁰, 2B⁰, 14E², 4B⁰, 56D⁵, 1A⁰, 56M¹¹, 16E⁰, 28E⁵, 8G⁰, 7B⁰, 16D⁰, 14C¹, 14B⁰, 28C³, 56E⁶, 2C⁰, 112H¹²</t>
        </is>
      </c>
      <c r="O7622" t="inlineStr"/>
    </row>
    <row r="7623">
      <c r="A7623">
        <f>HYPERLINK("https://mathstats.uncg.edu/sites/pauli/congruence/csg23.html#group112Q23", "112Q²³")</f>
        <v/>
      </c>
      <c r="B7623" t="n">
        <v>23</v>
      </c>
      <c r="C7623" t="inlineStr"/>
      <c r="D7623" t="inlineStr">
        <is>
          <t>384</t>
        </is>
      </c>
      <c r="E7623" t="inlineStr">
        <is>
          <t>1</t>
        </is>
      </c>
      <c r="F7623" t="inlineStr">
        <is>
          <t>96</t>
        </is>
      </c>
      <c r="G7623" t="inlineStr">
        <is>
          <t>0</t>
        </is>
      </c>
      <c r="H7623" t="inlineStr">
        <is>
          <t>0</t>
        </is>
      </c>
      <c r="I7623" t="inlineStr">
        <is>
          <t>1⁴, 2², 4², 7⁴, 14², 16², 28², 112²</t>
        </is>
      </c>
      <c r="J7623" t="n">
        <v>20</v>
      </c>
      <c r="K7623" t="inlineStr">
        <is>
          <t>1⁸, 2⁴, 4², 6⁴, 12², 24¹</t>
        </is>
      </c>
      <c r="L7623" t="inlineStr">
        <is>
          <t>56O¹¹, 112G¹¹, 112J¹¹</t>
        </is>
      </c>
      <c r="M7623" t="inlineStr"/>
      <c r="N7623" t="inlineStr">
        <is>
          <t>112J¹¹, 7B⁰, 16D⁰, 28D², 14C¹, 56O¹¹, 8C⁰, 2B⁰, 4B⁰, 56D⁵, 1A⁰, 112G¹¹</t>
        </is>
      </c>
      <c r="O7623" t="inlineStr"/>
    </row>
    <row r="7624">
      <c r="A7624">
        <f>HYPERLINK("https://mathstats.uncg.edu/sites/pauli/congruence/csg23.html#group112R23", "112R²³")</f>
        <v/>
      </c>
      <c r="B7624" t="n">
        <v>23</v>
      </c>
      <c r="C7624" t="inlineStr"/>
      <c r="D7624" t="inlineStr">
        <is>
          <t>384</t>
        </is>
      </c>
      <c r="E7624" t="inlineStr">
        <is>
          <t>1</t>
        </is>
      </c>
      <c r="F7624" t="inlineStr">
        <is>
          <t>96</t>
        </is>
      </c>
      <c r="G7624" t="inlineStr">
        <is>
          <t>0</t>
        </is>
      </c>
      <c r="H7624" t="inlineStr">
        <is>
          <t>0</t>
        </is>
      </c>
      <c r="I7624" t="inlineStr">
        <is>
          <t>1⁴, 2², 4², 7⁴, 14², 16², 28², 112²</t>
        </is>
      </c>
      <c r="J7624" t="n">
        <v>20</v>
      </c>
      <c r="K7624" t="inlineStr">
        <is>
          <t>1⁸, 2⁴, 4², 6⁴, 12², 24¹</t>
        </is>
      </c>
      <c r="L7624" t="inlineStr">
        <is>
          <t>56O¹¹, 112H¹¹, 112I¹¹</t>
        </is>
      </c>
      <c r="M7624" t="inlineStr"/>
      <c r="N7624" t="inlineStr">
        <is>
          <t>7B⁰, 16C⁰, 28D², 14C¹, 56O¹¹, 8C⁰, 2B⁰, 4B⁰, 56D⁵, 1A⁰, 112H¹¹, 112I¹¹</t>
        </is>
      </c>
      <c r="O7624" t="inlineStr"/>
    </row>
    <row r="7625">
      <c r="A7625">
        <f>HYPERLINK("https://mathstats.uncg.edu/sites/pauli/congruence/csg23.html#group112S23", "112S²³")</f>
        <v/>
      </c>
      <c r="B7625" t="n">
        <v>23</v>
      </c>
      <c r="C7625" t="inlineStr"/>
      <c r="D7625" t="inlineStr">
        <is>
          <t>384</t>
        </is>
      </c>
      <c r="E7625" t="inlineStr">
        <is>
          <t>1</t>
        </is>
      </c>
      <c r="F7625" t="inlineStr">
        <is>
          <t>96</t>
        </is>
      </c>
      <c r="G7625" t="inlineStr">
        <is>
          <t>0</t>
        </is>
      </c>
      <c r="H7625" t="inlineStr">
        <is>
          <t>0</t>
        </is>
      </c>
      <c r="I7625" t="inlineStr">
        <is>
          <t>1⁴, 2², 4², 7⁴, 14², 16², 28², 112²</t>
        </is>
      </c>
      <c r="J7625" t="n">
        <v>20</v>
      </c>
      <c r="K7625" t="inlineStr">
        <is>
          <t>1⁸, 2⁴, 4², 6⁴, 12², 24¹</t>
        </is>
      </c>
      <c r="L7625" t="inlineStr">
        <is>
          <t>56P¹¹, 112G¹¹, 112I¹¹</t>
        </is>
      </c>
      <c r="M7625" t="inlineStr"/>
      <c r="N7625" t="inlineStr">
        <is>
          <t>4B⁰, 7B⁰, 28D², 14C¹, 8C⁰, 2B⁰, 8I⁰, 56P¹¹, 56D⁵, 1A⁰, 112G¹¹, 112I¹¹</t>
        </is>
      </c>
      <c r="O7625" t="inlineStr"/>
    </row>
    <row r="7626">
      <c r="A7626">
        <f>HYPERLINK("https://mathstats.uncg.edu/sites/pauli/congruence/csg23.html#group112T23", "112T²³")</f>
        <v/>
      </c>
      <c r="B7626" t="n">
        <v>23</v>
      </c>
      <c r="C7626" t="inlineStr"/>
      <c r="D7626" t="inlineStr">
        <is>
          <t>384</t>
        </is>
      </c>
      <c r="E7626" t="inlineStr">
        <is>
          <t>1</t>
        </is>
      </c>
      <c r="F7626" t="inlineStr">
        <is>
          <t>96</t>
        </is>
      </c>
      <c r="G7626" t="inlineStr">
        <is>
          <t>0</t>
        </is>
      </c>
      <c r="H7626" t="inlineStr">
        <is>
          <t>0</t>
        </is>
      </c>
      <c r="I7626" t="inlineStr">
        <is>
          <t>1⁴, 2², 4², 7⁴, 14², 16², 28², 112²</t>
        </is>
      </c>
      <c r="J7626" t="n">
        <v>20</v>
      </c>
      <c r="K7626" t="inlineStr">
        <is>
          <t>1⁸, 2⁴, 4², 6⁴, 12², 24¹</t>
        </is>
      </c>
      <c r="L7626" t="inlineStr">
        <is>
          <t>16H⁰, 56P¹¹, 112H¹¹, 112J¹¹</t>
        </is>
      </c>
      <c r="M7626" t="inlineStr"/>
      <c r="N7626" t="inlineStr">
        <is>
          <t>112J¹¹, 4B⁰, 7B⁰, 16C⁰, 16D⁰, 28D², 14C¹, 8C⁰, 2B⁰, 8I⁰, 56P¹¹, 56D⁵, 1A⁰, 112H¹¹, 16H⁰</t>
        </is>
      </c>
      <c r="O7626" t="inlineStr"/>
    </row>
    <row r="7627">
      <c r="A7627">
        <f>HYPERLINK("https://mathstats.uncg.edu/sites/pauli/congruence/csg23.html#group112U23", "112U²³")</f>
        <v/>
      </c>
      <c r="B7627" t="n">
        <v>23</v>
      </c>
      <c r="C7627" t="inlineStr"/>
      <c r="D7627" t="inlineStr">
        <is>
          <t>384</t>
        </is>
      </c>
      <c r="E7627" t="inlineStr">
        <is>
          <t>1</t>
        </is>
      </c>
      <c r="F7627" t="inlineStr">
        <is>
          <t>96</t>
        </is>
      </c>
      <c r="G7627" t="inlineStr">
        <is>
          <t>0</t>
        </is>
      </c>
      <c r="H7627" t="inlineStr">
        <is>
          <t>0</t>
        </is>
      </c>
      <c r="I7627" t="inlineStr">
        <is>
          <t>2⁸, 14⁸, 16², 112²</t>
        </is>
      </c>
      <c r="J7627" t="n">
        <v>20</v>
      </c>
      <c r="K7627" t="inlineStr">
        <is>
          <t>1⁸, 2⁴, 4², 6⁴, 12², 24¹</t>
        </is>
      </c>
      <c r="L7627" t="inlineStr">
        <is>
          <t>56N¹¹, 112I¹¹, 112J¹¹</t>
        </is>
      </c>
      <c r="M7627" t="inlineStr"/>
      <c r="N7627" t="inlineStr">
        <is>
          <t>28E⁴, 112J¹¹, 56D⁶, 7B⁰, 16D⁰, 28D², 14C¹, 1A⁰, 8C⁰, 2B⁰, 4B⁰, 56N¹¹, 56D⁵, 112I¹¹</t>
        </is>
      </c>
      <c r="O7627" t="inlineStr"/>
    </row>
    <row r="7628">
      <c r="A7628">
        <f>HYPERLINK("https://mathstats.uncg.edu/sites/pauli/congruence/csg23.html#group114A23", "114A²³")</f>
        <v/>
      </c>
      <c r="B7628" t="n">
        <v>23</v>
      </c>
      <c r="C7628" t="inlineStr"/>
      <c r="D7628" t="inlineStr">
        <is>
          <t>342</t>
        </is>
      </c>
      <c r="E7628" t="inlineStr">
        <is>
          <t>2</t>
        </is>
      </c>
      <c r="F7628" t="inlineStr">
        <is>
          <t>171</t>
        </is>
      </c>
      <c r="G7628" t="inlineStr">
        <is>
          <t>20</t>
        </is>
      </c>
      <c r="H7628" t="inlineStr">
        <is>
          <t>0</t>
        </is>
      </c>
      <c r="I7628" t="inlineStr">
        <is>
          <t>114³</t>
        </is>
      </c>
      <c r="J7628" t="n">
        <v>3</v>
      </c>
      <c r="K7628" t="inlineStr">
        <is>
          <t>6¹, 12¹, 18⁶, 36⁶</t>
        </is>
      </c>
      <c r="L7628" t="inlineStr">
        <is>
          <t>6B⁰, 57A¹⁰</t>
        </is>
      </c>
      <c r="M7628" t="inlineStr"/>
      <c r="N7628" t="inlineStr">
        <is>
          <t>57A¹⁰, 6B⁰, 3A⁰, 1A⁰, 19A²</t>
        </is>
      </c>
      <c r="O7628" t="inlineStr"/>
    </row>
    <row r="7629">
      <c r="A7629">
        <f>HYPERLINK("https://mathstats.uncg.edu/sites/pauli/congruence/csg23.html#group117A23", "117A²³")</f>
        <v/>
      </c>
      <c r="B7629" t="n">
        <v>23</v>
      </c>
      <c r="C7629" t="inlineStr"/>
      <c r="D7629" t="inlineStr">
        <is>
          <t>336</t>
        </is>
      </c>
      <c r="E7629" t="inlineStr">
        <is>
          <t>2</t>
        </is>
      </c>
      <c r="F7629" t="inlineStr">
        <is>
          <t>56</t>
        </is>
      </c>
      <c r="G7629" t="inlineStr">
        <is>
          <t>0</t>
        </is>
      </c>
      <c r="H7629" t="inlineStr">
        <is>
          <t>6</t>
        </is>
      </c>
      <c r="I7629" t="inlineStr">
        <is>
          <t>3², 9², 39², 117²</t>
        </is>
      </c>
      <c r="J7629" t="n">
        <v>8</v>
      </c>
      <c r="K7629" t="inlineStr">
        <is>
          <t>2⁸, 24⁴</t>
        </is>
      </c>
      <c r="L7629" t="inlineStr">
        <is>
          <t>39B⁵, 117A¹²</t>
        </is>
      </c>
      <c r="M7629" t="inlineStr"/>
      <c r="N7629" t="inlineStr">
        <is>
          <t>3B⁰, 39A³, 13A⁰, 13B⁰, 1A⁰, 117A¹², 39B⁵</t>
        </is>
      </c>
      <c r="O7629" t="inlineStr"/>
    </row>
    <row r="7630">
      <c r="A7630">
        <f>HYPERLINK("https://mathstats.uncg.edu/sites/pauli/congruence/csg23.html#group120A23", "120A²³")</f>
        <v/>
      </c>
      <c r="B7630" t="n">
        <v>23</v>
      </c>
      <c r="C7630" t="inlineStr"/>
      <c r="D7630" t="inlineStr">
        <is>
          <t>288</t>
        </is>
      </c>
      <c r="E7630" t="inlineStr">
        <is>
          <t>1</t>
        </is>
      </c>
      <c r="F7630" t="inlineStr">
        <is>
          <t>24</t>
        </is>
      </c>
      <c r="G7630" t="inlineStr">
        <is>
          <t>0</t>
        </is>
      </c>
      <c r="H7630" t="inlineStr">
        <is>
          <t>0</t>
        </is>
      </c>
      <c r="I7630" t="inlineStr">
        <is>
          <t>24², 120²</t>
        </is>
      </c>
      <c r="J7630" t="n">
        <v>4</v>
      </c>
      <c r="K7630" t="inlineStr">
        <is>
          <t>2⁴, 8²</t>
        </is>
      </c>
      <c r="L7630" t="inlineStr">
        <is>
          <t>40A⁷, 120C⁹, 60E¹¹</t>
        </is>
      </c>
      <c r="M7630" t="inlineStr"/>
      <c r="N7630" t="inlineStr">
        <is>
          <t>60E¹¹, 2A⁰, 40A³, 20C³, 5B⁰, 10A¹, 1A⁰, 120C⁹, 20B¹, 30B³, 40A⁷, 15B⁰, 12A⁰, 4A⁰, 4D⁰, 12A², 60B³, 6A¹, 3A⁰</t>
        </is>
      </c>
      <c r="O7630" t="inlineStr"/>
    </row>
    <row r="7631">
      <c r="A7631">
        <f>HYPERLINK("https://mathstats.uncg.edu/sites/pauli/congruence/csg23.html#group120B23", "120B²³")</f>
        <v/>
      </c>
      <c r="B7631" t="n">
        <v>23</v>
      </c>
      <c r="C7631" t="inlineStr"/>
      <c r="D7631" t="inlineStr">
        <is>
          <t>288</t>
        </is>
      </c>
      <c r="E7631" t="inlineStr">
        <is>
          <t>1</t>
        </is>
      </c>
      <c r="F7631" t="inlineStr">
        <is>
          <t>24</t>
        </is>
      </c>
      <c r="G7631" t="inlineStr">
        <is>
          <t>0</t>
        </is>
      </c>
      <c r="H7631" t="inlineStr">
        <is>
          <t>0</t>
        </is>
      </c>
      <c r="I7631" t="inlineStr">
        <is>
          <t>24², 120²</t>
        </is>
      </c>
      <c r="J7631" t="n">
        <v>4</v>
      </c>
      <c r="K7631" t="inlineStr">
        <is>
          <t>2⁴, 8²</t>
        </is>
      </c>
      <c r="L7631" t="inlineStr">
        <is>
          <t>24A⁴, 40B⁷, 120D⁹, 60E¹¹</t>
        </is>
      </c>
      <c r="M7631" t="inlineStr"/>
      <c r="N7631" t="inlineStr">
        <is>
          <t>60E¹¹, 2A⁰, 20C³, 8A⁰, 24A⁴, 5B⁰, 8E⁰, 10A¹, 120D⁹, 1A⁰, 20B¹, 30B³, 15B⁰, 12A⁰, 24A¹, 4A⁰, 4D⁰, 40B⁷, 40B³, 12A², 60B³, 6A¹, 3A⁰</t>
        </is>
      </c>
      <c r="O7631" t="inlineStr"/>
    </row>
    <row r="7632">
      <c r="A7632">
        <f>HYPERLINK("https://mathstats.uncg.edu/sites/pauli/congruence/csg23.html#group120C23", "120C²³")</f>
        <v/>
      </c>
      <c r="B7632" t="n">
        <v>23</v>
      </c>
      <c r="C7632" t="inlineStr"/>
      <c r="D7632" t="inlineStr">
        <is>
          <t>288</t>
        </is>
      </c>
      <c r="E7632" t="inlineStr">
        <is>
          <t>1</t>
        </is>
      </c>
      <c r="F7632" t="inlineStr">
        <is>
          <t>48</t>
        </is>
      </c>
      <c r="G7632" t="inlineStr">
        <is>
          <t>0</t>
        </is>
      </c>
      <c r="H7632" t="inlineStr">
        <is>
          <t>0</t>
        </is>
      </c>
      <c r="I7632" t="inlineStr">
        <is>
          <t>24², 120²</t>
        </is>
      </c>
      <c r="J7632" t="n">
        <v>4</v>
      </c>
      <c r="K7632" t="inlineStr">
        <is>
          <t>4⁴, 16²</t>
        </is>
      </c>
      <c r="L7632" t="inlineStr">
        <is>
          <t>40A⁷, 60F¹¹</t>
        </is>
      </c>
      <c r="M7632" t="inlineStr"/>
      <c r="N7632" t="inlineStr">
        <is>
          <t>40A⁷, 2A⁰, 40A³, 6A⁰, 30C³, 4A⁰, 4D⁰, 20C³, 5B⁰, 12E¹, 10A¹, 60F¹¹, 1A⁰, 20B¹</t>
        </is>
      </c>
      <c r="O7632" t="inlineStr"/>
    </row>
    <row r="7633">
      <c r="A7633">
        <f>HYPERLINK("https://mathstats.uncg.edu/sites/pauli/congruence/csg23.html#group120D23", "120D²³")</f>
        <v/>
      </c>
      <c r="B7633" t="n">
        <v>23</v>
      </c>
      <c r="C7633" t="inlineStr"/>
      <c r="D7633" t="inlineStr">
        <is>
          <t>288</t>
        </is>
      </c>
      <c r="E7633" t="inlineStr">
        <is>
          <t>1</t>
        </is>
      </c>
      <c r="F7633" t="inlineStr">
        <is>
          <t>48</t>
        </is>
      </c>
      <c r="G7633" t="inlineStr">
        <is>
          <t>0</t>
        </is>
      </c>
      <c r="H7633" t="inlineStr">
        <is>
          <t>0</t>
        </is>
      </c>
      <c r="I7633" t="inlineStr">
        <is>
          <t>24², 120²</t>
        </is>
      </c>
      <c r="J7633" t="n">
        <v>4</v>
      </c>
      <c r="K7633" t="inlineStr">
        <is>
          <t>4⁴, 16²</t>
        </is>
      </c>
      <c r="L7633" t="inlineStr">
        <is>
          <t>24E², 40B⁷, 60F¹¹</t>
        </is>
      </c>
      <c r="M7633" t="inlineStr"/>
      <c r="N7633" t="inlineStr">
        <is>
          <t>2A⁰, 30C³, 24E², 12E¹, 8A⁰, 20C³, 8E⁰, 5B⁰, 10A¹, 60F¹¹, 1A⁰, 20B¹, 6A⁰, 4A⁰, 4D⁰, 40B⁷, 40B³</t>
        </is>
      </c>
      <c r="O7633" t="inlineStr"/>
    </row>
    <row r="7634">
      <c r="A7634">
        <f>HYPERLINK("https://mathstats.uncg.edu/sites/pauli/congruence/csg23.html#group120E23", "120E²³")</f>
        <v/>
      </c>
      <c r="B7634" t="n">
        <v>23</v>
      </c>
      <c r="C7634" t="inlineStr"/>
      <c r="D7634" t="inlineStr">
        <is>
          <t>288</t>
        </is>
      </c>
      <c r="E7634" t="inlineStr">
        <is>
          <t>1</t>
        </is>
      </c>
      <c r="F7634" t="inlineStr">
        <is>
          <t>72</t>
        </is>
      </c>
      <c r="G7634" t="inlineStr">
        <is>
          <t>0</t>
        </is>
      </c>
      <c r="H7634" t="inlineStr">
        <is>
          <t>0</t>
        </is>
      </c>
      <c r="I7634" t="inlineStr">
        <is>
          <t>24², 120²</t>
        </is>
      </c>
      <c r="J7634" t="n">
        <v>4</v>
      </c>
      <c r="K7634" t="inlineStr">
        <is>
          <t>2⁴, 4⁴, 8², 16²</t>
        </is>
      </c>
      <c r="L7634" t="inlineStr">
        <is>
          <t>120E⁹, 60E¹¹</t>
        </is>
      </c>
      <c r="M7634" t="inlineStr"/>
      <c r="N7634" t="inlineStr">
        <is>
          <t>60E¹¹, 2A⁰, 20C³, 5B⁰, 120E⁹, 10A¹, 1A⁰, 20B¹, 30B³, 15B⁰, 12A⁰, 4A⁰, 4D⁰, 12A², 60B³, 6A¹, 3A⁰</t>
        </is>
      </c>
      <c r="O7634" t="inlineStr"/>
    </row>
    <row r="7635">
      <c r="A7635">
        <f>HYPERLINK("https://mathstats.uncg.edu/sites/pauli/congruence/csg23.html#group120F23", "120F²³")</f>
        <v/>
      </c>
      <c r="B7635" t="n">
        <v>23</v>
      </c>
      <c r="C7635" t="inlineStr"/>
      <c r="D7635" t="inlineStr">
        <is>
          <t>288</t>
        </is>
      </c>
      <c r="E7635" t="inlineStr">
        <is>
          <t>1</t>
        </is>
      </c>
      <c r="F7635" t="inlineStr">
        <is>
          <t>72</t>
        </is>
      </c>
      <c r="G7635" t="inlineStr">
        <is>
          <t>0</t>
        </is>
      </c>
      <c r="H7635" t="inlineStr">
        <is>
          <t>0</t>
        </is>
      </c>
      <c r="I7635" t="inlineStr">
        <is>
          <t>24², 120²</t>
        </is>
      </c>
      <c r="J7635" t="n">
        <v>4</v>
      </c>
      <c r="K7635" t="inlineStr">
        <is>
          <t>2⁴, 4⁴, 8², 16²</t>
        </is>
      </c>
      <c r="L7635" t="inlineStr">
        <is>
          <t>24B⁴, 120F⁹, 60E¹¹</t>
        </is>
      </c>
      <c r="M7635" t="inlineStr"/>
      <c r="N7635" t="inlineStr">
        <is>
          <t>60E¹¹, 2A⁰, 20C³, 5B⁰, 10A¹, 24B¹, 1A⁰, 20B¹, 30B³, 15B⁰, 12A⁰, 120F⁹, 4A⁰, 4D⁰, 24B⁴, 12A², 60B³, 6A¹, 3A⁰</t>
        </is>
      </c>
      <c r="O7635" t="inlineStr"/>
    </row>
    <row r="7636">
      <c r="A7636">
        <f>HYPERLINK("https://mathstats.uncg.edu/sites/pauli/congruence/csg23.html#group120G23", "120G²³")</f>
        <v/>
      </c>
      <c r="B7636" t="n">
        <v>23</v>
      </c>
      <c r="C7636" t="inlineStr"/>
      <c r="D7636" t="inlineStr">
        <is>
          <t>288</t>
        </is>
      </c>
      <c r="E7636" t="inlineStr">
        <is>
          <t>1</t>
        </is>
      </c>
      <c r="F7636" t="inlineStr">
        <is>
          <t>144</t>
        </is>
      </c>
      <c r="G7636" t="inlineStr">
        <is>
          <t>0</t>
        </is>
      </c>
      <c r="H7636" t="inlineStr">
        <is>
          <t>0</t>
        </is>
      </c>
      <c r="I7636" t="inlineStr">
        <is>
          <t>24², 120²</t>
        </is>
      </c>
      <c r="J7636" t="n">
        <v>4</v>
      </c>
      <c r="K7636" t="inlineStr">
        <is>
          <t>4¹², 16⁶</t>
        </is>
      </c>
      <c r="L7636" t="inlineStr">
        <is>
          <t>60G¹¹</t>
        </is>
      </c>
      <c r="M7636" t="inlineStr"/>
      <c r="N7636" t="inlineStr">
        <is>
          <t>2A⁰, 12H¹, 6A⁰, 30C³, 5B⁰, 10A¹, 60G¹¹, 1A⁰</t>
        </is>
      </c>
      <c r="O7636" t="inlineStr"/>
    </row>
    <row r="7637">
      <c r="A7637">
        <f>HYPERLINK("https://mathstats.uncg.edu/sites/pauli/congruence/csg23.html#group120H23", "120H²³")</f>
        <v/>
      </c>
      <c r="B7637" t="n">
        <v>23</v>
      </c>
      <c r="C7637" t="inlineStr"/>
      <c r="D7637" t="inlineStr">
        <is>
          <t>288</t>
        </is>
      </c>
      <c r="E7637" t="inlineStr">
        <is>
          <t>1</t>
        </is>
      </c>
      <c r="F7637" t="inlineStr">
        <is>
          <t>144</t>
        </is>
      </c>
      <c r="G7637" t="inlineStr">
        <is>
          <t>0</t>
        </is>
      </c>
      <c r="H7637" t="inlineStr">
        <is>
          <t>0</t>
        </is>
      </c>
      <c r="I7637" t="inlineStr">
        <is>
          <t>24², 120²</t>
        </is>
      </c>
      <c r="J7637" t="n">
        <v>4</v>
      </c>
      <c r="K7637" t="inlineStr">
        <is>
          <t>4¹², 16⁶</t>
        </is>
      </c>
      <c r="L7637" t="inlineStr">
        <is>
          <t>24J², 60G¹¹</t>
        </is>
      </c>
      <c r="M7637" t="inlineStr"/>
      <c r="N7637" t="inlineStr">
        <is>
          <t>2A⁰, 12H¹, 6A⁰, 30C³, 5B⁰, 10A¹, 60G¹¹, 1A⁰, 24J²</t>
        </is>
      </c>
      <c r="O7637" t="inlineStr"/>
    </row>
    <row r="7638">
      <c r="A7638">
        <f>HYPERLINK("https://mathstats.uncg.edu/sites/pauli/congruence/csg23.html#group120I23", "120I²³")</f>
        <v/>
      </c>
      <c r="B7638" t="n">
        <v>23</v>
      </c>
      <c r="C7638" t="inlineStr"/>
      <c r="D7638" t="inlineStr">
        <is>
          <t>288</t>
        </is>
      </c>
      <c r="E7638" t="inlineStr">
        <is>
          <t>2</t>
        </is>
      </c>
      <c r="F7638" t="inlineStr">
        <is>
          <t>24</t>
        </is>
      </c>
      <c r="G7638" t="inlineStr">
        <is>
          <t>0</t>
        </is>
      </c>
      <c r="H7638" t="inlineStr">
        <is>
          <t>0</t>
        </is>
      </c>
      <c r="I7638" t="inlineStr">
        <is>
          <t>24², 120²</t>
        </is>
      </c>
      <c r="J7638" t="n">
        <v>4</v>
      </c>
      <c r="K7638" t="inlineStr">
        <is>
          <t>4⁴, 16²</t>
        </is>
      </c>
      <c r="L7638" t="inlineStr">
        <is>
          <t>40C⁷, 120C⁹, 120D⁹, 60D¹¹</t>
        </is>
      </c>
      <c r="M7638" t="inlineStr"/>
      <c r="N7638" t="inlineStr">
        <is>
          <t>60D¹¹, 40A³, 40C⁷, 5B⁰, 8A⁰, 5D⁰, 120D⁹, 1A⁰, 20B³, 120C⁹, 20B¹, 15B⁰, 12A⁰, 24A¹, 4A⁰, 40B³, 15B², 60B³, 3A⁰</t>
        </is>
      </c>
      <c r="O7638" t="inlineStr"/>
    </row>
    <row r="7639">
      <c r="A7639">
        <f>HYPERLINK("https://mathstats.uncg.edu/sites/pauli/congruence/csg23.html#group120J23", "120J²³")</f>
        <v/>
      </c>
      <c r="B7639" t="n">
        <v>23</v>
      </c>
      <c r="C7639" t="inlineStr"/>
      <c r="D7639" t="inlineStr">
        <is>
          <t>288</t>
        </is>
      </c>
      <c r="E7639" t="inlineStr">
        <is>
          <t>2</t>
        </is>
      </c>
      <c r="F7639" t="inlineStr">
        <is>
          <t>72</t>
        </is>
      </c>
      <c r="G7639" t="inlineStr">
        <is>
          <t>0</t>
        </is>
      </c>
      <c r="H7639" t="inlineStr">
        <is>
          <t>0</t>
        </is>
      </c>
      <c r="I7639" t="inlineStr">
        <is>
          <t>24², 120²</t>
        </is>
      </c>
      <c r="J7639" t="n">
        <v>4</v>
      </c>
      <c r="K7639" t="inlineStr">
        <is>
          <t>4⁴, 8⁴, 16², 32²</t>
        </is>
      </c>
      <c r="L7639" t="inlineStr">
        <is>
          <t>120E⁹, 120F⁹, 60D¹¹</t>
        </is>
      </c>
      <c r="M7639" t="inlineStr"/>
      <c r="N7639" t="inlineStr">
        <is>
          <t>60D¹¹, 15B⁰, 12A⁰, 120F⁹, 4A⁰, 15B², 120E⁹, 5B⁰, 5D⁰, 60B³, 24B¹, 3A⁰, 1A⁰, 20B³, 20B¹</t>
        </is>
      </c>
      <c r="O7639" t="inlineStr"/>
    </row>
    <row r="7640">
      <c r="A7640">
        <f>HYPERLINK("https://mathstats.uncg.edu/sites/pauli/congruence/csg23.html#group120K23", "120K²³")</f>
        <v/>
      </c>
      <c r="B7640" t="n">
        <v>23</v>
      </c>
      <c r="C7640" t="inlineStr"/>
      <c r="D7640" t="inlineStr">
        <is>
          <t>320</t>
        </is>
      </c>
      <c r="E7640" t="inlineStr">
        <is>
          <t>1</t>
        </is>
      </c>
      <c r="F7640" t="inlineStr">
        <is>
          <t>80</t>
        </is>
      </c>
      <c r="G7640" t="inlineStr">
        <is>
          <t>0</t>
        </is>
      </c>
      <c r="H7640" t="inlineStr">
        <is>
          <t>8</t>
        </is>
      </c>
      <c r="I7640" t="inlineStr">
        <is>
          <t>40², 120²</t>
        </is>
      </c>
      <c r="J7640" t="n">
        <v>4</v>
      </c>
      <c r="K7640" t="inlineStr">
        <is>
          <t>2⁴, 4², 8⁴, 16²</t>
        </is>
      </c>
      <c r="L7640" t="inlineStr">
        <is>
          <t>24F³, 60J¹¹</t>
        </is>
      </c>
      <c r="M7640" t="inlineStr"/>
      <c r="N7640" t="inlineStr">
        <is>
          <t>3B⁰, 2A⁰, 5A⁰, 12I¹, 30D², 6C⁰, 20A¹, 60A⁶, 1A⁰, 24F³, 10A⁰, 20D², 4A⁰, 4D⁰, 12A¹, 15B¹, 60J¹¹</t>
        </is>
      </c>
      <c r="O7640" t="inlineStr"/>
    </row>
    <row r="7641">
      <c r="A7641">
        <f>HYPERLINK("https://mathstats.uncg.edu/sites/pauli/congruence/csg23.html#group120L23", "120L²³")</f>
        <v/>
      </c>
      <c r="B7641" t="n">
        <v>23</v>
      </c>
      <c r="C7641" t="inlineStr"/>
      <c r="D7641" t="inlineStr">
        <is>
          <t>320</t>
        </is>
      </c>
      <c r="E7641" t="inlineStr">
        <is>
          <t>1</t>
        </is>
      </c>
      <c r="F7641" t="inlineStr">
        <is>
          <t>80</t>
        </is>
      </c>
      <c r="G7641" t="inlineStr">
        <is>
          <t>0</t>
        </is>
      </c>
      <c r="H7641" t="inlineStr">
        <is>
          <t>8</t>
        </is>
      </c>
      <c r="I7641" t="inlineStr">
        <is>
          <t>40², 120²</t>
        </is>
      </c>
      <c r="J7641" t="n">
        <v>4</v>
      </c>
      <c r="K7641" t="inlineStr">
        <is>
          <t>2⁴, 4², 8⁴, 16²</t>
        </is>
      </c>
      <c r="L7641" t="inlineStr">
        <is>
          <t>24G³, 40D⁴, 60J¹¹, 120A¹²</t>
        </is>
      </c>
      <c r="M7641" t="inlineStr"/>
      <c r="N7641" t="inlineStr">
        <is>
          <t>3B⁰, 2A⁰, 40D⁴, 5A⁰, 12I¹, 24A², 30D², 6C⁰, 8A⁰, 8E⁰, 20A¹, 24G³, 60A⁶, 1A⁰, 120A¹², 10A⁰, 20D², 4A⁰, 4D⁰, 12A¹, 15B¹, 60J¹¹, 40A²</t>
        </is>
      </c>
      <c r="O7641" t="inlineStr"/>
    </row>
    <row r="7642">
      <c r="A7642">
        <f>HYPERLINK("https://mathstats.uncg.edu/sites/pauli/congruence/csg23.html#group120M23", "120M²³")</f>
        <v/>
      </c>
      <c r="B7642" t="n">
        <v>23</v>
      </c>
      <c r="C7642" t="inlineStr"/>
      <c r="D7642" t="inlineStr">
        <is>
          <t>360</t>
        </is>
      </c>
      <c r="E7642" t="inlineStr">
        <is>
          <t>1</t>
        </is>
      </c>
      <c r="F7642" t="inlineStr">
        <is>
          <t>30</t>
        </is>
      </c>
      <c r="G7642" t="inlineStr">
        <is>
          <t>24</t>
        </is>
      </c>
      <c r="H7642" t="inlineStr">
        <is>
          <t>0</t>
        </is>
      </c>
      <c r="I7642" t="inlineStr">
        <is>
          <t>60², 120²</t>
        </is>
      </c>
      <c r="J7642" t="n">
        <v>4</v>
      </c>
      <c r="K7642" t="inlineStr">
        <is>
          <t>2³, 4⁶</t>
        </is>
      </c>
      <c r="L7642" t="inlineStr">
        <is>
          <t>40D⁷, 60L¹¹</t>
        </is>
      </c>
      <c r="M7642" t="inlineStr"/>
      <c r="N7642" t="inlineStr">
        <is>
          <t>30K⁵, 15D¹, 12C⁰, 4C⁰, 5C⁰, 10F¹, 60L¹¹, 2B⁰, 3A⁰, 1A⁰, 20F³, 6D⁰, 40D⁷</t>
        </is>
      </c>
      <c r="O7642" t="inlineStr"/>
    </row>
    <row r="7643">
      <c r="A7643">
        <f>HYPERLINK("https://mathstats.uncg.edu/sites/pauli/congruence/csg23.html#group120N23", "120N²³")</f>
        <v/>
      </c>
      <c r="B7643" t="n">
        <v>23</v>
      </c>
      <c r="C7643" t="inlineStr"/>
      <c r="D7643" t="inlineStr">
        <is>
          <t>360</t>
        </is>
      </c>
      <c r="E7643" t="inlineStr">
        <is>
          <t>1</t>
        </is>
      </c>
      <c r="F7643" t="inlineStr">
        <is>
          <t>30</t>
        </is>
      </c>
      <c r="G7643" t="inlineStr">
        <is>
          <t>24</t>
        </is>
      </c>
      <c r="H7643" t="inlineStr">
        <is>
          <t>0</t>
        </is>
      </c>
      <c r="I7643" t="inlineStr">
        <is>
          <t>60², 120²</t>
        </is>
      </c>
      <c r="J7643" t="n">
        <v>4</v>
      </c>
      <c r="K7643" t="inlineStr">
        <is>
          <t>2³, 4⁶</t>
        </is>
      </c>
      <c r="L7643" t="inlineStr">
        <is>
          <t>24A⁰, 40E⁷, 60L¹¹</t>
        </is>
      </c>
      <c r="M7643" t="inlineStr"/>
      <c r="N7643" t="inlineStr">
        <is>
          <t>12C⁰, 4C⁰, 8B⁰, 2B⁰, 1A⁰, 20F³, 10F¹, 30K⁵, 15D¹, 40E⁷, 24A⁰, 60L¹¹, 3A⁰, 5C⁰, 6D⁰</t>
        </is>
      </c>
      <c r="O7643" t="inlineStr"/>
    </row>
    <row r="7644">
      <c r="A7644">
        <f>HYPERLINK("https://mathstats.uncg.edu/sites/pauli/congruence/csg23.html#group120O23", "120O²³")</f>
        <v/>
      </c>
      <c r="B7644" t="n">
        <v>23</v>
      </c>
      <c r="C7644" t="inlineStr"/>
      <c r="D7644" t="inlineStr">
        <is>
          <t>360</t>
        </is>
      </c>
      <c r="E7644" t="inlineStr">
        <is>
          <t>2</t>
        </is>
      </c>
      <c r="F7644" t="inlineStr">
        <is>
          <t>30</t>
        </is>
      </c>
      <c r="G7644" t="inlineStr">
        <is>
          <t>12</t>
        </is>
      </c>
      <c r="H7644" t="inlineStr">
        <is>
          <t>0</t>
        </is>
      </c>
      <c r="I7644" t="inlineStr">
        <is>
          <t>15⁸, 120²</t>
        </is>
      </c>
      <c r="J7644" t="n">
        <v>10</v>
      </c>
      <c r="K7644" t="inlineStr">
        <is>
          <t>4³, 8⁶</t>
        </is>
      </c>
      <c r="L7644" t="inlineStr">
        <is>
          <t>40K⁵, 60C¹⁰</t>
        </is>
      </c>
      <c r="M7644" t="inlineStr"/>
      <c r="N7644" t="inlineStr">
        <is>
          <t>30K⁵, 15D¹, 5C⁰, 2B⁰, 20F², 3A⁰, 60C¹⁰, 1A⁰, 40K⁵, 6D⁰, 10F¹</t>
        </is>
      </c>
      <c r="O7644" t="inlineStr"/>
    </row>
    <row r="7645">
      <c r="A7645">
        <f>HYPERLINK("https://mathstats.uncg.edu/sites/pauli/congruence/csg23.html#group120P23", "120P²³")</f>
        <v/>
      </c>
      <c r="B7645" t="n">
        <v>23</v>
      </c>
      <c r="C7645" t="inlineStr"/>
      <c r="D7645" t="inlineStr">
        <is>
          <t>360</t>
        </is>
      </c>
      <c r="E7645" t="inlineStr">
        <is>
          <t>2</t>
        </is>
      </c>
      <c r="F7645" t="inlineStr">
        <is>
          <t>90</t>
        </is>
      </c>
      <c r="G7645" t="inlineStr">
        <is>
          <t>12</t>
        </is>
      </c>
      <c r="H7645" t="inlineStr">
        <is>
          <t>0</t>
        </is>
      </c>
      <c r="I7645" t="inlineStr">
        <is>
          <t>15⁸, 120²</t>
        </is>
      </c>
      <c r="J7645" t="n">
        <v>10</v>
      </c>
      <c r="K7645" t="inlineStr">
        <is>
          <t>4³, 8⁹, 16⁶</t>
        </is>
      </c>
      <c r="L7645" t="inlineStr">
        <is>
          <t>60C¹⁰</t>
        </is>
      </c>
      <c r="M7645" t="inlineStr"/>
      <c r="N7645" t="inlineStr">
        <is>
          <t>30K⁵, 15D¹, 5C⁰, 2B⁰, 20F², 3A⁰, 60C¹⁰, 1A⁰, 6D⁰, 10F¹</t>
        </is>
      </c>
      <c r="O7645" t="inlineStr"/>
    </row>
    <row r="7646">
      <c r="A7646">
        <f>HYPERLINK("https://mathstats.uncg.edu/sites/pauli/congruence/csg23.html#group120Q23", "120Q²³")</f>
        <v/>
      </c>
      <c r="B7646" t="n">
        <v>23</v>
      </c>
      <c r="C7646" t="inlineStr"/>
      <c r="D7646" t="inlineStr">
        <is>
          <t>432</t>
        </is>
      </c>
      <c r="E7646" t="inlineStr">
        <is>
          <t>1</t>
        </is>
      </c>
      <c r="F7646" t="inlineStr">
        <is>
          <t>54</t>
        </is>
      </c>
      <c r="G7646" t="inlineStr">
        <is>
          <t>16</t>
        </is>
      </c>
      <c r="H7646" t="inlineStr">
        <is>
          <t>0</t>
        </is>
      </c>
      <c r="I7646" t="inlineStr">
        <is>
          <t>3⁸, 15⁸, 24², 120²</t>
        </is>
      </c>
      <c r="J7646" t="n">
        <v>20</v>
      </c>
      <c r="K7646" t="inlineStr">
        <is>
          <t>2⁶, 4⁶, 8³, 16³</t>
        </is>
      </c>
      <c r="L7646" t="inlineStr">
        <is>
          <t>60N⁹, 120D¹¹</t>
        </is>
      </c>
      <c r="M7646" t="inlineStr"/>
      <c r="N7646" t="inlineStr">
        <is>
          <t>5B⁰, 60B⁵, 60C⁴, 2B⁰, 60N⁹, 120D¹¹, 1A⁰, 20A⁰, 15B⁰, 30E², 30I⁴, 10C⁰, 12D⁰, 3A⁰, 6D⁰, 15C⁰</t>
        </is>
      </c>
      <c r="O7646" t="inlineStr"/>
    </row>
    <row r="7647">
      <c r="A7647">
        <f>HYPERLINK("https://mathstats.uncg.edu/sites/pauli/congruence/csg23.html#group120R23", "120R²³")</f>
        <v/>
      </c>
      <c r="B7647" t="n">
        <v>23</v>
      </c>
      <c r="C7647" t="inlineStr"/>
      <c r="D7647" t="inlineStr">
        <is>
          <t>432</t>
        </is>
      </c>
      <c r="E7647" t="inlineStr">
        <is>
          <t>1</t>
        </is>
      </c>
      <c r="F7647" t="inlineStr">
        <is>
          <t>54</t>
        </is>
      </c>
      <c r="G7647" t="inlineStr">
        <is>
          <t>16</t>
        </is>
      </c>
      <c r="H7647" t="inlineStr">
        <is>
          <t>0</t>
        </is>
      </c>
      <c r="I7647" t="inlineStr">
        <is>
          <t>3⁸, 15⁸, 24², 120²</t>
        </is>
      </c>
      <c r="J7647" t="n">
        <v>20</v>
      </c>
      <c r="K7647" t="inlineStr">
        <is>
          <t>2⁶, 4⁶, 8³, 16³</t>
        </is>
      </c>
      <c r="L7647" t="inlineStr">
        <is>
          <t>60N⁹, 120D¹¹</t>
        </is>
      </c>
      <c r="M7647" t="inlineStr"/>
      <c r="N7647" t="inlineStr">
        <is>
          <t>5B⁰, 60B⁵, 60C⁴, 2B⁰, 60N⁹, 120D¹¹, 1A⁰, 20A⁰, 15B⁰, 30E², 30I⁴, 10C⁰, 12D⁰, 3A⁰, 6D⁰, 15C⁰</t>
        </is>
      </c>
      <c r="O7647" t="inlineStr"/>
    </row>
    <row r="7648">
      <c r="A7648">
        <f>HYPERLINK("https://mathstats.uncg.edu/sites/pauli/congruence/csg23.html#group120S23", "120S²³")</f>
        <v/>
      </c>
      <c r="B7648" t="n">
        <v>23</v>
      </c>
      <c r="C7648" t="inlineStr"/>
      <c r="D7648" t="inlineStr">
        <is>
          <t>432</t>
        </is>
      </c>
      <c r="E7648" t="inlineStr">
        <is>
          <t>2</t>
        </is>
      </c>
      <c r="F7648" t="inlineStr">
        <is>
          <t>54</t>
        </is>
      </c>
      <c r="G7648" t="inlineStr">
        <is>
          <t>16</t>
        </is>
      </c>
      <c r="H7648" t="inlineStr">
        <is>
          <t>0</t>
        </is>
      </c>
      <c r="I7648" t="inlineStr">
        <is>
          <t>3⁸, 15⁸, 24², 120²</t>
        </is>
      </c>
      <c r="J7648" t="n">
        <v>20</v>
      </c>
      <c r="K7648" t="inlineStr">
        <is>
          <t>2⁶, 4⁶, 8³, 16³</t>
        </is>
      </c>
      <c r="L7648" t="inlineStr">
        <is>
          <t>60N⁹, 120C¹¹, 120D¹¹</t>
        </is>
      </c>
      <c r="M7648" t="inlineStr"/>
      <c r="N7648" t="inlineStr">
        <is>
          <t>40A¹, 120C¹¹, 5B⁰, 60B⁵, 60C⁴, 2B⁰, 60N⁹, 120D¹¹, 1A⁰, 20A⁰, 15B⁰, 30E², 30I⁴, 10C⁰, 12D⁰, 3A⁰, 6D⁰, 15C⁰</t>
        </is>
      </c>
      <c r="O7648" t="inlineStr"/>
    </row>
    <row r="7649">
      <c r="A7649">
        <f>HYPERLINK("https://mathstats.uncg.edu/sites/pauli/congruence/csg23.html#group126A23", "126A²³")</f>
        <v/>
      </c>
      <c r="B7649" t="n">
        <v>23</v>
      </c>
      <c r="C7649" t="inlineStr"/>
      <c r="D7649" t="inlineStr">
        <is>
          <t>288</t>
        </is>
      </c>
      <c r="E7649" t="inlineStr">
        <is>
          <t>1</t>
        </is>
      </c>
      <c r="F7649" t="inlineStr">
        <is>
          <t>24</t>
        </is>
      </c>
      <c r="G7649" t="inlineStr">
        <is>
          <t>0</t>
        </is>
      </c>
      <c r="H7649" t="inlineStr">
        <is>
          <t>0</t>
        </is>
      </c>
      <c r="I7649" t="inlineStr">
        <is>
          <t>18², 126²</t>
        </is>
      </c>
      <c r="J7649" t="n">
        <v>4</v>
      </c>
      <c r="K7649" t="inlineStr">
        <is>
          <t>1², 2², 6¹, 12¹</t>
        </is>
      </c>
      <c r="L7649" t="inlineStr">
        <is>
          <t>18D⁰, 42D⁷, 63A¹¹, 126D¹²</t>
        </is>
      </c>
      <c r="M7649" t="inlineStr"/>
      <c r="N7649" t="inlineStr">
        <is>
          <t>42D⁷, 6B⁰, 63A⁶, 126D¹², 42C⁴, 1A⁰, 18A⁰, 21A³, 9D⁰, 18D⁰, 21A², 6E⁰, 7B⁰, 9A⁰, 63A¹¹, 3C⁰, 3A⁰</t>
        </is>
      </c>
      <c r="O7649" t="inlineStr"/>
    </row>
    <row r="7650">
      <c r="A7650">
        <f>HYPERLINK("https://mathstats.uncg.edu/sites/pauli/congruence/csg23.html#group126B23", "126B²³")</f>
        <v/>
      </c>
      <c r="B7650" t="n">
        <v>23</v>
      </c>
      <c r="C7650" t="inlineStr"/>
      <c r="D7650" t="inlineStr">
        <is>
          <t>288</t>
        </is>
      </c>
      <c r="E7650" t="inlineStr">
        <is>
          <t>1</t>
        </is>
      </c>
      <c r="F7650" t="inlineStr">
        <is>
          <t>24</t>
        </is>
      </c>
      <c r="G7650" t="inlineStr">
        <is>
          <t>0</t>
        </is>
      </c>
      <c r="H7650" t="inlineStr">
        <is>
          <t>0</t>
        </is>
      </c>
      <c r="I7650" t="inlineStr">
        <is>
          <t>18², 126²</t>
        </is>
      </c>
      <c r="J7650" t="n">
        <v>4</v>
      </c>
      <c r="K7650" t="inlineStr">
        <is>
          <t>1², 2², 6¹, 12¹</t>
        </is>
      </c>
      <c r="L7650" t="inlineStr">
        <is>
          <t>18A³, 42E⁷, 63A¹¹, 126A¹², 126B¹²</t>
        </is>
      </c>
      <c r="M7650" t="inlineStr"/>
      <c r="N7650" t="inlineStr">
        <is>
          <t>42E⁷, 126A¹², 2A⁰, 6B⁰, 63A⁶, 18A³, 18A², 42C⁴, 1A⁰, 21A³, 126B¹², 9D⁰, 21A², 42B⁴, 6B¹, 7B⁰, 9A⁰, 63A¹¹, 14B⁰, 3C⁰, 6A¹, 3A⁰, 18A¹</t>
        </is>
      </c>
      <c r="O7650" t="inlineStr"/>
    </row>
    <row r="7651">
      <c r="A7651">
        <f>HYPERLINK("https://mathstats.uncg.edu/sites/pauli/congruence/csg23.html#group126C23", "126C²³")</f>
        <v/>
      </c>
      <c r="B7651" t="n">
        <v>23</v>
      </c>
      <c r="C7651" t="inlineStr"/>
      <c r="D7651" t="inlineStr">
        <is>
          <t>288</t>
        </is>
      </c>
      <c r="E7651" t="inlineStr">
        <is>
          <t>1</t>
        </is>
      </c>
      <c r="F7651" t="inlineStr">
        <is>
          <t>48</t>
        </is>
      </c>
      <c r="G7651" t="inlineStr">
        <is>
          <t>0</t>
        </is>
      </c>
      <c r="H7651" t="inlineStr">
        <is>
          <t>0</t>
        </is>
      </c>
      <c r="I7651" t="inlineStr">
        <is>
          <t>18², 126²</t>
        </is>
      </c>
      <c r="J7651" t="n">
        <v>4</v>
      </c>
      <c r="K7651" t="inlineStr">
        <is>
          <t>2⁶, 12³</t>
        </is>
      </c>
      <c r="L7651" t="inlineStr">
        <is>
          <t>42D⁷, 63B¹¹</t>
        </is>
      </c>
      <c r="M7651" t="inlineStr"/>
      <c r="N7651" t="inlineStr">
        <is>
          <t>42D⁷, 6B⁰, 21A², 63B¹¹, 6E⁰, 7B⁰, 3C⁰, 42C⁴, 3A⁰, 1A⁰, 21A³</t>
        </is>
      </c>
      <c r="O7651" t="inlineStr"/>
    </row>
    <row r="7652">
      <c r="A7652">
        <f>HYPERLINK("https://mathstats.uncg.edu/sites/pauli/congruence/csg23.html#group126D23", "126D²³")</f>
        <v/>
      </c>
      <c r="B7652" t="n">
        <v>23</v>
      </c>
      <c r="C7652" t="inlineStr"/>
      <c r="D7652" t="inlineStr">
        <is>
          <t>288</t>
        </is>
      </c>
      <c r="E7652" t="inlineStr">
        <is>
          <t>1</t>
        </is>
      </c>
      <c r="F7652" t="inlineStr">
        <is>
          <t>48</t>
        </is>
      </c>
      <c r="G7652" t="inlineStr">
        <is>
          <t>0</t>
        </is>
      </c>
      <c r="H7652" t="inlineStr">
        <is>
          <t>0</t>
        </is>
      </c>
      <c r="I7652" t="inlineStr">
        <is>
          <t>18², 126²</t>
        </is>
      </c>
      <c r="J7652" t="n">
        <v>4</v>
      </c>
      <c r="K7652" t="inlineStr">
        <is>
          <t>2⁶, 12³</t>
        </is>
      </c>
      <c r="L7652" t="inlineStr">
        <is>
          <t>42E⁷, 63B¹¹</t>
        </is>
      </c>
      <c r="M7652" t="inlineStr"/>
      <c r="N7652" t="inlineStr">
        <is>
          <t>42E⁷, 2A⁰, 6B⁰, 21A², 42B⁴, 63B¹¹, 6B¹, 7B⁰, 14B⁰, 3C⁰, 6A¹, 42C⁴, 3A⁰, 1A⁰, 21A³</t>
        </is>
      </c>
      <c r="O7652" t="inlineStr"/>
    </row>
    <row r="7653">
      <c r="A7653">
        <f>HYPERLINK("https://mathstats.uncg.edu/sites/pauli/congruence/csg23.html#group126E23", "126E²³")</f>
        <v/>
      </c>
      <c r="B7653" t="n">
        <v>23</v>
      </c>
      <c r="C7653" t="inlineStr"/>
      <c r="D7653" t="inlineStr">
        <is>
          <t>288</t>
        </is>
      </c>
      <c r="E7653" t="inlineStr">
        <is>
          <t>1</t>
        </is>
      </c>
      <c r="F7653" t="inlineStr">
        <is>
          <t>48</t>
        </is>
      </c>
      <c r="G7653" t="inlineStr">
        <is>
          <t>0</t>
        </is>
      </c>
      <c r="H7653" t="inlineStr">
        <is>
          <t>0</t>
        </is>
      </c>
      <c r="I7653" t="inlineStr">
        <is>
          <t>18², 126²</t>
        </is>
      </c>
      <c r="J7653" t="n">
        <v>4</v>
      </c>
      <c r="K7653" t="inlineStr">
        <is>
          <t>2⁶, 12³</t>
        </is>
      </c>
      <c r="L7653" t="inlineStr">
        <is>
          <t>18B³, 42E⁷, 126C¹²</t>
        </is>
      </c>
      <c r="M7653" t="inlineStr"/>
      <c r="N7653" t="inlineStr">
        <is>
          <t>42E⁷, 2A⁰, 6B⁰, 18B¹, 42C⁴, 1A⁰, 21A³, 21A², 42B⁴, 6B¹, 7B⁰, 18B³, 126C¹², 14B⁰, 3C⁰, 6A¹, 3A⁰</t>
        </is>
      </c>
      <c r="O7653" t="inlineStr"/>
    </row>
    <row r="7654">
      <c r="A7654">
        <f>HYPERLINK("https://mathstats.uncg.edu/sites/pauli/congruence/csg23.html#group126F23", "126F²³")</f>
        <v/>
      </c>
      <c r="B7654" t="n">
        <v>23</v>
      </c>
      <c r="C7654" t="inlineStr"/>
      <c r="D7654" t="inlineStr">
        <is>
          <t>288</t>
        </is>
      </c>
      <c r="E7654" t="inlineStr">
        <is>
          <t>1</t>
        </is>
      </c>
      <c r="F7654" t="inlineStr">
        <is>
          <t>96</t>
        </is>
      </c>
      <c r="G7654" t="inlineStr">
        <is>
          <t>0</t>
        </is>
      </c>
      <c r="H7654" t="inlineStr">
        <is>
          <t>0</t>
        </is>
      </c>
      <c r="I7654" t="inlineStr">
        <is>
          <t>18², 126²</t>
        </is>
      </c>
      <c r="J7654" t="n">
        <v>4</v>
      </c>
      <c r="K7654" t="inlineStr">
        <is>
          <t>2¹², 12⁶</t>
        </is>
      </c>
      <c r="L7654" t="inlineStr">
        <is>
          <t>42E⁷</t>
        </is>
      </c>
      <c r="M7654" t="inlineStr"/>
      <c r="N7654" t="inlineStr">
        <is>
          <t>42E⁷, 2A⁰, 6B⁰, 21A², 42B⁴, 6B¹, 7B⁰, 14B⁰, 3C⁰, 6A¹, 42C⁴, 3A⁰, 1A⁰, 21A³</t>
        </is>
      </c>
      <c r="O7654" t="inlineStr"/>
    </row>
    <row r="7655">
      <c r="A7655">
        <f>HYPERLINK("https://mathstats.uncg.edu/sites/pauli/congruence/csg23.html#group126G23", "126G²³")</f>
        <v/>
      </c>
      <c r="B7655" t="n">
        <v>23</v>
      </c>
      <c r="C7655" t="inlineStr"/>
      <c r="D7655" t="inlineStr">
        <is>
          <t>288</t>
        </is>
      </c>
      <c r="E7655" t="inlineStr">
        <is>
          <t>2</t>
        </is>
      </c>
      <c r="F7655" t="inlineStr">
        <is>
          <t>72</t>
        </is>
      </c>
      <c r="G7655" t="inlineStr">
        <is>
          <t>0</t>
        </is>
      </c>
      <c r="H7655" t="inlineStr">
        <is>
          <t>0</t>
        </is>
      </c>
      <c r="I7655" t="inlineStr">
        <is>
          <t>18², 126²</t>
        </is>
      </c>
      <c r="J7655" t="n">
        <v>4</v>
      </c>
      <c r="K7655" t="inlineStr">
        <is>
          <t>2⁶, 6⁴, 12³, 36²</t>
        </is>
      </c>
      <c r="L7655" t="inlineStr">
        <is>
          <t>18G², 42D⁷, 63C¹¹, 126A¹², 126D¹²</t>
        </is>
      </c>
      <c r="M7655" t="inlineStr"/>
      <c r="N7655" t="inlineStr">
        <is>
          <t>126A¹², 42D⁷, 6B⁰, 63A⁶, 126D¹², 42C⁴, 1A⁰, 18A⁰, 21A³, 9B¹, 21A², 6E⁰, 7B⁰, 9A⁰, 3C⁰, 63C¹¹, 18G², 3A⁰, 18A¹</t>
        </is>
      </c>
      <c r="O7655" t="inlineStr"/>
    </row>
    <row r="7656">
      <c r="A7656">
        <f>HYPERLINK("https://mathstats.uncg.edu/sites/pauli/congruence/csg23.html#group126H23", "126H²³")</f>
        <v/>
      </c>
      <c r="B7656" t="n">
        <v>23</v>
      </c>
      <c r="C7656" t="inlineStr"/>
      <c r="D7656" t="inlineStr">
        <is>
          <t>288</t>
        </is>
      </c>
      <c r="E7656" t="inlineStr">
        <is>
          <t>2</t>
        </is>
      </c>
      <c r="F7656" t="inlineStr">
        <is>
          <t>72</t>
        </is>
      </c>
      <c r="G7656" t="inlineStr">
        <is>
          <t>0</t>
        </is>
      </c>
      <c r="H7656" t="inlineStr">
        <is>
          <t>0</t>
        </is>
      </c>
      <c r="I7656" t="inlineStr">
        <is>
          <t>18², 126²</t>
        </is>
      </c>
      <c r="J7656" t="n">
        <v>4</v>
      </c>
      <c r="K7656" t="inlineStr">
        <is>
          <t>2⁶, 6⁴, 12³, 36²</t>
        </is>
      </c>
      <c r="L7656" t="inlineStr">
        <is>
          <t>18C³, 42E⁷, 63C¹¹, 126B¹², 126D¹²</t>
        </is>
      </c>
      <c r="M7656" t="inlineStr"/>
      <c r="N7656" t="inlineStr">
        <is>
          <t>42E⁷, 2A⁰, 6B⁰, 63A⁶, 126D¹², 18A², 42C⁴, 1A⁰, 18A⁰, 21A³, 9B¹, 126B¹², 21A², 42B⁴, 6B¹, 7B⁰, 9A⁰, 14B⁰, 18C³, 3C⁰, 6A¹, 63C¹¹, 3A⁰</t>
        </is>
      </c>
      <c r="O7656" t="inlineStr"/>
    </row>
    <row r="7657">
      <c r="A7657">
        <f>HYPERLINK("https://mathstats.uncg.edu/sites/pauli/congruence/csg23.html#group126I23", "126I²³")</f>
        <v/>
      </c>
      <c r="B7657" t="n">
        <v>23</v>
      </c>
      <c r="C7657" t="inlineStr"/>
      <c r="D7657" t="inlineStr">
        <is>
          <t>288</t>
        </is>
      </c>
      <c r="E7657" t="inlineStr">
        <is>
          <t>2</t>
        </is>
      </c>
      <c r="F7657" t="inlineStr">
        <is>
          <t>144</t>
        </is>
      </c>
      <c r="G7657" t="inlineStr">
        <is>
          <t>0</t>
        </is>
      </c>
      <c r="H7657" t="inlineStr">
        <is>
          <t>0</t>
        </is>
      </c>
      <c r="I7657" t="inlineStr">
        <is>
          <t>18², 126²</t>
        </is>
      </c>
      <c r="J7657" t="n">
        <v>4</v>
      </c>
      <c r="K7657" t="inlineStr">
        <is>
          <t>2¹², 6⁸, 12⁶, 36⁴</t>
        </is>
      </c>
      <c r="L7657" t="inlineStr">
        <is>
          <t>18H², 42D⁷, 126C¹²</t>
        </is>
      </c>
      <c r="M7657" t="inlineStr"/>
      <c r="N7657" t="inlineStr">
        <is>
          <t>42D⁷, 6B⁰, 21A², 18H², 6E⁰, 7B⁰, 126C¹², 18B¹, 3C⁰, 42C⁴, 3A⁰, 1A⁰, 21A³</t>
        </is>
      </c>
      <c r="O7657" t="inlineStr"/>
    </row>
    <row r="7658">
      <c r="A7658">
        <f>HYPERLINK("https://mathstats.uncg.edu/sites/pauli/congruence/csg23.html#group126J23", "126J²³")</f>
        <v/>
      </c>
      <c r="B7658" t="n">
        <v>23</v>
      </c>
      <c r="C7658" t="inlineStr"/>
      <c r="D7658" t="inlineStr">
        <is>
          <t>336</t>
        </is>
      </c>
      <c r="E7658" t="inlineStr">
        <is>
          <t>2</t>
        </is>
      </c>
      <c r="F7658" t="inlineStr">
        <is>
          <t>28</t>
        </is>
      </c>
      <c r="G7658" t="inlineStr">
        <is>
          <t>0</t>
        </is>
      </c>
      <c r="H7658" t="inlineStr">
        <is>
          <t>12</t>
        </is>
      </c>
      <c r="I7658" t="inlineStr">
        <is>
          <t>42², 126²</t>
        </is>
      </c>
      <c r="J7658" t="n">
        <v>4</v>
      </c>
      <c r="K7658" t="inlineStr">
        <is>
          <t>2², 4¹, 6⁴, 12²</t>
        </is>
      </c>
      <c r="L7658" t="inlineStr">
        <is>
          <t>42F⁷, 63E¹¹, 126E¹², 126F¹²</t>
        </is>
      </c>
      <c r="M7658" t="inlineStr"/>
      <c r="N7658" t="inlineStr">
        <is>
          <t>126E¹², 21B³, 3B⁰, 2A⁰, 14A⁰, 18B⁰, 6C⁰, 42F⁷, 14A¹, 9C⁰, 1A⁰, 14D¹, 63E¹¹, 21B², 63C⁶, 7C⁰, 42E⁴, 126F¹², 42D⁴, 7A⁰</t>
        </is>
      </c>
      <c r="O7658" t="inlineStr"/>
    </row>
    <row r="7659">
      <c r="A7659">
        <f>HYPERLINK("https://mathstats.uncg.edu/sites/pauli/congruence/csg23.html#group126K23", "126K²³")</f>
        <v/>
      </c>
      <c r="B7659" t="n">
        <v>23</v>
      </c>
      <c r="C7659" t="inlineStr"/>
      <c r="D7659" t="inlineStr">
        <is>
          <t>336</t>
        </is>
      </c>
      <c r="E7659" t="inlineStr">
        <is>
          <t>2</t>
        </is>
      </c>
      <c r="F7659" t="inlineStr">
        <is>
          <t>56</t>
        </is>
      </c>
      <c r="G7659" t="inlineStr">
        <is>
          <t>0</t>
        </is>
      </c>
      <c r="H7659" t="inlineStr">
        <is>
          <t>6</t>
        </is>
      </c>
      <c r="I7659" t="inlineStr">
        <is>
          <t>14⁶, 126²</t>
        </is>
      </c>
      <c r="J7659" t="n">
        <v>8</v>
      </c>
      <c r="K7659" t="inlineStr">
        <is>
          <t>4⁴, 12⁸</t>
        </is>
      </c>
      <c r="L7659" t="inlineStr">
        <is>
          <t>42F⁷, 63A¹⁰</t>
        </is>
      </c>
      <c r="M7659" t="inlineStr"/>
      <c r="N7659" t="inlineStr">
        <is>
          <t>21B³, 3B⁰, 2A⁰, 14A⁰, 63A¹⁰, 6C⁰, 42F⁷, 14A¹, 1A⁰, 14D¹, 21B², 7C⁰, 42E⁴, 42D⁴, 7A⁰</t>
        </is>
      </c>
      <c r="O7659" t="inlineStr"/>
    </row>
    <row r="7660">
      <c r="A7660">
        <f>HYPERLINK("https://mathstats.uncg.edu/sites/pauli/congruence/csg23.html#group126L23", "126L²³")</f>
        <v/>
      </c>
      <c r="B7660" t="n">
        <v>23</v>
      </c>
      <c r="C7660" t="inlineStr"/>
      <c r="D7660" t="inlineStr">
        <is>
          <t>336</t>
        </is>
      </c>
      <c r="E7660" t="inlineStr">
        <is>
          <t>2</t>
        </is>
      </c>
      <c r="F7660" t="inlineStr">
        <is>
          <t>56</t>
        </is>
      </c>
      <c r="G7660" t="inlineStr">
        <is>
          <t>0</t>
        </is>
      </c>
      <c r="H7660" t="inlineStr">
        <is>
          <t>6</t>
        </is>
      </c>
      <c r="I7660" t="inlineStr">
        <is>
          <t>14⁶, 126²</t>
        </is>
      </c>
      <c r="J7660" t="n">
        <v>8</v>
      </c>
      <c r="K7660" t="inlineStr">
        <is>
          <t>4⁴, 12⁸</t>
        </is>
      </c>
      <c r="L7660" t="inlineStr">
        <is>
          <t>42F⁷, 126G¹²</t>
        </is>
      </c>
      <c r="M7660" t="inlineStr"/>
      <c r="N7660" t="inlineStr">
        <is>
          <t>126G¹², 3B⁰, 2A⁰, 21B³, 14A⁰, 6C⁰, 42F⁷, 14A¹, 1A⁰, 14D¹, 18C⁰, 21B², 42E⁴, 7C⁰, 42D⁴, 7A⁰</t>
        </is>
      </c>
      <c r="O7660" t="inlineStr"/>
    </row>
    <row r="7661">
      <c r="A7661">
        <f>HYPERLINK("https://mathstats.uncg.edu/sites/pauli/congruence/csg23.html#group126M23", "126M²³")</f>
        <v/>
      </c>
      <c r="B7661" t="n">
        <v>23</v>
      </c>
      <c r="C7661" t="inlineStr"/>
      <c r="D7661" t="inlineStr">
        <is>
          <t>384</t>
        </is>
      </c>
      <c r="E7661" t="inlineStr">
        <is>
          <t>2</t>
        </is>
      </c>
      <c r="F7661" t="inlineStr">
        <is>
          <t>64</t>
        </is>
      </c>
      <c r="G7661" t="inlineStr">
        <is>
          <t>0</t>
        </is>
      </c>
      <c r="H7661" t="inlineStr">
        <is>
          <t>6</t>
        </is>
      </c>
      <c r="I7661" t="inlineStr">
        <is>
          <t>2⁶, 14⁶, 18², 126²</t>
        </is>
      </c>
      <c r="J7661" t="n">
        <v>16</v>
      </c>
      <c r="K7661" t="inlineStr">
        <is>
          <t>2¹⁶, 12⁸</t>
        </is>
      </c>
      <c r="L7661" t="inlineStr">
        <is>
          <t>42I⁵, 126I¹²</t>
        </is>
      </c>
      <c r="M7661" t="inlineStr"/>
      <c r="N7661" t="inlineStr">
        <is>
          <t>3B⁰, 42I⁵, 2A⁰, 21B¹, 7B⁰, 42E³, 6C⁰, 14B⁰, 42D³, 126I¹², 1A⁰, 21F¹</t>
        </is>
      </c>
      <c r="O7661" t="inlineStr"/>
    </row>
    <row r="7662">
      <c r="A7662">
        <f>HYPERLINK("https://mathstats.uncg.edu/sites/pauli/congruence/csg23.html#group130A23", "130A²³")</f>
        <v/>
      </c>
      <c r="B7662" t="n">
        <v>23</v>
      </c>
      <c r="C7662" t="inlineStr"/>
      <c r="D7662" t="inlineStr">
        <is>
          <t>336</t>
        </is>
      </c>
      <c r="E7662" t="inlineStr">
        <is>
          <t>1</t>
        </is>
      </c>
      <c r="F7662" t="inlineStr">
        <is>
          <t>84</t>
        </is>
      </c>
      <c r="G7662" t="inlineStr">
        <is>
          <t>8</t>
        </is>
      </c>
      <c r="H7662" t="inlineStr">
        <is>
          <t>0</t>
        </is>
      </c>
      <c r="I7662" t="inlineStr">
        <is>
          <t>2², 10², 26², 130²</t>
        </is>
      </c>
      <c r="J7662" t="n">
        <v>8</v>
      </c>
      <c r="K7662" t="inlineStr">
        <is>
          <t>1⁴, 4², 12², 48¹</t>
        </is>
      </c>
      <c r="L7662" t="inlineStr">
        <is>
          <t>65B⁹</t>
        </is>
      </c>
      <c r="M7662" t="inlineStr"/>
      <c r="N7662" t="inlineStr">
        <is>
          <t>65B⁹, 5B⁰, 13A⁰, 65A⁵, 1A⁰</t>
        </is>
      </c>
      <c r="O7662" t="inlineStr"/>
    </row>
    <row r="7663">
      <c r="A7663">
        <f>HYPERLINK("https://mathstats.uncg.edu/sites/pauli/congruence/csg23.html#group130B23", "130B²³")</f>
        <v/>
      </c>
      <c r="B7663" t="n">
        <v>23</v>
      </c>
      <c r="C7663" t="inlineStr"/>
      <c r="D7663" t="inlineStr">
        <is>
          <t>336</t>
        </is>
      </c>
      <c r="E7663" t="inlineStr">
        <is>
          <t>1</t>
        </is>
      </c>
      <c r="F7663" t="inlineStr">
        <is>
          <t>84</t>
        </is>
      </c>
      <c r="G7663" t="inlineStr">
        <is>
          <t>8</t>
        </is>
      </c>
      <c r="H7663" t="inlineStr">
        <is>
          <t>0</t>
        </is>
      </c>
      <c r="I7663" t="inlineStr">
        <is>
          <t>2², 10², 26², 130²</t>
        </is>
      </c>
      <c r="J7663" t="n">
        <v>8</v>
      </c>
      <c r="K7663" t="inlineStr">
        <is>
          <t>1⁴, 4², 12², 48¹</t>
        </is>
      </c>
      <c r="L7663" t="inlineStr">
        <is>
          <t>65B⁹</t>
        </is>
      </c>
      <c r="M7663" t="inlineStr"/>
      <c r="N7663" t="inlineStr">
        <is>
          <t>65B⁹, 5B⁰, 13A⁰, 65A⁵, 1A⁰</t>
        </is>
      </c>
      <c r="O7663" t="inlineStr"/>
    </row>
    <row r="7664">
      <c r="A7664">
        <f>HYPERLINK("https://mathstats.uncg.edu/sites/pauli/congruence/csg23.html#group132A23", "132A²³")</f>
        <v/>
      </c>
      <c r="B7664" t="n">
        <v>23</v>
      </c>
      <c r="C7664" t="inlineStr"/>
      <c r="D7664" t="inlineStr">
        <is>
          <t>288</t>
        </is>
      </c>
      <c r="E7664" t="inlineStr">
        <is>
          <t>1</t>
        </is>
      </c>
      <c r="F7664" t="inlineStr">
        <is>
          <t>36</t>
        </is>
      </c>
      <c r="G7664" t="inlineStr">
        <is>
          <t>0</t>
        </is>
      </c>
      <c r="H7664" t="inlineStr">
        <is>
          <t>0</t>
        </is>
      </c>
      <c r="I7664" t="inlineStr">
        <is>
          <t>12², 132²</t>
        </is>
      </c>
      <c r="J7664" t="n">
        <v>4</v>
      </c>
      <c r="K7664" t="inlineStr">
        <is>
          <t>1², 2², 10¹, 20¹</t>
        </is>
      </c>
      <c r="L7664" t="inlineStr">
        <is>
          <t>66C¹¹, 132C¹²</t>
        </is>
      </c>
      <c r="M7664" t="inlineStr"/>
      <c r="N7664" t="inlineStr">
        <is>
          <t>2A⁰, 6B⁰, 66D⁶, 33A³, 1A⁰, 132C¹², 6B¹, 11A¹, 22A², 33A⁵, 3C⁰, 66B⁶, 66C¹¹, 6A¹, 3A⁰</t>
        </is>
      </c>
      <c r="O7664" t="inlineStr"/>
    </row>
    <row r="7665">
      <c r="A7665">
        <f>HYPERLINK("https://mathstats.uncg.edu/sites/pauli/congruence/csg23.html#group132B23", "132B²³")</f>
        <v/>
      </c>
      <c r="B7665" t="n">
        <v>23</v>
      </c>
      <c r="C7665" t="inlineStr"/>
      <c r="D7665" t="inlineStr">
        <is>
          <t>288</t>
        </is>
      </c>
      <c r="E7665" t="inlineStr">
        <is>
          <t>1</t>
        </is>
      </c>
      <c r="F7665" t="inlineStr">
        <is>
          <t>36</t>
        </is>
      </c>
      <c r="G7665" t="inlineStr">
        <is>
          <t>0</t>
        </is>
      </c>
      <c r="H7665" t="inlineStr">
        <is>
          <t>0</t>
        </is>
      </c>
      <c r="I7665" t="inlineStr">
        <is>
          <t>12², 132²</t>
        </is>
      </c>
      <c r="J7665" t="n">
        <v>4</v>
      </c>
      <c r="K7665" t="inlineStr">
        <is>
          <t>1², 2², 10¹, 20¹</t>
        </is>
      </c>
      <c r="L7665" t="inlineStr">
        <is>
          <t>66C¹¹, 132A¹², 132C¹²</t>
        </is>
      </c>
      <c r="M7665" t="inlineStr"/>
      <c r="N7665" t="inlineStr">
        <is>
          <t>2A⁰, 6B⁰, 66D⁶, 33A³, 1A⁰, 132C¹², 44A⁴, 6B¹, 11A¹, 22A², 33A⁵, 132A¹², 3C⁰, 66B⁶, 66C¹¹, 6A¹, 3A⁰</t>
        </is>
      </c>
      <c r="O7665" t="inlineStr"/>
    </row>
    <row r="7666">
      <c r="A7666">
        <f>HYPERLINK("https://mathstats.uncg.edu/sites/pauli/congruence/csg23.html#group132C23", "132C²³")</f>
        <v/>
      </c>
      <c r="B7666" t="n">
        <v>23</v>
      </c>
      <c r="C7666" t="inlineStr"/>
      <c r="D7666" t="inlineStr">
        <is>
          <t>288</t>
        </is>
      </c>
      <c r="E7666" t="inlineStr">
        <is>
          <t>1</t>
        </is>
      </c>
      <c r="F7666" t="inlineStr">
        <is>
          <t>48</t>
        </is>
      </c>
      <c r="G7666" t="inlineStr">
        <is>
          <t>0</t>
        </is>
      </c>
      <c r="H7666" t="inlineStr">
        <is>
          <t>0</t>
        </is>
      </c>
      <c r="I7666" t="inlineStr">
        <is>
          <t>12², 132²</t>
        </is>
      </c>
      <c r="J7666" t="n">
        <v>4</v>
      </c>
      <c r="K7666" t="inlineStr">
        <is>
          <t>2⁴, 20²</t>
        </is>
      </c>
      <c r="L7666" t="inlineStr">
        <is>
          <t>12A², 66B⁶, 44A⁷, 132D¹²</t>
        </is>
      </c>
      <c r="M7666" t="inlineStr"/>
      <c r="N7666" t="inlineStr">
        <is>
          <t>2A⁰, 44B⁴, 132D¹², 33A³, 1A⁰, 12A⁰, 4A⁰, 4D⁰, 11A¹, 22A², 12A², 66B⁶, 6A¹, 44A⁷, 3A⁰</t>
        </is>
      </c>
      <c r="O7666" t="inlineStr"/>
    </row>
    <row r="7667">
      <c r="A7667">
        <f>HYPERLINK("https://mathstats.uncg.edu/sites/pauli/congruence/csg23.html#group132D23", "132D²³")</f>
        <v/>
      </c>
      <c r="B7667" t="n">
        <v>23</v>
      </c>
      <c r="C7667" t="inlineStr"/>
      <c r="D7667" t="inlineStr">
        <is>
          <t>288</t>
        </is>
      </c>
      <c r="E7667" t="inlineStr">
        <is>
          <t>1</t>
        </is>
      </c>
      <c r="F7667" t="inlineStr">
        <is>
          <t>72</t>
        </is>
      </c>
      <c r="G7667" t="inlineStr">
        <is>
          <t>0</t>
        </is>
      </c>
      <c r="H7667" t="inlineStr">
        <is>
          <t>0</t>
        </is>
      </c>
      <c r="I7667" t="inlineStr">
        <is>
          <t>12², 132²</t>
        </is>
      </c>
      <c r="J7667" t="n">
        <v>4</v>
      </c>
      <c r="K7667" t="inlineStr">
        <is>
          <t>2², 4², 20¹, 40¹</t>
        </is>
      </c>
      <c r="L7667" t="inlineStr">
        <is>
          <t>12D¹, 66B¹¹</t>
        </is>
      </c>
      <c r="M7667" t="inlineStr"/>
      <c r="N7667" t="inlineStr">
        <is>
          <t>12D¹, 6B⁰, 6E⁰, 66D⁶, 66B¹¹, 11A¹, 33A⁵, 3C⁰, 3A⁰, 33A³, 1A⁰</t>
        </is>
      </c>
      <c r="O7667" t="inlineStr"/>
    </row>
    <row r="7668">
      <c r="A7668">
        <f>HYPERLINK("https://mathstats.uncg.edu/sites/pauli/congruence/csg23.html#group132E23", "132E²³")</f>
        <v/>
      </c>
      <c r="B7668" t="n">
        <v>23</v>
      </c>
      <c r="C7668" t="inlineStr"/>
      <c r="D7668" t="inlineStr">
        <is>
          <t>288</t>
        </is>
      </c>
      <c r="E7668" t="inlineStr">
        <is>
          <t>1</t>
        </is>
      </c>
      <c r="F7668" t="inlineStr">
        <is>
          <t>96</t>
        </is>
      </c>
      <c r="G7668" t="inlineStr">
        <is>
          <t>0</t>
        </is>
      </c>
      <c r="H7668" t="inlineStr">
        <is>
          <t>0</t>
        </is>
      </c>
      <c r="I7668" t="inlineStr">
        <is>
          <t>12², 132²</t>
        </is>
      </c>
      <c r="J7668" t="n">
        <v>4</v>
      </c>
      <c r="K7668" t="inlineStr">
        <is>
          <t>4⁴, 40²</t>
        </is>
      </c>
      <c r="L7668" t="inlineStr">
        <is>
          <t>12E¹, 66C⁶, 44A⁷</t>
        </is>
      </c>
      <c r="M7668" t="inlineStr"/>
      <c r="N7668" t="inlineStr">
        <is>
          <t>2A⁰, 6A⁰, 11A¹, 22A², 4A⁰, 44B⁴, 12E¹, 4D⁰, 66C⁶, 44A⁷, 1A⁰</t>
        </is>
      </c>
      <c r="O7668" t="inlineStr"/>
    </row>
    <row r="7669">
      <c r="A7669">
        <f>HYPERLINK("https://mathstats.uncg.edu/sites/pauli/congruence/csg23.html#group132F23", "132F²³")</f>
        <v/>
      </c>
      <c r="B7669" t="n">
        <v>23</v>
      </c>
      <c r="C7669" t="inlineStr"/>
      <c r="D7669" t="inlineStr">
        <is>
          <t>288</t>
        </is>
      </c>
      <c r="E7669" t="inlineStr">
        <is>
          <t>1</t>
        </is>
      </c>
      <c r="F7669" t="inlineStr">
        <is>
          <t>144</t>
        </is>
      </c>
      <c r="G7669" t="inlineStr">
        <is>
          <t>0</t>
        </is>
      </c>
      <c r="H7669" t="inlineStr">
        <is>
          <t>0</t>
        </is>
      </c>
      <c r="I7669" t="inlineStr">
        <is>
          <t>12², 132²</t>
        </is>
      </c>
      <c r="J7669" t="n">
        <v>4</v>
      </c>
      <c r="K7669" t="inlineStr">
        <is>
          <t>2⁴, 4⁴, 20², 40²</t>
        </is>
      </c>
      <c r="L7669" t="inlineStr">
        <is>
          <t>12F⁰, 66D⁶, 132D¹²</t>
        </is>
      </c>
      <c r="M7669" t="inlineStr"/>
      <c r="N7669" t="inlineStr">
        <is>
          <t>12A⁰, 6B⁰, 66D⁶, 4A⁰, 11A¹, 44B⁴, 12F⁰, 132D¹², 3A⁰, 33A³, 1A⁰</t>
        </is>
      </c>
      <c r="O7669" t="inlineStr"/>
    </row>
    <row r="7670">
      <c r="A7670">
        <f>HYPERLINK("https://mathstats.uncg.edu/sites/pauli/congruence/csg23.html#group132G23", "132G²³")</f>
        <v/>
      </c>
      <c r="B7670" t="n">
        <v>23</v>
      </c>
      <c r="C7670" t="inlineStr"/>
      <c r="D7670" t="inlineStr">
        <is>
          <t>288</t>
        </is>
      </c>
      <c r="E7670" t="inlineStr">
        <is>
          <t>1</t>
        </is>
      </c>
      <c r="F7670" t="inlineStr">
        <is>
          <t>144</t>
        </is>
      </c>
      <c r="G7670" t="inlineStr">
        <is>
          <t>0</t>
        </is>
      </c>
      <c r="H7670" t="inlineStr">
        <is>
          <t>0</t>
        </is>
      </c>
      <c r="I7670" t="inlineStr">
        <is>
          <t>12², 132²</t>
        </is>
      </c>
      <c r="J7670" t="n">
        <v>4</v>
      </c>
      <c r="K7670" t="inlineStr">
        <is>
          <t>2⁴, 4⁴, 20², 40²</t>
        </is>
      </c>
      <c r="L7670" t="inlineStr">
        <is>
          <t>12G¹, 33A⁵, 132D¹²</t>
        </is>
      </c>
      <c r="M7670" t="inlineStr"/>
      <c r="N7670" t="inlineStr">
        <is>
          <t>12G¹, 12A⁰, 4A⁰, 11A¹, 44B⁴, 33A⁵, 3C⁰, 132D¹², 3A⁰, 33A³, 1A⁰</t>
        </is>
      </c>
      <c r="O7670" t="inlineStr"/>
    </row>
    <row r="7671">
      <c r="A7671">
        <f>HYPERLINK("https://mathstats.uncg.edu/sites/pauli/congruence/csg23.html#group132H23", "132H²³")</f>
        <v/>
      </c>
      <c r="B7671" t="n">
        <v>23</v>
      </c>
      <c r="C7671" t="inlineStr"/>
      <c r="D7671" t="inlineStr">
        <is>
          <t>288</t>
        </is>
      </c>
      <c r="E7671" t="inlineStr">
        <is>
          <t>1</t>
        </is>
      </c>
      <c r="F7671" t="inlineStr">
        <is>
          <t>288</t>
        </is>
      </c>
      <c r="G7671" t="inlineStr">
        <is>
          <t>0</t>
        </is>
      </c>
      <c r="H7671" t="inlineStr">
        <is>
          <t>0</t>
        </is>
      </c>
      <c r="I7671" t="inlineStr">
        <is>
          <t>12², 132²</t>
        </is>
      </c>
      <c r="J7671" t="n">
        <v>4</v>
      </c>
      <c r="K7671" t="inlineStr">
        <is>
          <t>4¹², 40⁶</t>
        </is>
      </c>
      <c r="L7671" t="inlineStr">
        <is>
          <t>12H¹, 66C⁶</t>
        </is>
      </c>
      <c r="M7671" t="inlineStr"/>
      <c r="N7671" t="inlineStr">
        <is>
          <t>2A⁰, 66C⁶, 12H¹, 6A⁰, 1A⁰, 11A¹, 22A²</t>
        </is>
      </c>
      <c r="O7671" t="inlineStr"/>
    </row>
    <row r="7672">
      <c r="A7672">
        <f>HYPERLINK("https://mathstats.uncg.edu/sites/pauli/congruence/csg23.html#group135A23", "135A²³")</f>
        <v/>
      </c>
      <c r="B7672" t="n">
        <v>23</v>
      </c>
      <c r="C7672" t="inlineStr"/>
      <c r="D7672" t="inlineStr">
        <is>
          <t>360</t>
        </is>
      </c>
      <c r="E7672" t="inlineStr">
        <is>
          <t>1</t>
        </is>
      </c>
      <c r="F7672" t="inlineStr">
        <is>
          <t>120</t>
        </is>
      </c>
      <c r="G7672" t="inlineStr">
        <is>
          <t>0</t>
        </is>
      </c>
      <c r="H7672" t="inlineStr">
        <is>
          <t>0</t>
        </is>
      </c>
      <c r="I7672" t="inlineStr">
        <is>
          <t>5¹², 15², 135²</t>
        </is>
      </c>
      <c r="J7672" t="n">
        <v>16</v>
      </c>
      <c r="K7672" t="inlineStr">
        <is>
          <t>2², 4⁶, 8⁴, 12¹, 24²</t>
        </is>
      </c>
      <c r="L7672" t="inlineStr">
        <is>
          <t>27A⁰, 45C⁷</t>
        </is>
      </c>
      <c r="M7672" t="inlineStr"/>
      <c r="N7672" t="inlineStr">
        <is>
          <t>3B⁰, 5C⁰, 27A⁰, 9B⁰, 45C⁷, 15C², 1A⁰</t>
        </is>
      </c>
      <c r="O7672" t="inlineStr"/>
    </row>
    <row r="7673">
      <c r="A7673">
        <f>HYPERLINK("https://mathstats.uncg.edu/sites/pauli/congruence/csg23.html#group136A23", "136A²³")</f>
        <v/>
      </c>
      <c r="B7673" t="n">
        <v>23</v>
      </c>
      <c r="C7673" t="inlineStr"/>
      <c r="D7673" t="inlineStr">
        <is>
          <t>288</t>
        </is>
      </c>
      <c r="E7673" t="inlineStr">
        <is>
          <t>1</t>
        </is>
      </c>
      <c r="F7673" t="inlineStr">
        <is>
          <t>72</t>
        </is>
      </c>
      <c r="G7673" t="inlineStr">
        <is>
          <t>0</t>
        </is>
      </c>
      <c r="H7673" t="inlineStr">
        <is>
          <t>0</t>
        </is>
      </c>
      <c r="I7673" t="inlineStr">
        <is>
          <t>8², 136²</t>
        </is>
      </c>
      <c r="J7673" t="n">
        <v>4</v>
      </c>
      <c r="K7673" t="inlineStr">
        <is>
          <t>2⁴, 32²</t>
        </is>
      </c>
      <c r="L7673" t="inlineStr">
        <is>
          <t>68B¹¹, 136A¹¹</t>
        </is>
      </c>
      <c r="M7673" t="inlineStr"/>
      <c r="N7673" t="inlineStr">
        <is>
          <t>2A⁰, 136A¹¹, 4A⁰, 4D⁰, 68A⁵, 17A¹, 34B³, 1A⁰, 68B¹¹</t>
        </is>
      </c>
      <c r="O7673" t="inlineStr"/>
    </row>
    <row r="7674">
      <c r="A7674">
        <f>HYPERLINK("https://mathstats.uncg.edu/sites/pauli/congruence/csg23.html#group136B23", "136B²³")</f>
        <v/>
      </c>
      <c r="B7674" t="n">
        <v>23</v>
      </c>
      <c r="C7674" t="inlineStr"/>
      <c r="D7674" t="inlineStr">
        <is>
          <t>288</t>
        </is>
      </c>
      <c r="E7674" t="inlineStr">
        <is>
          <t>1</t>
        </is>
      </c>
      <c r="F7674" t="inlineStr">
        <is>
          <t>72</t>
        </is>
      </c>
      <c r="G7674" t="inlineStr">
        <is>
          <t>0</t>
        </is>
      </c>
      <c r="H7674" t="inlineStr">
        <is>
          <t>0</t>
        </is>
      </c>
      <c r="I7674" t="inlineStr">
        <is>
          <t>8², 136²</t>
        </is>
      </c>
      <c r="J7674" t="n">
        <v>4</v>
      </c>
      <c r="K7674" t="inlineStr">
        <is>
          <t>2⁴, 32²</t>
        </is>
      </c>
      <c r="L7674" t="inlineStr">
        <is>
          <t>8E⁰, 68B¹¹, 136B¹¹</t>
        </is>
      </c>
      <c r="M7674" t="inlineStr"/>
      <c r="N7674" t="inlineStr">
        <is>
          <t>2A⁰, 4A⁰, 4D⁰, 8A⁰, 68A⁵, 8E⁰, 17A¹, 136B¹¹, 34B³, 1A⁰, 68B¹¹</t>
        </is>
      </c>
      <c r="O7674" t="inlineStr"/>
    </row>
    <row r="7675">
      <c r="A7675">
        <f>HYPERLINK("https://mathstats.uncg.edu/sites/pauli/congruence/csg23.html#group136C23", "136C²³")</f>
        <v/>
      </c>
      <c r="B7675" t="n">
        <v>23</v>
      </c>
      <c r="C7675" t="inlineStr"/>
      <c r="D7675" t="inlineStr">
        <is>
          <t>288</t>
        </is>
      </c>
      <c r="E7675" t="inlineStr">
        <is>
          <t>2</t>
        </is>
      </c>
      <c r="F7675" t="inlineStr">
        <is>
          <t>72</t>
        </is>
      </c>
      <c r="G7675" t="inlineStr">
        <is>
          <t>0</t>
        </is>
      </c>
      <c r="H7675" t="inlineStr">
        <is>
          <t>0</t>
        </is>
      </c>
      <c r="I7675" t="inlineStr">
        <is>
          <t>8², 136²</t>
        </is>
      </c>
      <c r="J7675" t="n">
        <v>4</v>
      </c>
      <c r="K7675" t="inlineStr">
        <is>
          <t>4⁴, 64²</t>
        </is>
      </c>
      <c r="L7675" t="inlineStr">
        <is>
          <t>68A¹¹, 136A¹¹, 136B¹¹</t>
        </is>
      </c>
      <c r="M7675" t="inlineStr"/>
      <c r="N7675" t="inlineStr">
        <is>
          <t>136A¹¹, 4A⁰, 68A⁵, 8A⁰, 68A¹¹, 17A¹, 136B¹¹, 1A⁰, 34A³</t>
        </is>
      </c>
      <c r="O7675" t="inlineStr"/>
    </row>
    <row r="7676">
      <c r="A7676">
        <f>HYPERLINK("https://mathstats.uncg.edu/sites/pauli/congruence/csg23.html#group138A23", "138A²³")</f>
        <v/>
      </c>
      <c r="B7676" t="n">
        <v>23</v>
      </c>
      <c r="C7676" t="inlineStr"/>
      <c r="D7676" t="inlineStr">
        <is>
          <t>288</t>
        </is>
      </c>
      <c r="E7676" t="inlineStr">
        <is>
          <t>1</t>
        </is>
      </c>
      <c r="F7676" t="inlineStr">
        <is>
          <t>72</t>
        </is>
      </c>
      <c r="G7676" t="inlineStr">
        <is>
          <t>0</t>
        </is>
      </c>
      <c r="H7676" t="inlineStr">
        <is>
          <t>0</t>
        </is>
      </c>
      <c r="I7676" t="inlineStr">
        <is>
          <t>6², 138²</t>
        </is>
      </c>
      <c r="J7676" t="n">
        <v>4</v>
      </c>
      <c r="K7676" t="inlineStr">
        <is>
          <t>1², 2², 22¹, 44¹</t>
        </is>
      </c>
      <c r="L7676" t="inlineStr">
        <is>
          <t>6E⁰, 69A¹¹, 138C¹²</t>
        </is>
      </c>
      <c r="M7676" t="inlineStr"/>
      <c r="N7676" t="inlineStr">
        <is>
          <t>6B⁰, 69A⁶, 6E⁰, 138C¹², 3C⁰, 23A², 3A⁰, 1A⁰, 69A¹¹</t>
        </is>
      </c>
      <c r="O7676" t="inlineStr"/>
    </row>
    <row r="7677">
      <c r="A7677">
        <f>HYPERLINK("https://mathstats.uncg.edu/sites/pauli/congruence/csg23.html#group138B23", "138B²³")</f>
        <v/>
      </c>
      <c r="B7677" t="n">
        <v>23</v>
      </c>
      <c r="C7677" t="inlineStr"/>
      <c r="D7677" t="inlineStr">
        <is>
          <t>288</t>
        </is>
      </c>
      <c r="E7677" t="inlineStr">
        <is>
          <t>1</t>
        </is>
      </c>
      <c r="F7677" t="inlineStr">
        <is>
          <t>72</t>
        </is>
      </c>
      <c r="G7677" t="inlineStr">
        <is>
          <t>0</t>
        </is>
      </c>
      <c r="H7677" t="inlineStr">
        <is>
          <t>0</t>
        </is>
      </c>
      <c r="I7677" t="inlineStr">
        <is>
          <t>6², 138²</t>
        </is>
      </c>
      <c r="J7677" t="n">
        <v>4</v>
      </c>
      <c r="K7677" t="inlineStr">
        <is>
          <t>1², 2², 22¹, 44¹</t>
        </is>
      </c>
      <c r="L7677" t="inlineStr">
        <is>
          <t>6B¹, 69A¹¹, 138A¹², 138C¹²</t>
        </is>
      </c>
      <c r="M7677" t="inlineStr"/>
      <c r="N7677" t="inlineStr">
        <is>
          <t>2A⁰, 138A¹², 6B⁰, 69A⁶, 6B¹, 138C¹², 3C⁰, 23A², 6A¹, 3A⁰, 1A⁰, 69A¹¹, 46A⁴</t>
        </is>
      </c>
      <c r="O7677" t="inlineStr"/>
    </row>
    <row r="7678">
      <c r="A7678">
        <f>HYPERLINK("https://mathstats.uncg.edu/sites/pauli/congruence/csg23.html#group140A23", "140A²³")</f>
        <v/>
      </c>
      <c r="B7678" t="n">
        <v>23</v>
      </c>
      <c r="C7678" t="inlineStr"/>
      <c r="D7678" t="inlineStr">
        <is>
          <t>320</t>
        </is>
      </c>
      <c r="E7678" t="inlineStr">
        <is>
          <t>1</t>
        </is>
      </c>
      <c r="F7678" t="inlineStr">
        <is>
          <t>80</t>
        </is>
      </c>
      <c r="G7678" t="inlineStr">
        <is>
          <t>0</t>
        </is>
      </c>
      <c r="H7678" t="inlineStr">
        <is>
          <t>8</t>
        </is>
      </c>
      <c r="I7678" t="inlineStr">
        <is>
          <t>20², 140²</t>
        </is>
      </c>
      <c r="J7678" t="n">
        <v>4</v>
      </c>
      <c r="K7678" t="inlineStr">
        <is>
          <t>2², 4⁴, 12¹, 24²</t>
        </is>
      </c>
      <c r="L7678" t="inlineStr">
        <is>
          <t>70C¹¹</t>
        </is>
      </c>
      <c r="M7678" t="inlineStr"/>
      <c r="N7678" t="inlineStr">
        <is>
          <t>2A⁰, 35A⁵, 70C¹¹, 7B⁰, 14B⁰, 10C¹, 1A⁰, 5C⁰</t>
        </is>
      </c>
      <c r="O7678" t="inlineStr"/>
    </row>
    <row r="7679">
      <c r="A7679">
        <f>HYPERLINK("https://mathstats.uncg.edu/sites/pauli/congruence/csg23.html#group140B23", "140B²³")</f>
        <v/>
      </c>
      <c r="B7679" t="n">
        <v>23</v>
      </c>
      <c r="C7679" t="inlineStr"/>
      <c r="D7679" t="inlineStr">
        <is>
          <t>320</t>
        </is>
      </c>
      <c r="E7679" t="inlineStr">
        <is>
          <t>1</t>
        </is>
      </c>
      <c r="F7679" t="inlineStr">
        <is>
          <t>80</t>
        </is>
      </c>
      <c r="G7679" t="inlineStr">
        <is>
          <t>0</t>
        </is>
      </c>
      <c r="H7679" t="inlineStr">
        <is>
          <t>8</t>
        </is>
      </c>
      <c r="I7679" t="inlineStr">
        <is>
          <t>20², 140²</t>
        </is>
      </c>
      <c r="J7679" t="n">
        <v>4</v>
      </c>
      <c r="K7679" t="inlineStr">
        <is>
          <t>2², 4⁴, 12¹, 24²</t>
        </is>
      </c>
      <c r="L7679" t="inlineStr">
        <is>
          <t>28A⁰, 70C¹¹</t>
        </is>
      </c>
      <c r="M7679" t="inlineStr"/>
      <c r="N7679" t="inlineStr">
        <is>
          <t>2A⁰, 35A⁵, 28A⁰, 70C¹¹, 7B⁰, 14B⁰, 10C¹, 1A⁰, 5C⁰</t>
        </is>
      </c>
      <c r="O7679" t="inlineStr"/>
    </row>
    <row r="7680">
      <c r="A7680">
        <f>HYPERLINK("https://mathstats.uncg.edu/sites/pauli/congruence/csg23.html#group140C23", "140C²³")</f>
        <v/>
      </c>
      <c r="B7680" t="n">
        <v>23</v>
      </c>
      <c r="C7680" t="inlineStr"/>
      <c r="D7680" t="inlineStr">
        <is>
          <t>320</t>
        </is>
      </c>
      <c r="E7680" t="inlineStr">
        <is>
          <t>1</t>
        </is>
      </c>
      <c r="F7680" t="inlineStr">
        <is>
          <t>160</t>
        </is>
      </c>
      <c r="G7680" t="inlineStr">
        <is>
          <t>0</t>
        </is>
      </c>
      <c r="H7680" t="inlineStr">
        <is>
          <t>8</t>
        </is>
      </c>
      <c r="I7680" t="inlineStr">
        <is>
          <t>20², 140²</t>
        </is>
      </c>
      <c r="J7680" t="n">
        <v>4</v>
      </c>
      <c r="K7680" t="inlineStr">
        <is>
          <t>2⁴, 8⁴, 12², 48²</t>
        </is>
      </c>
      <c r="L7680" t="inlineStr">
        <is>
          <t>20D², 28E³, 70B⁴, 140A¹²</t>
        </is>
      </c>
      <c r="M7680" t="inlineStr"/>
      <c r="N7680" t="inlineStr">
        <is>
          <t>2A⁰, 5A⁰, 20A¹, 28E³, 140A¹², 1A⁰, 28A², 10A⁰, 20D², 70B⁴, 7B⁰, 4A⁰, 4D⁰, 14B⁰, 35B²</t>
        </is>
      </c>
      <c r="O7680" t="inlineStr"/>
    </row>
    <row r="7681">
      <c r="A7681">
        <f>HYPERLINK("https://mathstats.uncg.edu/sites/pauli/congruence/csg23.html#group140D23", "140D²³")</f>
        <v/>
      </c>
      <c r="B7681" t="n">
        <v>23</v>
      </c>
      <c r="C7681" t="inlineStr"/>
      <c r="D7681" t="inlineStr">
        <is>
          <t>320</t>
        </is>
      </c>
      <c r="E7681" t="inlineStr">
        <is>
          <t>2</t>
        </is>
      </c>
      <c r="F7681" t="inlineStr">
        <is>
          <t>80</t>
        </is>
      </c>
      <c r="G7681" t="inlineStr">
        <is>
          <t>0</t>
        </is>
      </c>
      <c r="H7681" t="inlineStr">
        <is>
          <t>8</t>
        </is>
      </c>
      <c r="I7681" t="inlineStr">
        <is>
          <t>20², 140²</t>
        </is>
      </c>
      <c r="J7681" t="n">
        <v>4</v>
      </c>
      <c r="K7681" t="inlineStr">
        <is>
          <t>4², 8⁴, 24¹, 48²</t>
        </is>
      </c>
      <c r="L7681" t="inlineStr">
        <is>
          <t>20F¹, 70B¹¹</t>
        </is>
      </c>
      <c r="M7681" t="inlineStr"/>
      <c r="N7681" t="inlineStr">
        <is>
          <t>5C⁰, 35A⁵, 1A⁰, 7B⁰, 10D⁰, 70B¹¹, 20F¹</t>
        </is>
      </c>
      <c r="O7681" t="inlineStr"/>
    </row>
    <row r="7682">
      <c r="A7682">
        <f>HYPERLINK("https://mathstats.uncg.edu/sites/pauli/congruence/csg23.html#group140E23", "140E²³")</f>
        <v/>
      </c>
      <c r="B7682" t="n">
        <v>23</v>
      </c>
      <c r="C7682" t="inlineStr"/>
      <c r="D7682" t="inlineStr">
        <is>
          <t>336</t>
        </is>
      </c>
      <c r="E7682" t="inlineStr">
        <is>
          <t>2</t>
        </is>
      </c>
      <c r="F7682" t="inlineStr">
        <is>
          <t>42</t>
        </is>
      </c>
      <c r="G7682" t="inlineStr">
        <is>
          <t>16</t>
        </is>
      </c>
      <c r="H7682" t="inlineStr">
        <is>
          <t>0</t>
        </is>
      </c>
      <c r="I7682" t="inlineStr">
        <is>
          <t>28², 140²</t>
        </is>
      </c>
      <c r="J7682" t="n">
        <v>4</v>
      </c>
      <c r="K7682" t="inlineStr">
        <is>
          <t>4², 12⁴, 16¹, 48²</t>
        </is>
      </c>
      <c r="L7682" t="inlineStr">
        <is>
          <t>70E⁹, 140A¹¹, 140C¹¹</t>
        </is>
      </c>
      <c r="M7682" t="inlineStr"/>
      <c r="N7682" t="inlineStr">
        <is>
          <t>35C², 14A⁰, 20C¹, 35C⁴, 70C⁴, 5B⁰, 70B⁵, 7A⁰, 70E⁹, 1A⁰, 140A¹¹, 140C¹¹, 10B⁰</t>
        </is>
      </c>
      <c r="O7682" t="inlineStr"/>
    </row>
    <row r="7683">
      <c r="A7683">
        <f>HYPERLINK("https://mathstats.uncg.edu/sites/pauli/congruence/csg23.html#group140F23", "140F²³")</f>
        <v/>
      </c>
      <c r="B7683" t="n">
        <v>23</v>
      </c>
      <c r="C7683" t="inlineStr"/>
      <c r="D7683" t="inlineStr">
        <is>
          <t>336</t>
        </is>
      </c>
      <c r="E7683" t="inlineStr">
        <is>
          <t>2</t>
        </is>
      </c>
      <c r="F7683" t="inlineStr">
        <is>
          <t>42</t>
        </is>
      </c>
      <c r="G7683" t="inlineStr">
        <is>
          <t>16</t>
        </is>
      </c>
      <c r="H7683" t="inlineStr">
        <is>
          <t>0</t>
        </is>
      </c>
      <c r="I7683" t="inlineStr">
        <is>
          <t>28², 140²</t>
        </is>
      </c>
      <c r="J7683" t="n">
        <v>4</v>
      </c>
      <c r="K7683" t="inlineStr">
        <is>
          <t>4², 12⁴, 16¹, 48²</t>
        </is>
      </c>
      <c r="L7683" t="inlineStr">
        <is>
          <t>70E⁹, 140B¹¹, 140D¹¹</t>
        </is>
      </c>
      <c r="M7683" t="inlineStr"/>
      <c r="N7683" t="inlineStr">
        <is>
          <t>35C², 14A⁰, 20C¹, 35C⁴, 70C⁴, 5B⁰, 140B¹¹, 70B⁵, 140D¹¹, 70E⁹, 1A⁰, 7A⁰, 10B⁰</t>
        </is>
      </c>
      <c r="O7683" t="inlineStr"/>
    </row>
    <row r="7684">
      <c r="A7684">
        <f>HYPERLINK("https://mathstats.uncg.edu/sites/pauli/congruence/csg23.html#group140G23", "140G²³")</f>
        <v/>
      </c>
      <c r="B7684" t="n">
        <v>23</v>
      </c>
      <c r="C7684" t="inlineStr"/>
      <c r="D7684" t="inlineStr">
        <is>
          <t>336</t>
        </is>
      </c>
      <c r="E7684" t="inlineStr">
        <is>
          <t>2</t>
        </is>
      </c>
      <c r="F7684" t="inlineStr">
        <is>
          <t>168</t>
        </is>
      </c>
      <c r="G7684" t="inlineStr">
        <is>
          <t>16</t>
        </is>
      </c>
      <c r="H7684" t="inlineStr">
        <is>
          <t>0</t>
        </is>
      </c>
      <c r="I7684" t="inlineStr">
        <is>
          <t>28², 140²</t>
        </is>
      </c>
      <c r="J7684" t="n">
        <v>4</v>
      </c>
      <c r="K7684" t="inlineStr">
        <is>
          <t>4⁴, 12⁸, 16², 48⁴</t>
        </is>
      </c>
      <c r="L7684" t="inlineStr">
        <is>
          <t>35C⁴, 140E¹¹</t>
        </is>
      </c>
      <c r="M7684" t="inlineStr"/>
      <c r="N7684" t="inlineStr">
        <is>
          <t>35C², 35C⁴, 4A⁰, 5B⁰, 28A¹, 1A⁰, 20B¹, 7A⁰, 140E¹¹</t>
        </is>
      </c>
      <c r="O7684" t="inlineStr"/>
    </row>
    <row r="7685">
      <c r="A7685">
        <f>HYPERLINK("https://mathstats.uncg.edu/sites/pauli/congruence/csg23.html#group140H23", "140H²³")</f>
        <v/>
      </c>
      <c r="B7685" t="n">
        <v>23</v>
      </c>
      <c r="C7685" t="inlineStr"/>
      <c r="D7685" t="inlineStr">
        <is>
          <t>336</t>
        </is>
      </c>
      <c r="E7685" t="inlineStr">
        <is>
          <t>2</t>
        </is>
      </c>
      <c r="F7685" t="inlineStr">
        <is>
          <t>168</t>
        </is>
      </c>
      <c r="G7685" t="inlineStr">
        <is>
          <t>16</t>
        </is>
      </c>
      <c r="H7685" t="inlineStr">
        <is>
          <t>0</t>
        </is>
      </c>
      <c r="I7685" t="inlineStr">
        <is>
          <t>28², 140²</t>
        </is>
      </c>
      <c r="J7685" t="n">
        <v>4</v>
      </c>
      <c r="K7685" t="inlineStr">
        <is>
          <t>4⁴, 12⁸, 16², 48⁴</t>
        </is>
      </c>
      <c r="L7685" t="inlineStr">
        <is>
          <t>28E², 70B⁵, 140E¹¹</t>
        </is>
      </c>
      <c r="M7685" t="inlineStr"/>
      <c r="N7685" t="inlineStr">
        <is>
          <t>35C², 28E², 14A⁰, 4A⁰, 5B⁰, 70B⁵, 7A⁰, 28A¹, 1A⁰, 20B¹, 140E¹¹</t>
        </is>
      </c>
      <c r="O7685" t="inlineStr"/>
    </row>
    <row r="7686">
      <c r="A7686">
        <f>HYPERLINK("https://mathstats.uncg.edu/sites/pauli/congruence/csg23.html#group141A23", "141A²³")</f>
        <v/>
      </c>
      <c r="B7686" t="n">
        <v>23</v>
      </c>
      <c r="C7686" t="inlineStr"/>
      <c r="D7686" t="inlineStr">
        <is>
          <t>288</t>
        </is>
      </c>
      <c r="E7686" t="inlineStr">
        <is>
          <t>1</t>
        </is>
      </c>
      <c r="F7686" t="inlineStr">
        <is>
          <t>144</t>
        </is>
      </c>
      <c r="G7686" t="inlineStr">
        <is>
          <t>0</t>
        </is>
      </c>
      <c r="H7686" t="inlineStr">
        <is>
          <t>0</t>
        </is>
      </c>
      <c r="I7686" t="inlineStr">
        <is>
          <t>3², 141²</t>
        </is>
      </c>
      <c r="J7686" t="n">
        <v>4</v>
      </c>
      <c r="K7686" t="inlineStr">
        <is>
          <t>1², 2², 46¹, 92¹</t>
        </is>
      </c>
      <c r="L7686" t="inlineStr">
        <is>
          <t>3C⁰, 141A¹²</t>
        </is>
      </c>
      <c r="M7686" t="inlineStr"/>
      <c r="N7686" t="inlineStr">
        <is>
          <t>47A⁴, 3C⁰, 141A¹², 3A⁰, 1A⁰</t>
        </is>
      </c>
      <c r="O7686" t="inlineStr"/>
    </row>
    <row r="7687">
      <c r="A7687">
        <f>HYPERLINK("https://mathstats.uncg.edu/sites/pauli/congruence/csg23.html#group144A23", "144A²³")</f>
        <v/>
      </c>
      <c r="B7687" t="n">
        <v>23</v>
      </c>
      <c r="C7687" t="inlineStr"/>
      <c r="D7687" t="inlineStr">
        <is>
          <t>288</t>
        </is>
      </c>
      <c r="E7687" t="inlineStr">
        <is>
          <t>1</t>
        </is>
      </c>
      <c r="F7687" t="inlineStr">
        <is>
          <t>12</t>
        </is>
      </c>
      <c r="G7687" t="inlineStr">
        <is>
          <t>0</t>
        </is>
      </c>
      <c r="H7687" t="inlineStr">
        <is>
          <t>0</t>
        </is>
      </c>
      <c r="I7687" t="inlineStr">
        <is>
          <t>24¹, 48¹, 72¹, 144¹</t>
        </is>
      </c>
      <c r="J7687" t="n">
        <v>4</v>
      </c>
      <c r="K7687" t="inlineStr">
        <is>
          <t>1⁶, 2³</t>
        </is>
      </c>
      <c r="L7687" t="inlineStr">
        <is>
          <t>48A⁷, 72C¹¹</t>
        </is>
      </c>
      <c r="M7687" t="inlineStr"/>
      <c r="N7687" t="inlineStr">
        <is>
          <t>24C³, 3B⁰, 8A¹, 72C¹¹, 12F¹, 48A⁷, 4C⁰, 6F⁰, 18D², 2B⁰, 9C⁰, 36A⁵, 1A⁰</t>
        </is>
      </c>
      <c r="O7687" t="inlineStr"/>
    </row>
    <row r="7688">
      <c r="A7688">
        <f>HYPERLINK("https://mathstats.uncg.edu/sites/pauli/congruence/csg23.html#group144B23", "144B²³")</f>
        <v/>
      </c>
      <c r="B7688" t="n">
        <v>23</v>
      </c>
      <c r="C7688" t="inlineStr"/>
      <c r="D7688" t="inlineStr">
        <is>
          <t>288</t>
        </is>
      </c>
      <c r="E7688" t="inlineStr">
        <is>
          <t>1</t>
        </is>
      </c>
      <c r="F7688" t="inlineStr">
        <is>
          <t>12</t>
        </is>
      </c>
      <c r="G7688" t="inlineStr">
        <is>
          <t>0</t>
        </is>
      </c>
      <c r="H7688" t="inlineStr">
        <is>
          <t>0</t>
        </is>
      </c>
      <c r="I7688" t="inlineStr">
        <is>
          <t>24¹, 48¹, 72¹, 144¹</t>
        </is>
      </c>
      <c r="J7688" t="n">
        <v>4</v>
      </c>
      <c r="K7688" t="inlineStr">
        <is>
          <t>1⁶, 2³</t>
        </is>
      </c>
      <c r="L7688" t="inlineStr">
        <is>
          <t>48A⁷, 72D¹¹</t>
        </is>
      </c>
      <c r="M7688" t="inlineStr"/>
      <c r="N7688" t="inlineStr">
        <is>
          <t>24C³, 3B⁰, 8A¹, 72D¹¹, 12F¹, 48A⁷, 4C⁰, 9A¹, 18E², 6F⁰, 36B⁵, 2B⁰, 1A⁰</t>
        </is>
      </c>
      <c r="O7688" t="inlineStr"/>
    </row>
    <row r="7689">
      <c r="A7689">
        <f>HYPERLINK("https://mathstats.uncg.edu/sites/pauli/congruence/csg23.html#group144C23", "144C²³")</f>
        <v/>
      </c>
      <c r="B7689" t="n">
        <v>23</v>
      </c>
      <c r="C7689" t="inlineStr"/>
      <c r="D7689" t="inlineStr">
        <is>
          <t>288</t>
        </is>
      </c>
      <c r="E7689" t="inlineStr">
        <is>
          <t>1</t>
        </is>
      </c>
      <c r="F7689" t="inlineStr">
        <is>
          <t>12</t>
        </is>
      </c>
      <c r="G7689" t="inlineStr">
        <is>
          <t>0</t>
        </is>
      </c>
      <c r="H7689" t="inlineStr">
        <is>
          <t>0</t>
        </is>
      </c>
      <c r="I7689" t="inlineStr">
        <is>
          <t>24¹, 48¹, 72¹, 144¹</t>
        </is>
      </c>
      <c r="J7689" t="n">
        <v>4</v>
      </c>
      <c r="K7689" t="inlineStr">
        <is>
          <t>1⁶, 2³</t>
        </is>
      </c>
      <c r="L7689" t="inlineStr">
        <is>
          <t>48B⁷, 72C¹¹</t>
        </is>
      </c>
      <c r="M7689" t="inlineStr"/>
      <c r="N7689" t="inlineStr">
        <is>
          <t>24C³, 3B⁰, 8A¹, 72C¹¹, 12F¹, 4C⁰, 6F⁰, 18D², 2B⁰, 9C⁰, 36A⁵, 1A⁰, 48B⁷</t>
        </is>
      </c>
      <c r="O7689" t="inlineStr"/>
    </row>
    <row r="7690">
      <c r="A7690">
        <f>HYPERLINK("https://mathstats.uncg.edu/sites/pauli/congruence/csg23.html#group144D23", "144D²³")</f>
        <v/>
      </c>
      <c r="B7690" t="n">
        <v>23</v>
      </c>
      <c r="C7690" t="inlineStr"/>
      <c r="D7690" t="inlineStr">
        <is>
          <t>288</t>
        </is>
      </c>
      <c r="E7690" t="inlineStr">
        <is>
          <t>1</t>
        </is>
      </c>
      <c r="F7690" t="inlineStr">
        <is>
          <t>12</t>
        </is>
      </c>
      <c r="G7690" t="inlineStr">
        <is>
          <t>0</t>
        </is>
      </c>
      <c r="H7690" t="inlineStr">
        <is>
          <t>0</t>
        </is>
      </c>
      <c r="I7690" t="inlineStr">
        <is>
          <t>24¹, 48¹, 72¹, 144¹</t>
        </is>
      </c>
      <c r="J7690" t="n">
        <v>4</v>
      </c>
      <c r="K7690" t="inlineStr">
        <is>
          <t>1⁶, 2³</t>
        </is>
      </c>
      <c r="L7690" t="inlineStr">
        <is>
          <t>48B⁷, 72D¹¹</t>
        </is>
      </c>
      <c r="M7690" t="inlineStr"/>
      <c r="N7690" t="inlineStr">
        <is>
          <t>24C³, 3B⁰, 8A¹, 72D¹¹, 12F¹, 4C⁰, 9A¹, 18E², 6F⁰, 36B⁵, 2B⁰, 1A⁰, 48B⁷</t>
        </is>
      </c>
      <c r="O7690" t="inlineStr"/>
    </row>
    <row r="7691">
      <c r="A7691">
        <f>HYPERLINK("https://mathstats.uncg.edu/sites/pauli/congruence/csg23.html#group144E23", "144E²³")</f>
        <v/>
      </c>
      <c r="B7691" t="n">
        <v>23</v>
      </c>
      <c r="C7691" t="inlineStr"/>
      <c r="D7691" t="inlineStr">
        <is>
          <t>288</t>
        </is>
      </c>
      <c r="E7691" t="inlineStr">
        <is>
          <t>1</t>
        </is>
      </c>
      <c r="F7691" t="inlineStr">
        <is>
          <t>12</t>
        </is>
      </c>
      <c r="G7691" t="inlineStr">
        <is>
          <t>0</t>
        </is>
      </c>
      <c r="H7691" t="inlineStr">
        <is>
          <t>0</t>
        </is>
      </c>
      <c r="I7691" t="inlineStr">
        <is>
          <t>24¹, 48¹, 72¹, 144¹</t>
        </is>
      </c>
      <c r="J7691" t="n">
        <v>4</v>
      </c>
      <c r="K7691" t="inlineStr">
        <is>
          <t>1⁶, 2³</t>
        </is>
      </c>
      <c r="L7691" t="inlineStr">
        <is>
          <t>48C⁷, 72A¹¹</t>
        </is>
      </c>
      <c r="M7691" t="inlineStr"/>
      <c r="N7691" t="inlineStr">
        <is>
          <t>16B⁰, 3B⁰, 24B³, 12F¹, 4C⁰, 72A¹¹, 8B⁰, 18D², 1A⁰, 2B⁰, 9C⁰, 36A⁵, 48C⁷, 6F⁰</t>
        </is>
      </c>
      <c r="O7691" t="inlineStr"/>
    </row>
    <row r="7692">
      <c r="A7692">
        <f>HYPERLINK("https://mathstats.uncg.edu/sites/pauli/congruence/csg23.html#group144F23", "144F²³")</f>
        <v/>
      </c>
      <c r="B7692" t="n">
        <v>23</v>
      </c>
      <c r="C7692" t="inlineStr"/>
      <c r="D7692" t="inlineStr">
        <is>
          <t>288</t>
        </is>
      </c>
      <c r="E7692" t="inlineStr">
        <is>
          <t>1</t>
        </is>
      </c>
      <c r="F7692" t="inlineStr">
        <is>
          <t>12</t>
        </is>
      </c>
      <c r="G7692" t="inlineStr">
        <is>
          <t>0</t>
        </is>
      </c>
      <c r="H7692" t="inlineStr">
        <is>
          <t>0</t>
        </is>
      </c>
      <c r="I7692" t="inlineStr">
        <is>
          <t>24¹, 48¹, 72¹, 144¹</t>
        </is>
      </c>
      <c r="J7692" t="n">
        <v>4</v>
      </c>
      <c r="K7692" t="inlineStr">
        <is>
          <t>1⁶, 2³</t>
        </is>
      </c>
      <c r="L7692" t="inlineStr">
        <is>
          <t>48C⁷, 72B¹¹</t>
        </is>
      </c>
      <c r="M7692" t="inlineStr"/>
      <c r="N7692" t="inlineStr">
        <is>
          <t>16B⁰, 3B⁰, 24B³, 12F¹, 4C⁰, 9A¹, 8B⁰, 18E², 1A⁰, 2B⁰, 36B⁵, 48C⁷, 6F⁰, 72B¹¹</t>
        </is>
      </c>
      <c r="O7692" t="inlineStr"/>
    </row>
    <row r="7693">
      <c r="A7693">
        <f>HYPERLINK("https://mathstats.uncg.edu/sites/pauli/congruence/csg23.html#group144G23", "144G²³")</f>
        <v/>
      </c>
      <c r="B7693" t="n">
        <v>23</v>
      </c>
      <c r="C7693" t="inlineStr"/>
      <c r="D7693" t="inlineStr">
        <is>
          <t>288</t>
        </is>
      </c>
      <c r="E7693" t="inlineStr">
        <is>
          <t>1</t>
        </is>
      </c>
      <c r="F7693" t="inlineStr">
        <is>
          <t>12</t>
        </is>
      </c>
      <c r="G7693" t="inlineStr">
        <is>
          <t>0</t>
        </is>
      </c>
      <c r="H7693" t="inlineStr">
        <is>
          <t>0</t>
        </is>
      </c>
      <c r="I7693" t="inlineStr">
        <is>
          <t>24¹, 48¹, 72¹, 144¹</t>
        </is>
      </c>
      <c r="J7693" t="n">
        <v>4</v>
      </c>
      <c r="K7693" t="inlineStr">
        <is>
          <t>1⁶, 2³</t>
        </is>
      </c>
      <c r="L7693" t="inlineStr">
        <is>
          <t>48D⁷, 72A¹¹</t>
        </is>
      </c>
      <c r="M7693" t="inlineStr"/>
      <c r="N7693" t="inlineStr">
        <is>
          <t>48D⁷, 3B⁰, 24B³, 12F¹, 4C⁰, 72A¹¹, 8B⁰, 6F⁰, 18D², 2B⁰, 9C⁰, 36A⁵, 1A⁰, 16A²</t>
        </is>
      </c>
      <c r="O7693" t="inlineStr"/>
    </row>
    <row r="7694">
      <c r="A7694">
        <f>HYPERLINK("https://mathstats.uncg.edu/sites/pauli/congruence/csg23.html#group144H23", "144H²³")</f>
        <v/>
      </c>
      <c r="B7694" t="n">
        <v>23</v>
      </c>
      <c r="C7694" t="inlineStr"/>
      <c r="D7694" t="inlineStr">
        <is>
          <t>288</t>
        </is>
      </c>
      <c r="E7694" t="inlineStr">
        <is>
          <t>1</t>
        </is>
      </c>
      <c r="F7694" t="inlineStr">
        <is>
          <t>12</t>
        </is>
      </c>
      <c r="G7694" t="inlineStr">
        <is>
          <t>0</t>
        </is>
      </c>
      <c r="H7694" t="inlineStr">
        <is>
          <t>0</t>
        </is>
      </c>
      <c r="I7694" t="inlineStr">
        <is>
          <t>24¹, 48¹, 72¹, 144¹</t>
        </is>
      </c>
      <c r="J7694" t="n">
        <v>4</v>
      </c>
      <c r="K7694" t="inlineStr">
        <is>
          <t>1⁶, 2³</t>
        </is>
      </c>
      <c r="L7694" t="inlineStr">
        <is>
          <t>48D⁷, 72B¹¹</t>
        </is>
      </c>
      <c r="M7694" t="inlineStr"/>
      <c r="N7694" t="inlineStr">
        <is>
          <t>48D⁷, 3B⁰, 16A², 24B³, 12F¹, 4C⁰, 9A¹, 8B⁰, 6F⁰, 18E², 2B⁰, 36B⁵, 1A⁰, 72B¹¹</t>
        </is>
      </c>
      <c r="O7694" t="inlineStr"/>
    </row>
    <row r="7695">
      <c r="A7695">
        <f>HYPERLINK("https://mathstats.uncg.edu/sites/pauli/congruence/csg23.html#group144I23", "144I²³")</f>
        <v/>
      </c>
      <c r="B7695" t="n">
        <v>23</v>
      </c>
      <c r="C7695" t="inlineStr"/>
      <c r="D7695" t="inlineStr">
        <is>
          <t>288</t>
        </is>
      </c>
      <c r="E7695" t="inlineStr">
        <is>
          <t>1</t>
        </is>
      </c>
      <c r="F7695" t="inlineStr">
        <is>
          <t>24</t>
        </is>
      </c>
      <c r="G7695" t="inlineStr">
        <is>
          <t>0</t>
        </is>
      </c>
      <c r="H7695" t="inlineStr">
        <is>
          <t>0</t>
        </is>
      </c>
      <c r="I7695" t="inlineStr">
        <is>
          <t>24¹, 48¹, 72¹, 144¹</t>
        </is>
      </c>
      <c r="J7695" t="n">
        <v>4</v>
      </c>
      <c r="K7695" t="inlineStr">
        <is>
          <t>1⁴, 2⁶, 4²</t>
        </is>
      </c>
      <c r="L7695" t="inlineStr">
        <is>
          <t>48E⁷, 72C¹¹</t>
        </is>
      </c>
      <c r="M7695" t="inlineStr"/>
      <c r="N7695" t="inlineStr">
        <is>
          <t>24C³, 3B⁰, 48E⁷, 8A¹, 72C¹¹, 12F¹, 4C⁰, 6F⁰, 18D², 2B⁰, 9C⁰, 36A⁵, 1A⁰</t>
        </is>
      </c>
      <c r="O7695" t="inlineStr"/>
    </row>
    <row r="7696">
      <c r="A7696">
        <f>HYPERLINK("https://mathstats.uncg.edu/sites/pauli/congruence/csg23.html#group144J23", "144J²³")</f>
        <v/>
      </c>
      <c r="B7696" t="n">
        <v>23</v>
      </c>
      <c r="C7696" t="inlineStr"/>
      <c r="D7696" t="inlineStr">
        <is>
          <t>288</t>
        </is>
      </c>
      <c r="E7696" t="inlineStr">
        <is>
          <t>1</t>
        </is>
      </c>
      <c r="F7696" t="inlineStr">
        <is>
          <t>24</t>
        </is>
      </c>
      <c r="G7696" t="inlineStr">
        <is>
          <t>0</t>
        </is>
      </c>
      <c r="H7696" t="inlineStr">
        <is>
          <t>0</t>
        </is>
      </c>
      <c r="I7696" t="inlineStr">
        <is>
          <t>24¹, 48¹, 72¹, 144¹</t>
        </is>
      </c>
      <c r="J7696" t="n">
        <v>4</v>
      </c>
      <c r="K7696" t="inlineStr">
        <is>
          <t>1⁴, 2⁶, 4²</t>
        </is>
      </c>
      <c r="L7696" t="inlineStr">
        <is>
          <t>48E⁷, 72D¹¹</t>
        </is>
      </c>
      <c r="M7696" t="inlineStr"/>
      <c r="N7696" t="inlineStr">
        <is>
          <t>24C³, 3B⁰, 48E⁷, 8A¹, 72D¹¹, 12F¹, 4C⁰, 9A¹, 18E², 6F⁰, 36B⁵, 2B⁰, 1A⁰</t>
        </is>
      </c>
      <c r="O7696" t="inlineStr"/>
    </row>
    <row r="7697">
      <c r="A7697">
        <f>HYPERLINK("https://mathstats.uncg.edu/sites/pauli/congruence/csg23.html#group144K23", "144K²³")</f>
        <v/>
      </c>
      <c r="B7697" t="n">
        <v>23</v>
      </c>
      <c r="C7697" t="inlineStr"/>
      <c r="D7697" t="inlineStr">
        <is>
          <t>288</t>
        </is>
      </c>
      <c r="E7697" t="inlineStr">
        <is>
          <t>1</t>
        </is>
      </c>
      <c r="F7697" t="inlineStr">
        <is>
          <t>24</t>
        </is>
      </c>
      <c r="G7697" t="inlineStr">
        <is>
          <t>0</t>
        </is>
      </c>
      <c r="H7697" t="inlineStr">
        <is>
          <t>0</t>
        </is>
      </c>
      <c r="I7697" t="inlineStr">
        <is>
          <t>24¹, 48¹, 72¹, 144¹</t>
        </is>
      </c>
      <c r="J7697" t="n">
        <v>4</v>
      </c>
      <c r="K7697" t="inlineStr">
        <is>
          <t>1⁴, 2⁶, 4²</t>
        </is>
      </c>
      <c r="L7697" t="inlineStr">
        <is>
          <t>48F⁷, 72A¹¹</t>
        </is>
      </c>
      <c r="M7697" t="inlineStr"/>
      <c r="N7697" t="inlineStr">
        <is>
          <t>3B⁰, 24B³, 12F¹, 4C⁰, 72A¹¹, 8B⁰, 6F⁰, 16B¹, 18D², 2B⁰, 48F⁷, 9C⁰, 36A⁵, 1A⁰</t>
        </is>
      </c>
      <c r="O7697" t="inlineStr"/>
    </row>
    <row r="7698">
      <c r="A7698">
        <f>HYPERLINK("https://mathstats.uncg.edu/sites/pauli/congruence/csg23.html#group144L23", "144L²³")</f>
        <v/>
      </c>
      <c r="B7698" t="n">
        <v>23</v>
      </c>
      <c r="C7698" t="inlineStr"/>
      <c r="D7698" t="inlineStr">
        <is>
          <t>288</t>
        </is>
      </c>
      <c r="E7698" t="inlineStr">
        <is>
          <t>1</t>
        </is>
      </c>
      <c r="F7698" t="inlineStr">
        <is>
          <t>24</t>
        </is>
      </c>
      <c r="G7698" t="inlineStr">
        <is>
          <t>0</t>
        </is>
      </c>
      <c r="H7698" t="inlineStr">
        <is>
          <t>0</t>
        </is>
      </c>
      <c r="I7698" t="inlineStr">
        <is>
          <t>24¹, 48¹, 72¹, 144¹</t>
        </is>
      </c>
      <c r="J7698" t="n">
        <v>4</v>
      </c>
      <c r="K7698" t="inlineStr">
        <is>
          <t>1⁴, 2⁶, 4²</t>
        </is>
      </c>
      <c r="L7698" t="inlineStr">
        <is>
          <t>48F⁷, 72B¹¹</t>
        </is>
      </c>
      <c r="M7698" t="inlineStr"/>
      <c r="N7698" t="inlineStr">
        <is>
          <t>3B⁰, 24B³, 12F¹, 4C⁰, 9A¹, 8B⁰, 6F⁰, 16B¹, 18E², 2B⁰, 36B⁵, 48F⁷, 1A⁰, 72B¹¹</t>
        </is>
      </c>
      <c r="O7698" t="inlineStr"/>
    </row>
    <row r="7699">
      <c r="A7699">
        <f>HYPERLINK("https://mathstats.uncg.edu/sites/pauli/congruence/csg23.html#group144M23", "144M²³")</f>
        <v/>
      </c>
      <c r="B7699" t="n">
        <v>23</v>
      </c>
      <c r="C7699" t="inlineStr"/>
      <c r="D7699" t="inlineStr">
        <is>
          <t>288</t>
        </is>
      </c>
      <c r="E7699" t="inlineStr">
        <is>
          <t>1</t>
        </is>
      </c>
      <c r="F7699" t="inlineStr">
        <is>
          <t>48</t>
        </is>
      </c>
      <c r="G7699" t="inlineStr">
        <is>
          <t>0</t>
        </is>
      </c>
      <c r="H7699" t="inlineStr">
        <is>
          <t>0</t>
        </is>
      </c>
      <c r="I7699" t="inlineStr">
        <is>
          <t>24¹, 48¹, 72¹, 144¹</t>
        </is>
      </c>
      <c r="J7699" t="n">
        <v>4</v>
      </c>
      <c r="K7699" t="inlineStr">
        <is>
          <t>1⁸, 2⁸, 4⁴, 8¹</t>
        </is>
      </c>
      <c r="L7699" t="inlineStr">
        <is>
          <t>48G⁷, 72A¹¹</t>
        </is>
      </c>
      <c r="M7699" t="inlineStr"/>
      <c r="N7699" t="inlineStr">
        <is>
          <t>3B⁰, 16D¹, 24B³, 48G⁷, 12F¹, 4C⁰, 72A¹¹, 8B⁰, 6F⁰, 18D², 2B⁰, 9C⁰, 36A⁵, 1A⁰</t>
        </is>
      </c>
      <c r="O7699" t="inlineStr"/>
    </row>
    <row r="7700">
      <c r="A7700">
        <f>HYPERLINK("https://mathstats.uncg.edu/sites/pauli/congruence/csg23.html#group144N23", "144N²³")</f>
        <v/>
      </c>
      <c r="B7700" t="n">
        <v>23</v>
      </c>
      <c r="C7700" t="inlineStr"/>
      <c r="D7700" t="inlineStr">
        <is>
          <t>288</t>
        </is>
      </c>
      <c r="E7700" t="inlineStr">
        <is>
          <t>1</t>
        </is>
      </c>
      <c r="F7700" t="inlineStr">
        <is>
          <t>48</t>
        </is>
      </c>
      <c r="G7700" t="inlineStr">
        <is>
          <t>0</t>
        </is>
      </c>
      <c r="H7700" t="inlineStr">
        <is>
          <t>0</t>
        </is>
      </c>
      <c r="I7700" t="inlineStr">
        <is>
          <t>24¹, 48¹, 72¹, 144¹</t>
        </is>
      </c>
      <c r="J7700" t="n">
        <v>4</v>
      </c>
      <c r="K7700" t="inlineStr">
        <is>
          <t>1⁸, 2⁸, 4⁴, 8¹</t>
        </is>
      </c>
      <c r="L7700" t="inlineStr">
        <is>
          <t>48G⁷, 72B¹¹</t>
        </is>
      </c>
      <c r="M7700" t="inlineStr"/>
      <c r="N7700" t="inlineStr">
        <is>
          <t>3B⁰, 16D¹, 24B³, 48G⁷, 12F¹, 4C⁰, 9A¹, 8B⁰, 6F⁰, 18E², 2B⁰, 36B⁵, 1A⁰, 72B¹¹</t>
        </is>
      </c>
      <c r="O7700" t="inlineStr"/>
    </row>
    <row r="7701">
      <c r="A7701">
        <f>HYPERLINK("https://mathstats.uncg.edu/sites/pauli/congruence/csg23.html#group144O23", "144O²³")</f>
        <v/>
      </c>
      <c r="B7701" t="n">
        <v>23</v>
      </c>
      <c r="C7701" t="inlineStr"/>
      <c r="D7701" t="inlineStr">
        <is>
          <t>288</t>
        </is>
      </c>
      <c r="E7701" t="inlineStr">
        <is>
          <t>1</t>
        </is>
      </c>
      <c r="F7701" t="inlineStr">
        <is>
          <t>48</t>
        </is>
      </c>
      <c r="G7701" t="inlineStr">
        <is>
          <t>0</t>
        </is>
      </c>
      <c r="H7701" t="inlineStr">
        <is>
          <t>0</t>
        </is>
      </c>
      <c r="I7701" t="inlineStr">
        <is>
          <t>24¹, 48¹, 72¹, 144¹</t>
        </is>
      </c>
      <c r="J7701" t="n">
        <v>4</v>
      </c>
      <c r="K7701" t="inlineStr">
        <is>
          <t>1⁸, 2⁸, 4⁴, 8¹</t>
        </is>
      </c>
      <c r="L7701" t="inlineStr">
        <is>
          <t>48H⁷, 72C¹¹</t>
        </is>
      </c>
      <c r="M7701" t="inlineStr"/>
      <c r="N7701" t="inlineStr">
        <is>
          <t>24C³, 3B⁰, 16B², 8A¹, 48H⁷, 72C¹¹, 12F¹, 4C⁰, 6F⁰, 18D², 2B⁰, 9C⁰, 36A⁵, 1A⁰</t>
        </is>
      </c>
      <c r="O7701" t="inlineStr"/>
    </row>
    <row r="7702">
      <c r="A7702">
        <f>HYPERLINK("https://mathstats.uncg.edu/sites/pauli/congruence/csg23.html#group144P23", "144P²³")</f>
        <v/>
      </c>
      <c r="B7702" t="n">
        <v>23</v>
      </c>
      <c r="C7702" t="inlineStr"/>
      <c r="D7702" t="inlineStr">
        <is>
          <t>288</t>
        </is>
      </c>
      <c r="E7702" t="inlineStr">
        <is>
          <t>1</t>
        </is>
      </c>
      <c r="F7702" t="inlineStr">
        <is>
          <t>48</t>
        </is>
      </c>
      <c r="G7702" t="inlineStr">
        <is>
          <t>0</t>
        </is>
      </c>
      <c r="H7702" t="inlineStr">
        <is>
          <t>0</t>
        </is>
      </c>
      <c r="I7702" t="inlineStr">
        <is>
          <t>24¹, 48¹, 72¹, 144¹</t>
        </is>
      </c>
      <c r="J7702" t="n">
        <v>4</v>
      </c>
      <c r="K7702" t="inlineStr">
        <is>
          <t>1⁸, 2⁸, 4⁴, 8¹</t>
        </is>
      </c>
      <c r="L7702" t="inlineStr">
        <is>
          <t>48H⁷, 72D¹¹</t>
        </is>
      </c>
      <c r="M7702" t="inlineStr"/>
      <c r="N7702" t="inlineStr">
        <is>
          <t>24C³, 3B⁰, 8A¹, 16B², 72D¹¹, 48H⁷, 12F¹, 4C⁰, 9A¹, 18E², 6F⁰, 36B⁵, 2B⁰, 1A⁰</t>
        </is>
      </c>
      <c r="O7702" t="inlineStr"/>
    </row>
    <row r="7703">
      <c r="A7703">
        <f>HYPERLINK("https://mathstats.uncg.edu/sites/pauli/congruence/csg23.html#group144Q23", "144Q²³")</f>
        <v/>
      </c>
      <c r="B7703" t="n">
        <v>23</v>
      </c>
      <c r="C7703" t="inlineStr"/>
      <c r="D7703" t="inlineStr">
        <is>
          <t>288</t>
        </is>
      </c>
      <c r="E7703" t="inlineStr">
        <is>
          <t>2</t>
        </is>
      </c>
      <c r="F7703" t="inlineStr">
        <is>
          <t>72</t>
        </is>
      </c>
      <c r="G7703" t="inlineStr">
        <is>
          <t>4</t>
        </is>
      </c>
      <c r="H7703" t="inlineStr">
        <is>
          <t>0</t>
        </is>
      </c>
      <c r="I7703" t="inlineStr">
        <is>
          <t>144²</t>
        </is>
      </c>
      <c r="J7703" t="n">
        <v>2</v>
      </c>
      <c r="K7703" t="inlineStr">
        <is>
          <t>16⁶, 48⁴</t>
        </is>
      </c>
      <c r="L7703" t="inlineStr">
        <is>
          <t>48I⁷, 144B¹⁰, 144C¹⁰, 72G¹¹</t>
        </is>
      </c>
      <c r="M7703" t="inlineStr"/>
      <c r="N7703" t="inlineStr">
        <is>
          <t>48I⁷, 12G¹, 72G¹¹, 144C¹⁰, 8A⁰, 144B¹⁰, 72C⁴, 24B¹, 1A⁰, 9B¹, 72A⁴, 36A¹, 24E³, 12A⁰, 24A¹, 4A⁰, 9A⁰, 36E⁵, 3C⁰, 3A⁰, 48B³</t>
        </is>
      </c>
      <c r="O7703" t="inlineStr"/>
    </row>
    <row r="7704">
      <c r="A7704">
        <f>HYPERLINK("https://mathstats.uncg.edu/sites/pauli/congruence/csg23.html#group144R23", "144R²³")</f>
        <v/>
      </c>
      <c r="B7704" t="n">
        <v>23</v>
      </c>
      <c r="C7704" t="inlineStr"/>
      <c r="D7704" t="inlineStr">
        <is>
          <t>288</t>
        </is>
      </c>
      <c r="E7704" t="inlineStr">
        <is>
          <t>2</t>
        </is>
      </c>
      <c r="F7704" t="inlineStr">
        <is>
          <t>72</t>
        </is>
      </c>
      <c r="G7704" t="inlineStr">
        <is>
          <t>4</t>
        </is>
      </c>
      <c r="H7704" t="inlineStr">
        <is>
          <t>0</t>
        </is>
      </c>
      <c r="I7704" t="inlineStr">
        <is>
          <t>144²</t>
        </is>
      </c>
      <c r="J7704" t="n">
        <v>2</v>
      </c>
      <c r="K7704" t="inlineStr">
        <is>
          <t>16⁶, 48⁴</t>
        </is>
      </c>
      <c r="L7704" t="inlineStr">
        <is>
          <t>48I⁷, 144B¹⁰, 144D¹⁰, 72H¹¹</t>
        </is>
      </c>
      <c r="M7704" t="inlineStr"/>
      <c r="N7704" t="inlineStr">
        <is>
          <t>48I⁷, 12G¹, 144D¹⁰, 8A⁰, 144B¹⁰, 24B¹, 72D⁴, 1A⁰, 9B¹, 72H¹¹, 72A⁴, 36A¹, 24E³, 12A⁰, 24A¹, 4A⁰, 9A⁰, 36E⁵, 3C⁰, 3A⁰, 48B³</t>
        </is>
      </c>
      <c r="O7704" t="inlineStr"/>
    </row>
    <row r="7705">
      <c r="A7705">
        <f>HYPERLINK("https://mathstats.uncg.edu/sites/pauli/congruence/csg23.html#group144S23", "144S²³")</f>
        <v/>
      </c>
      <c r="B7705" t="n">
        <v>23</v>
      </c>
      <c r="C7705" t="inlineStr"/>
      <c r="D7705" t="inlineStr">
        <is>
          <t>288</t>
        </is>
      </c>
      <c r="E7705" t="inlineStr">
        <is>
          <t>2</t>
        </is>
      </c>
      <c r="F7705" t="inlineStr">
        <is>
          <t>72</t>
        </is>
      </c>
      <c r="G7705" t="inlineStr">
        <is>
          <t>4</t>
        </is>
      </c>
      <c r="H7705" t="inlineStr">
        <is>
          <t>0</t>
        </is>
      </c>
      <c r="I7705" t="inlineStr">
        <is>
          <t>144²</t>
        </is>
      </c>
      <c r="J7705" t="n">
        <v>2</v>
      </c>
      <c r="K7705" t="inlineStr">
        <is>
          <t>16⁶, 48⁴</t>
        </is>
      </c>
      <c r="L7705" t="inlineStr">
        <is>
          <t>48J⁷, 144A¹⁰, 144C¹⁰, 72H¹¹</t>
        </is>
      </c>
      <c r="M7705" t="inlineStr"/>
      <c r="N7705" t="inlineStr">
        <is>
          <t>12G¹, 16A⁰, 144C¹⁰, 8A⁰, 24B¹, 72D⁴, 1A⁰, 9B¹, 72H¹¹, 72A⁴, 36A¹, 144A¹⁰, 24E³, 12A⁰, 48A³, 24A¹, 48J⁷, 4A⁰, 9A⁰, 36E⁵, 3C⁰, 3A⁰, 48B³</t>
        </is>
      </c>
      <c r="O7705" t="inlineStr"/>
    </row>
    <row r="7706">
      <c r="A7706">
        <f>HYPERLINK("https://mathstats.uncg.edu/sites/pauli/congruence/csg23.html#group144T23", "144T²³")</f>
        <v/>
      </c>
      <c r="B7706" t="n">
        <v>23</v>
      </c>
      <c r="C7706" t="inlineStr"/>
      <c r="D7706" t="inlineStr">
        <is>
          <t>288</t>
        </is>
      </c>
      <c r="E7706" t="inlineStr">
        <is>
          <t>2</t>
        </is>
      </c>
      <c r="F7706" t="inlineStr">
        <is>
          <t>72</t>
        </is>
      </c>
      <c r="G7706" t="inlineStr">
        <is>
          <t>4</t>
        </is>
      </c>
      <c r="H7706" t="inlineStr">
        <is>
          <t>0</t>
        </is>
      </c>
      <c r="I7706" t="inlineStr">
        <is>
          <t>144²</t>
        </is>
      </c>
      <c r="J7706" t="n">
        <v>2</v>
      </c>
      <c r="K7706" t="inlineStr">
        <is>
          <t>16⁶, 48⁴</t>
        </is>
      </c>
      <c r="L7706" t="inlineStr">
        <is>
          <t>48J⁷, 144A¹⁰, 144D¹⁰, 72G¹¹</t>
        </is>
      </c>
      <c r="M7706" t="inlineStr"/>
      <c r="N7706" t="inlineStr">
        <is>
          <t>12G¹, 16A⁰, 72G¹¹, 144D¹⁰, 8A⁰, 72C⁴, 24B¹, 1A⁰, 9B¹, 72A⁴, 36A¹, 144A¹⁰, 24E³, 12A⁰, 24A¹, 48A³, 48J⁷, 4A⁰, 36E⁵, 9A⁰, 3C⁰, 3A⁰, 48B³</t>
        </is>
      </c>
      <c r="O7706" t="inlineStr"/>
    </row>
    <row r="7707">
      <c r="A7707">
        <f>HYPERLINK("https://mathstats.uncg.edu/sites/pauli/congruence/csg23.html#group144U23", "144U²³")</f>
        <v/>
      </c>
      <c r="B7707" t="n">
        <v>23</v>
      </c>
      <c r="C7707" t="inlineStr"/>
      <c r="D7707" t="inlineStr">
        <is>
          <t>384</t>
        </is>
      </c>
      <c r="E7707" t="inlineStr">
        <is>
          <t>1</t>
        </is>
      </c>
      <c r="F7707" t="inlineStr">
        <is>
          <t>16</t>
        </is>
      </c>
      <c r="G7707" t="inlineStr">
        <is>
          <t>0</t>
        </is>
      </c>
      <c r="H7707" t="inlineStr">
        <is>
          <t>24</t>
        </is>
      </c>
      <c r="I7707" t="inlineStr">
        <is>
          <t>48², 144²</t>
        </is>
      </c>
      <c r="J7707" t="n">
        <v>4</v>
      </c>
      <c r="K7707" t="inlineStr">
        <is>
          <t>2⁴, 4²</t>
        </is>
      </c>
      <c r="L7707" t="inlineStr">
        <is>
          <t>48K⁷, 72J¹¹</t>
        </is>
      </c>
      <c r="M7707" t="inlineStr"/>
      <c r="N7707" t="inlineStr">
        <is>
          <t>3B⁰, 2A⁰, 72A⁶, 12I¹, 48K⁷, 24A², 18B⁰, 72J¹¹, 6C⁰, 8A⁰, 8E⁰, 9C⁰, 24G³, 1A⁰, 36G⁵, 36C³, 4A⁰, 4D⁰, 12A¹</t>
        </is>
      </c>
      <c r="O7707" t="inlineStr"/>
    </row>
    <row r="7708">
      <c r="A7708">
        <f>HYPERLINK("https://mathstats.uncg.edu/sites/pauli/congruence/csg23.html#group144V23", "144V²³")</f>
        <v/>
      </c>
      <c r="B7708" t="n">
        <v>23</v>
      </c>
      <c r="C7708" t="inlineStr"/>
      <c r="D7708" t="inlineStr">
        <is>
          <t>384</t>
        </is>
      </c>
      <c r="E7708" t="inlineStr">
        <is>
          <t>1</t>
        </is>
      </c>
      <c r="F7708" t="inlineStr">
        <is>
          <t>16</t>
        </is>
      </c>
      <c r="G7708" t="inlineStr">
        <is>
          <t>0</t>
        </is>
      </c>
      <c r="H7708" t="inlineStr">
        <is>
          <t>24</t>
        </is>
      </c>
      <c r="I7708" t="inlineStr">
        <is>
          <t>48², 144²</t>
        </is>
      </c>
      <c r="J7708" t="n">
        <v>4</v>
      </c>
      <c r="K7708" t="inlineStr">
        <is>
          <t>2⁴, 4²</t>
        </is>
      </c>
      <c r="L7708" t="inlineStr">
        <is>
          <t>48L⁷, 72J¹¹, 144A¹²</t>
        </is>
      </c>
      <c r="M7708" t="inlineStr"/>
      <c r="N7708" t="inlineStr">
        <is>
          <t>3B⁰, 2A⁰, 72A⁶, 16A⁰, 12I¹, 24A², 18B⁰, 72J¹¹, 6C⁰, 8A⁰, 8E⁰, 9C⁰, 24G³, 1A⁰, 36G⁵, 36C³, 48L⁷, 144A¹², 4A⁰, 4D⁰, 12A¹, 16F⁰, 48A⁴</t>
        </is>
      </c>
      <c r="O7708" t="inlineStr"/>
    </row>
    <row r="7709">
      <c r="A7709">
        <f>HYPERLINK("https://mathstats.uncg.edu/sites/pauli/congruence/csg23.html#group144W23", "144W²³")</f>
        <v/>
      </c>
      <c r="B7709" t="n">
        <v>23</v>
      </c>
      <c r="C7709" t="inlineStr"/>
      <c r="D7709" t="inlineStr">
        <is>
          <t>432</t>
        </is>
      </c>
      <c r="E7709" t="inlineStr">
        <is>
          <t>1</t>
        </is>
      </c>
      <c r="F7709" t="inlineStr">
        <is>
          <t>9</t>
        </is>
      </c>
      <c r="G7709" t="inlineStr">
        <is>
          <t>48</t>
        </is>
      </c>
      <c r="H7709" t="inlineStr">
        <is>
          <t>0</t>
        </is>
      </c>
      <c r="I7709" t="inlineStr">
        <is>
          <t>72², 144²</t>
        </is>
      </c>
      <c r="J7709" t="n">
        <v>4</v>
      </c>
      <c r="K7709" t="inlineStr">
        <is>
          <t>1³, 2³</t>
        </is>
      </c>
      <c r="L7709" t="inlineStr">
        <is>
          <t>48M⁷, 144E¹⁰, 72N¹¹</t>
        </is>
      </c>
      <c r="M7709" t="inlineStr"/>
      <c r="N7709" t="inlineStr">
        <is>
          <t>12C⁰, 36E³, 72E⁴, 4C⁰, 36B², 24I³, 8B⁰, 6G⁰, 2B⁰, 36H⁵, 24C², 72B⁶, 1A⁰, 12L¹, 48M⁷, 9D⁰, 12C¹, 24A⁰, 9A⁰, 144E¹⁰, 3C⁰, 48A², 18E¹, 3A⁰, 18I², 6D⁰, 72N¹¹</t>
        </is>
      </c>
      <c r="O7709" t="inlineStr"/>
    </row>
    <row r="7710">
      <c r="A7710">
        <f>HYPERLINK("https://mathstats.uncg.edu/sites/pauli/congruence/csg23.html#group144X23", "144X²³")</f>
        <v/>
      </c>
      <c r="B7710" t="n">
        <v>23</v>
      </c>
      <c r="C7710" t="inlineStr"/>
      <c r="D7710" t="inlineStr">
        <is>
          <t>432</t>
        </is>
      </c>
      <c r="E7710" t="inlineStr">
        <is>
          <t>1</t>
        </is>
      </c>
      <c r="F7710" t="inlineStr">
        <is>
          <t>9</t>
        </is>
      </c>
      <c r="G7710" t="inlineStr">
        <is>
          <t>48</t>
        </is>
      </c>
      <c r="H7710" t="inlineStr">
        <is>
          <t>0</t>
        </is>
      </c>
      <c r="I7710" t="inlineStr">
        <is>
          <t>72², 144²</t>
        </is>
      </c>
      <c r="J7710" t="n">
        <v>4</v>
      </c>
      <c r="K7710" t="inlineStr">
        <is>
          <t>1³, 2³</t>
        </is>
      </c>
      <c r="L7710" t="inlineStr">
        <is>
          <t>48N⁷, 144A⁸, 72N¹¹, 144B¹²</t>
        </is>
      </c>
      <c r="M7710" t="inlineStr"/>
      <c r="N7710" t="inlineStr">
        <is>
          <t>12C⁰, 36E³, 4C⁰, 36B², 24I³, 6G⁰, 2B⁰, 24C², 1A⁰, 16B⁰, 24A⁰, 3C⁰, 144A⁸, 18E¹, 3A⁰, 72N¹¹, 144B¹², 72E⁴, 8B⁰, 48A⁰, 36H⁵, 72B⁶, 12L¹, 48C⁴, 9D⁰, 12C¹, 48N⁷, 9A⁰, 18I², 6D⁰</t>
        </is>
      </c>
      <c r="O7710" t="inlineStr"/>
    </row>
    <row r="7711">
      <c r="A7711">
        <f>HYPERLINK("https://mathstats.uncg.edu/sites/pauli/congruence/csg23.html#group144Y23", "144Y²³")</f>
        <v/>
      </c>
      <c r="B7711" t="n">
        <v>23</v>
      </c>
      <c r="C7711" t="inlineStr"/>
      <c r="D7711" t="inlineStr">
        <is>
          <t>432</t>
        </is>
      </c>
      <c r="E7711" t="inlineStr">
        <is>
          <t>2</t>
        </is>
      </c>
      <c r="F7711" t="inlineStr">
        <is>
          <t>27</t>
        </is>
      </c>
      <c r="G7711" t="inlineStr">
        <is>
          <t>48</t>
        </is>
      </c>
      <c r="H7711" t="inlineStr">
        <is>
          <t>0</t>
        </is>
      </c>
      <c r="I7711" t="inlineStr">
        <is>
          <t>72², 144²</t>
        </is>
      </c>
      <c r="J7711" t="n">
        <v>4</v>
      </c>
      <c r="K7711" t="inlineStr">
        <is>
          <t>2⁹, 6⁶</t>
        </is>
      </c>
      <c r="L7711" t="inlineStr">
        <is>
          <t>48AH⁷, 72H⁹, 144E¹⁰, 144B¹²</t>
        </is>
      </c>
      <c r="M7711" t="inlineStr"/>
      <c r="N7711" t="inlineStr">
        <is>
          <t>12C⁰, 4C⁰, 36B², 36R⁴, 2B⁰, 1A⁰, 18A⁰, 18L², 72H⁹, 24A⁰, 6H⁰, 3A⁰, 24H¹, 18E¹, 48AH⁷, 6B⁰, 144B¹², 72E⁴, 24D¹, 8B⁰, 72A⁵, 48C⁴, 9A⁰, 144E¹⁰, 48A², 12D⁰, 12H⁰, 6D⁰, 36C²</t>
        </is>
      </c>
      <c r="O7711" t="inlineStr"/>
    </row>
    <row r="7712">
      <c r="A7712">
        <f>HYPERLINK("https://mathstats.uncg.edu/sites/pauli/congruence/csg23.html#group145A23", "145A²³")</f>
        <v/>
      </c>
      <c r="B7712" t="n">
        <v>23</v>
      </c>
      <c r="C7712" t="inlineStr"/>
      <c r="D7712" t="inlineStr">
        <is>
          <t>300</t>
        </is>
      </c>
      <c r="E7712" t="inlineStr">
        <is>
          <t>1</t>
        </is>
      </c>
      <c r="F7712" t="inlineStr">
        <is>
          <t>300</t>
        </is>
      </c>
      <c r="G7712" t="inlineStr">
        <is>
          <t>4</t>
        </is>
      </c>
      <c r="H7712" t="inlineStr">
        <is>
          <t>0</t>
        </is>
      </c>
      <c r="I7712" t="inlineStr">
        <is>
          <t>5², 145²</t>
        </is>
      </c>
      <c r="J7712" t="n">
        <v>4</v>
      </c>
      <c r="K7712" t="inlineStr">
        <is>
          <t>2², 4⁴, 56¹, 112²</t>
        </is>
      </c>
      <c r="L7712" t="inlineStr">
        <is>
          <t>5C⁰, 29A²</t>
        </is>
      </c>
      <c r="M7712" t="inlineStr"/>
      <c r="N7712" t="inlineStr">
        <is>
          <t>5C⁰, 1A⁰, 29A²</t>
        </is>
      </c>
      <c r="O7712" t="inlineStr"/>
    </row>
    <row r="7713">
      <c r="A7713">
        <f>HYPERLINK("https://mathstats.uncg.edu/sites/pauli/congruence/csg23.html#group148A23", "148A²³")</f>
        <v/>
      </c>
      <c r="B7713" t="n">
        <v>23</v>
      </c>
      <c r="C7713" t="inlineStr"/>
      <c r="D7713" t="inlineStr">
        <is>
          <t>304</t>
        </is>
      </c>
      <c r="E7713" t="inlineStr">
        <is>
          <t>1</t>
        </is>
      </c>
      <c r="F7713" t="inlineStr">
        <is>
          <t>152</t>
        </is>
      </c>
      <c r="G7713" t="inlineStr">
        <is>
          <t>0</t>
        </is>
      </c>
      <c r="H7713" t="inlineStr">
        <is>
          <t>4</t>
        </is>
      </c>
      <c r="I7713" t="inlineStr">
        <is>
          <t>4², 148²</t>
        </is>
      </c>
      <c r="J7713" t="n">
        <v>4</v>
      </c>
      <c r="K7713" t="inlineStr">
        <is>
          <t>2⁴, 72²</t>
        </is>
      </c>
      <c r="L7713" t="inlineStr">
        <is>
          <t>37A⁴, 148A¹¹</t>
        </is>
      </c>
      <c r="M7713" t="inlineStr"/>
      <c r="N7713" t="inlineStr">
        <is>
          <t>37A², 4A⁰, 37A⁴, 1A⁰, 148A¹¹</t>
        </is>
      </c>
      <c r="O7713" t="inlineStr"/>
    </row>
    <row r="7714">
      <c r="A7714">
        <f>HYPERLINK("https://mathstats.uncg.edu/sites/pauli/congruence/csg23.html#group148B23", "148B²³")</f>
        <v/>
      </c>
      <c r="B7714" t="n">
        <v>23</v>
      </c>
      <c r="C7714" t="inlineStr"/>
      <c r="D7714" t="inlineStr">
        <is>
          <t>304</t>
        </is>
      </c>
      <c r="E7714" t="inlineStr">
        <is>
          <t>1</t>
        </is>
      </c>
      <c r="F7714" t="inlineStr">
        <is>
          <t>152</t>
        </is>
      </c>
      <c r="G7714" t="inlineStr">
        <is>
          <t>0</t>
        </is>
      </c>
      <c r="H7714" t="inlineStr">
        <is>
          <t>4</t>
        </is>
      </c>
      <c r="I7714" t="inlineStr">
        <is>
          <t>4², 148²</t>
        </is>
      </c>
      <c r="J7714" t="n">
        <v>4</v>
      </c>
      <c r="K7714" t="inlineStr">
        <is>
          <t>2⁴, 72²</t>
        </is>
      </c>
      <c r="L7714" t="inlineStr">
        <is>
          <t>4D⁰, 74A⁵, 148A¹¹</t>
        </is>
      </c>
      <c r="M7714" t="inlineStr"/>
      <c r="N7714" t="inlineStr">
        <is>
          <t>37A², 2A⁰, 148A¹¹, 4D⁰, 4A⁰, 74A⁵, 1A⁰</t>
        </is>
      </c>
      <c r="O7714" t="inlineStr"/>
    </row>
    <row r="7715">
      <c r="A7715">
        <f>HYPERLINK("https://mathstats.uncg.edu/sites/pauli/congruence/csg23.html#group150A23", "150A²³")</f>
        <v/>
      </c>
      <c r="B7715" t="n">
        <v>23</v>
      </c>
      <c r="C7715" t="inlineStr"/>
      <c r="D7715" t="inlineStr">
        <is>
          <t>300</t>
        </is>
      </c>
      <c r="E7715" t="inlineStr">
        <is>
          <t>1</t>
        </is>
      </c>
      <c r="F7715" t="inlineStr">
        <is>
          <t>150</t>
        </is>
      </c>
      <c r="G7715" t="inlineStr">
        <is>
          <t>8</t>
        </is>
      </c>
      <c r="H7715" t="inlineStr">
        <is>
          <t>0</t>
        </is>
      </c>
      <c r="I7715" t="inlineStr">
        <is>
          <t>150²</t>
        </is>
      </c>
      <c r="J7715" t="n">
        <v>2</v>
      </c>
      <c r="K7715" t="inlineStr">
        <is>
          <t>2¹, 4³, 8², 20², 40²</t>
        </is>
      </c>
      <c r="L7715" t="inlineStr">
        <is>
          <t>30H³, 75A¹¹</t>
        </is>
      </c>
      <c r="M7715" t="inlineStr"/>
      <c r="N7715" t="inlineStr">
        <is>
          <t>15D¹, 6B⁰, 30H³, 5C⁰, 25E², 75A¹¹, 3A⁰, 1A⁰</t>
        </is>
      </c>
      <c r="O7715" t="inlineStr"/>
    </row>
    <row r="7716">
      <c r="A7716">
        <f>HYPERLINK("https://mathstats.uncg.edu/sites/pauli/congruence/csg23.html#group150B23", "150B²³")</f>
        <v/>
      </c>
      <c r="B7716" t="n">
        <v>23</v>
      </c>
      <c r="C7716" t="inlineStr"/>
      <c r="D7716" t="inlineStr">
        <is>
          <t>360</t>
        </is>
      </c>
      <c r="E7716" t="inlineStr">
        <is>
          <t>1</t>
        </is>
      </c>
      <c r="F7716" t="inlineStr">
        <is>
          <t>90</t>
        </is>
      </c>
      <c r="G7716" t="inlineStr">
        <is>
          <t>8</t>
        </is>
      </c>
      <c r="H7716" t="inlineStr">
        <is>
          <t>0</t>
        </is>
      </c>
      <c r="I7716" t="inlineStr">
        <is>
          <t>6¹⁰, 150²</t>
        </is>
      </c>
      <c r="J7716" t="n">
        <v>12</v>
      </c>
      <c r="K7716" t="inlineStr">
        <is>
          <t>1², 2², 4², 8², 20¹, 40¹</t>
        </is>
      </c>
      <c r="L7716" t="inlineStr">
        <is>
          <t>30I³, 75E⁹, 150A¹¹</t>
        </is>
      </c>
      <c r="M7716" t="inlineStr"/>
      <c r="N7716" t="inlineStr">
        <is>
          <t>150A¹¹, 75A⁴, 15B⁰, 6B⁰, 30I³, 6E⁰, 15E¹, 5B⁰, 25A⁰, 3C⁰, 75E⁹, 3A⁰, 1A⁰, 30C¹</t>
        </is>
      </c>
      <c r="O7716" t="inlineStr"/>
    </row>
    <row r="7717">
      <c r="A7717">
        <f>HYPERLINK("https://mathstats.uncg.edu/sites/pauli/congruence/csg23.html#group150C23", "150C²³")</f>
        <v/>
      </c>
      <c r="B7717" t="n">
        <v>23</v>
      </c>
      <c r="C7717" t="inlineStr"/>
      <c r="D7717" t="inlineStr">
        <is>
          <t>360</t>
        </is>
      </c>
      <c r="E7717" t="inlineStr">
        <is>
          <t>1</t>
        </is>
      </c>
      <c r="F7717" t="inlineStr">
        <is>
          <t>90</t>
        </is>
      </c>
      <c r="G7717" t="inlineStr">
        <is>
          <t>8</t>
        </is>
      </c>
      <c r="H7717" t="inlineStr">
        <is>
          <t>0</t>
        </is>
      </c>
      <c r="I7717" t="inlineStr">
        <is>
          <t>6¹⁰, 150²</t>
        </is>
      </c>
      <c r="J7717" t="n">
        <v>12</v>
      </c>
      <c r="K7717" t="inlineStr">
        <is>
          <t>1², 2², 4², 8², 20¹, 40¹</t>
        </is>
      </c>
      <c r="L7717" t="inlineStr">
        <is>
          <t>30J³, 75E⁹, 150A¹⁰, 150E¹²</t>
        </is>
      </c>
      <c r="M7717" t="inlineStr"/>
      <c r="N7717" t="inlineStr">
        <is>
          <t>30A⁰, 150A¹⁰, 30J³, 5B⁰, 75A⁴, 1A⁰, 150E¹², 10B⁰, 15B⁰, 50A², 25A⁰, 3C⁰, 75E⁹, 3A⁰, 15E¹, 30C²</t>
        </is>
      </c>
      <c r="O7717" t="inlineStr"/>
    </row>
    <row r="7718">
      <c r="A7718">
        <f>HYPERLINK("https://mathstats.uncg.edu/sites/pauli/congruence/csg23.html#group150D23", "150D²³")</f>
        <v/>
      </c>
      <c r="B7718" t="n">
        <v>23</v>
      </c>
      <c r="C7718" t="inlineStr"/>
      <c r="D7718" t="inlineStr">
        <is>
          <t>360</t>
        </is>
      </c>
      <c r="E7718" t="inlineStr">
        <is>
          <t>2</t>
        </is>
      </c>
      <c r="F7718" t="inlineStr">
        <is>
          <t>90</t>
        </is>
      </c>
      <c r="G7718" t="inlineStr">
        <is>
          <t>8</t>
        </is>
      </c>
      <c r="H7718" t="inlineStr">
        <is>
          <t>0</t>
        </is>
      </c>
      <c r="I7718" t="inlineStr">
        <is>
          <t>6¹⁰, 150²</t>
        </is>
      </c>
      <c r="J7718" t="n">
        <v>12</v>
      </c>
      <c r="K7718" t="inlineStr">
        <is>
          <t>2⁶, 8⁶, 40³</t>
        </is>
      </c>
      <c r="L7718" t="inlineStr">
        <is>
          <t>30L³, 75A⁸, 150A¹¹, 150E¹²</t>
        </is>
      </c>
      <c r="M7718" t="inlineStr"/>
      <c r="N7718" t="inlineStr">
        <is>
          <t>150A¹¹, 30L³, 15B⁰, 6B⁰, 5B⁰, 25A⁰, 1A⁰, 15C⁰, 75A⁴, 3A⁰, 75A⁸, 150E¹², 30C¹, 30C²</t>
        </is>
      </c>
      <c r="O7718" t="inlineStr"/>
    </row>
    <row r="7719">
      <c r="A7719">
        <f>HYPERLINK("https://mathstats.uncg.edu/sites/pauli/congruence/csg23.html#group152A23", "152A²³")</f>
        <v/>
      </c>
      <c r="B7719" t="n">
        <v>23</v>
      </c>
      <c r="C7719" t="inlineStr"/>
      <c r="D7719" t="inlineStr">
        <is>
          <t>320</t>
        </is>
      </c>
      <c r="E7719" t="inlineStr">
        <is>
          <t>1</t>
        </is>
      </c>
      <c r="F7719" t="inlineStr">
        <is>
          <t>80</t>
        </is>
      </c>
      <c r="G7719" t="inlineStr">
        <is>
          <t>0</t>
        </is>
      </c>
      <c r="H7719" t="inlineStr">
        <is>
          <t>8</t>
        </is>
      </c>
      <c r="I7719" t="inlineStr">
        <is>
          <t>8², 152²</t>
        </is>
      </c>
      <c r="J7719" t="n">
        <v>4</v>
      </c>
      <c r="K7719" t="inlineStr">
        <is>
          <t>2⁴, 36²</t>
        </is>
      </c>
      <c r="L7719" t="inlineStr">
        <is>
          <t>76A¹¹</t>
        </is>
      </c>
      <c r="M7719" t="inlineStr"/>
      <c r="N7719" t="inlineStr">
        <is>
          <t>19A¹, 2A⁰, 38A², 4A⁰, 76A¹¹, 4D⁰, 76A⁶, 1A⁰</t>
        </is>
      </c>
      <c r="O7719" t="inlineStr"/>
    </row>
    <row r="7720">
      <c r="A7720">
        <f>HYPERLINK("https://mathstats.uncg.edu/sites/pauli/congruence/csg23.html#group152B23", "152B²³")</f>
        <v/>
      </c>
      <c r="B7720" t="n">
        <v>23</v>
      </c>
      <c r="C7720" t="inlineStr"/>
      <c r="D7720" t="inlineStr">
        <is>
          <t>320</t>
        </is>
      </c>
      <c r="E7720" t="inlineStr">
        <is>
          <t>1</t>
        </is>
      </c>
      <c r="F7720" t="inlineStr">
        <is>
          <t>80</t>
        </is>
      </c>
      <c r="G7720" t="inlineStr">
        <is>
          <t>0</t>
        </is>
      </c>
      <c r="H7720" t="inlineStr">
        <is>
          <t>8</t>
        </is>
      </c>
      <c r="I7720" t="inlineStr">
        <is>
          <t>8², 152²</t>
        </is>
      </c>
      <c r="J7720" t="n">
        <v>4</v>
      </c>
      <c r="K7720" t="inlineStr">
        <is>
          <t>2⁴, 36²</t>
        </is>
      </c>
      <c r="L7720" t="inlineStr">
        <is>
          <t>8E⁰, 76A¹¹, 152A¹²</t>
        </is>
      </c>
      <c r="M7720" t="inlineStr"/>
      <c r="N7720" t="inlineStr">
        <is>
          <t>2A⁰, 19A¹, 38A², 152A¹², 4A⁰, 76A¹¹, 4D⁰, 8A⁰, 8E⁰, 76A⁶, 1A⁰</t>
        </is>
      </c>
      <c r="O7720" t="inlineStr"/>
    </row>
    <row r="7721">
      <c r="A7721">
        <f>HYPERLINK("https://mathstats.uncg.edu/sites/pauli/congruence/csg23.html#group153A23", "153A²³")</f>
        <v/>
      </c>
      <c r="B7721" t="n">
        <v>23</v>
      </c>
      <c r="C7721" t="inlineStr"/>
      <c r="D7721" t="inlineStr">
        <is>
          <t>324</t>
        </is>
      </c>
      <c r="E7721" t="inlineStr">
        <is>
          <t>1</t>
        </is>
      </c>
      <c r="F7721" t="inlineStr">
        <is>
          <t>54</t>
        </is>
      </c>
      <c r="G7721" t="inlineStr">
        <is>
          <t>12</t>
        </is>
      </c>
      <c r="H7721" t="inlineStr">
        <is>
          <t>0</t>
        </is>
      </c>
      <c r="I7721" t="inlineStr">
        <is>
          <t>9², 153²</t>
        </is>
      </c>
      <c r="J7721" t="n">
        <v>4</v>
      </c>
      <c r="K7721" t="inlineStr">
        <is>
          <t>1², 2², 16¹, 32¹</t>
        </is>
      </c>
      <c r="L7721" t="inlineStr">
        <is>
          <t>9D⁰, 51B⁷, 153A¹¹</t>
        </is>
      </c>
      <c r="M7721" t="inlineStr"/>
      <c r="N7721" t="inlineStr">
        <is>
          <t>9D⁰, 153A¹¹, 51A³, 9A⁰, 51B⁷, 3C⁰, 17A¹, 3A⁰, 1A⁰</t>
        </is>
      </c>
      <c r="O7721" t="inlineStr"/>
    </row>
    <row r="7722">
      <c r="A7722">
        <f>HYPERLINK("https://mathstats.uncg.edu/sites/pauli/congruence/csg23.html#group153B23", "153B²³")</f>
        <v/>
      </c>
      <c r="B7722" t="n">
        <v>23</v>
      </c>
      <c r="C7722" t="inlineStr"/>
      <c r="D7722" t="inlineStr">
        <is>
          <t>324</t>
        </is>
      </c>
      <c r="E7722" t="inlineStr">
        <is>
          <t>1</t>
        </is>
      </c>
      <c r="F7722" t="inlineStr">
        <is>
          <t>162</t>
        </is>
      </c>
      <c r="G7722" t="inlineStr">
        <is>
          <t>12</t>
        </is>
      </c>
      <c r="H7722" t="inlineStr">
        <is>
          <t>0</t>
        </is>
      </c>
      <c r="I7722" t="inlineStr">
        <is>
          <t>9², 153²</t>
        </is>
      </c>
      <c r="J7722" t="n">
        <v>4</v>
      </c>
      <c r="K7722" t="inlineStr">
        <is>
          <t>1², 2², 6², 16¹, 32¹, 96¹</t>
        </is>
      </c>
      <c r="L7722" t="inlineStr">
        <is>
          <t>51A⁷, 153A¹¹</t>
        </is>
      </c>
      <c r="M7722" t="inlineStr"/>
      <c r="N7722" t="inlineStr">
        <is>
          <t>17A¹, 51A³, 3A⁰, 153A¹¹, 1A⁰, 51A⁷, 9A⁰</t>
        </is>
      </c>
      <c r="O7722" t="inlineStr"/>
    </row>
    <row r="7723">
      <c r="A7723">
        <f>HYPERLINK("https://mathstats.uncg.edu/sites/pauli/congruence/csg23.html#group153C23", "153C²³")</f>
        <v/>
      </c>
      <c r="B7723" t="n">
        <v>23</v>
      </c>
      <c r="C7723" t="inlineStr"/>
      <c r="D7723" t="inlineStr">
        <is>
          <t>324</t>
        </is>
      </c>
      <c r="E7723" t="inlineStr">
        <is>
          <t>1</t>
        </is>
      </c>
      <c r="F7723" t="inlineStr">
        <is>
          <t>324</t>
        </is>
      </c>
      <c r="G7723" t="inlineStr">
        <is>
          <t>4</t>
        </is>
      </c>
      <c r="H7723" t="inlineStr">
        <is>
          <t>0</t>
        </is>
      </c>
      <c r="I7723" t="inlineStr">
        <is>
          <t>3³, 9¹, 51³, 153¹</t>
        </is>
      </c>
      <c r="J7723" t="n">
        <v>8</v>
      </c>
      <c r="K7723" t="inlineStr">
        <is>
          <t>1², 2², 3², 6⁴, 16¹, 32¹, 48¹, 96²</t>
        </is>
      </c>
      <c r="L7723" t="inlineStr">
        <is>
          <t>9E⁰, 51B⁷</t>
        </is>
      </c>
      <c r="M7723" t="inlineStr"/>
      <c r="N7723" t="inlineStr">
        <is>
          <t>51B⁷, 3C⁰, 17A¹, 1A⁰, 9E⁰, 3A⁰, 51A³</t>
        </is>
      </c>
      <c r="O7723" t="inlineStr"/>
    </row>
    <row r="7724">
      <c r="A7724">
        <f>HYPERLINK("https://mathstats.uncg.edu/sites/pauli/congruence/csg23.html#group154A23", "154A²³")</f>
        <v/>
      </c>
      <c r="B7724" t="n">
        <v>23</v>
      </c>
      <c r="C7724" t="inlineStr"/>
      <c r="D7724" t="inlineStr">
        <is>
          <t>308</t>
        </is>
      </c>
      <c r="E7724" t="inlineStr">
        <is>
          <t>2</t>
        </is>
      </c>
      <c r="F7724" t="inlineStr">
        <is>
          <t>77</t>
        </is>
      </c>
      <c r="G7724" t="inlineStr">
        <is>
          <t>0</t>
        </is>
      </c>
      <c r="H7724" t="inlineStr">
        <is>
          <t>8</t>
        </is>
      </c>
      <c r="I7724" t="inlineStr">
        <is>
          <t>154²</t>
        </is>
      </c>
      <c r="J7724" t="n">
        <v>2</v>
      </c>
      <c r="K7724" t="inlineStr">
        <is>
          <t>4¹, 12², 20², 60⁴</t>
        </is>
      </c>
      <c r="L7724" t="inlineStr">
        <is>
          <t>154A⁹, 77A¹⁰, 154A¹²</t>
        </is>
      </c>
      <c r="M7724" t="inlineStr"/>
      <c r="N7724" t="inlineStr">
        <is>
          <t>11A⁰, 2A⁰, 77A¹⁰, 154A¹², 22A¹, 7C⁰, 77A⁴, 154A⁹, 1A⁰, 7A⁰</t>
        </is>
      </c>
      <c r="O7724" t="inlineStr"/>
    </row>
    <row r="7725">
      <c r="A7725">
        <f>HYPERLINK("https://mathstats.uncg.edu/sites/pauli/congruence/csg23.html#group154B23", "154B²³")</f>
        <v/>
      </c>
      <c r="B7725" t="n">
        <v>23</v>
      </c>
      <c r="C7725" t="inlineStr"/>
      <c r="D7725" t="inlineStr">
        <is>
          <t>308</t>
        </is>
      </c>
      <c r="E7725" t="inlineStr">
        <is>
          <t>2</t>
        </is>
      </c>
      <c r="F7725" t="inlineStr">
        <is>
          <t>77</t>
        </is>
      </c>
      <c r="G7725" t="inlineStr">
        <is>
          <t>0</t>
        </is>
      </c>
      <c r="H7725" t="inlineStr">
        <is>
          <t>8</t>
        </is>
      </c>
      <c r="I7725" t="inlineStr">
        <is>
          <t>154²</t>
        </is>
      </c>
      <c r="J7725" t="n">
        <v>2</v>
      </c>
      <c r="K7725" t="inlineStr">
        <is>
          <t>4¹, 12², 20², 60⁴</t>
        </is>
      </c>
      <c r="L7725" t="inlineStr">
        <is>
          <t>154B⁹, 77B¹⁰, 154B¹²</t>
        </is>
      </c>
      <c r="M7725" t="inlineStr"/>
      <c r="N7725" t="inlineStr">
        <is>
          <t>11A⁰, 2A⁰, 22A¹, 77B¹⁰, 7C⁰, 154B⁹, 7A⁰, 77B⁴, 1A⁰, 154B¹²</t>
        </is>
      </c>
      <c r="O7725" t="inlineStr"/>
    </row>
    <row r="7726">
      <c r="A7726">
        <f>HYPERLINK("https://mathstats.uncg.edu/sites/pauli/congruence/csg23.html#group156A23", "156A²³")</f>
        <v/>
      </c>
      <c r="B7726" t="n">
        <v>23</v>
      </c>
      <c r="C7726" t="inlineStr"/>
      <c r="D7726" t="inlineStr">
        <is>
          <t>336</t>
        </is>
      </c>
      <c r="E7726" t="inlineStr">
        <is>
          <t>1</t>
        </is>
      </c>
      <c r="F7726" t="inlineStr">
        <is>
          <t>42</t>
        </is>
      </c>
      <c r="G7726" t="inlineStr">
        <is>
          <t>16</t>
        </is>
      </c>
      <c r="H7726" t="inlineStr">
        <is>
          <t>0</t>
        </is>
      </c>
      <c r="I7726" t="inlineStr">
        <is>
          <t>12², 156²</t>
        </is>
      </c>
      <c r="J7726" t="n">
        <v>4</v>
      </c>
      <c r="K7726" t="inlineStr">
        <is>
          <t>2², 4², 24¹, 48¹</t>
        </is>
      </c>
      <c r="L7726" t="inlineStr">
        <is>
          <t>78B⁹, 156C¹¹</t>
        </is>
      </c>
      <c r="M7726" t="inlineStr"/>
      <c r="N7726" t="inlineStr">
        <is>
          <t>39A², 78A⁴, 6B⁰, 78B⁵, 78B⁹, 13A⁰, 26A⁰, 39A⁴, 3A⁰, 156C¹¹, 1A⁰</t>
        </is>
      </c>
      <c r="O7726" t="inlineStr"/>
    </row>
    <row r="7727">
      <c r="A7727">
        <f>HYPERLINK("https://mathstats.uncg.edu/sites/pauli/congruence/csg23.html#group156B23", "156B²³")</f>
        <v/>
      </c>
      <c r="B7727" t="n">
        <v>23</v>
      </c>
      <c r="C7727" t="inlineStr"/>
      <c r="D7727" t="inlineStr">
        <is>
          <t>336</t>
        </is>
      </c>
      <c r="E7727" t="inlineStr">
        <is>
          <t>1</t>
        </is>
      </c>
      <c r="F7727" t="inlineStr">
        <is>
          <t>42</t>
        </is>
      </c>
      <c r="G7727" t="inlineStr">
        <is>
          <t>16</t>
        </is>
      </c>
      <c r="H7727" t="inlineStr">
        <is>
          <t>0</t>
        </is>
      </c>
      <c r="I7727" t="inlineStr">
        <is>
          <t>12², 156²</t>
        </is>
      </c>
      <c r="J7727" t="n">
        <v>4</v>
      </c>
      <c r="K7727" t="inlineStr">
        <is>
          <t>2², 4², 24¹, 48¹</t>
        </is>
      </c>
      <c r="L7727" t="inlineStr">
        <is>
          <t>78B⁹, 156C¹¹</t>
        </is>
      </c>
      <c r="M7727" t="inlineStr"/>
      <c r="N7727" t="inlineStr">
        <is>
          <t>39A², 78A⁴, 6B⁰, 78B⁵, 78B⁹, 13A⁰, 26A⁰, 39A⁴, 3A⁰, 156C¹¹, 1A⁰</t>
        </is>
      </c>
      <c r="O7727" t="inlineStr"/>
    </row>
    <row r="7728">
      <c r="A7728">
        <f>HYPERLINK("https://mathstats.uncg.edu/sites/pauli/congruence/csg23.html#group156C23", "156C²³")</f>
        <v/>
      </c>
      <c r="B7728" t="n">
        <v>23</v>
      </c>
      <c r="C7728" t="inlineStr"/>
      <c r="D7728" t="inlineStr">
        <is>
          <t>336</t>
        </is>
      </c>
      <c r="E7728" t="inlineStr">
        <is>
          <t>1</t>
        </is>
      </c>
      <c r="F7728" t="inlineStr">
        <is>
          <t>168</t>
        </is>
      </c>
      <c r="G7728" t="inlineStr">
        <is>
          <t>0</t>
        </is>
      </c>
      <c r="H7728" t="inlineStr">
        <is>
          <t>0</t>
        </is>
      </c>
      <c r="I7728" t="inlineStr">
        <is>
          <t>1², 3², 4¹, 12¹, 13², 39², 52¹, 156¹</t>
        </is>
      </c>
      <c r="J7728" t="n">
        <v>12</v>
      </c>
      <c r="K7728" t="inlineStr">
        <is>
          <t>1¹², 2⁶, 12⁶, 24³</t>
        </is>
      </c>
      <c r="L7728" t="inlineStr">
        <is>
          <t>52A⁴, 78C¹¹</t>
        </is>
      </c>
      <c r="M7728" t="inlineStr"/>
      <c r="N7728" t="inlineStr">
        <is>
          <t>3B⁰, 26A², 39A³, 13A⁰, 1A⁰, 2B⁰, 52A⁴, 6F⁰, 78C¹¹</t>
        </is>
      </c>
      <c r="O7728" t="inlineStr"/>
    </row>
    <row r="7729">
      <c r="A7729">
        <f>HYPERLINK("https://mathstats.uncg.edu/sites/pauli/congruence/csg23.html#group156D23", "156D²³")</f>
        <v/>
      </c>
      <c r="B7729" t="n">
        <v>23</v>
      </c>
      <c r="C7729" t="inlineStr">
        <is>
          <t>Γ₀(156)</t>
        </is>
      </c>
      <c r="D7729" t="inlineStr">
        <is>
          <t>336</t>
        </is>
      </c>
      <c r="E7729" t="inlineStr">
        <is>
          <t>1</t>
        </is>
      </c>
      <c r="F7729" t="inlineStr">
        <is>
          <t>168</t>
        </is>
      </c>
      <c r="G7729" t="inlineStr">
        <is>
          <t>0</t>
        </is>
      </c>
      <c r="H7729" t="inlineStr">
        <is>
          <t>0</t>
        </is>
      </c>
      <c r="I7729" t="inlineStr">
        <is>
          <t>1², 3², 4¹, 12¹, 13², 39², 52¹, 156¹</t>
        </is>
      </c>
      <c r="J7729" t="n">
        <v>12</v>
      </c>
      <c r="K7729" t="inlineStr">
        <is>
          <t>1¹², 2⁶, 12⁶, 24³</t>
        </is>
      </c>
      <c r="L7729" t="inlineStr">
        <is>
          <t>12E⁰, 52A⁵, 78C¹¹</t>
        </is>
      </c>
      <c r="M7729" t="inlineStr"/>
      <c r="N7729" t="inlineStr">
        <is>
          <t>26A², 3B⁰, 39A³, 52A⁵, 13A⁰, 6F⁰, 2B⁰, 4B⁰, 1A⁰, 78C¹¹, 12E⁰</t>
        </is>
      </c>
      <c r="O7729" t="inlineStr"/>
    </row>
    <row r="7730">
      <c r="A7730">
        <f>HYPERLINK("https://mathstats.uncg.edu/sites/pauli/congruence/csg23.html#group156E23", "156E²³")</f>
        <v/>
      </c>
      <c r="B7730" t="n">
        <v>23</v>
      </c>
      <c r="C7730" t="inlineStr"/>
      <c r="D7730" t="inlineStr">
        <is>
          <t>336</t>
        </is>
      </c>
      <c r="E7730" t="inlineStr">
        <is>
          <t>1</t>
        </is>
      </c>
      <c r="F7730" t="inlineStr">
        <is>
          <t>168</t>
        </is>
      </c>
      <c r="G7730" t="inlineStr">
        <is>
          <t>16</t>
        </is>
      </c>
      <c r="H7730" t="inlineStr">
        <is>
          <t>0</t>
        </is>
      </c>
      <c r="I7730" t="inlineStr">
        <is>
          <t>12², 156²</t>
        </is>
      </c>
      <c r="J7730" t="n">
        <v>4</v>
      </c>
      <c r="K7730" t="inlineStr">
        <is>
          <t>2⁴, 4⁴, 24², 48²</t>
        </is>
      </c>
      <c r="L7730" t="inlineStr">
        <is>
          <t>39A⁴, 156A¹¹</t>
        </is>
      </c>
      <c r="M7730" t="inlineStr"/>
      <c r="N7730" t="inlineStr">
        <is>
          <t>156A¹¹, 39A², 12A⁰, 52A³, 4A⁰, 13A⁰, 39A⁴, 3A⁰, 1A⁰</t>
        </is>
      </c>
      <c r="O7730" t="inlineStr"/>
    </row>
    <row r="7731">
      <c r="A7731">
        <f>HYPERLINK("https://mathstats.uncg.edu/sites/pauli/congruence/csg23.html#group156F23", "156F²³")</f>
        <v/>
      </c>
      <c r="B7731" t="n">
        <v>23</v>
      </c>
      <c r="C7731" t="inlineStr"/>
      <c r="D7731" t="inlineStr">
        <is>
          <t>336</t>
        </is>
      </c>
      <c r="E7731" t="inlineStr">
        <is>
          <t>1</t>
        </is>
      </c>
      <c r="F7731" t="inlineStr">
        <is>
          <t>168</t>
        </is>
      </c>
      <c r="G7731" t="inlineStr">
        <is>
          <t>16</t>
        </is>
      </c>
      <c r="H7731" t="inlineStr">
        <is>
          <t>0</t>
        </is>
      </c>
      <c r="I7731" t="inlineStr">
        <is>
          <t>12², 156²</t>
        </is>
      </c>
      <c r="J7731" t="n">
        <v>4</v>
      </c>
      <c r="K7731" t="inlineStr">
        <is>
          <t>2⁴, 4⁴, 24², 48²</t>
        </is>
      </c>
      <c r="L7731" t="inlineStr">
        <is>
          <t>12F⁰, 78B⁵, 156A¹¹</t>
        </is>
      </c>
      <c r="M7731" t="inlineStr"/>
      <c r="N7731" t="inlineStr">
        <is>
          <t>156A¹¹, 39A², 12A⁰, 6B⁰, 52A³, 4A⁰, 78B⁵, 12F⁰, 13A⁰, 3A⁰, 1A⁰</t>
        </is>
      </c>
      <c r="O7731" t="inlineStr"/>
    </row>
    <row r="7732">
      <c r="A7732">
        <f>HYPERLINK("https://mathstats.uncg.edu/sites/pauli/congruence/csg23.html#group156G23", "156G²³")</f>
        <v/>
      </c>
      <c r="B7732" t="n">
        <v>23</v>
      </c>
      <c r="C7732" t="inlineStr"/>
      <c r="D7732" t="inlineStr">
        <is>
          <t>336</t>
        </is>
      </c>
      <c r="E7732" t="inlineStr">
        <is>
          <t>2</t>
        </is>
      </c>
      <c r="F7732" t="inlineStr">
        <is>
          <t>28</t>
        </is>
      </c>
      <c r="G7732" t="inlineStr">
        <is>
          <t>0</t>
        </is>
      </c>
      <c r="H7732" t="inlineStr">
        <is>
          <t>12</t>
        </is>
      </c>
      <c r="I7732" t="inlineStr">
        <is>
          <t>12², 156²</t>
        </is>
      </c>
      <c r="J7732" t="n">
        <v>4</v>
      </c>
      <c r="K7732" t="inlineStr">
        <is>
          <t>2⁴, 24²</t>
        </is>
      </c>
      <c r="L7732" t="inlineStr">
        <is>
          <t>52B³, 78D¹¹</t>
        </is>
      </c>
      <c r="M7732" t="inlineStr"/>
      <c r="N7732" t="inlineStr">
        <is>
          <t>52B³, 78D¹¹, 2A⁰, 26B¹, 26A¹, 13A⁰, 26A⁰, 13B⁰, 78B⁶, 52A¹, 1A⁰</t>
        </is>
      </c>
      <c r="O7732" t="inlineStr"/>
    </row>
    <row r="7733">
      <c r="A7733">
        <f>HYPERLINK("https://mathstats.uncg.edu/sites/pauli/congruence/csg23.html#group156H23", "156H²³")</f>
        <v/>
      </c>
      <c r="B7733" t="n">
        <v>23</v>
      </c>
      <c r="C7733" t="inlineStr"/>
      <c r="D7733" t="inlineStr">
        <is>
          <t>336</t>
        </is>
      </c>
      <c r="E7733" t="inlineStr">
        <is>
          <t>2</t>
        </is>
      </c>
      <c r="F7733" t="inlineStr">
        <is>
          <t>42</t>
        </is>
      </c>
      <c r="G7733" t="inlineStr">
        <is>
          <t>16</t>
        </is>
      </c>
      <c r="H7733" t="inlineStr">
        <is>
          <t>0</t>
        </is>
      </c>
      <c r="I7733" t="inlineStr">
        <is>
          <t>12², 156²</t>
        </is>
      </c>
      <c r="J7733" t="n">
        <v>4</v>
      </c>
      <c r="K7733" t="inlineStr">
        <is>
          <t>2², 4², 24¹, 48¹</t>
        </is>
      </c>
      <c r="L7733" t="inlineStr">
        <is>
          <t>78B⁹, 156B¹¹, 156C¹¹</t>
        </is>
      </c>
      <c r="M7733" t="inlineStr"/>
      <c r="N7733" t="inlineStr">
        <is>
          <t>39A², 78A⁴, 6B⁰, 78B⁵, 78B⁹, 13A⁰, 156B¹¹, 26A⁰, 52A¹, 39A⁴, 3A⁰, 156C¹¹, 1A⁰</t>
        </is>
      </c>
      <c r="O7733" t="inlineStr"/>
    </row>
    <row r="7734">
      <c r="A7734">
        <f>HYPERLINK("https://mathstats.uncg.edu/sites/pauli/congruence/csg23.html#group160A23", "160A²³")</f>
        <v/>
      </c>
      <c r="B7734" t="n">
        <v>23</v>
      </c>
      <c r="C7734" t="inlineStr"/>
      <c r="D7734" t="inlineStr">
        <is>
          <t>288</t>
        </is>
      </c>
      <c r="E7734" t="inlineStr">
        <is>
          <t>1</t>
        </is>
      </c>
      <c r="F7734" t="inlineStr">
        <is>
          <t>144</t>
        </is>
      </c>
      <c r="G7734" t="inlineStr">
        <is>
          <t>0</t>
        </is>
      </c>
      <c r="H7734" t="inlineStr">
        <is>
          <t>0</t>
        </is>
      </c>
      <c r="I7734" t="inlineStr">
        <is>
          <t>16¹, 32¹, 80¹, 160¹</t>
        </is>
      </c>
      <c r="J7734" t="n">
        <v>4</v>
      </c>
      <c r="K7734" t="inlineStr">
        <is>
          <t>2¹⁶, 8¹⁰, 32¹</t>
        </is>
      </c>
      <c r="L7734" t="inlineStr">
        <is>
          <t>80D¹¹</t>
        </is>
      </c>
      <c r="M7734" t="inlineStr"/>
      <c r="N7734" t="inlineStr">
        <is>
          <t>20E¹, 16B², 8A¹, 80D¹¹, 4C⁰, 40C⁵, 5B⁰, 10C⁰, 2B⁰, 1A⁰</t>
        </is>
      </c>
      <c r="O7734" t="inlineStr"/>
    </row>
    <row r="7735">
      <c r="A7735">
        <f>HYPERLINK("https://mathstats.uncg.edu/sites/pauli/congruence/csg23.html#group160B23", "160B²³")</f>
        <v/>
      </c>
      <c r="B7735" t="n">
        <v>23</v>
      </c>
      <c r="C7735" t="inlineStr"/>
      <c r="D7735" t="inlineStr">
        <is>
          <t>288</t>
        </is>
      </c>
      <c r="E7735" t="inlineStr">
        <is>
          <t>1</t>
        </is>
      </c>
      <c r="F7735" t="inlineStr">
        <is>
          <t>144</t>
        </is>
      </c>
      <c r="G7735" t="inlineStr">
        <is>
          <t>0</t>
        </is>
      </c>
      <c r="H7735" t="inlineStr">
        <is>
          <t>0</t>
        </is>
      </c>
      <c r="I7735" t="inlineStr">
        <is>
          <t>16¹, 32¹, 80¹, 160¹</t>
        </is>
      </c>
      <c r="J7735" t="n">
        <v>4</v>
      </c>
      <c r="K7735" t="inlineStr">
        <is>
          <t>2¹⁶, 8¹⁰, 32¹</t>
        </is>
      </c>
      <c r="L7735" t="inlineStr">
        <is>
          <t>80D¹¹</t>
        </is>
      </c>
      <c r="M7735" t="inlineStr"/>
      <c r="N7735" t="inlineStr">
        <is>
          <t>20E¹, 16B², 8A¹, 80D¹¹, 4C⁰, 40C⁵, 5B⁰, 10C⁰, 2B⁰, 1A⁰</t>
        </is>
      </c>
      <c r="O7735" t="inlineStr"/>
    </row>
    <row r="7736">
      <c r="A7736">
        <f>HYPERLINK("https://mathstats.uncg.edu/sites/pauli/congruence/csg23.html#group160C23", "160C²³")</f>
        <v/>
      </c>
      <c r="B7736" t="n">
        <v>23</v>
      </c>
      <c r="C7736" t="inlineStr"/>
      <c r="D7736" t="inlineStr">
        <is>
          <t>288</t>
        </is>
      </c>
      <c r="E7736" t="inlineStr">
        <is>
          <t>1</t>
        </is>
      </c>
      <c r="F7736" t="inlineStr">
        <is>
          <t>144</t>
        </is>
      </c>
      <c r="G7736" t="inlineStr">
        <is>
          <t>0</t>
        </is>
      </c>
      <c r="H7736" t="inlineStr">
        <is>
          <t>0</t>
        </is>
      </c>
      <c r="I7736" t="inlineStr">
        <is>
          <t>16¹, 32¹, 80¹, 160¹</t>
        </is>
      </c>
      <c r="J7736" t="n">
        <v>4</v>
      </c>
      <c r="K7736" t="inlineStr">
        <is>
          <t>2¹⁶, 8¹⁰, 32¹</t>
        </is>
      </c>
      <c r="L7736" t="inlineStr">
        <is>
          <t>32A⁴, 80D¹¹</t>
        </is>
      </c>
      <c r="M7736" t="inlineStr"/>
      <c r="N7736" t="inlineStr">
        <is>
          <t>20E¹, 8A¹, 80D¹¹, 4C⁰, 40C⁵, 5B⁰, 2B⁰, 32A⁴, 1A⁰, 16B², 10C⁰</t>
        </is>
      </c>
      <c r="O7736" t="inlineStr"/>
    </row>
    <row r="7737">
      <c r="A7737">
        <f>HYPERLINK("https://mathstats.uncg.edu/sites/pauli/congruence/csg23.html#group160D23", "160D²³")</f>
        <v/>
      </c>
      <c r="B7737" t="n">
        <v>23</v>
      </c>
      <c r="C7737" t="inlineStr"/>
      <c r="D7737" t="inlineStr">
        <is>
          <t>288</t>
        </is>
      </c>
      <c r="E7737" t="inlineStr">
        <is>
          <t>1</t>
        </is>
      </c>
      <c r="F7737" t="inlineStr">
        <is>
          <t>144</t>
        </is>
      </c>
      <c r="G7737" t="inlineStr">
        <is>
          <t>0</t>
        </is>
      </c>
      <c r="H7737" t="inlineStr">
        <is>
          <t>0</t>
        </is>
      </c>
      <c r="I7737" t="inlineStr">
        <is>
          <t>16¹, 32¹, 80¹, 160¹</t>
        </is>
      </c>
      <c r="J7737" t="n">
        <v>4</v>
      </c>
      <c r="K7737" t="inlineStr">
        <is>
          <t>2¹⁶, 8¹⁰, 32¹</t>
        </is>
      </c>
      <c r="L7737" t="inlineStr">
        <is>
          <t>32B⁴, 80D¹¹</t>
        </is>
      </c>
      <c r="M7737" t="inlineStr"/>
      <c r="N7737" t="inlineStr">
        <is>
          <t>20E¹, 16B², 8A¹, 80D¹¹, 4C⁰, 40C⁵, 5B⁰, 10C⁰, 2B⁰, 1A⁰, 32B⁴</t>
        </is>
      </c>
      <c r="O7737" t="inlineStr"/>
    </row>
    <row r="7738">
      <c r="A7738">
        <f>HYPERLINK("https://mathstats.uncg.edu/sites/pauli/congruence/csg23.html#group165A23", "165A²³")</f>
        <v/>
      </c>
      <c r="B7738" t="n">
        <v>23</v>
      </c>
      <c r="C7738" t="inlineStr"/>
      <c r="D7738" t="inlineStr">
        <is>
          <t>330</t>
        </is>
      </c>
      <c r="E7738" t="inlineStr">
        <is>
          <t>2</t>
        </is>
      </c>
      <c r="F7738" t="inlineStr">
        <is>
          <t>110</t>
        </is>
      </c>
      <c r="G7738" t="inlineStr">
        <is>
          <t>18</t>
        </is>
      </c>
      <c r="H7738" t="inlineStr">
        <is>
          <t>0</t>
        </is>
      </c>
      <c r="I7738" t="inlineStr">
        <is>
          <t>165²</t>
        </is>
      </c>
      <c r="J7738" t="n">
        <v>2</v>
      </c>
      <c r="K7738" t="inlineStr">
        <is>
          <t>4¹, 8², 20², 40⁴</t>
        </is>
      </c>
      <c r="L7738" t="inlineStr">
        <is>
          <t>15D¹, 33A¹, 55A⁷</t>
        </is>
      </c>
      <c r="M7738" t="inlineStr"/>
      <c r="N7738" t="inlineStr">
        <is>
          <t>11A⁰, 55A⁷, 15D¹, 33A¹, 5C⁰, 3A⁰, 1A⁰</t>
        </is>
      </c>
      <c r="O7738" t="inlineStr"/>
    </row>
    <row r="7739">
      <c r="A7739">
        <f>HYPERLINK("https://mathstats.uncg.edu/sites/pauli/congruence/csg23.html#group168A23", "168A²³")</f>
        <v/>
      </c>
      <c r="B7739" t="n">
        <v>23</v>
      </c>
      <c r="C7739" t="inlineStr"/>
      <c r="D7739" t="inlineStr">
        <is>
          <t>288</t>
        </is>
      </c>
      <c r="E7739" t="inlineStr">
        <is>
          <t>1</t>
        </is>
      </c>
      <c r="F7739" t="inlineStr">
        <is>
          <t>24</t>
        </is>
      </c>
      <c r="G7739" t="inlineStr">
        <is>
          <t>0</t>
        </is>
      </c>
      <c r="H7739" t="inlineStr">
        <is>
          <t>0</t>
        </is>
      </c>
      <c r="I7739" t="inlineStr">
        <is>
          <t>12¹, 24¹, 84¹, 168¹</t>
        </is>
      </c>
      <c r="J7739" t="n">
        <v>4</v>
      </c>
      <c r="K7739" t="inlineStr">
        <is>
          <t>1⁶, 6³</t>
        </is>
      </c>
      <c r="L7739" t="inlineStr">
        <is>
          <t>24A⁰, 56B⁷, 84A¹¹</t>
        </is>
      </c>
      <c r="M7739" t="inlineStr"/>
      <c r="N7739" t="inlineStr">
        <is>
          <t>28C³, 12C⁰, 4C⁰, 8B⁰, 2B⁰, 1A⁰, 56B⁷, 21A², 24A⁰, 42A⁵, 7B⁰, 14C¹, 84A¹¹, 3A⁰, 6D⁰</t>
        </is>
      </c>
      <c r="O7739" t="inlineStr"/>
    </row>
    <row r="7740">
      <c r="A7740">
        <f>HYPERLINK("https://mathstats.uncg.edu/sites/pauli/congruence/csg23.html#group168B23", "168B²³")</f>
        <v/>
      </c>
      <c r="B7740" t="n">
        <v>23</v>
      </c>
      <c r="C7740" t="inlineStr"/>
      <c r="D7740" t="inlineStr">
        <is>
          <t>288</t>
        </is>
      </c>
      <c r="E7740" t="inlineStr">
        <is>
          <t>1</t>
        </is>
      </c>
      <c r="F7740" t="inlineStr">
        <is>
          <t>24</t>
        </is>
      </c>
      <c r="G7740" t="inlineStr">
        <is>
          <t>0</t>
        </is>
      </c>
      <c r="H7740" t="inlineStr">
        <is>
          <t>0</t>
        </is>
      </c>
      <c r="I7740" t="inlineStr">
        <is>
          <t>12¹, 24¹, 84¹, 168¹</t>
        </is>
      </c>
      <c r="J7740" t="n">
        <v>4</v>
      </c>
      <c r="K7740" t="inlineStr">
        <is>
          <t>1⁶, 6³</t>
        </is>
      </c>
      <c r="L7740" t="inlineStr">
        <is>
          <t>24A³, 56C⁷, 84A¹¹</t>
        </is>
      </c>
      <c r="M7740" t="inlineStr"/>
      <c r="N7740" t="inlineStr">
        <is>
          <t>24A³, 8A¹, 12C⁰, 3A⁰, 4C⁰, 2B⁰, 1A⁰, 21A², 42A⁵, 7B⁰, 14C¹, 56C⁷, 84A¹¹, 28C³, 6D⁰</t>
        </is>
      </c>
      <c r="O7740" t="inlineStr"/>
    </row>
    <row r="7741">
      <c r="A7741">
        <f>HYPERLINK("https://mathstats.uncg.edu/sites/pauli/congruence/csg23.html#group168C23", "168C²³")</f>
        <v/>
      </c>
      <c r="B7741" t="n">
        <v>23</v>
      </c>
      <c r="C7741" t="inlineStr"/>
      <c r="D7741" t="inlineStr">
        <is>
          <t>288</t>
        </is>
      </c>
      <c r="E7741" t="inlineStr">
        <is>
          <t>1</t>
        </is>
      </c>
      <c r="F7741" t="inlineStr">
        <is>
          <t>72</t>
        </is>
      </c>
      <c r="G7741" t="inlineStr">
        <is>
          <t>0</t>
        </is>
      </c>
      <c r="H7741" t="inlineStr">
        <is>
          <t>0</t>
        </is>
      </c>
      <c r="I7741" t="inlineStr">
        <is>
          <t>12¹, 24¹, 84¹, 168¹</t>
        </is>
      </c>
      <c r="J7741" t="n">
        <v>4</v>
      </c>
      <c r="K7741" t="inlineStr">
        <is>
          <t>1⁶, 2⁶, 6³, 12³</t>
        </is>
      </c>
      <c r="L7741" t="inlineStr">
        <is>
          <t>24D¹, 84A¹¹</t>
        </is>
      </c>
      <c r="M7741" t="inlineStr"/>
      <c r="N7741" t="inlineStr">
        <is>
          <t>28C³, 12C⁰, 21A², 42A⁵, 7B⁰, 4C⁰, 24D¹, 14C¹, 2B⁰, 84A¹¹, 3A⁰, 1A⁰, 6D⁰</t>
        </is>
      </c>
      <c r="O7741" t="inlineStr"/>
    </row>
    <row r="7742">
      <c r="A7742">
        <f>HYPERLINK("https://mathstats.uncg.edu/sites/pauli/congruence/csg23.html#group168D23", "168D²³")</f>
        <v/>
      </c>
      <c r="B7742" t="n">
        <v>23</v>
      </c>
      <c r="C7742" t="inlineStr"/>
      <c r="D7742" t="inlineStr">
        <is>
          <t>288</t>
        </is>
      </c>
      <c r="E7742" t="inlineStr">
        <is>
          <t>1</t>
        </is>
      </c>
      <c r="F7742" t="inlineStr">
        <is>
          <t>72</t>
        </is>
      </c>
      <c r="G7742" t="inlineStr">
        <is>
          <t>0</t>
        </is>
      </c>
      <c r="H7742" t="inlineStr">
        <is>
          <t>0</t>
        </is>
      </c>
      <c r="I7742" t="inlineStr">
        <is>
          <t>12¹, 24¹, 84¹, 168¹</t>
        </is>
      </c>
      <c r="J7742" t="n">
        <v>4</v>
      </c>
      <c r="K7742" t="inlineStr">
        <is>
          <t>1⁶, 2⁶, 6³, 12³</t>
        </is>
      </c>
      <c r="L7742" t="inlineStr">
        <is>
          <t>24C², 84A¹¹</t>
        </is>
      </c>
      <c r="M7742" t="inlineStr"/>
      <c r="N7742" t="inlineStr">
        <is>
          <t>28C³, 12C⁰, 4C⁰, 2B⁰, 24C², 1A⁰, 21A², 42A⁵, 7B⁰, 14C¹, 84A¹¹, 3A⁰, 6D⁰</t>
        </is>
      </c>
      <c r="O7742" t="inlineStr"/>
    </row>
    <row r="7743">
      <c r="A7743">
        <f>HYPERLINK("https://mathstats.uncg.edu/sites/pauli/congruence/csg23.html#group168E23", "168E²³")</f>
        <v/>
      </c>
      <c r="B7743" t="n">
        <v>23</v>
      </c>
      <c r="C7743" t="inlineStr"/>
      <c r="D7743" t="inlineStr">
        <is>
          <t>288</t>
        </is>
      </c>
      <c r="E7743" t="inlineStr">
        <is>
          <t>2</t>
        </is>
      </c>
      <c r="F7743" t="inlineStr">
        <is>
          <t>24</t>
        </is>
      </c>
      <c r="G7743" t="inlineStr">
        <is>
          <t>0</t>
        </is>
      </c>
      <c r="H7743" t="inlineStr">
        <is>
          <t>0</t>
        </is>
      </c>
      <c r="I7743" t="inlineStr">
        <is>
          <t>12¹, 24¹, 84¹, 168¹</t>
        </is>
      </c>
      <c r="J7743" t="n">
        <v>4</v>
      </c>
      <c r="K7743" t="inlineStr">
        <is>
          <t>2⁶, 12³</t>
        </is>
      </c>
      <c r="L7743" t="inlineStr">
        <is>
          <t>56B⁷, 84C¹¹</t>
        </is>
      </c>
      <c r="M7743" t="inlineStr"/>
      <c r="N7743" t="inlineStr">
        <is>
          <t>84C¹¹, 42B⁵, 7B⁰, 21A¹, 4C⁰, 14C¹, 8B⁰, 2B⁰, 28C³, 1A⁰, 56B⁷</t>
        </is>
      </c>
      <c r="O7743" t="inlineStr"/>
    </row>
    <row r="7744">
      <c r="A7744">
        <f>HYPERLINK("https://mathstats.uncg.edu/sites/pauli/congruence/csg23.html#group168F23", "168F²³")</f>
        <v/>
      </c>
      <c r="B7744" t="n">
        <v>23</v>
      </c>
      <c r="C7744" t="inlineStr"/>
      <c r="D7744" t="inlineStr">
        <is>
          <t>288</t>
        </is>
      </c>
      <c r="E7744" t="inlineStr">
        <is>
          <t>2</t>
        </is>
      </c>
      <c r="F7744" t="inlineStr">
        <is>
          <t>24</t>
        </is>
      </c>
      <c r="G7744" t="inlineStr">
        <is>
          <t>0</t>
        </is>
      </c>
      <c r="H7744" t="inlineStr">
        <is>
          <t>0</t>
        </is>
      </c>
      <c r="I7744" t="inlineStr">
        <is>
          <t>12¹, 24¹, 84¹, 168¹</t>
        </is>
      </c>
      <c r="J7744" t="n">
        <v>4</v>
      </c>
      <c r="K7744" t="inlineStr">
        <is>
          <t>2⁶, 12³</t>
        </is>
      </c>
      <c r="L7744" t="inlineStr">
        <is>
          <t>56C⁷, 84C¹¹</t>
        </is>
      </c>
      <c r="M7744" t="inlineStr"/>
      <c r="N7744" t="inlineStr">
        <is>
          <t>84C¹¹, 8A¹, 42B⁵, 7B⁰, 4C⁰, 14C¹, 2B⁰, 56C⁷, 28C³, 1A⁰, 21A¹</t>
        </is>
      </c>
      <c r="O7744" t="inlineStr"/>
    </row>
    <row r="7745">
      <c r="A7745">
        <f>HYPERLINK("https://mathstats.uncg.edu/sites/pauli/congruence/csg23.html#group168G23", "168G²³")</f>
        <v/>
      </c>
      <c r="B7745" t="n">
        <v>23</v>
      </c>
      <c r="C7745" t="inlineStr"/>
      <c r="D7745" t="inlineStr">
        <is>
          <t>336</t>
        </is>
      </c>
      <c r="E7745" t="inlineStr">
        <is>
          <t>2</t>
        </is>
      </c>
      <c r="F7745" t="inlineStr">
        <is>
          <t>56</t>
        </is>
      </c>
      <c r="G7745" t="inlineStr">
        <is>
          <t>12</t>
        </is>
      </c>
      <c r="H7745" t="inlineStr">
        <is>
          <t>6</t>
        </is>
      </c>
      <c r="I7745" t="inlineStr">
        <is>
          <t>168²</t>
        </is>
      </c>
      <c r="J7745" t="n">
        <v>2</v>
      </c>
      <c r="K7745" t="inlineStr">
        <is>
          <t>16², 48⁴</t>
        </is>
      </c>
      <c r="L7745" t="inlineStr">
        <is>
          <t>56D⁷, 84E¹⁰</t>
        </is>
      </c>
      <c r="M7745" t="inlineStr"/>
      <c r="N7745" t="inlineStr">
        <is>
          <t>28D³, 56D³, 56D⁷, 4A⁰, 7C⁰, 21C¹, 8A⁰, 28A¹, 1A⁰, 84E¹⁰, 7A⁰, 56A³</t>
        </is>
      </c>
      <c r="O7745" t="inlineStr"/>
    </row>
    <row r="7746">
      <c r="A7746">
        <f>HYPERLINK("https://mathstats.uncg.edu/sites/pauli/congruence/csg23.html#group168H23", "168H²³")</f>
        <v/>
      </c>
      <c r="B7746" t="n">
        <v>23</v>
      </c>
      <c r="C7746" t="inlineStr"/>
      <c r="D7746" t="inlineStr">
        <is>
          <t>336</t>
        </is>
      </c>
      <c r="E7746" t="inlineStr">
        <is>
          <t>2</t>
        </is>
      </c>
      <c r="F7746" t="inlineStr">
        <is>
          <t>56</t>
        </is>
      </c>
      <c r="G7746" t="inlineStr">
        <is>
          <t>12</t>
        </is>
      </c>
      <c r="H7746" t="inlineStr">
        <is>
          <t>6</t>
        </is>
      </c>
      <c r="I7746" t="inlineStr">
        <is>
          <t>168²</t>
        </is>
      </c>
      <c r="J7746" t="n">
        <v>2</v>
      </c>
      <c r="K7746" t="inlineStr">
        <is>
          <t>16², 48⁴</t>
        </is>
      </c>
      <c r="L7746" t="inlineStr">
        <is>
          <t>56E⁷, 84E¹⁰</t>
        </is>
      </c>
      <c r="M7746" t="inlineStr"/>
      <c r="N7746" t="inlineStr">
        <is>
          <t>28D³, 56E⁷, 56B³, 4A⁰, 7C⁰, 21C¹, 8A⁰, 56C³, 28A¹, 1A⁰, 84E¹⁰, 7A⁰</t>
        </is>
      </c>
      <c r="O7746" t="inlineStr"/>
    </row>
    <row r="7747">
      <c r="A7747">
        <f>HYPERLINK("https://mathstats.uncg.edu/sites/pauli/congruence/csg23.html#group168I23", "168I²³")</f>
        <v/>
      </c>
      <c r="B7747" t="n">
        <v>23</v>
      </c>
      <c r="C7747" t="inlineStr"/>
      <c r="D7747" t="inlineStr">
        <is>
          <t>336</t>
        </is>
      </c>
      <c r="E7747" t="inlineStr">
        <is>
          <t>2</t>
        </is>
      </c>
      <c r="F7747" t="inlineStr">
        <is>
          <t>84</t>
        </is>
      </c>
      <c r="G7747" t="inlineStr">
        <is>
          <t>20</t>
        </is>
      </c>
      <c r="H7747" t="inlineStr">
        <is>
          <t>0</t>
        </is>
      </c>
      <c r="I7747" t="inlineStr">
        <is>
          <t>168²</t>
        </is>
      </c>
      <c r="J7747" t="n">
        <v>2</v>
      </c>
      <c r="K7747" t="inlineStr">
        <is>
          <t>8², 16², 24⁴, 48⁴</t>
        </is>
      </c>
      <c r="L7747" t="inlineStr">
        <is>
          <t>84E⁹, 168A¹⁰, 168G¹⁰</t>
        </is>
      </c>
      <c r="M7747" t="inlineStr"/>
      <c r="N7747" t="inlineStr">
        <is>
          <t>168G¹⁰, 84A³, 12A⁰, 4A⁰, 21D¹, 168A¹⁰, 21A⁰, 84E⁹, 24B¹, 3A⁰, 28A¹, 1A⁰, 7A⁰, 56A³</t>
        </is>
      </c>
      <c r="O7747" t="inlineStr"/>
    </row>
    <row r="7748">
      <c r="A7748">
        <f>HYPERLINK("https://mathstats.uncg.edu/sites/pauli/congruence/csg23.html#group168J23", "168J²³")</f>
        <v/>
      </c>
      <c r="B7748" t="n">
        <v>23</v>
      </c>
      <c r="C7748" t="inlineStr"/>
      <c r="D7748" t="inlineStr">
        <is>
          <t>336</t>
        </is>
      </c>
      <c r="E7748" t="inlineStr">
        <is>
          <t>2</t>
        </is>
      </c>
      <c r="F7748" t="inlineStr">
        <is>
          <t>84</t>
        </is>
      </c>
      <c r="G7748" t="inlineStr">
        <is>
          <t>20</t>
        </is>
      </c>
      <c r="H7748" t="inlineStr">
        <is>
          <t>0</t>
        </is>
      </c>
      <c r="I7748" t="inlineStr">
        <is>
          <t>168²</t>
        </is>
      </c>
      <c r="J7748" t="n">
        <v>2</v>
      </c>
      <c r="K7748" t="inlineStr">
        <is>
          <t>8², 16², 24⁴, 48⁴</t>
        </is>
      </c>
      <c r="L7748" t="inlineStr">
        <is>
          <t>84E⁹, 168B¹⁰, 168H¹⁰</t>
        </is>
      </c>
      <c r="M7748" t="inlineStr"/>
      <c r="N7748" t="inlineStr">
        <is>
          <t>84A³, 168H¹⁰, 56B³, 12A⁰, 4A⁰, 21D¹, 21A⁰, 168B¹⁰, 84E⁹, 24B¹, 3A⁰, 28A¹, 1A⁰, 7A⁰</t>
        </is>
      </c>
      <c r="O7748" t="inlineStr"/>
    </row>
    <row r="7749">
      <c r="A7749">
        <f>HYPERLINK("https://mathstats.uncg.edu/sites/pauli/congruence/csg23.html#group168K23", "168K²³")</f>
        <v/>
      </c>
      <c r="B7749" t="n">
        <v>23</v>
      </c>
      <c r="C7749" t="inlineStr"/>
      <c r="D7749" t="inlineStr">
        <is>
          <t>336</t>
        </is>
      </c>
      <c r="E7749" t="inlineStr">
        <is>
          <t>2</t>
        </is>
      </c>
      <c r="F7749" t="inlineStr">
        <is>
          <t>84</t>
        </is>
      </c>
      <c r="G7749" t="inlineStr">
        <is>
          <t>20</t>
        </is>
      </c>
      <c r="H7749" t="inlineStr">
        <is>
          <t>0</t>
        </is>
      </c>
      <c r="I7749" t="inlineStr">
        <is>
          <t>168²</t>
        </is>
      </c>
      <c r="J7749" t="n">
        <v>2</v>
      </c>
      <c r="K7749" t="inlineStr">
        <is>
          <t>8², 16², 24⁴, 48⁴</t>
        </is>
      </c>
      <c r="L7749" t="inlineStr">
        <is>
          <t>84E⁹, 168C¹⁰, 168E¹⁰</t>
        </is>
      </c>
      <c r="M7749" t="inlineStr"/>
      <c r="N7749" t="inlineStr">
        <is>
          <t>21D¹, 8A⁰, 21A⁰, 1A⁰, 84A³, 168E¹⁰, 168C¹⁰, 12A⁰, 24A¹, 4A⁰, 84E⁹, 56C³, 3A⁰, 28A¹, 7A⁰</t>
        </is>
      </c>
      <c r="O7749" t="inlineStr"/>
    </row>
    <row r="7750">
      <c r="A7750">
        <f>HYPERLINK("https://mathstats.uncg.edu/sites/pauli/congruence/csg23.html#group168L23", "168L²³")</f>
        <v/>
      </c>
      <c r="B7750" t="n">
        <v>23</v>
      </c>
      <c r="C7750" t="inlineStr"/>
      <c r="D7750" t="inlineStr">
        <is>
          <t>336</t>
        </is>
      </c>
      <c r="E7750" t="inlineStr">
        <is>
          <t>2</t>
        </is>
      </c>
      <c r="F7750" t="inlineStr">
        <is>
          <t>84</t>
        </is>
      </c>
      <c r="G7750" t="inlineStr">
        <is>
          <t>20</t>
        </is>
      </c>
      <c r="H7750" t="inlineStr">
        <is>
          <t>0</t>
        </is>
      </c>
      <c r="I7750" t="inlineStr">
        <is>
          <t>168²</t>
        </is>
      </c>
      <c r="J7750" t="n">
        <v>2</v>
      </c>
      <c r="K7750" t="inlineStr">
        <is>
          <t>8², 16², 24⁴, 48⁴</t>
        </is>
      </c>
      <c r="L7750" t="inlineStr">
        <is>
          <t>84E⁹, 168D¹⁰, 168F¹⁰</t>
        </is>
      </c>
      <c r="M7750" t="inlineStr"/>
      <c r="N7750" t="inlineStr">
        <is>
          <t>56D³, 21D¹, 8A⁰, 21A⁰, 1A⁰, 168F¹⁰, 84A³, 12A⁰, 24A¹, 4A⁰, 84E⁹, 168D¹⁰, 3A⁰, 28A¹, 7A⁰</t>
        </is>
      </c>
      <c r="O7750" t="inlineStr"/>
    </row>
    <row r="7751">
      <c r="A7751">
        <f>HYPERLINK("https://mathstats.uncg.edu/sites/pauli/congruence/csg23.html#group168M23", "168M²³")</f>
        <v/>
      </c>
      <c r="B7751" t="n">
        <v>23</v>
      </c>
      <c r="C7751" t="inlineStr"/>
      <c r="D7751" t="inlineStr">
        <is>
          <t>336</t>
        </is>
      </c>
      <c r="E7751" t="inlineStr">
        <is>
          <t>2</t>
        </is>
      </c>
      <c r="F7751" t="inlineStr">
        <is>
          <t>84</t>
        </is>
      </c>
      <c r="G7751" t="inlineStr">
        <is>
          <t>20</t>
        </is>
      </c>
      <c r="H7751" t="inlineStr">
        <is>
          <t>0</t>
        </is>
      </c>
      <c r="I7751" t="inlineStr">
        <is>
          <t>168²</t>
        </is>
      </c>
      <c r="J7751" t="n">
        <v>2</v>
      </c>
      <c r="K7751" t="inlineStr">
        <is>
          <t>16⁶, 48¹²</t>
        </is>
      </c>
      <c r="L7751" t="inlineStr">
        <is>
          <t>84E⁹, 168E¹⁰, 168H¹⁰</t>
        </is>
      </c>
      <c r="M7751" t="inlineStr"/>
      <c r="N7751" t="inlineStr">
        <is>
          <t>84A³, 168H¹⁰, 168E¹⁰, 12A⁰, 4A⁰, 21D¹, 21A⁰, 84E⁹, 24B¹, 3A⁰, 28A¹, 1A⁰, 7A⁰</t>
        </is>
      </c>
      <c r="O7751" t="inlineStr"/>
    </row>
    <row r="7752">
      <c r="A7752">
        <f>HYPERLINK("https://mathstats.uncg.edu/sites/pauli/congruence/csg23.html#group168N23", "168N²³")</f>
        <v/>
      </c>
      <c r="B7752" t="n">
        <v>23</v>
      </c>
      <c r="C7752" t="inlineStr"/>
      <c r="D7752" t="inlineStr">
        <is>
          <t>336</t>
        </is>
      </c>
      <c r="E7752" t="inlineStr">
        <is>
          <t>2</t>
        </is>
      </c>
      <c r="F7752" t="inlineStr">
        <is>
          <t>84</t>
        </is>
      </c>
      <c r="G7752" t="inlineStr">
        <is>
          <t>20</t>
        </is>
      </c>
      <c r="H7752" t="inlineStr">
        <is>
          <t>0</t>
        </is>
      </c>
      <c r="I7752" t="inlineStr">
        <is>
          <t>168²</t>
        </is>
      </c>
      <c r="J7752" t="n">
        <v>2</v>
      </c>
      <c r="K7752" t="inlineStr">
        <is>
          <t>16⁶, 48¹²</t>
        </is>
      </c>
      <c r="L7752" t="inlineStr">
        <is>
          <t>84E⁹, 168E¹⁰, 168H¹⁰</t>
        </is>
      </c>
      <c r="M7752" t="inlineStr"/>
      <c r="N7752" t="inlineStr">
        <is>
          <t>84A³, 168H¹⁰, 168E¹⁰, 12A⁰, 4A⁰, 21D¹, 21A⁰, 84E⁹, 24B¹, 3A⁰, 28A¹, 1A⁰, 7A⁰</t>
        </is>
      </c>
      <c r="O7752" t="inlineStr"/>
    </row>
    <row r="7753">
      <c r="A7753">
        <f>HYPERLINK("https://mathstats.uncg.edu/sites/pauli/congruence/csg23.html#group168O23", "168O²³")</f>
        <v/>
      </c>
      <c r="B7753" t="n">
        <v>23</v>
      </c>
      <c r="C7753" t="inlineStr"/>
      <c r="D7753" t="inlineStr">
        <is>
          <t>336</t>
        </is>
      </c>
      <c r="E7753" t="inlineStr">
        <is>
          <t>2</t>
        </is>
      </c>
      <c r="F7753" t="inlineStr">
        <is>
          <t>84</t>
        </is>
      </c>
      <c r="G7753" t="inlineStr">
        <is>
          <t>20</t>
        </is>
      </c>
      <c r="H7753" t="inlineStr">
        <is>
          <t>0</t>
        </is>
      </c>
      <c r="I7753" t="inlineStr">
        <is>
          <t>168²</t>
        </is>
      </c>
      <c r="J7753" t="n">
        <v>2</v>
      </c>
      <c r="K7753" t="inlineStr">
        <is>
          <t>16⁶, 48¹²</t>
        </is>
      </c>
      <c r="L7753" t="inlineStr">
        <is>
          <t>84E⁹, 168F¹⁰, 168G¹⁰</t>
        </is>
      </c>
      <c r="M7753" t="inlineStr"/>
      <c r="N7753" t="inlineStr">
        <is>
          <t>168G¹⁰, 168F¹⁰, 84A³, 12A⁰, 4A⁰, 21D¹, 21A⁰, 84E⁹, 24B¹, 3A⁰, 28A¹, 1A⁰, 7A⁰</t>
        </is>
      </c>
      <c r="O7753" t="inlineStr"/>
    </row>
    <row r="7754">
      <c r="A7754">
        <f>HYPERLINK("https://mathstats.uncg.edu/sites/pauli/congruence/csg23.html#group168P23", "168P²³")</f>
        <v/>
      </c>
      <c r="B7754" t="n">
        <v>23</v>
      </c>
      <c r="C7754" t="inlineStr"/>
      <c r="D7754" t="inlineStr">
        <is>
          <t>336</t>
        </is>
      </c>
      <c r="E7754" t="inlineStr">
        <is>
          <t>2</t>
        </is>
      </c>
      <c r="F7754" t="inlineStr">
        <is>
          <t>84</t>
        </is>
      </c>
      <c r="G7754" t="inlineStr">
        <is>
          <t>20</t>
        </is>
      </c>
      <c r="H7754" t="inlineStr">
        <is>
          <t>0</t>
        </is>
      </c>
      <c r="I7754" t="inlineStr">
        <is>
          <t>168²</t>
        </is>
      </c>
      <c r="J7754" t="n">
        <v>2</v>
      </c>
      <c r="K7754" t="inlineStr">
        <is>
          <t>16⁶, 48¹²</t>
        </is>
      </c>
      <c r="L7754" t="inlineStr">
        <is>
          <t>84E⁹, 168F¹⁰, 168G¹⁰</t>
        </is>
      </c>
      <c r="M7754" t="inlineStr"/>
      <c r="N7754" t="inlineStr">
        <is>
          <t>168G¹⁰, 168F¹⁰, 84A³, 12A⁰, 4A⁰, 21D¹, 21A⁰, 84E⁹, 24B¹, 3A⁰, 28A¹, 1A⁰, 7A⁰</t>
        </is>
      </c>
      <c r="O7754" t="inlineStr"/>
    </row>
    <row r="7755">
      <c r="A7755">
        <f>HYPERLINK("https://mathstats.uncg.edu/sites/pauli/congruence/csg23.html#group168Q23", "168Q²³")</f>
        <v/>
      </c>
      <c r="B7755" t="n">
        <v>23</v>
      </c>
      <c r="C7755" t="inlineStr"/>
      <c r="D7755" t="inlineStr">
        <is>
          <t>384</t>
        </is>
      </c>
      <c r="E7755" t="inlineStr">
        <is>
          <t>1</t>
        </is>
      </c>
      <c r="F7755" t="inlineStr">
        <is>
          <t>96</t>
        </is>
      </c>
      <c r="G7755" t="inlineStr">
        <is>
          <t>0</t>
        </is>
      </c>
      <c r="H7755" t="inlineStr">
        <is>
          <t>0</t>
        </is>
      </c>
      <c r="I7755" t="inlineStr">
        <is>
          <t>1⁴, 3⁴, 7⁴, 8¹, 21⁴, 24¹, 56¹, 168¹</t>
        </is>
      </c>
      <c r="J7755" t="n">
        <v>20</v>
      </c>
      <c r="K7755" t="inlineStr">
        <is>
          <t>1¹², 2⁶, 6⁶, 12³</t>
        </is>
      </c>
      <c r="L7755" t="inlineStr">
        <is>
          <t>24B⁰, 84I¹¹</t>
        </is>
      </c>
      <c r="M7755" t="inlineStr"/>
      <c r="N7755" t="inlineStr">
        <is>
          <t>3B⁰, 28D², 2B⁰, 4B⁰, 42G⁵, 1A⁰, 84I¹¹, 21B¹, 24B⁰, 7B⁰, 14C¹, 6F⁰, 12E⁰</t>
        </is>
      </c>
      <c r="O7755" t="inlineStr"/>
    </row>
    <row r="7756">
      <c r="A7756">
        <f>HYPERLINK("https://mathstats.uncg.edu/sites/pauli/congruence/csg23.html#group168R23", "168R²³")</f>
        <v/>
      </c>
      <c r="B7756" t="n">
        <v>23</v>
      </c>
      <c r="C7756" t="inlineStr"/>
      <c r="D7756" t="inlineStr">
        <is>
          <t>384</t>
        </is>
      </c>
      <c r="E7756" t="inlineStr">
        <is>
          <t>1</t>
        </is>
      </c>
      <c r="F7756" t="inlineStr">
        <is>
          <t>96</t>
        </is>
      </c>
      <c r="G7756" t="inlineStr">
        <is>
          <t>0</t>
        </is>
      </c>
      <c r="H7756" t="inlineStr">
        <is>
          <t>0</t>
        </is>
      </c>
      <c r="I7756" t="inlineStr">
        <is>
          <t>1⁴, 3⁴, 7⁴, 8¹, 21⁴, 24¹, 56¹, 168¹</t>
        </is>
      </c>
      <c r="J7756" t="n">
        <v>20</v>
      </c>
      <c r="K7756" t="inlineStr">
        <is>
          <t>1¹², 2⁶, 6⁶, 12³</t>
        </is>
      </c>
      <c r="L7756" t="inlineStr">
        <is>
          <t>56C⁴, 84I¹¹</t>
        </is>
      </c>
      <c r="M7756" t="inlineStr"/>
      <c r="N7756" t="inlineStr">
        <is>
          <t>3B⁰, 56C⁴, 21B¹, 7B⁰, 28D², 14C¹, 42G⁵, 6F⁰, 1A⁰, 2B⁰, 4B⁰, 84I¹¹, 12E⁰</t>
        </is>
      </c>
      <c r="O7756" t="inlineStr"/>
    </row>
    <row r="7757">
      <c r="A7757">
        <f>HYPERLINK("https://mathstats.uncg.edu/sites/pauli/congruence/csg23.html#group170A23", "170A²³")</f>
        <v/>
      </c>
      <c r="B7757" t="n">
        <v>23</v>
      </c>
      <c r="C7757" t="inlineStr">
        <is>
          <t>Γ₀(170)</t>
        </is>
      </c>
      <c r="D7757" t="inlineStr">
        <is>
          <t>324</t>
        </is>
      </c>
      <c r="E7757" t="inlineStr">
        <is>
          <t>1</t>
        </is>
      </c>
      <c r="F7757" t="inlineStr">
        <is>
          <t>324</t>
        </is>
      </c>
      <c r="G7757" t="inlineStr">
        <is>
          <t>4</t>
        </is>
      </c>
      <c r="H7757" t="inlineStr">
        <is>
          <t>0</t>
        </is>
      </c>
      <c r="I7757" t="inlineStr">
        <is>
          <t>1¹, 2¹, 5¹, 10¹, 17¹, 34¹, 85¹, 170¹</t>
        </is>
      </c>
      <c r="J7757" t="n">
        <v>8</v>
      </c>
      <c r="K7757" t="inlineStr">
        <is>
          <t>1¹², 4⁶, 16⁶, 64³</t>
        </is>
      </c>
      <c r="L7757" t="inlineStr">
        <is>
          <t>10C⁰, 34C³, 85B⁷</t>
        </is>
      </c>
      <c r="M7757" t="inlineStr"/>
      <c r="N7757" t="inlineStr">
        <is>
          <t>34C³, 5B⁰, 10C⁰, 17A¹, 2B⁰, 85B⁷, 1A⁰</t>
        </is>
      </c>
      <c r="O7757" t="inlineStr"/>
    </row>
    <row r="7758">
      <c r="A7758">
        <f>HYPERLINK("https://mathstats.uncg.edu/sites/pauli/congruence/csg23.html#group176A23", "176A²³")</f>
        <v/>
      </c>
      <c r="B7758" t="n">
        <v>23</v>
      </c>
      <c r="C7758" t="inlineStr"/>
      <c r="D7758" t="inlineStr">
        <is>
          <t>288</t>
        </is>
      </c>
      <c r="E7758" t="inlineStr">
        <is>
          <t>1</t>
        </is>
      </c>
      <c r="F7758" t="inlineStr">
        <is>
          <t>36</t>
        </is>
      </c>
      <c r="G7758" t="inlineStr">
        <is>
          <t>0</t>
        </is>
      </c>
      <c r="H7758" t="inlineStr">
        <is>
          <t>0</t>
        </is>
      </c>
      <c r="I7758" t="inlineStr">
        <is>
          <t>8¹, 16¹, 88¹, 176¹</t>
        </is>
      </c>
      <c r="J7758" t="n">
        <v>4</v>
      </c>
      <c r="K7758" t="inlineStr">
        <is>
          <t>1⁶, 10³</t>
        </is>
      </c>
      <c r="L7758" t="inlineStr">
        <is>
          <t>88C¹¹</t>
        </is>
      </c>
      <c r="M7758" t="inlineStr"/>
      <c r="N7758" t="inlineStr">
        <is>
          <t>8A¹, 11A¹, 4C⁰, 88C¹¹, 44B⁵, 2B⁰, 22C², 1A⁰</t>
        </is>
      </c>
      <c r="O7758" t="inlineStr"/>
    </row>
    <row r="7759">
      <c r="A7759">
        <f>HYPERLINK("https://mathstats.uncg.edu/sites/pauli/congruence/csg23.html#group176B23", "176B²³")</f>
        <v/>
      </c>
      <c r="B7759" t="n">
        <v>23</v>
      </c>
      <c r="C7759" t="inlineStr"/>
      <c r="D7759" t="inlineStr">
        <is>
          <t>288</t>
        </is>
      </c>
      <c r="E7759" t="inlineStr">
        <is>
          <t>1</t>
        </is>
      </c>
      <c r="F7759" t="inlineStr">
        <is>
          <t>36</t>
        </is>
      </c>
      <c r="G7759" t="inlineStr">
        <is>
          <t>0</t>
        </is>
      </c>
      <c r="H7759" t="inlineStr">
        <is>
          <t>0</t>
        </is>
      </c>
      <c r="I7759" t="inlineStr">
        <is>
          <t>8¹, 16¹, 88¹, 176¹</t>
        </is>
      </c>
      <c r="J7759" t="n">
        <v>4</v>
      </c>
      <c r="K7759" t="inlineStr">
        <is>
          <t>1⁶, 10³</t>
        </is>
      </c>
      <c r="L7759" t="inlineStr">
        <is>
          <t>88C¹¹</t>
        </is>
      </c>
      <c r="M7759" t="inlineStr"/>
      <c r="N7759" t="inlineStr">
        <is>
          <t>8A¹, 11A¹, 4C⁰, 88C¹¹, 44B⁵, 2B⁰, 22C², 1A⁰</t>
        </is>
      </c>
      <c r="O7759" t="inlineStr"/>
    </row>
    <row r="7760">
      <c r="A7760">
        <f>HYPERLINK("https://mathstats.uncg.edu/sites/pauli/congruence/csg23.html#group176C23", "176C²³")</f>
        <v/>
      </c>
      <c r="B7760" t="n">
        <v>23</v>
      </c>
      <c r="C7760" t="inlineStr"/>
      <c r="D7760" t="inlineStr">
        <is>
          <t>288</t>
        </is>
      </c>
      <c r="E7760" t="inlineStr">
        <is>
          <t>1</t>
        </is>
      </c>
      <c r="F7760" t="inlineStr">
        <is>
          <t>36</t>
        </is>
      </c>
      <c r="G7760" t="inlineStr">
        <is>
          <t>0</t>
        </is>
      </c>
      <c r="H7760" t="inlineStr">
        <is>
          <t>0</t>
        </is>
      </c>
      <c r="I7760" t="inlineStr">
        <is>
          <t>8¹, 16¹, 88¹, 176¹</t>
        </is>
      </c>
      <c r="J7760" t="n">
        <v>4</v>
      </c>
      <c r="K7760" t="inlineStr">
        <is>
          <t>1⁶, 10³</t>
        </is>
      </c>
      <c r="L7760" t="inlineStr">
        <is>
          <t>16B⁰, 88B¹¹</t>
        </is>
      </c>
      <c r="M7760" t="inlineStr"/>
      <c r="N7760" t="inlineStr">
        <is>
          <t>16B⁰, 11A¹, 88B¹¹, 4C⁰, 8B⁰, 44B⁵, 2B⁰, 22C², 1A⁰</t>
        </is>
      </c>
      <c r="O7760" t="inlineStr"/>
    </row>
    <row r="7761">
      <c r="A7761">
        <f>HYPERLINK("https://mathstats.uncg.edu/sites/pauli/congruence/csg23.html#group176D23", "176D²³")</f>
        <v/>
      </c>
      <c r="B7761" t="n">
        <v>23</v>
      </c>
      <c r="C7761" t="inlineStr"/>
      <c r="D7761" t="inlineStr">
        <is>
          <t>288</t>
        </is>
      </c>
      <c r="E7761" t="inlineStr">
        <is>
          <t>1</t>
        </is>
      </c>
      <c r="F7761" t="inlineStr">
        <is>
          <t>36</t>
        </is>
      </c>
      <c r="G7761" t="inlineStr">
        <is>
          <t>0</t>
        </is>
      </c>
      <c r="H7761" t="inlineStr">
        <is>
          <t>0</t>
        </is>
      </c>
      <c r="I7761" t="inlineStr">
        <is>
          <t>8¹, 16¹, 88¹, 176¹</t>
        </is>
      </c>
      <c r="J7761" t="n">
        <v>4</v>
      </c>
      <c r="K7761" t="inlineStr">
        <is>
          <t>1⁶, 10³</t>
        </is>
      </c>
      <c r="L7761" t="inlineStr">
        <is>
          <t>16A², 88B¹¹</t>
        </is>
      </c>
      <c r="M7761" t="inlineStr"/>
      <c r="N7761" t="inlineStr">
        <is>
          <t>11A¹, 88B¹¹, 4C⁰, 8B⁰, 44B⁵, 2B⁰, 22C², 1A⁰, 16A²</t>
        </is>
      </c>
      <c r="O7761" t="inlineStr"/>
    </row>
    <row r="7762">
      <c r="A7762">
        <f>HYPERLINK("https://mathstats.uncg.edu/sites/pauli/congruence/csg23.html#group176E23", "176E²³")</f>
        <v/>
      </c>
      <c r="B7762" t="n">
        <v>23</v>
      </c>
      <c r="C7762" t="inlineStr"/>
      <c r="D7762" t="inlineStr">
        <is>
          <t>288</t>
        </is>
      </c>
      <c r="E7762" t="inlineStr">
        <is>
          <t>1</t>
        </is>
      </c>
      <c r="F7762" t="inlineStr">
        <is>
          <t>72</t>
        </is>
      </c>
      <c r="G7762" t="inlineStr">
        <is>
          <t>0</t>
        </is>
      </c>
      <c r="H7762" t="inlineStr">
        <is>
          <t>0</t>
        </is>
      </c>
      <c r="I7762" t="inlineStr">
        <is>
          <t>8¹, 16¹, 88¹, 176¹</t>
        </is>
      </c>
      <c r="J7762" t="n">
        <v>4</v>
      </c>
      <c r="K7762" t="inlineStr">
        <is>
          <t>1⁴, 2⁴, 10², 20²</t>
        </is>
      </c>
      <c r="L7762" t="inlineStr">
        <is>
          <t>88C¹¹</t>
        </is>
      </c>
      <c r="M7762" t="inlineStr"/>
      <c r="N7762" t="inlineStr">
        <is>
          <t>8A¹, 11A¹, 4C⁰, 88C¹¹, 44B⁵, 2B⁰, 22C², 1A⁰</t>
        </is>
      </c>
      <c r="O7762" t="inlineStr"/>
    </row>
    <row r="7763">
      <c r="A7763">
        <f>HYPERLINK("https://mathstats.uncg.edu/sites/pauli/congruence/csg23.html#group176F23", "176F²³")</f>
        <v/>
      </c>
      <c r="B7763" t="n">
        <v>23</v>
      </c>
      <c r="C7763" t="inlineStr"/>
      <c r="D7763" t="inlineStr">
        <is>
          <t>288</t>
        </is>
      </c>
      <c r="E7763" t="inlineStr">
        <is>
          <t>1</t>
        </is>
      </c>
      <c r="F7763" t="inlineStr">
        <is>
          <t>72</t>
        </is>
      </c>
      <c r="G7763" t="inlineStr">
        <is>
          <t>0</t>
        </is>
      </c>
      <c r="H7763" t="inlineStr">
        <is>
          <t>0</t>
        </is>
      </c>
      <c r="I7763" t="inlineStr">
        <is>
          <t>8¹, 16¹, 88¹, 176¹</t>
        </is>
      </c>
      <c r="J7763" t="n">
        <v>4</v>
      </c>
      <c r="K7763" t="inlineStr">
        <is>
          <t>1⁴, 2⁴, 10², 20²</t>
        </is>
      </c>
      <c r="L7763" t="inlineStr">
        <is>
          <t>16B¹, 88B¹¹</t>
        </is>
      </c>
      <c r="M7763" t="inlineStr"/>
      <c r="N7763" t="inlineStr">
        <is>
          <t>11A¹, 88B¹¹, 4C⁰, 8B⁰, 16B¹, 44B⁵, 2B⁰, 22C², 1A⁰</t>
        </is>
      </c>
      <c r="O7763" t="inlineStr"/>
    </row>
    <row r="7764">
      <c r="A7764">
        <f>HYPERLINK("https://mathstats.uncg.edu/sites/pauli/congruence/csg23.html#group176G23", "176G²³")</f>
        <v/>
      </c>
      <c r="B7764" t="n">
        <v>23</v>
      </c>
      <c r="C7764" t="inlineStr"/>
      <c r="D7764" t="inlineStr">
        <is>
          <t>288</t>
        </is>
      </c>
      <c r="E7764" t="inlineStr">
        <is>
          <t>1</t>
        </is>
      </c>
      <c r="F7764" t="inlineStr">
        <is>
          <t>144</t>
        </is>
      </c>
      <c r="G7764" t="inlineStr">
        <is>
          <t>0</t>
        </is>
      </c>
      <c r="H7764" t="inlineStr">
        <is>
          <t>0</t>
        </is>
      </c>
      <c r="I7764" t="inlineStr">
        <is>
          <t>8¹, 16¹, 88¹, 176¹</t>
        </is>
      </c>
      <c r="J7764" t="n">
        <v>4</v>
      </c>
      <c r="K7764" t="inlineStr">
        <is>
          <t>1⁸, 2⁴, 4², 10⁴, 20², 40¹</t>
        </is>
      </c>
      <c r="L7764" t="inlineStr">
        <is>
          <t>16D¹, 88B¹¹</t>
        </is>
      </c>
      <c r="M7764" t="inlineStr"/>
      <c r="N7764" t="inlineStr">
        <is>
          <t>16D¹, 11A¹, 88B¹¹, 4C⁰, 8B⁰, 44B⁵, 2B⁰, 22C², 1A⁰</t>
        </is>
      </c>
      <c r="O7764" t="inlineStr"/>
    </row>
    <row r="7765">
      <c r="A7765">
        <f>HYPERLINK("https://mathstats.uncg.edu/sites/pauli/congruence/csg23.html#group176H23", "176H²³")</f>
        <v/>
      </c>
      <c r="B7765" t="n">
        <v>23</v>
      </c>
      <c r="C7765" t="inlineStr"/>
      <c r="D7765" t="inlineStr">
        <is>
          <t>288</t>
        </is>
      </c>
      <c r="E7765" t="inlineStr">
        <is>
          <t>1</t>
        </is>
      </c>
      <c r="F7765" t="inlineStr">
        <is>
          <t>144</t>
        </is>
      </c>
      <c r="G7765" t="inlineStr">
        <is>
          <t>0</t>
        </is>
      </c>
      <c r="H7765" t="inlineStr">
        <is>
          <t>0</t>
        </is>
      </c>
      <c r="I7765" t="inlineStr">
        <is>
          <t>8¹, 16¹, 88¹, 176¹</t>
        </is>
      </c>
      <c r="J7765" t="n">
        <v>4</v>
      </c>
      <c r="K7765" t="inlineStr">
        <is>
          <t>1⁸, 2⁴, 4², 10⁴, 20², 40¹</t>
        </is>
      </c>
      <c r="L7765" t="inlineStr">
        <is>
          <t>16B², 88C¹¹</t>
        </is>
      </c>
      <c r="M7765" t="inlineStr"/>
      <c r="N7765" t="inlineStr">
        <is>
          <t>16B², 8A¹, 11A¹, 4C⁰, 88C¹¹, 44B⁵, 2B⁰, 22C², 1A⁰</t>
        </is>
      </c>
      <c r="O7765" t="inlineStr"/>
    </row>
    <row r="7766">
      <c r="A7766">
        <f>HYPERLINK("https://mathstats.uncg.edu/sites/pauli/congruence/csg23.html#group180A23", "180A²³")</f>
        <v/>
      </c>
      <c r="B7766" t="n">
        <v>23</v>
      </c>
      <c r="C7766" t="inlineStr"/>
      <c r="D7766" t="inlineStr">
        <is>
          <t>288</t>
        </is>
      </c>
      <c r="E7766" t="inlineStr">
        <is>
          <t>1</t>
        </is>
      </c>
      <c r="F7766" t="inlineStr">
        <is>
          <t>24</t>
        </is>
      </c>
      <c r="G7766" t="inlineStr">
        <is>
          <t>0</t>
        </is>
      </c>
      <c r="H7766" t="inlineStr">
        <is>
          <t>0</t>
        </is>
      </c>
      <c r="I7766" t="inlineStr">
        <is>
          <t>12¹, 36¹, 60¹, 180¹</t>
        </is>
      </c>
      <c r="J7766" t="n">
        <v>4</v>
      </c>
      <c r="K7766" t="inlineStr">
        <is>
          <t>1⁴, 2², 4², 8¹</t>
        </is>
      </c>
      <c r="L7766" t="inlineStr">
        <is>
          <t>60D⁷, 90C¹¹</t>
        </is>
      </c>
      <c r="M7766" t="inlineStr"/>
      <c r="N7766" t="inlineStr">
        <is>
          <t>45C⁵, 15C¹, 3B⁰, 2A⁰, 18B⁰, 6C⁰, 90C¹¹, 5B⁰, 10A¹, 1A⁰, 9C⁰, 60D⁷, 30G³</t>
        </is>
      </c>
      <c r="O7766" t="inlineStr"/>
    </row>
    <row r="7767">
      <c r="A7767">
        <f>HYPERLINK("https://mathstats.uncg.edu/sites/pauli/congruence/csg23.html#group180B23", "180B²³")</f>
        <v/>
      </c>
      <c r="B7767" t="n">
        <v>23</v>
      </c>
      <c r="C7767" t="inlineStr"/>
      <c r="D7767" t="inlineStr">
        <is>
          <t>288</t>
        </is>
      </c>
      <c r="E7767" t="inlineStr">
        <is>
          <t>1</t>
        </is>
      </c>
      <c r="F7767" t="inlineStr">
        <is>
          <t>24</t>
        </is>
      </c>
      <c r="G7767" t="inlineStr">
        <is>
          <t>0</t>
        </is>
      </c>
      <c r="H7767" t="inlineStr">
        <is>
          <t>0</t>
        </is>
      </c>
      <c r="I7767" t="inlineStr">
        <is>
          <t>12¹, 36¹, 60¹, 180¹</t>
        </is>
      </c>
      <c r="J7767" t="n">
        <v>4</v>
      </c>
      <c r="K7767" t="inlineStr">
        <is>
          <t>1⁴, 2², 4², 8¹</t>
        </is>
      </c>
      <c r="L7767" t="inlineStr">
        <is>
          <t>60D⁷, 90D¹¹</t>
        </is>
      </c>
      <c r="M7767" t="inlineStr"/>
      <c r="N7767" t="inlineStr">
        <is>
          <t>15C¹, 3B⁰, 2A⁰, 18B², 90D¹¹, 6C⁰, 9A¹, 5B⁰, 10A¹, 1A⁰, 30G³, 60D⁷, 45D⁵</t>
        </is>
      </c>
      <c r="O7767" t="inlineStr"/>
    </row>
    <row r="7768">
      <c r="A7768">
        <f>HYPERLINK("https://mathstats.uncg.edu/sites/pauli/congruence/csg23.html#group180C23", "180C²³")</f>
        <v/>
      </c>
      <c r="B7768" t="n">
        <v>23</v>
      </c>
      <c r="C7768" t="inlineStr"/>
      <c r="D7768" t="inlineStr">
        <is>
          <t>288</t>
        </is>
      </c>
      <c r="E7768" t="inlineStr">
        <is>
          <t>1</t>
        </is>
      </c>
      <c r="F7768" t="inlineStr">
        <is>
          <t>24</t>
        </is>
      </c>
      <c r="G7768" t="inlineStr">
        <is>
          <t>0</t>
        </is>
      </c>
      <c r="H7768" t="inlineStr">
        <is>
          <t>0</t>
        </is>
      </c>
      <c r="I7768" t="inlineStr">
        <is>
          <t>12¹, 36¹, 60¹, 180¹</t>
        </is>
      </c>
      <c r="J7768" t="n">
        <v>4</v>
      </c>
      <c r="K7768" t="inlineStr">
        <is>
          <t>1⁴, 2², 4², 8¹</t>
        </is>
      </c>
      <c r="L7768" t="inlineStr">
        <is>
          <t>36A⁰, 60E⁷, 90C¹¹</t>
        </is>
      </c>
      <c r="M7768" t="inlineStr"/>
      <c r="N7768" t="inlineStr">
        <is>
          <t>45C⁵, 15C¹, 3B⁰, 2A⁰, 60E⁷, 18B⁰, 6C⁰, 90C¹¹, 5B⁰, 10A¹, 9C⁰, 1A⁰, 30G³, 36A⁰, 12B⁰</t>
        </is>
      </c>
      <c r="O7768" t="inlineStr"/>
    </row>
    <row r="7769">
      <c r="A7769">
        <f>HYPERLINK("https://mathstats.uncg.edu/sites/pauli/congruence/csg23.html#group180D23", "180D²³")</f>
        <v/>
      </c>
      <c r="B7769" t="n">
        <v>23</v>
      </c>
      <c r="C7769" t="inlineStr"/>
      <c r="D7769" t="inlineStr">
        <is>
          <t>288</t>
        </is>
      </c>
      <c r="E7769" t="inlineStr">
        <is>
          <t>1</t>
        </is>
      </c>
      <c r="F7769" t="inlineStr">
        <is>
          <t>24</t>
        </is>
      </c>
      <c r="G7769" t="inlineStr">
        <is>
          <t>0</t>
        </is>
      </c>
      <c r="H7769" t="inlineStr">
        <is>
          <t>0</t>
        </is>
      </c>
      <c r="I7769" t="inlineStr">
        <is>
          <t>12¹, 36¹, 60¹, 180¹</t>
        </is>
      </c>
      <c r="J7769" t="n">
        <v>4</v>
      </c>
      <c r="K7769" t="inlineStr">
        <is>
          <t>1⁴, 2², 4², 8¹</t>
        </is>
      </c>
      <c r="L7769" t="inlineStr">
        <is>
          <t>36A⁴, 60E⁷, 90D¹¹</t>
        </is>
      </c>
      <c r="M7769" t="inlineStr"/>
      <c r="N7769" t="inlineStr">
        <is>
          <t>3B⁰, 2A⁰, 90D¹¹, 6C⁰, 5B⁰, 10A¹, 30G³, 1A⁰, 45D⁵, 15C¹, 18B², 60E⁷, 9A¹, 36A⁴, 12B⁰</t>
        </is>
      </c>
      <c r="O7769" t="inlineStr"/>
    </row>
    <row r="7770">
      <c r="A7770">
        <f>HYPERLINK("https://mathstats.uncg.edu/sites/pauli/congruence/csg23.html#group180E23", "180E²³")</f>
        <v/>
      </c>
      <c r="B7770" t="n">
        <v>23</v>
      </c>
      <c r="C7770" t="inlineStr"/>
      <c r="D7770" t="inlineStr">
        <is>
          <t>288</t>
        </is>
      </c>
      <c r="E7770" t="inlineStr">
        <is>
          <t>1</t>
        </is>
      </c>
      <c r="F7770" t="inlineStr">
        <is>
          <t>48</t>
        </is>
      </c>
      <c r="G7770" t="inlineStr">
        <is>
          <t>0</t>
        </is>
      </c>
      <c r="H7770" t="inlineStr">
        <is>
          <t>0</t>
        </is>
      </c>
      <c r="I7770" t="inlineStr">
        <is>
          <t>12¹, 36¹, 60¹, 180¹</t>
        </is>
      </c>
      <c r="J7770" t="n">
        <v>4</v>
      </c>
      <c r="K7770" t="inlineStr">
        <is>
          <t>2⁸, 8⁴</t>
        </is>
      </c>
      <c r="L7770" t="inlineStr">
        <is>
          <t>60D⁷, 90E¹¹</t>
        </is>
      </c>
      <c r="M7770" t="inlineStr"/>
      <c r="N7770" t="inlineStr">
        <is>
          <t>15C¹, 3B⁰, 2A⁰, 90E¹¹, 6C⁰, 5B⁰, 10A¹, 1A⁰, 30G³, 60D⁷, 18D¹</t>
        </is>
      </c>
      <c r="O7770" t="inlineStr"/>
    </row>
    <row r="7771">
      <c r="A7771">
        <f>HYPERLINK("https://mathstats.uncg.edu/sites/pauli/congruence/csg23.html#group180F23", "180F²³")</f>
        <v/>
      </c>
      <c r="B7771" t="n">
        <v>23</v>
      </c>
      <c r="C7771" t="inlineStr"/>
      <c r="D7771" t="inlineStr">
        <is>
          <t>288</t>
        </is>
      </c>
      <c r="E7771" t="inlineStr">
        <is>
          <t>1</t>
        </is>
      </c>
      <c r="F7771" t="inlineStr">
        <is>
          <t>48</t>
        </is>
      </c>
      <c r="G7771" t="inlineStr">
        <is>
          <t>0</t>
        </is>
      </c>
      <c r="H7771" t="inlineStr">
        <is>
          <t>0</t>
        </is>
      </c>
      <c r="I7771" t="inlineStr">
        <is>
          <t>12¹, 36¹, 60¹, 180¹</t>
        </is>
      </c>
      <c r="J7771" t="n">
        <v>4</v>
      </c>
      <c r="K7771" t="inlineStr">
        <is>
          <t>2⁸, 8⁴</t>
        </is>
      </c>
      <c r="L7771" t="inlineStr">
        <is>
          <t>60D⁷, 90F¹¹</t>
        </is>
      </c>
      <c r="M7771" t="inlineStr"/>
      <c r="N7771" t="inlineStr">
        <is>
          <t>15C¹, 3B⁰, 2A⁰, 6C⁰, 90F¹¹, 5B⁰, 10A¹, 1A⁰, 30G³, 60D⁷, 18C²</t>
        </is>
      </c>
      <c r="O7771" t="inlineStr"/>
    </row>
    <row r="7772">
      <c r="A7772">
        <f>HYPERLINK("https://mathstats.uncg.edu/sites/pauli/congruence/csg23.html#group180G23", "180G²³")</f>
        <v/>
      </c>
      <c r="B7772" t="n">
        <v>23</v>
      </c>
      <c r="C7772" t="inlineStr"/>
      <c r="D7772" t="inlineStr">
        <is>
          <t>288</t>
        </is>
      </c>
      <c r="E7772" t="inlineStr">
        <is>
          <t>1</t>
        </is>
      </c>
      <c r="F7772" t="inlineStr">
        <is>
          <t>48</t>
        </is>
      </c>
      <c r="G7772" t="inlineStr">
        <is>
          <t>0</t>
        </is>
      </c>
      <c r="H7772" t="inlineStr">
        <is>
          <t>0</t>
        </is>
      </c>
      <c r="I7772" t="inlineStr">
        <is>
          <t>12¹, 36¹, 60¹, 180¹</t>
        </is>
      </c>
      <c r="J7772" t="n">
        <v>4</v>
      </c>
      <c r="K7772" t="inlineStr">
        <is>
          <t>2⁸, 8⁴</t>
        </is>
      </c>
      <c r="L7772" t="inlineStr">
        <is>
          <t>36A², 60E⁷, 90E¹¹</t>
        </is>
      </c>
      <c r="M7772" t="inlineStr"/>
      <c r="N7772" t="inlineStr">
        <is>
          <t>15C¹, 3B⁰, 2A⁰, 90E¹¹, 60E⁷, 18D¹, 6C⁰, 5B⁰, 10A¹, 36A², 1A⁰, 30G³, 12B⁰</t>
        </is>
      </c>
      <c r="O7772" t="inlineStr"/>
    </row>
    <row r="7773">
      <c r="A7773">
        <f>HYPERLINK("https://mathstats.uncg.edu/sites/pauli/congruence/csg23.html#group180H23", "180H²³")</f>
        <v/>
      </c>
      <c r="B7773" t="n">
        <v>23</v>
      </c>
      <c r="C7773" t="inlineStr"/>
      <c r="D7773" t="inlineStr">
        <is>
          <t>288</t>
        </is>
      </c>
      <c r="E7773" t="inlineStr">
        <is>
          <t>1</t>
        </is>
      </c>
      <c r="F7773" t="inlineStr">
        <is>
          <t>48</t>
        </is>
      </c>
      <c r="G7773" t="inlineStr">
        <is>
          <t>0</t>
        </is>
      </c>
      <c r="H7773" t="inlineStr">
        <is>
          <t>0</t>
        </is>
      </c>
      <c r="I7773" t="inlineStr">
        <is>
          <t>12¹, 36¹, 60¹, 180¹</t>
        </is>
      </c>
      <c r="J7773" t="n">
        <v>4</v>
      </c>
      <c r="K7773" t="inlineStr">
        <is>
          <t>2⁸, 8⁴</t>
        </is>
      </c>
      <c r="L7773" t="inlineStr">
        <is>
          <t>36B⁴, 60E⁷, 90F¹¹</t>
        </is>
      </c>
      <c r="M7773" t="inlineStr"/>
      <c r="N7773" t="inlineStr">
        <is>
          <t>15C¹, 3B⁰, 2A⁰, 60E⁷, 6C⁰, 90F¹¹, 5B⁰, 10A¹, 36B⁴, 30G³, 1A⁰, 12B⁰, 18C²</t>
        </is>
      </c>
      <c r="O7773" t="inlineStr"/>
    </row>
    <row r="7774">
      <c r="A7774">
        <f>HYPERLINK("https://mathstats.uncg.edu/sites/pauli/congruence/csg23.html#group180I23", "180I²³")</f>
        <v/>
      </c>
      <c r="B7774" t="n">
        <v>23</v>
      </c>
      <c r="C7774" t="inlineStr"/>
      <c r="D7774" t="inlineStr">
        <is>
          <t>288</t>
        </is>
      </c>
      <c r="E7774" t="inlineStr">
        <is>
          <t>1</t>
        </is>
      </c>
      <c r="F7774" t="inlineStr">
        <is>
          <t>96</t>
        </is>
      </c>
      <c r="G7774" t="inlineStr">
        <is>
          <t>0</t>
        </is>
      </c>
      <c r="H7774" t="inlineStr">
        <is>
          <t>0</t>
        </is>
      </c>
      <c r="I7774" t="inlineStr">
        <is>
          <t>12¹, 36¹, 60¹, 180¹</t>
        </is>
      </c>
      <c r="J7774" t="n">
        <v>4</v>
      </c>
      <c r="K7774" t="inlineStr">
        <is>
          <t>2⁸, 4⁴, 8⁴, 16²</t>
        </is>
      </c>
      <c r="L7774" t="inlineStr">
        <is>
          <t>36C³, 45C⁵, 60F⁷</t>
        </is>
      </c>
      <c r="M7774" t="inlineStr"/>
      <c r="N7774" t="inlineStr">
        <is>
          <t>45C⁵, 15C¹, 3B⁰, 60F⁷, 4A⁰, 12A¹, 5B⁰, 9C⁰, 1A⁰, 20B¹, 36C³</t>
        </is>
      </c>
      <c r="O7774" t="inlineStr"/>
    </row>
    <row r="7775">
      <c r="A7775">
        <f>HYPERLINK("https://mathstats.uncg.edu/sites/pauli/congruence/csg23.html#group180J23", "180J²³")</f>
        <v/>
      </c>
      <c r="B7775" t="n">
        <v>23</v>
      </c>
      <c r="C7775" t="inlineStr"/>
      <c r="D7775" t="inlineStr">
        <is>
          <t>288</t>
        </is>
      </c>
      <c r="E7775" t="inlineStr">
        <is>
          <t>1</t>
        </is>
      </c>
      <c r="F7775" t="inlineStr">
        <is>
          <t>96</t>
        </is>
      </c>
      <c r="G7775" t="inlineStr">
        <is>
          <t>0</t>
        </is>
      </c>
      <c r="H7775" t="inlineStr">
        <is>
          <t>0</t>
        </is>
      </c>
      <c r="I7775" t="inlineStr">
        <is>
          <t>12¹, 36¹, 60¹, 180¹</t>
        </is>
      </c>
      <c r="J7775" t="n">
        <v>4</v>
      </c>
      <c r="K7775" t="inlineStr">
        <is>
          <t>2⁸, 4⁴, 8⁴, 16²</t>
        </is>
      </c>
      <c r="L7775" t="inlineStr">
        <is>
          <t>36C⁴, 45D⁵, 60F⁷</t>
        </is>
      </c>
      <c r="M7775" t="inlineStr"/>
      <c r="N7775" t="inlineStr">
        <is>
          <t>3B⁰, 15C¹, 60F⁷, 4A⁰, 12A¹, 9A¹, 5B⁰, 36C⁴, 1A⁰, 20B¹, 45D⁵</t>
        </is>
      </c>
      <c r="O7775" t="inlineStr"/>
    </row>
    <row r="7776">
      <c r="A7776">
        <f>HYPERLINK("https://mathstats.uncg.edu/sites/pauli/congruence/csg23.html#group180K23", "180K²³")</f>
        <v/>
      </c>
      <c r="B7776" t="n">
        <v>23</v>
      </c>
      <c r="C7776" t="inlineStr"/>
      <c r="D7776" t="inlineStr">
        <is>
          <t>288</t>
        </is>
      </c>
      <c r="E7776" t="inlineStr">
        <is>
          <t>2</t>
        </is>
      </c>
      <c r="F7776" t="inlineStr">
        <is>
          <t>24</t>
        </is>
      </c>
      <c r="G7776" t="inlineStr">
        <is>
          <t>0</t>
        </is>
      </c>
      <c r="H7776" t="inlineStr">
        <is>
          <t>0</t>
        </is>
      </c>
      <c r="I7776" t="inlineStr">
        <is>
          <t>12¹, 36¹, 60¹, 180¹</t>
        </is>
      </c>
      <c r="J7776" t="n">
        <v>4</v>
      </c>
      <c r="K7776" t="inlineStr">
        <is>
          <t>2⁴, 4², 8², 16¹</t>
        </is>
      </c>
      <c r="L7776" t="inlineStr">
        <is>
          <t>60G⁷, 90A¹¹</t>
        </is>
      </c>
      <c r="M7776" t="inlineStr"/>
      <c r="N7776" t="inlineStr">
        <is>
          <t>45C⁵, 15C¹, 3B⁰, 20C¹, 30F³, 90A¹¹, 5B⁰, 9C⁰, 1A⁰, 60G⁷, 10B⁰</t>
        </is>
      </c>
      <c r="O7776" t="inlineStr"/>
    </row>
    <row r="7777">
      <c r="A7777">
        <f>HYPERLINK("https://mathstats.uncg.edu/sites/pauli/congruence/csg23.html#group180L23", "180L²³")</f>
        <v/>
      </c>
      <c r="B7777" t="n">
        <v>23</v>
      </c>
      <c r="C7777" t="inlineStr"/>
      <c r="D7777" t="inlineStr">
        <is>
          <t>288</t>
        </is>
      </c>
      <c r="E7777" t="inlineStr">
        <is>
          <t>2</t>
        </is>
      </c>
      <c r="F7777" t="inlineStr">
        <is>
          <t>24</t>
        </is>
      </c>
      <c r="G7777" t="inlineStr">
        <is>
          <t>0</t>
        </is>
      </c>
      <c r="H7777" t="inlineStr">
        <is>
          <t>0</t>
        </is>
      </c>
      <c r="I7777" t="inlineStr">
        <is>
          <t>12¹, 36¹, 60¹, 180¹</t>
        </is>
      </c>
      <c r="J7777" t="n">
        <v>4</v>
      </c>
      <c r="K7777" t="inlineStr">
        <is>
          <t>2⁴, 4², 8², 16¹</t>
        </is>
      </c>
      <c r="L7777" t="inlineStr">
        <is>
          <t>60G⁷, 90B¹¹</t>
        </is>
      </c>
      <c r="M7777" t="inlineStr"/>
      <c r="N7777" t="inlineStr">
        <is>
          <t>15C¹, 3B⁰, 20C¹, 30F³, 9A¹, 5B⁰, 1A⁰, 90B¹¹, 60G⁷, 45D⁵, 10B⁰</t>
        </is>
      </c>
      <c r="O7777" t="inlineStr"/>
    </row>
    <row r="7778">
      <c r="A7778">
        <f>HYPERLINK("https://mathstats.uncg.edu/sites/pauli/congruence/csg23.html#group180M23", "180M²³")</f>
        <v/>
      </c>
      <c r="B7778" t="n">
        <v>23</v>
      </c>
      <c r="C7778" t="inlineStr"/>
      <c r="D7778" t="inlineStr">
        <is>
          <t>324</t>
        </is>
      </c>
      <c r="E7778" t="inlineStr">
        <is>
          <t>1</t>
        </is>
      </c>
      <c r="F7778" t="inlineStr">
        <is>
          <t>162</t>
        </is>
      </c>
      <c r="G7778" t="inlineStr">
        <is>
          <t>8</t>
        </is>
      </c>
      <c r="H7778" t="inlineStr">
        <is>
          <t>0</t>
        </is>
      </c>
      <c r="I7778" t="inlineStr">
        <is>
          <t>9², 36¹, 45², 180¹</t>
        </is>
      </c>
      <c r="J7778" t="n">
        <v>6</v>
      </c>
      <c r="K7778" t="inlineStr">
        <is>
          <t>1⁶, 2⁶, 4³, 6⁶, 8³, 24³</t>
        </is>
      </c>
      <c r="L7778" t="inlineStr">
        <is>
          <t>36D³, 60B⁵, 90E¹⁰</t>
        </is>
      </c>
      <c r="M7778" t="inlineStr"/>
      <c r="N7778" t="inlineStr">
        <is>
          <t>45A², 15B⁰, 30E², 9A⁰, 90E¹⁰, 5B⁰, 10C⁰, 2B⁰, 12D⁰, 18E¹, 3A⁰, 1A⁰, 36D³, 6D⁰, 60B⁵</t>
        </is>
      </c>
      <c r="O7778" t="inlineStr"/>
    </row>
    <row r="7779">
      <c r="A7779">
        <f>HYPERLINK("https://mathstats.uncg.edu/sites/pauli/congruence/csg23.html#group180N23", "180N²³")</f>
        <v/>
      </c>
      <c r="B7779" t="n">
        <v>23</v>
      </c>
      <c r="C7779" t="inlineStr"/>
      <c r="D7779" t="inlineStr">
        <is>
          <t>324</t>
        </is>
      </c>
      <c r="E7779" t="inlineStr">
        <is>
          <t>1</t>
        </is>
      </c>
      <c r="F7779" t="inlineStr">
        <is>
          <t>162</t>
        </is>
      </c>
      <c r="G7779" t="inlineStr">
        <is>
          <t>12</t>
        </is>
      </c>
      <c r="H7779" t="inlineStr">
        <is>
          <t>0</t>
        </is>
      </c>
      <c r="I7779" t="inlineStr">
        <is>
          <t>18¹, 36¹, 90¹, 180¹</t>
        </is>
      </c>
      <c r="J7779" t="n">
        <v>4</v>
      </c>
      <c r="K7779" t="inlineStr">
        <is>
          <t>1⁶, 2⁶, 4³, 6⁶, 8³, 24³</t>
        </is>
      </c>
      <c r="L7779" t="inlineStr">
        <is>
          <t>36E³, 60I⁷, 90E¹⁰</t>
        </is>
      </c>
      <c r="M7779" t="inlineStr"/>
      <c r="N7779" t="inlineStr">
        <is>
          <t>45A², 15B⁰, 36E³, 30E², 60I⁷, 12C¹, 9A⁰, 90E¹⁰, 5B⁰, 10C⁰, 2B⁰, 18E¹, 3A⁰, 1A⁰, 6D⁰</t>
        </is>
      </c>
      <c r="O7779" t="inlineStr"/>
    </row>
    <row r="7780">
      <c r="A7780">
        <f>HYPERLINK("https://mathstats.uncg.edu/sites/pauli/congruence/csg23.html#group184A23", "184A²³")</f>
        <v/>
      </c>
      <c r="B7780" t="n">
        <v>23</v>
      </c>
      <c r="C7780" t="inlineStr"/>
      <c r="D7780" t="inlineStr">
        <is>
          <t>288</t>
        </is>
      </c>
      <c r="E7780" t="inlineStr">
        <is>
          <t>1</t>
        </is>
      </c>
      <c r="F7780" t="inlineStr">
        <is>
          <t>72</t>
        </is>
      </c>
      <c r="G7780" t="inlineStr">
        <is>
          <t>0</t>
        </is>
      </c>
      <c r="H7780" t="inlineStr">
        <is>
          <t>0</t>
        </is>
      </c>
      <c r="I7780" t="inlineStr">
        <is>
          <t>4¹, 8¹, 92¹, 184¹</t>
        </is>
      </c>
      <c r="J7780" t="n">
        <v>4</v>
      </c>
      <c r="K7780" t="inlineStr">
        <is>
          <t>1⁶, 22³</t>
        </is>
      </c>
      <c r="L7780" t="inlineStr">
        <is>
          <t>8B⁰, 92A¹¹</t>
        </is>
      </c>
      <c r="M7780" t="inlineStr"/>
      <c r="N7780" t="inlineStr">
        <is>
          <t>92A¹¹, 4C⁰, 46A⁵, 8B⁰, 2B⁰, 23A², 1A⁰</t>
        </is>
      </c>
      <c r="O7780" t="inlineStr"/>
    </row>
    <row r="7781">
      <c r="A7781">
        <f>HYPERLINK("https://mathstats.uncg.edu/sites/pauli/congruence/csg23.html#group184B23", "184B²³")</f>
        <v/>
      </c>
      <c r="B7781" t="n">
        <v>23</v>
      </c>
      <c r="C7781" t="inlineStr"/>
      <c r="D7781" t="inlineStr">
        <is>
          <t>288</t>
        </is>
      </c>
      <c r="E7781" t="inlineStr">
        <is>
          <t>1</t>
        </is>
      </c>
      <c r="F7781" t="inlineStr">
        <is>
          <t>72</t>
        </is>
      </c>
      <c r="G7781" t="inlineStr">
        <is>
          <t>0</t>
        </is>
      </c>
      <c r="H7781" t="inlineStr">
        <is>
          <t>0</t>
        </is>
      </c>
      <c r="I7781" t="inlineStr">
        <is>
          <t>4¹, 8¹, 92¹, 184¹</t>
        </is>
      </c>
      <c r="J7781" t="n">
        <v>4</v>
      </c>
      <c r="K7781" t="inlineStr">
        <is>
          <t>1⁶, 22³</t>
        </is>
      </c>
      <c r="L7781" t="inlineStr">
        <is>
          <t>8A¹, 92A¹¹</t>
        </is>
      </c>
      <c r="M7781" t="inlineStr"/>
      <c r="N7781" t="inlineStr">
        <is>
          <t>92A¹¹, 23A², 2B⁰, 8A¹, 46A⁵, 1A⁰, 4C⁰</t>
        </is>
      </c>
      <c r="O7781" t="inlineStr"/>
    </row>
    <row r="7782">
      <c r="A7782">
        <f>HYPERLINK("https://mathstats.uncg.edu/sites/pauli/congruence/csg23.html#group186A23", "186A²³")</f>
        <v/>
      </c>
      <c r="B7782" t="n">
        <v>23</v>
      </c>
      <c r="C7782" t="inlineStr"/>
      <c r="D7782" t="inlineStr">
        <is>
          <t>288</t>
        </is>
      </c>
      <c r="E7782" t="inlineStr">
        <is>
          <t>1</t>
        </is>
      </c>
      <c r="F7782" t="inlineStr">
        <is>
          <t>96</t>
        </is>
      </c>
      <c r="G7782" t="inlineStr">
        <is>
          <t>0</t>
        </is>
      </c>
      <c r="H7782" t="inlineStr">
        <is>
          <t>0</t>
        </is>
      </c>
      <c r="I7782" t="inlineStr">
        <is>
          <t>3¹, 6¹, 93¹, 186¹</t>
        </is>
      </c>
      <c r="J7782" t="n">
        <v>4</v>
      </c>
      <c r="K7782" t="inlineStr">
        <is>
          <t>1⁶, 30³</t>
        </is>
      </c>
      <c r="L7782" t="inlineStr">
        <is>
          <t>6D⁰, 62A⁷, 93A⁸</t>
        </is>
      </c>
      <c r="M7782" t="inlineStr"/>
      <c r="N7782" t="inlineStr">
        <is>
          <t>62A⁷, 31A², 2B⁰, 93A⁸, 3A⁰, 1A⁰, 6D⁰</t>
        </is>
      </c>
      <c r="O7782" t="inlineStr"/>
    </row>
    <row r="7783">
      <c r="A7783">
        <f>HYPERLINK("https://mathstats.uncg.edu/sites/pauli/congruence/csg23.html#group186B23", "186B²³")</f>
        <v/>
      </c>
      <c r="B7783" t="n">
        <v>23</v>
      </c>
      <c r="C7783" t="inlineStr"/>
      <c r="D7783" t="inlineStr">
        <is>
          <t>288</t>
        </is>
      </c>
      <c r="E7783" t="inlineStr">
        <is>
          <t>2</t>
        </is>
      </c>
      <c r="F7783" t="inlineStr">
        <is>
          <t>96</t>
        </is>
      </c>
      <c r="G7783" t="inlineStr">
        <is>
          <t>0</t>
        </is>
      </c>
      <c r="H7783" t="inlineStr">
        <is>
          <t>0</t>
        </is>
      </c>
      <c r="I7783" t="inlineStr">
        <is>
          <t>3¹, 6¹, 93¹, 186¹</t>
        </is>
      </c>
      <c r="J7783" t="n">
        <v>4</v>
      </c>
      <c r="K7783" t="inlineStr">
        <is>
          <t>2⁶, 60³</t>
        </is>
      </c>
      <c r="L7783" t="inlineStr">
        <is>
          <t>62A⁷, 93A⁷</t>
        </is>
      </c>
      <c r="M7783" t="inlineStr"/>
      <c r="N7783" t="inlineStr">
        <is>
          <t>93A⁷, 31A², 2B⁰, 1A⁰, 62A⁷</t>
        </is>
      </c>
      <c r="O7783" t="inlineStr"/>
    </row>
    <row r="7784">
      <c r="A7784">
        <f>HYPERLINK("https://mathstats.uncg.edu/sites/pauli/congruence/csg23.html#group188A23", "188A²³")</f>
        <v/>
      </c>
      <c r="B7784" t="n">
        <v>23</v>
      </c>
      <c r="C7784" t="inlineStr"/>
      <c r="D7784" t="inlineStr">
        <is>
          <t>288</t>
        </is>
      </c>
      <c r="E7784" t="inlineStr">
        <is>
          <t>1</t>
        </is>
      </c>
      <c r="F7784" t="inlineStr">
        <is>
          <t>144</t>
        </is>
      </c>
      <c r="G7784" t="inlineStr">
        <is>
          <t>0</t>
        </is>
      </c>
      <c r="H7784" t="inlineStr">
        <is>
          <t>0</t>
        </is>
      </c>
      <c r="I7784" t="inlineStr">
        <is>
          <t>2¹, 4¹, 94¹, 188¹</t>
        </is>
      </c>
      <c r="J7784" t="n">
        <v>4</v>
      </c>
      <c r="K7784" t="inlineStr">
        <is>
          <t>1⁶, 46³</t>
        </is>
      </c>
      <c r="L7784" t="inlineStr">
        <is>
          <t>4C⁰, 94A¹¹</t>
        </is>
      </c>
      <c r="M7784" t="inlineStr"/>
      <c r="N7784" t="inlineStr">
        <is>
          <t>47A⁴, 94A¹¹, 2B⁰, 1A⁰, 4C⁰</t>
        </is>
      </c>
      <c r="O7784" t="inlineStr"/>
    </row>
    <row r="7785">
      <c r="A7785">
        <f>HYPERLINK("https://mathstats.uncg.edu/sites/pauli/congruence/csg23.html#group189A23", "189A²³")</f>
        <v/>
      </c>
      <c r="B7785" t="n">
        <v>23</v>
      </c>
      <c r="C7785" t="inlineStr"/>
      <c r="D7785" t="inlineStr">
        <is>
          <t>288</t>
        </is>
      </c>
      <c r="E7785" t="inlineStr">
        <is>
          <t>1</t>
        </is>
      </c>
      <c r="F7785" t="inlineStr">
        <is>
          <t>96</t>
        </is>
      </c>
      <c r="G7785" t="inlineStr">
        <is>
          <t>0</t>
        </is>
      </c>
      <c r="H7785" t="inlineStr">
        <is>
          <t>0</t>
        </is>
      </c>
      <c r="I7785" t="inlineStr">
        <is>
          <t>9¹, 27¹, 63¹, 189¹</t>
        </is>
      </c>
      <c r="J7785" t="n">
        <v>4</v>
      </c>
      <c r="K7785" t="inlineStr">
        <is>
          <t>1⁴, 2⁴, 6⁴, 12², 36¹</t>
        </is>
      </c>
      <c r="L7785" t="inlineStr">
        <is>
          <t>27A³, 63B⁵</t>
        </is>
      </c>
      <c r="M7785" t="inlineStr"/>
      <c r="N7785" t="inlineStr">
        <is>
          <t>3B⁰, 63B⁵, 21B¹, 9C⁰, 1A⁰, 7B⁰, 27A³</t>
        </is>
      </c>
      <c r="O7785" t="inlineStr"/>
    </row>
    <row r="7786">
      <c r="A7786">
        <f>HYPERLINK("https://mathstats.uncg.edu/sites/pauli/congruence/csg23.html#group192A23", "192A²³")</f>
        <v/>
      </c>
      <c r="B7786" t="n">
        <v>23</v>
      </c>
      <c r="C7786" t="inlineStr"/>
      <c r="D7786" t="inlineStr">
        <is>
          <t>288</t>
        </is>
      </c>
      <c r="E7786" t="inlineStr">
        <is>
          <t>1</t>
        </is>
      </c>
      <c r="F7786" t="inlineStr">
        <is>
          <t>12</t>
        </is>
      </c>
      <c r="G7786" t="inlineStr">
        <is>
          <t>0</t>
        </is>
      </c>
      <c r="H7786" t="inlineStr">
        <is>
          <t>0</t>
        </is>
      </c>
      <c r="I7786" t="inlineStr">
        <is>
          <t>24², 48¹, 192¹</t>
        </is>
      </c>
      <c r="J7786" t="n">
        <v>4</v>
      </c>
      <c r="K7786" t="inlineStr">
        <is>
          <t>1⁴, 2², 4¹</t>
        </is>
      </c>
      <c r="L7786" t="inlineStr">
        <is>
          <t>64A⁷, 96C¹¹</t>
        </is>
      </c>
      <c r="M7786" t="inlineStr"/>
      <c r="N7786" t="inlineStr">
        <is>
          <t>48A⁵, 96C¹¹, 16A¹, 8C⁰, 2B⁰, 4B⁰, 1A⁰, 32C³, 24B², 12B¹, 3A⁰, 64A⁷, 6D⁰</t>
        </is>
      </c>
      <c r="O7786" t="inlineStr"/>
    </row>
    <row r="7787">
      <c r="A7787">
        <f>HYPERLINK("https://mathstats.uncg.edu/sites/pauli/congruence/csg23.html#group192B23", "192B²³")</f>
        <v/>
      </c>
      <c r="B7787" t="n">
        <v>23</v>
      </c>
      <c r="C7787" t="inlineStr"/>
      <c r="D7787" t="inlineStr">
        <is>
          <t>288</t>
        </is>
      </c>
      <c r="E7787" t="inlineStr">
        <is>
          <t>1</t>
        </is>
      </c>
      <c r="F7787" t="inlineStr">
        <is>
          <t>12</t>
        </is>
      </c>
      <c r="G7787" t="inlineStr">
        <is>
          <t>0</t>
        </is>
      </c>
      <c r="H7787" t="inlineStr">
        <is>
          <t>0</t>
        </is>
      </c>
      <c r="I7787" t="inlineStr">
        <is>
          <t>24², 48¹, 192¹</t>
        </is>
      </c>
      <c r="J7787" t="n">
        <v>4</v>
      </c>
      <c r="K7787" t="inlineStr">
        <is>
          <t>1⁴, 2², 4¹</t>
        </is>
      </c>
      <c r="L7787" t="inlineStr">
        <is>
          <t>64B⁷, 96C¹¹</t>
        </is>
      </c>
      <c r="M7787" t="inlineStr"/>
      <c r="N7787" t="inlineStr">
        <is>
          <t>48A⁵, 96C¹¹, 3A⁰, 16A¹, 8C⁰, 2B⁰, 4B⁰, 1A⁰, 32C³, 24B², 12B¹, 64B⁷, 6D⁰</t>
        </is>
      </c>
      <c r="O7787" t="inlineStr"/>
    </row>
    <row r="7788">
      <c r="A7788">
        <f>HYPERLINK("https://mathstats.uncg.edu/sites/pauli/congruence/csg23.html#group192C23", "192C²³")</f>
        <v/>
      </c>
      <c r="B7788" t="n">
        <v>23</v>
      </c>
      <c r="C7788" t="inlineStr"/>
      <c r="D7788" t="inlineStr">
        <is>
          <t>288</t>
        </is>
      </c>
      <c r="E7788" t="inlineStr">
        <is>
          <t>1</t>
        </is>
      </c>
      <c r="F7788" t="inlineStr">
        <is>
          <t>12</t>
        </is>
      </c>
      <c r="G7788" t="inlineStr">
        <is>
          <t>0</t>
        </is>
      </c>
      <c r="H7788" t="inlineStr">
        <is>
          <t>0</t>
        </is>
      </c>
      <c r="I7788" t="inlineStr">
        <is>
          <t>24², 48¹, 192¹</t>
        </is>
      </c>
      <c r="J7788" t="n">
        <v>4</v>
      </c>
      <c r="K7788" t="inlineStr">
        <is>
          <t>1⁴, 2², 4¹</t>
        </is>
      </c>
      <c r="L7788" t="inlineStr">
        <is>
          <t>64C⁷, 96C¹¹</t>
        </is>
      </c>
      <c r="M7788" t="inlineStr"/>
      <c r="N7788" t="inlineStr">
        <is>
          <t>48A⁵, 96C¹¹, 24B², 4B⁰, 64C⁷, 16A¹, 8C⁰, 12B¹, 2B⁰, 3A⁰, 1A⁰, 32C³, 6D⁰</t>
        </is>
      </c>
      <c r="O7788" t="inlineStr"/>
    </row>
    <row r="7789">
      <c r="A7789">
        <f>HYPERLINK("https://mathstats.uncg.edu/sites/pauli/congruence/csg23.html#group192D23", "192D²³")</f>
        <v/>
      </c>
      <c r="B7789" t="n">
        <v>23</v>
      </c>
      <c r="C7789" t="inlineStr"/>
      <c r="D7789" t="inlineStr">
        <is>
          <t>288</t>
        </is>
      </c>
      <c r="E7789" t="inlineStr">
        <is>
          <t>1</t>
        </is>
      </c>
      <c r="F7789" t="inlineStr">
        <is>
          <t>12</t>
        </is>
      </c>
      <c r="G7789" t="inlineStr">
        <is>
          <t>0</t>
        </is>
      </c>
      <c r="H7789" t="inlineStr">
        <is>
          <t>0</t>
        </is>
      </c>
      <c r="I7789" t="inlineStr">
        <is>
          <t>24², 48¹, 192¹</t>
        </is>
      </c>
      <c r="J7789" t="n">
        <v>4</v>
      </c>
      <c r="K7789" t="inlineStr">
        <is>
          <t>1⁴, 2², 4¹</t>
        </is>
      </c>
      <c r="L7789" t="inlineStr">
        <is>
          <t>64D⁷, 96C¹¹</t>
        </is>
      </c>
      <c r="M7789" t="inlineStr"/>
      <c r="N7789" t="inlineStr">
        <is>
          <t>48A⁵, 96C¹¹, 16A¹, 8C⁰, 2B⁰, 4B⁰, 1A⁰, 32C³, 24B², 64D⁷, 12B¹, 3A⁰, 6D⁰</t>
        </is>
      </c>
      <c r="O7789" t="inlineStr"/>
    </row>
    <row r="7790">
      <c r="A7790">
        <f>HYPERLINK("https://mathstats.uncg.edu/sites/pauli/congruence/csg23.html#group192E23", "192E²³")</f>
        <v/>
      </c>
      <c r="B7790" t="n">
        <v>23</v>
      </c>
      <c r="C7790" t="inlineStr"/>
      <c r="D7790" t="inlineStr">
        <is>
          <t>288</t>
        </is>
      </c>
      <c r="E7790" t="inlineStr">
        <is>
          <t>1</t>
        </is>
      </c>
      <c r="F7790" t="inlineStr">
        <is>
          <t>24</t>
        </is>
      </c>
      <c r="G7790" t="inlineStr">
        <is>
          <t>0</t>
        </is>
      </c>
      <c r="H7790" t="inlineStr">
        <is>
          <t>0</t>
        </is>
      </c>
      <c r="I7790" t="inlineStr">
        <is>
          <t>24², 48¹, 192¹</t>
        </is>
      </c>
      <c r="J7790" t="n">
        <v>4</v>
      </c>
      <c r="K7790" t="inlineStr">
        <is>
          <t>2⁸, 8¹</t>
        </is>
      </c>
      <c r="L7790" t="inlineStr">
        <is>
          <t>64E⁷, 96A¹¹</t>
        </is>
      </c>
      <c r="M7790" t="inlineStr"/>
      <c r="N7790" t="inlineStr">
        <is>
          <t>48A⁵, 24B², 4B⁰, 96A¹¹, 6D⁰, 32A³, 16A¹, 8C⁰, 12B¹, 2B⁰, 3A⁰, 1A⁰, 64E⁷</t>
        </is>
      </c>
      <c r="O7790" t="inlineStr"/>
    </row>
    <row r="7791">
      <c r="A7791">
        <f>HYPERLINK("https://mathstats.uncg.edu/sites/pauli/congruence/csg23.html#group192F23", "192F²³")</f>
        <v/>
      </c>
      <c r="B7791" t="n">
        <v>23</v>
      </c>
      <c r="C7791" t="inlineStr"/>
      <c r="D7791" t="inlineStr">
        <is>
          <t>288</t>
        </is>
      </c>
      <c r="E7791" t="inlineStr">
        <is>
          <t>1</t>
        </is>
      </c>
      <c r="F7791" t="inlineStr">
        <is>
          <t>24</t>
        </is>
      </c>
      <c r="G7791" t="inlineStr">
        <is>
          <t>0</t>
        </is>
      </c>
      <c r="H7791" t="inlineStr">
        <is>
          <t>0</t>
        </is>
      </c>
      <c r="I7791" t="inlineStr">
        <is>
          <t>24², 48¹, 192¹</t>
        </is>
      </c>
      <c r="J7791" t="n">
        <v>4</v>
      </c>
      <c r="K7791" t="inlineStr">
        <is>
          <t>2⁸, 8¹</t>
        </is>
      </c>
      <c r="L7791" t="inlineStr">
        <is>
          <t>64F⁷, 96B¹¹</t>
        </is>
      </c>
      <c r="M7791" t="inlineStr"/>
      <c r="N7791" t="inlineStr">
        <is>
          <t>48A⁵, 24B², 4B⁰, 96B¹¹, 16A¹, 8C⁰, 12B¹, 2B⁰, 32B³, 3A⁰, 1A⁰, 6D⁰, 64F⁷</t>
        </is>
      </c>
      <c r="O7791" t="inlineStr"/>
    </row>
    <row r="7792">
      <c r="A7792">
        <f>HYPERLINK("https://mathstats.uncg.edu/sites/pauli/congruence/csg23.html#group192G23", "192G²³")</f>
        <v/>
      </c>
      <c r="B7792" t="n">
        <v>23</v>
      </c>
      <c r="C7792" t="inlineStr"/>
      <c r="D7792" t="inlineStr">
        <is>
          <t>288</t>
        </is>
      </c>
      <c r="E7792" t="inlineStr">
        <is>
          <t>1</t>
        </is>
      </c>
      <c r="F7792" t="inlineStr">
        <is>
          <t>36</t>
        </is>
      </c>
      <c r="G7792" t="inlineStr">
        <is>
          <t>0</t>
        </is>
      </c>
      <c r="H7792" t="inlineStr">
        <is>
          <t>0</t>
        </is>
      </c>
      <c r="I7792" t="inlineStr">
        <is>
          <t>24², 48¹, 192¹</t>
        </is>
      </c>
      <c r="J7792" t="n">
        <v>4</v>
      </c>
      <c r="K7792" t="inlineStr">
        <is>
          <t>1⁴, 2⁶, 4³, 8¹</t>
        </is>
      </c>
      <c r="L7792" t="inlineStr">
        <is>
          <t>96C¹¹</t>
        </is>
      </c>
      <c r="M7792" t="inlineStr"/>
      <c r="N7792" t="inlineStr">
        <is>
          <t>48A⁵, 96C¹¹, 24B², 4B⁰, 16A¹, 8C⁰, 12B¹, 2B⁰, 3A⁰, 1A⁰, 32C³, 6D⁰</t>
        </is>
      </c>
      <c r="O7792" t="inlineStr"/>
    </row>
    <row r="7793">
      <c r="A7793">
        <f>HYPERLINK("https://mathstats.uncg.edu/sites/pauli/congruence/csg23.html#group192H23", "192H²³")</f>
        <v/>
      </c>
      <c r="B7793" t="n">
        <v>23</v>
      </c>
      <c r="C7793" t="inlineStr"/>
      <c r="D7793" t="inlineStr">
        <is>
          <t>288</t>
        </is>
      </c>
      <c r="E7793" t="inlineStr">
        <is>
          <t>1</t>
        </is>
      </c>
      <c r="F7793" t="inlineStr">
        <is>
          <t>36</t>
        </is>
      </c>
      <c r="G7793" t="inlineStr">
        <is>
          <t>0</t>
        </is>
      </c>
      <c r="H7793" t="inlineStr">
        <is>
          <t>0</t>
        </is>
      </c>
      <c r="I7793" t="inlineStr">
        <is>
          <t>24², 48¹, 192¹</t>
        </is>
      </c>
      <c r="J7793" t="n">
        <v>4</v>
      </c>
      <c r="K7793" t="inlineStr">
        <is>
          <t>1⁴, 2⁶, 4³, 8¹</t>
        </is>
      </c>
      <c r="L7793" t="inlineStr">
        <is>
          <t>96C¹¹</t>
        </is>
      </c>
      <c r="M7793" t="inlineStr"/>
      <c r="N7793" t="inlineStr">
        <is>
          <t>48A⁵, 96C¹¹, 24B², 4B⁰, 16A¹, 8C⁰, 12B¹, 2B⁰, 3A⁰, 1A⁰, 32C³, 6D⁰</t>
        </is>
      </c>
      <c r="O7793" t="inlineStr"/>
    </row>
    <row r="7794">
      <c r="A7794">
        <f>HYPERLINK("https://mathstats.uncg.edu/sites/pauli/congruence/csg23.html#group192I23", "192I²³")</f>
        <v/>
      </c>
      <c r="B7794" t="n">
        <v>23</v>
      </c>
      <c r="C7794" t="inlineStr"/>
      <c r="D7794" t="inlineStr">
        <is>
          <t>288</t>
        </is>
      </c>
      <c r="E7794" t="inlineStr">
        <is>
          <t>1</t>
        </is>
      </c>
      <c r="F7794" t="inlineStr">
        <is>
          <t>36</t>
        </is>
      </c>
      <c r="G7794" t="inlineStr">
        <is>
          <t>0</t>
        </is>
      </c>
      <c r="H7794" t="inlineStr">
        <is>
          <t>0</t>
        </is>
      </c>
      <c r="I7794" t="inlineStr">
        <is>
          <t>24², 48¹, 192¹</t>
        </is>
      </c>
      <c r="J7794" t="n">
        <v>4</v>
      </c>
      <c r="K7794" t="inlineStr">
        <is>
          <t>1⁴, 2⁶, 4³, 8¹</t>
        </is>
      </c>
      <c r="L7794" t="inlineStr">
        <is>
          <t>96C¹¹</t>
        </is>
      </c>
      <c r="M7794" t="inlineStr"/>
      <c r="N7794" t="inlineStr">
        <is>
          <t>48A⁵, 96C¹¹, 24B², 4B⁰, 16A¹, 8C⁰, 12B¹, 2B⁰, 3A⁰, 1A⁰, 32C³, 6D⁰</t>
        </is>
      </c>
      <c r="O7794" t="inlineStr"/>
    </row>
    <row r="7795">
      <c r="A7795">
        <f>HYPERLINK("https://mathstats.uncg.edu/sites/pauli/congruence/csg23.html#group192J23", "192J²³")</f>
        <v/>
      </c>
      <c r="B7795" t="n">
        <v>23</v>
      </c>
      <c r="C7795" t="inlineStr"/>
      <c r="D7795" t="inlineStr">
        <is>
          <t>288</t>
        </is>
      </c>
      <c r="E7795" t="inlineStr">
        <is>
          <t>1</t>
        </is>
      </c>
      <c r="F7795" t="inlineStr">
        <is>
          <t>36</t>
        </is>
      </c>
      <c r="G7795" t="inlineStr">
        <is>
          <t>0</t>
        </is>
      </c>
      <c r="H7795" t="inlineStr">
        <is>
          <t>0</t>
        </is>
      </c>
      <c r="I7795" t="inlineStr">
        <is>
          <t>24², 48¹, 192¹</t>
        </is>
      </c>
      <c r="J7795" t="n">
        <v>4</v>
      </c>
      <c r="K7795" t="inlineStr">
        <is>
          <t>1⁴, 2⁶, 4³, 8¹</t>
        </is>
      </c>
      <c r="L7795" t="inlineStr">
        <is>
          <t>96C¹¹</t>
        </is>
      </c>
      <c r="M7795" t="inlineStr"/>
      <c r="N7795" t="inlineStr">
        <is>
          <t>48A⁵, 96C¹¹, 24B², 4B⁰, 16A¹, 8C⁰, 12B¹, 2B⁰, 3A⁰, 1A⁰, 32C³, 6D⁰</t>
        </is>
      </c>
      <c r="O7795" t="inlineStr"/>
    </row>
    <row r="7796">
      <c r="A7796">
        <f>HYPERLINK("https://mathstats.uncg.edu/sites/pauli/congruence/csg23.html#group192K23", "192K²³")</f>
        <v/>
      </c>
      <c r="B7796" t="n">
        <v>23</v>
      </c>
      <c r="C7796" t="inlineStr"/>
      <c r="D7796" t="inlineStr">
        <is>
          <t>288</t>
        </is>
      </c>
      <c r="E7796" t="inlineStr">
        <is>
          <t>1</t>
        </is>
      </c>
      <c r="F7796" t="inlineStr">
        <is>
          <t>72</t>
        </is>
      </c>
      <c r="G7796" t="inlineStr">
        <is>
          <t>0</t>
        </is>
      </c>
      <c r="H7796" t="inlineStr">
        <is>
          <t>0</t>
        </is>
      </c>
      <c r="I7796" t="inlineStr">
        <is>
          <t>24², 48¹, 192¹</t>
        </is>
      </c>
      <c r="J7796" t="n">
        <v>4</v>
      </c>
      <c r="K7796" t="inlineStr">
        <is>
          <t>2⁸, 4⁸, 8¹, 16¹</t>
        </is>
      </c>
      <c r="L7796" t="inlineStr">
        <is>
          <t>96A¹¹</t>
        </is>
      </c>
      <c r="M7796" t="inlineStr"/>
      <c r="N7796" t="inlineStr">
        <is>
          <t>48A⁵, 24B², 4B⁰, 96A¹¹, 32A³, 16A¹, 8C⁰, 12B¹, 2B⁰, 3A⁰, 1A⁰, 6D⁰</t>
        </is>
      </c>
      <c r="O7796" t="inlineStr"/>
    </row>
    <row r="7797">
      <c r="A7797">
        <f>HYPERLINK("https://mathstats.uncg.edu/sites/pauli/congruence/csg23.html#group192L23", "192L²³")</f>
        <v/>
      </c>
      <c r="B7797" t="n">
        <v>23</v>
      </c>
      <c r="C7797" t="inlineStr"/>
      <c r="D7797" t="inlineStr">
        <is>
          <t>288</t>
        </is>
      </c>
      <c r="E7797" t="inlineStr">
        <is>
          <t>1</t>
        </is>
      </c>
      <c r="F7797" t="inlineStr">
        <is>
          <t>72</t>
        </is>
      </c>
      <c r="G7797" t="inlineStr">
        <is>
          <t>0</t>
        </is>
      </c>
      <c r="H7797" t="inlineStr">
        <is>
          <t>0</t>
        </is>
      </c>
      <c r="I7797" t="inlineStr">
        <is>
          <t>24², 48¹, 192¹</t>
        </is>
      </c>
      <c r="J7797" t="n">
        <v>4</v>
      </c>
      <c r="K7797" t="inlineStr">
        <is>
          <t>2⁸, 4⁸, 8¹, 16¹</t>
        </is>
      </c>
      <c r="L7797" t="inlineStr">
        <is>
          <t>96B¹¹</t>
        </is>
      </c>
      <c r="M7797" t="inlineStr"/>
      <c r="N7797" t="inlineStr">
        <is>
          <t>48A⁵, 24B², 4B⁰, 96B¹¹, 16A¹, 8C⁰, 12B¹, 2B⁰, 3A⁰, 1A⁰, 6D⁰, 32B³</t>
        </is>
      </c>
      <c r="O7797" t="inlineStr"/>
    </row>
    <row r="7798">
      <c r="A7798">
        <f>HYPERLINK("https://mathstats.uncg.edu/sites/pauli/congruence/csg23.html#group194A23", "194A²³")</f>
        <v/>
      </c>
      <c r="B7798" t="n">
        <v>23</v>
      </c>
      <c r="C7798" t="inlineStr">
        <is>
          <t>Γ₀(194)</t>
        </is>
      </c>
      <c r="D7798" t="inlineStr">
        <is>
          <t>294</t>
        </is>
      </c>
      <c r="E7798" t="inlineStr">
        <is>
          <t>1</t>
        </is>
      </c>
      <c r="F7798" t="inlineStr">
        <is>
          <t>294</t>
        </is>
      </c>
      <c r="G7798" t="inlineStr">
        <is>
          <t>2</t>
        </is>
      </c>
      <c r="H7798" t="inlineStr">
        <is>
          <t>0</t>
        </is>
      </c>
      <c r="I7798" t="inlineStr">
        <is>
          <t>1¹, 2¹, 97¹, 194¹</t>
        </is>
      </c>
      <c r="J7798" t="n">
        <v>4</v>
      </c>
      <c r="K7798" t="inlineStr">
        <is>
          <t>1⁶, 96³</t>
        </is>
      </c>
      <c r="L7798" t="inlineStr">
        <is>
          <t>2B⁰, 97A⁷</t>
        </is>
      </c>
      <c r="M7798" t="inlineStr"/>
      <c r="N7798" t="inlineStr">
        <is>
          <t>1A⁰, 2B⁰, 97A⁷</t>
        </is>
      </c>
      <c r="O7798" t="inlineStr"/>
    </row>
    <row r="7799">
      <c r="A7799">
        <f>HYPERLINK("https://mathstats.uncg.edu/sites/pauli/congruence/csg23.html#group198A23", "198A²³")</f>
        <v/>
      </c>
      <c r="B7799" t="n">
        <v>23</v>
      </c>
      <c r="C7799" t="inlineStr"/>
      <c r="D7799" t="inlineStr">
        <is>
          <t>288</t>
        </is>
      </c>
      <c r="E7799" t="inlineStr">
        <is>
          <t>1</t>
        </is>
      </c>
      <c r="F7799" t="inlineStr">
        <is>
          <t>48</t>
        </is>
      </c>
      <c r="G7799" t="inlineStr">
        <is>
          <t>0</t>
        </is>
      </c>
      <c r="H7799" t="inlineStr">
        <is>
          <t>0</t>
        </is>
      </c>
      <c r="I7799" t="inlineStr">
        <is>
          <t>6¹, 18¹, 66¹, 198¹</t>
        </is>
      </c>
      <c r="J7799" t="n">
        <v>4</v>
      </c>
      <c r="K7799" t="inlineStr">
        <is>
          <t>1⁴, 2², 10², 20¹</t>
        </is>
      </c>
      <c r="L7799" t="inlineStr">
        <is>
          <t>66A⁷, 99B¹¹</t>
        </is>
      </c>
      <c r="M7799" t="inlineStr"/>
      <c r="N7799" t="inlineStr">
        <is>
          <t>3B⁰, 11A¹, 99B¹¹, 9C⁰, 1A⁰, 66A⁷, 33C³</t>
        </is>
      </c>
      <c r="O7799" t="inlineStr"/>
    </row>
    <row r="7800">
      <c r="A7800">
        <f>HYPERLINK("https://mathstats.uncg.edu/sites/pauli/congruence/csg23.html#group198B23", "198B²³")</f>
        <v/>
      </c>
      <c r="B7800" t="n">
        <v>23</v>
      </c>
      <c r="C7800" t="inlineStr"/>
      <c r="D7800" t="inlineStr">
        <is>
          <t>288</t>
        </is>
      </c>
      <c r="E7800" t="inlineStr">
        <is>
          <t>1</t>
        </is>
      </c>
      <c r="F7800" t="inlineStr">
        <is>
          <t>48</t>
        </is>
      </c>
      <c r="G7800" t="inlineStr">
        <is>
          <t>0</t>
        </is>
      </c>
      <c r="H7800" t="inlineStr">
        <is>
          <t>0</t>
        </is>
      </c>
      <c r="I7800" t="inlineStr">
        <is>
          <t>6¹, 18¹, 66¹, 198¹</t>
        </is>
      </c>
      <c r="J7800" t="n">
        <v>4</v>
      </c>
      <c r="K7800" t="inlineStr">
        <is>
          <t>1⁴, 2², 10², 20¹</t>
        </is>
      </c>
      <c r="L7800" t="inlineStr">
        <is>
          <t>66A⁷, 99C¹¹</t>
        </is>
      </c>
      <c r="M7800" t="inlineStr"/>
      <c r="N7800" t="inlineStr">
        <is>
          <t>99C¹¹, 3B⁰, 1A⁰, 11A¹, 66A⁷, 9A¹, 33C³</t>
        </is>
      </c>
      <c r="O7800" t="inlineStr"/>
    </row>
    <row r="7801">
      <c r="A7801">
        <f>HYPERLINK("https://mathstats.uncg.edu/sites/pauli/congruence/csg23.html#group198C23", "198C²³")</f>
        <v/>
      </c>
      <c r="B7801" t="n">
        <v>23</v>
      </c>
      <c r="C7801" t="inlineStr"/>
      <c r="D7801" t="inlineStr">
        <is>
          <t>288</t>
        </is>
      </c>
      <c r="E7801" t="inlineStr">
        <is>
          <t>1</t>
        </is>
      </c>
      <c r="F7801" t="inlineStr">
        <is>
          <t>48</t>
        </is>
      </c>
      <c r="G7801" t="inlineStr">
        <is>
          <t>0</t>
        </is>
      </c>
      <c r="H7801" t="inlineStr">
        <is>
          <t>0</t>
        </is>
      </c>
      <c r="I7801" t="inlineStr">
        <is>
          <t>6¹, 18¹, 66¹, 198¹</t>
        </is>
      </c>
      <c r="J7801" t="n">
        <v>4</v>
      </c>
      <c r="K7801" t="inlineStr">
        <is>
          <t>1⁴, 2², 10², 20¹</t>
        </is>
      </c>
      <c r="L7801" t="inlineStr">
        <is>
          <t>18B⁰, 66B⁷, 99B¹¹</t>
        </is>
      </c>
      <c r="M7801" t="inlineStr"/>
      <c r="N7801" t="inlineStr">
        <is>
          <t>3B⁰, 2A⁰, 18B⁰, 11A¹, 22A², 99B¹¹, 6C⁰, 9C⁰, 1A⁰, 66B⁷, 33C³</t>
        </is>
      </c>
      <c r="O7801" t="inlineStr"/>
    </row>
    <row r="7802">
      <c r="A7802">
        <f>HYPERLINK("https://mathstats.uncg.edu/sites/pauli/congruence/csg23.html#group198D23", "198D²³")</f>
        <v/>
      </c>
      <c r="B7802" t="n">
        <v>23</v>
      </c>
      <c r="C7802" t="inlineStr"/>
      <c r="D7802" t="inlineStr">
        <is>
          <t>288</t>
        </is>
      </c>
      <c r="E7802" t="inlineStr">
        <is>
          <t>1</t>
        </is>
      </c>
      <c r="F7802" t="inlineStr">
        <is>
          <t>48</t>
        </is>
      </c>
      <c r="G7802" t="inlineStr">
        <is>
          <t>0</t>
        </is>
      </c>
      <c r="H7802" t="inlineStr">
        <is>
          <t>0</t>
        </is>
      </c>
      <c r="I7802" t="inlineStr">
        <is>
          <t>6¹, 18¹, 66¹, 198¹</t>
        </is>
      </c>
      <c r="J7802" t="n">
        <v>4</v>
      </c>
      <c r="K7802" t="inlineStr">
        <is>
          <t>1⁴, 2², 10², 20¹</t>
        </is>
      </c>
      <c r="L7802" t="inlineStr">
        <is>
          <t>18B², 66B⁷, 99C¹¹</t>
        </is>
      </c>
      <c r="M7802" t="inlineStr"/>
      <c r="N7802" t="inlineStr">
        <is>
          <t>3B⁰, 2A⁰, 18B², 11A¹, 22A², 9A¹, 6C⁰, 99C¹¹, 1A⁰, 66B⁷, 33C³</t>
        </is>
      </c>
      <c r="O7802" t="inlineStr"/>
    </row>
    <row r="7803">
      <c r="A7803">
        <f>HYPERLINK("https://mathstats.uncg.edu/sites/pauli/congruence/csg23.html#group198E23", "198E²³")</f>
        <v/>
      </c>
      <c r="B7803" t="n">
        <v>23</v>
      </c>
      <c r="C7803" t="inlineStr"/>
      <c r="D7803" t="inlineStr">
        <is>
          <t>288</t>
        </is>
      </c>
      <c r="E7803" t="inlineStr">
        <is>
          <t>1</t>
        </is>
      </c>
      <c r="F7803" t="inlineStr">
        <is>
          <t>96</t>
        </is>
      </c>
      <c r="G7803" t="inlineStr">
        <is>
          <t>0</t>
        </is>
      </c>
      <c r="H7803" t="inlineStr">
        <is>
          <t>0</t>
        </is>
      </c>
      <c r="I7803" t="inlineStr">
        <is>
          <t>6¹, 18¹, 66¹, 198¹</t>
        </is>
      </c>
      <c r="J7803" t="n">
        <v>4</v>
      </c>
      <c r="K7803" t="inlineStr">
        <is>
          <t>2⁸, 20⁴</t>
        </is>
      </c>
      <c r="L7803" t="inlineStr">
        <is>
          <t>18D¹, 66B⁷</t>
        </is>
      </c>
      <c r="M7803" t="inlineStr"/>
      <c r="N7803" t="inlineStr">
        <is>
          <t>2A⁰, 3B⁰, 11A¹, 22A², 6C⁰, 1A⁰, 33C³, 66B⁷, 18D¹</t>
        </is>
      </c>
      <c r="O7803" t="inlineStr"/>
    </row>
    <row r="7804">
      <c r="A7804">
        <f>HYPERLINK("https://mathstats.uncg.edu/sites/pauli/congruence/csg23.html#group198F23", "198F²³")</f>
        <v/>
      </c>
      <c r="B7804" t="n">
        <v>23</v>
      </c>
      <c r="C7804" t="inlineStr"/>
      <c r="D7804" t="inlineStr">
        <is>
          <t>288</t>
        </is>
      </c>
      <c r="E7804" t="inlineStr">
        <is>
          <t>1</t>
        </is>
      </c>
      <c r="F7804" t="inlineStr">
        <is>
          <t>96</t>
        </is>
      </c>
      <c r="G7804" t="inlineStr">
        <is>
          <t>0</t>
        </is>
      </c>
      <c r="H7804" t="inlineStr">
        <is>
          <t>0</t>
        </is>
      </c>
      <c r="I7804" t="inlineStr">
        <is>
          <t>6¹, 18¹, 66¹, 198¹</t>
        </is>
      </c>
      <c r="J7804" t="n">
        <v>4</v>
      </c>
      <c r="K7804" t="inlineStr">
        <is>
          <t>2⁸, 20⁴</t>
        </is>
      </c>
      <c r="L7804" t="inlineStr">
        <is>
          <t>18C², 66B⁷</t>
        </is>
      </c>
      <c r="M7804" t="inlineStr"/>
      <c r="N7804" t="inlineStr">
        <is>
          <t>2A⁰, 3B⁰, 11A¹, 22A², 6C⁰, 1A⁰, 33C³, 66B⁷, 18C²</t>
        </is>
      </c>
      <c r="O7804" t="inlineStr"/>
    </row>
    <row r="7805">
      <c r="A7805">
        <f>HYPERLINK("https://mathstats.uncg.edu/sites/pauli/congruence/csg23.html#group200A23", "200A²³")</f>
        <v/>
      </c>
      <c r="B7805" t="n">
        <v>23</v>
      </c>
      <c r="C7805" t="inlineStr"/>
      <c r="D7805" t="inlineStr">
        <is>
          <t>360</t>
        </is>
      </c>
      <c r="E7805" t="inlineStr">
        <is>
          <t>1</t>
        </is>
      </c>
      <c r="F7805" t="inlineStr">
        <is>
          <t>90</t>
        </is>
      </c>
      <c r="G7805" t="inlineStr">
        <is>
          <t>8</t>
        </is>
      </c>
      <c r="H7805" t="inlineStr">
        <is>
          <t>0</t>
        </is>
      </c>
      <c r="I7805" t="inlineStr">
        <is>
          <t>4⁵, 8⁵, 100¹, 200¹</t>
        </is>
      </c>
      <c r="J7805" t="n">
        <v>12</v>
      </c>
      <c r="K7805" t="inlineStr">
        <is>
          <t>1⁶, 4⁶, 20³</t>
        </is>
      </c>
      <c r="L7805" t="inlineStr">
        <is>
          <t>40C³, 100I⁹</t>
        </is>
      </c>
      <c r="M7805" t="inlineStr"/>
      <c r="N7805" t="inlineStr">
        <is>
          <t>40C³, 20E¹, 100I⁹, 4C⁰, 5B⁰, 10C⁰, 25A⁰, 2B⁰, 50B², 1A⁰</t>
        </is>
      </c>
      <c r="O7805" t="inlineStr"/>
    </row>
    <row r="7806">
      <c r="A7806">
        <f>HYPERLINK("https://mathstats.uncg.edu/sites/pauli/congruence/csg23.html#group200B23", "200B²³")</f>
        <v/>
      </c>
      <c r="B7806" t="n">
        <v>23</v>
      </c>
      <c r="C7806" t="inlineStr"/>
      <c r="D7806" t="inlineStr">
        <is>
          <t>360</t>
        </is>
      </c>
      <c r="E7806" t="inlineStr">
        <is>
          <t>1</t>
        </is>
      </c>
      <c r="F7806" t="inlineStr">
        <is>
          <t>90</t>
        </is>
      </c>
      <c r="G7806" t="inlineStr">
        <is>
          <t>8</t>
        </is>
      </c>
      <c r="H7806" t="inlineStr">
        <is>
          <t>0</t>
        </is>
      </c>
      <c r="I7806" t="inlineStr">
        <is>
          <t>4⁵, 8⁵, 100¹, 200¹</t>
        </is>
      </c>
      <c r="J7806" t="n">
        <v>12</v>
      </c>
      <c r="K7806" t="inlineStr">
        <is>
          <t>1⁶, 4⁶, 20³</t>
        </is>
      </c>
      <c r="L7806" t="inlineStr">
        <is>
          <t>40D³, 100I⁹</t>
        </is>
      </c>
      <c r="M7806" t="inlineStr"/>
      <c r="N7806" t="inlineStr">
        <is>
          <t>20E¹, 100I⁹, 4C⁰, 8B⁰, 5B⁰, 10C⁰, 1A⁰, 2B⁰, 25A⁰, 50B², 40D³</t>
        </is>
      </c>
      <c r="O7806" t="inlineStr"/>
    </row>
    <row r="7807">
      <c r="A7807">
        <f>HYPERLINK("https://mathstats.uncg.edu/sites/pauli/congruence/csg23.html#group204A23", "204A²³")</f>
        <v/>
      </c>
      <c r="B7807" t="n">
        <v>23</v>
      </c>
      <c r="C7807" t="inlineStr"/>
      <c r="D7807" t="inlineStr">
        <is>
          <t>288</t>
        </is>
      </c>
      <c r="E7807" t="inlineStr">
        <is>
          <t>1</t>
        </is>
      </c>
      <c r="F7807" t="inlineStr">
        <is>
          <t>72</t>
        </is>
      </c>
      <c r="G7807" t="inlineStr">
        <is>
          <t>0</t>
        </is>
      </c>
      <c r="H7807" t="inlineStr">
        <is>
          <t>0</t>
        </is>
      </c>
      <c r="I7807" t="inlineStr">
        <is>
          <t>4¹, 12¹, 68¹, 204¹</t>
        </is>
      </c>
      <c r="J7807" t="n">
        <v>4</v>
      </c>
      <c r="K7807" t="inlineStr">
        <is>
          <t>1⁴, 2², 16², 32¹</t>
        </is>
      </c>
      <c r="L7807" t="inlineStr">
        <is>
          <t>102B¹¹</t>
        </is>
      </c>
      <c r="M7807" t="inlineStr"/>
      <c r="N7807" t="inlineStr">
        <is>
          <t>2A⁰, 3B⁰, 51A⁵, 6C⁰, 17A¹, 102B¹¹, 34B³, 1A⁰</t>
        </is>
      </c>
      <c r="O7807" t="inlineStr"/>
    </row>
    <row r="7808">
      <c r="A7808">
        <f>HYPERLINK("https://mathstats.uncg.edu/sites/pauli/congruence/csg23.html#group204B23", "204B²³")</f>
        <v/>
      </c>
      <c r="B7808" t="n">
        <v>23</v>
      </c>
      <c r="C7808" t="inlineStr"/>
      <c r="D7808" t="inlineStr">
        <is>
          <t>288</t>
        </is>
      </c>
      <c r="E7808" t="inlineStr">
        <is>
          <t>1</t>
        </is>
      </c>
      <c r="F7808" t="inlineStr">
        <is>
          <t>72</t>
        </is>
      </c>
      <c r="G7808" t="inlineStr">
        <is>
          <t>0</t>
        </is>
      </c>
      <c r="H7808" t="inlineStr">
        <is>
          <t>0</t>
        </is>
      </c>
      <c r="I7808" t="inlineStr">
        <is>
          <t>4¹, 12¹, 68¹, 204¹</t>
        </is>
      </c>
      <c r="J7808" t="n">
        <v>4</v>
      </c>
      <c r="K7808" t="inlineStr">
        <is>
          <t>1⁴, 2², 16², 32¹</t>
        </is>
      </c>
      <c r="L7808" t="inlineStr">
        <is>
          <t>12B⁰, 102B¹¹</t>
        </is>
      </c>
      <c r="M7808" t="inlineStr"/>
      <c r="N7808" t="inlineStr">
        <is>
          <t>2A⁰, 3B⁰, 51A⁵, 6C⁰, 17A¹, 102B¹¹, 34B³, 1A⁰, 12B⁰</t>
        </is>
      </c>
      <c r="O7808" t="inlineStr"/>
    </row>
    <row r="7809">
      <c r="A7809">
        <f>HYPERLINK("https://mathstats.uncg.edu/sites/pauli/congruence/csg23.html#group204C23", "204C²³")</f>
        <v/>
      </c>
      <c r="B7809" t="n">
        <v>23</v>
      </c>
      <c r="C7809" t="inlineStr"/>
      <c r="D7809" t="inlineStr">
        <is>
          <t>288</t>
        </is>
      </c>
      <c r="E7809" t="inlineStr">
        <is>
          <t>1</t>
        </is>
      </c>
      <c r="F7809" t="inlineStr">
        <is>
          <t>288</t>
        </is>
      </c>
      <c r="G7809" t="inlineStr">
        <is>
          <t>0</t>
        </is>
      </c>
      <c r="H7809" t="inlineStr">
        <is>
          <t>0</t>
        </is>
      </c>
      <c r="I7809" t="inlineStr">
        <is>
          <t>4¹, 12¹, 68¹, 204¹</t>
        </is>
      </c>
      <c r="J7809" t="n">
        <v>4</v>
      </c>
      <c r="K7809" t="inlineStr">
        <is>
          <t>2⁸, 4⁴, 32⁴, 64²</t>
        </is>
      </c>
      <c r="L7809" t="inlineStr">
        <is>
          <t>12A¹, 51A⁵, 68A⁵</t>
        </is>
      </c>
      <c r="M7809" t="inlineStr"/>
      <c r="N7809" t="inlineStr">
        <is>
          <t>3B⁰, 51A⁵, 4A⁰, 12A¹, 68A⁵, 17A¹, 1A⁰</t>
        </is>
      </c>
      <c r="O7809" t="inlineStr"/>
    </row>
    <row r="7810">
      <c r="A7810">
        <f>HYPERLINK("https://mathstats.uncg.edu/sites/pauli/congruence/csg23.html#group204D23", "204D²³")</f>
        <v/>
      </c>
      <c r="B7810" t="n">
        <v>23</v>
      </c>
      <c r="C7810" t="inlineStr"/>
      <c r="D7810" t="inlineStr">
        <is>
          <t>288</t>
        </is>
      </c>
      <c r="E7810" t="inlineStr">
        <is>
          <t>2</t>
        </is>
      </c>
      <c r="F7810" t="inlineStr">
        <is>
          <t>72</t>
        </is>
      </c>
      <c r="G7810" t="inlineStr">
        <is>
          <t>0</t>
        </is>
      </c>
      <c r="H7810" t="inlineStr">
        <is>
          <t>0</t>
        </is>
      </c>
      <c r="I7810" t="inlineStr">
        <is>
          <t>4¹, 12¹, 68¹, 204¹</t>
        </is>
      </c>
      <c r="J7810" t="n">
        <v>4</v>
      </c>
      <c r="K7810" t="inlineStr">
        <is>
          <t>2⁴, 4², 32², 64¹</t>
        </is>
      </c>
      <c r="L7810" t="inlineStr">
        <is>
          <t>102A¹¹</t>
        </is>
      </c>
      <c r="M7810" t="inlineStr"/>
      <c r="N7810" t="inlineStr">
        <is>
          <t>3B⁰, 17A¹, 51A⁵, 1A⁰, 34A³, 102A¹¹</t>
        </is>
      </c>
      <c r="O7810" t="inlineStr"/>
    </row>
    <row r="7811">
      <c r="A7811">
        <f>HYPERLINK("https://mathstats.uncg.edu/sites/pauli/congruence/csg23.html#group204E23", "204E²³")</f>
        <v/>
      </c>
      <c r="B7811" t="n">
        <v>23</v>
      </c>
      <c r="C7811" t="inlineStr"/>
      <c r="D7811" t="inlineStr">
        <is>
          <t>324</t>
        </is>
      </c>
      <c r="E7811" t="inlineStr">
        <is>
          <t>1</t>
        </is>
      </c>
      <c r="F7811" t="inlineStr">
        <is>
          <t>54</t>
        </is>
      </c>
      <c r="G7811" t="inlineStr">
        <is>
          <t>12</t>
        </is>
      </c>
      <c r="H7811" t="inlineStr">
        <is>
          <t>0</t>
        </is>
      </c>
      <c r="I7811" t="inlineStr">
        <is>
          <t>6¹, 12¹, 102¹, 204¹</t>
        </is>
      </c>
      <c r="J7811" t="n">
        <v>4</v>
      </c>
      <c r="K7811" t="inlineStr">
        <is>
          <t>1⁶, 16³</t>
        </is>
      </c>
      <c r="L7811" t="inlineStr">
        <is>
          <t>68C⁷, 102C¹¹</t>
        </is>
      </c>
      <c r="M7811" t="inlineStr"/>
      <c r="N7811" t="inlineStr">
        <is>
          <t>102C¹¹, 68C⁷, 34C³, 51A³, 17A¹, 2B⁰, 3A⁰, 1A⁰, 6D⁰</t>
        </is>
      </c>
      <c r="O7811" t="inlineStr"/>
    </row>
    <row r="7812">
      <c r="A7812">
        <f>HYPERLINK("https://mathstats.uncg.edu/sites/pauli/congruence/csg23.html#group204F23", "204F²³")</f>
        <v/>
      </c>
      <c r="B7812" t="n">
        <v>23</v>
      </c>
      <c r="C7812" t="inlineStr"/>
      <c r="D7812" t="inlineStr">
        <is>
          <t>324</t>
        </is>
      </c>
      <c r="E7812" t="inlineStr">
        <is>
          <t>1</t>
        </is>
      </c>
      <c r="F7812" t="inlineStr">
        <is>
          <t>54</t>
        </is>
      </c>
      <c r="G7812" t="inlineStr">
        <is>
          <t>12</t>
        </is>
      </c>
      <c r="H7812" t="inlineStr">
        <is>
          <t>0</t>
        </is>
      </c>
      <c r="I7812" t="inlineStr">
        <is>
          <t>6¹, 12¹, 102¹, 204¹</t>
        </is>
      </c>
      <c r="J7812" t="n">
        <v>4</v>
      </c>
      <c r="K7812" t="inlineStr">
        <is>
          <t>1⁶, 16³</t>
        </is>
      </c>
      <c r="L7812" t="inlineStr">
        <is>
          <t>12C⁰, 68D⁷, 102C¹¹</t>
        </is>
      </c>
      <c r="M7812" t="inlineStr"/>
      <c r="N7812" t="inlineStr">
        <is>
          <t>102C¹¹, 12C⁰, 34C³, 51A³, 4C⁰, 17A¹, 2B⁰, 3A⁰, 1A⁰, 6D⁰, 68D⁷</t>
        </is>
      </c>
      <c r="O7812" t="inlineStr"/>
    </row>
    <row r="7813">
      <c r="A7813">
        <f>HYPERLINK("https://mathstats.uncg.edu/sites/pauli/congruence/csg23.html#group204G23", "204G²³")</f>
        <v/>
      </c>
      <c r="B7813" t="n">
        <v>23</v>
      </c>
      <c r="C7813" t="inlineStr"/>
      <c r="D7813" t="inlineStr">
        <is>
          <t>324</t>
        </is>
      </c>
      <c r="E7813" t="inlineStr">
        <is>
          <t>1</t>
        </is>
      </c>
      <c r="F7813" t="inlineStr">
        <is>
          <t>162</t>
        </is>
      </c>
      <c r="G7813" t="inlineStr">
        <is>
          <t>8</t>
        </is>
      </c>
      <c r="H7813" t="inlineStr">
        <is>
          <t>0</t>
        </is>
      </c>
      <c r="I7813" t="inlineStr">
        <is>
          <t>3², 12¹, 51², 204¹</t>
        </is>
      </c>
      <c r="J7813" t="n">
        <v>6</v>
      </c>
      <c r="K7813" t="inlineStr">
        <is>
          <t>1⁶, 2⁶, 16³, 32³</t>
        </is>
      </c>
      <c r="L7813" t="inlineStr">
        <is>
          <t>102C¹¹</t>
        </is>
      </c>
      <c r="M7813" t="inlineStr"/>
      <c r="N7813" t="inlineStr">
        <is>
          <t>102C¹¹, 34C³, 51A³, 17A¹, 2B⁰, 3A⁰, 1A⁰, 6D⁰</t>
        </is>
      </c>
      <c r="O7813" t="inlineStr"/>
    </row>
    <row r="7814">
      <c r="A7814">
        <f>HYPERLINK("https://mathstats.uncg.edu/sites/pauli/congruence/csg23.html#group204H23", "204H²³")</f>
        <v/>
      </c>
      <c r="B7814" t="n">
        <v>23</v>
      </c>
      <c r="C7814" t="inlineStr"/>
      <c r="D7814" t="inlineStr">
        <is>
          <t>324</t>
        </is>
      </c>
      <c r="E7814" t="inlineStr">
        <is>
          <t>1</t>
        </is>
      </c>
      <c r="F7814" t="inlineStr">
        <is>
          <t>162</t>
        </is>
      </c>
      <c r="G7814" t="inlineStr">
        <is>
          <t>8</t>
        </is>
      </c>
      <c r="H7814" t="inlineStr">
        <is>
          <t>0</t>
        </is>
      </c>
      <c r="I7814" t="inlineStr">
        <is>
          <t>3², 12¹, 51², 204¹</t>
        </is>
      </c>
      <c r="J7814" t="n">
        <v>6</v>
      </c>
      <c r="K7814" t="inlineStr">
        <is>
          <t>1⁶, 2⁶, 16³, 32³</t>
        </is>
      </c>
      <c r="L7814" t="inlineStr">
        <is>
          <t>12D⁰, 102C¹¹</t>
        </is>
      </c>
      <c r="M7814" t="inlineStr"/>
      <c r="N7814" t="inlineStr">
        <is>
          <t>102C¹¹, 34C³, 51A³, 17A¹, 2B⁰, 12D⁰, 3A⁰, 1A⁰, 6D⁰</t>
        </is>
      </c>
      <c r="O7814" t="inlineStr"/>
    </row>
    <row r="7815">
      <c r="A7815">
        <f>HYPERLINK("https://mathstats.uncg.edu/sites/pauli/congruence/csg23.html#group207A23", "207A²³")</f>
        <v/>
      </c>
      <c r="B7815" t="n">
        <v>23</v>
      </c>
      <c r="C7815" t="inlineStr"/>
      <c r="D7815" t="inlineStr">
        <is>
          <t>288</t>
        </is>
      </c>
      <c r="E7815" t="inlineStr">
        <is>
          <t>1</t>
        </is>
      </c>
      <c r="F7815" t="inlineStr">
        <is>
          <t>96</t>
        </is>
      </c>
      <c r="G7815" t="inlineStr">
        <is>
          <t>0</t>
        </is>
      </c>
      <c r="H7815" t="inlineStr">
        <is>
          <t>0</t>
        </is>
      </c>
      <c r="I7815" t="inlineStr">
        <is>
          <t>3¹, 9¹, 69¹, 207¹</t>
        </is>
      </c>
      <c r="J7815" t="n">
        <v>4</v>
      </c>
      <c r="K7815" t="inlineStr">
        <is>
          <t>1⁴, 2², 22², 44¹</t>
        </is>
      </c>
      <c r="L7815" t="inlineStr">
        <is>
          <t>9C⁰, 69A⁷</t>
        </is>
      </c>
      <c r="M7815" t="inlineStr"/>
      <c r="N7815" t="inlineStr">
        <is>
          <t>69A⁷, 3B⁰, 23A², 9C⁰, 1A⁰</t>
        </is>
      </c>
      <c r="O7815" t="inlineStr"/>
    </row>
    <row r="7816">
      <c r="A7816">
        <f>HYPERLINK("https://mathstats.uncg.edu/sites/pauli/congruence/csg23.html#group207B23", "207B²³")</f>
        <v/>
      </c>
      <c r="B7816" t="n">
        <v>23</v>
      </c>
      <c r="C7816" t="inlineStr"/>
      <c r="D7816" t="inlineStr">
        <is>
          <t>288</t>
        </is>
      </c>
      <c r="E7816" t="inlineStr">
        <is>
          <t>1</t>
        </is>
      </c>
      <c r="F7816" t="inlineStr">
        <is>
          <t>96</t>
        </is>
      </c>
      <c r="G7816" t="inlineStr">
        <is>
          <t>0</t>
        </is>
      </c>
      <c r="H7816" t="inlineStr">
        <is>
          <t>0</t>
        </is>
      </c>
      <c r="I7816" t="inlineStr">
        <is>
          <t>3¹, 9¹, 69¹, 207¹</t>
        </is>
      </c>
      <c r="J7816" t="n">
        <v>4</v>
      </c>
      <c r="K7816" t="inlineStr">
        <is>
          <t>1⁴, 2², 22², 44¹</t>
        </is>
      </c>
      <c r="L7816" t="inlineStr">
        <is>
          <t>9A¹, 69A⁷</t>
        </is>
      </c>
      <c r="M7816" t="inlineStr"/>
      <c r="N7816" t="inlineStr">
        <is>
          <t>69A⁷, 3B⁰, 23A², 1A⁰, 9A¹</t>
        </is>
      </c>
      <c r="O7816" t="inlineStr"/>
    </row>
    <row r="7817">
      <c r="A7817">
        <f>HYPERLINK("https://mathstats.uncg.edu/sites/pauli/congruence/csg23.html#group208A23", "208A²³")</f>
        <v/>
      </c>
      <c r="B7817" t="n">
        <v>23</v>
      </c>
      <c r="C7817" t="inlineStr"/>
      <c r="D7817" t="inlineStr">
        <is>
          <t>336</t>
        </is>
      </c>
      <c r="E7817" t="inlineStr">
        <is>
          <t>1</t>
        </is>
      </c>
      <c r="F7817" t="inlineStr">
        <is>
          <t>42</t>
        </is>
      </c>
      <c r="G7817" t="inlineStr">
        <is>
          <t>16</t>
        </is>
      </c>
      <c r="H7817" t="inlineStr">
        <is>
          <t>0</t>
        </is>
      </c>
      <c r="I7817" t="inlineStr">
        <is>
          <t>8¹, 16¹, 104¹, 208¹</t>
        </is>
      </c>
      <c r="J7817" t="n">
        <v>4</v>
      </c>
      <c r="K7817" t="inlineStr">
        <is>
          <t>1⁶, 12³</t>
        </is>
      </c>
      <c r="L7817" t="inlineStr">
        <is>
          <t>104B¹¹</t>
        </is>
      </c>
      <c r="M7817" t="inlineStr"/>
      <c r="N7817" t="inlineStr">
        <is>
          <t>4C⁰, 104B¹¹, 8B⁰, 13A⁰, 52B⁵, 2B⁰, 1A⁰, 26A²</t>
        </is>
      </c>
      <c r="O7817" t="inlineStr"/>
    </row>
    <row r="7818">
      <c r="A7818">
        <f>HYPERLINK("https://mathstats.uncg.edu/sites/pauli/congruence/csg23.html#group208B23", "208B²³")</f>
        <v/>
      </c>
      <c r="B7818" t="n">
        <v>23</v>
      </c>
      <c r="C7818" t="inlineStr"/>
      <c r="D7818" t="inlineStr">
        <is>
          <t>336</t>
        </is>
      </c>
      <c r="E7818" t="inlineStr">
        <is>
          <t>1</t>
        </is>
      </c>
      <c r="F7818" t="inlineStr">
        <is>
          <t>42</t>
        </is>
      </c>
      <c r="G7818" t="inlineStr">
        <is>
          <t>16</t>
        </is>
      </c>
      <c r="H7818" t="inlineStr">
        <is>
          <t>0</t>
        </is>
      </c>
      <c r="I7818" t="inlineStr">
        <is>
          <t>8¹, 16¹, 104¹, 208¹</t>
        </is>
      </c>
      <c r="J7818" t="n">
        <v>4</v>
      </c>
      <c r="K7818" t="inlineStr">
        <is>
          <t>1⁶, 12³</t>
        </is>
      </c>
      <c r="L7818" t="inlineStr">
        <is>
          <t>16B⁰, 104B¹¹</t>
        </is>
      </c>
      <c r="M7818" t="inlineStr"/>
      <c r="N7818" t="inlineStr">
        <is>
          <t>16B⁰, 4C⁰, 104B¹¹, 8B⁰, 13A⁰, 52B⁵, 2B⁰, 1A⁰, 26A²</t>
        </is>
      </c>
      <c r="O7818" t="inlineStr"/>
    </row>
    <row r="7819">
      <c r="A7819">
        <f>HYPERLINK("https://mathstats.uncg.edu/sites/pauli/congruence/csg23.html#group208C23", "208C²³")</f>
        <v/>
      </c>
      <c r="B7819" t="n">
        <v>23</v>
      </c>
      <c r="C7819" t="inlineStr"/>
      <c r="D7819" t="inlineStr">
        <is>
          <t>336</t>
        </is>
      </c>
      <c r="E7819" t="inlineStr">
        <is>
          <t>1</t>
        </is>
      </c>
      <c r="F7819" t="inlineStr">
        <is>
          <t>84</t>
        </is>
      </c>
      <c r="G7819" t="inlineStr">
        <is>
          <t>0</t>
        </is>
      </c>
      <c r="H7819" t="inlineStr">
        <is>
          <t>0</t>
        </is>
      </c>
      <c r="I7819" t="inlineStr">
        <is>
          <t>1⁴, 4¹, 13⁴, 16¹, 52¹, 208¹</t>
        </is>
      </c>
      <c r="J7819" t="n">
        <v>12</v>
      </c>
      <c r="K7819" t="inlineStr">
        <is>
          <t>1⁸, 2², 12⁴, 24¹</t>
        </is>
      </c>
      <c r="L7819" t="inlineStr">
        <is>
          <t>104D¹¹</t>
        </is>
      </c>
      <c r="M7819" t="inlineStr"/>
      <c r="N7819" t="inlineStr">
        <is>
          <t>104D¹¹, 52A⁵, 13A⁰, 8C⁰, 2B⁰, 4B⁰, 1A⁰, 26A²</t>
        </is>
      </c>
      <c r="O7819" t="inlineStr"/>
    </row>
    <row r="7820">
      <c r="A7820">
        <f>HYPERLINK("https://mathstats.uncg.edu/sites/pauli/congruence/csg23.html#group208D23", "208D²³")</f>
        <v/>
      </c>
      <c r="B7820" t="n">
        <v>23</v>
      </c>
      <c r="C7820" t="inlineStr">
        <is>
          <t>Γ₀(208)</t>
        </is>
      </c>
      <c r="D7820" t="inlineStr">
        <is>
          <t>336</t>
        </is>
      </c>
      <c r="E7820" t="inlineStr">
        <is>
          <t>1</t>
        </is>
      </c>
      <c r="F7820" t="inlineStr">
        <is>
          <t>84</t>
        </is>
      </c>
      <c r="G7820" t="inlineStr">
        <is>
          <t>0</t>
        </is>
      </c>
      <c r="H7820" t="inlineStr">
        <is>
          <t>0</t>
        </is>
      </c>
      <c r="I7820" t="inlineStr">
        <is>
          <t>1⁴, 4¹, 13⁴, 16¹, 52¹, 208¹</t>
        </is>
      </c>
      <c r="J7820" t="n">
        <v>12</v>
      </c>
      <c r="K7820" t="inlineStr">
        <is>
          <t>1⁸, 2², 12⁴, 24¹</t>
        </is>
      </c>
      <c r="L7820" t="inlineStr">
        <is>
          <t>16C⁰, 104D¹¹</t>
        </is>
      </c>
      <c r="M7820" t="inlineStr"/>
      <c r="N7820" t="inlineStr">
        <is>
          <t>104D¹¹, 16C⁰, 52A⁵, 13A⁰, 8C⁰, 2B⁰, 4B⁰, 1A⁰, 26A²</t>
        </is>
      </c>
      <c r="O7820" t="inlineStr"/>
    </row>
    <row r="7821">
      <c r="A7821">
        <f>HYPERLINK("https://mathstats.uncg.edu/sites/pauli/congruence/csg23.html#group208E23", "208E²³")</f>
        <v/>
      </c>
      <c r="B7821" t="n">
        <v>23</v>
      </c>
      <c r="C7821" t="inlineStr"/>
      <c r="D7821" t="inlineStr">
        <is>
          <t>336</t>
        </is>
      </c>
      <c r="E7821" t="inlineStr">
        <is>
          <t>1</t>
        </is>
      </c>
      <c r="F7821" t="inlineStr">
        <is>
          <t>168</t>
        </is>
      </c>
      <c r="G7821" t="inlineStr">
        <is>
          <t>0</t>
        </is>
      </c>
      <c r="H7821" t="inlineStr">
        <is>
          <t>0</t>
        </is>
      </c>
      <c r="I7821" t="inlineStr">
        <is>
          <t>1², 2³, 13², 16¹, 26³, 208¹</t>
        </is>
      </c>
      <c r="J7821" t="n">
        <v>12</v>
      </c>
      <c r="K7821" t="inlineStr">
        <is>
          <t>1⁸, 2⁴, 4², 12⁴, 24², 48¹</t>
        </is>
      </c>
      <c r="L7821" t="inlineStr">
        <is>
          <t>104D¹¹</t>
        </is>
      </c>
      <c r="M7821" t="inlineStr"/>
      <c r="N7821" t="inlineStr">
        <is>
          <t>104D¹¹, 52A⁵, 13A⁰, 8C⁰, 2B⁰, 4B⁰, 1A⁰, 26A²</t>
        </is>
      </c>
      <c r="O7821" t="inlineStr"/>
    </row>
    <row r="7822">
      <c r="A7822">
        <f>HYPERLINK("https://mathstats.uncg.edu/sites/pauli/congruence/csg23.html#group208F23", "208F²³")</f>
        <v/>
      </c>
      <c r="B7822" t="n">
        <v>23</v>
      </c>
      <c r="C7822" t="inlineStr"/>
      <c r="D7822" t="inlineStr">
        <is>
          <t>336</t>
        </is>
      </c>
      <c r="E7822" t="inlineStr">
        <is>
          <t>1</t>
        </is>
      </c>
      <c r="F7822" t="inlineStr">
        <is>
          <t>168</t>
        </is>
      </c>
      <c r="G7822" t="inlineStr">
        <is>
          <t>0</t>
        </is>
      </c>
      <c r="H7822" t="inlineStr">
        <is>
          <t>0</t>
        </is>
      </c>
      <c r="I7822" t="inlineStr">
        <is>
          <t>1², 2³, 13², 16¹, 26³, 208¹</t>
        </is>
      </c>
      <c r="J7822" t="n">
        <v>12</v>
      </c>
      <c r="K7822" t="inlineStr">
        <is>
          <t>1⁸, 2⁴, 4², 12⁴, 24², 48¹</t>
        </is>
      </c>
      <c r="L7822" t="inlineStr">
        <is>
          <t>16D⁰, 104D¹¹</t>
        </is>
      </c>
      <c r="M7822" t="inlineStr"/>
      <c r="N7822" t="inlineStr">
        <is>
          <t>104D¹¹, 16D⁰, 52A⁵, 13A⁰, 8C⁰, 2B⁰, 4B⁰, 1A⁰, 26A²</t>
        </is>
      </c>
      <c r="O7822" t="inlineStr"/>
    </row>
    <row r="7823">
      <c r="A7823">
        <f>HYPERLINK("https://mathstats.uncg.edu/sites/pauli/congruence/csg23.html#group208G23", "208G²³")</f>
        <v/>
      </c>
      <c r="B7823" t="n">
        <v>23</v>
      </c>
      <c r="C7823" t="inlineStr"/>
      <c r="D7823" t="inlineStr">
        <is>
          <t>336</t>
        </is>
      </c>
      <c r="E7823" t="inlineStr">
        <is>
          <t>1</t>
        </is>
      </c>
      <c r="F7823" t="inlineStr">
        <is>
          <t>168</t>
        </is>
      </c>
      <c r="G7823" t="inlineStr">
        <is>
          <t>4</t>
        </is>
      </c>
      <c r="H7823" t="inlineStr">
        <is>
          <t>0</t>
        </is>
      </c>
      <c r="I7823" t="inlineStr">
        <is>
          <t>2⁴, 16¹, 26⁴, 208¹</t>
        </is>
      </c>
      <c r="J7823" t="n">
        <v>10</v>
      </c>
      <c r="K7823" t="inlineStr">
        <is>
          <t>1⁴, 2², 4⁴, 12², 24¹, 48²</t>
        </is>
      </c>
      <c r="L7823" t="inlineStr">
        <is>
          <t>104F¹¹</t>
        </is>
      </c>
      <c r="M7823" t="inlineStr"/>
      <c r="N7823" t="inlineStr">
        <is>
          <t>104F¹¹, 8D⁰, 4C⁰, 13A⁰, 52B⁵, 2B⁰, 1A⁰, 26A²</t>
        </is>
      </c>
      <c r="O7823" t="inlineStr"/>
    </row>
    <row r="7824">
      <c r="A7824">
        <f>HYPERLINK("https://mathstats.uncg.edu/sites/pauli/congruence/csg23.html#group208H23", "208H²³")</f>
        <v/>
      </c>
      <c r="B7824" t="n">
        <v>23</v>
      </c>
      <c r="C7824" t="inlineStr"/>
      <c r="D7824" t="inlineStr">
        <is>
          <t>336</t>
        </is>
      </c>
      <c r="E7824" t="inlineStr">
        <is>
          <t>1</t>
        </is>
      </c>
      <c r="F7824" t="inlineStr">
        <is>
          <t>168</t>
        </is>
      </c>
      <c r="G7824" t="inlineStr">
        <is>
          <t>4</t>
        </is>
      </c>
      <c r="H7824" t="inlineStr">
        <is>
          <t>0</t>
        </is>
      </c>
      <c r="I7824" t="inlineStr">
        <is>
          <t>2⁴, 16¹, 26⁴, 208¹</t>
        </is>
      </c>
      <c r="J7824" t="n">
        <v>10</v>
      </c>
      <c r="K7824" t="inlineStr">
        <is>
          <t>1⁴, 2², 4⁴, 12², 24¹, 48²</t>
        </is>
      </c>
      <c r="L7824" t="inlineStr">
        <is>
          <t>16E⁰, 104F¹¹</t>
        </is>
      </c>
      <c r="M7824" t="inlineStr"/>
      <c r="N7824" t="inlineStr">
        <is>
          <t>16E⁰, 104F¹¹, 8D⁰, 4C⁰, 13A⁰, 52B⁵, 2B⁰, 1A⁰, 26A²</t>
        </is>
      </c>
      <c r="O7824" t="inlineStr"/>
    </row>
    <row r="7825">
      <c r="A7825">
        <f>HYPERLINK("https://mathstats.uncg.edu/sites/pauli/congruence/csg23.html#group208I23", "208I²³")</f>
        <v/>
      </c>
      <c r="B7825" t="n">
        <v>23</v>
      </c>
      <c r="C7825" t="inlineStr"/>
      <c r="D7825" t="inlineStr">
        <is>
          <t>336</t>
        </is>
      </c>
      <c r="E7825" t="inlineStr">
        <is>
          <t>2</t>
        </is>
      </c>
      <c r="F7825" t="inlineStr">
        <is>
          <t>84</t>
        </is>
      </c>
      <c r="G7825" t="inlineStr">
        <is>
          <t>0</t>
        </is>
      </c>
      <c r="H7825" t="inlineStr">
        <is>
          <t>0</t>
        </is>
      </c>
      <c r="I7825" t="inlineStr">
        <is>
          <t>1⁴, 4¹, 13⁴, 16¹, 52¹, 208¹</t>
        </is>
      </c>
      <c r="J7825" t="n">
        <v>12</v>
      </c>
      <c r="K7825" t="inlineStr">
        <is>
          <t>2¹², 24⁶</t>
        </is>
      </c>
      <c r="L7825" t="inlineStr">
        <is>
          <t>104C¹¹</t>
        </is>
      </c>
      <c r="M7825" t="inlineStr"/>
      <c r="N7825" t="inlineStr">
        <is>
          <t>52A⁵, 13A⁰, 2B⁰, 4B⁰, 1A⁰, 26A², 104C¹¹</t>
        </is>
      </c>
      <c r="O7825" t="inlineStr"/>
    </row>
    <row r="7826">
      <c r="A7826">
        <f>HYPERLINK("https://mathstats.uncg.edu/sites/pauli/congruence/csg23.html#group210A23", "210A²³")</f>
        <v/>
      </c>
      <c r="B7826" t="n">
        <v>23</v>
      </c>
      <c r="C7826" t="inlineStr"/>
      <c r="D7826" t="inlineStr">
        <is>
          <t>288</t>
        </is>
      </c>
      <c r="E7826" t="inlineStr">
        <is>
          <t>1</t>
        </is>
      </c>
      <c r="F7826" t="inlineStr">
        <is>
          <t>48</t>
        </is>
      </c>
      <c r="G7826" t="inlineStr">
        <is>
          <t>0</t>
        </is>
      </c>
      <c r="H7826" t="inlineStr">
        <is>
          <t>0</t>
        </is>
      </c>
      <c r="I7826" t="inlineStr">
        <is>
          <t>6¹, 30¹, 42¹, 210¹</t>
        </is>
      </c>
      <c r="J7826" t="n">
        <v>4</v>
      </c>
      <c r="K7826" t="inlineStr">
        <is>
          <t>1⁴, 4², 6², 24¹</t>
        </is>
      </c>
      <c r="L7826" t="inlineStr">
        <is>
          <t>30A⁰, 70B⁷, 105B¹¹</t>
        </is>
      </c>
      <c r="M7826" t="inlineStr"/>
      <c r="N7826" t="inlineStr">
        <is>
          <t>30A⁰, 15B⁰, 21A², 7B⁰, 5B⁰, 70B⁷, 105B¹¹, 3A⁰, 1A⁰, 35A³, 10B⁰</t>
        </is>
      </c>
      <c r="O7826" t="inlineStr"/>
    </row>
    <row r="7827">
      <c r="A7827">
        <f>HYPERLINK("https://mathstats.uncg.edu/sites/pauli/congruence/csg23.html#group210B23", "210B²³")</f>
        <v/>
      </c>
      <c r="B7827" t="n">
        <v>23</v>
      </c>
      <c r="C7827" t="inlineStr"/>
      <c r="D7827" t="inlineStr">
        <is>
          <t>288</t>
        </is>
      </c>
      <c r="E7827" t="inlineStr">
        <is>
          <t>1</t>
        </is>
      </c>
      <c r="F7827" t="inlineStr">
        <is>
          <t>48</t>
        </is>
      </c>
      <c r="G7827" t="inlineStr">
        <is>
          <t>0</t>
        </is>
      </c>
      <c r="H7827" t="inlineStr">
        <is>
          <t>0</t>
        </is>
      </c>
      <c r="I7827" t="inlineStr">
        <is>
          <t>6¹, 30¹, 42¹, 210¹</t>
        </is>
      </c>
      <c r="J7827" t="n">
        <v>4</v>
      </c>
      <c r="K7827" t="inlineStr">
        <is>
          <t>1⁴, 4², 6², 24¹</t>
        </is>
      </c>
      <c r="L7827" t="inlineStr">
        <is>
          <t>30B³, 42B⁴, 70C⁷, 105B¹¹</t>
        </is>
      </c>
      <c r="M7827" t="inlineStr"/>
      <c r="N7827" t="inlineStr">
        <is>
          <t>2A⁰, 5B⁰, 10A¹, 1A⁰, 30B³, 15B⁰, 21A², 42B⁴, 7B⁰, 14B⁰, 70C⁷, 6A¹, 105B¹¹, 3A⁰, 35A³</t>
        </is>
      </c>
      <c r="O7827" t="inlineStr"/>
    </row>
    <row r="7828">
      <c r="A7828">
        <f>HYPERLINK("https://mathstats.uncg.edu/sites/pauli/congruence/csg23.html#group210C23", "210C²³")</f>
        <v/>
      </c>
      <c r="B7828" t="n">
        <v>23</v>
      </c>
      <c r="C7828" t="inlineStr"/>
      <c r="D7828" t="inlineStr">
        <is>
          <t>288</t>
        </is>
      </c>
      <c r="E7828" t="inlineStr">
        <is>
          <t>1</t>
        </is>
      </c>
      <c r="F7828" t="inlineStr">
        <is>
          <t>96</t>
        </is>
      </c>
      <c r="G7828" t="inlineStr">
        <is>
          <t>0</t>
        </is>
      </c>
      <c r="H7828" t="inlineStr">
        <is>
          <t>0</t>
        </is>
      </c>
      <c r="I7828" t="inlineStr">
        <is>
          <t>6¹, 30¹, 42¹, 210¹</t>
        </is>
      </c>
      <c r="J7828" t="n">
        <v>4</v>
      </c>
      <c r="K7828" t="inlineStr">
        <is>
          <t>2⁴, 8², 12², 48¹</t>
        </is>
      </c>
      <c r="L7828" t="inlineStr">
        <is>
          <t>42B², 30C³, 70C⁷</t>
        </is>
      </c>
      <c r="M7828" t="inlineStr"/>
      <c r="N7828" t="inlineStr">
        <is>
          <t>42B², 2A⁰, 6A⁰, 30C³, 7B⁰, 14B⁰, 5B⁰, 70C⁷, 10A¹, 1A⁰, 35A³</t>
        </is>
      </c>
      <c r="O7828" t="inlineStr"/>
    </row>
    <row r="7829">
      <c r="A7829">
        <f>HYPERLINK("https://mathstats.uncg.edu/sites/pauli/congruence/csg23.html#group210D23", "210D²³")</f>
        <v/>
      </c>
      <c r="B7829" t="n">
        <v>23</v>
      </c>
      <c r="C7829" t="inlineStr"/>
      <c r="D7829" t="inlineStr">
        <is>
          <t>288</t>
        </is>
      </c>
      <c r="E7829" t="inlineStr">
        <is>
          <t>1</t>
        </is>
      </c>
      <c r="F7829" t="inlineStr">
        <is>
          <t>144</t>
        </is>
      </c>
      <c r="G7829" t="inlineStr">
        <is>
          <t>0</t>
        </is>
      </c>
      <c r="H7829" t="inlineStr">
        <is>
          <t>0</t>
        </is>
      </c>
      <c r="I7829" t="inlineStr">
        <is>
          <t>6¹, 30¹, 42¹, 210¹</t>
        </is>
      </c>
      <c r="J7829" t="n">
        <v>4</v>
      </c>
      <c r="K7829" t="inlineStr">
        <is>
          <t>1⁴, 2⁴, 4², 6², 8², 12², 24¹, 48¹</t>
        </is>
      </c>
      <c r="L7829" t="inlineStr">
        <is>
          <t>30C², 105B¹¹</t>
        </is>
      </c>
      <c r="M7829" t="inlineStr"/>
      <c r="N7829" t="inlineStr">
        <is>
          <t>15B⁰, 21A², 7B⁰, 5B⁰, 105B¹¹, 3A⁰, 1A⁰, 35A³, 30C²</t>
        </is>
      </c>
      <c r="O7829" t="inlineStr"/>
    </row>
    <row r="7830">
      <c r="A7830">
        <f>HYPERLINK("https://mathstats.uncg.edu/sites/pauli/congruence/csg23.html#group210E23", "210E²³")</f>
        <v/>
      </c>
      <c r="B7830" t="n">
        <v>23</v>
      </c>
      <c r="C7830" t="inlineStr"/>
      <c r="D7830" t="inlineStr">
        <is>
          <t>288</t>
        </is>
      </c>
      <c r="E7830" t="inlineStr">
        <is>
          <t>1</t>
        </is>
      </c>
      <c r="F7830" t="inlineStr">
        <is>
          <t>144</t>
        </is>
      </c>
      <c r="G7830" t="inlineStr">
        <is>
          <t>0</t>
        </is>
      </c>
      <c r="H7830" t="inlineStr">
        <is>
          <t>0</t>
        </is>
      </c>
      <c r="I7830" t="inlineStr">
        <is>
          <t>6¹, 30¹, 42¹, 210¹</t>
        </is>
      </c>
      <c r="J7830" t="n">
        <v>4</v>
      </c>
      <c r="K7830" t="inlineStr">
        <is>
          <t>1⁴, 2⁴, 4², 6², 8², 12², 24¹, 48¹</t>
        </is>
      </c>
      <c r="L7830" t="inlineStr">
        <is>
          <t>30C¹, 42C⁴, 105B¹¹</t>
        </is>
      </c>
      <c r="M7830" t="inlineStr"/>
      <c r="N7830" t="inlineStr">
        <is>
          <t>15B⁰, 6B⁰, 21A², 7B⁰, 5B⁰, 105B¹¹, 42C⁴, 3A⁰, 1A⁰, 35A³, 30C¹</t>
        </is>
      </c>
      <c r="O7830" t="inlineStr"/>
    </row>
    <row r="7831">
      <c r="A7831">
        <f>HYPERLINK("https://mathstats.uncg.edu/sites/pauli/congruence/csg23.html#group210F23", "210F²³")</f>
        <v/>
      </c>
      <c r="B7831" t="n">
        <v>23</v>
      </c>
      <c r="C7831" t="inlineStr"/>
      <c r="D7831" t="inlineStr">
        <is>
          <t>288</t>
        </is>
      </c>
      <c r="E7831" t="inlineStr">
        <is>
          <t>2</t>
        </is>
      </c>
      <c r="F7831" t="inlineStr">
        <is>
          <t>48</t>
        </is>
      </c>
      <c r="G7831" t="inlineStr">
        <is>
          <t>0</t>
        </is>
      </c>
      <c r="H7831" t="inlineStr">
        <is>
          <t>0</t>
        </is>
      </c>
      <c r="I7831" t="inlineStr">
        <is>
          <t>6¹, 30¹, 42¹, 210¹</t>
        </is>
      </c>
      <c r="J7831" t="n">
        <v>4</v>
      </c>
      <c r="K7831" t="inlineStr">
        <is>
          <t>2⁴, 8², 12², 48¹</t>
        </is>
      </c>
      <c r="L7831" t="inlineStr">
        <is>
          <t>70B⁷, 105C¹¹</t>
        </is>
      </c>
      <c r="M7831" t="inlineStr"/>
      <c r="N7831" t="inlineStr">
        <is>
          <t>105C¹¹, 7B⁰, 5B⁰, 70B⁷, 10B⁰, 1A⁰, 35A³, 21A¹</t>
        </is>
      </c>
      <c r="O7831" t="inlineStr"/>
    </row>
    <row r="7832">
      <c r="A7832">
        <f>HYPERLINK("https://mathstats.uncg.edu/sites/pauli/congruence/csg23.html#group210G23", "210G²³")</f>
        <v/>
      </c>
      <c r="B7832" t="n">
        <v>23</v>
      </c>
      <c r="C7832" t="inlineStr"/>
      <c r="D7832" t="inlineStr">
        <is>
          <t>288</t>
        </is>
      </c>
      <c r="E7832" t="inlineStr">
        <is>
          <t>2</t>
        </is>
      </c>
      <c r="F7832" t="inlineStr">
        <is>
          <t>48</t>
        </is>
      </c>
      <c r="G7832" t="inlineStr">
        <is>
          <t>0</t>
        </is>
      </c>
      <c r="H7832" t="inlineStr">
        <is>
          <t>0</t>
        </is>
      </c>
      <c r="I7832" t="inlineStr">
        <is>
          <t>6¹, 30¹, 42¹, 210¹</t>
        </is>
      </c>
      <c r="J7832" t="n">
        <v>4</v>
      </c>
      <c r="K7832" t="inlineStr">
        <is>
          <t>2⁴, 8², 12², 48¹</t>
        </is>
      </c>
      <c r="L7832" t="inlineStr">
        <is>
          <t>42C², 70C⁷, 105C¹¹</t>
        </is>
      </c>
      <c r="M7832" t="inlineStr"/>
      <c r="N7832" t="inlineStr">
        <is>
          <t>2A⁰, 105C¹¹, 7B⁰, 14B⁰, 42C², 5B⁰, 70C⁷, 10A¹, 1A⁰, 35A³, 21A¹</t>
        </is>
      </c>
      <c r="O7832" t="inlineStr"/>
    </row>
    <row r="7833">
      <c r="A7833">
        <f>HYPERLINK("https://mathstats.uncg.edu/sites/pauli/congruence/csg23.html#group210H23", "210H²³")</f>
        <v/>
      </c>
      <c r="B7833" t="n">
        <v>23</v>
      </c>
      <c r="C7833" t="inlineStr"/>
      <c r="D7833" t="inlineStr">
        <is>
          <t>288</t>
        </is>
      </c>
      <c r="E7833" t="inlineStr">
        <is>
          <t>2</t>
        </is>
      </c>
      <c r="F7833" t="inlineStr">
        <is>
          <t>96</t>
        </is>
      </c>
      <c r="G7833" t="inlineStr">
        <is>
          <t>0</t>
        </is>
      </c>
      <c r="H7833" t="inlineStr">
        <is>
          <t>0</t>
        </is>
      </c>
      <c r="I7833" t="inlineStr">
        <is>
          <t>6¹, 30¹, 42¹, 210¹</t>
        </is>
      </c>
      <c r="J7833" t="n">
        <v>4</v>
      </c>
      <c r="K7833" t="inlineStr">
        <is>
          <t>2⁸, 8⁴, 12⁴, 48²</t>
        </is>
      </c>
      <c r="L7833" t="inlineStr">
        <is>
          <t>42B³, 70C⁷</t>
        </is>
      </c>
      <c r="M7833" t="inlineStr"/>
      <c r="N7833" t="inlineStr">
        <is>
          <t>2A⁰, 7B⁰, 14B⁰, 5B⁰, 70C⁷, 10A¹, 1A⁰, 35A³, 42B³</t>
        </is>
      </c>
      <c r="O7833" t="inlineStr"/>
    </row>
    <row r="7834">
      <c r="A7834">
        <f>HYPERLINK("https://mathstats.uncg.edu/sites/pauli/congruence/csg23.html#group210I23", "210I²³")</f>
        <v/>
      </c>
      <c r="B7834" t="n">
        <v>23</v>
      </c>
      <c r="C7834" t="inlineStr"/>
      <c r="D7834" t="inlineStr">
        <is>
          <t>320</t>
        </is>
      </c>
      <c r="E7834" t="inlineStr">
        <is>
          <t>1</t>
        </is>
      </c>
      <c r="F7834" t="inlineStr">
        <is>
          <t>160</t>
        </is>
      </c>
      <c r="G7834" t="inlineStr">
        <is>
          <t>0</t>
        </is>
      </c>
      <c r="H7834" t="inlineStr">
        <is>
          <t>8</t>
        </is>
      </c>
      <c r="I7834" t="inlineStr">
        <is>
          <t>10¹, 30¹, 70¹, 210¹</t>
        </is>
      </c>
      <c r="J7834" t="n">
        <v>4</v>
      </c>
      <c r="K7834" t="inlineStr">
        <is>
          <t>1⁴, 2², 4⁴, 6², 8², 12¹, 24², 48¹</t>
        </is>
      </c>
      <c r="L7834" t="inlineStr">
        <is>
          <t>42D³, 105D¹¹</t>
        </is>
      </c>
      <c r="M7834" t="inlineStr"/>
      <c r="N7834" t="inlineStr">
        <is>
          <t>3B⁰, 5A⁰, 21B¹, 7B⁰, 15B¹, 42D³, 35B², 1A⁰, 105D¹¹</t>
        </is>
      </c>
      <c r="O7834" t="inlineStr"/>
    </row>
    <row r="7835">
      <c r="A7835">
        <f>HYPERLINK("https://mathstats.uncg.edu/sites/pauli/congruence/csg23.html#group210J23", "210J²³")</f>
        <v/>
      </c>
      <c r="B7835" t="n">
        <v>23</v>
      </c>
      <c r="C7835" t="inlineStr"/>
      <c r="D7835" t="inlineStr">
        <is>
          <t>320</t>
        </is>
      </c>
      <c r="E7835" t="inlineStr">
        <is>
          <t>1</t>
        </is>
      </c>
      <c r="F7835" t="inlineStr">
        <is>
          <t>160</t>
        </is>
      </c>
      <c r="G7835" t="inlineStr">
        <is>
          <t>0</t>
        </is>
      </c>
      <c r="H7835" t="inlineStr">
        <is>
          <t>8</t>
        </is>
      </c>
      <c r="I7835" t="inlineStr">
        <is>
          <t>10¹, 30¹, 70¹, 210¹</t>
        </is>
      </c>
      <c r="J7835" t="n">
        <v>4</v>
      </c>
      <c r="K7835" t="inlineStr">
        <is>
          <t>1⁴, 2², 4⁴, 6², 8², 12¹, 24², 48¹</t>
        </is>
      </c>
      <c r="L7835" t="inlineStr">
        <is>
          <t>30D², 42E³, 70B⁴, 105D¹¹</t>
        </is>
      </c>
      <c r="M7835" t="inlineStr"/>
      <c r="N7835" t="inlineStr">
        <is>
          <t>2A⁰, 3B⁰, 5A⁰, 30D², 6C⁰, 1A⁰, 10A⁰, 21B¹, 70B⁴, 7B⁰, 42E³, 14B⁰, 15B¹, 35B², 105D¹¹</t>
        </is>
      </c>
      <c r="O7835" t="inlineStr"/>
    </row>
    <row r="7836">
      <c r="A7836">
        <f>HYPERLINK("https://mathstats.uncg.edu/sites/pauli/congruence/csg23.html#group213A23", "213A²³")</f>
        <v/>
      </c>
      <c r="B7836" t="n">
        <v>23</v>
      </c>
      <c r="C7836" t="inlineStr">
        <is>
          <t>Γ₀(213)</t>
        </is>
      </c>
      <c r="D7836" t="inlineStr">
        <is>
          <t>288</t>
        </is>
      </c>
      <c r="E7836" t="inlineStr">
        <is>
          <t>1</t>
        </is>
      </c>
      <c r="F7836" t="inlineStr">
        <is>
          <t>288</t>
        </is>
      </c>
      <c r="G7836" t="inlineStr">
        <is>
          <t>0</t>
        </is>
      </c>
      <c r="H7836" t="inlineStr">
        <is>
          <t>0</t>
        </is>
      </c>
      <c r="I7836" t="inlineStr">
        <is>
          <t>1¹, 3¹, 71¹, 213¹</t>
        </is>
      </c>
      <c r="J7836" t="n">
        <v>4</v>
      </c>
      <c r="K7836" t="inlineStr">
        <is>
          <t>1⁴, 2², 70², 140¹</t>
        </is>
      </c>
      <c r="L7836" t="inlineStr">
        <is>
          <t>3B⁰, 71A⁶</t>
        </is>
      </c>
      <c r="M7836" t="inlineStr"/>
      <c r="N7836" t="inlineStr">
        <is>
          <t>3B⁰, 1A⁰, 71A⁶</t>
        </is>
      </c>
      <c r="O7836" t="inlineStr"/>
    </row>
    <row r="7837">
      <c r="A7837">
        <f>HYPERLINK("https://mathstats.uncg.edu/sites/pauli/congruence/csg23.html#group216A23", "216A²³")</f>
        <v/>
      </c>
      <c r="B7837" t="n">
        <v>23</v>
      </c>
      <c r="C7837" t="inlineStr"/>
      <c r="D7837" t="inlineStr">
        <is>
          <t>288</t>
        </is>
      </c>
      <c r="E7837" t="inlineStr">
        <is>
          <t>2</t>
        </is>
      </c>
      <c r="F7837" t="inlineStr">
        <is>
          <t>48</t>
        </is>
      </c>
      <c r="G7837" t="inlineStr">
        <is>
          <t>0</t>
        </is>
      </c>
      <c r="H7837" t="inlineStr">
        <is>
          <t>0</t>
        </is>
      </c>
      <c r="I7837" t="inlineStr">
        <is>
          <t>24³, 216¹</t>
        </is>
      </c>
      <c r="J7837" t="n">
        <v>4</v>
      </c>
      <c r="K7837" t="inlineStr">
        <is>
          <t>4⁴, 8⁴, 24²</t>
        </is>
      </c>
      <c r="L7837" t="inlineStr">
        <is>
          <t>72A⁷, 108C¹¹</t>
        </is>
      </c>
      <c r="M7837" t="inlineStr"/>
      <c r="N7837" t="inlineStr">
        <is>
          <t>3B⁰, 72A⁷, 27A², 24A², 4A⁰, 12A¹, 8A⁰, 9B⁰, 108C¹¹, 1A⁰, 36B³</t>
        </is>
      </c>
      <c r="O7837" t="inlineStr"/>
    </row>
    <row r="7838">
      <c r="A7838">
        <f>HYPERLINK("https://mathstats.uncg.edu/sites/pauli/congruence/csg23.html#group219A23", "219A²³")</f>
        <v/>
      </c>
      <c r="B7838" t="n">
        <v>23</v>
      </c>
      <c r="C7838" t="inlineStr">
        <is>
          <t>Γ₀(219)</t>
        </is>
      </c>
      <c r="D7838" t="inlineStr">
        <is>
          <t>296</t>
        </is>
      </c>
      <c r="E7838" t="inlineStr">
        <is>
          <t>1</t>
        </is>
      </c>
      <c r="F7838" t="inlineStr">
        <is>
          <t>296</t>
        </is>
      </c>
      <c r="G7838" t="inlineStr">
        <is>
          <t>0</t>
        </is>
      </c>
      <c r="H7838" t="inlineStr">
        <is>
          <t>2</t>
        </is>
      </c>
      <c r="I7838" t="inlineStr">
        <is>
          <t>1¹, 3¹, 73¹, 219¹</t>
        </is>
      </c>
      <c r="J7838" t="n">
        <v>4</v>
      </c>
      <c r="K7838" t="inlineStr">
        <is>
          <t>1⁴, 2², 72², 144¹</t>
        </is>
      </c>
      <c r="L7838" t="inlineStr">
        <is>
          <t>3B⁰, 73A⁵</t>
        </is>
      </c>
      <c r="M7838" t="inlineStr"/>
      <c r="N7838" t="inlineStr">
        <is>
          <t>3B⁰, 1A⁰, 73A⁵</t>
        </is>
      </c>
      <c r="O7838" t="inlineStr"/>
    </row>
    <row r="7839">
      <c r="A7839">
        <f>HYPERLINK("https://mathstats.uncg.edu/sites/pauli/congruence/csg23.html#group220A23", "220A²³")</f>
        <v/>
      </c>
      <c r="B7839" t="n">
        <v>23</v>
      </c>
      <c r="C7839" t="inlineStr"/>
      <c r="D7839" t="inlineStr">
        <is>
          <t>288</t>
        </is>
      </c>
      <c r="E7839" t="inlineStr">
        <is>
          <t>1</t>
        </is>
      </c>
      <c r="F7839" t="inlineStr">
        <is>
          <t>72</t>
        </is>
      </c>
      <c r="G7839" t="inlineStr">
        <is>
          <t>0</t>
        </is>
      </c>
      <c r="H7839" t="inlineStr">
        <is>
          <t>0</t>
        </is>
      </c>
      <c r="I7839" t="inlineStr">
        <is>
          <t>4¹, 20¹, 44¹, 220¹</t>
        </is>
      </c>
      <c r="J7839" t="n">
        <v>4</v>
      </c>
      <c r="K7839" t="inlineStr">
        <is>
          <t>1⁴, 4², 10², 40¹</t>
        </is>
      </c>
      <c r="L7839" t="inlineStr">
        <is>
          <t>110C¹¹</t>
        </is>
      </c>
      <c r="M7839" t="inlineStr"/>
      <c r="N7839" t="inlineStr">
        <is>
          <t>2A⁰, 55B⁵, 11A¹, 22A², 5B⁰, 110C¹¹, 10A¹, 1A⁰</t>
        </is>
      </c>
      <c r="O7839" t="inlineStr"/>
    </row>
    <row r="7840">
      <c r="A7840">
        <f>HYPERLINK("https://mathstats.uncg.edu/sites/pauli/congruence/csg23.html#group220B23", "220B²³")</f>
        <v/>
      </c>
      <c r="B7840" t="n">
        <v>23</v>
      </c>
      <c r="C7840" t="inlineStr"/>
      <c r="D7840" t="inlineStr">
        <is>
          <t>288</t>
        </is>
      </c>
      <c r="E7840" t="inlineStr">
        <is>
          <t>1</t>
        </is>
      </c>
      <c r="F7840" t="inlineStr">
        <is>
          <t>72</t>
        </is>
      </c>
      <c r="G7840" t="inlineStr">
        <is>
          <t>0</t>
        </is>
      </c>
      <c r="H7840" t="inlineStr">
        <is>
          <t>0</t>
        </is>
      </c>
      <c r="I7840" t="inlineStr">
        <is>
          <t>4¹, 20¹, 44¹, 220¹</t>
        </is>
      </c>
      <c r="J7840" t="n">
        <v>4</v>
      </c>
      <c r="K7840" t="inlineStr">
        <is>
          <t>1⁴, 4², 10², 40¹</t>
        </is>
      </c>
      <c r="L7840" t="inlineStr">
        <is>
          <t>44A⁴, 110C¹¹</t>
        </is>
      </c>
      <c r="M7840" t="inlineStr"/>
      <c r="N7840" t="inlineStr">
        <is>
          <t>2A⁰, 44A⁴, 55B⁵, 11A¹, 22A², 5B⁰, 110C¹¹, 10A¹, 1A⁰</t>
        </is>
      </c>
      <c r="O7840" t="inlineStr"/>
    </row>
    <row r="7841">
      <c r="A7841">
        <f>HYPERLINK("https://mathstats.uncg.edu/sites/pauli/congruence/csg23.html#group220C23", "220C²³")</f>
        <v/>
      </c>
      <c r="B7841" t="n">
        <v>23</v>
      </c>
      <c r="C7841" t="inlineStr"/>
      <c r="D7841" t="inlineStr">
        <is>
          <t>288</t>
        </is>
      </c>
      <c r="E7841" t="inlineStr">
        <is>
          <t>1</t>
        </is>
      </c>
      <c r="F7841" t="inlineStr">
        <is>
          <t>288</t>
        </is>
      </c>
      <c r="G7841" t="inlineStr">
        <is>
          <t>0</t>
        </is>
      </c>
      <c r="H7841" t="inlineStr">
        <is>
          <t>0</t>
        </is>
      </c>
      <c r="I7841" t="inlineStr">
        <is>
          <t>4¹, 20¹, 44¹, 220¹</t>
        </is>
      </c>
      <c r="J7841" t="n">
        <v>4</v>
      </c>
      <c r="K7841" t="inlineStr">
        <is>
          <t>2⁸, 8⁴, 20⁴, 80²</t>
        </is>
      </c>
      <c r="L7841" t="inlineStr">
        <is>
          <t>20B¹, 44B⁴, 55B⁵</t>
        </is>
      </c>
      <c r="M7841" t="inlineStr"/>
      <c r="N7841" t="inlineStr">
        <is>
          <t>55B⁵, 11A¹, 4A⁰, 44B⁴, 5B⁰, 1A⁰, 20B¹</t>
        </is>
      </c>
      <c r="O7841" t="inlineStr"/>
    </row>
    <row r="7842">
      <c r="A7842">
        <f>HYPERLINK("https://mathstats.uncg.edu/sites/pauli/congruence/csg23.html#group220D23", "220D²³")</f>
        <v/>
      </c>
      <c r="B7842" t="n">
        <v>23</v>
      </c>
      <c r="C7842" t="inlineStr"/>
      <c r="D7842" t="inlineStr">
        <is>
          <t>288</t>
        </is>
      </c>
      <c r="E7842" t="inlineStr">
        <is>
          <t>2</t>
        </is>
      </c>
      <c r="F7842" t="inlineStr">
        <is>
          <t>72</t>
        </is>
      </c>
      <c r="G7842" t="inlineStr">
        <is>
          <t>0</t>
        </is>
      </c>
      <c r="H7842" t="inlineStr">
        <is>
          <t>0</t>
        </is>
      </c>
      <c r="I7842" t="inlineStr">
        <is>
          <t>4¹, 20¹, 44¹, 220¹</t>
        </is>
      </c>
      <c r="J7842" t="n">
        <v>4</v>
      </c>
      <c r="K7842" t="inlineStr">
        <is>
          <t>2⁴, 8², 20², 80¹</t>
        </is>
      </c>
      <c r="L7842" t="inlineStr">
        <is>
          <t>20C¹, 110B¹¹</t>
        </is>
      </c>
      <c r="M7842" t="inlineStr"/>
      <c r="N7842" t="inlineStr">
        <is>
          <t>20C¹, 55B⁵, 11A¹, 5B⁰, 1A⁰, 110B¹¹, 10B⁰</t>
        </is>
      </c>
      <c r="O7842" t="inlineStr"/>
    </row>
    <row r="7843">
      <c r="A7843">
        <f>HYPERLINK("https://mathstats.uncg.edu/sites/pauli/congruence/csg23.html#group222A23", "222A²³")</f>
        <v/>
      </c>
      <c r="B7843" t="n">
        <v>23</v>
      </c>
      <c r="C7843" t="inlineStr"/>
      <c r="D7843" t="inlineStr">
        <is>
          <t>304</t>
        </is>
      </c>
      <c r="E7843" t="inlineStr">
        <is>
          <t>1</t>
        </is>
      </c>
      <c r="F7843" t="inlineStr">
        <is>
          <t>152</t>
        </is>
      </c>
      <c r="G7843" t="inlineStr">
        <is>
          <t>0</t>
        </is>
      </c>
      <c r="H7843" t="inlineStr">
        <is>
          <t>4</t>
        </is>
      </c>
      <c r="I7843" t="inlineStr">
        <is>
          <t>2¹, 6¹, 74¹, 222¹</t>
        </is>
      </c>
      <c r="J7843" t="n">
        <v>4</v>
      </c>
      <c r="K7843" t="inlineStr">
        <is>
          <t>1⁴, 2², 36², 72¹</t>
        </is>
      </c>
      <c r="L7843" t="inlineStr">
        <is>
          <t>74A⁴, 111A¹¹</t>
        </is>
      </c>
      <c r="M7843" t="inlineStr"/>
      <c r="N7843" t="inlineStr">
        <is>
          <t>37A², 111A¹¹, 3B⁰, 1A⁰, 74A⁴</t>
        </is>
      </c>
      <c r="O7843" t="inlineStr"/>
    </row>
    <row r="7844">
      <c r="A7844">
        <f>HYPERLINK("https://mathstats.uncg.edu/sites/pauli/congruence/csg23.html#group222B23", "222B²³")</f>
        <v/>
      </c>
      <c r="B7844" t="n">
        <v>23</v>
      </c>
      <c r="C7844" t="inlineStr"/>
      <c r="D7844" t="inlineStr">
        <is>
          <t>304</t>
        </is>
      </c>
      <c r="E7844" t="inlineStr">
        <is>
          <t>1</t>
        </is>
      </c>
      <c r="F7844" t="inlineStr">
        <is>
          <t>152</t>
        </is>
      </c>
      <c r="G7844" t="inlineStr">
        <is>
          <t>0</t>
        </is>
      </c>
      <c r="H7844" t="inlineStr">
        <is>
          <t>4</t>
        </is>
      </c>
      <c r="I7844" t="inlineStr">
        <is>
          <t>2¹, 6¹, 74¹, 222¹</t>
        </is>
      </c>
      <c r="J7844" t="n">
        <v>4</v>
      </c>
      <c r="K7844" t="inlineStr">
        <is>
          <t>1⁴, 2², 36², 72¹</t>
        </is>
      </c>
      <c r="L7844" t="inlineStr">
        <is>
          <t>6C⁰, 74A⁵, 111A¹¹</t>
        </is>
      </c>
      <c r="M7844" t="inlineStr"/>
      <c r="N7844" t="inlineStr">
        <is>
          <t>37A², 3B⁰, 2A⁰, 6C⁰, 111A¹¹, 74A⁵, 1A⁰</t>
        </is>
      </c>
      <c r="O7844" t="inlineStr"/>
    </row>
    <row r="7845">
      <c r="A7845">
        <f>HYPERLINK("https://mathstats.uncg.edu/sites/pauli/congruence/csg23.html#group224A23", "224A²³")</f>
        <v/>
      </c>
      <c r="B7845" t="n">
        <v>23</v>
      </c>
      <c r="C7845" t="inlineStr"/>
      <c r="D7845" t="inlineStr">
        <is>
          <t>336</t>
        </is>
      </c>
      <c r="E7845" t="inlineStr">
        <is>
          <t>2</t>
        </is>
      </c>
      <c r="F7845" t="inlineStr">
        <is>
          <t>84</t>
        </is>
      </c>
      <c r="G7845" t="inlineStr">
        <is>
          <t>20</t>
        </is>
      </c>
      <c r="H7845" t="inlineStr">
        <is>
          <t>0</t>
        </is>
      </c>
      <c r="I7845" t="inlineStr">
        <is>
          <t>112¹, 224¹</t>
        </is>
      </c>
      <c r="J7845" t="n">
        <v>2</v>
      </c>
      <c r="K7845" t="inlineStr">
        <is>
          <t>4⁶, 12¹²</t>
        </is>
      </c>
      <c r="L7845" t="inlineStr">
        <is>
          <t>112B⁸</t>
        </is>
      </c>
      <c r="M7845" t="inlineStr"/>
      <c r="N7845" t="inlineStr">
        <is>
          <t>16B⁰, 28C², 14B¹, 4C⁰, 8B⁰, 2B⁰, 112B⁸, 1A⁰, 7A⁰, 56B⁴</t>
        </is>
      </c>
      <c r="O7845" t="inlineStr"/>
    </row>
    <row r="7846">
      <c r="A7846">
        <f>HYPERLINK("https://mathstats.uncg.edu/sites/pauli/congruence/csg23.html#group224B23", "224B²³")</f>
        <v/>
      </c>
      <c r="B7846" t="n">
        <v>23</v>
      </c>
      <c r="C7846" t="inlineStr"/>
      <c r="D7846" t="inlineStr">
        <is>
          <t>384</t>
        </is>
      </c>
      <c r="E7846" t="inlineStr">
        <is>
          <t>1</t>
        </is>
      </c>
      <c r="F7846" t="inlineStr">
        <is>
          <t>48</t>
        </is>
      </c>
      <c r="G7846" t="inlineStr">
        <is>
          <t>0</t>
        </is>
      </c>
      <c r="H7846" t="inlineStr">
        <is>
          <t>0</t>
        </is>
      </c>
      <c r="I7846" t="inlineStr">
        <is>
          <t>1⁸, 7⁸, 8¹, 32¹, 56¹, 224¹</t>
        </is>
      </c>
      <c r="J7846" t="n">
        <v>20</v>
      </c>
      <c r="K7846" t="inlineStr">
        <is>
          <t>1⁸, 2², 6⁴, 12¹</t>
        </is>
      </c>
      <c r="L7846" t="inlineStr">
        <is>
          <t>112H¹¹</t>
        </is>
      </c>
      <c r="M7846" t="inlineStr"/>
      <c r="N7846" t="inlineStr">
        <is>
          <t>7B⁰, 16C⁰, 28D², 14C¹, 8C⁰, 2B⁰, 4B⁰, 56D⁵, 1A⁰, 112H¹¹</t>
        </is>
      </c>
      <c r="O7846" t="inlineStr"/>
    </row>
    <row r="7847">
      <c r="A7847">
        <f>HYPERLINK("https://mathstats.uncg.edu/sites/pauli/congruence/csg23.html#group224C23", "224C²³")</f>
        <v/>
      </c>
      <c r="B7847" t="n">
        <v>23</v>
      </c>
      <c r="C7847" t="inlineStr"/>
      <c r="D7847" t="inlineStr">
        <is>
          <t>384</t>
        </is>
      </c>
      <c r="E7847" t="inlineStr">
        <is>
          <t>1</t>
        </is>
      </c>
      <c r="F7847" t="inlineStr">
        <is>
          <t>48</t>
        </is>
      </c>
      <c r="G7847" t="inlineStr">
        <is>
          <t>0</t>
        </is>
      </c>
      <c r="H7847" t="inlineStr">
        <is>
          <t>0</t>
        </is>
      </c>
      <c r="I7847" t="inlineStr">
        <is>
          <t>1⁸, 7⁸, 8¹, 32¹, 56¹, 224¹</t>
        </is>
      </c>
      <c r="J7847" t="n">
        <v>20</v>
      </c>
      <c r="K7847" t="inlineStr">
        <is>
          <t>1⁸, 2², 6⁴, 12¹</t>
        </is>
      </c>
      <c r="L7847" t="inlineStr">
        <is>
          <t>32A⁰, 112H¹¹</t>
        </is>
      </c>
      <c r="M7847" t="inlineStr"/>
      <c r="N7847" t="inlineStr">
        <is>
          <t>7B⁰, 16C⁰, 28D², 32A⁰, 14C¹, 8C⁰, 2B⁰, 4B⁰, 56D⁵, 1A⁰, 112H¹¹</t>
        </is>
      </c>
      <c r="O7847" t="inlineStr"/>
    </row>
    <row r="7848">
      <c r="A7848">
        <f>HYPERLINK("https://mathstats.uncg.edu/sites/pauli/congruence/csg23.html#group228A23", "228A²³")</f>
        <v/>
      </c>
      <c r="B7848" t="n">
        <v>23</v>
      </c>
      <c r="C7848" t="inlineStr"/>
      <c r="D7848" t="inlineStr">
        <is>
          <t>320</t>
        </is>
      </c>
      <c r="E7848" t="inlineStr">
        <is>
          <t>1</t>
        </is>
      </c>
      <c r="F7848" t="inlineStr">
        <is>
          <t>80</t>
        </is>
      </c>
      <c r="G7848" t="inlineStr">
        <is>
          <t>0</t>
        </is>
      </c>
      <c r="H7848" t="inlineStr">
        <is>
          <t>8</t>
        </is>
      </c>
      <c r="I7848" t="inlineStr">
        <is>
          <t>4¹, 12¹, 76¹, 228¹</t>
        </is>
      </c>
      <c r="J7848" t="n">
        <v>4</v>
      </c>
      <c r="K7848" t="inlineStr">
        <is>
          <t>1⁴, 2², 18², 36¹</t>
        </is>
      </c>
      <c r="L7848" t="inlineStr">
        <is>
          <t>12B⁰, 114B¹¹</t>
        </is>
      </c>
      <c r="M7848" t="inlineStr"/>
      <c r="N7848" t="inlineStr">
        <is>
          <t>3B⁰, 19A¹, 2A⁰, 38A², 6C⁰, 57C⁵, 1A⁰, 114B¹¹, 12B⁰</t>
        </is>
      </c>
      <c r="O7848" t="inlineStr"/>
    </row>
    <row r="7849">
      <c r="A7849">
        <f>HYPERLINK("https://mathstats.uncg.edu/sites/pauli/congruence/csg23.html#group228B23", "228B²³")</f>
        <v/>
      </c>
      <c r="B7849" t="n">
        <v>23</v>
      </c>
      <c r="C7849" t="inlineStr"/>
      <c r="D7849" t="inlineStr">
        <is>
          <t>320</t>
        </is>
      </c>
      <c r="E7849" t="inlineStr">
        <is>
          <t>1</t>
        </is>
      </c>
      <c r="F7849" t="inlineStr">
        <is>
          <t>80</t>
        </is>
      </c>
      <c r="G7849" t="inlineStr">
        <is>
          <t>0</t>
        </is>
      </c>
      <c r="H7849" t="inlineStr">
        <is>
          <t>8</t>
        </is>
      </c>
      <c r="I7849" t="inlineStr">
        <is>
          <t>4¹, 12¹, 76¹, 228¹</t>
        </is>
      </c>
      <c r="J7849" t="n">
        <v>4</v>
      </c>
      <c r="K7849" t="inlineStr">
        <is>
          <t>1⁴, 2², 18², 36¹</t>
        </is>
      </c>
      <c r="L7849" t="inlineStr">
        <is>
          <t>76A⁴, 114B¹¹</t>
        </is>
      </c>
      <c r="M7849" t="inlineStr"/>
      <c r="N7849" t="inlineStr">
        <is>
          <t>2A⁰, 19A¹, 3B⁰, 38A², 6C⁰, 76A⁴, 1A⁰, 114B¹¹, 57C⁵</t>
        </is>
      </c>
      <c r="O7849" t="inlineStr"/>
    </row>
    <row r="7850">
      <c r="A7850">
        <f>HYPERLINK("https://mathstats.uncg.edu/sites/pauli/congruence/csg23.html#group230A23", "230A²³")</f>
        <v/>
      </c>
      <c r="B7850" t="n">
        <v>23</v>
      </c>
      <c r="C7850" t="inlineStr"/>
      <c r="D7850" t="inlineStr">
        <is>
          <t>288</t>
        </is>
      </c>
      <c r="E7850" t="inlineStr">
        <is>
          <t>1</t>
        </is>
      </c>
      <c r="F7850" t="inlineStr">
        <is>
          <t>144</t>
        </is>
      </c>
      <c r="G7850" t="inlineStr">
        <is>
          <t>0</t>
        </is>
      </c>
      <c r="H7850" t="inlineStr">
        <is>
          <t>0</t>
        </is>
      </c>
      <c r="I7850" t="inlineStr">
        <is>
          <t>2¹, 10¹, 46¹, 230¹</t>
        </is>
      </c>
      <c r="J7850" t="n">
        <v>4</v>
      </c>
      <c r="K7850" t="inlineStr">
        <is>
          <t>1⁴, 4², 22², 88¹</t>
        </is>
      </c>
      <c r="L7850" t="inlineStr">
        <is>
          <t>10B⁰, 115A¹¹</t>
        </is>
      </c>
      <c r="M7850" t="inlineStr"/>
      <c r="N7850" t="inlineStr">
        <is>
          <t>5B⁰, 23A², 10B⁰, 1A⁰, 115A¹¹</t>
        </is>
      </c>
      <c r="O7850" t="inlineStr"/>
    </row>
    <row r="7851">
      <c r="A7851">
        <f>HYPERLINK("https://mathstats.uncg.edu/sites/pauli/congruence/csg23.html#group230B23", "230B²³")</f>
        <v/>
      </c>
      <c r="B7851" t="n">
        <v>23</v>
      </c>
      <c r="C7851" t="inlineStr"/>
      <c r="D7851" t="inlineStr">
        <is>
          <t>288</t>
        </is>
      </c>
      <c r="E7851" t="inlineStr">
        <is>
          <t>1</t>
        </is>
      </c>
      <c r="F7851" t="inlineStr">
        <is>
          <t>144</t>
        </is>
      </c>
      <c r="G7851" t="inlineStr">
        <is>
          <t>0</t>
        </is>
      </c>
      <c r="H7851" t="inlineStr">
        <is>
          <t>0</t>
        </is>
      </c>
      <c r="I7851" t="inlineStr">
        <is>
          <t>2¹, 10¹, 46¹, 230¹</t>
        </is>
      </c>
      <c r="J7851" t="n">
        <v>4</v>
      </c>
      <c r="K7851" t="inlineStr">
        <is>
          <t>1⁴, 4², 22², 88¹</t>
        </is>
      </c>
      <c r="L7851" t="inlineStr">
        <is>
          <t>10A¹, 46A⁴, 115A¹¹</t>
        </is>
      </c>
      <c r="M7851" t="inlineStr"/>
      <c r="N7851" t="inlineStr">
        <is>
          <t>2A⁰, 5B⁰, 10A¹, 23A², 1A⁰, 46A⁴, 115A¹¹</t>
        </is>
      </c>
      <c r="O7851" t="inlineStr"/>
    </row>
    <row r="7852">
      <c r="A7852">
        <f>HYPERLINK("https://mathstats.uncg.edu/sites/pauli/congruence/csg23.html#group231A23", "231A²³")</f>
        <v/>
      </c>
      <c r="B7852" t="n">
        <v>23</v>
      </c>
      <c r="C7852" t="inlineStr"/>
      <c r="D7852" t="inlineStr">
        <is>
          <t>288</t>
        </is>
      </c>
      <c r="E7852" t="inlineStr">
        <is>
          <t>1</t>
        </is>
      </c>
      <c r="F7852" t="inlineStr">
        <is>
          <t>96</t>
        </is>
      </c>
      <c r="G7852" t="inlineStr">
        <is>
          <t>0</t>
        </is>
      </c>
      <c r="H7852" t="inlineStr">
        <is>
          <t>0</t>
        </is>
      </c>
      <c r="I7852" t="inlineStr">
        <is>
          <t>3¹, 21¹, 33¹, 231¹</t>
        </is>
      </c>
      <c r="J7852" t="n">
        <v>4</v>
      </c>
      <c r="K7852" t="inlineStr">
        <is>
          <t>1⁴, 6², 10², 60¹</t>
        </is>
      </c>
      <c r="L7852" t="inlineStr">
        <is>
          <t>21A², 33A³, 77B⁷</t>
        </is>
      </c>
      <c r="M7852" t="inlineStr"/>
      <c r="N7852" t="inlineStr">
        <is>
          <t>21A², 11A¹, 7B⁰, 77B⁷, 3A⁰, 33A³, 1A⁰</t>
        </is>
      </c>
      <c r="O7852" t="inlineStr"/>
    </row>
    <row r="7853">
      <c r="A7853">
        <f>HYPERLINK("https://mathstats.uncg.edu/sites/pauli/congruence/csg23.html#group231B23", "231B²³")</f>
        <v/>
      </c>
      <c r="B7853" t="n">
        <v>23</v>
      </c>
      <c r="C7853" t="inlineStr"/>
      <c r="D7853" t="inlineStr">
        <is>
          <t>288</t>
        </is>
      </c>
      <c r="E7853" t="inlineStr">
        <is>
          <t>2</t>
        </is>
      </c>
      <c r="F7853" t="inlineStr">
        <is>
          <t>96</t>
        </is>
      </c>
      <c r="G7853" t="inlineStr">
        <is>
          <t>0</t>
        </is>
      </c>
      <c r="H7853" t="inlineStr">
        <is>
          <t>0</t>
        </is>
      </c>
      <c r="I7853" t="inlineStr">
        <is>
          <t>3¹, 21¹, 33¹, 231¹</t>
        </is>
      </c>
      <c r="J7853" t="n">
        <v>4</v>
      </c>
      <c r="K7853" t="inlineStr">
        <is>
          <t>2⁴, 12², 20², 120¹</t>
        </is>
      </c>
      <c r="L7853" t="inlineStr">
        <is>
          <t>21A¹, 77B⁷</t>
        </is>
      </c>
      <c r="M7853" t="inlineStr"/>
      <c r="N7853" t="inlineStr">
        <is>
          <t>77B⁷, 1A⁰, 7B⁰, 11A¹, 21A¹</t>
        </is>
      </c>
      <c r="O7853" t="inlineStr"/>
    </row>
    <row r="7854">
      <c r="A7854">
        <f>HYPERLINK("https://mathstats.uncg.edu/sites/pauli/congruence/csg23.html#group234A23", "234A²³")</f>
        <v/>
      </c>
      <c r="B7854" t="n">
        <v>23</v>
      </c>
      <c r="C7854" t="inlineStr"/>
      <c r="D7854" t="inlineStr">
        <is>
          <t>336</t>
        </is>
      </c>
      <c r="E7854" t="inlineStr">
        <is>
          <t>1</t>
        </is>
      </c>
      <c r="F7854" t="inlineStr">
        <is>
          <t>56</t>
        </is>
      </c>
      <c r="G7854" t="inlineStr">
        <is>
          <t>0</t>
        </is>
      </c>
      <c r="H7854" t="inlineStr">
        <is>
          <t>12</t>
        </is>
      </c>
      <c r="I7854" t="inlineStr">
        <is>
          <t>6¹, 18¹, 78¹, 234¹</t>
        </is>
      </c>
      <c r="J7854" t="n">
        <v>4</v>
      </c>
      <c r="K7854" t="inlineStr">
        <is>
          <t>1⁴, 2², 12², 24¹</t>
        </is>
      </c>
      <c r="L7854" t="inlineStr">
        <is>
          <t>78B⁷, 117B¹¹</t>
        </is>
      </c>
      <c r="M7854" t="inlineStr"/>
      <c r="N7854" t="inlineStr">
        <is>
          <t>3B⁰, 39A³, 117B¹¹, 13A⁰, 78B⁷, 26A⁰, 9C⁰, 1A⁰</t>
        </is>
      </c>
      <c r="O7854" t="inlineStr"/>
    </row>
    <row r="7855">
      <c r="A7855">
        <f>HYPERLINK("https://mathstats.uncg.edu/sites/pauli/congruence/csg23.html#group234B23", "234B²³")</f>
        <v/>
      </c>
      <c r="B7855" t="n">
        <v>23</v>
      </c>
      <c r="C7855" t="inlineStr"/>
      <c r="D7855" t="inlineStr">
        <is>
          <t>336</t>
        </is>
      </c>
      <c r="E7855" t="inlineStr">
        <is>
          <t>1</t>
        </is>
      </c>
      <c r="F7855" t="inlineStr">
        <is>
          <t>56</t>
        </is>
      </c>
      <c r="G7855" t="inlineStr">
        <is>
          <t>0</t>
        </is>
      </c>
      <c r="H7855" t="inlineStr">
        <is>
          <t>12</t>
        </is>
      </c>
      <c r="I7855" t="inlineStr">
        <is>
          <t>6¹, 18¹, 78¹, 234¹</t>
        </is>
      </c>
      <c r="J7855" t="n">
        <v>4</v>
      </c>
      <c r="K7855" t="inlineStr">
        <is>
          <t>1⁴, 2², 12², 24¹</t>
        </is>
      </c>
      <c r="L7855" t="inlineStr">
        <is>
          <t>18B⁰, 78C⁷, 117B¹¹</t>
        </is>
      </c>
      <c r="M7855" t="inlineStr"/>
      <c r="N7855" t="inlineStr">
        <is>
          <t>3B⁰, 2A⁰, 26A¹, 39A³, 117B¹¹, 18B⁰, 78C⁷, 6C⁰, 13A⁰, 9C⁰, 1A⁰</t>
        </is>
      </c>
      <c r="O7855" t="inlineStr"/>
    </row>
    <row r="7856">
      <c r="A7856">
        <f>HYPERLINK("https://mathstats.uncg.edu/sites/pauli/congruence/csg23.html#group234C23", "234C²³")</f>
        <v/>
      </c>
      <c r="B7856" t="n">
        <v>23</v>
      </c>
      <c r="C7856" t="inlineStr"/>
      <c r="D7856" t="inlineStr">
        <is>
          <t>336</t>
        </is>
      </c>
      <c r="E7856" t="inlineStr">
        <is>
          <t>1</t>
        </is>
      </c>
      <c r="F7856" t="inlineStr">
        <is>
          <t>112</t>
        </is>
      </c>
      <c r="G7856" t="inlineStr">
        <is>
          <t>0</t>
        </is>
      </c>
      <c r="H7856" t="inlineStr">
        <is>
          <t>6</t>
        </is>
      </c>
      <c r="I7856" t="inlineStr">
        <is>
          <t>2³, 18¹, 26³, 234¹</t>
        </is>
      </c>
      <c r="J7856" t="n">
        <v>8</v>
      </c>
      <c r="K7856" t="inlineStr">
        <is>
          <t>2⁸, 24⁴</t>
        </is>
      </c>
      <c r="L7856" t="inlineStr">
        <is>
          <t>18C⁰, 78C⁷</t>
        </is>
      </c>
      <c r="M7856" t="inlineStr"/>
      <c r="N7856" t="inlineStr">
        <is>
          <t>18C⁰, 3B⁰, 2A⁰, 26A¹, 39A³, 6C⁰, 78C⁷, 13A⁰, 1A⁰</t>
        </is>
      </c>
      <c r="O7856" t="inlineStr"/>
    </row>
    <row r="7857">
      <c r="A7857">
        <f>HYPERLINK("https://mathstats.uncg.edu/sites/pauli/congruence/csg23.html#group234D23", "234D²³")</f>
        <v/>
      </c>
      <c r="B7857" t="n">
        <v>23</v>
      </c>
      <c r="C7857" t="inlineStr"/>
      <c r="D7857" t="inlineStr">
        <is>
          <t>336</t>
        </is>
      </c>
      <c r="E7857" t="inlineStr">
        <is>
          <t>2</t>
        </is>
      </c>
      <c r="F7857" t="inlineStr">
        <is>
          <t>56</t>
        </is>
      </c>
      <c r="G7857" t="inlineStr">
        <is>
          <t>0</t>
        </is>
      </c>
      <c r="H7857" t="inlineStr">
        <is>
          <t>6</t>
        </is>
      </c>
      <c r="I7857" t="inlineStr">
        <is>
          <t>2³, 18¹, 26³, 234¹</t>
        </is>
      </c>
      <c r="J7857" t="n">
        <v>8</v>
      </c>
      <c r="K7857" t="inlineStr">
        <is>
          <t>2⁸, 24⁴</t>
        </is>
      </c>
      <c r="L7857" t="inlineStr">
        <is>
          <t>78B⁷, 117A¹⁰</t>
        </is>
      </c>
      <c r="M7857" t="inlineStr"/>
      <c r="N7857" t="inlineStr">
        <is>
          <t>13A⁰, 78B⁷, 3B⁰, 39A³, 26A⁰, 1A⁰, 117A¹⁰</t>
        </is>
      </c>
      <c r="O7857" t="inlineStr"/>
    </row>
    <row r="7858">
      <c r="A7858">
        <f>HYPERLINK("https://mathstats.uncg.edu/sites/pauli/congruence/csg23.html#group234E23", "234E²³")</f>
        <v/>
      </c>
      <c r="B7858" t="n">
        <v>23</v>
      </c>
      <c r="C7858" t="inlineStr"/>
      <c r="D7858" t="inlineStr">
        <is>
          <t>336</t>
        </is>
      </c>
      <c r="E7858" t="inlineStr">
        <is>
          <t>2</t>
        </is>
      </c>
      <c r="F7858" t="inlineStr">
        <is>
          <t>56</t>
        </is>
      </c>
      <c r="G7858" t="inlineStr">
        <is>
          <t>0</t>
        </is>
      </c>
      <c r="H7858" t="inlineStr">
        <is>
          <t>6</t>
        </is>
      </c>
      <c r="I7858" t="inlineStr">
        <is>
          <t>2³, 18¹, 26³, 234¹</t>
        </is>
      </c>
      <c r="J7858" t="n">
        <v>8</v>
      </c>
      <c r="K7858" t="inlineStr">
        <is>
          <t>2⁸, 24⁴</t>
        </is>
      </c>
      <c r="L7858" t="inlineStr">
        <is>
          <t>78C⁷, 117A¹⁰</t>
        </is>
      </c>
      <c r="M7858" t="inlineStr"/>
      <c r="N7858" t="inlineStr">
        <is>
          <t>3B⁰, 2A⁰, 26A¹, 39A³, 78C⁷, 6C⁰, 13A⁰, 1A⁰, 117A¹⁰</t>
        </is>
      </c>
      <c r="O7858" t="inlineStr"/>
    </row>
    <row r="7859">
      <c r="A7859">
        <f>HYPERLINK("https://mathstats.uncg.edu/sites/pauli/congruence/csg23.html#group235A23", "235A²³")</f>
        <v/>
      </c>
      <c r="B7859" t="n">
        <v>23</v>
      </c>
      <c r="C7859" t="inlineStr">
        <is>
          <t>Γ₀(235)</t>
        </is>
      </c>
      <c r="D7859" t="inlineStr">
        <is>
          <t>288</t>
        </is>
      </c>
      <c r="E7859" t="inlineStr">
        <is>
          <t>1</t>
        </is>
      </c>
      <c r="F7859" t="inlineStr">
        <is>
          <t>288</t>
        </is>
      </c>
      <c r="G7859" t="inlineStr">
        <is>
          <t>0</t>
        </is>
      </c>
      <c r="H7859" t="inlineStr">
        <is>
          <t>0</t>
        </is>
      </c>
      <c r="I7859" t="inlineStr">
        <is>
          <t>1¹, 5¹, 47¹, 235¹</t>
        </is>
      </c>
      <c r="J7859" t="n">
        <v>4</v>
      </c>
      <c r="K7859" t="inlineStr">
        <is>
          <t>1⁴, 4², 46², 184¹</t>
        </is>
      </c>
      <c r="L7859" t="inlineStr">
        <is>
          <t>5B⁰, 47A⁴</t>
        </is>
      </c>
      <c r="M7859" t="inlineStr"/>
      <c r="N7859" t="inlineStr">
        <is>
          <t>5B⁰, 47A⁴, 1A⁰</t>
        </is>
      </c>
      <c r="O7859" t="inlineStr"/>
    </row>
    <row r="7860">
      <c r="A7860">
        <f>HYPERLINK("https://mathstats.uncg.edu/sites/pauli/congruence/csg23.html#group238A23", "238A²³")</f>
        <v/>
      </c>
      <c r="B7860" t="n">
        <v>23</v>
      </c>
      <c r="C7860" t="inlineStr"/>
      <c r="D7860" t="inlineStr">
        <is>
          <t>288</t>
        </is>
      </c>
      <c r="E7860" t="inlineStr">
        <is>
          <t>1</t>
        </is>
      </c>
      <c r="F7860" t="inlineStr">
        <is>
          <t>144</t>
        </is>
      </c>
      <c r="G7860" t="inlineStr">
        <is>
          <t>0</t>
        </is>
      </c>
      <c r="H7860" t="inlineStr">
        <is>
          <t>0</t>
        </is>
      </c>
      <c r="I7860" t="inlineStr">
        <is>
          <t>2¹, 14¹, 34¹, 238¹</t>
        </is>
      </c>
      <c r="J7860" t="n">
        <v>4</v>
      </c>
      <c r="K7860" t="inlineStr">
        <is>
          <t>1⁴, 6², 16², 96¹</t>
        </is>
      </c>
      <c r="L7860" t="inlineStr">
        <is>
          <t>34A³, 119A¹¹</t>
        </is>
      </c>
      <c r="M7860" t="inlineStr"/>
      <c r="N7860" t="inlineStr">
        <is>
          <t>17A¹, 1A⁰, 119A¹¹, 7B⁰, 34A³</t>
        </is>
      </c>
      <c r="O7860" t="inlineStr"/>
    </row>
    <row r="7861">
      <c r="A7861">
        <f>HYPERLINK("https://mathstats.uncg.edu/sites/pauli/congruence/csg23.html#group238B23", "238B²³")</f>
        <v/>
      </c>
      <c r="B7861" t="n">
        <v>23</v>
      </c>
      <c r="C7861" t="inlineStr"/>
      <c r="D7861" t="inlineStr">
        <is>
          <t>288</t>
        </is>
      </c>
      <c r="E7861" t="inlineStr">
        <is>
          <t>1</t>
        </is>
      </c>
      <c r="F7861" t="inlineStr">
        <is>
          <t>144</t>
        </is>
      </c>
      <c r="G7861" t="inlineStr">
        <is>
          <t>0</t>
        </is>
      </c>
      <c r="H7861" t="inlineStr">
        <is>
          <t>0</t>
        </is>
      </c>
      <c r="I7861" t="inlineStr">
        <is>
          <t>2¹, 14¹, 34¹, 238¹</t>
        </is>
      </c>
      <c r="J7861" t="n">
        <v>4</v>
      </c>
      <c r="K7861" t="inlineStr">
        <is>
          <t>1⁴, 6², 16², 96¹</t>
        </is>
      </c>
      <c r="L7861" t="inlineStr">
        <is>
          <t>14B⁰, 34B³, 119A¹¹</t>
        </is>
      </c>
      <c r="M7861" t="inlineStr"/>
      <c r="N7861" t="inlineStr">
        <is>
          <t>2A⁰, 119A¹¹, 7B⁰, 14B⁰, 17A¹, 34B³, 1A⁰</t>
        </is>
      </c>
      <c r="O7861" t="inlineStr"/>
    </row>
    <row r="7862">
      <c r="A7862">
        <f>HYPERLINK("https://mathstats.uncg.edu/sites/pauli/congruence/csg23.html#group240A23", "240A²³")</f>
        <v/>
      </c>
      <c r="B7862" t="n">
        <v>23</v>
      </c>
      <c r="C7862" t="inlineStr"/>
      <c r="D7862" t="inlineStr">
        <is>
          <t>432</t>
        </is>
      </c>
      <c r="E7862" t="inlineStr">
        <is>
          <t>1</t>
        </is>
      </c>
      <c r="F7862" t="inlineStr">
        <is>
          <t>18</t>
        </is>
      </c>
      <c r="G7862" t="inlineStr">
        <is>
          <t>48</t>
        </is>
      </c>
      <c r="H7862" t="inlineStr">
        <is>
          <t>0</t>
        </is>
      </c>
      <c r="I7862" t="inlineStr">
        <is>
          <t>24¹, 48¹, 120¹, 240¹</t>
        </is>
      </c>
      <c r="J7862" t="n">
        <v>4</v>
      </c>
      <c r="K7862" t="inlineStr">
        <is>
          <t>1⁶, 4³</t>
        </is>
      </c>
      <c r="L7862" t="inlineStr">
        <is>
          <t>80C⁷, 120B¹¹</t>
        </is>
      </c>
      <c r="M7862" t="inlineStr"/>
      <c r="N7862" t="inlineStr">
        <is>
          <t>20E¹, 12C⁰, 4C⁰, 80C⁷, 8B⁰, 5B⁰, 2B⁰, 120B¹¹, 1A⁰, 15B⁰, 30E², 24A⁰, 60A⁵, 10C⁰, 3A⁰, 40D³, 6D⁰</t>
        </is>
      </c>
      <c r="O7862" t="inlineStr"/>
    </row>
    <row r="7863">
      <c r="A7863">
        <f>HYPERLINK("https://mathstats.uncg.edu/sites/pauli/congruence/csg23.html#group240B23", "240B²³")</f>
        <v/>
      </c>
      <c r="B7863" t="n">
        <v>23</v>
      </c>
      <c r="C7863" t="inlineStr"/>
      <c r="D7863" t="inlineStr">
        <is>
          <t>432</t>
        </is>
      </c>
      <c r="E7863" t="inlineStr">
        <is>
          <t>1</t>
        </is>
      </c>
      <c r="F7863" t="inlineStr">
        <is>
          <t>18</t>
        </is>
      </c>
      <c r="G7863" t="inlineStr">
        <is>
          <t>48</t>
        </is>
      </c>
      <c r="H7863" t="inlineStr">
        <is>
          <t>0</t>
        </is>
      </c>
      <c r="I7863" t="inlineStr">
        <is>
          <t>24¹, 48¹, 120¹, 240¹</t>
        </is>
      </c>
      <c r="J7863" t="n">
        <v>4</v>
      </c>
      <c r="K7863" t="inlineStr">
        <is>
          <t>1⁶, 4³</t>
        </is>
      </c>
      <c r="L7863" t="inlineStr">
        <is>
          <t>48A⁰, 80D⁷, 120B¹¹</t>
        </is>
      </c>
      <c r="M7863" t="inlineStr"/>
      <c r="N7863" t="inlineStr">
        <is>
          <t>20E¹, 12C⁰, 4C⁰, 8B⁰, 5B⁰, 48A⁰, 2B⁰, 120B¹¹, 1A⁰, 16B⁰, 15B⁰, 30E², 80D⁷, 24A⁰, 60A⁵, 10C⁰, 3A⁰, 40D³, 6D⁰</t>
        </is>
      </c>
      <c r="O7863" t="inlineStr"/>
    </row>
    <row r="7864">
      <c r="A7864">
        <f>HYPERLINK("https://mathstats.uncg.edu/sites/pauli/congruence/csg23.html#group250A23", "250A²³")</f>
        <v/>
      </c>
      <c r="B7864" t="n">
        <v>23</v>
      </c>
      <c r="C7864" t="inlineStr"/>
      <c r="D7864" t="inlineStr">
        <is>
          <t>300</t>
        </is>
      </c>
      <c r="E7864" t="inlineStr">
        <is>
          <t>1</t>
        </is>
      </c>
      <c r="F7864" t="inlineStr">
        <is>
          <t>150</t>
        </is>
      </c>
      <c r="G7864" t="inlineStr">
        <is>
          <t>0</t>
        </is>
      </c>
      <c r="H7864" t="inlineStr">
        <is>
          <t>0</t>
        </is>
      </c>
      <c r="I7864" t="inlineStr">
        <is>
          <t>10⁵, 250¹</t>
        </is>
      </c>
      <c r="J7864" t="n">
        <v>6</v>
      </c>
      <c r="K7864" t="inlineStr">
        <is>
          <t>2², 4⁴, 20⁴, 100²</t>
        </is>
      </c>
      <c r="L7864" t="inlineStr">
        <is>
          <t>50A³, 125A¹⁰</t>
        </is>
      </c>
      <c r="M7864" t="inlineStr"/>
      <c r="N7864" t="inlineStr">
        <is>
          <t>50A³, 25A⁰, 5B⁰, 10A¹, 2A⁰, 1A⁰, 125A¹⁰</t>
        </is>
      </c>
      <c r="O7864" t="inlineStr"/>
    </row>
    <row r="7865">
      <c r="A7865">
        <f>HYPERLINK("https://mathstats.uncg.edu/sites/pauli/congruence/csg23.html#group250B23", "250B²³")</f>
        <v/>
      </c>
      <c r="B7865" t="n">
        <v>23</v>
      </c>
      <c r="C7865" t="inlineStr"/>
      <c r="D7865" t="inlineStr">
        <is>
          <t>300</t>
        </is>
      </c>
      <c r="E7865" t="inlineStr">
        <is>
          <t>1</t>
        </is>
      </c>
      <c r="F7865" t="inlineStr">
        <is>
          <t>150</t>
        </is>
      </c>
      <c r="G7865" t="inlineStr">
        <is>
          <t>0</t>
        </is>
      </c>
      <c r="H7865" t="inlineStr">
        <is>
          <t>0</t>
        </is>
      </c>
      <c r="I7865" t="inlineStr">
        <is>
          <t>10⁵, 250¹</t>
        </is>
      </c>
      <c r="J7865" t="n">
        <v>6</v>
      </c>
      <c r="K7865" t="inlineStr">
        <is>
          <t>2², 4⁴, 20⁴, 100²</t>
        </is>
      </c>
      <c r="L7865" t="inlineStr">
        <is>
          <t>50A³, 125B¹⁰</t>
        </is>
      </c>
      <c r="M7865" t="inlineStr"/>
      <c r="N7865" t="inlineStr">
        <is>
          <t>50A³, 25A⁰, 5B⁰, 10A¹, 2A⁰, 125B¹⁰, 1A⁰</t>
        </is>
      </c>
      <c r="O7865" t="inlineStr"/>
    </row>
    <row r="7866">
      <c r="A7866">
        <f>HYPERLINK("https://mathstats.uncg.edu/sites/pauli/congruence/csg23.html#group252A23", "252A²³")</f>
        <v/>
      </c>
      <c r="B7866" t="n">
        <v>23</v>
      </c>
      <c r="C7866" t="inlineStr"/>
      <c r="D7866" t="inlineStr">
        <is>
          <t>384</t>
        </is>
      </c>
      <c r="E7866" t="inlineStr">
        <is>
          <t>1</t>
        </is>
      </c>
      <c r="F7866" t="inlineStr">
        <is>
          <t>32</t>
        </is>
      </c>
      <c r="G7866" t="inlineStr">
        <is>
          <t>0</t>
        </is>
      </c>
      <c r="H7866" t="inlineStr">
        <is>
          <t>24</t>
        </is>
      </c>
      <c r="I7866" t="inlineStr">
        <is>
          <t>12¹, 36¹, 84¹, 252¹</t>
        </is>
      </c>
      <c r="J7866" t="n">
        <v>4</v>
      </c>
      <c r="K7866" t="inlineStr">
        <is>
          <t>1⁴, 2², 6², 12¹</t>
        </is>
      </c>
      <c r="L7866" t="inlineStr">
        <is>
          <t>84E⁷, 126C¹¹</t>
        </is>
      </c>
      <c r="M7866" t="inlineStr"/>
      <c r="N7866" t="inlineStr">
        <is>
          <t>3B⁰, 2A⁰, 21B¹, 28A⁰, 18B⁰, 7B⁰, 42E³, 6C⁰, 14B⁰, 9C⁰, 63B⁵, 84E⁷, 126C¹¹, 1A⁰</t>
        </is>
      </c>
      <c r="O7866" t="inlineStr"/>
    </row>
    <row r="7867">
      <c r="A7867">
        <f>HYPERLINK("https://mathstats.uncg.edu/sites/pauli/congruence/csg23.html#group252B23", "252B²³")</f>
        <v/>
      </c>
      <c r="B7867" t="n">
        <v>23</v>
      </c>
      <c r="C7867" t="inlineStr"/>
      <c r="D7867" t="inlineStr">
        <is>
          <t>384</t>
        </is>
      </c>
      <c r="E7867" t="inlineStr">
        <is>
          <t>1</t>
        </is>
      </c>
      <c r="F7867" t="inlineStr">
        <is>
          <t>32</t>
        </is>
      </c>
      <c r="G7867" t="inlineStr">
        <is>
          <t>0</t>
        </is>
      </c>
      <c r="H7867" t="inlineStr">
        <is>
          <t>24</t>
        </is>
      </c>
      <c r="I7867" t="inlineStr">
        <is>
          <t>12¹, 36¹, 84¹, 252¹</t>
        </is>
      </c>
      <c r="J7867" t="n">
        <v>4</v>
      </c>
      <c r="K7867" t="inlineStr">
        <is>
          <t>1⁴, 2², 6², 12¹</t>
        </is>
      </c>
      <c r="L7867" t="inlineStr">
        <is>
          <t>36A⁰, 84D⁷, 126C¹¹</t>
        </is>
      </c>
      <c r="M7867" t="inlineStr"/>
      <c r="N7867" t="inlineStr">
        <is>
          <t>3B⁰, 2A⁰, 21B¹, 18B⁰, 7B⁰, 42E³, 6C⁰, 14B⁰, 63B⁵, 9C⁰, 126C¹¹, 84D⁷, 1A⁰, 36A⁰, 12B⁰</t>
        </is>
      </c>
      <c r="O7867" t="inlineStr"/>
    </row>
    <row r="7868">
      <c r="A7868">
        <f>HYPERLINK("https://mathstats.uncg.edu/sites/pauli/congruence/csg23.html#group253A23", "253A²³")</f>
        <v/>
      </c>
      <c r="B7868" t="n">
        <v>23</v>
      </c>
      <c r="C7868" t="inlineStr">
        <is>
          <t>Γ₀(253)</t>
        </is>
      </c>
      <c r="D7868" t="inlineStr">
        <is>
          <t>288</t>
        </is>
      </c>
      <c r="E7868" t="inlineStr">
        <is>
          <t>1</t>
        </is>
      </c>
      <c r="F7868" t="inlineStr">
        <is>
          <t>288</t>
        </is>
      </c>
      <c r="G7868" t="inlineStr">
        <is>
          <t>0</t>
        </is>
      </c>
      <c r="H7868" t="inlineStr">
        <is>
          <t>0</t>
        </is>
      </c>
      <c r="I7868" t="inlineStr">
        <is>
          <t>1¹, 11¹, 23¹, 253¹</t>
        </is>
      </c>
      <c r="J7868" t="n">
        <v>4</v>
      </c>
      <c r="K7868" t="inlineStr">
        <is>
          <t>1⁴, 10², 22², 220¹</t>
        </is>
      </c>
      <c r="L7868" t="inlineStr">
        <is>
          <t>11A¹, 23A²</t>
        </is>
      </c>
      <c r="M7868" t="inlineStr"/>
      <c r="N7868" t="inlineStr">
        <is>
          <t>1A⁰, 11A¹, 23A²</t>
        </is>
      </c>
      <c r="O7868" t="inlineStr"/>
    </row>
    <row r="7869">
      <c r="A7869">
        <f>HYPERLINK("https://mathstats.uncg.edu/sites/pauli/congruence/csg23.html#group255A23", "255A²³")</f>
        <v/>
      </c>
      <c r="B7869" t="n">
        <v>23</v>
      </c>
      <c r="C7869" t="inlineStr"/>
      <c r="D7869" t="inlineStr">
        <is>
          <t>324</t>
        </is>
      </c>
      <c r="E7869" t="inlineStr">
        <is>
          <t>1</t>
        </is>
      </c>
      <c r="F7869" t="inlineStr">
        <is>
          <t>108</t>
        </is>
      </c>
      <c r="G7869" t="inlineStr">
        <is>
          <t>12</t>
        </is>
      </c>
      <c r="H7869" t="inlineStr">
        <is>
          <t>0</t>
        </is>
      </c>
      <c r="I7869" t="inlineStr">
        <is>
          <t>3¹, 15¹, 51¹, 255¹</t>
        </is>
      </c>
      <c r="J7869" t="n">
        <v>4</v>
      </c>
      <c r="K7869" t="inlineStr">
        <is>
          <t>1⁴, 4², 16², 64¹</t>
        </is>
      </c>
      <c r="L7869" t="inlineStr">
        <is>
          <t>15B⁰, 51A³, 85B⁷</t>
        </is>
      </c>
      <c r="M7869" t="inlineStr"/>
      <c r="N7869" t="inlineStr">
        <is>
          <t>15B⁰, 3A⁰, 51A³, 5B⁰, 17A¹, 85B⁷, 1A⁰</t>
        </is>
      </c>
      <c r="O7869" t="inlineStr"/>
    </row>
    <row r="7870">
      <c r="A7870">
        <f>HYPERLINK("https://mathstats.uncg.edu/sites/pauli/congruence/csg23.html#group259A23", "259A²³")</f>
        <v/>
      </c>
      <c r="B7870" t="n">
        <v>23</v>
      </c>
      <c r="C7870" t="inlineStr">
        <is>
          <t>Γ₀(259)</t>
        </is>
      </c>
      <c r="D7870" t="inlineStr">
        <is>
          <t>304</t>
        </is>
      </c>
      <c r="E7870" t="inlineStr">
        <is>
          <t>1</t>
        </is>
      </c>
      <c r="F7870" t="inlineStr">
        <is>
          <t>304</t>
        </is>
      </c>
      <c r="G7870" t="inlineStr">
        <is>
          <t>0</t>
        </is>
      </c>
      <c r="H7870" t="inlineStr">
        <is>
          <t>4</t>
        </is>
      </c>
      <c r="I7870" t="inlineStr">
        <is>
          <t>1¹, 7¹, 37¹, 259¹</t>
        </is>
      </c>
      <c r="J7870" t="n">
        <v>4</v>
      </c>
      <c r="K7870" t="inlineStr">
        <is>
          <t>1⁴, 6², 36², 216¹</t>
        </is>
      </c>
      <c r="L7870" t="inlineStr">
        <is>
          <t>7B⁰, 37A²</t>
        </is>
      </c>
      <c r="M7870" t="inlineStr"/>
      <c r="N7870" t="inlineStr">
        <is>
          <t>37A², 1A⁰, 7B⁰</t>
        </is>
      </c>
      <c r="O7870" t="inlineStr"/>
    </row>
    <row r="7871">
      <c r="A7871">
        <f>HYPERLINK("https://mathstats.uncg.edu/sites/pauli/congruence/csg23.html#group266A23", "266A²³")</f>
        <v/>
      </c>
      <c r="B7871" t="n">
        <v>23</v>
      </c>
      <c r="C7871" t="inlineStr"/>
      <c r="D7871" t="inlineStr">
        <is>
          <t>320</t>
        </is>
      </c>
      <c r="E7871" t="inlineStr">
        <is>
          <t>1</t>
        </is>
      </c>
      <c r="F7871" t="inlineStr">
        <is>
          <t>160</t>
        </is>
      </c>
      <c r="G7871" t="inlineStr">
        <is>
          <t>0</t>
        </is>
      </c>
      <c r="H7871" t="inlineStr">
        <is>
          <t>8</t>
        </is>
      </c>
      <c r="I7871" t="inlineStr">
        <is>
          <t>2¹, 14¹, 38¹, 266¹</t>
        </is>
      </c>
      <c r="J7871" t="n">
        <v>4</v>
      </c>
      <c r="K7871" t="inlineStr">
        <is>
          <t>1⁴, 6², 18², 108¹</t>
        </is>
      </c>
      <c r="L7871" t="inlineStr">
        <is>
          <t>133B¹¹</t>
        </is>
      </c>
      <c r="M7871" t="inlineStr"/>
      <c r="N7871" t="inlineStr">
        <is>
          <t>19A¹, 1A⁰, 7B⁰, 133B¹¹</t>
        </is>
      </c>
      <c r="O7871" t="inlineStr"/>
    </row>
    <row r="7872">
      <c r="A7872">
        <f>HYPERLINK("https://mathstats.uncg.edu/sites/pauli/congruence/csg23.html#group266B23", "266B²³")</f>
        <v/>
      </c>
      <c r="B7872" t="n">
        <v>23</v>
      </c>
      <c r="C7872" t="inlineStr"/>
      <c r="D7872" t="inlineStr">
        <is>
          <t>320</t>
        </is>
      </c>
      <c r="E7872" t="inlineStr">
        <is>
          <t>1</t>
        </is>
      </c>
      <c r="F7872" t="inlineStr">
        <is>
          <t>160</t>
        </is>
      </c>
      <c r="G7872" t="inlineStr">
        <is>
          <t>0</t>
        </is>
      </c>
      <c r="H7872" t="inlineStr">
        <is>
          <t>8</t>
        </is>
      </c>
      <c r="I7872" t="inlineStr">
        <is>
          <t>2¹, 14¹, 38¹, 266¹</t>
        </is>
      </c>
      <c r="J7872" t="n">
        <v>4</v>
      </c>
      <c r="K7872" t="inlineStr">
        <is>
          <t>1⁴, 6², 18², 108¹</t>
        </is>
      </c>
      <c r="L7872" t="inlineStr">
        <is>
          <t>14B⁰, 38A², 133B¹¹</t>
        </is>
      </c>
      <c r="M7872" t="inlineStr"/>
      <c r="N7872" t="inlineStr">
        <is>
          <t>19A¹, 2A⁰, 133B¹¹, 38A², 7B⁰, 14B⁰, 1A⁰</t>
        </is>
      </c>
      <c r="O7872" t="inlineStr"/>
    </row>
    <row r="7873">
      <c r="A7873">
        <f>HYPERLINK("https://mathstats.uncg.edu/sites/pauli/congruence/csg23.html#group272A23", "272A²³")</f>
        <v/>
      </c>
      <c r="B7873" t="n">
        <v>23</v>
      </c>
      <c r="C7873" t="inlineStr"/>
      <c r="D7873" t="inlineStr">
        <is>
          <t>288</t>
        </is>
      </c>
      <c r="E7873" t="inlineStr">
        <is>
          <t>2</t>
        </is>
      </c>
      <c r="F7873" t="inlineStr">
        <is>
          <t>144</t>
        </is>
      </c>
      <c r="G7873" t="inlineStr">
        <is>
          <t>4</t>
        </is>
      </c>
      <c r="H7873" t="inlineStr">
        <is>
          <t>0</t>
        </is>
      </c>
      <c r="I7873" t="inlineStr">
        <is>
          <t>16¹, 272¹</t>
        </is>
      </c>
      <c r="J7873" t="n">
        <v>2</v>
      </c>
      <c r="K7873" t="inlineStr">
        <is>
          <t>8⁴, 128²</t>
        </is>
      </c>
      <c r="L7873" t="inlineStr">
        <is>
          <t>136B¹¹</t>
        </is>
      </c>
      <c r="M7873" t="inlineStr"/>
      <c r="N7873" t="inlineStr">
        <is>
          <t>8A⁰, 68A⁵, 17A¹, 136B¹¹, 1A⁰, 4A⁰</t>
        </is>
      </c>
      <c r="O7873" t="inlineStr"/>
    </row>
    <row r="7874">
      <c r="A7874">
        <f>HYPERLINK("https://mathstats.uncg.edu/sites/pauli/congruence/csg23.html#group272B23", "272B²³")</f>
        <v/>
      </c>
      <c r="B7874" t="n">
        <v>23</v>
      </c>
      <c r="C7874" t="inlineStr"/>
      <c r="D7874" t="inlineStr">
        <is>
          <t>288</t>
        </is>
      </c>
      <c r="E7874" t="inlineStr">
        <is>
          <t>2</t>
        </is>
      </c>
      <c r="F7874" t="inlineStr">
        <is>
          <t>144</t>
        </is>
      </c>
      <c r="G7874" t="inlineStr">
        <is>
          <t>4</t>
        </is>
      </c>
      <c r="H7874" t="inlineStr">
        <is>
          <t>0</t>
        </is>
      </c>
      <c r="I7874" t="inlineStr">
        <is>
          <t>16¹, 272¹</t>
        </is>
      </c>
      <c r="J7874" t="n">
        <v>2</v>
      </c>
      <c r="K7874" t="inlineStr">
        <is>
          <t>8⁴, 128²</t>
        </is>
      </c>
      <c r="L7874" t="inlineStr">
        <is>
          <t>16A⁰, 136B¹¹</t>
        </is>
      </c>
      <c r="M7874" t="inlineStr"/>
      <c r="N7874" t="inlineStr">
        <is>
          <t>8A⁰, 68A⁵, 17A¹, 136B¹¹, 16A⁰, 1A⁰, 4A⁰</t>
        </is>
      </c>
      <c r="O7874" t="inlineStr"/>
    </row>
    <row r="7875">
      <c r="A7875">
        <f>HYPERLINK("https://mathstats.uncg.edu/sites/pauli/congruence/csg23.html#group274A23", "274A²³")</f>
        <v/>
      </c>
      <c r="B7875" t="n">
        <v>23</v>
      </c>
      <c r="C7875" t="inlineStr"/>
      <c r="D7875" t="inlineStr">
        <is>
          <t>276</t>
        </is>
      </c>
      <c r="E7875" t="inlineStr">
        <is>
          <t>1</t>
        </is>
      </c>
      <c r="F7875" t="inlineStr">
        <is>
          <t>138</t>
        </is>
      </c>
      <c r="G7875" t="inlineStr">
        <is>
          <t>0</t>
        </is>
      </c>
      <c r="H7875" t="inlineStr">
        <is>
          <t>0</t>
        </is>
      </c>
      <c r="I7875" t="inlineStr">
        <is>
          <t>2¹, 274¹</t>
        </is>
      </c>
      <c r="J7875" t="n">
        <v>2</v>
      </c>
      <c r="K7875" t="inlineStr">
        <is>
          <t>1², 136¹</t>
        </is>
      </c>
      <c r="L7875" t="inlineStr">
        <is>
          <t>137A¹¹</t>
        </is>
      </c>
      <c r="M7875" t="inlineStr"/>
      <c r="N7875" t="inlineStr">
        <is>
          <t>137A¹¹, 1A⁰</t>
        </is>
      </c>
      <c r="O7875" t="inlineStr"/>
    </row>
    <row r="7876">
      <c r="A7876">
        <f>HYPERLINK("https://mathstats.uncg.edu/sites/pauli/congruence/csg23.html#group274B23", "274B²³")</f>
        <v/>
      </c>
      <c r="B7876" t="n">
        <v>23</v>
      </c>
      <c r="C7876" t="inlineStr"/>
      <c r="D7876" t="inlineStr">
        <is>
          <t>276</t>
        </is>
      </c>
      <c r="E7876" t="inlineStr">
        <is>
          <t>1</t>
        </is>
      </c>
      <c r="F7876" t="inlineStr">
        <is>
          <t>138</t>
        </is>
      </c>
      <c r="G7876" t="inlineStr">
        <is>
          <t>0</t>
        </is>
      </c>
      <c r="H7876" t="inlineStr">
        <is>
          <t>0</t>
        </is>
      </c>
      <c r="I7876" t="inlineStr">
        <is>
          <t>2¹, 274¹</t>
        </is>
      </c>
      <c r="J7876" t="n">
        <v>2</v>
      </c>
      <c r="K7876" t="inlineStr">
        <is>
          <t>1², 136¹</t>
        </is>
      </c>
      <c r="L7876" t="inlineStr">
        <is>
          <t>2A⁰, 137A¹¹</t>
        </is>
      </c>
      <c r="M7876" t="inlineStr"/>
      <c r="N7876" t="inlineStr">
        <is>
          <t>137A¹¹, 2A⁰, 1A⁰</t>
        </is>
      </c>
      <c r="O7876" t="inlineStr"/>
    </row>
    <row r="7877">
      <c r="A7877">
        <f>HYPERLINK("https://mathstats.uncg.edu/sites/pauli/congruence/csg23.html#group281A23", "281A²³")</f>
        <v/>
      </c>
      <c r="B7877" t="n">
        <v>23</v>
      </c>
      <c r="C7877" t="inlineStr">
        <is>
          <t>Γ₀(281)</t>
        </is>
      </c>
      <c r="D7877" t="inlineStr">
        <is>
          <t>282</t>
        </is>
      </c>
      <c r="E7877" t="inlineStr">
        <is>
          <t>1</t>
        </is>
      </c>
      <c r="F7877" t="inlineStr">
        <is>
          <t>282</t>
        </is>
      </c>
      <c r="G7877" t="inlineStr">
        <is>
          <t>2</t>
        </is>
      </c>
      <c r="H7877" t="inlineStr">
        <is>
          <t>0</t>
        </is>
      </c>
      <c r="I7877" t="inlineStr">
        <is>
          <t>1¹, 281¹</t>
        </is>
      </c>
      <c r="J7877" t="n">
        <v>2</v>
      </c>
      <c r="K7877" t="inlineStr">
        <is>
          <t>1², 280¹</t>
        </is>
      </c>
      <c r="L7877" t="inlineStr">
        <is>
          <t>1A⁰</t>
        </is>
      </c>
      <c r="M7877" t="inlineStr"/>
      <c r="N7877" t="inlineStr">
        <is>
          <t>1A⁰</t>
        </is>
      </c>
      <c r="O7877" t="inlineStr"/>
    </row>
    <row r="7878">
      <c r="A7878">
        <f>HYPERLINK("https://mathstats.uncg.edu/sites/pauli/congruence/csg23.html#group283A23", "283A²³")</f>
        <v/>
      </c>
      <c r="B7878" t="n">
        <v>23</v>
      </c>
      <c r="C7878" t="inlineStr">
        <is>
          <t>Γ₀(283)</t>
        </is>
      </c>
      <c r="D7878" t="inlineStr">
        <is>
          <t>284</t>
        </is>
      </c>
      <c r="E7878" t="inlineStr">
        <is>
          <t>1</t>
        </is>
      </c>
      <c r="F7878" t="inlineStr">
        <is>
          <t>284</t>
        </is>
      </c>
      <c r="G7878" t="inlineStr">
        <is>
          <t>0</t>
        </is>
      </c>
      <c r="H7878" t="inlineStr">
        <is>
          <t>2</t>
        </is>
      </c>
      <c r="I7878" t="inlineStr">
        <is>
          <t>1¹, 283¹</t>
        </is>
      </c>
      <c r="J7878" t="n">
        <v>2</v>
      </c>
      <c r="K7878" t="inlineStr">
        <is>
          <t>1², 282¹</t>
        </is>
      </c>
      <c r="L7878" t="inlineStr">
        <is>
          <t>1A⁰</t>
        </is>
      </c>
      <c r="M7878" t="inlineStr"/>
      <c r="N7878" t="inlineStr">
        <is>
          <t>1A⁰</t>
        </is>
      </c>
      <c r="O7878" t="inlineStr"/>
    </row>
    <row r="7879">
      <c r="A7879">
        <f>HYPERLINK("https://mathstats.uncg.edu/sites/pauli/congruence/csg23.html#group285A23", "285A²³")</f>
        <v/>
      </c>
      <c r="B7879" t="n">
        <v>23</v>
      </c>
      <c r="C7879" t="inlineStr"/>
      <c r="D7879" t="inlineStr">
        <is>
          <t>300</t>
        </is>
      </c>
      <c r="E7879" t="inlineStr">
        <is>
          <t>2</t>
        </is>
      </c>
      <c r="F7879" t="inlineStr">
        <is>
          <t>100</t>
        </is>
      </c>
      <c r="G7879" t="inlineStr">
        <is>
          <t>0</t>
        </is>
      </c>
      <c r="H7879" t="inlineStr">
        <is>
          <t>6</t>
        </is>
      </c>
      <c r="I7879" t="inlineStr">
        <is>
          <t>15¹, 285¹</t>
        </is>
      </c>
      <c r="J7879" t="n">
        <v>2</v>
      </c>
      <c r="K7879" t="inlineStr">
        <is>
          <t>2², 8², 36¹, 144¹</t>
        </is>
      </c>
      <c r="L7879" t="inlineStr">
        <is>
          <t>15A⁰, 95A⁷</t>
        </is>
      </c>
      <c r="M7879" t="inlineStr"/>
      <c r="N7879" t="inlineStr">
        <is>
          <t>19A¹, 5A⁰, 95A⁷, 1A⁰, 15A⁰</t>
        </is>
      </c>
      <c r="O7879" t="inlineStr"/>
    </row>
    <row r="7880">
      <c r="A7880">
        <f>HYPERLINK("https://mathstats.uncg.edu/sites/pauli/congruence/csg23.html#group285B23", "285B²³")</f>
        <v/>
      </c>
      <c r="B7880" t="n">
        <v>23</v>
      </c>
      <c r="C7880" t="inlineStr"/>
      <c r="D7880" t="inlineStr">
        <is>
          <t>300</t>
        </is>
      </c>
      <c r="E7880" t="inlineStr">
        <is>
          <t>2</t>
        </is>
      </c>
      <c r="F7880" t="inlineStr">
        <is>
          <t>100</t>
        </is>
      </c>
      <c r="G7880" t="inlineStr">
        <is>
          <t>0</t>
        </is>
      </c>
      <c r="H7880" t="inlineStr">
        <is>
          <t>6</t>
        </is>
      </c>
      <c r="I7880" t="inlineStr">
        <is>
          <t>15¹, 285¹</t>
        </is>
      </c>
      <c r="J7880" t="n">
        <v>2</v>
      </c>
      <c r="K7880" t="inlineStr">
        <is>
          <t>4², 8⁴, 72¹, 144²</t>
        </is>
      </c>
      <c r="L7880" t="inlineStr">
        <is>
          <t>95A⁷</t>
        </is>
      </c>
      <c r="M7880" t="inlineStr"/>
      <c r="N7880" t="inlineStr">
        <is>
          <t>19A¹, 1A⁰, 5A⁰, 95A⁷</t>
        </is>
      </c>
      <c r="O7880" t="inlineStr"/>
    </row>
    <row r="7881">
      <c r="A7881">
        <f>HYPERLINK("https://mathstats.uncg.edu/sites/pauli/congruence/csg23.html#group285C23", "285C²³")</f>
        <v/>
      </c>
      <c r="B7881" t="n">
        <v>23</v>
      </c>
      <c r="C7881" t="inlineStr"/>
      <c r="D7881" t="inlineStr">
        <is>
          <t>300</t>
        </is>
      </c>
      <c r="E7881" t="inlineStr">
        <is>
          <t>2</t>
        </is>
      </c>
      <c r="F7881" t="inlineStr">
        <is>
          <t>100</t>
        </is>
      </c>
      <c r="G7881" t="inlineStr">
        <is>
          <t>0</t>
        </is>
      </c>
      <c r="H7881" t="inlineStr">
        <is>
          <t>6</t>
        </is>
      </c>
      <c r="I7881" t="inlineStr">
        <is>
          <t>15¹, 285¹</t>
        </is>
      </c>
      <c r="J7881" t="n">
        <v>2</v>
      </c>
      <c r="K7881" t="inlineStr">
        <is>
          <t>4², 8⁴, 72¹, 144²</t>
        </is>
      </c>
      <c r="L7881" t="inlineStr">
        <is>
          <t>95A⁷</t>
        </is>
      </c>
      <c r="M7881" t="inlineStr"/>
      <c r="N7881" t="inlineStr">
        <is>
          <t>19A¹, 1A⁰, 5A⁰, 95A⁷</t>
        </is>
      </c>
      <c r="O7881" t="inlineStr"/>
    </row>
    <row r="7882">
      <c r="A7882">
        <f>HYPERLINK("https://mathstats.uncg.edu/sites/pauli/congruence/csg23.html#group286A23", "286A²³")</f>
        <v/>
      </c>
      <c r="B7882" t="n">
        <v>23</v>
      </c>
      <c r="C7882" t="inlineStr"/>
      <c r="D7882" t="inlineStr">
        <is>
          <t>308</t>
        </is>
      </c>
      <c r="E7882" t="inlineStr">
        <is>
          <t>2</t>
        </is>
      </c>
      <c r="F7882" t="inlineStr">
        <is>
          <t>154</t>
        </is>
      </c>
      <c r="G7882" t="inlineStr">
        <is>
          <t>0</t>
        </is>
      </c>
      <c r="H7882" t="inlineStr">
        <is>
          <t>8</t>
        </is>
      </c>
      <c r="I7882" t="inlineStr">
        <is>
          <t>22¹, 286¹</t>
        </is>
      </c>
      <c r="J7882" t="n">
        <v>2</v>
      </c>
      <c r="K7882" t="inlineStr">
        <is>
          <t>2², 10⁴, 24¹, 120²</t>
        </is>
      </c>
      <c r="L7882" t="inlineStr">
        <is>
          <t>22A¹, 26A¹, 143A¹⁰</t>
        </is>
      </c>
      <c r="M7882" t="inlineStr"/>
      <c r="N7882" t="inlineStr">
        <is>
          <t>143A¹⁰, 11A⁰, 2A⁰, 26A¹, 22A¹, 13A⁰, 1A⁰</t>
        </is>
      </c>
      <c r="O7882" t="inlineStr"/>
    </row>
    <row r="7883">
      <c r="A7883">
        <f>HYPERLINK("https://mathstats.uncg.edu/sites/pauli/congruence/csg23.html#group287A23", "287A²³")</f>
        <v/>
      </c>
      <c r="B7883" t="n">
        <v>23</v>
      </c>
      <c r="C7883" t="inlineStr"/>
      <c r="D7883" t="inlineStr">
        <is>
          <t>294</t>
        </is>
      </c>
      <c r="E7883" t="inlineStr">
        <is>
          <t>2</t>
        </is>
      </c>
      <c r="F7883" t="inlineStr">
        <is>
          <t>294</t>
        </is>
      </c>
      <c r="G7883" t="inlineStr">
        <is>
          <t>6</t>
        </is>
      </c>
      <c r="H7883" t="inlineStr">
        <is>
          <t>0</t>
        </is>
      </c>
      <c r="I7883" t="inlineStr">
        <is>
          <t>7¹, 287¹</t>
        </is>
      </c>
      <c r="J7883" t="n">
        <v>2</v>
      </c>
      <c r="K7883" t="inlineStr">
        <is>
          <t>2², 6⁴, 80¹, 240²</t>
        </is>
      </c>
      <c r="L7883" t="inlineStr">
        <is>
          <t>7A⁰, 41A³</t>
        </is>
      </c>
      <c r="M7883" t="inlineStr"/>
      <c r="N7883" t="inlineStr">
        <is>
          <t>1A⁰, 41A³, 7A⁰</t>
        </is>
      </c>
      <c r="O7883" t="inlineStr"/>
    </row>
    <row r="7884">
      <c r="A7884">
        <f>HYPERLINK("https://mathstats.uncg.edu/sites/pauli/congruence/csg23.html#group288A23", "288A²³")</f>
        <v/>
      </c>
      <c r="B7884" t="n">
        <v>23</v>
      </c>
      <c r="C7884" t="inlineStr"/>
      <c r="D7884" t="inlineStr">
        <is>
          <t>432</t>
        </is>
      </c>
      <c r="E7884" t="inlineStr">
        <is>
          <t>2</t>
        </is>
      </c>
      <c r="F7884" t="inlineStr">
        <is>
          <t>108</t>
        </is>
      </c>
      <c r="G7884" t="inlineStr">
        <is>
          <t>52</t>
        </is>
      </c>
      <c r="H7884" t="inlineStr">
        <is>
          <t>0</t>
        </is>
      </c>
      <c r="I7884" t="inlineStr">
        <is>
          <t>144¹, 288¹</t>
        </is>
      </c>
      <c r="J7884" t="n">
        <v>2</v>
      </c>
      <c r="K7884" t="inlineStr">
        <is>
          <t>4¹⁸, 12¹²</t>
        </is>
      </c>
      <c r="L7884" t="inlineStr">
        <is>
          <t>96A⁵, 144A⁸</t>
        </is>
      </c>
      <c r="M7884" t="inlineStr"/>
      <c r="N7884" t="inlineStr">
        <is>
          <t>12C⁰, 96A⁵, 72E⁴, 4C⁰, 36B², 8B⁰, 48A⁰, 2B⁰, 1A⁰, 16B⁰, 24A⁰, 9A⁰, 144A⁸, 18E¹, 3A⁰, 6D⁰</t>
        </is>
      </c>
      <c r="O7884" t="inlineStr"/>
    </row>
    <row r="7885">
      <c r="A7885">
        <f>HYPERLINK("https://mathstats.uncg.edu/sites/pauli/congruence/csg23.html#group291A23", "291A²³")</f>
        <v/>
      </c>
      <c r="B7885" t="n">
        <v>23</v>
      </c>
      <c r="C7885" t="inlineStr"/>
      <c r="D7885" t="inlineStr">
        <is>
          <t>294</t>
        </is>
      </c>
      <c r="E7885" t="inlineStr">
        <is>
          <t>1</t>
        </is>
      </c>
      <c r="F7885" t="inlineStr">
        <is>
          <t>98</t>
        </is>
      </c>
      <c r="G7885" t="inlineStr">
        <is>
          <t>6</t>
        </is>
      </c>
      <c r="H7885" t="inlineStr">
        <is>
          <t>0</t>
        </is>
      </c>
      <c r="I7885" t="inlineStr">
        <is>
          <t>3¹, 291¹</t>
        </is>
      </c>
      <c r="J7885" t="n">
        <v>2</v>
      </c>
      <c r="K7885" t="inlineStr">
        <is>
          <t>1², 96¹</t>
        </is>
      </c>
      <c r="L7885" t="inlineStr">
        <is>
          <t>3A⁰, 97A⁷</t>
        </is>
      </c>
      <c r="M7885" t="inlineStr"/>
      <c r="N7885" t="inlineStr">
        <is>
          <t>3A⁰, 1A⁰, 97A⁷</t>
        </is>
      </c>
      <c r="O7885" t="inlineStr"/>
    </row>
    <row r="7886">
      <c r="A7886">
        <f>HYPERLINK("https://mathstats.uncg.edu/sites/pauli/congruence/csg23.html#group292A23", "292A²³")</f>
        <v/>
      </c>
      <c r="B7886" t="n">
        <v>23</v>
      </c>
      <c r="C7886" t="inlineStr"/>
      <c r="D7886" t="inlineStr">
        <is>
          <t>296</t>
        </is>
      </c>
      <c r="E7886" t="inlineStr">
        <is>
          <t>1</t>
        </is>
      </c>
      <c r="F7886" t="inlineStr">
        <is>
          <t>296</t>
        </is>
      </c>
      <c r="G7886" t="inlineStr">
        <is>
          <t>4</t>
        </is>
      </c>
      <c r="H7886" t="inlineStr">
        <is>
          <t>2</t>
        </is>
      </c>
      <c r="I7886" t="inlineStr">
        <is>
          <t>4¹, 292¹</t>
        </is>
      </c>
      <c r="J7886" t="n">
        <v>2</v>
      </c>
      <c r="K7886" t="inlineStr">
        <is>
          <t>2⁴, 144²</t>
        </is>
      </c>
      <c r="L7886" t="inlineStr">
        <is>
          <t>4A⁰, 73A⁵</t>
        </is>
      </c>
      <c r="M7886" t="inlineStr"/>
      <c r="N7886" t="inlineStr">
        <is>
          <t>1A⁰, 4A⁰, 73A⁵</t>
        </is>
      </c>
      <c r="O7886" t="inlineStr"/>
    </row>
    <row r="7887">
      <c r="A7887">
        <f>HYPERLINK("https://mathstats.uncg.edu/sites/pauli/congruence/csg23.html#group294A23", "294A²³")</f>
        <v/>
      </c>
      <c r="B7887" t="n">
        <v>23</v>
      </c>
      <c r="C7887" t="inlineStr"/>
      <c r="D7887" t="inlineStr">
        <is>
          <t>336</t>
        </is>
      </c>
      <c r="E7887" t="inlineStr">
        <is>
          <t>1</t>
        </is>
      </c>
      <c r="F7887" t="inlineStr">
        <is>
          <t>112</t>
        </is>
      </c>
      <c r="G7887" t="inlineStr">
        <is>
          <t>0</t>
        </is>
      </c>
      <c r="H7887" t="inlineStr">
        <is>
          <t>6</t>
        </is>
      </c>
      <c r="I7887" t="inlineStr">
        <is>
          <t>6⁷, 294¹</t>
        </is>
      </c>
      <c r="J7887" t="n">
        <v>8</v>
      </c>
      <c r="K7887" t="inlineStr">
        <is>
          <t>2², 12², 84¹</t>
        </is>
      </c>
      <c r="L7887" t="inlineStr">
        <is>
          <t>42B², 98A⁵</t>
        </is>
      </c>
      <c r="M7887" t="inlineStr"/>
      <c r="N7887" t="inlineStr">
        <is>
          <t>42B², 2A⁰, 6A⁰, 98A⁵, 7B⁰, 14B⁰, 49A¹, 1A⁰</t>
        </is>
      </c>
      <c r="O7887" t="inlineStr"/>
    </row>
    <row r="7888">
      <c r="A7888">
        <f>HYPERLINK("https://mathstats.uncg.edu/sites/pauli/congruence/csg23.html#group294B23", "294B²³")</f>
        <v/>
      </c>
      <c r="B7888" t="n">
        <v>23</v>
      </c>
      <c r="C7888" t="inlineStr"/>
      <c r="D7888" t="inlineStr">
        <is>
          <t>336</t>
        </is>
      </c>
      <c r="E7888" t="inlineStr">
        <is>
          <t>2</t>
        </is>
      </c>
      <c r="F7888" t="inlineStr">
        <is>
          <t>56</t>
        </is>
      </c>
      <c r="G7888" t="inlineStr">
        <is>
          <t>0</t>
        </is>
      </c>
      <c r="H7888" t="inlineStr">
        <is>
          <t>6</t>
        </is>
      </c>
      <c r="I7888" t="inlineStr">
        <is>
          <t>6⁷, 294¹</t>
        </is>
      </c>
      <c r="J7888" t="n">
        <v>8</v>
      </c>
      <c r="K7888" t="inlineStr">
        <is>
          <t>2², 12², 84¹</t>
        </is>
      </c>
      <c r="L7888" t="inlineStr">
        <is>
          <t>42C², 98A⁵, 147A¹⁰</t>
        </is>
      </c>
      <c r="M7888" t="inlineStr"/>
      <c r="N7888" t="inlineStr">
        <is>
          <t>2A⁰, 98A⁵, 7B⁰, 14B⁰, 42C², 49A¹, 147A¹⁰, 1A⁰, 21A¹</t>
        </is>
      </c>
      <c r="O7888" t="inlineStr"/>
    </row>
    <row r="7889">
      <c r="A7889">
        <f>HYPERLINK("https://mathstats.uncg.edu/sites/pauli/congruence/csg23.html#group296A23", "296A²³")</f>
        <v/>
      </c>
      <c r="B7889" t="n">
        <v>23</v>
      </c>
      <c r="C7889" t="inlineStr"/>
      <c r="D7889" t="inlineStr">
        <is>
          <t>304</t>
        </is>
      </c>
      <c r="E7889" t="inlineStr">
        <is>
          <t>2</t>
        </is>
      </c>
      <c r="F7889" t="inlineStr">
        <is>
          <t>152</t>
        </is>
      </c>
      <c r="G7889" t="inlineStr">
        <is>
          <t>4</t>
        </is>
      </c>
      <c r="H7889" t="inlineStr">
        <is>
          <t>4</t>
        </is>
      </c>
      <c r="I7889" t="inlineStr">
        <is>
          <t>8¹, 296¹</t>
        </is>
      </c>
      <c r="J7889" t="n">
        <v>2</v>
      </c>
      <c r="K7889" t="inlineStr">
        <is>
          <t>4⁴, 144²</t>
        </is>
      </c>
      <c r="L7889" t="inlineStr">
        <is>
          <t>148A¹¹</t>
        </is>
      </c>
      <c r="M7889" t="inlineStr"/>
      <c r="N7889" t="inlineStr">
        <is>
          <t>37A², 1A⁰, 148A¹¹, 4A⁰</t>
        </is>
      </c>
      <c r="O7889" t="inlineStr"/>
    </row>
    <row r="7890">
      <c r="A7890">
        <f>HYPERLINK("https://mathstats.uncg.edu/sites/pauli/congruence/csg23.html#group296B23", "296B²³")</f>
        <v/>
      </c>
      <c r="B7890" t="n">
        <v>23</v>
      </c>
      <c r="C7890" t="inlineStr"/>
      <c r="D7890" t="inlineStr">
        <is>
          <t>304</t>
        </is>
      </c>
      <c r="E7890" t="inlineStr">
        <is>
          <t>2</t>
        </is>
      </c>
      <c r="F7890" t="inlineStr">
        <is>
          <t>152</t>
        </is>
      </c>
      <c r="G7890" t="inlineStr">
        <is>
          <t>4</t>
        </is>
      </c>
      <c r="H7890" t="inlineStr">
        <is>
          <t>4</t>
        </is>
      </c>
      <c r="I7890" t="inlineStr">
        <is>
          <t>8¹, 296¹</t>
        </is>
      </c>
      <c r="J7890" t="n">
        <v>2</v>
      </c>
      <c r="K7890" t="inlineStr">
        <is>
          <t>4⁴, 144²</t>
        </is>
      </c>
      <c r="L7890" t="inlineStr">
        <is>
          <t>8A⁰, 148A¹¹</t>
        </is>
      </c>
      <c r="M7890" t="inlineStr"/>
      <c r="N7890" t="inlineStr">
        <is>
          <t>8A⁰, 37A², 4A⁰, 1A⁰, 148A¹¹</t>
        </is>
      </c>
      <c r="O7890" t="inlineStr"/>
    </row>
    <row r="7891">
      <c r="A7891">
        <f>HYPERLINK("https://mathstats.uncg.edu/sites/pauli/congruence/csg23.html#group306A23", "306A²³")</f>
        <v/>
      </c>
      <c r="B7891" t="n">
        <v>23</v>
      </c>
      <c r="C7891" t="inlineStr"/>
      <c r="D7891" t="inlineStr">
        <is>
          <t>324</t>
        </is>
      </c>
      <c r="E7891" t="inlineStr">
        <is>
          <t>2</t>
        </is>
      </c>
      <c r="F7891" t="inlineStr">
        <is>
          <t>162</t>
        </is>
      </c>
      <c r="G7891" t="inlineStr">
        <is>
          <t>16</t>
        </is>
      </c>
      <c r="H7891" t="inlineStr">
        <is>
          <t>0</t>
        </is>
      </c>
      <c r="I7891" t="inlineStr">
        <is>
          <t>18¹, 306¹</t>
        </is>
      </c>
      <c r="J7891" t="n">
        <v>2</v>
      </c>
      <c r="K7891" t="inlineStr">
        <is>
          <t>2⁶, 6⁴, 32³, 96²</t>
        </is>
      </c>
      <c r="L7891" t="inlineStr">
        <is>
          <t>102A⁷, 153A¹¹</t>
        </is>
      </c>
      <c r="M7891" t="inlineStr"/>
      <c r="N7891" t="inlineStr">
        <is>
          <t>17A¹, 51A³, 3A⁰, 102A⁷, 153A¹¹, 1A⁰, 9A⁰</t>
        </is>
      </c>
      <c r="O7891" t="inlineStr"/>
    </row>
    <row r="7892">
      <c r="A7892">
        <f>HYPERLINK("https://mathstats.uncg.edu/sites/pauli/congruence/csg23.html#group306B23", "306B²³")</f>
        <v/>
      </c>
      <c r="B7892" t="n">
        <v>23</v>
      </c>
      <c r="C7892" t="inlineStr"/>
      <c r="D7892" t="inlineStr">
        <is>
          <t>324</t>
        </is>
      </c>
      <c r="E7892" t="inlineStr">
        <is>
          <t>2</t>
        </is>
      </c>
      <c r="F7892" t="inlineStr">
        <is>
          <t>162</t>
        </is>
      </c>
      <c r="G7892" t="inlineStr">
        <is>
          <t>16</t>
        </is>
      </c>
      <c r="H7892" t="inlineStr">
        <is>
          <t>0</t>
        </is>
      </c>
      <c r="I7892" t="inlineStr">
        <is>
          <t>18¹, 306¹</t>
        </is>
      </c>
      <c r="J7892" t="n">
        <v>2</v>
      </c>
      <c r="K7892" t="inlineStr">
        <is>
          <t>2⁶, 6⁴, 32³, 96²</t>
        </is>
      </c>
      <c r="L7892" t="inlineStr">
        <is>
          <t>18A⁰, 102B⁷, 153A¹¹</t>
        </is>
      </c>
      <c r="M7892" t="inlineStr"/>
      <c r="N7892" t="inlineStr">
        <is>
          <t>6B⁰, 153A¹¹, 51A³, 102B⁷, 9A⁰, 17A¹, 3A⁰, 1A⁰, 18A⁰</t>
        </is>
      </c>
      <c r="O7892" t="inlineStr"/>
    </row>
    <row r="7893">
      <c r="A7893">
        <f>HYPERLINK("https://mathstats.uncg.edu/sites/pauli/congruence/csg23.html#group312A23", "312A²³")</f>
        <v/>
      </c>
      <c r="B7893" t="n">
        <v>23</v>
      </c>
      <c r="C7893" t="inlineStr"/>
      <c r="D7893" t="inlineStr">
        <is>
          <t>336</t>
        </is>
      </c>
      <c r="E7893" t="inlineStr">
        <is>
          <t>2</t>
        </is>
      </c>
      <c r="F7893" t="inlineStr">
        <is>
          <t>56</t>
        </is>
      </c>
      <c r="G7893" t="inlineStr">
        <is>
          <t>12</t>
        </is>
      </c>
      <c r="H7893" t="inlineStr">
        <is>
          <t>6</t>
        </is>
      </c>
      <c r="I7893" t="inlineStr">
        <is>
          <t>24¹, 312¹</t>
        </is>
      </c>
      <c r="J7893" t="n">
        <v>2</v>
      </c>
      <c r="K7893" t="inlineStr">
        <is>
          <t>8⁴, 96²</t>
        </is>
      </c>
      <c r="L7893" t="inlineStr">
        <is>
          <t>104A⁷, 156A¹⁰</t>
        </is>
      </c>
      <c r="M7893" t="inlineStr"/>
      <c r="N7893" t="inlineStr">
        <is>
          <t>13A⁰, 104A⁷, 39A¹, 52A³, 156A¹⁰, 1A⁰, 4A⁰</t>
        </is>
      </c>
      <c r="O7893" t="inlineStr"/>
    </row>
    <row r="7894">
      <c r="A7894">
        <f>HYPERLINK("https://mathstats.uncg.edu/sites/pauli/congruence/csg23.html#group312B23", "312B²³")</f>
        <v/>
      </c>
      <c r="B7894" t="n">
        <v>23</v>
      </c>
      <c r="C7894" t="inlineStr"/>
      <c r="D7894" t="inlineStr">
        <is>
          <t>336</t>
        </is>
      </c>
      <c r="E7894" t="inlineStr">
        <is>
          <t>2</t>
        </is>
      </c>
      <c r="F7894" t="inlineStr">
        <is>
          <t>56</t>
        </is>
      </c>
      <c r="G7894" t="inlineStr">
        <is>
          <t>12</t>
        </is>
      </c>
      <c r="H7894" t="inlineStr">
        <is>
          <t>6</t>
        </is>
      </c>
      <c r="I7894" t="inlineStr">
        <is>
          <t>24¹, 312¹</t>
        </is>
      </c>
      <c r="J7894" t="n">
        <v>2</v>
      </c>
      <c r="K7894" t="inlineStr">
        <is>
          <t>8⁴, 96²</t>
        </is>
      </c>
      <c r="L7894" t="inlineStr">
        <is>
          <t>104A⁷, 156A¹⁰</t>
        </is>
      </c>
      <c r="M7894" t="inlineStr"/>
      <c r="N7894" t="inlineStr">
        <is>
          <t>13A⁰, 104A⁷, 39A¹, 52A³, 156A¹⁰, 1A⁰, 4A⁰</t>
        </is>
      </c>
      <c r="O7894" t="inlineStr"/>
    </row>
    <row r="7895">
      <c r="A7895">
        <f>HYPERLINK("https://mathstats.uncg.edu/sites/pauli/congruence/csg23.html#group312C23", "312C²³")</f>
        <v/>
      </c>
      <c r="B7895" t="n">
        <v>23</v>
      </c>
      <c r="C7895" t="inlineStr"/>
      <c r="D7895" t="inlineStr">
        <is>
          <t>336</t>
        </is>
      </c>
      <c r="E7895" t="inlineStr">
        <is>
          <t>2</t>
        </is>
      </c>
      <c r="F7895" t="inlineStr">
        <is>
          <t>56</t>
        </is>
      </c>
      <c r="G7895" t="inlineStr">
        <is>
          <t>12</t>
        </is>
      </c>
      <c r="H7895" t="inlineStr">
        <is>
          <t>6</t>
        </is>
      </c>
      <c r="I7895" t="inlineStr">
        <is>
          <t>24¹, 312¹</t>
        </is>
      </c>
      <c r="J7895" t="n">
        <v>2</v>
      </c>
      <c r="K7895" t="inlineStr">
        <is>
          <t>8⁴, 96²</t>
        </is>
      </c>
      <c r="L7895" t="inlineStr">
        <is>
          <t>104B⁷, 156A¹⁰</t>
        </is>
      </c>
      <c r="M7895" t="inlineStr"/>
      <c r="N7895" t="inlineStr">
        <is>
          <t>52A³, 104B⁷, 4A⁰, 8A⁰, 13A⁰, 39A¹, 156A¹⁰, 1A⁰</t>
        </is>
      </c>
      <c r="O7895" t="inlineStr"/>
    </row>
    <row r="7896">
      <c r="A7896">
        <f>HYPERLINK("https://mathstats.uncg.edu/sites/pauli/congruence/csg23.html#group312D23", "312D²³")</f>
        <v/>
      </c>
      <c r="B7896" t="n">
        <v>23</v>
      </c>
      <c r="C7896" t="inlineStr"/>
      <c r="D7896" t="inlineStr">
        <is>
          <t>336</t>
        </is>
      </c>
      <c r="E7896" t="inlineStr">
        <is>
          <t>2</t>
        </is>
      </c>
      <c r="F7896" t="inlineStr">
        <is>
          <t>56</t>
        </is>
      </c>
      <c r="G7896" t="inlineStr">
        <is>
          <t>12</t>
        </is>
      </c>
      <c r="H7896" t="inlineStr">
        <is>
          <t>6</t>
        </is>
      </c>
      <c r="I7896" t="inlineStr">
        <is>
          <t>24¹, 312¹</t>
        </is>
      </c>
      <c r="J7896" t="n">
        <v>2</v>
      </c>
      <c r="K7896" t="inlineStr">
        <is>
          <t>8⁴, 96²</t>
        </is>
      </c>
      <c r="L7896" t="inlineStr">
        <is>
          <t>104B⁷, 156A¹⁰</t>
        </is>
      </c>
      <c r="M7896" t="inlineStr"/>
      <c r="N7896" t="inlineStr">
        <is>
          <t>52A³, 104B⁷, 4A⁰, 8A⁰, 13A⁰, 39A¹, 156A¹⁰, 1A⁰</t>
        </is>
      </c>
      <c r="O7896" t="inlineStr"/>
    </row>
    <row r="7897">
      <c r="A7897">
        <f>HYPERLINK("https://mathstats.uncg.edu/sites/pauli/congruence/csg23.html#group315A23", "315A²³")</f>
        <v/>
      </c>
      <c r="B7897" t="n">
        <v>23</v>
      </c>
      <c r="C7897" t="inlineStr"/>
      <c r="D7897" t="inlineStr">
        <is>
          <t>315</t>
        </is>
      </c>
      <c r="E7897" t="inlineStr">
        <is>
          <t>2</t>
        </is>
      </c>
      <c r="F7897" t="inlineStr">
        <is>
          <t>315</t>
        </is>
      </c>
      <c r="G7897" t="inlineStr">
        <is>
          <t>15</t>
        </is>
      </c>
      <c r="H7897" t="inlineStr">
        <is>
          <t>0</t>
        </is>
      </c>
      <c r="I7897" t="inlineStr">
        <is>
          <t>315¹</t>
        </is>
      </c>
      <c r="J7897" t="n">
        <v>1</v>
      </c>
      <c r="K7897" t="inlineStr">
        <is>
          <t>2¹, 4¹, 6², 8¹, 12³, 16¹, 24², 36², 48³, 144²</t>
        </is>
      </c>
      <c r="L7897" t="inlineStr">
        <is>
          <t>63A², 45A³, 105A⁷</t>
        </is>
      </c>
      <c r="M7897" t="inlineStr"/>
      <c r="N7897" t="inlineStr">
        <is>
          <t>5A⁰, 9A⁰, 21A⁰, 35A², 7A⁰, 3A⁰, 1A⁰, 105A⁷, 15A¹, 63A², 45A³</t>
        </is>
      </c>
      <c r="O7897" t="inlineStr"/>
    </row>
    <row r="7898">
      <c r="A7898">
        <f>HYPERLINK("https://mathstats.uncg.edu/sites/pauli/congruence/csg23.html#group338A23", "338A²³")</f>
        <v/>
      </c>
      <c r="B7898" t="n">
        <v>23</v>
      </c>
      <c r="C7898" t="inlineStr"/>
      <c r="D7898" t="inlineStr">
        <is>
          <t>364</t>
        </is>
      </c>
      <c r="E7898" t="inlineStr">
        <is>
          <t>1</t>
        </is>
      </c>
      <c r="F7898" t="inlineStr">
        <is>
          <t>182</t>
        </is>
      </c>
      <c r="G7898" t="inlineStr">
        <is>
          <t>0</t>
        </is>
      </c>
      <c r="H7898" t="inlineStr">
        <is>
          <t>4</t>
        </is>
      </c>
      <c r="I7898" t="inlineStr">
        <is>
          <t>2¹³, 338¹</t>
        </is>
      </c>
      <c r="J7898" t="n">
        <v>14</v>
      </c>
      <c r="K7898" t="inlineStr">
        <is>
          <t>1², 12², 156¹</t>
        </is>
      </c>
      <c r="L7898" t="inlineStr">
        <is>
          <t>26A¹, 169A⁸</t>
        </is>
      </c>
      <c r="M7898" t="inlineStr"/>
      <c r="N7898" t="inlineStr">
        <is>
          <t>13A⁰, 2A⁰, 26A¹, 1A⁰, 169A⁸</t>
        </is>
      </c>
      <c r="O7898" t="inlineStr"/>
    </row>
    <row r="7899">
      <c r="A7899">
        <f>HYPERLINK("https://mathstats.uncg.edu/sites/pauli/congruence/csg24.html#group13A24", "13A²⁴")</f>
        <v/>
      </c>
      <c r="B7899" t="n">
        <v>24</v>
      </c>
      <c r="C7899" t="inlineStr"/>
      <c r="D7899" t="inlineStr">
        <is>
          <t>546</t>
        </is>
      </c>
      <c r="E7899" t="inlineStr">
        <is>
          <t>1</t>
        </is>
      </c>
      <c r="F7899" t="inlineStr">
        <is>
          <t>91</t>
        </is>
      </c>
      <c r="G7899" t="inlineStr">
        <is>
          <t>6</t>
        </is>
      </c>
      <c r="H7899" t="inlineStr">
        <is>
          <t>0</t>
        </is>
      </c>
      <c r="I7899" t="inlineStr">
        <is>
          <t>13⁴²</t>
        </is>
      </c>
      <c r="J7899" t="n">
        <v>42</v>
      </c>
      <c r="K7899" t="inlineStr">
        <is>
          <t>1¹, 6¹, 12⁷</t>
        </is>
      </c>
      <c r="L7899" t="inlineStr">
        <is>
          <t>13C⁰, 13A³, 13A⁷, 13B⁷, 13B⁸, 13A¹¹</t>
        </is>
      </c>
      <c r="M7899" t="inlineStr"/>
      <c r="N7899" t="inlineStr">
        <is>
          <t>13B⁷, 13B⁸, 13A⁷, 13B³, 13A⁰, 13C³, 13A³, 13A¹¹, 13C⁰, 1A⁰</t>
        </is>
      </c>
      <c r="O7899" t="inlineStr"/>
    </row>
    <row r="7900">
      <c r="A7900">
        <f>HYPERLINK("https://mathstats.uncg.edu/sites/pauli/congruence/csg24.html#group24A24", "24A²⁴")</f>
        <v/>
      </c>
      <c r="B7900" t="n">
        <v>24</v>
      </c>
      <c r="C7900" t="inlineStr"/>
      <c r="D7900" t="inlineStr">
        <is>
          <t>384</t>
        </is>
      </c>
      <c r="E7900" t="inlineStr">
        <is>
          <t>1</t>
        </is>
      </c>
      <c r="F7900" t="inlineStr">
        <is>
          <t>128</t>
        </is>
      </c>
      <c r="G7900" t="inlineStr">
        <is>
          <t>0</t>
        </is>
      </c>
      <c r="H7900" t="inlineStr">
        <is>
          <t>3</t>
        </is>
      </c>
      <c r="I7900" t="inlineStr">
        <is>
          <t>24¹⁶</t>
        </is>
      </c>
      <c r="J7900" t="n">
        <v>16</v>
      </c>
      <c r="K7900" t="inlineStr">
        <is>
          <t>8¹⁶</t>
        </is>
      </c>
      <c r="L7900" t="inlineStr">
        <is>
          <t>12D⁴, 24A⁶, 24C⁶, 24E⁷</t>
        </is>
      </c>
      <c r="M7900" t="inlineStr"/>
      <c r="N7900" t="inlineStr">
        <is>
          <t>2A⁰, 3B⁰, 24C⁴, 12I¹, 12H¹, 24A⁶, 6C⁰, 12E¹, 24C⁶, 8E¹, 1A⁰, 24E⁷, 8F⁰, 12D⁴, 6A⁰, 4A⁰, 4D⁰, 12A¹, 6J⁰</t>
        </is>
      </c>
      <c r="O7900" t="inlineStr"/>
    </row>
    <row r="7901">
      <c r="A7901">
        <f>HYPERLINK("https://mathstats.uncg.edu/sites/pauli/congruence/csg24.html#group29A24", "29A²⁴")</f>
        <v/>
      </c>
      <c r="B7901" t="n">
        <v>24</v>
      </c>
      <c r="C7901" t="inlineStr"/>
      <c r="D7901" t="inlineStr">
        <is>
          <t>406</t>
        </is>
      </c>
      <c r="E7901" t="inlineStr">
        <is>
          <t>1</t>
        </is>
      </c>
      <c r="F7901" t="inlineStr">
        <is>
          <t>406</t>
        </is>
      </c>
      <c r="G7901" t="inlineStr">
        <is>
          <t>14</t>
        </is>
      </c>
      <c r="H7901" t="inlineStr">
        <is>
          <t>1</t>
        </is>
      </c>
      <c r="I7901" t="inlineStr">
        <is>
          <t>29¹⁴</t>
        </is>
      </c>
      <c r="J7901" t="n">
        <v>14</v>
      </c>
      <c r="K7901" t="inlineStr">
        <is>
          <t>14¹, 28¹⁴</t>
        </is>
      </c>
      <c r="L7901" t="inlineStr">
        <is>
          <t>1A⁰</t>
        </is>
      </c>
      <c r="M7901" t="inlineStr"/>
      <c r="N7901" t="inlineStr">
        <is>
          <t>1A⁰</t>
        </is>
      </c>
      <c r="O7901" t="inlineStr"/>
    </row>
    <row r="7902">
      <c r="A7902">
        <f>HYPERLINK("https://mathstats.uncg.edu/sites/pauli/congruence/csg24.html#group30A24", "30A²⁴")</f>
        <v/>
      </c>
      <c r="B7902" t="n">
        <v>24</v>
      </c>
      <c r="C7902" t="inlineStr"/>
      <c r="D7902" t="inlineStr">
        <is>
          <t>360</t>
        </is>
      </c>
      <c r="E7902" t="inlineStr">
        <is>
          <t>2</t>
        </is>
      </c>
      <c r="F7902" t="inlineStr">
        <is>
          <t>180</t>
        </is>
      </c>
      <c r="G7902" t="inlineStr">
        <is>
          <t>4</t>
        </is>
      </c>
      <c r="H7902" t="inlineStr">
        <is>
          <t>0</t>
        </is>
      </c>
      <c r="I7902" t="inlineStr">
        <is>
          <t>30¹²</t>
        </is>
      </c>
      <c r="J7902" t="n">
        <v>12</v>
      </c>
      <c r="K7902" t="inlineStr">
        <is>
          <t>8⁴⁵</t>
        </is>
      </c>
      <c r="L7902" t="inlineStr">
        <is>
          <t>30F⁶, 30F¹¹</t>
        </is>
      </c>
      <c r="M7902" t="inlineStr"/>
      <c r="N7902" t="inlineStr">
        <is>
          <t>15E², 30F¹¹, 5A⁰, 30E³, 10B¹, 2B⁰, 1A⁰, 30F⁶, 15A⁰</t>
        </is>
      </c>
      <c r="O7902" t="inlineStr"/>
    </row>
    <row r="7903">
      <c r="A7903">
        <f>HYPERLINK("https://mathstats.uncg.edu/sites/pauli/congruence/csg24.html#group32A24", "32A²⁴")</f>
        <v/>
      </c>
      <c r="B7903" t="n">
        <v>24</v>
      </c>
      <c r="C7903" t="inlineStr"/>
      <c r="D7903" t="inlineStr">
        <is>
          <t>384</t>
        </is>
      </c>
      <c r="E7903" t="inlineStr">
        <is>
          <t>1</t>
        </is>
      </c>
      <c r="F7903" t="inlineStr">
        <is>
          <t>96</t>
        </is>
      </c>
      <c r="G7903" t="inlineStr">
        <is>
          <t>4</t>
        </is>
      </c>
      <c r="H7903" t="inlineStr">
        <is>
          <t>0</t>
        </is>
      </c>
      <c r="I7903" t="inlineStr">
        <is>
          <t>16⁸, 32⁸</t>
        </is>
      </c>
      <c r="J7903" t="n">
        <v>16</v>
      </c>
      <c r="K7903" t="inlineStr">
        <is>
          <t>4², 8¹¹</t>
        </is>
      </c>
      <c r="L7903" t="inlineStr">
        <is>
          <t>16A¹⁰, 32B¹⁰, 32A¹²</t>
        </is>
      </c>
      <c r="M7903" t="inlineStr"/>
      <c r="N7903" t="inlineStr">
        <is>
          <t>32I⁵, 16I¹, 8D⁰, 4C⁰, 8B⁰, 8A⁰, 16P³, 32A¹², 2B⁰, 32G³, 1A⁰, 8K⁰, 8H¹, 16E², 8D¹, 16A¹⁰, 8H⁰, 16E⁰, 16B⁴, 16D¹, 32C⁶, 4A⁰, 32B¹⁰, 16C¹, 16I⁵, 32E³, 4F⁰, 32P³</t>
        </is>
      </c>
      <c r="O7903" t="inlineStr"/>
    </row>
    <row r="7904">
      <c r="A7904">
        <f>HYPERLINK("https://mathstats.uncg.edu/sites/pauli/congruence/csg24.html#group32B24", "32B²⁴")</f>
        <v/>
      </c>
      <c r="B7904" t="n">
        <v>24</v>
      </c>
      <c r="C7904" t="inlineStr"/>
      <c r="D7904" t="inlineStr">
        <is>
          <t>384</t>
        </is>
      </c>
      <c r="E7904" t="inlineStr">
        <is>
          <t>1</t>
        </is>
      </c>
      <c r="F7904" t="inlineStr">
        <is>
          <t>96</t>
        </is>
      </c>
      <c r="G7904" t="inlineStr">
        <is>
          <t>4</t>
        </is>
      </c>
      <c r="H7904" t="inlineStr">
        <is>
          <t>0</t>
        </is>
      </c>
      <c r="I7904" t="inlineStr">
        <is>
          <t>16⁸, 32⁸</t>
        </is>
      </c>
      <c r="J7904" t="n">
        <v>16</v>
      </c>
      <c r="K7904" t="inlineStr">
        <is>
          <t>4², 8¹¹</t>
        </is>
      </c>
      <c r="L7904" t="inlineStr">
        <is>
          <t>16A¹⁰, 32C¹⁰, 32B¹²</t>
        </is>
      </c>
      <c r="M7904" t="inlineStr"/>
      <c r="N7904" t="inlineStr">
        <is>
          <t>16I¹, 8D⁰, 32D⁶, 4C⁰, 8B⁰, 8A⁰, 32H⁵, 32D¹, 2B⁰, 32I³, 16P³, 32F³, 1A⁰, 8K⁰, 8H¹, 16E², 8D¹, 16A¹⁰, 8H⁰, 32Q³, 16E⁰, 16B⁴, 32C¹⁰, 16D¹, 32C¹, 32B¹², 4A⁰, 16C¹, 16I⁵, 4F⁰, 32H³</t>
        </is>
      </c>
      <c r="O7904" t="inlineStr"/>
    </row>
    <row r="7905">
      <c r="A7905">
        <f>HYPERLINK("https://mathstats.uncg.edu/sites/pauli/congruence/csg24.html#group32C24", "32C²⁴")</f>
        <v/>
      </c>
      <c r="B7905" t="n">
        <v>24</v>
      </c>
      <c r="C7905" t="inlineStr"/>
      <c r="D7905" t="inlineStr">
        <is>
          <t>384</t>
        </is>
      </c>
      <c r="E7905" t="inlineStr">
        <is>
          <t>1</t>
        </is>
      </c>
      <c r="F7905" t="inlineStr">
        <is>
          <t>96</t>
        </is>
      </c>
      <c r="G7905" t="inlineStr">
        <is>
          <t>4</t>
        </is>
      </c>
      <c r="H7905" t="inlineStr">
        <is>
          <t>0</t>
        </is>
      </c>
      <c r="I7905" t="inlineStr">
        <is>
          <t>16⁸, 32⁸</t>
        </is>
      </c>
      <c r="J7905" t="n">
        <v>16</v>
      </c>
      <c r="K7905" t="inlineStr">
        <is>
          <t>4², 8¹¹</t>
        </is>
      </c>
      <c r="L7905" t="inlineStr">
        <is>
          <t>16B¹⁰, 32B¹⁰, 32B¹²</t>
        </is>
      </c>
      <c r="M7905" t="inlineStr"/>
      <c r="N7905" t="inlineStr">
        <is>
          <t>32I⁵, 16A⁰, 16I¹, 8D⁰, 4C⁰, 32D⁶, 8B⁰, 8A⁰, 16G³, 2B⁰, 32F³, 8K⁰, 1A⁰, 8H¹, 8D¹, 16E², 8H⁰, 16L¹, 16E⁰, 16B⁴, 16D¹, 16B¹⁰, 32B¹², 32B¹⁰, 4A⁰, 16C¹, 4F⁰, 16Q³, 32P³, 16J⁵, 16K¹, 32H³</t>
        </is>
      </c>
      <c r="O7905" t="inlineStr"/>
    </row>
    <row r="7906">
      <c r="A7906">
        <f>HYPERLINK("https://mathstats.uncg.edu/sites/pauli/congruence/csg24.html#group32D24", "32D²⁴")</f>
        <v/>
      </c>
      <c r="B7906" t="n">
        <v>24</v>
      </c>
      <c r="C7906" t="inlineStr"/>
      <c r="D7906" t="inlineStr">
        <is>
          <t>384</t>
        </is>
      </c>
      <c r="E7906" t="inlineStr">
        <is>
          <t>1</t>
        </is>
      </c>
      <c r="F7906" t="inlineStr">
        <is>
          <t>96</t>
        </is>
      </c>
      <c r="G7906" t="inlineStr">
        <is>
          <t>4</t>
        </is>
      </c>
      <c r="H7906" t="inlineStr">
        <is>
          <t>0</t>
        </is>
      </c>
      <c r="I7906" t="inlineStr">
        <is>
          <t>16⁸, 32⁸</t>
        </is>
      </c>
      <c r="J7906" t="n">
        <v>16</v>
      </c>
      <c r="K7906" t="inlineStr">
        <is>
          <t>4², 8¹¹</t>
        </is>
      </c>
      <c r="L7906" t="inlineStr">
        <is>
          <t>16B¹⁰, 32C¹⁰, 32A¹²</t>
        </is>
      </c>
      <c r="M7906" t="inlineStr"/>
      <c r="N7906" t="inlineStr">
        <is>
          <t>16I¹, 4C⁰, 8A⁰, 32D¹, 2B⁰, 32G³, 8K⁰, 1A⁰, 8H¹, 16E², 32Q³, 16E⁰, 16B⁴, 16D¹, 16B¹⁰, 16Q³, 16K¹, 16A⁰, 8D⁰, 8B⁰, 32H⁵, 32A¹², 16G³, 32I³, 8D¹, 8H⁰, 16L¹, 32C¹⁰, 32C⁶, 32C¹, 4A⁰, 16C¹, 32E³, 4F⁰, 16J⁵</t>
        </is>
      </c>
      <c r="O7906" t="inlineStr"/>
    </row>
    <row r="7907">
      <c r="A7907">
        <f>HYPERLINK("https://mathstats.uncg.edu/sites/pauli/congruence/csg24.html#group39A24", "39A²⁴")</f>
        <v/>
      </c>
      <c r="B7907" t="n">
        <v>24</v>
      </c>
      <c r="C7907" t="inlineStr"/>
      <c r="D7907" t="inlineStr">
        <is>
          <t>364</t>
        </is>
      </c>
      <c r="E7907" t="inlineStr">
        <is>
          <t>1</t>
        </is>
      </c>
      <c r="F7907" t="inlineStr">
        <is>
          <t>364</t>
        </is>
      </c>
      <c r="G7907" t="inlineStr">
        <is>
          <t>0</t>
        </is>
      </c>
      <c r="H7907" t="inlineStr">
        <is>
          <t>1</t>
        </is>
      </c>
      <c r="I7907" t="inlineStr">
        <is>
          <t>13⁷, 39⁷</t>
        </is>
      </c>
      <c r="J7907" t="n">
        <v>14</v>
      </c>
      <c r="K7907" t="inlineStr">
        <is>
          <t>1², 2¹, 6², 12¹⁵, 24⁷</t>
        </is>
      </c>
      <c r="L7907" t="inlineStr">
        <is>
          <t>3B⁰, 13C³</t>
        </is>
      </c>
      <c r="M7907" t="inlineStr"/>
      <c r="N7907" t="inlineStr">
        <is>
          <t>3B⁰, 1A⁰, 13C³</t>
        </is>
      </c>
      <c r="O7907" t="inlineStr"/>
    </row>
    <row r="7908">
      <c r="A7908">
        <f>HYPERLINK("https://mathstats.uncg.edu/sites/pauli/congruence/csg24.html#group40A24", "40A²⁴")</f>
        <v/>
      </c>
      <c r="B7908" t="n">
        <v>24</v>
      </c>
      <c r="C7908" t="inlineStr"/>
      <c r="D7908" t="inlineStr">
        <is>
          <t>360</t>
        </is>
      </c>
      <c r="E7908" t="inlineStr">
        <is>
          <t>1</t>
        </is>
      </c>
      <c r="F7908" t="inlineStr">
        <is>
          <t>90</t>
        </is>
      </c>
      <c r="G7908" t="inlineStr">
        <is>
          <t>4</t>
        </is>
      </c>
      <c r="H7908" t="inlineStr">
        <is>
          <t>0</t>
        </is>
      </c>
      <c r="I7908" t="inlineStr">
        <is>
          <t>20⁶, 40⁶</t>
        </is>
      </c>
      <c r="J7908" t="n">
        <v>12</v>
      </c>
      <c r="K7908" t="inlineStr">
        <is>
          <t>1², 2⁴, 4⁸, 8⁶</t>
        </is>
      </c>
      <c r="L7908" t="inlineStr">
        <is>
          <t>20B¹⁰, 40G¹⁰, 40A¹²</t>
        </is>
      </c>
      <c r="M7908" t="inlineStr"/>
      <c r="N7908" t="inlineStr">
        <is>
          <t>5A⁰, 20E⁴, 10B¹, 20B², 4C⁰, 20A¹, 2B⁰, 20C⁴, 1A⁰, 10I¹, 40A¹², 4A⁰, 5E⁰, 4F⁰, 40G¹⁰, 20B¹⁰, 20D³</t>
        </is>
      </c>
      <c r="O7908" t="inlineStr"/>
    </row>
    <row r="7909">
      <c r="A7909">
        <f>HYPERLINK("https://mathstats.uncg.edu/sites/pauli/congruence/csg24.html#group40B24", "40B²⁴")</f>
        <v/>
      </c>
      <c r="B7909" t="n">
        <v>24</v>
      </c>
      <c r="C7909" t="inlineStr"/>
      <c r="D7909" t="inlineStr">
        <is>
          <t>360</t>
        </is>
      </c>
      <c r="E7909" t="inlineStr">
        <is>
          <t>1</t>
        </is>
      </c>
      <c r="F7909" t="inlineStr">
        <is>
          <t>90</t>
        </is>
      </c>
      <c r="G7909" t="inlineStr">
        <is>
          <t>4</t>
        </is>
      </c>
      <c r="H7909" t="inlineStr">
        <is>
          <t>0</t>
        </is>
      </c>
      <c r="I7909" t="inlineStr">
        <is>
          <t>20⁶, 40⁶</t>
        </is>
      </c>
      <c r="J7909" t="n">
        <v>12</v>
      </c>
      <c r="K7909" t="inlineStr">
        <is>
          <t>1², 2⁴, 4⁸, 8⁶</t>
        </is>
      </c>
      <c r="L7909" t="inlineStr">
        <is>
          <t>20F¹⁰, 40E¹⁰, 40A¹²</t>
        </is>
      </c>
      <c r="M7909" t="inlineStr"/>
      <c r="N7909" t="inlineStr">
        <is>
          <t>20F¹⁰, 40C⁴, 5A⁰, 40E¹⁰, 10I¹, 40A¹², 20E⁴, 8D⁰, 10B¹, 20B², 4C⁰, 5E⁰, 2B⁰, 1A⁰</t>
        </is>
      </c>
      <c r="O7909" t="inlineStr"/>
    </row>
    <row r="7910">
      <c r="A7910">
        <f>HYPERLINK("https://mathstats.uncg.edu/sites/pauli/congruence/csg24.html#group40C24", "40C²⁴")</f>
        <v/>
      </c>
      <c r="B7910" t="n">
        <v>24</v>
      </c>
      <c r="C7910" t="inlineStr"/>
      <c r="D7910" t="inlineStr">
        <is>
          <t>360</t>
        </is>
      </c>
      <c r="E7910" t="inlineStr">
        <is>
          <t>1</t>
        </is>
      </c>
      <c r="F7910" t="inlineStr">
        <is>
          <t>90</t>
        </is>
      </c>
      <c r="G7910" t="inlineStr">
        <is>
          <t>4</t>
        </is>
      </c>
      <c r="H7910" t="inlineStr">
        <is>
          <t>0</t>
        </is>
      </c>
      <c r="I7910" t="inlineStr">
        <is>
          <t>20⁶, 40⁶</t>
        </is>
      </c>
      <c r="J7910" t="n">
        <v>12</v>
      </c>
      <c r="K7910" t="inlineStr">
        <is>
          <t>2⁶, 4¹⁸, 8¹²</t>
        </is>
      </c>
      <c r="L7910" t="inlineStr">
        <is>
          <t>20F¹⁰, 40G¹⁰, 40A¹²</t>
        </is>
      </c>
      <c r="M7910" t="inlineStr"/>
      <c r="N7910" t="inlineStr">
        <is>
          <t>20F¹⁰, 5A⁰, 10I¹, 40A¹², 20E⁴, 10B¹, 20B², 4C⁰, 5E⁰, 1A⁰, 2B⁰, 40G¹⁰</t>
        </is>
      </c>
      <c r="O7910" t="inlineStr"/>
    </row>
    <row r="7911">
      <c r="A7911">
        <f>HYPERLINK("https://mathstats.uncg.edu/sites/pauli/congruence/csg24.html#group40D24", "40D²⁴")</f>
        <v/>
      </c>
      <c r="B7911" t="n">
        <v>24</v>
      </c>
      <c r="C7911" t="inlineStr"/>
      <c r="D7911" t="inlineStr">
        <is>
          <t>360</t>
        </is>
      </c>
      <c r="E7911" t="inlineStr">
        <is>
          <t>1</t>
        </is>
      </c>
      <c r="F7911" t="inlineStr">
        <is>
          <t>90</t>
        </is>
      </c>
      <c r="G7911" t="inlineStr">
        <is>
          <t>4</t>
        </is>
      </c>
      <c r="H7911" t="inlineStr">
        <is>
          <t>0</t>
        </is>
      </c>
      <c r="I7911" t="inlineStr">
        <is>
          <t>20⁶, 40⁶</t>
        </is>
      </c>
      <c r="J7911" t="n">
        <v>12</v>
      </c>
      <c r="K7911" t="inlineStr">
        <is>
          <t>2⁶, 4¹⁸, 8¹²</t>
        </is>
      </c>
      <c r="L7911" t="inlineStr">
        <is>
          <t>20F¹⁰, 40G¹⁰, 40A¹²</t>
        </is>
      </c>
      <c r="M7911" t="inlineStr"/>
      <c r="N7911" t="inlineStr">
        <is>
          <t>20F¹⁰, 5A⁰, 10I¹, 40A¹², 20E⁴, 10B¹, 20B², 4C⁰, 5E⁰, 1A⁰, 2B⁰, 40G¹⁰</t>
        </is>
      </c>
      <c r="O7911" t="inlineStr"/>
    </row>
    <row r="7912">
      <c r="A7912">
        <f>HYPERLINK("https://mathstats.uncg.edu/sites/pauli/congruence/csg24.html#group40E24", "40E²⁴")</f>
        <v/>
      </c>
      <c r="B7912" t="n">
        <v>24</v>
      </c>
      <c r="C7912" t="inlineStr"/>
      <c r="D7912" t="inlineStr">
        <is>
          <t>360</t>
        </is>
      </c>
      <c r="E7912" t="inlineStr">
        <is>
          <t>1</t>
        </is>
      </c>
      <c r="F7912" t="inlineStr">
        <is>
          <t>180</t>
        </is>
      </c>
      <c r="G7912" t="inlineStr">
        <is>
          <t>4</t>
        </is>
      </c>
      <c r="H7912" t="inlineStr">
        <is>
          <t>0</t>
        </is>
      </c>
      <c r="I7912" t="inlineStr">
        <is>
          <t>20⁶, 40⁶</t>
        </is>
      </c>
      <c r="J7912" t="n">
        <v>12</v>
      </c>
      <c r="K7912" t="inlineStr">
        <is>
          <t>4⁶, 8⁴²</t>
        </is>
      </c>
      <c r="L7912" t="inlineStr">
        <is>
          <t>20C⁹</t>
        </is>
      </c>
      <c r="M7912" t="inlineStr"/>
      <c r="N7912" t="inlineStr">
        <is>
          <t>10C³, 5A⁰, 10I¹, 10B¹, 20C⁵, 5E⁰, 20P³, 2B⁰, 10E¹, 1A⁰, 20C⁹</t>
        </is>
      </c>
      <c r="O7912" t="inlineStr"/>
    </row>
    <row r="7913">
      <c r="A7913">
        <f>HYPERLINK("https://mathstats.uncg.edu/sites/pauli/congruence/csg24.html#group40F24", "40F²⁴")</f>
        <v/>
      </c>
      <c r="B7913" t="n">
        <v>24</v>
      </c>
      <c r="C7913" t="inlineStr"/>
      <c r="D7913" t="inlineStr">
        <is>
          <t>360</t>
        </is>
      </c>
      <c r="E7913" t="inlineStr">
        <is>
          <t>1</t>
        </is>
      </c>
      <c r="F7913" t="inlineStr">
        <is>
          <t>180</t>
        </is>
      </c>
      <c r="G7913" t="inlineStr">
        <is>
          <t>4</t>
        </is>
      </c>
      <c r="H7913" t="inlineStr">
        <is>
          <t>0</t>
        </is>
      </c>
      <c r="I7913" t="inlineStr">
        <is>
          <t>20⁶, 40⁶</t>
        </is>
      </c>
      <c r="J7913" t="n">
        <v>12</v>
      </c>
      <c r="K7913" t="inlineStr">
        <is>
          <t>4⁶, 8⁴²</t>
        </is>
      </c>
      <c r="L7913" t="inlineStr">
        <is>
          <t>20D⁹</t>
        </is>
      </c>
      <c r="M7913" t="inlineStr"/>
      <c r="N7913" t="inlineStr">
        <is>
          <t>20D⁹, 10C³, 5A⁰, 10I¹, 10B¹, 20C⁵, 5E⁰, 20P³, 2B⁰, 10E¹, 1A⁰</t>
        </is>
      </c>
      <c r="O7913" t="inlineStr"/>
    </row>
    <row r="7914">
      <c r="A7914">
        <f>HYPERLINK("https://mathstats.uncg.edu/sites/pauli/congruence/csg24.html#group42A24", "42A²⁴")</f>
        <v/>
      </c>
      <c r="B7914" t="n">
        <v>24</v>
      </c>
      <c r="C7914" t="inlineStr"/>
      <c r="D7914" t="inlineStr">
        <is>
          <t>336</t>
        </is>
      </c>
      <c r="E7914" t="inlineStr">
        <is>
          <t>1</t>
        </is>
      </c>
      <c r="F7914" t="inlineStr">
        <is>
          <t>112</t>
        </is>
      </c>
      <c r="G7914" t="inlineStr">
        <is>
          <t>0</t>
        </is>
      </c>
      <c r="H7914" t="inlineStr">
        <is>
          <t>3</t>
        </is>
      </c>
      <c r="I7914" t="inlineStr">
        <is>
          <t>42⁸</t>
        </is>
      </c>
      <c r="J7914" t="n">
        <v>8</v>
      </c>
      <c r="K7914" t="inlineStr">
        <is>
          <t>2², 12⁹</t>
        </is>
      </c>
      <c r="L7914" t="inlineStr">
        <is>
          <t>42B³, 14E⁵, 42B⁶</t>
        </is>
      </c>
      <c r="M7914" t="inlineStr"/>
      <c r="N7914" t="inlineStr">
        <is>
          <t>2A⁰, 14A⁰, 14A¹, 14G¹, 1A⁰, 14D¹, 14E⁵, 7B⁰, 7C⁰, 42B⁶, 14C³, 14B⁰, 7F⁰, 7A⁰, 7B¹, 42B³</t>
        </is>
      </c>
      <c r="O7914" t="inlineStr"/>
    </row>
    <row r="7915">
      <c r="A7915">
        <f>HYPERLINK("https://mathstats.uncg.edu/sites/pauli/congruence/csg24.html#group42B24", "42B²⁴")</f>
        <v/>
      </c>
      <c r="B7915" t="n">
        <v>24</v>
      </c>
      <c r="C7915" t="inlineStr"/>
      <c r="D7915" t="inlineStr">
        <is>
          <t>336</t>
        </is>
      </c>
      <c r="E7915" t="inlineStr">
        <is>
          <t>2</t>
        </is>
      </c>
      <c r="F7915" t="inlineStr">
        <is>
          <t>112</t>
        </is>
      </c>
      <c r="G7915" t="inlineStr">
        <is>
          <t>0</t>
        </is>
      </c>
      <c r="H7915" t="inlineStr">
        <is>
          <t>3</t>
        </is>
      </c>
      <c r="I7915" t="inlineStr">
        <is>
          <t>42⁸</t>
        </is>
      </c>
      <c r="J7915" t="n">
        <v>8</v>
      </c>
      <c r="K7915" t="inlineStr">
        <is>
          <t>4⁸, 12¹⁶</t>
        </is>
      </c>
      <c r="L7915" t="inlineStr">
        <is>
          <t>42B⁶, 42F⁷</t>
        </is>
      </c>
      <c r="M7915" t="inlineStr"/>
      <c r="N7915" t="inlineStr">
        <is>
          <t>21B³, 2A⁰, 14A⁰, 3B⁰, 14A¹, 42F⁷, 6C⁰, 14D¹, 1A⁰, 21B², 7C⁰, 42B⁶, 42E⁴, 42D⁴, 7A⁰</t>
        </is>
      </c>
      <c r="O7915" t="inlineStr"/>
    </row>
    <row r="7916">
      <c r="A7916">
        <f>HYPERLINK("https://mathstats.uncg.edu/sites/pauli/congruence/csg24.html#group42C24", "42C²⁴")</f>
        <v/>
      </c>
      <c r="B7916" t="n">
        <v>24</v>
      </c>
      <c r="C7916" t="inlineStr"/>
      <c r="D7916" t="inlineStr">
        <is>
          <t>378</t>
        </is>
      </c>
      <c r="E7916" t="inlineStr">
        <is>
          <t>1</t>
        </is>
      </c>
      <c r="F7916" t="inlineStr">
        <is>
          <t>189</t>
        </is>
      </c>
      <c r="G7916" t="inlineStr">
        <is>
          <t>10</t>
        </is>
      </c>
      <c r="H7916" t="inlineStr">
        <is>
          <t>0</t>
        </is>
      </c>
      <c r="I7916" t="inlineStr">
        <is>
          <t>21⁶, 42⁶</t>
        </is>
      </c>
      <c r="J7916" t="n">
        <v>12</v>
      </c>
      <c r="K7916" t="inlineStr">
        <is>
          <t>3³, 6¹², 12⁹</t>
        </is>
      </c>
      <c r="L7916" t="inlineStr">
        <is>
          <t>21C⁶, 42C⁸, 42K¹⁰</t>
        </is>
      </c>
      <c r="M7916" t="inlineStr"/>
      <c r="N7916" t="inlineStr">
        <is>
          <t>21D², 7D⁰, 14B¹, 42K¹⁰, 6G⁰, 21A⁰, 2B⁰, 1A⁰, 21C⁶, 21E¹, 3C⁰, 42C⁸, 14F², 3A⁰, 42C³, 6D⁰, 7A⁰</t>
        </is>
      </c>
      <c r="O7916" t="inlineStr"/>
    </row>
    <row r="7917">
      <c r="A7917">
        <f>HYPERLINK("https://mathstats.uncg.edu/sites/pauli/congruence/csg24.html#group42D24", "42D²⁴")</f>
        <v/>
      </c>
      <c r="B7917" t="n">
        <v>24</v>
      </c>
      <c r="C7917" t="inlineStr"/>
      <c r="D7917" t="inlineStr">
        <is>
          <t>378</t>
        </is>
      </c>
      <c r="E7917" t="inlineStr">
        <is>
          <t>2</t>
        </is>
      </c>
      <c r="F7917" t="inlineStr">
        <is>
          <t>189</t>
        </is>
      </c>
      <c r="G7917" t="inlineStr">
        <is>
          <t>16</t>
        </is>
      </c>
      <c r="H7917" t="inlineStr">
        <is>
          <t>0</t>
        </is>
      </c>
      <c r="I7917" t="inlineStr">
        <is>
          <t>42⁹</t>
        </is>
      </c>
      <c r="J7917" t="n">
        <v>9</v>
      </c>
      <c r="K7917" t="inlineStr">
        <is>
          <t>6²¹, 12²¹</t>
        </is>
      </c>
      <c r="L7917" t="inlineStr">
        <is>
          <t>42D⁶, 42D⁸, 42K¹⁰</t>
        </is>
      </c>
      <c r="M7917" t="inlineStr"/>
      <c r="N7917" t="inlineStr">
        <is>
          <t>42D⁸, 14B¹, 7D⁰, 42K¹⁰, 21A⁰, 42D⁶, 2B⁰, 1A⁰, 42A², 21E¹, 14F², 3A⁰, 42C³, 6D⁰, 7A⁰</t>
        </is>
      </c>
      <c r="O7917" t="inlineStr"/>
    </row>
    <row r="7918">
      <c r="A7918">
        <f>HYPERLINK("https://mathstats.uncg.edu/sites/pauli/congruence/csg24.html#group45A24", "45A²⁴")</f>
        <v/>
      </c>
      <c r="B7918" t="n">
        <v>24</v>
      </c>
      <c r="C7918" t="inlineStr"/>
      <c r="D7918" t="inlineStr">
        <is>
          <t>360</t>
        </is>
      </c>
      <c r="E7918" t="inlineStr">
        <is>
          <t>1</t>
        </is>
      </c>
      <c r="F7918" t="inlineStr">
        <is>
          <t>120</t>
        </is>
      </c>
      <c r="G7918" t="inlineStr">
        <is>
          <t>0</t>
        </is>
      </c>
      <c r="H7918" t="inlineStr">
        <is>
          <t>3</t>
        </is>
      </c>
      <c r="I7918" t="inlineStr">
        <is>
          <t>15⁶, 45⁶</t>
        </is>
      </c>
      <c r="J7918" t="n">
        <v>12</v>
      </c>
      <c r="K7918" t="inlineStr">
        <is>
          <t>2², 4⁶, 8⁴, 12¹, 24²</t>
        </is>
      </c>
      <c r="L7918" t="inlineStr">
        <is>
          <t>9J⁰, 45B⁸</t>
        </is>
      </c>
      <c r="M7918" t="inlineStr"/>
      <c r="N7918" t="inlineStr">
        <is>
          <t>3B⁰, 9J⁰, 45B⁸, 5C⁰, 15C², 9C⁰, 1A⁰</t>
        </is>
      </c>
      <c r="O7918" t="inlineStr"/>
    </row>
    <row r="7919">
      <c r="A7919">
        <f>HYPERLINK("https://mathstats.uncg.edu/sites/pauli/congruence/csg24.html#group50A24", "50A²⁴")</f>
        <v/>
      </c>
      <c r="B7919" t="n">
        <v>24</v>
      </c>
      <c r="C7919" t="inlineStr"/>
      <c r="D7919" t="inlineStr">
        <is>
          <t>450</t>
        </is>
      </c>
      <c r="E7919" t="inlineStr">
        <is>
          <t>1</t>
        </is>
      </c>
      <c r="F7919" t="inlineStr">
        <is>
          <t>225</t>
        </is>
      </c>
      <c r="G7919" t="inlineStr">
        <is>
          <t>2</t>
        </is>
      </c>
      <c r="H7919" t="inlineStr">
        <is>
          <t>0</t>
        </is>
      </c>
      <c r="I7919" t="inlineStr">
        <is>
          <t>5¹⁰, 10¹⁰, 25⁴, 50⁴</t>
        </is>
      </c>
      <c r="J7919" t="n">
        <v>28</v>
      </c>
      <c r="K7919" t="inlineStr">
        <is>
          <t>2⁶, 4¹², 10³, 20¹⁸</t>
        </is>
      </c>
      <c r="L7919" t="inlineStr">
        <is>
          <t>10F², 25E⁶, 50B¹¹</t>
        </is>
      </c>
      <c r="M7919" t="inlineStr"/>
      <c r="N7919" t="inlineStr">
        <is>
          <t>25F², 5A⁰, 10I¹, 10F², 10B¹, 5B⁰, 10C⁰, 5E⁰, 1A⁰, 2B⁰, 25E⁶, 5G⁰, 5C⁰, 50B¹¹, 10F¹</t>
        </is>
      </c>
      <c r="O7919" t="inlineStr"/>
    </row>
    <row r="7920">
      <c r="A7920">
        <f>HYPERLINK("https://mathstats.uncg.edu/sites/pauli/congruence/csg24.html#group50B24", "50B²⁴")</f>
        <v/>
      </c>
      <c r="B7920" t="n">
        <v>24</v>
      </c>
      <c r="C7920" t="inlineStr"/>
      <c r="D7920" t="inlineStr">
        <is>
          <t>450</t>
        </is>
      </c>
      <c r="E7920" t="inlineStr">
        <is>
          <t>1</t>
        </is>
      </c>
      <c r="F7920" t="inlineStr">
        <is>
          <t>225</t>
        </is>
      </c>
      <c r="G7920" t="inlineStr">
        <is>
          <t>2</t>
        </is>
      </c>
      <c r="H7920" t="inlineStr">
        <is>
          <t>0</t>
        </is>
      </c>
      <c r="I7920" t="inlineStr">
        <is>
          <t>5¹⁰, 10¹⁰, 25⁴, 50⁴</t>
        </is>
      </c>
      <c r="J7920" t="n">
        <v>28</v>
      </c>
      <c r="K7920" t="inlineStr">
        <is>
          <t>2⁶, 4¹², 10³, 20¹⁸</t>
        </is>
      </c>
      <c r="L7920" t="inlineStr">
        <is>
          <t>10F², 25F⁶, 50B¹¹</t>
        </is>
      </c>
      <c r="M7920" t="inlineStr"/>
      <c r="N7920" t="inlineStr">
        <is>
          <t>25F², 5A⁰, 10I¹, 10F², 10B¹, 5B⁰, 10C⁰, 5E⁰, 25F⁶, 2B⁰, 1A⁰, 5G⁰, 5C⁰, 50B¹¹, 10F¹</t>
        </is>
      </c>
      <c r="O7920" t="inlineStr"/>
    </row>
    <row r="7921">
      <c r="A7921">
        <f>HYPERLINK("https://mathstats.uncg.edu/sites/pauli/congruence/csg24.html#group52A24", "52A²⁴")</f>
        <v/>
      </c>
      <c r="B7921" t="n">
        <v>24</v>
      </c>
      <c r="C7921" t="inlineStr"/>
      <c r="D7921" t="inlineStr">
        <is>
          <t>364</t>
        </is>
      </c>
      <c r="E7921" t="inlineStr">
        <is>
          <t>1</t>
        </is>
      </c>
      <c r="F7921" t="inlineStr">
        <is>
          <t>364</t>
        </is>
      </c>
      <c r="G7921" t="inlineStr">
        <is>
          <t>14</t>
        </is>
      </c>
      <c r="H7921" t="inlineStr">
        <is>
          <t>1</t>
        </is>
      </c>
      <c r="I7921" t="inlineStr">
        <is>
          <t>52⁷</t>
        </is>
      </c>
      <c r="J7921" t="n">
        <v>7</v>
      </c>
      <c r="K7921" t="inlineStr">
        <is>
          <t>2², 12², 24¹⁴</t>
        </is>
      </c>
      <c r="L7921" t="inlineStr">
        <is>
          <t>4A⁰, 13C³</t>
        </is>
      </c>
      <c r="M7921" t="inlineStr"/>
      <c r="N7921" t="inlineStr">
        <is>
          <t>13C³, 1A⁰, 4A⁰</t>
        </is>
      </c>
      <c r="O7921" t="inlineStr"/>
    </row>
    <row r="7922">
      <c r="A7922">
        <f>HYPERLINK("https://mathstats.uncg.edu/sites/pauli/congruence/csg24.html#group54A24", "54A²⁴")</f>
        <v/>
      </c>
      <c r="B7922" t="n">
        <v>24</v>
      </c>
      <c r="C7922" t="inlineStr"/>
      <c r="D7922" t="inlineStr">
        <is>
          <t>324</t>
        </is>
      </c>
      <c r="E7922" t="inlineStr">
        <is>
          <t>2</t>
        </is>
      </c>
      <c r="F7922" t="inlineStr">
        <is>
          <t>81</t>
        </is>
      </c>
      <c r="G7922" t="inlineStr">
        <is>
          <t>4</t>
        </is>
      </c>
      <c r="H7922" t="inlineStr">
        <is>
          <t>0</t>
        </is>
      </c>
      <c r="I7922" t="inlineStr">
        <is>
          <t>54⁶</t>
        </is>
      </c>
      <c r="J7922" t="n">
        <v>6</v>
      </c>
      <c r="K7922" t="inlineStr">
        <is>
          <t>6⁹, 18⁶</t>
        </is>
      </c>
      <c r="L7922" t="inlineStr">
        <is>
          <t>18B⁶, 54D⁸, 27A¹¹, 54A¹¹</t>
        </is>
      </c>
      <c r="M7922" t="inlineStr"/>
      <c r="N7922" t="inlineStr">
        <is>
          <t>6B⁰, 27A¹¹, 18B⁶, 9G⁰, 18K², 54D⁸, 27B³, 9B², 9E⁰, 1A⁰, 9B¹, 18A⁰, 6E⁰, 9A⁰, 3C⁰, 18F¹, 18G², 3A⁰, 18A¹, 54A¹¹</t>
        </is>
      </c>
      <c r="O7922" t="inlineStr"/>
    </row>
    <row r="7923">
      <c r="A7923">
        <f>HYPERLINK("https://mathstats.uncg.edu/sites/pauli/congruence/csg24.html#group54B24", "54B²⁴")</f>
        <v/>
      </c>
      <c r="B7923" t="n">
        <v>24</v>
      </c>
      <c r="C7923" t="inlineStr"/>
      <c r="D7923" t="inlineStr">
        <is>
          <t>324</t>
        </is>
      </c>
      <c r="E7923" t="inlineStr">
        <is>
          <t>2</t>
        </is>
      </c>
      <c r="F7923" t="inlineStr">
        <is>
          <t>162</t>
        </is>
      </c>
      <c r="G7923" t="inlineStr">
        <is>
          <t>4</t>
        </is>
      </c>
      <c r="H7923" t="inlineStr">
        <is>
          <t>0</t>
        </is>
      </c>
      <c r="I7923" t="inlineStr">
        <is>
          <t>54⁶</t>
        </is>
      </c>
      <c r="J7923" t="n">
        <v>6</v>
      </c>
      <c r="K7923" t="inlineStr">
        <is>
          <t>6¹⁸, 18¹²</t>
        </is>
      </c>
      <c r="L7923" t="inlineStr">
        <is>
          <t>18B⁶, 54B¹¹</t>
        </is>
      </c>
      <c r="M7923" t="inlineStr"/>
      <c r="N7923" t="inlineStr">
        <is>
          <t>6B⁰, 18B⁶, 9G⁰, 18K², 9B², 9E⁰, 1A⁰, 18A⁰, 9B¹, 6E⁰, 9A⁰, 3C⁰, 18F¹, 18G², 3A⁰, 18A¹, 54B¹¹</t>
        </is>
      </c>
      <c r="O7923" t="inlineStr"/>
    </row>
    <row r="7924">
      <c r="A7924">
        <f>HYPERLINK("https://mathstats.uncg.edu/sites/pauli/congruence/csg24.html#group55A24", "55A²⁴")</f>
        <v/>
      </c>
      <c r="B7924" t="n">
        <v>24</v>
      </c>
      <c r="C7924" t="inlineStr"/>
      <c r="D7924" t="inlineStr">
        <is>
          <t>330</t>
        </is>
      </c>
      <c r="E7924" t="inlineStr">
        <is>
          <t>1</t>
        </is>
      </c>
      <c r="F7924" t="inlineStr">
        <is>
          <t>330</t>
        </is>
      </c>
      <c r="G7924" t="inlineStr">
        <is>
          <t>6</t>
        </is>
      </c>
      <c r="H7924" t="inlineStr">
        <is>
          <t>0</t>
        </is>
      </c>
      <c r="I7924" t="inlineStr">
        <is>
          <t>55⁶</t>
        </is>
      </c>
      <c r="J7924" t="n">
        <v>6</v>
      </c>
      <c r="K7924" t="inlineStr">
        <is>
          <t>1¹, 4¹, 5¹, 10⁶, 20¹, 40⁶</t>
        </is>
      </c>
      <c r="L7924" t="inlineStr">
        <is>
          <t>11A², 55A³</t>
        </is>
      </c>
      <c r="M7924" t="inlineStr"/>
      <c r="N7924" t="inlineStr">
        <is>
          <t>11A⁰, 55A³, 5A⁰, 1A⁰, 11A²</t>
        </is>
      </c>
      <c r="O7924" t="inlineStr"/>
    </row>
    <row r="7925">
      <c r="A7925">
        <f>HYPERLINK("https://mathstats.uncg.edu/sites/pauli/congruence/csg24.html#group55B24", "55B²⁴")</f>
        <v/>
      </c>
      <c r="B7925" t="n">
        <v>24</v>
      </c>
      <c r="C7925" t="inlineStr"/>
      <c r="D7925" t="inlineStr">
        <is>
          <t>330</t>
        </is>
      </c>
      <c r="E7925" t="inlineStr">
        <is>
          <t>2</t>
        </is>
      </c>
      <c r="F7925" t="inlineStr">
        <is>
          <t>165</t>
        </is>
      </c>
      <c r="G7925" t="inlineStr">
        <is>
          <t>6</t>
        </is>
      </c>
      <c r="H7925" t="inlineStr">
        <is>
          <t>0</t>
        </is>
      </c>
      <c r="I7925" t="inlineStr">
        <is>
          <t>55⁶</t>
        </is>
      </c>
      <c r="J7925" t="n">
        <v>6</v>
      </c>
      <c r="K7925" t="inlineStr">
        <is>
          <t>2¹, 4¹, 8³, 10², 20², 40⁶</t>
        </is>
      </c>
      <c r="L7925" t="inlineStr">
        <is>
          <t>5G⁰, 55A⁴, 55A⁷, 55A¹¹</t>
        </is>
      </c>
      <c r="M7925" t="inlineStr"/>
      <c r="N7925" t="inlineStr">
        <is>
          <t>11A⁰, 55A⁷, 55A⁴, 5A⁰, 55A³, 5C⁰, 5B⁰, 5E⁰, 1A⁰, 5G⁰, 55A¹¹</t>
        </is>
      </c>
      <c r="O7925" t="inlineStr"/>
    </row>
    <row r="7926">
      <c r="A7926">
        <f>HYPERLINK("https://mathstats.uncg.edu/sites/pauli/congruence/csg24.html#group56A24", "56A²⁴")</f>
        <v/>
      </c>
      <c r="B7926" t="n">
        <v>24</v>
      </c>
      <c r="C7926" t="inlineStr"/>
      <c r="D7926" t="inlineStr">
        <is>
          <t>336</t>
        </is>
      </c>
      <c r="E7926" t="inlineStr">
        <is>
          <t>2</t>
        </is>
      </c>
      <c r="F7926" t="inlineStr">
        <is>
          <t>21</t>
        </is>
      </c>
      <c r="G7926" t="inlineStr">
        <is>
          <t>0</t>
        </is>
      </c>
      <c r="H7926" t="inlineStr">
        <is>
          <t>0</t>
        </is>
      </c>
      <c r="I7926" t="inlineStr">
        <is>
          <t>28⁸, 56²</t>
        </is>
      </c>
      <c r="J7926" t="n">
        <v>10</v>
      </c>
      <c r="K7926" t="inlineStr">
        <is>
          <t>2³, 6⁶</t>
        </is>
      </c>
      <c r="L7926" t="inlineStr">
        <is>
          <t>56F¹¹, 28B¹², 56H¹²</t>
        </is>
      </c>
      <c r="M7926" t="inlineStr"/>
      <c r="N7926" t="inlineStr">
        <is>
          <t>2A⁰, 14B¹, 28B¹², 14B³, 4C⁰, 14A¹, 28A³, 4G⁰, 2B⁰, 4E⁰, 4B⁰, 1A⁰, 56H¹², 56F¹¹, 28A⁴, 4D⁰, 28C⁶, 7A⁰, 28C², 4A⁰, 28D⁵, 4F⁰, 28A¹, 2C⁰</t>
        </is>
      </c>
      <c r="O7926" t="inlineStr"/>
    </row>
    <row r="7927">
      <c r="A7927">
        <f>HYPERLINK("https://mathstats.uncg.edu/sites/pauli/congruence/csg24.html#group56B24", "56B²⁴")</f>
        <v/>
      </c>
      <c r="B7927" t="n">
        <v>24</v>
      </c>
      <c r="C7927" t="inlineStr"/>
      <c r="D7927" t="inlineStr">
        <is>
          <t>336</t>
        </is>
      </c>
      <c r="E7927" t="inlineStr">
        <is>
          <t>2</t>
        </is>
      </c>
      <c r="F7927" t="inlineStr">
        <is>
          <t>21</t>
        </is>
      </c>
      <c r="G7927" t="inlineStr">
        <is>
          <t>0</t>
        </is>
      </c>
      <c r="H7927" t="inlineStr">
        <is>
          <t>0</t>
        </is>
      </c>
      <c r="I7927" t="inlineStr">
        <is>
          <t>28⁸, 56²</t>
        </is>
      </c>
      <c r="J7927" t="n">
        <v>10</v>
      </c>
      <c r="K7927" t="inlineStr">
        <is>
          <t>2³, 6⁶</t>
        </is>
      </c>
      <c r="L7927" t="inlineStr">
        <is>
          <t>8N⁰, 56G¹¹, 28B¹², 56I¹²</t>
        </is>
      </c>
      <c r="M7927" t="inlineStr"/>
      <c r="N7927" t="inlineStr">
        <is>
          <t>2A⁰, 56G¹¹, 14B¹, 28B¹², 56I¹², 14B³, 4C⁰, 14A¹, 28A³, 4G⁰, 2B⁰, 4E⁰, 4B⁰, 8K⁰, 1A⁰, 28A⁴, 4D⁰, 28C⁶, 7A⁰, 8N⁰, 28C², 4A⁰, 28D⁵, 4F⁰, 28A¹, 8J⁰, 2C⁰</t>
        </is>
      </c>
      <c r="O7927" t="inlineStr"/>
    </row>
    <row r="7928">
      <c r="A7928">
        <f>HYPERLINK("https://mathstats.uncg.edu/sites/pauli/congruence/csg24.html#group56C24", "56C²⁴")</f>
        <v/>
      </c>
      <c r="B7928" t="n">
        <v>24</v>
      </c>
      <c r="C7928" t="inlineStr"/>
      <c r="D7928" t="inlineStr">
        <is>
          <t>336</t>
        </is>
      </c>
      <c r="E7928" t="inlineStr">
        <is>
          <t>2</t>
        </is>
      </c>
      <c r="F7928" t="inlineStr">
        <is>
          <t>42</t>
        </is>
      </c>
      <c r="G7928" t="inlineStr">
        <is>
          <t>0</t>
        </is>
      </c>
      <c r="H7928" t="inlineStr">
        <is>
          <t>0</t>
        </is>
      </c>
      <c r="I7928" t="inlineStr">
        <is>
          <t>14⁴, 28², 56⁴</t>
        </is>
      </c>
      <c r="J7928" t="n">
        <v>10</v>
      </c>
      <c r="K7928" t="inlineStr">
        <is>
          <t>2⁴, 4¹, 6⁸, 12²</t>
        </is>
      </c>
      <c r="L7928" t="inlineStr">
        <is>
          <t>56B¹², 56F¹², 56H¹²</t>
        </is>
      </c>
      <c r="M7928" t="inlineStr"/>
      <c r="N7928" t="inlineStr">
        <is>
          <t>2A⁰, 56C⁵, 56C⁶, 14B¹, 14B³, 8D⁰, 4C⁰, 56B¹², 14A¹, 28A³, 8C⁰, 2B⁰, 4E⁰, 4B⁰, 1A⁰, 56H¹², 28C², 8G⁰, 56F¹², 28C⁶, 2C⁰, 7A⁰</t>
        </is>
      </c>
      <c r="O7928" t="inlineStr"/>
    </row>
    <row r="7929">
      <c r="A7929">
        <f>HYPERLINK("https://mathstats.uncg.edu/sites/pauli/congruence/csg24.html#group56D24", "56D²⁴")</f>
        <v/>
      </c>
      <c r="B7929" t="n">
        <v>24</v>
      </c>
      <c r="C7929" t="inlineStr"/>
      <c r="D7929" t="inlineStr">
        <is>
          <t>336</t>
        </is>
      </c>
      <c r="E7929" t="inlineStr">
        <is>
          <t>2</t>
        </is>
      </c>
      <c r="F7929" t="inlineStr">
        <is>
          <t>42</t>
        </is>
      </c>
      <c r="G7929" t="inlineStr">
        <is>
          <t>0</t>
        </is>
      </c>
      <c r="H7929" t="inlineStr">
        <is>
          <t>0</t>
        </is>
      </c>
      <c r="I7929" t="inlineStr">
        <is>
          <t>14⁴, 28², 56⁴</t>
        </is>
      </c>
      <c r="J7929" t="n">
        <v>10</v>
      </c>
      <c r="K7929" t="inlineStr">
        <is>
          <t>2⁴, 4¹, 6⁸, 12²</t>
        </is>
      </c>
      <c r="L7929" t="inlineStr">
        <is>
          <t>8O⁰, 56B¹², 56G¹², 56I¹²</t>
        </is>
      </c>
      <c r="M7929" t="inlineStr"/>
      <c r="N7929" t="inlineStr">
        <is>
          <t>2A⁰, 56C⁵, 56C⁶, 14B¹, 8D⁰, 56I¹², 14B³, 4C⁰, 56B¹², 14A¹, 28A³, 56G¹², 8C⁰, 4E⁰, 2B⁰, 8I⁰, 4B⁰, 1A⁰, 28C², 8G⁰, 28C⁶, 8J⁰, 2C⁰, 7A⁰, 8O⁰</t>
        </is>
      </c>
      <c r="O7929" t="inlineStr"/>
    </row>
    <row r="7930">
      <c r="A7930">
        <f>HYPERLINK("https://mathstats.uncg.edu/sites/pauli/congruence/csg24.html#group56E24", "56E²⁴")</f>
        <v/>
      </c>
      <c r="B7930" t="n">
        <v>24</v>
      </c>
      <c r="C7930" t="inlineStr"/>
      <c r="D7930" t="inlineStr">
        <is>
          <t>336</t>
        </is>
      </c>
      <c r="E7930" t="inlineStr">
        <is>
          <t>2</t>
        </is>
      </c>
      <c r="F7930" t="inlineStr">
        <is>
          <t>84</t>
        </is>
      </c>
      <c r="G7930" t="inlineStr">
        <is>
          <t>0</t>
        </is>
      </c>
      <c r="H7930" t="inlineStr">
        <is>
          <t>0</t>
        </is>
      </c>
      <c r="I7930" t="inlineStr">
        <is>
          <t>14⁴, 28², 56⁴</t>
        </is>
      </c>
      <c r="J7930" t="n">
        <v>10</v>
      </c>
      <c r="K7930" t="inlineStr">
        <is>
          <t>2⁴, 4², 6⁸, 8¹, 12⁴, 24²</t>
        </is>
      </c>
      <c r="L7930" t="inlineStr">
        <is>
          <t>56C¹², 56F¹², 56G¹²</t>
        </is>
      </c>
      <c r="M7930" t="inlineStr"/>
      <c r="N7930" t="inlineStr">
        <is>
          <t>14A⁰, 56C⁶, 14B¹, 14C², 28A³, 56G¹², 8C⁰, 2B⁰, 8I⁰, 4B⁰, 1A⁰, 56F¹², 56B⁶, 28A⁶, 56C¹², 28B³, 7A⁰</t>
        </is>
      </c>
      <c r="O7930" t="inlineStr"/>
    </row>
    <row r="7931">
      <c r="A7931">
        <f>HYPERLINK("https://mathstats.uncg.edu/sites/pauli/congruence/csg24.html#group56F24", "56F²⁴")</f>
        <v/>
      </c>
      <c r="B7931" t="n">
        <v>24</v>
      </c>
      <c r="C7931" t="inlineStr"/>
      <c r="D7931" t="inlineStr">
        <is>
          <t>336</t>
        </is>
      </c>
      <c r="E7931" t="inlineStr">
        <is>
          <t>2</t>
        </is>
      </c>
      <c r="F7931" t="inlineStr">
        <is>
          <t>84</t>
        </is>
      </c>
      <c r="G7931" t="inlineStr">
        <is>
          <t>0</t>
        </is>
      </c>
      <c r="H7931" t="inlineStr">
        <is>
          <t>0</t>
        </is>
      </c>
      <c r="I7931" t="inlineStr">
        <is>
          <t>14⁴, 28², 56⁴</t>
        </is>
      </c>
      <c r="J7931" t="n">
        <v>10</v>
      </c>
      <c r="K7931" t="inlineStr">
        <is>
          <t>2⁸, 4², 6¹⁶, 12⁴</t>
        </is>
      </c>
      <c r="L7931" t="inlineStr">
        <is>
          <t>56A¹², 56H¹², 56I¹²</t>
        </is>
      </c>
      <c r="M7931" t="inlineStr"/>
      <c r="N7931" t="inlineStr">
        <is>
          <t>2A⁰, 56B⁵, 56A¹², 14B³, 14B¹, 56I¹², 4C⁰, 14A¹, 28A³, 2B⁰, 4E⁰, 4B⁰, 1A⁰, 56H¹², 28C², 56B⁶, 28C⁶, 8J⁰, 2C⁰, 7A⁰</t>
        </is>
      </c>
      <c r="O7931" t="inlineStr"/>
    </row>
    <row r="7932">
      <c r="A7932">
        <f>HYPERLINK("https://mathstats.uncg.edu/sites/pauli/congruence/csg24.html#group56G24", "56G²⁴")</f>
        <v/>
      </c>
      <c r="B7932" t="n">
        <v>24</v>
      </c>
      <c r="C7932" t="inlineStr"/>
      <c r="D7932" t="inlineStr">
        <is>
          <t>336</t>
        </is>
      </c>
      <c r="E7932" t="inlineStr">
        <is>
          <t>2</t>
        </is>
      </c>
      <c r="F7932" t="inlineStr">
        <is>
          <t>84</t>
        </is>
      </c>
      <c r="G7932" t="inlineStr">
        <is>
          <t>0</t>
        </is>
      </c>
      <c r="H7932" t="inlineStr">
        <is>
          <t>0</t>
        </is>
      </c>
      <c r="I7932" t="inlineStr">
        <is>
          <t>28⁸, 56²</t>
        </is>
      </c>
      <c r="J7932" t="n">
        <v>10</v>
      </c>
      <c r="K7932" t="inlineStr">
        <is>
          <t>2⁸, 4², 6¹⁶, 12⁴</t>
        </is>
      </c>
      <c r="L7932" t="inlineStr">
        <is>
          <t>28C¹², 56H¹², 56I¹²</t>
        </is>
      </c>
      <c r="M7932" t="inlineStr"/>
      <c r="N7932" t="inlineStr">
        <is>
          <t>2A⁰, 28B⁶, 14B³, 14B¹, 56I¹², 4C⁰, 14A¹, 28A³, 28C⁵, 2B⁰, 4E⁰, 4B⁰, 1A⁰, 56H¹², 28C², 28C¹², 28C⁶, 28B³, 8J⁰, 2C⁰, 28B², 7A⁰</t>
        </is>
      </c>
      <c r="O7932" t="inlineStr"/>
    </row>
    <row r="7933">
      <c r="A7933">
        <f>HYPERLINK("https://mathstats.uncg.edu/sites/pauli/congruence/csg24.html#group56H24", "56H²⁴")</f>
        <v/>
      </c>
      <c r="B7933" t="n">
        <v>24</v>
      </c>
      <c r="C7933" t="inlineStr"/>
      <c r="D7933" t="inlineStr">
        <is>
          <t>336</t>
        </is>
      </c>
      <c r="E7933" t="inlineStr">
        <is>
          <t>2</t>
        </is>
      </c>
      <c r="F7933" t="inlineStr">
        <is>
          <t>84</t>
        </is>
      </c>
      <c r="G7933" t="inlineStr">
        <is>
          <t>8</t>
        </is>
      </c>
      <c r="H7933" t="inlineStr">
        <is>
          <t>0</t>
        </is>
      </c>
      <c r="I7933" t="inlineStr">
        <is>
          <t>56⁶</t>
        </is>
      </c>
      <c r="J7933" t="n">
        <v>6</v>
      </c>
      <c r="K7933" t="inlineStr">
        <is>
          <t>4², 8², 12⁴, 24⁴</t>
        </is>
      </c>
      <c r="L7933" t="inlineStr">
        <is>
          <t>56E¹¹, 56F¹¹, 56K¹²</t>
        </is>
      </c>
      <c r="M7933" t="inlineStr"/>
      <c r="N7933" t="inlineStr">
        <is>
          <t>56B⁵, 56D³, 14B¹, 4C⁰, 8A⁰, 2B⁰, 1A⁰, 8D¹, 28C², 56E¹¹, 56F¹¹, 4A⁰, 28D⁵, 56C³, 4F⁰, 56A⁵, 28A¹, 56K¹², 7A⁰</t>
        </is>
      </c>
      <c r="O7933" t="inlineStr"/>
    </row>
    <row r="7934">
      <c r="A7934">
        <f>HYPERLINK("https://mathstats.uncg.edu/sites/pauli/congruence/csg24.html#group56I24", "56I²⁴")</f>
        <v/>
      </c>
      <c r="B7934" t="n">
        <v>24</v>
      </c>
      <c r="C7934" t="inlineStr"/>
      <c r="D7934" t="inlineStr">
        <is>
          <t>336</t>
        </is>
      </c>
      <c r="E7934" t="inlineStr">
        <is>
          <t>2</t>
        </is>
      </c>
      <c r="F7934" t="inlineStr">
        <is>
          <t>84</t>
        </is>
      </c>
      <c r="G7934" t="inlineStr">
        <is>
          <t>8</t>
        </is>
      </c>
      <c r="H7934" t="inlineStr">
        <is>
          <t>0</t>
        </is>
      </c>
      <c r="I7934" t="inlineStr">
        <is>
          <t>56⁶</t>
        </is>
      </c>
      <c r="J7934" t="n">
        <v>6</v>
      </c>
      <c r="K7934" t="inlineStr">
        <is>
          <t>4², 8², 12⁴, 24⁴</t>
        </is>
      </c>
      <c r="L7934" t="inlineStr">
        <is>
          <t>56E¹¹, 56G¹¹, 56J¹²</t>
        </is>
      </c>
      <c r="M7934" t="inlineStr"/>
      <c r="N7934" t="inlineStr">
        <is>
          <t>56G¹¹, 56B⁵, 56B³, 14B¹, 4C⁰, 56J¹², 2B⁰, 8K⁰, 1A⁰, 28C², 56E¹¹, 4A⁰, 28D⁵, 4F⁰, 56A⁵, 28A¹, 7A⁰, 56A³</t>
        </is>
      </c>
      <c r="O7934" t="inlineStr"/>
    </row>
    <row r="7935">
      <c r="A7935">
        <f>HYPERLINK("https://mathstats.uncg.edu/sites/pauli/congruence/csg24.html#group56J24", "56J²⁴")</f>
        <v/>
      </c>
      <c r="B7935" t="n">
        <v>24</v>
      </c>
      <c r="C7935" t="inlineStr"/>
      <c r="D7935" t="inlineStr">
        <is>
          <t>336</t>
        </is>
      </c>
      <c r="E7935" t="inlineStr">
        <is>
          <t>2</t>
        </is>
      </c>
      <c r="F7935" t="inlineStr">
        <is>
          <t>84</t>
        </is>
      </c>
      <c r="G7935" t="inlineStr">
        <is>
          <t>8</t>
        </is>
      </c>
      <c r="H7935" t="inlineStr">
        <is>
          <t>0</t>
        </is>
      </c>
      <c r="I7935" t="inlineStr">
        <is>
          <t>56⁶</t>
        </is>
      </c>
      <c r="J7935" t="n">
        <v>6</v>
      </c>
      <c r="K7935" t="inlineStr">
        <is>
          <t>4², 8², 12⁴, 24⁴</t>
        </is>
      </c>
      <c r="L7935" t="inlineStr">
        <is>
          <t>56F⁶, 56G⁶, 28A¹⁰, 56J¹², 56K¹²</t>
        </is>
      </c>
      <c r="M7935" t="inlineStr"/>
      <c r="N7935" t="inlineStr">
        <is>
          <t>28E², 14A⁰, 56D³, 56B³, 28B², 28C⁴, 14B¹, 4C⁰, 14C², 8A⁰, 28C⁵, 56J¹², 2B⁰, 1A⁰, 8D¹, 56G⁶, 28A¹⁰, 28C², 4A⁰, 28D⁵, 56C³, 4F⁰, 28A¹, 56K¹², 56F⁶, 7A⁰, 56A³</t>
        </is>
      </c>
      <c r="O7935" t="inlineStr"/>
    </row>
    <row r="7936">
      <c r="A7936">
        <f>HYPERLINK("https://mathstats.uncg.edu/sites/pauli/congruence/csg24.html#group56K24", "56K²⁴")</f>
        <v/>
      </c>
      <c r="B7936" t="n">
        <v>24</v>
      </c>
      <c r="C7936" t="inlineStr"/>
      <c r="D7936" t="inlineStr">
        <is>
          <t>336</t>
        </is>
      </c>
      <c r="E7936" t="inlineStr">
        <is>
          <t>2</t>
        </is>
      </c>
      <c r="F7936" t="inlineStr">
        <is>
          <t>84</t>
        </is>
      </c>
      <c r="G7936" t="inlineStr">
        <is>
          <t>8</t>
        </is>
      </c>
      <c r="H7936" t="inlineStr">
        <is>
          <t>0</t>
        </is>
      </c>
      <c r="I7936" t="inlineStr">
        <is>
          <t>56⁶</t>
        </is>
      </c>
      <c r="J7936" t="n">
        <v>6</v>
      </c>
      <c r="K7936" t="inlineStr">
        <is>
          <t>24¹⁴</t>
        </is>
      </c>
      <c r="L7936" t="inlineStr">
        <is>
          <t>28B¹⁰, 56H¹¹, 56J¹¹</t>
        </is>
      </c>
      <c r="M7936" t="inlineStr"/>
      <c r="N7936" t="inlineStr">
        <is>
          <t>28E², 14A⁰, 28B¹⁰, 56J¹¹, 14B², 7D⁰, 4A⁰, 28B⁴, 28A¹, 1A⁰, 56H¹¹, 7A⁰, 56A³</t>
        </is>
      </c>
      <c r="O7936" t="inlineStr"/>
    </row>
    <row r="7937">
      <c r="A7937">
        <f>HYPERLINK("https://mathstats.uncg.edu/sites/pauli/congruence/csg24.html#group56L24", "56L²⁴")</f>
        <v/>
      </c>
      <c r="B7937" t="n">
        <v>24</v>
      </c>
      <c r="C7937" t="inlineStr"/>
      <c r="D7937" t="inlineStr">
        <is>
          <t>336</t>
        </is>
      </c>
      <c r="E7937" t="inlineStr">
        <is>
          <t>2</t>
        </is>
      </c>
      <c r="F7937" t="inlineStr">
        <is>
          <t>84</t>
        </is>
      </c>
      <c r="G7937" t="inlineStr">
        <is>
          <t>8</t>
        </is>
      </c>
      <c r="H7937" t="inlineStr">
        <is>
          <t>0</t>
        </is>
      </c>
      <c r="I7937" t="inlineStr">
        <is>
          <t>56⁶</t>
        </is>
      </c>
      <c r="J7937" t="n">
        <v>6</v>
      </c>
      <c r="K7937" t="inlineStr">
        <is>
          <t>24¹⁴</t>
        </is>
      </c>
      <c r="L7937" t="inlineStr">
        <is>
          <t>28B¹⁰, 56H¹¹, 56K¹¹</t>
        </is>
      </c>
      <c r="M7937" t="inlineStr"/>
      <c r="N7937" t="inlineStr">
        <is>
          <t>28E², 14A⁰, 28B¹⁰, 56B³, 14B², 7D⁰, 56K¹¹, 4A⁰, 28B⁴, 28A¹, 1A⁰, 56H¹¹, 7A⁰</t>
        </is>
      </c>
      <c r="O7937" t="inlineStr"/>
    </row>
    <row r="7938">
      <c r="A7938">
        <f>HYPERLINK("https://mathstats.uncg.edu/sites/pauli/congruence/csg24.html#group56M24", "56M²⁴")</f>
        <v/>
      </c>
      <c r="B7938" t="n">
        <v>24</v>
      </c>
      <c r="C7938" t="inlineStr"/>
      <c r="D7938" t="inlineStr">
        <is>
          <t>336</t>
        </is>
      </c>
      <c r="E7938" t="inlineStr">
        <is>
          <t>2</t>
        </is>
      </c>
      <c r="F7938" t="inlineStr">
        <is>
          <t>84</t>
        </is>
      </c>
      <c r="G7938" t="inlineStr">
        <is>
          <t>8</t>
        </is>
      </c>
      <c r="H7938" t="inlineStr">
        <is>
          <t>0</t>
        </is>
      </c>
      <c r="I7938" t="inlineStr">
        <is>
          <t>56⁶</t>
        </is>
      </c>
      <c r="J7938" t="n">
        <v>6</v>
      </c>
      <c r="K7938" t="inlineStr">
        <is>
          <t>24¹⁴</t>
        </is>
      </c>
      <c r="L7938" t="inlineStr">
        <is>
          <t>56F⁶, 28B¹⁰, 56I¹¹, 56J¹¹</t>
        </is>
      </c>
      <c r="M7938" t="inlineStr"/>
      <c r="N7938" t="inlineStr">
        <is>
          <t>28E², 14A⁰, 28B¹⁰, 56D³, 14B², 7D⁰, 56I¹¹, 8A⁰, 28B⁴, 1A⁰, 56J¹¹, 4A⁰, 56C³, 28A¹, 56F⁶, 7A⁰, 56A³</t>
        </is>
      </c>
      <c r="O7938" t="inlineStr"/>
    </row>
    <row r="7939">
      <c r="A7939">
        <f>HYPERLINK("https://mathstats.uncg.edu/sites/pauli/congruence/csg24.html#group56N24", "56N²⁴")</f>
        <v/>
      </c>
      <c r="B7939" t="n">
        <v>24</v>
      </c>
      <c r="C7939" t="inlineStr"/>
      <c r="D7939" t="inlineStr">
        <is>
          <t>336</t>
        </is>
      </c>
      <c r="E7939" t="inlineStr">
        <is>
          <t>2</t>
        </is>
      </c>
      <c r="F7939" t="inlineStr">
        <is>
          <t>84</t>
        </is>
      </c>
      <c r="G7939" t="inlineStr">
        <is>
          <t>8</t>
        </is>
      </c>
      <c r="H7939" t="inlineStr">
        <is>
          <t>0</t>
        </is>
      </c>
      <c r="I7939" t="inlineStr">
        <is>
          <t>56⁶</t>
        </is>
      </c>
      <c r="J7939" t="n">
        <v>6</v>
      </c>
      <c r="K7939" t="inlineStr">
        <is>
          <t>24¹⁴</t>
        </is>
      </c>
      <c r="L7939" t="inlineStr">
        <is>
          <t>56G⁶, 28B¹⁰, 56I¹¹, 56K¹¹</t>
        </is>
      </c>
      <c r="M7939" t="inlineStr"/>
      <c r="N7939" t="inlineStr">
        <is>
          <t>28E², 14A⁰, 28B¹⁰, 56B³, 14B², 56D³, 7D⁰, 56I¹¹, 8A⁰, 28B⁴, 1A⁰, 56G⁶, 56K¹¹, 4A⁰, 56C³, 28A¹, 7A⁰</t>
        </is>
      </c>
      <c r="O7939" t="inlineStr"/>
    </row>
    <row r="7940">
      <c r="A7940">
        <f>HYPERLINK("https://mathstats.uncg.edu/sites/pauli/congruence/csg24.html#group57A24", "57A²⁴")</f>
        <v/>
      </c>
      <c r="B7940" t="n">
        <v>24</v>
      </c>
      <c r="C7940" t="inlineStr"/>
      <c r="D7940" t="inlineStr">
        <is>
          <t>342</t>
        </is>
      </c>
      <c r="E7940" t="inlineStr">
        <is>
          <t>2</t>
        </is>
      </c>
      <c r="F7940" t="inlineStr">
        <is>
          <t>171</t>
        </is>
      </c>
      <c r="G7940" t="inlineStr">
        <is>
          <t>10</t>
        </is>
      </c>
      <c r="H7940" t="inlineStr">
        <is>
          <t>0</t>
        </is>
      </c>
      <c r="I7940" t="inlineStr">
        <is>
          <t>57⁶</t>
        </is>
      </c>
      <c r="J7940" t="n">
        <v>6</v>
      </c>
      <c r="K7940" t="inlineStr">
        <is>
          <t>6¹, 12¹, 18⁶, 36⁶</t>
        </is>
      </c>
      <c r="L7940" t="inlineStr">
        <is>
          <t>3C⁰, 57A¹⁰</t>
        </is>
      </c>
      <c r="M7940" t="inlineStr"/>
      <c r="N7940" t="inlineStr">
        <is>
          <t>3C⁰, 57A¹⁰, 3A⁰, 1A⁰, 19A²</t>
        </is>
      </c>
      <c r="O7940" t="inlineStr"/>
    </row>
    <row r="7941">
      <c r="A7941">
        <f>HYPERLINK("https://mathstats.uncg.edu/sites/pauli/congruence/csg24.html#group60A24", "60A²⁴")</f>
        <v/>
      </c>
      <c r="B7941" t="n">
        <v>24</v>
      </c>
      <c r="C7941" t="inlineStr"/>
      <c r="D7941" t="inlineStr">
        <is>
          <t>360</t>
        </is>
      </c>
      <c r="E7941" t="inlineStr">
        <is>
          <t>1</t>
        </is>
      </c>
      <c r="F7941" t="inlineStr">
        <is>
          <t>180</t>
        </is>
      </c>
      <c r="G7941" t="inlineStr">
        <is>
          <t>16</t>
        </is>
      </c>
      <c r="H7941" t="inlineStr">
        <is>
          <t>0</t>
        </is>
      </c>
      <c r="I7941" t="inlineStr">
        <is>
          <t>60⁶</t>
        </is>
      </c>
      <c r="J7941" t="n">
        <v>6</v>
      </c>
      <c r="K7941" t="inlineStr">
        <is>
          <t>2², 4⁴, 8⁸, 16⁶</t>
        </is>
      </c>
      <c r="L7941" t="inlineStr">
        <is>
          <t>30L⁵, 60B¹⁰</t>
        </is>
      </c>
      <c r="M7941" t="inlineStr"/>
      <c r="N7941" t="inlineStr">
        <is>
          <t>5A⁰, 60A³, 12A⁰, 60B¹⁰, 30L⁵, 4A⁰, 60A⁴, 15F¹, 5E⁰, 20A¹, 15A⁰, 3A⁰, 1A⁰, 15A¹, 20D³</t>
        </is>
      </c>
      <c r="O7941" t="inlineStr"/>
    </row>
    <row r="7942">
      <c r="A7942">
        <f>HYPERLINK("https://mathstats.uncg.edu/sites/pauli/congruence/csg24.html#group60B24", "60B²⁴")</f>
        <v/>
      </c>
      <c r="B7942" t="n">
        <v>24</v>
      </c>
      <c r="C7942" t="inlineStr"/>
      <c r="D7942" t="inlineStr">
        <is>
          <t>360</t>
        </is>
      </c>
      <c r="E7942" t="inlineStr">
        <is>
          <t>2</t>
        </is>
      </c>
      <c r="F7942" t="inlineStr">
        <is>
          <t>180</t>
        </is>
      </c>
      <c r="G7942" t="inlineStr">
        <is>
          <t>4</t>
        </is>
      </c>
      <c r="H7942" t="inlineStr">
        <is>
          <t>0</t>
        </is>
      </c>
      <c r="I7942" t="inlineStr">
        <is>
          <t>15⁸, 60⁴</t>
        </is>
      </c>
      <c r="J7942" t="n">
        <v>12</v>
      </c>
      <c r="K7942" t="inlineStr">
        <is>
          <t>8⁴⁵</t>
        </is>
      </c>
      <c r="L7942" t="inlineStr">
        <is>
          <t>30F¹¹</t>
        </is>
      </c>
      <c r="M7942" t="inlineStr"/>
      <c r="N7942" t="inlineStr">
        <is>
          <t>15E², 30F¹¹, 5A⁰, 30E³, 10B¹, 2B⁰, 1A⁰, 15A⁰</t>
        </is>
      </c>
      <c r="O7942" t="inlineStr"/>
    </row>
    <row r="7943">
      <c r="A7943">
        <f>HYPERLINK("https://mathstats.uncg.edu/sites/pauli/congruence/csg24.html#group63A24", "63A²⁴")</f>
        <v/>
      </c>
      <c r="B7943" t="n">
        <v>24</v>
      </c>
      <c r="C7943" t="inlineStr"/>
      <c r="D7943" t="inlineStr">
        <is>
          <t>336</t>
        </is>
      </c>
      <c r="E7943" t="inlineStr">
        <is>
          <t>1</t>
        </is>
      </c>
      <c r="F7943" t="inlineStr">
        <is>
          <t>112</t>
        </is>
      </c>
      <c r="G7943" t="inlineStr">
        <is>
          <t>0</t>
        </is>
      </c>
      <c r="H7943" t="inlineStr">
        <is>
          <t>3</t>
        </is>
      </c>
      <c r="I7943" t="inlineStr">
        <is>
          <t>21⁴, 63⁴</t>
        </is>
      </c>
      <c r="J7943" t="n">
        <v>8</v>
      </c>
      <c r="K7943" t="inlineStr">
        <is>
          <t>1², 2¹, 3², 6⁹, 12⁴</t>
        </is>
      </c>
      <c r="L7943" t="inlineStr">
        <is>
          <t>21B⁶, 63C⁶</t>
        </is>
      </c>
      <c r="M7943" t="inlineStr"/>
      <c r="N7943" t="inlineStr">
        <is>
          <t>3B⁰, 21B², 21B⁶, 63C⁶, 7F⁰, 9C⁰, 1A⁰, 7A⁰</t>
        </is>
      </c>
      <c r="O7943" t="inlineStr"/>
    </row>
    <row r="7944">
      <c r="A7944">
        <f>HYPERLINK("https://mathstats.uncg.edu/sites/pauli/congruence/csg24.html#group63B24", "63B²⁴")</f>
        <v/>
      </c>
      <c r="B7944" t="n">
        <v>24</v>
      </c>
      <c r="C7944" t="inlineStr"/>
      <c r="D7944" t="inlineStr">
        <is>
          <t>378</t>
        </is>
      </c>
      <c r="E7944" t="inlineStr">
        <is>
          <t>1</t>
        </is>
      </c>
      <c r="F7944" t="inlineStr">
        <is>
          <t>189</t>
        </is>
      </c>
      <c r="G7944" t="inlineStr">
        <is>
          <t>22</t>
        </is>
      </c>
      <c r="H7944" t="inlineStr">
        <is>
          <t>0</t>
        </is>
      </c>
      <c r="I7944" t="inlineStr">
        <is>
          <t>63⁶</t>
        </is>
      </c>
      <c r="J7944" t="n">
        <v>6</v>
      </c>
      <c r="K7944" t="inlineStr">
        <is>
          <t>3¹, 6⁴, 12³, 18¹, 36³</t>
        </is>
      </c>
      <c r="L7944" t="inlineStr">
        <is>
          <t>21D⁴, 63D⁹</t>
        </is>
      </c>
      <c r="M7944" t="inlineStr"/>
      <c r="N7944" t="inlineStr">
        <is>
          <t>21D⁴, 63D⁹, 7D⁰, 21E¹, 9A⁰, 63A², 21A⁰, 3A⁰, 1A⁰, 7A⁰</t>
        </is>
      </c>
      <c r="O7944" t="inlineStr"/>
    </row>
    <row r="7945">
      <c r="A7945">
        <f>HYPERLINK("https://mathstats.uncg.edu/sites/pauli/congruence/csg24.html#group63C24", "63C²⁴")</f>
        <v/>
      </c>
      <c r="B7945" t="n">
        <v>24</v>
      </c>
      <c r="C7945" t="inlineStr"/>
      <c r="D7945" t="inlineStr">
        <is>
          <t>378</t>
        </is>
      </c>
      <c r="E7945" t="inlineStr">
        <is>
          <t>1</t>
        </is>
      </c>
      <c r="F7945" t="inlineStr">
        <is>
          <t>378</t>
        </is>
      </c>
      <c r="G7945" t="inlineStr">
        <is>
          <t>10</t>
        </is>
      </c>
      <c r="H7945" t="inlineStr">
        <is>
          <t>0</t>
        </is>
      </c>
      <c r="I7945" t="inlineStr">
        <is>
          <t>21⁹, 63³</t>
        </is>
      </c>
      <c r="J7945" t="n">
        <v>12</v>
      </c>
      <c r="K7945" t="inlineStr">
        <is>
          <t>3¹, 6⁴, 9¹, 12³, 18⁵, 36⁶</t>
        </is>
      </c>
      <c r="L7945" t="inlineStr">
        <is>
          <t>21C⁶, 63B⁸</t>
        </is>
      </c>
      <c r="M7945" t="inlineStr"/>
      <c r="N7945" t="inlineStr">
        <is>
          <t>21D², 21C⁶, 7D⁰, 21E¹, 21A⁰, 3C⁰, 9E⁰, 3A⁰, 1A⁰, 7A⁰, 63B⁸</t>
        </is>
      </c>
      <c r="O7945" t="inlineStr"/>
    </row>
    <row r="7946">
      <c r="A7946">
        <f>HYPERLINK("https://mathstats.uncg.edu/sites/pauli/congruence/csg24.html#group63D24", "63D²⁴")</f>
        <v/>
      </c>
      <c r="B7946" t="n">
        <v>24</v>
      </c>
      <c r="C7946" t="inlineStr"/>
      <c r="D7946" t="inlineStr">
        <is>
          <t>378</t>
        </is>
      </c>
      <c r="E7946" t="inlineStr">
        <is>
          <t>2</t>
        </is>
      </c>
      <c r="F7946" t="inlineStr">
        <is>
          <t>189</t>
        </is>
      </c>
      <c r="G7946" t="inlineStr">
        <is>
          <t>22</t>
        </is>
      </c>
      <c r="H7946" t="inlineStr">
        <is>
          <t>0</t>
        </is>
      </c>
      <c r="I7946" t="inlineStr">
        <is>
          <t>63⁶</t>
        </is>
      </c>
      <c r="J7946" t="n">
        <v>6</v>
      </c>
      <c r="K7946" t="inlineStr">
        <is>
          <t>12⁹, 36¹⁸</t>
        </is>
      </c>
      <c r="L7946" t="inlineStr">
        <is>
          <t>63F⁶, 63D⁷, 63B¹⁰</t>
        </is>
      </c>
      <c r="M7946" t="inlineStr"/>
      <c r="N7946" t="inlineStr">
        <is>
          <t>63B¹⁰, 63F⁶, 21D¹, 9A⁰, 9G⁰, 21A⁰, 7A⁰, 3A⁰, 1A⁰, 63D⁷, 63A²</t>
        </is>
      </c>
      <c r="O7946" t="inlineStr"/>
    </row>
    <row r="7947">
      <c r="A7947">
        <f>HYPERLINK("https://mathstats.uncg.edu/sites/pauli/congruence/csg24.html#group63E24", "63E²⁴")</f>
        <v/>
      </c>
      <c r="B7947" t="n">
        <v>24</v>
      </c>
      <c r="C7947" t="inlineStr"/>
      <c r="D7947" t="inlineStr">
        <is>
          <t>378</t>
        </is>
      </c>
      <c r="E7947" t="inlineStr">
        <is>
          <t>2</t>
        </is>
      </c>
      <c r="F7947" t="inlineStr">
        <is>
          <t>189</t>
        </is>
      </c>
      <c r="G7947" t="inlineStr">
        <is>
          <t>22</t>
        </is>
      </c>
      <c r="H7947" t="inlineStr">
        <is>
          <t>0</t>
        </is>
      </c>
      <c r="I7947" t="inlineStr">
        <is>
          <t>63⁶</t>
        </is>
      </c>
      <c r="J7947" t="n">
        <v>6</v>
      </c>
      <c r="K7947" t="inlineStr">
        <is>
          <t>12⁹, 36¹⁸</t>
        </is>
      </c>
      <c r="L7947" t="inlineStr">
        <is>
          <t>63G⁶, 63D⁷, 63B¹⁰</t>
        </is>
      </c>
      <c r="M7947" t="inlineStr"/>
      <c r="N7947" t="inlineStr">
        <is>
          <t>63B¹⁰, 21D¹, 9A⁰, 9G⁰, 21A⁰, 63G⁶, 7A⁰, 3A⁰, 1A⁰, 63D⁷, 63A²</t>
        </is>
      </c>
      <c r="O7947" t="inlineStr"/>
    </row>
    <row r="7948">
      <c r="A7948">
        <f>HYPERLINK("https://mathstats.uncg.edu/sites/pauli/congruence/csg24.html#group63F24", "63F²⁴")</f>
        <v/>
      </c>
      <c r="B7948" t="n">
        <v>24</v>
      </c>
      <c r="C7948" t="inlineStr"/>
      <c r="D7948" t="inlineStr">
        <is>
          <t>378</t>
        </is>
      </c>
      <c r="E7948" t="inlineStr">
        <is>
          <t>2</t>
        </is>
      </c>
      <c r="F7948" t="inlineStr">
        <is>
          <t>189</t>
        </is>
      </c>
      <c r="G7948" t="inlineStr">
        <is>
          <t>22</t>
        </is>
      </c>
      <c r="H7948" t="inlineStr">
        <is>
          <t>0</t>
        </is>
      </c>
      <c r="I7948" t="inlineStr">
        <is>
          <t>63⁶</t>
        </is>
      </c>
      <c r="J7948" t="n">
        <v>6</v>
      </c>
      <c r="K7948" t="inlineStr">
        <is>
          <t>12²¹, 36¹⁴</t>
        </is>
      </c>
      <c r="L7948" t="inlineStr">
        <is>
          <t>21D⁵, 63F⁶, 63D⁹</t>
        </is>
      </c>
      <c r="M7948" t="inlineStr"/>
      <c r="N7948" t="inlineStr">
        <is>
          <t>21D⁵, 63D⁹, 63F⁶, 7D⁰, 21E¹, 21D¹, 9A⁰, 63A², 21A⁰, 3A⁰, 1A⁰, 7A⁰</t>
        </is>
      </c>
      <c r="O7948" t="inlineStr"/>
    </row>
    <row r="7949">
      <c r="A7949">
        <f>HYPERLINK("https://mathstats.uncg.edu/sites/pauli/congruence/csg24.html#group63G24", "63G²⁴")</f>
        <v/>
      </c>
      <c r="B7949" t="n">
        <v>24</v>
      </c>
      <c r="C7949" t="inlineStr"/>
      <c r="D7949" t="inlineStr">
        <is>
          <t>378</t>
        </is>
      </c>
      <c r="E7949" t="inlineStr">
        <is>
          <t>2</t>
        </is>
      </c>
      <c r="F7949" t="inlineStr">
        <is>
          <t>189</t>
        </is>
      </c>
      <c r="G7949" t="inlineStr">
        <is>
          <t>22</t>
        </is>
      </c>
      <c r="H7949" t="inlineStr">
        <is>
          <t>0</t>
        </is>
      </c>
      <c r="I7949" t="inlineStr">
        <is>
          <t>63⁶</t>
        </is>
      </c>
      <c r="J7949" t="n">
        <v>6</v>
      </c>
      <c r="K7949" t="inlineStr">
        <is>
          <t>12²¹, 36¹⁴</t>
        </is>
      </c>
      <c r="L7949" t="inlineStr">
        <is>
          <t>21D⁵, 63G⁶, 63D⁹</t>
        </is>
      </c>
      <c r="M7949" t="inlineStr"/>
      <c r="N7949" t="inlineStr">
        <is>
          <t>21D⁵, 63D⁹, 7D⁰, 21E¹, 21D¹, 9A⁰, 63A², 21A⁰, 63G⁶, 3A⁰, 1A⁰, 7A⁰</t>
        </is>
      </c>
      <c r="O7949" t="inlineStr"/>
    </row>
    <row r="7950">
      <c r="A7950">
        <f>HYPERLINK("https://mathstats.uncg.edu/sites/pauli/congruence/csg24.html#group63H24", "63H²⁴")</f>
        <v/>
      </c>
      <c r="B7950" t="n">
        <v>24</v>
      </c>
      <c r="C7950" t="inlineStr"/>
      <c r="D7950" t="inlineStr">
        <is>
          <t>378</t>
        </is>
      </c>
      <c r="E7950" t="inlineStr">
        <is>
          <t>2</t>
        </is>
      </c>
      <c r="F7950" t="inlineStr">
        <is>
          <t>378</t>
        </is>
      </c>
      <c r="G7950" t="inlineStr">
        <is>
          <t>22</t>
        </is>
      </c>
      <c r="H7950" t="inlineStr">
        <is>
          <t>0</t>
        </is>
      </c>
      <c r="I7950" t="inlineStr">
        <is>
          <t>63⁶</t>
        </is>
      </c>
      <c r="J7950" t="n">
        <v>6</v>
      </c>
      <c r="K7950" t="inlineStr">
        <is>
          <t>12⁶, 36⁴⁰</t>
        </is>
      </c>
      <c r="L7950" t="inlineStr">
        <is>
          <t>63F⁶, 63E⁷</t>
        </is>
      </c>
      <c r="M7950" t="inlineStr"/>
      <c r="N7950" t="inlineStr">
        <is>
          <t>63F⁶, 21D¹, 9A⁰, 63A², 21A⁰, 7A⁰, 3A⁰, 1A⁰, 63E⁷</t>
        </is>
      </c>
      <c r="O7950" t="inlineStr"/>
    </row>
    <row r="7951">
      <c r="A7951">
        <f>HYPERLINK("https://mathstats.uncg.edu/sites/pauli/congruence/csg24.html#group63I24", "63I²⁴")</f>
        <v/>
      </c>
      <c r="B7951" t="n">
        <v>24</v>
      </c>
      <c r="C7951" t="inlineStr"/>
      <c r="D7951" t="inlineStr">
        <is>
          <t>378</t>
        </is>
      </c>
      <c r="E7951" t="inlineStr">
        <is>
          <t>2</t>
        </is>
      </c>
      <c r="F7951" t="inlineStr">
        <is>
          <t>378</t>
        </is>
      </c>
      <c r="G7951" t="inlineStr">
        <is>
          <t>22</t>
        </is>
      </c>
      <c r="H7951" t="inlineStr">
        <is>
          <t>0</t>
        </is>
      </c>
      <c r="I7951" t="inlineStr">
        <is>
          <t>63⁶</t>
        </is>
      </c>
      <c r="J7951" t="n">
        <v>6</v>
      </c>
      <c r="K7951" t="inlineStr">
        <is>
          <t>12⁶, 36⁴⁰</t>
        </is>
      </c>
      <c r="L7951" t="inlineStr">
        <is>
          <t>63G⁶, 63E⁷</t>
        </is>
      </c>
      <c r="M7951" t="inlineStr"/>
      <c r="N7951" t="inlineStr">
        <is>
          <t>21D¹, 9A⁰, 63A², 21A⁰, 63G⁶, 7A⁰, 3A⁰, 1A⁰, 63E⁷</t>
        </is>
      </c>
      <c r="O7951" t="inlineStr"/>
    </row>
    <row r="7952">
      <c r="A7952">
        <f>HYPERLINK("https://mathstats.uncg.edu/sites/pauli/congruence/csg24.html#group66A24", "66A²⁴")</f>
        <v/>
      </c>
      <c r="B7952" t="n">
        <v>24</v>
      </c>
      <c r="C7952" t="inlineStr"/>
      <c r="D7952" t="inlineStr">
        <is>
          <t>330</t>
        </is>
      </c>
      <c r="E7952" t="inlineStr">
        <is>
          <t>1</t>
        </is>
      </c>
      <c r="F7952" t="inlineStr">
        <is>
          <t>110</t>
        </is>
      </c>
      <c r="G7952" t="inlineStr">
        <is>
          <t>0</t>
        </is>
      </c>
      <c r="H7952" t="inlineStr">
        <is>
          <t>6</t>
        </is>
      </c>
      <c r="I7952" t="inlineStr">
        <is>
          <t>66⁵</t>
        </is>
      </c>
      <c r="J7952" t="n">
        <v>5</v>
      </c>
      <c r="K7952" t="inlineStr">
        <is>
          <t>20¹¹</t>
        </is>
      </c>
      <c r="L7952" t="inlineStr">
        <is>
          <t>22B⁵</t>
        </is>
      </c>
      <c r="M7952" t="inlineStr"/>
      <c r="N7952" t="inlineStr">
        <is>
          <t>11A⁰, 2A⁰, 1A⁰, 22A¹, 11B¹, 22B⁵</t>
        </is>
      </c>
      <c r="O7952" t="inlineStr"/>
    </row>
    <row r="7953">
      <c r="A7953">
        <f>HYPERLINK("https://mathstats.uncg.edu/sites/pauli/congruence/csg24.html#group66B24", "66B²⁴")</f>
        <v/>
      </c>
      <c r="B7953" t="n">
        <v>24</v>
      </c>
      <c r="C7953" t="inlineStr"/>
      <c r="D7953" t="inlineStr">
        <is>
          <t>330</t>
        </is>
      </c>
      <c r="E7953" t="inlineStr">
        <is>
          <t>1</t>
        </is>
      </c>
      <c r="F7953" t="inlineStr">
        <is>
          <t>110</t>
        </is>
      </c>
      <c r="G7953" t="inlineStr">
        <is>
          <t>0</t>
        </is>
      </c>
      <c r="H7953" t="inlineStr">
        <is>
          <t>6</t>
        </is>
      </c>
      <c r="I7953" t="inlineStr">
        <is>
          <t>66⁵</t>
        </is>
      </c>
      <c r="J7953" t="n">
        <v>5</v>
      </c>
      <c r="K7953" t="inlineStr">
        <is>
          <t>20¹¹</t>
        </is>
      </c>
      <c r="L7953" t="inlineStr">
        <is>
          <t>22B⁵</t>
        </is>
      </c>
      <c r="M7953" t="inlineStr"/>
      <c r="N7953" t="inlineStr">
        <is>
          <t>11A⁰, 2A⁰, 1A⁰, 22A¹, 11B¹, 22B⁵</t>
        </is>
      </c>
      <c r="O7953" t="inlineStr"/>
    </row>
    <row r="7954">
      <c r="A7954">
        <f>HYPERLINK("https://mathstats.uncg.edu/sites/pauli/congruence/csg24.html#group70A24", "70A²⁴")</f>
        <v/>
      </c>
      <c r="B7954" t="n">
        <v>24</v>
      </c>
      <c r="C7954" t="inlineStr"/>
      <c r="D7954" t="inlineStr">
        <is>
          <t>378</t>
        </is>
      </c>
      <c r="E7954" t="inlineStr">
        <is>
          <t>1</t>
        </is>
      </c>
      <c r="F7954" t="inlineStr">
        <is>
          <t>378</t>
        </is>
      </c>
      <c r="G7954" t="inlineStr">
        <is>
          <t>10</t>
        </is>
      </c>
      <c r="H7954" t="inlineStr">
        <is>
          <t>0</t>
        </is>
      </c>
      <c r="I7954" t="inlineStr">
        <is>
          <t>7³, 14³, 35³, 70³</t>
        </is>
      </c>
      <c r="J7954" t="n">
        <v>12</v>
      </c>
      <c r="K7954" t="inlineStr">
        <is>
          <t>3⁶, 6¹⁸, 12³, 24⁹</t>
        </is>
      </c>
      <c r="L7954" t="inlineStr">
        <is>
          <t>14F², 35E⁶, 70B⁸</t>
        </is>
      </c>
      <c r="M7954" t="inlineStr"/>
      <c r="N7954" t="inlineStr">
        <is>
          <t>35C², 7D⁰, 14B¹, 35E⁶, 5B⁰, 70B⁸, 14F², 10C⁰, 2B⁰, 1A⁰, 7A⁰</t>
        </is>
      </c>
      <c r="O7954" t="inlineStr"/>
    </row>
    <row r="7955">
      <c r="A7955">
        <f>HYPERLINK("https://mathstats.uncg.edu/sites/pauli/congruence/csg24.html#group72A24", "72A²⁴")</f>
        <v/>
      </c>
      <c r="B7955" t="n">
        <v>24</v>
      </c>
      <c r="C7955" t="inlineStr"/>
      <c r="D7955" t="inlineStr">
        <is>
          <t>324</t>
        </is>
      </c>
      <c r="E7955" t="inlineStr">
        <is>
          <t>1</t>
        </is>
      </c>
      <c r="F7955" t="inlineStr">
        <is>
          <t>81</t>
        </is>
      </c>
      <c r="G7955" t="inlineStr">
        <is>
          <t>4</t>
        </is>
      </c>
      <c r="H7955" t="inlineStr">
        <is>
          <t>0</t>
        </is>
      </c>
      <c r="I7955" t="inlineStr">
        <is>
          <t>36³, 72³</t>
        </is>
      </c>
      <c r="J7955" t="n">
        <v>6</v>
      </c>
      <c r="K7955" t="inlineStr">
        <is>
          <t>3³, 6¹²</t>
        </is>
      </c>
      <c r="L7955" t="inlineStr">
        <is>
          <t>36L⁸, 72D⁸</t>
        </is>
      </c>
      <c r="M7955" t="inlineStr"/>
      <c r="N7955" t="inlineStr">
        <is>
          <t>12C⁰, 36L⁸, 9A⁰, 36B², 4C⁰, 18J³, 9G⁰, 72D⁸, 2B⁰, 24C², 18E¹, 3A⁰, 1A⁰, 6D⁰</t>
        </is>
      </c>
      <c r="O7955" t="inlineStr"/>
    </row>
    <row r="7956">
      <c r="A7956">
        <f>HYPERLINK("https://mathstats.uncg.edu/sites/pauli/congruence/csg24.html#group72B24", "72B²⁴")</f>
        <v/>
      </c>
      <c r="B7956" t="n">
        <v>24</v>
      </c>
      <c r="C7956" t="inlineStr"/>
      <c r="D7956" t="inlineStr">
        <is>
          <t>384</t>
        </is>
      </c>
      <c r="E7956" t="inlineStr">
        <is>
          <t>1</t>
        </is>
      </c>
      <c r="F7956" t="inlineStr">
        <is>
          <t>128</t>
        </is>
      </c>
      <c r="G7956" t="inlineStr">
        <is>
          <t>0</t>
        </is>
      </c>
      <c r="H7956" t="inlineStr">
        <is>
          <t>3</t>
        </is>
      </c>
      <c r="I7956" t="inlineStr">
        <is>
          <t>8¹², 72⁴</t>
        </is>
      </c>
      <c r="J7956" t="n">
        <v>16</v>
      </c>
      <c r="K7956" t="inlineStr">
        <is>
          <t>8¹⁶</t>
        </is>
      </c>
      <c r="L7956" t="inlineStr">
        <is>
          <t>36O⁴, 24E⁷</t>
        </is>
      </c>
      <c r="M7956" t="inlineStr"/>
      <c r="N7956" t="inlineStr">
        <is>
          <t>18C⁰, 3B⁰, 2A⁰, 24C⁴, 8F⁰, 12I¹, 4A⁰, 4D⁰, 12A¹, 6C⁰, 8E¹, 36O⁴, 1A⁰, 24E⁷</t>
        </is>
      </c>
      <c r="O7956" t="inlineStr"/>
    </row>
    <row r="7957">
      <c r="A7957">
        <f>HYPERLINK("https://mathstats.uncg.edu/sites/pauli/congruence/csg24.html#group75A24", "75A²⁴")</f>
        <v/>
      </c>
      <c r="B7957" t="n">
        <v>24</v>
      </c>
      <c r="C7957" t="inlineStr"/>
      <c r="D7957" t="inlineStr">
        <is>
          <t>300</t>
        </is>
      </c>
      <c r="E7957" t="inlineStr">
        <is>
          <t>1</t>
        </is>
      </c>
      <c r="F7957" t="inlineStr">
        <is>
          <t>10</t>
        </is>
      </c>
      <c r="G7957" t="inlineStr">
        <is>
          <t>0</t>
        </is>
      </c>
      <c r="H7957" t="inlineStr">
        <is>
          <t>0</t>
        </is>
      </c>
      <c r="I7957" t="inlineStr">
        <is>
          <t>75⁴</t>
        </is>
      </c>
      <c r="J7957" t="n">
        <v>4</v>
      </c>
      <c r="K7957" t="inlineStr">
        <is>
          <t>2¹, 4²</t>
        </is>
      </c>
      <c r="L7957" t="inlineStr">
        <is>
          <t>15B⁴, 25E⁴, 75A¹¹</t>
        </is>
      </c>
      <c r="M7957" t="inlineStr"/>
      <c r="N7957" t="inlineStr">
        <is>
          <t>5A⁰, 15D¹, 25E⁴, 15B⁴, 5C⁰, 25E², 5F⁰, 75A¹¹, 3A⁰, 1A⁰, 15A¹</t>
        </is>
      </c>
      <c r="O7957" t="inlineStr"/>
    </row>
    <row r="7958">
      <c r="A7958">
        <f>HYPERLINK("https://mathstats.uncg.edu/sites/pauli/congruence/csg24.html#group75B24", "75B²⁴")</f>
        <v/>
      </c>
      <c r="B7958" t="n">
        <v>24</v>
      </c>
      <c r="C7958" t="inlineStr"/>
      <c r="D7958" t="inlineStr">
        <is>
          <t>450</t>
        </is>
      </c>
      <c r="E7958" t="inlineStr">
        <is>
          <t>1</t>
        </is>
      </c>
      <c r="F7958" t="inlineStr">
        <is>
          <t>15</t>
        </is>
      </c>
      <c r="G7958" t="inlineStr">
        <is>
          <t>30</t>
        </is>
      </c>
      <c r="H7958" t="inlineStr">
        <is>
          <t>0</t>
        </is>
      </c>
      <c r="I7958" t="inlineStr">
        <is>
          <t>15¹⁰, 75⁴</t>
        </is>
      </c>
      <c r="J7958" t="n">
        <v>14</v>
      </c>
      <c r="K7958" t="inlineStr">
        <is>
          <t>1¹, 2¹, 4³</t>
        </is>
      </c>
      <c r="L7958" t="inlineStr">
        <is>
          <t>15D⁴, 25F⁴, 75B¹¹</t>
        </is>
      </c>
      <c r="M7958" t="inlineStr"/>
      <c r="N7958" t="inlineStr">
        <is>
          <t>25F⁴, 5A⁰, 15D⁴, 15F¹, 5B⁰, 1A⁰, 75B¹¹, 25F², 15D¹, 15B⁰, 5E⁰, 3A⁰, 5C⁰, 5G⁰, 15A¹, 15A⁰</t>
        </is>
      </c>
      <c r="O7958" t="inlineStr"/>
    </row>
    <row r="7959">
      <c r="A7959">
        <f>HYPERLINK("https://mathstats.uncg.edu/sites/pauli/congruence/csg24.html#group75C24", "75C²⁴")</f>
        <v/>
      </c>
      <c r="B7959" t="n">
        <v>24</v>
      </c>
      <c r="C7959" t="inlineStr"/>
      <c r="D7959" t="inlineStr">
        <is>
          <t>450</t>
        </is>
      </c>
      <c r="E7959" t="inlineStr">
        <is>
          <t>1</t>
        </is>
      </c>
      <c r="F7959" t="inlineStr">
        <is>
          <t>30</t>
        </is>
      </c>
      <c r="G7959" t="inlineStr">
        <is>
          <t>30</t>
        </is>
      </c>
      <c r="H7959" t="inlineStr">
        <is>
          <t>0</t>
        </is>
      </c>
      <c r="I7959" t="inlineStr">
        <is>
          <t>3⁵, 15⁴, 75⁵</t>
        </is>
      </c>
      <c r="J7959" t="n">
        <v>14</v>
      </c>
      <c r="K7959" t="inlineStr">
        <is>
          <t>1², 4², 20¹</t>
        </is>
      </c>
      <c r="L7959" t="inlineStr">
        <is>
          <t>25G⁴, 75A⁴</t>
        </is>
      </c>
      <c r="M7959" t="inlineStr"/>
      <c r="N7959" t="inlineStr">
        <is>
          <t>25A⁰, 5B⁰, 15B⁰, 75A⁴, 3A⁰, 1A⁰, 25G⁴</t>
        </is>
      </c>
      <c r="O7959" t="inlineStr"/>
    </row>
    <row r="7960">
      <c r="A7960">
        <f>HYPERLINK("https://mathstats.uncg.edu/sites/pauli/congruence/csg24.html#group76A24", "76A²⁴")</f>
        <v/>
      </c>
      <c r="B7960" t="n">
        <v>24</v>
      </c>
      <c r="C7960" t="inlineStr"/>
      <c r="D7960" t="inlineStr">
        <is>
          <t>342</t>
        </is>
      </c>
      <c r="E7960" t="inlineStr">
        <is>
          <t>2</t>
        </is>
      </c>
      <c r="F7960" t="inlineStr">
        <is>
          <t>171</t>
        </is>
      </c>
      <c r="G7960" t="inlineStr">
        <is>
          <t>10</t>
        </is>
      </c>
      <c r="H7960" t="inlineStr">
        <is>
          <t>0</t>
        </is>
      </c>
      <c r="I7960" t="inlineStr">
        <is>
          <t>38³, 76³</t>
        </is>
      </c>
      <c r="J7960" t="n">
        <v>6</v>
      </c>
      <c r="K7960" t="inlineStr">
        <is>
          <t>6³, 18¹⁸</t>
        </is>
      </c>
      <c r="L7960" t="inlineStr">
        <is>
          <t>4C⁰, 38A¹¹</t>
        </is>
      </c>
      <c r="M7960" t="inlineStr"/>
      <c r="N7960" t="inlineStr">
        <is>
          <t>2B⁰, 38A¹¹, 19A², 1A⁰, 4C⁰</t>
        </is>
      </c>
      <c r="O7960" t="inlineStr"/>
    </row>
    <row r="7961">
      <c r="A7961">
        <f>HYPERLINK("https://mathstats.uncg.edu/sites/pauli/congruence/csg24.html#group78A24", "78A²⁴")</f>
        <v/>
      </c>
      <c r="B7961" t="n">
        <v>24</v>
      </c>
      <c r="C7961" t="inlineStr"/>
      <c r="D7961" t="inlineStr">
        <is>
          <t>336</t>
        </is>
      </c>
      <c r="E7961" t="inlineStr">
        <is>
          <t>2</t>
        </is>
      </c>
      <c r="F7961" t="inlineStr">
        <is>
          <t>112</t>
        </is>
      </c>
      <c r="G7961" t="inlineStr">
        <is>
          <t>0</t>
        </is>
      </c>
      <c r="H7961" t="inlineStr">
        <is>
          <t>3</t>
        </is>
      </c>
      <c r="I7961" t="inlineStr">
        <is>
          <t>6⁴, 78⁴</t>
        </is>
      </c>
      <c r="J7961" t="n">
        <v>8</v>
      </c>
      <c r="K7961" t="inlineStr">
        <is>
          <t>2¹⁶, 24⁸</t>
        </is>
      </c>
      <c r="L7961" t="inlineStr">
        <is>
          <t>78B⁶, 78C⁷</t>
        </is>
      </c>
      <c r="M7961" t="inlineStr"/>
      <c r="N7961" t="inlineStr">
        <is>
          <t>2A⁰, 3B⁰, 26A¹, 39A³, 78C⁷, 6C⁰, 13A⁰, 78B⁶, 1A⁰</t>
        </is>
      </c>
      <c r="O7961" t="inlineStr"/>
    </row>
    <row r="7962">
      <c r="A7962">
        <f>HYPERLINK("https://mathstats.uncg.edu/sites/pauli/congruence/csg24.html#group80A24", "80A²⁴")</f>
        <v/>
      </c>
      <c r="B7962" t="n">
        <v>24</v>
      </c>
      <c r="C7962" t="inlineStr"/>
      <c r="D7962" t="inlineStr">
        <is>
          <t>360</t>
        </is>
      </c>
      <c r="E7962" t="inlineStr">
        <is>
          <t>1</t>
        </is>
      </c>
      <c r="F7962" t="inlineStr">
        <is>
          <t>45</t>
        </is>
      </c>
      <c r="G7962" t="inlineStr">
        <is>
          <t>16</t>
        </is>
      </c>
      <c r="H7962" t="inlineStr">
        <is>
          <t>0</t>
        </is>
      </c>
      <c r="I7962" t="inlineStr">
        <is>
          <t>40³, 80³</t>
        </is>
      </c>
      <c r="J7962" t="n">
        <v>6</v>
      </c>
      <c r="K7962" t="inlineStr">
        <is>
          <t>1³, 2³, 4⁹</t>
        </is>
      </c>
      <c r="L7962" t="inlineStr">
        <is>
          <t>40C¹⁰</t>
        </is>
      </c>
      <c r="M7962" t="inlineStr"/>
      <c r="N7962" t="inlineStr">
        <is>
          <t>5A⁰, 40A⁴, 20E⁴, 10I¹, 40C¹⁰, 10B¹, 20B², 4C⁰, 8B⁰, 5E⁰, 2B⁰, 1A⁰</t>
        </is>
      </c>
      <c r="O7962" t="inlineStr"/>
    </row>
    <row r="7963">
      <c r="A7963">
        <f>HYPERLINK("https://mathstats.uncg.edu/sites/pauli/congruence/csg24.html#group84A24", "84A²⁴")</f>
        <v/>
      </c>
      <c r="B7963" t="n">
        <v>24</v>
      </c>
      <c r="C7963" t="inlineStr"/>
      <c r="D7963" t="inlineStr">
        <is>
          <t>336</t>
        </is>
      </c>
      <c r="E7963" t="inlineStr">
        <is>
          <t>2</t>
        </is>
      </c>
      <c r="F7963" t="inlineStr">
        <is>
          <t>84</t>
        </is>
      </c>
      <c r="G7963" t="inlineStr">
        <is>
          <t>0</t>
        </is>
      </c>
      <c r="H7963" t="inlineStr">
        <is>
          <t>0</t>
        </is>
      </c>
      <c r="I7963" t="inlineStr">
        <is>
          <t>14⁴, 28¹, 42⁴, 84¹</t>
        </is>
      </c>
      <c r="J7963" t="n">
        <v>10</v>
      </c>
      <c r="K7963" t="inlineStr">
        <is>
          <t>2⁶, 4³, 6¹², 12⁶</t>
        </is>
      </c>
      <c r="L7963" t="inlineStr">
        <is>
          <t>42D¹²</t>
        </is>
      </c>
      <c r="M7963" t="inlineStr"/>
      <c r="N7963" t="inlineStr">
        <is>
          <t>2A⁰, 3B⁰, 14B³, 14B¹, 6I⁰, 14A¹, 6C⁰, 2B⁰, 1A⁰, 21B², 42C⁶, 42D¹², 42E⁴, 6F⁰, 2C⁰, 7A⁰</t>
        </is>
      </c>
      <c r="O7963" t="inlineStr"/>
    </row>
    <row r="7964">
      <c r="A7964">
        <f>HYPERLINK("https://mathstats.uncg.edu/sites/pauli/congruence/csg24.html#group84B24", "84B²⁴")</f>
        <v/>
      </c>
      <c r="B7964" t="n">
        <v>24</v>
      </c>
      <c r="C7964" t="inlineStr"/>
      <c r="D7964" t="inlineStr">
        <is>
          <t>336</t>
        </is>
      </c>
      <c r="E7964" t="inlineStr">
        <is>
          <t>2</t>
        </is>
      </c>
      <c r="F7964" t="inlineStr">
        <is>
          <t>84</t>
        </is>
      </c>
      <c r="G7964" t="inlineStr">
        <is>
          <t>0</t>
        </is>
      </c>
      <c r="H7964" t="inlineStr">
        <is>
          <t>0</t>
        </is>
      </c>
      <c r="I7964" t="inlineStr">
        <is>
          <t>14⁴, 28¹, 42⁴, 84¹</t>
        </is>
      </c>
      <c r="J7964" t="n">
        <v>10</v>
      </c>
      <c r="K7964" t="inlineStr">
        <is>
          <t>2⁶, 4³, 6¹², 12⁶</t>
        </is>
      </c>
      <c r="L7964" t="inlineStr">
        <is>
          <t>12I⁰, 42D¹²</t>
        </is>
      </c>
      <c r="M7964" t="inlineStr"/>
      <c r="N7964" t="inlineStr">
        <is>
          <t>2A⁰, 3B⁰, 14B³, 14B¹, 6I⁰, 14A¹, 12I⁰, 6C⁰, 2B⁰, 1A⁰, 21B², 42C⁶, 42D¹², 42E⁴, 6F⁰, 2C⁰, 7A⁰</t>
        </is>
      </c>
      <c r="O7964" t="inlineStr"/>
    </row>
    <row r="7965">
      <c r="A7965">
        <f>HYPERLINK("https://mathstats.uncg.edu/sites/pauli/congruence/csg24.html#group84C24", "84C²⁴")</f>
        <v/>
      </c>
      <c r="B7965" t="n">
        <v>24</v>
      </c>
      <c r="C7965" t="inlineStr"/>
      <c r="D7965" t="inlineStr">
        <is>
          <t>336</t>
        </is>
      </c>
      <c r="E7965" t="inlineStr">
        <is>
          <t>2</t>
        </is>
      </c>
      <c r="F7965" t="inlineStr">
        <is>
          <t>168</t>
        </is>
      </c>
      <c r="G7965" t="inlineStr">
        <is>
          <t>0</t>
        </is>
      </c>
      <c r="H7965" t="inlineStr">
        <is>
          <t>0</t>
        </is>
      </c>
      <c r="I7965" t="inlineStr">
        <is>
          <t>7², 14¹, 21², 28², 42¹, 84²</t>
        </is>
      </c>
      <c r="J7965" t="n">
        <v>10</v>
      </c>
      <c r="K7965" t="inlineStr">
        <is>
          <t>2⁸, 4⁶, 6¹⁶, 8¹, 12¹², 24²</t>
        </is>
      </c>
      <c r="L7965" t="inlineStr">
        <is>
          <t>84B¹²</t>
        </is>
      </c>
      <c r="M7965" t="inlineStr"/>
      <c r="N7965" t="inlineStr">
        <is>
          <t>3B⁰, 84B¹², 21B², 14B¹, 42C⁶, 28A³, 1A⁰, 2B⁰, 4B⁰, 6F⁰, 12E⁰, 7A⁰</t>
        </is>
      </c>
      <c r="O7965" t="inlineStr"/>
    </row>
    <row r="7966">
      <c r="A7966">
        <f>HYPERLINK("https://mathstats.uncg.edu/sites/pauli/congruence/csg24.html#group84D24", "84D²⁴")</f>
        <v/>
      </c>
      <c r="B7966" t="n">
        <v>24</v>
      </c>
      <c r="C7966" t="inlineStr"/>
      <c r="D7966" t="inlineStr">
        <is>
          <t>336</t>
        </is>
      </c>
      <c r="E7966" t="inlineStr">
        <is>
          <t>2</t>
        </is>
      </c>
      <c r="F7966" t="inlineStr">
        <is>
          <t>168</t>
        </is>
      </c>
      <c r="G7966" t="inlineStr">
        <is>
          <t>0</t>
        </is>
      </c>
      <c r="H7966" t="inlineStr">
        <is>
          <t>0</t>
        </is>
      </c>
      <c r="I7966" t="inlineStr">
        <is>
          <t>7², 14¹, 21², 28², 42¹, 84²</t>
        </is>
      </c>
      <c r="J7966" t="n">
        <v>10</v>
      </c>
      <c r="K7966" t="inlineStr">
        <is>
          <t>2⁸, 4⁶, 6¹⁶, 8¹, 12¹², 24²</t>
        </is>
      </c>
      <c r="L7966" t="inlineStr">
        <is>
          <t>12J⁰, 84B¹²</t>
        </is>
      </c>
      <c r="M7966" t="inlineStr"/>
      <c r="N7966" t="inlineStr">
        <is>
          <t>3B⁰, 84B¹², 14B¹, 12J⁰, 28A³, 2B⁰, 4B⁰, 1A⁰, 21B², 42C⁶, 6F⁰, 12E⁰, 7A⁰</t>
        </is>
      </c>
      <c r="O7966" t="inlineStr"/>
    </row>
    <row r="7967">
      <c r="A7967">
        <f>HYPERLINK("https://mathstats.uncg.edu/sites/pauli/congruence/csg24.html#group84E24", "84E²⁴")</f>
        <v/>
      </c>
      <c r="B7967" t="n">
        <v>24</v>
      </c>
      <c r="C7967" t="inlineStr"/>
      <c r="D7967" t="inlineStr">
        <is>
          <t>378</t>
        </is>
      </c>
      <c r="E7967" t="inlineStr">
        <is>
          <t>2</t>
        </is>
      </c>
      <c r="F7967" t="inlineStr">
        <is>
          <t>189</t>
        </is>
      </c>
      <c r="G7967" t="inlineStr">
        <is>
          <t>16</t>
        </is>
      </c>
      <c r="H7967" t="inlineStr">
        <is>
          <t>0</t>
        </is>
      </c>
      <c r="I7967" t="inlineStr">
        <is>
          <t>21⁶, 84³</t>
        </is>
      </c>
      <c r="J7967" t="n">
        <v>9</v>
      </c>
      <c r="K7967" t="inlineStr">
        <is>
          <t>6²¹, 12²¹</t>
        </is>
      </c>
      <c r="L7967" t="inlineStr">
        <is>
          <t>84F⁸, 42K¹⁰</t>
        </is>
      </c>
      <c r="M7967" t="inlineStr"/>
      <c r="N7967" t="inlineStr">
        <is>
          <t>7D⁰, 14B¹, 21E¹, 42K¹⁰, 21A⁰, 14F², 2B⁰, 84F⁸, 3A⁰, 1A⁰, 42C³, 6D⁰, 7A⁰</t>
        </is>
      </c>
      <c r="O7967" t="inlineStr"/>
    </row>
    <row r="7968">
      <c r="A7968">
        <f>HYPERLINK("https://mathstats.uncg.edu/sites/pauli/congruence/csg24.html#group88A24", "88A²⁴")</f>
        <v/>
      </c>
      <c r="B7968" t="n">
        <v>24</v>
      </c>
      <c r="C7968" t="inlineStr"/>
      <c r="D7968" t="inlineStr">
        <is>
          <t>352</t>
        </is>
      </c>
      <c r="E7968" t="inlineStr">
        <is>
          <t>2</t>
        </is>
      </c>
      <c r="F7968" t="inlineStr">
        <is>
          <t>176</t>
        </is>
      </c>
      <c r="G7968" t="inlineStr">
        <is>
          <t>12</t>
        </is>
      </c>
      <c r="H7968" t="inlineStr">
        <is>
          <t>4</t>
        </is>
      </c>
      <c r="I7968" t="inlineStr">
        <is>
          <t>88⁴</t>
        </is>
      </c>
      <c r="J7968" t="n">
        <v>4</v>
      </c>
      <c r="K7968" t="inlineStr">
        <is>
          <t>8⁸, 40¹⁶</t>
        </is>
      </c>
      <c r="L7968" t="inlineStr">
        <is>
          <t>8M⁰, 88A⁵, 88D¹¹</t>
        </is>
      </c>
      <c r="M7968" t="inlineStr"/>
      <c r="N7968" t="inlineStr">
        <is>
          <t>11A⁰, 8F⁰, 44A², 4A⁰, 8A⁰, 88D¹¹, 88A⁵, 8M⁰, 1A⁰</t>
        </is>
      </c>
      <c r="O7968" t="inlineStr"/>
    </row>
    <row r="7969">
      <c r="A7969">
        <f>HYPERLINK("https://mathstats.uncg.edu/sites/pauli/congruence/csg24.html#group88B24", "88B²⁴")</f>
        <v/>
      </c>
      <c r="B7969" t="n">
        <v>24</v>
      </c>
      <c r="C7969" t="inlineStr"/>
      <c r="D7969" t="inlineStr">
        <is>
          <t>352</t>
        </is>
      </c>
      <c r="E7969" t="inlineStr">
        <is>
          <t>2</t>
        </is>
      </c>
      <c r="F7969" t="inlineStr">
        <is>
          <t>176</t>
        </is>
      </c>
      <c r="G7969" t="inlineStr">
        <is>
          <t>12</t>
        </is>
      </c>
      <c r="H7969" t="inlineStr">
        <is>
          <t>4</t>
        </is>
      </c>
      <c r="I7969" t="inlineStr">
        <is>
          <t>88⁴</t>
        </is>
      </c>
      <c r="J7969" t="n">
        <v>4</v>
      </c>
      <c r="K7969" t="inlineStr">
        <is>
          <t>8⁸, 40¹⁶</t>
        </is>
      </c>
      <c r="L7969" t="inlineStr">
        <is>
          <t>8M⁰, 88B⁵, 88D¹¹</t>
        </is>
      </c>
      <c r="M7969" t="inlineStr"/>
      <c r="N7969" t="inlineStr">
        <is>
          <t>11A⁰, 8F⁰, 44A², 4A⁰, 8A⁰, 88B⁵, 88D¹¹, 8M⁰, 1A⁰</t>
        </is>
      </c>
      <c r="O7969" t="inlineStr"/>
    </row>
    <row r="7970">
      <c r="A7970">
        <f>HYPERLINK("https://mathstats.uncg.edu/sites/pauli/congruence/csg24.html#group90A24", "90A²⁴")</f>
        <v/>
      </c>
      <c r="B7970" t="n">
        <v>24</v>
      </c>
      <c r="C7970" t="inlineStr"/>
      <c r="D7970" t="inlineStr">
        <is>
          <t>324</t>
        </is>
      </c>
      <c r="E7970" t="inlineStr">
        <is>
          <t>1</t>
        </is>
      </c>
      <c r="F7970" t="inlineStr">
        <is>
          <t>162</t>
        </is>
      </c>
      <c r="G7970" t="inlineStr">
        <is>
          <t>0</t>
        </is>
      </c>
      <c r="H7970" t="inlineStr">
        <is>
          <t>0</t>
        </is>
      </c>
      <c r="I7970" t="inlineStr">
        <is>
          <t>9², 18², 45², 90²</t>
        </is>
      </c>
      <c r="J7970" t="n">
        <v>8</v>
      </c>
      <c r="K7970" t="inlineStr">
        <is>
          <t>1⁶, 2⁶, 4³, 6⁶, 8³, 24³</t>
        </is>
      </c>
      <c r="L7970" t="inlineStr">
        <is>
          <t>30C⁶, 45A⁸, 90E¹⁰</t>
        </is>
      </c>
      <c r="M7970" t="inlineStr"/>
      <c r="N7970" t="inlineStr">
        <is>
          <t>45A², 45A⁸, 30C⁶, 90E¹⁰, 5B⁰, 5D⁰, 2B⁰, 1A⁰, 10F⁰, 15B⁰, 30E², 9A⁰, 15B², 10C⁰, 18E¹, 3A⁰, 6D⁰</t>
        </is>
      </c>
      <c r="O7970" t="inlineStr"/>
    </row>
    <row r="7971">
      <c r="A7971">
        <f>HYPERLINK("https://mathstats.uncg.edu/sites/pauli/congruence/csg24.html#group90B24", "90B²⁴")</f>
        <v/>
      </c>
      <c r="B7971" t="n">
        <v>24</v>
      </c>
      <c r="C7971" t="inlineStr"/>
      <c r="D7971" t="inlineStr">
        <is>
          <t>324</t>
        </is>
      </c>
      <c r="E7971" t="inlineStr">
        <is>
          <t>1</t>
        </is>
      </c>
      <c r="F7971" t="inlineStr">
        <is>
          <t>162</t>
        </is>
      </c>
      <c r="G7971" t="inlineStr">
        <is>
          <t>4</t>
        </is>
      </c>
      <c r="H7971" t="inlineStr">
        <is>
          <t>0</t>
        </is>
      </c>
      <c r="I7971" t="inlineStr">
        <is>
          <t>18³, 90³</t>
        </is>
      </c>
      <c r="J7971" t="n">
        <v>6</v>
      </c>
      <c r="K7971" t="inlineStr">
        <is>
          <t>3², 6⁸, 12¹, 24⁴</t>
        </is>
      </c>
      <c r="L7971" t="inlineStr">
        <is>
          <t>45D⁸, 90B⁸</t>
        </is>
      </c>
      <c r="M7971" t="inlineStr"/>
      <c r="N7971" t="inlineStr">
        <is>
          <t>45A², 90B⁸, 15B⁰, 45D⁸, 9A⁰, 9G⁰, 5B⁰, 3A⁰, 1A⁰, 30C²</t>
        </is>
      </c>
      <c r="O7971" t="inlineStr"/>
    </row>
    <row r="7972">
      <c r="A7972">
        <f>HYPERLINK("https://mathstats.uncg.edu/sites/pauli/congruence/csg24.html#group90C24", "90C²⁴")</f>
        <v/>
      </c>
      <c r="B7972" t="n">
        <v>24</v>
      </c>
      <c r="C7972" t="inlineStr"/>
      <c r="D7972" t="inlineStr">
        <is>
          <t>324</t>
        </is>
      </c>
      <c r="E7972" t="inlineStr">
        <is>
          <t>2</t>
        </is>
      </c>
      <c r="F7972" t="inlineStr">
        <is>
          <t>162</t>
        </is>
      </c>
      <c r="G7972" t="inlineStr">
        <is>
          <t>4</t>
        </is>
      </c>
      <c r="H7972" t="inlineStr">
        <is>
          <t>0</t>
        </is>
      </c>
      <c r="I7972" t="inlineStr">
        <is>
          <t>18³, 90³</t>
        </is>
      </c>
      <c r="J7972" t="n">
        <v>6</v>
      </c>
      <c r="K7972" t="inlineStr">
        <is>
          <t>2¹⁸, 6¹², 8⁹, 24⁶</t>
        </is>
      </c>
      <c r="L7972" t="inlineStr">
        <is>
          <t>30D⁶, 90B⁸, 90E¹⁰</t>
        </is>
      </c>
      <c r="M7972" t="inlineStr"/>
      <c r="N7972" t="inlineStr">
        <is>
          <t>45A², 90B⁸, 15B⁰, 30D⁶, 30E², 9A⁰, 90E¹⁰, 5B⁰, 10C⁰, 2B⁰, 18E¹, 3A⁰, 1A⁰, 6D⁰, 30C²</t>
        </is>
      </c>
      <c r="O7972" t="inlineStr"/>
    </row>
    <row r="7973">
      <c r="A7973">
        <f>HYPERLINK("https://mathstats.uncg.edu/sites/pauli/congruence/csg24.html#group90D24", "90D²⁴")</f>
        <v/>
      </c>
      <c r="B7973" t="n">
        <v>24</v>
      </c>
      <c r="C7973" t="inlineStr"/>
      <c r="D7973" t="inlineStr">
        <is>
          <t>360</t>
        </is>
      </c>
      <c r="E7973" t="inlineStr">
        <is>
          <t>1</t>
        </is>
      </c>
      <c r="F7973" t="inlineStr">
        <is>
          <t>60</t>
        </is>
      </c>
      <c r="G7973" t="inlineStr">
        <is>
          <t>0</t>
        </is>
      </c>
      <c r="H7973" t="inlineStr">
        <is>
          <t>12</t>
        </is>
      </c>
      <c r="I7973" t="inlineStr">
        <is>
          <t>30³, 90³</t>
        </is>
      </c>
      <c r="J7973" t="n">
        <v>6</v>
      </c>
      <c r="K7973" t="inlineStr">
        <is>
          <t>1², 2², 4², 6¹, 8², 24¹</t>
        </is>
      </c>
      <c r="L7973" t="inlineStr">
        <is>
          <t>18N², 90C⁶, 45B¹¹</t>
        </is>
      </c>
      <c r="M7973" t="inlineStr"/>
      <c r="N7973" t="inlineStr">
        <is>
          <t>3B⁰, 2A⁰, 5A⁰, 45B³, 10A⁰, 9J⁰, 90C⁶, 18B⁰, 45B¹¹, 18N², 30D², 6C⁰, 15B¹, 9C⁰, 1A⁰</t>
        </is>
      </c>
      <c r="O7973" t="inlineStr"/>
    </row>
    <row r="7974">
      <c r="A7974">
        <f>HYPERLINK("https://mathstats.uncg.edu/sites/pauli/congruence/csg24.html#group90E24", "90E²⁴")</f>
        <v/>
      </c>
      <c r="B7974" t="n">
        <v>24</v>
      </c>
      <c r="C7974" t="inlineStr"/>
      <c r="D7974" t="inlineStr">
        <is>
          <t>360</t>
        </is>
      </c>
      <c r="E7974" t="inlineStr">
        <is>
          <t>1</t>
        </is>
      </c>
      <c r="F7974" t="inlineStr">
        <is>
          <t>60</t>
        </is>
      </c>
      <c r="G7974" t="inlineStr">
        <is>
          <t>0</t>
        </is>
      </c>
      <c r="H7974" t="inlineStr">
        <is>
          <t>12</t>
        </is>
      </c>
      <c r="I7974" t="inlineStr">
        <is>
          <t>30³, 90³</t>
        </is>
      </c>
      <c r="J7974" t="n">
        <v>6</v>
      </c>
      <c r="K7974" t="inlineStr">
        <is>
          <t>2², 4⁶, 8⁴, 12¹, 24²</t>
        </is>
      </c>
      <c r="L7974" t="inlineStr">
        <is>
          <t>90C⁶, 45C¹¹</t>
        </is>
      </c>
      <c r="M7974" t="inlineStr"/>
      <c r="N7974" t="inlineStr">
        <is>
          <t>3B⁰, 2A⁰, 5A⁰, 18B⁰, 30D², 6C⁰, 9C⁰, 1A⁰, 45B³, 10A⁰, 45C¹¹, 90C⁶, 15B¹</t>
        </is>
      </c>
      <c r="O7974" t="inlineStr"/>
    </row>
    <row r="7975">
      <c r="A7975">
        <f>HYPERLINK("https://mathstats.uncg.edu/sites/pauli/congruence/csg24.html#group90F24", "90F²⁴")</f>
        <v/>
      </c>
      <c r="B7975" t="n">
        <v>24</v>
      </c>
      <c r="C7975" t="inlineStr"/>
      <c r="D7975" t="inlineStr">
        <is>
          <t>360</t>
        </is>
      </c>
      <c r="E7975" t="inlineStr">
        <is>
          <t>1</t>
        </is>
      </c>
      <c r="F7975" t="inlineStr">
        <is>
          <t>60</t>
        </is>
      </c>
      <c r="G7975" t="inlineStr">
        <is>
          <t>0</t>
        </is>
      </c>
      <c r="H7975" t="inlineStr">
        <is>
          <t>12</t>
        </is>
      </c>
      <c r="I7975" t="inlineStr">
        <is>
          <t>30³, 90³</t>
        </is>
      </c>
      <c r="J7975" t="n">
        <v>6</v>
      </c>
      <c r="K7975" t="inlineStr">
        <is>
          <t>2², 4⁶, 8⁴, 12¹, 24²</t>
        </is>
      </c>
      <c r="L7975" t="inlineStr">
        <is>
          <t>90C⁶, 45D¹¹</t>
        </is>
      </c>
      <c r="M7975" t="inlineStr"/>
      <c r="N7975" t="inlineStr">
        <is>
          <t>3B⁰, 2A⁰, 5A⁰, 45B³, 10A⁰, 90C⁶, 18B⁰, 45D¹¹, 30D², 6C⁰, 15B¹, 9C⁰, 1A⁰</t>
        </is>
      </c>
      <c r="O7975" t="inlineStr"/>
    </row>
    <row r="7976">
      <c r="A7976">
        <f>HYPERLINK("https://mathstats.uncg.edu/sites/pauli/congruence/csg24.html#group90G24", "90G²⁴")</f>
        <v/>
      </c>
      <c r="B7976" t="n">
        <v>24</v>
      </c>
      <c r="C7976" t="inlineStr"/>
      <c r="D7976" t="inlineStr">
        <is>
          <t>360</t>
        </is>
      </c>
      <c r="E7976" t="inlineStr">
        <is>
          <t>1</t>
        </is>
      </c>
      <c r="F7976" t="inlineStr">
        <is>
          <t>120</t>
        </is>
      </c>
      <c r="G7976" t="inlineStr">
        <is>
          <t>0</t>
        </is>
      </c>
      <c r="H7976" t="inlineStr">
        <is>
          <t>12</t>
        </is>
      </c>
      <c r="I7976" t="inlineStr">
        <is>
          <t>30³, 90³</t>
        </is>
      </c>
      <c r="J7976" t="n">
        <v>6</v>
      </c>
      <c r="K7976" t="inlineStr">
        <is>
          <t>1⁴, 2⁴, 4⁴, 6², 8⁴, 24²</t>
        </is>
      </c>
      <c r="L7976" t="inlineStr">
        <is>
          <t>18O², 90C⁶</t>
        </is>
      </c>
      <c r="M7976" t="inlineStr"/>
      <c r="N7976" t="inlineStr">
        <is>
          <t>3B⁰, 2A⁰, 5A⁰, 45B³, 10A⁰, 90C⁶, 18B⁰, 30D², 6C⁰, 9C⁰, 15B¹, 18O², 1A⁰</t>
        </is>
      </c>
      <c r="O7976" t="inlineStr"/>
    </row>
    <row r="7977">
      <c r="A7977">
        <f>HYPERLINK("https://mathstats.uncg.edu/sites/pauli/congruence/csg24.html#group90H24", "90H²⁴")</f>
        <v/>
      </c>
      <c r="B7977" t="n">
        <v>24</v>
      </c>
      <c r="C7977" t="inlineStr"/>
      <c r="D7977" t="inlineStr">
        <is>
          <t>360</t>
        </is>
      </c>
      <c r="E7977" t="inlineStr">
        <is>
          <t>1</t>
        </is>
      </c>
      <c r="F7977" t="inlineStr">
        <is>
          <t>120</t>
        </is>
      </c>
      <c r="G7977" t="inlineStr">
        <is>
          <t>0</t>
        </is>
      </c>
      <c r="H7977" t="inlineStr">
        <is>
          <t>12</t>
        </is>
      </c>
      <c r="I7977" t="inlineStr">
        <is>
          <t>30³, 90³</t>
        </is>
      </c>
      <c r="J7977" t="n">
        <v>6</v>
      </c>
      <c r="K7977" t="inlineStr">
        <is>
          <t>2⁴, 4¹², 8⁸, 12², 24⁴</t>
        </is>
      </c>
      <c r="L7977" t="inlineStr">
        <is>
          <t>90C⁶</t>
        </is>
      </c>
      <c r="M7977" t="inlineStr"/>
      <c r="N7977" t="inlineStr">
        <is>
          <t>3B⁰, 2A⁰, 5A⁰, 45B³, 10A⁰, 90C⁶, 18B⁰, 30D², 6C⁰, 15B¹, 9C⁰, 1A⁰</t>
        </is>
      </c>
      <c r="O7977" t="inlineStr"/>
    </row>
    <row r="7978">
      <c r="A7978">
        <f>HYPERLINK("https://mathstats.uncg.edu/sites/pauli/congruence/csg24.html#group90I24", "90I²⁴")</f>
        <v/>
      </c>
      <c r="B7978" t="n">
        <v>24</v>
      </c>
      <c r="C7978" t="inlineStr"/>
      <c r="D7978" t="inlineStr">
        <is>
          <t>360</t>
        </is>
      </c>
      <c r="E7978" t="inlineStr">
        <is>
          <t>1</t>
        </is>
      </c>
      <c r="F7978" t="inlineStr">
        <is>
          <t>120</t>
        </is>
      </c>
      <c r="G7978" t="inlineStr">
        <is>
          <t>0</t>
        </is>
      </c>
      <c r="H7978" t="inlineStr">
        <is>
          <t>12</t>
        </is>
      </c>
      <c r="I7978" t="inlineStr">
        <is>
          <t>30³, 90³</t>
        </is>
      </c>
      <c r="J7978" t="n">
        <v>6</v>
      </c>
      <c r="K7978" t="inlineStr">
        <is>
          <t>2⁴, 4¹², 8⁸, 12², 24⁴</t>
        </is>
      </c>
      <c r="L7978" t="inlineStr">
        <is>
          <t>90C⁶</t>
        </is>
      </c>
      <c r="M7978" t="inlineStr"/>
      <c r="N7978" t="inlineStr">
        <is>
          <t>3B⁰, 2A⁰, 5A⁰, 45B³, 10A⁰, 90C⁶, 18B⁰, 30D², 6C⁰, 15B¹, 9C⁰, 1A⁰</t>
        </is>
      </c>
      <c r="O7978" t="inlineStr"/>
    </row>
    <row r="7979">
      <c r="A7979">
        <f>HYPERLINK("https://mathstats.uncg.edu/sites/pauli/congruence/csg24.html#group95A24", "95A²⁴")</f>
        <v/>
      </c>
      <c r="B7979" t="n">
        <v>24</v>
      </c>
      <c r="C7979" t="inlineStr"/>
      <c r="D7979" t="inlineStr">
        <is>
          <t>342</t>
        </is>
      </c>
      <c r="E7979" t="inlineStr">
        <is>
          <t>2</t>
        </is>
      </c>
      <c r="F7979" t="inlineStr">
        <is>
          <t>342</t>
        </is>
      </c>
      <c r="G7979" t="inlineStr">
        <is>
          <t>10</t>
        </is>
      </c>
      <c r="H7979" t="inlineStr">
        <is>
          <t>0</t>
        </is>
      </c>
      <c r="I7979" t="inlineStr">
        <is>
          <t>19³, 95³</t>
        </is>
      </c>
      <c r="J7979" t="n">
        <v>6</v>
      </c>
      <c r="K7979" t="inlineStr">
        <is>
          <t>6², 18¹², 24¹, 72⁶</t>
        </is>
      </c>
      <c r="L7979" t="inlineStr">
        <is>
          <t>5B⁰, 19A²</t>
        </is>
      </c>
      <c r="M7979" t="inlineStr"/>
      <c r="N7979" t="inlineStr">
        <is>
          <t>5B⁰, 1A⁰, 19A²</t>
        </is>
      </c>
      <c r="O7979" t="inlineStr"/>
    </row>
    <row r="7980">
      <c r="A7980">
        <f>HYPERLINK("https://mathstats.uncg.edu/sites/pauli/congruence/csg24.html#group98A24", "98A²⁴")</f>
        <v/>
      </c>
      <c r="B7980" t="n">
        <v>24</v>
      </c>
      <c r="C7980" t="inlineStr"/>
      <c r="D7980" t="inlineStr">
        <is>
          <t>294</t>
        </is>
      </c>
      <c r="E7980" t="inlineStr">
        <is>
          <t>1</t>
        </is>
      </c>
      <c r="F7980" t="inlineStr">
        <is>
          <t>147</t>
        </is>
      </c>
      <c r="G7980" t="inlineStr">
        <is>
          <t>0</t>
        </is>
      </c>
      <c r="H7980" t="inlineStr">
        <is>
          <t>0</t>
        </is>
      </c>
      <c r="I7980" t="inlineStr">
        <is>
          <t>98³</t>
        </is>
      </c>
      <c r="J7980" t="n">
        <v>3</v>
      </c>
      <c r="K7980" t="inlineStr">
        <is>
          <t>3¹, 6³, 42³</t>
        </is>
      </c>
      <c r="L7980" t="inlineStr">
        <is>
          <t>14A³, 49A⁹</t>
        </is>
      </c>
      <c r="M7980" t="inlineStr"/>
      <c r="N7980" t="inlineStr">
        <is>
          <t>2A⁰, 14A¹, 7D⁰, 1A⁰, 14A³, 49A⁹, 7A⁰</t>
        </is>
      </c>
      <c r="O7980" t="inlineStr"/>
    </row>
    <row r="7981">
      <c r="A7981">
        <f>HYPERLINK("https://mathstats.uncg.edu/sites/pauli/congruence/csg24.html#group98B24", "98B²⁴")</f>
        <v/>
      </c>
      <c r="B7981" t="n">
        <v>24</v>
      </c>
      <c r="C7981" t="inlineStr"/>
      <c r="D7981" t="inlineStr">
        <is>
          <t>392</t>
        </is>
      </c>
      <c r="E7981" t="inlineStr">
        <is>
          <t>1</t>
        </is>
      </c>
      <c r="F7981" t="inlineStr">
        <is>
          <t>196</t>
        </is>
      </c>
      <c r="G7981" t="inlineStr">
        <is>
          <t>0</t>
        </is>
      </c>
      <c r="H7981" t="inlineStr">
        <is>
          <t>14</t>
        </is>
      </c>
      <c r="I7981" t="inlineStr">
        <is>
          <t>14⁷, 98³</t>
        </is>
      </c>
      <c r="J7981" t="n">
        <v>10</v>
      </c>
      <c r="K7981" t="inlineStr">
        <is>
          <t>3¹, 6³, 7¹, 42⁴</t>
        </is>
      </c>
      <c r="L7981" t="inlineStr">
        <is>
          <t>14C³, 49B⁹</t>
        </is>
      </c>
      <c r="M7981" t="inlineStr"/>
      <c r="N7981" t="inlineStr">
        <is>
          <t>49B⁹, 2A⁰, 14C³, 14A¹, 7F⁰, 1A⁰, 7A⁰</t>
        </is>
      </c>
      <c r="O7981" t="inlineStr"/>
    </row>
    <row r="7982">
      <c r="A7982">
        <f>HYPERLINK("https://mathstats.uncg.edu/sites/pauli/congruence/csg24.html#group100A24", "100A²⁴")</f>
        <v/>
      </c>
      <c r="B7982" t="n">
        <v>24</v>
      </c>
      <c r="C7982" t="inlineStr"/>
      <c r="D7982" t="inlineStr">
        <is>
          <t>300</t>
        </is>
      </c>
      <c r="E7982" t="inlineStr">
        <is>
          <t>1</t>
        </is>
      </c>
      <c r="F7982" t="inlineStr">
        <is>
          <t>150</t>
        </is>
      </c>
      <c r="G7982" t="inlineStr">
        <is>
          <t>0</t>
        </is>
      </c>
      <c r="H7982" t="inlineStr">
        <is>
          <t>0</t>
        </is>
      </c>
      <c r="I7982" t="inlineStr">
        <is>
          <t>50², 100²</t>
        </is>
      </c>
      <c r="J7982" t="n">
        <v>4</v>
      </c>
      <c r="K7982" t="inlineStr">
        <is>
          <t>2³, 4⁶, 20⁶</t>
        </is>
      </c>
      <c r="L7982" t="inlineStr">
        <is>
          <t>20B⁴, 50A¹¹</t>
        </is>
      </c>
      <c r="M7982" t="inlineStr"/>
      <c r="N7982" t="inlineStr">
        <is>
          <t>5C⁰, 25E², 20B⁴, 2B⁰, 50A¹¹, 1A⁰, 10F¹</t>
        </is>
      </c>
      <c r="O7982" t="inlineStr"/>
    </row>
    <row r="7983">
      <c r="A7983">
        <f>HYPERLINK("https://mathstats.uncg.edu/sites/pauli/congruence/csg24.html#group103A24", "103A²⁴")</f>
        <v/>
      </c>
      <c r="B7983" t="n">
        <v>24</v>
      </c>
      <c r="C7983" t="inlineStr"/>
      <c r="D7983" t="inlineStr">
        <is>
          <t>312</t>
        </is>
      </c>
      <c r="E7983" t="inlineStr">
        <is>
          <t>1</t>
        </is>
      </c>
      <c r="F7983" t="inlineStr">
        <is>
          <t>104</t>
        </is>
      </c>
      <c r="G7983" t="inlineStr">
        <is>
          <t>0</t>
        </is>
      </c>
      <c r="H7983" t="inlineStr">
        <is>
          <t>0</t>
        </is>
      </c>
      <c r="I7983" t="inlineStr">
        <is>
          <t>1³, 103³</t>
        </is>
      </c>
      <c r="J7983" t="n">
        <v>6</v>
      </c>
      <c r="K7983" t="inlineStr">
        <is>
          <t>1², 102¹</t>
        </is>
      </c>
      <c r="L7983" t="inlineStr">
        <is>
          <t>103A⁸</t>
        </is>
      </c>
      <c r="M7983" t="inlineStr"/>
      <c r="N7983" t="inlineStr">
        <is>
          <t>1A⁰, 103A⁸</t>
        </is>
      </c>
      <c r="O7983" t="inlineStr"/>
    </row>
    <row r="7984">
      <c r="A7984">
        <f>HYPERLINK("https://mathstats.uncg.edu/sites/pauli/congruence/csg24.html#group106A24", "106A²⁴")</f>
        <v/>
      </c>
      <c r="B7984" t="n">
        <v>24</v>
      </c>
      <c r="C7984" t="inlineStr"/>
      <c r="D7984" t="inlineStr">
        <is>
          <t>324</t>
        </is>
      </c>
      <c r="E7984" t="inlineStr">
        <is>
          <t>1</t>
        </is>
      </c>
      <c r="F7984" t="inlineStr">
        <is>
          <t>162</t>
        </is>
      </c>
      <c r="G7984" t="inlineStr">
        <is>
          <t>0</t>
        </is>
      </c>
      <c r="H7984" t="inlineStr">
        <is>
          <t>0</t>
        </is>
      </c>
      <c r="I7984" t="inlineStr">
        <is>
          <t>1², 2², 53², 106²</t>
        </is>
      </c>
      <c r="J7984" t="n">
        <v>8</v>
      </c>
      <c r="K7984" t="inlineStr">
        <is>
          <t>1⁶, 52³</t>
        </is>
      </c>
      <c r="L7984" t="inlineStr">
        <is>
          <t>53A⁸, 106A¹²</t>
        </is>
      </c>
      <c r="M7984" t="inlineStr"/>
      <c r="N7984" t="inlineStr">
        <is>
          <t>2B⁰, 53A⁸, 1A⁰, 106A¹², 53A⁴</t>
        </is>
      </c>
      <c r="O7984" t="inlineStr"/>
    </row>
    <row r="7985">
      <c r="A7985">
        <f>HYPERLINK("https://mathstats.uncg.edu/sites/pauli/congruence/csg24.html#group106B24", "106B²⁴")</f>
        <v/>
      </c>
      <c r="B7985" t="n">
        <v>24</v>
      </c>
      <c r="C7985" t="inlineStr"/>
      <c r="D7985" t="inlineStr">
        <is>
          <t>324</t>
        </is>
      </c>
      <c r="E7985" t="inlineStr">
        <is>
          <t>1</t>
        </is>
      </c>
      <c r="F7985" t="inlineStr">
        <is>
          <t>162</t>
        </is>
      </c>
      <c r="G7985" t="inlineStr">
        <is>
          <t>4</t>
        </is>
      </c>
      <c r="H7985" t="inlineStr">
        <is>
          <t>0</t>
        </is>
      </c>
      <c r="I7985" t="inlineStr">
        <is>
          <t>2³, 106³</t>
        </is>
      </c>
      <c r="J7985" t="n">
        <v>6</v>
      </c>
      <c r="K7985" t="inlineStr">
        <is>
          <t>1⁶, 52³</t>
        </is>
      </c>
      <c r="L7985" t="inlineStr">
        <is>
          <t>106A⁸, 106A¹²</t>
        </is>
      </c>
      <c r="M7985" t="inlineStr"/>
      <c r="N7985" t="inlineStr">
        <is>
          <t>2B⁰, 106A⁸, 1A⁰, 106A¹², 53A⁴</t>
        </is>
      </c>
      <c r="O7985" t="inlineStr"/>
    </row>
    <row r="7986">
      <c r="A7986">
        <f>HYPERLINK("https://mathstats.uncg.edu/sites/pauli/congruence/csg24.html#group110A24", "110A²⁴")</f>
        <v/>
      </c>
      <c r="B7986" t="n">
        <v>24</v>
      </c>
      <c r="C7986" t="inlineStr"/>
      <c r="D7986" t="inlineStr">
        <is>
          <t>330</t>
        </is>
      </c>
      <c r="E7986" t="inlineStr">
        <is>
          <t>2</t>
        </is>
      </c>
      <c r="F7986" t="inlineStr">
        <is>
          <t>165</t>
        </is>
      </c>
      <c r="G7986" t="inlineStr">
        <is>
          <t>12</t>
        </is>
      </c>
      <c r="H7986" t="inlineStr">
        <is>
          <t>0</t>
        </is>
      </c>
      <c r="I7986" t="inlineStr">
        <is>
          <t>110³</t>
        </is>
      </c>
      <c r="J7986" t="n">
        <v>3</v>
      </c>
      <c r="K7986" t="inlineStr">
        <is>
          <t>2¹, 4¹, 8³, 10², 20², 40⁶</t>
        </is>
      </c>
      <c r="L7986" t="inlineStr">
        <is>
          <t>10E¹, 55A¹¹</t>
        </is>
      </c>
      <c r="M7986" t="inlineStr"/>
      <c r="N7986" t="inlineStr">
        <is>
          <t>11A⁰, 5A⁰, 55A³, 5E⁰, 10E¹, 1A⁰, 55A¹¹</t>
        </is>
      </c>
      <c r="O7986" t="inlineStr"/>
    </row>
    <row r="7987">
      <c r="A7987">
        <f>HYPERLINK("https://mathstats.uncg.edu/sites/pauli/congruence/csg24.html#group112A24", "112A²⁴")</f>
        <v/>
      </c>
      <c r="B7987" t="n">
        <v>24</v>
      </c>
      <c r="C7987" t="inlineStr"/>
      <c r="D7987" t="inlineStr">
        <is>
          <t>336</t>
        </is>
      </c>
      <c r="E7987" t="inlineStr">
        <is>
          <t>2</t>
        </is>
      </c>
      <c r="F7987" t="inlineStr">
        <is>
          <t>21</t>
        </is>
      </c>
      <c r="G7987" t="inlineStr">
        <is>
          <t>0</t>
        </is>
      </c>
      <c r="H7987" t="inlineStr">
        <is>
          <t>0</t>
        </is>
      </c>
      <c r="I7987" t="inlineStr">
        <is>
          <t>14⁸, 112²</t>
        </is>
      </c>
      <c r="J7987" t="n">
        <v>10</v>
      </c>
      <c r="K7987" t="inlineStr">
        <is>
          <t>2³, 6⁶</t>
        </is>
      </c>
      <c r="L7987" t="inlineStr">
        <is>
          <t>112C¹¹, 56B¹², 112D¹²</t>
        </is>
      </c>
      <c r="M7987" t="inlineStr"/>
      <c r="N7987" t="inlineStr">
        <is>
          <t>2A⁰, 56C⁵, 56C⁶, 14B¹, 14B³, 4C⁰, 14A¹, 28A³, 8C⁰, 2B⁰, 4E⁰, 4B⁰, 1A⁰, 8G⁰, 112C¹¹, 28C⁶, 112D¹², 7A⁰, 8D⁰, 56B¹², 28C², 2C⁰</t>
        </is>
      </c>
      <c r="O7987" t="inlineStr"/>
    </row>
    <row r="7988">
      <c r="A7988">
        <f>HYPERLINK("https://mathstats.uncg.edu/sites/pauli/congruence/csg24.html#group112B24", "112B²⁴")</f>
        <v/>
      </c>
      <c r="B7988" t="n">
        <v>24</v>
      </c>
      <c r="C7988" t="inlineStr"/>
      <c r="D7988" t="inlineStr">
        <is>
          <t>336</t>
        </is>
      </c>
      <c r="E7988" t="inlineStr">
        <is>
          <t>2</t>
        </is>
      </c>
      <c r="F7988" t="inlineStr">
        <is>
          <t>21</t>
        </is>
      </c>
      <c r="G7988" t="inlineStr">
        <is>
          <t>0</t>
        </is>
      </c>
      <c r="H7988" t="inlineStr">
        <is>
          <t>0</t>
        </is>
      </c>
      <c r="I7988" t="inlineStr">
        <is>
          <t>14⁸, 112²</t>
        </is>
      </c>
      <c r="J7988" t="n">
        <v>10</v>
      </c>
      <c r="K7988" t="inlineStr">
        <is>
          <t>2³, 6⁶</t>
        </is>
      </c>
      <c r="L7988" t="inlineStr">
        <is>
          <t>16G⁰, 112D¹¹, 56B¹², 112E¹²</t>
        </is>
      </c>
      <c r="M7988" t="inlineStr"/>
      <c r="N7988" t="inlineStr">
        <is>
          <t>16G⁰, 2A⁰, 56C⁵, 56C⁶, 112D¹¹, 14B¹, 8D⁰, 14B³, 4C⁰, 56B¹², 14A¹, 28A³, 8C⁰, 2B⁰, 4E⁰, 4B⁰, 1A⁰, 112E¹², 28C², 16E⁰, 8G⁰, 16D⁰, 28C⁶, 2C⁰, 7A⁰</t>
        </is>
      </c>
      <c r="O7988" t="inlineStr"/>
    </row>
    <row r="7989">
      <c r="A7989">
        <f>HYPERLINK("https://mathstats.uncg.edu/sites/pauli/congruence/csg24.html#group112C24", "112C²⁴")</f>
        <v/>
      </c>
      <c r="B7989" t="n">
        <v>24</v>
      </c>
      <c r="C7989" t="inlineStr"/>
      <c r="D7989" t="inlineStr">
        <is>
          <t>336</t>
        </is>
      </c>
      <c r="E7989" t="inlineStr">
        <is>
          <t>2</t>
        </is>
      </c>
      <c r="F7989" t="inlineStr">
        <is>
          <t>84</t>
        </is>
      </c>
      <c r="G7989" t="inlineStr">
        <is>
          <t>0</t>
        </is>
      </c>
      <c r="H7989" t="inlineStr">
        <is>
          <t>0</t>
        </is>
      </c>
      <c r="I7989" t="inlineStr">
        <is>
          <t>7⁴, 14², 28², 112²</t>
        </is>
      </c>
      <c r="J7989" t="n">
        <v>10</v>
      </c>
      <c r="K7989" t="inlineStr">
        <is>
          <t>2⁴, 4², 6⁸, 8¹, 12⁴, 24²</t>
        </is>
      </c>
      <c r="L7989" t="inlineStr">
        <is>
          <t>56F¹², 112B¹², 112E¹²</t>
        </is>
      </c>
      <c r="M7989" t="inlineStr"/>
      <c r="N7989" t="inlineStr">
        <is>
          <t>112E¹², 56C⁶, 14B¹, 56F¹², 112B¹², 16D⁰, 28A³, 8C⁰, 2B⁰, 4B⁰, 1A⁰, 7A⁰</t>
        </is>
      </c>
      <c r="O7989" t="inlineStr"/>
    </row>
    <row r="7990">
      <c r="A7990">
        <f>HYPERLINK("https://mathstats.uncg.edu/sites/pauli/congruence/csg24.html#group112D24", "112D²⁴")</f>
        <v/>
      </c>
      <c r="B7990" t="n">
        <v>24</v>
      </c>
      <c r="C7990" t="inlineStr"/>
      <c r="D7990" t="inlineStr">
        <is>
          <t>336</t>
        </is>
      </c>
      <c r="E7990" t="inlineStr">
        <is>
          <t>2</t>
        </is>
      </c>
      <c r="F7990" t="inlineStr">
        <is>
          <t>84</t>
        </is>
      </c>
      <c r="G7990" t="inlineStr">
        <is>
          <t>0</t>
        </is>
      </c>
      <c r="H7990" t="inlineStr">
        <is>
          <t>0</t>
        </is>
      </c>
      <c r="I7990" t="inlineStr">
        <is>
          <t>7⁴, 14², 28², 112²</t>
        </is>
      </c>
      <c r="J7990" t="n">
        <v>10</v>
      </c>
      <c r="K7990" t="inlineStr">
        <is>
          <t>2⁴, 4², 6⁸, 8¹, 12⁴, 24²</t>
        </is>
      </c>
      <c r="L7990" t="inlineStr">
        <is>
          <t>56F¹², 112C¹², 112D¹²</t>
        </is>
      </c>
      <c r="M7990" t="inlineStr"/>
      <c r="N7990" t="inlineStr">
        <is>
          <t>56C⁶, 14B¹, 56F¹², 16C⁰, 28A³, 1A⁰, 8C⁰, 2B⁰, 112C¹², 4B⁰, 112D¹², 7A⁰</t>
        </is>
      </c>
      <c r="O7990" t="inlineStr"/>
    </row>
    <row r="7991">
      <c r="A7991">
        <f>HYPERLINK("https://mathstats.uncg.edu/sites/pauli/congruence/csg24.html#group112E24", "112E²⁴")</f>
        <v/>
      </c>
      <c r="B7991" t="n">
        <v>24</v>
      </c>
      <c r="C7991" t="inlineStr"/>
      <c r="D7991" t="inlineStr">
        <is>
          <t>336</t>
        </is>
      </c>
      <c r="E7991" t="inlineStr">
        <is>
          <t>2</t>
        </is>
      </c>
      <c r="F7991" t="inlineStr">
        <is>
          <t>84</t>
        </is>
      </c>
      <c r="G7991" t="inlineStr">
        <is>
          <t>0</t>
        </is>
      </c>
      <c r="H7991" t="inlineStr">
        <is>
          <t>0</t>
        </is>
      </c>
      <c r="I7991" t="inlineStr">
        <is>
          <t>7⁴, 14², 28², 112²</t>
        </is>
      </c>
      <c r="J7991" t="n">
        <v>10</v>
      </c>
      <c r="K7991" t="inlineStr">
        <is>
          <t>2⁴, 4², 6⁸, 8¹, 12⁴, 24²</t>
        </is>
      </c>
      <c r="L7991" t="inlineStr">
        <is>
          <t>56G¹², 112B¹², 112D¹²</t>
        </is>
      </c>
      <c r="M7991" t="inlineStr"/>
      <c r="N7991" t="inlineStr">
        <is>
          <t>56C⁶, 14B¹, 112B¹², 28A³, 56G¹², 8C⁰, 2B⁰, 1A⁰, 8I⁰, 4B⁰, 112D¹², 7A⁰</t>
        </is>
      </c>
      <c r="O7991" t="inlineStr"/>
    </row>
    <row r="7992">
      <c r="A7992">
        <f>HYPERLINK("https://mathstats.uncg.edu/sites/pauli/congruence/csg24.html#group112F24", "112F²⁴")</f>
        <v/>
      </c>
      <c r="B7992" t="n">
        <v>24</v>
      </c>
      <c r="C7992" t="inlineStr"/>
      <c r="D7992" t="inlineStr">
        <is>
          <t>336</t>
        </is>
      </c>
      <c r="E7992" t="inlineStr">
        <is>
          <t>2</t>
        </is>
      </c>
      <c r="F7992" t="inlineStr">
        <is>
          <t>84</t>
        </is>
      </c>
      <c r="G7992" t="inlineStr">
        <is>
          <t>0</t>
        </is>
      </c>
      <c r="H7992" t="inlineStr">
        <is>
          <t>0</t>
        </is>
      </c>
      <c r="I7992" t="inlineStr">
        <is>
          <t>7⁴, 14², 28², 112²</t>
        </is>
      </c>
      <c r="J7992" t="n">
        <v>10</v>
      </c>
      <c r="K7992" t="inlineStr">
        <is>
          <t>2⁴, 4², 6⁸, 8¹, 12⁴, 24²</t>
        </is>
      </c>
      <c r="L7992" t="inlineStr">
        <is>
          <t>16H⁰, 56G¹², 112C¹², 112E¹²</t>
        </is>
      </c>
      <c r="M7992" t="inlineStr"/>
      <c r="N7992" t="inlineStr">
        <is>
          <t>112E¹², 56C⁶, 14B¹, 16C⁰, 16D⁰, 28A³, 56G¹², 8C⁰, 2B⁰, 8I⁰, 112C¹², 4B⁰, 1A⁰, 7A⁰, 16H⁰</t>
        </is>
      </c>
      <c r="O7992" t="inlineStr"/>
    </row>
    <row r="7993">
      <c r="A7993">
        <f>HYPERLINK("https://mathstats.uncg.edu/sites/pauli/congruence/csg24.html#group112G24", "112G²⁴")</f>
        <v/>
      </c>
      <c r="B7993" t="n">
        <v>24</v>
      </c>
      <c r="C7993" t="inlineStr"/>
      <c r="D7993" t="inlineStr">
        <is>
          <t>336</t>
        </is>
      </c>
      <c r="E7993" t="inlineStr">
        <is>
          <t>2</t>
        </is>
      </c>
      <c r="F7993" t="inlineStr">
        <is>
          <t>84</t>
        </is>
      </c>
      <c r="G7993" t="inlineStr">
        <is>
          <t>0</t>
        </is>
      </c>
      <c r="H7993" t="inlineStr">
        <is>
          <t>0</t>
        </is>
      </c>
      <c r="I7993" t="inlineStr">
        <is>
          <t>14⁸, 112²</t>
        </is>
      </c>
      <c r="J7993" t="n">
        <v>10</v>
      </c>
      <c r="K7993" t="inlineStr">
        <is>
          <t>2⁴, 4², 6⁸, 8¹, 12⁴, 24²</t>
        </is>
      </c>
      <c r="L7993" t="inlineStr">
        <is>
          <t>56C¹², 112D¹², 112E¹²</t>
        </is>
      </c>
      <c r="M7993" t="inlineStr"/>
      <c r="N7993" t="inlineStr">
        <is>
          <t>14A⁰, 56C⁶, 14B¹, 14C², 28A³, 8C⁰, 2B⁰, 4B⁰, 1A⁰, 112E¹², 56B⁶, 16D⁰, 28A⁶, 56C¹², 28B³, 112D¹², 7A⁰</t>
        </is>
      </c>
      <c r="O7993" t="inlineStr"/>
    </row>
    <row r="7994">
      <c r="A7994">
        <f>HYPERLINK("https://mathstats.uncg.edu/sites/pauli/congruence/csg24.html#group112H24", "112H²⁴")</f>
        <v/>
      </c>
      <c r="B7994" t="n">
        <v>24</v>
      </c>
      <c r="C7994" t="inlineStr"/>
      <c r="D7994" t="inlineStr">
        <is>
          <t>336</t>
        </is>
      </c>
      <c r="E7994" t="inlineStr">
        <is>
          <t>2</t>
        </is>
      </c>
      <c r="F7994" t="inlineStr">
        <is>
          <t>84</t>
        </is>
      </c>
      <c r="G7994" t="inlineStr">
        <is>
          <t>8</t>
        </is>
      </c>
      <c r="H7994" t="inlineStr">
        <is>
          <t>0</t>
        </is>
      </c>
      <c r="I7994" t="inlineStr">
        <is>
          <t>28⁴, 112²</t>
        </is>
      </c>
      <c r="J7994" t="n">
        <v>6</v>
      </c>
      <c r="K7994" t="inlineStr">
        <is>
          <t>2², 4¹, 6⁴, 8², 12², 24⁴</t>
        </is>
      </c>
      <c r="L7994" t="inlineStr">
        <is>
          <t>56A¹⁰, 112F¹², 112G¹²</t>
        </is>
      </c>
      <c r="M7994" t="inlineStr"/>
      <c r="N7994" t="inlineStr">
        <is>
          <t>56B⁵, 14A⁰, 56C⁵, 28C⁴, 14B¹, 8D⁰, 14C², 4C⁰, 2B⁰, 1A⁰, 56A¹⁰, 28C², 16C¹, 112G¹², 112F¹², 28B², 7A⁰</t>
        </is>
      </c>
      <c r="O7994" t="inlineStr"/>
    </row>
    <row r="7995">
      <c r="A7995">
        <f>HYPERLINK("https://mathstats.uncg.edu/sites/pauli/congruence/csg24.html#group112I24", "112I²⁴")</f>
        <v/>
      </c>
      <c r="B7995" t="n">
        <v>24</v>
      </c>
      <c r="C7995" t="inlineStr"/>
      <c r="D7995" t="inlineStr">
        <is>
          <t>336</t>
        </is>
      </c>
      <c r="E7995" t="inlineStr">
        <is>
          <t>2</t>
        </is>
      </c>
      <c r="F7995" t="inlineStr">
        <is>
          <t>84</t>
        </is>
      </c>
      <c r="G7995" t="inlineStr">
        <is>
          <t>8</t>
        </is>
      </c>
      <c r="H7995" t="inlineStr">
        <is>
          <t>0</t>
        </is>
      </c>
      <c r="I7995" t="inlineStr">
        <is>
          <t>28⁴, 112²</t>
        </is>
      </c>
      <c r="J7995" t="n">
        <v>6</v>
      </c>
      <c r="K7995" t="inlineStr">
        <is>
          <t>2², 4¹, 6⁴, 8², 12², 24⁴</t>
        </is>
      </c>
      <c r="L7995" t="inlineStr">
        <is>
          <t>56D¹¹, 112C¹¹, 112G¹²</t>
        </is>
      </c>
      <c r="M7995" t="inlineStr"/>
      <c r="N7995" t="inlineStr">
        <is>
          <t>28C², 56C⁵, 14B¹, 8D⁰, 16C¹, 112G¹², 56D¹¹, 4C⁰, 28C⁵, 112C¹¹, 2B⁰, 56A⁵, 1A⁰, 7A⁰</t>
        </is>
      </c>
      <c r="O7995" t="inlineStr"/>
    </row>
    <row r="7996">
      <c r="A7996">
        <f>HYPERLINK("https://mathstats.uncg.edu/sites/pauli/congruence/csg24.html#group112J24", "112J²⁴")</f>
        <v/>
      </c>
      <c r="B7996" t="n">
        <v>24</v>
      </c>
      <c r="C7996" t="inlineStr"/>
      <c r="D7996" t="inlineStr">
        <is>
          <t>336</t>
        </is>
      </c>
      <c r="E7996" t="inlineStr">
        <is>
          <t>2</t>
        </is>
      </c>
      <c r="F7996" t="inlineStr">
        <is>
          <t>84</t>
        </is>
      </c>
      <c r="G7996" t="inlineStr">
        <is>
          <t>8</t>
        </is>
      </c>
      <c r="H7996" t="inlineStr">
        <is>
          <t>0</t>
        </is>
      </c>
      <c r="I7996" t="inlineStr">
        <is>
          <t>28⁴, 112²</t>
        </is>
      </c>
      <c r="J7996" t="n">
        <v>6</v>
      </c>
      <c r="K7996" t="inlineStr">
        <is>
          <t>2², 4¹, 6⁴, 8², 12², 24⁴</t>
        </is>
      </c>
      <c r="L7996" t="inlineStr">
        <is>
          <t>56D¹¹, 112D¹¹, 112F¹²</t>
        </is>
      </c>
      <c r="M7996" t="inlineStr"/>
      <c r="N7996" t="inlineStr">
        <is>
          <t>28C², 16E⁰, 56C⁵, 112D¹¹, 14B¹, 8D⁰, 112F¹², 56D¹¹, 4C⁰, 28C⁵, 2B⁰, 56A⁵, 1A⁰, 7A⁰</t>
        </is>
      </c>
      <c r="O7996" t="inlineStr"/>
    </row>
    <row r="7997">
      <c r="A7997">
        <f>HYPERLINK("https://mathstats.uncg.edu/sites/pauli/congruence/csg24.html#group112K24", "112K²⁴")</f>
        <v/>
      </c>
      <c r="B7997" t="n">
        <v>24</v>
      </c>
      <c r="C7997" t="inlineStr"/>
      <c r="D7997" t="inlineStr">
        <is>
          <t>336</t>
        </is>
      </c>
      <c r="E7997" t="inlineStr">
        <is>
          <t>2</t>
        </is>
      </c>
      <c r="F7997" t="inlineStr">
        <is>
          <t>84</t>
        </is>
      </c>
      <c r="G7997" t="inlineStr">
        <is>
          <t>12</t>
        </is>
      </c>
      <c r="H7997" t="inlineStr">
        <is>
          <t>0</t>
        </is>
      </c>
      <c r="I7997" t="inlineStr">
        <is>
          <t>56², 112²</t>
        </is>
      </c>
      <c r="J7997" t="n">
        <v>4</v>
      </c>
      <c r="K7997" t="inlineStr">
        <is>
          <t>4⁶, 12¹²</t>
        </is>
      </c>
      <c r="L7997" t="inlineStr">
        <is>
          <t>56C¹⁰, 112E¹¹</t>
        </is>
      </c>
      <c r="M7997" t="inlineStr"/>
      <c r="N7997" t="inlineStr">
        <is>
          <t>56C⁵, 14B¹, 8D⁰, 4C⁰, 8B⁰, 2B⁰, 1A⁰, 56C¹⁰, 8H⁰, 28C², 112E¹¹, 4A⁰, 28D⁵, 4F⁰, 28A¹, 7A⁰, 56B⁴</t>
        </is>
      </c>
      <c r="O7997" t="inlineStr"/>
    </row>
    <row r="7998">
      <c r="A7998">
        <f>HYPERLINK("https://mathstats.uncg.edu/sites/pauli/congruence/csg24.html#group112L24", "112L²⁴")</f>
        <v/>
      </c>
      <c r="B7998" t="n">
        <v>24</v>
      </c>
      <c r="C7998" t="inlineStr"/>
      <c r="D7998" t="inlineStr">
        <is>
          <t>336</t>
        </is>
      </c>
      <c r="E7998" t="inlineStr">
        <is>
          <t>2</t>
        </is>
      </c>
      <c r="F7998" t="inlineStr">
        <is>
          <t>84</t>
        </is>
      </c>
      <c r="G7998" t="inlineStr">
        <is>
          <t>12</t>
        </is>
      </c>
      <c r="H7998" t="inlineStr">
        <is>
          <t>0</t>
        </is>
      </c>
      <c r="I7998" t="inlineStr">
        <is>
          <t>56², 112²</t>
        </is>
      </c>
      <c r="J7998" t="n">
        <v>4</v>
      </c>
      <c r="K7998" t="inlineStr">
        <is>
          <t>4⁶, 12¹²</t>
        </is>
      </c>
      <c r="L7998" t="inlineStr">
        <is>
          <t>16E², 56C¹⁰, 112F¹¹</t>
        </is>
      </c>
      <c r="M7998" t="inlineStr"/>
      <c r="N7998" t="inlineStr">
        <is>
          <t>56C⁵, 14B¹, 8D⁰, 4C⁰, 8B⁰, 2B⁰, 1A⁰, 16E², 56C¹⁰, 8H⁰, 28C², 16D¹, 4A⁰, 28D⁵, 112F¹¹, 4F⁰, 28A¹, 7A⁰, 56B⁴</t>
        </is>
      </c>
      <c r="O7998" t="inlineStr"/>
    </row>
    <row r="7999">
      <c r="A7999">
        <f>HYPERLINK("https://mathstats.uncg.edu/sites/pauli/congruence/csg24.html#group112M24", "112M²⁴")</f>
        <v/>
      </c>
      <c r="B7999" t="n">
        <v>24</v>
      </c>
      <c r="C7999" t="inlineStr"/>
      <c r="D7999" t="inlineStr">
        <is>
          <t>336</t>
        </is>
      </c>
      <c r="E7999" t="inlineStr">
        <is>
          <t>2</t>
        </is>
      </c>
      <c r="F7999" t="inlineStr">
        <is>
          <t>84</t>
        </is>
      </c>
      <c r="G7999" t="inlineStr">
        <is>
          <t>12</t>
        </is>
      </c>
      <c r="H7999" t="inlineStr">
        <is>
          <t>0</t>
        </is>
      </c>
      <c r="I7999" t="inlineStr">
        <is>
          <t>56², 112²</t>
        </is>
      </c>
      <c r="J7999" t="n">
        <v>4</v>
      </c>
      <c r="K7999" t="inlineStr">
        <is>
          <t>4⁸, 8², 12¹⁶, 24⁴</t>
        </is>
      </c>
      <c r="L7999" t="inlineStr">
        <is>
          <t>56B¹⁰, 112E¹¹, 112F¹¹</t>
        </is>
      </c>
      <c r="M7999" t="inlineStr"/>
      <c r="N7999" t="inlineStr">
        <is>
          <t>28C², 56B⁵, 16D¹, 112E¹¹, 56B¹⁰, 14B¹, 4C⁰, 8B⁰, 112F¹¹, 28C⁵, 2B⁰, 1A⁰, 7A⁰, 56B⁴</t>
        </is>
      </c>
      <c r="O7999" t="inlineStr"/>
    </row>
    <row r="8000">
      <c r="A8000">
        <f>HYPERLINK("https://mathstats.uncg.edu/sites/pauli/congruence/csg24.html#group112N24", "112N²⁴")</f>
        <v/>
      </c>
      <c r="B8000" t="n">
        <v>24</v>
      </c>
      <c r="C8000" t="inlineStr"/>
      <c r="D8000" t="inlineStr">
        <is>
          <t>336</t>
        </is>
      </c>
      <c r="E8000" t="inlineStr">
        <is>
          <t>2</t>
        </is>
      </c>
      <c r="F8000" t="inlineStr">
        <is>
          <t>84</t>
        </is>
      </c>
      <c r="G8000" t="inlineStr">
        <is>
          <t>12</t>
        </is>
      </c>
      <c r="H8000" t="inlineStr">
        <is>
          <t>0</t>
        </is>
      </c>
      <c r="I8000" t="inlineStr">
        <is>
          <t>56², 112²</t>
        </is>
      </c>
      <c r="J8000" t="n">
        <v>4</v>
      </c>
      <c r="K8000" t="inlineStr">
        <is>
          <t>4⁸, 8², 12¹⁶, 24⁴</t>
        </is>
      </c>
      <c r="L8000" t="inlineStr">
        <is>
          <t>56B¹⁰, 112E¹¹, 112F¹¹</t>
        </is>
      </c>
      <c r="M8000" t="inlineStr"/>
      <c r="N8000" t="inlineStr">
        <is>
          <t>28C², 56B⁵, 16D¹, 112E¹¹, 56B¹⁰, 14B¹, 4C⁰, 8B⁰, 112F¹¹, 28C⁵, 2B⁰, 1A⁰, 7A⁰, 56B⁴</t>
        </is>
      </c>
      <c r="O8000" t="inlineStr"/>
    </row>
    <row r="8001">
      <c r="A8001">
        <f>HYPERLINK("https://mathstats.uncg.edu/sites/pauli/congruence/csg24.html#group112O24", "112O²⁴")</f>
        <v/>
      </c>
      <c r="B8001" t="n">
        <v>24</v>
      </c>
      <c r="C8001" t="inlineStr"/>
      <c r="D8001" t="inlineStr">
        <is>
          <t>336</t>
        </is>
      </c>
      <c r="E8001" t="inlineStr">
        <is>
          <t>2</t>
        </is>
      </c>
      <c r="F8001" t="inlineStr">
        <is>
          <t>84</t>
        </is>
      </c>
      <c r="G8001" t="inlineStr">
        <is>
          <t>12</t>
        </is>
      </c>
      <c r="H8001" t="inlineStr">
        <is>
          <t>0</t>
        </is>
      </c>
      <c r="I8001" t="inlineStr">
        <is>
          <t>56², 112²</t>
        </is>
      </c>
      <c r="J8001" t="n">
        <v>4</v>
      </c>
      <c r="K8001" t="inlineStr">
        <is>
          <t>4⁸, 8², 12¹⁶, 24⁴</t>
        </is>
      </c>
      <c r="L8001" t="inlineStr">
        <is>
          <t>56D¹⁰, 112A¹¹, 112F¹¹</t>
        </is>
      </c>
      <c r="M8001" t="inlineStr"/>
      <c r="N8001" t="inlineStr">
        <is>
          <t>112A¹¹, 28C², 16D¹, 14B¹, 4C⁰, 8B⁰, 112F¹¹, 2B⁰, 56D¹⁰, 1A⁰, 7A⁰, 56B⁴</t>
        </is>
      </c>
      <c r="O8001" t="inlineStr"/>
    </row>
    <row r="8002">
      <c r="A8002">
        <f>HYPERLINK("https://mathstats.uncg.edu/sites/pauli/congruence/csg24.html#group112P24", "112P²⁴")</f>
        <v/>
      </c>
      <c r="B8002" t="n">
        <v>24</v>
      </c>
      <c r="C8002" t="inlineStr"/>
      <c r="D8002" t="inlineStr">
        <is>
          <t>336</t>
        </is>
      </c>
      <c r="E8002" t="inlineStr">
        <is>
          <t>2</t>
        </is>
      </c>
      <c r="F8002" t="inlineStr">
        <is>
          <t>84</t>
        </is>
      </c>
      <c r="G8002" t="inlineStr">
        <is>
          <t>12</t>
        </is>
      </c>
      <c r="H8002" t="inlineStr">
        <is>
          <t>0</t>
        </is>
      </c>
      <c r="I8002" t="inlineStr">
        <is>
          <t>56², 112²</t>
        </is>
      </c>
      <c r="J8002" t="n">
        <v>4</v>
      </c>
      <c r="K8002" t="inlineStr">
        <is>
          <t>4⁸, 8², 12¹⁶, 24⁴</t>
        </is>
      </c>
      <c r="L8002" t="inlineStr">
        <is>
          <t>56D¹⁰, 112A¹¹, 112F¹¹</t>
        </is>
      </c>
      <c r="M8002" t="inlineStr"/>
      <c r="N8002" t="inlineStr">
        <is>
          <t>112A¹¹, 28C², 16D¹, 14B¹, 4C⁰, 8B⁰, 112F¹¹, 2B⁰, 56D¹⁰, 1A⁰, 7A⁰, 56B⁴</t>
        </is>
      </c>
      <c r="O8002" t="inlineStr"/>
    </row>
    <row r="8003">
      <c r="A8003">
        <f>HYPERLINK("https://mathstats.uncg.edu/sites/pauli/congruence/csg24.html#group112Q24", "112Q²⁴")</f>
        <v/>
      </c>
      <c r="B8003" t="n">
        <v>24</v>
      </c>
      <c r="C8003" t="inlineStr"/>
      <c r="D8003" t="inlineStr">
        <is>
          <t>336</t>
        </is>
      </c>
      <c r="E8003" t="inlineStr">
        <is>
          <t>2</t>
        </is>
      </c>
      <c r="F8003" t="inlineStr">
        <is>
          <t>84</t>
        </is>
      </c>
      <c r="G8003" t="inlineStr">
        <is>
          <t>12</t>
        </is>
      </c>
      <c r="H8003" t="inlineStr">
        <is>
          <t>0</t>
        </is>
      </c>
      <c r="I8003" t="inlineStr">
        <is>
          <t>56², 112²</t>
        </is>
      </c>
      <c r="J8003" t="n">
        <v>4</v>
      </c>
      <c r="K8003" t="inlineStr">
        <is>
          <t>4⁸, 8², 12¹⁶, 24⁴</t>
        </is>
      </c>
      <c r="L8003" t="inlineStr">
        <is>
          <t>56D¹⁰, 112B¹¹, 112E¹¹</t>
        </is>
      </c>
      <c r="M8003" t="inlineStr"/>
      <c r="N8003" t="inlineStr">
        <is>
          <t>28C², 112E¹¹, 14B¹, 112B¹¹, 4C⁰, 8B⁰, 16B¹, 2B⁰, 56D¹⁰, 1A⁰, 7A⁰, 56B⁴</t>
        </is>
      </c>
      <c r="O8003" t="inlineStr"/>
    </row>
    <row r="8004">
      <c r="A8004">
        <f>HYPERLINK("https://mathstats.uncg.edu/sites/pauli/congruence/csg24.html#group112R24", "112R²⁴")</f>
        <v/>
      </c>
      <c r="B8004" t="n">
        <v>24</v>
      </c>
      <c r="C8004" t="inlineStr"/>
      <c r="D8004" t="inlineStr">
        <is>
          <t>336</t>
        </is>
      </c>
      <c r="E8004" t="inlineStr">
        <is>
          <t>2</t>
        </is>
      </c>
      <c r="F8004" t="inlineStr">
        <is>
          <t>84</t>
        </is>
      </c>
      <c r="G8004" t="inlineStr">
        <is>
          <t>12</t>
        </is>
      </c>
      <c r="H8004" t="inlineStr">
        <is>
          <t>0</t>
        </is>
      </c>
      <c r="I8004" t="inlineStr">
        <is>
          <t>56², 112²</t>
        </is>
      </c>
      <c r="J8004" t="n">
        <v>4</v>
      </c>
      <c r="K8004" t="inlineStr">
        <is>
          <t>4⁸, 8², 12¹⁶, 24⁴</t>
        </is>
      </c>
      <c r="L8004" t="inlineStr">
        <is>
          <t>56D¹⁰, 112B¹¹, 112E¹¹</t>
        </is>
      </c>
      <c r="M8004" t="inlineStr"/>
      <c r="N8004" t="inlineStr">
        <is>
          <t>28C², 112E¹¹, 14B¹, 112B¹¹, 4C⁰, 8B⁰, 16B¹, 2B⁰, 56D¹⁰, 1A⁰, 7A⁰, 56B⁴</t>
        </is>
      </c>
      <c r="O8004" t="inlineStr"/>
    </row>
    <row r="8005">
      <c r="A8005">
        <f>HYPERLINK("https://mathstats.uncg.edu/sites/pauli/congruence/csg24.html#group112S24", "112S²⁴")</f>
        <v/>
      </c>
      <c r="B8005" t="n">
        <v>24</v>
      </c>
      <c r="C8005" t="inlineStr"/>
      <c r="D8005" t="inlineStr">
        <is>
          <t>336</t>
        </is>
      </c>
      <c r="E8005" t="inlineStr">
        <is>
          <t>2</t>
        </is>
      </c>
      <c r="F8005" t="inlineStr">
        <is>
          <t>84</t>
        </is>
      </c>
      <c r="G8005" t="inlineStr">
        <is>
          <t>12</t>
        </is>
      </c>
      <c r="H8005" t="inlineStr">
        <is>
          <t>0</t>
        </is>
      </c>
      <c r="I8005" t="inlineStr">
        <is>
          <t>56², 112²</t>
        </is>
      </c>
      <c r="J8005" t="n">
        <v>4</v>
      </c>
      <c r="K8005" t="inlineStr">
        <is>
          <t>4⁸, 8², 12¹⁶, 24⁴</t>
        </is>
      </c>
      <c r="L8005" t="inlineStr">
        <is>
          <t>56E¹⁰, 112A¹¹, 112E¹¹</t>
        </is>
      </c>
      <c r="M8005" t="inlineStr"/>
      <c r="N8005" t="inlineStr">
        <is>
          <t>112A¹¹, 28C², 112E¹¹, 56E¹⁰, 14B¹, 4C⁰, 8B⁰, 8L⁰, 2B⁰, 1A⁰, 7A⁰, 56B⁴</t>
        </is>
      </c>
      <c r="O8005" t="inlineStr"/>
    </row>
    <row r="8006">
      <c r="A8006">
        <f>HYPERLINK("https://mathstats.uncg.edu/sites/pauli/congruence/csg24.html#group112T24", "112T²⁴")</f>
        <v/>
      </c>
      <c r="B8006" t="n">
        <v>24</v>
      </c>
      <c r="C8006" t="inlineStr"/>
      <c r="D8006" t="inlineStr">
        <is>
          <t>336</t>
        </is>
      </c>
      <c r="E8006" t="inlineStr">
        <is>
          <t>2</t>
        </is>
      </c>
      <c r="F8006" t="inlineStr">
        <is>
          <t>84</t>
        </is>
      </c>
      <c r="G8006" t="inlineStr">
        <is>
          <t>12</t>
        </is>
      </c>
      <c r="H8006" t="inlineStr">
        <is>
          <t>0</t>
        </is>
      </c>
      <c r="I8006" t="inlineStr">
        <is>
          <t>56², 112²</t>
        </is>
      </c>
      <c r="J8006" t="n">
        <v>4</v>
      </c>
      <c r="K8006" t="inlineStr">
        <is>
          <t>4⁸, 8², 12¹⁶, 24⁴</t>
        </is>
      </c>
      <c r="L8006" t="inlineStr">
        <is>
          <t>56E¹⁰, 112A¹¹, 112E¹¹</t>
        </is>
      </c>
      <c r="M8006" t="inlineStr"/>
      <c r="N8006" t="inlineStr">
        <is>
          <t>112A¹¹, 28C², 112E¹¹, 56E¹⁰, 14B¹, 4C⁰, 8B⁰, 8L⁰, 2B⁰, 1A⁰, 7A⁰, 56B⁴</t>
        </is>
      </c>
      <c r="O8006" t="inlineStr"/>
    </row>
    <row r="8007">
      <c r="A8007">
        <f>HYPERLINK("https://mathstats.uncg.edu/sites/pauli/congruence/csg24.html#group112U24", "112U²⁴")</f>
        <v/>
      </c>
      <c r="B8007" t="n">
        <v>24</v>
      </c>
      <c r="C8007" t="inlineStr"/>
      <c r="D8007" t="inlineStr">
        <is>
          <t>336</t>
        </is>
      </c>
      <c r="E8007" t="inlineStr">
        <is>
          <t>2</t>
        </is>
      </c>
      <c r="F8007" t="inlineStr">
        <is>
          <t>84</t>
        </is>
      </c>
      <c r="G8007" t="inlineStr">
        <is>
          <t>12</t>
        </is>
      </c>
      <c r="H8007" t="inlineStr">
        <is>
          <t>0</t>
        </is>
      </c>
      <c r="I8007" t="inlineStr">
        <is>
          <t>56², 112²</t>
        </is>
      </c>
      <c r="J8007" t="n">
        <v>4</v>
      </c>
      <c r="K8007" t="inlineStr">
        <is>
          <t>4⁸, 8², 12¹⁶, 24⁴</t>
        </is>
      </c>
      <c r="L8007" t="inlineStr">
        <is>
          <t>16F², 56E¹⁰, 112B¹¹, 112F¹¹</t>
        </is>
      </c>
      <c r="M8007" t="inlineStr"/>
      <c r="N8007" t="inlineStr">
        <is>
          <t>28C², 16D¹, 56E¹⁰, 14B¹, 16F², 112B¹¹, 4C⁰, 8B⁰, 16B¹, 112F¹¹, 8L⁰, 2B⁰, 1A⁰, 7A⁰, 56B⁴</t>
        </is>
      </c>
      <c r="O8007" t="inlineStr"/>
    </row>
    <row r="8008">
      <c r="A8008">
        <f>HYPERLINK("https://mathstats.uncg.edu/sites/pauli/congruence/csg24.html#group112V24", "112V²⁴")</f>
        <v/>
      </c>
      <c r="B8008" t="n">
        <v>24</v>
      </c>
      <c r="C8008" t="inlineStr"/>
      <c r="D8008" t="inlineStr">
        <is>
          <t>336</t>
        </is>
      </c>
      <c r="E8008" t="inlineStr">
        <is>
          <t>2</t>
        </is>
      </c>
      <c r="F8008" t="inlineStr">
        <is>
          <t>84</t>
        </is>
      </c>
      <c r="G8008" t="inlineStr">
        <is>
          <t>12</t>
        </is>
      </c>
      <c r="H8008" t="inlineStr">
        <is>
          <t>0</t>
        </is>
      </c>
      <c r="I8008" t="inlineStr">
        <is>
          <t>56², 112²</t>
        </is>
      </c>
      <c r="J8008" t="n">
        <v>4</v>
      </c>
      <c r="K8008" t="inlineStr">
        <is>
          <t>4⁸, 8², 12¹⁶, 24⁴</t>
        </is>
      </c>
      <c r="L8008" t="inlineStr">
        <is>
          <t>16F², 56E¹⁰, 112B¹¹, 112F¹¹</t>
        </is>
      </c>
      <c r="M8008" t="inlineStr"/>
      <c r="N8008" t="inlineStr">
        <is>
          <t>28C², 16D¹, 56E¹⁰, 14B¹, 16F², 112B¹¹, 4C⁰, 8B⁰, 16B¹, 112F¹¹, 8L⁰, 2B⁰, 1A⁰, 7A⁰, 56B⁴</t>
        </is>
      </c>
      <c r="O8008" t="inlineStr"/>
    </row>
    <row r="8009">
      <c r="A8009">
        <f>HYPERLINK("https://mathstats.uncg.edu/sites/pauli/congruence/csg24.html#group112W24", "112W²⁴")</f>
        <v/>
      </c>
      <c r="B8009" t="n">
        <v>24</v>
      </c>
      <c r="C8009" t="inlineStr"/>
      <c r="D8009" t="inlineStr">
        <is>
          <t>336</t>
        </is>
      </c>
      <c r="E8009" t="inlineStr">
        <is>
          <t>2</t>
        </is>
      </c>
      <c r="F8009" t="inlineStr">
        <is>
          <t>168</t>
        </is>
      </c>
      <c r="G8009" t="inlineStr">
        <is>
          <t>6</t>
        </is>
      </c>
      <c r="H8009" t="inlineStr">
        <is>
          <t>0</t>
        </is>
      </c>
      <c r="I8009" t="inlineStr">
        <is>
          <t>28⁴, 56², 112¹</t>
        </is>
      </c>
      <c r="J8009" t="n">
        <v>7</v>
      </c>
      <c r="K8009" t="inlineStr">
        <is>
          <t>8⁴, 16⁴, 24⁸, 48⁸</t>
        </is>
      </c>
      <c r="L8009" t="inlineStr">
        <is>
          <t>56G¹¹</t>
        </is>
      </c>
      <c r="M8009" t="inlineStr"/>
      <c r="N8009" t="inlineStr">
        <is>
          <t>28C², 56G¹¹, 14B¹, 8K⁰, 4A⁰, 4C⁰, 28D⁵, 2B⁰, 4F⁰, 28A¹, 1A⁰, 7A⁰</t>
        </is>
      </c>
      <c r="O8009" t="inlineStr"/>
    </row>
    <row r="8010">
      <c r="A8010">
        <f>HYPERLINK("https://mathstats.uncg.edu/sites/pauli/congruence/csg24.html#group112X24", "112X²⁴")</f>
        <v/>
      </c>
      <c r="B8010" t="n">
        <v>24</v>
      </c>
      <c r="C8010" t="inlineStr"/>
      <c r="D8010" t="inlineStr">
        <is>
          <t>336</t>
        </is>
      </c>
      <c r="E8010" t="inlineStr">
        <is>
          <t>2</t>
        </is>
      </c>
      <c r="F8010" t="inlineStr">
        <is>
          <t>168</t>
        </is>
      </c>
      <c r="G8010" t="inlineStr">
        <is>
          <t>6</t>
        </is>
      </c>
      <c r="H8010" t="inlineStr">
        <is>
          <t>0</t>
        </is>
      </c>
      <c r="I8010" t="inlineStr">
        <is>
          <t>28⁴, 56², 112¹</t>
        </is>
      </c>
      <c r="J8010" t="n">
        <v>7</v>
      </c>
      <c r="K8010" t="inlineStr">
        <is>
          <t>8⁴, 16⁴, 24⁸, 48⁸</t>
        </is>
      </c>
      <c r="L8010" t="inlineStr">
        <is>
          <t>56G¹¹</t>
        </is>
      </c>
      <c r="M8010" t="inlineStr"/>
      <c r="N8010" t="inlineStr">
        <is>
          <t>28C², 56G¹¹, 14B¹, 8K⁰, 4A⁰, 4C⁰, 28D⁵, 2B⁰, 4F⁰, 28A¹, 1A⁰, 7A⁰</t>
        </is>
      </c>
      <c r="O8010" t="inlineStr"/>
    </row>
    <row r="8011">
      <c r="A8011">
        <f>HYPERLINK("https://mathstats.uncg.edu/sites/pauli/congruence/csg24.html#group112Y24", "112Y²⁴")</f>
        <v/>
      </c>
      <c r="B8011" t="n">
        <v>24</v>
      </c>
      <c r="C8011" t="inlineStr"/>
      <c r="D8011" t="inlineStr">
        <is>
          <t>336</t>
        </is>
      </c>
      <c r="E8011" t="inlineStr">
        <is>
          <t>2</t>
        </is>
      </c>
      <c r="F8011" t="inlineStr">
        <is>
          <t>168</t>
        </is>
      </c>
      <c r="G8011" t="inlineStr">
        <is>
          <t>6</t>
        </is>
      </c>
      <c r="H8011" t="inlineStr">
        <is>
          <t>0</t>
        </is>
      </c>
      <c r="I8011" t="inlineStr">
        <is>
          <t>28⁴, 56², 112¹</t>
        </is>
      </c>
      <c r="J8011" t="n">
        <v>7</v>
      </c>
      <c r="K8011" t="inlineStr">
        <is>
          <t>8⁴, 16⁴, 24⁸, 48⁸</t>
        </is>
      </c>
      <c r="L8011" t="inlineStr">
        <is>
          <t>16K¹, 56G¹¹</t>
        </is>
      </c>
      <c r="M8011" t="inlineStr"/>
      <c r="N8011" t="inlineStr">
        <is>
          <t>28C², 56G¹¹, 14B¹, 8K⁰, 4A⁰, 4C⁰, 28D⁵, 2B⁰, 4F⁰, 28A¹, 1A⁰, 16K¹, 7A⁰</t>
        </is>
      </c>
      <c r="O8011" t="inlineStr"/>
    </row>
    <row r="8012">
      <c r="A8012">
        <f>HYPERLINK("https://mathstats.uncg.edu/sites/pauli/congruence/csg24.html#group112Z24", "112Z²⁴")</f>
        <v/>
      </c>
      <c r="B8012" t="n">
        <v>24</v>
      </c>
      <c r="C8012" t="inlineStr"/>
      <c r="D8012" t="inlineStr">
        <is>
          <t>336</t>
        </is>
      </c>
      <c r="E8012" t="inlineStr">
        <is>
          <t>2</t>
        </is>
      </c>
      <c r="F8012" t="inlineStr">
        <is>
          <t>168</t>
        </is>
      </c>
      <c r="G8012" t="inlineStr">
        <is>
          <t>6</t>
        </is>
      </c>
      <c r="H8012" t="inlineStr">
        <is>
          <t>0</t>
        </is>
      </c>
      <c r="I8012" t="inlineStr">
        <is>
          <t>28⁴, 56², 112¹</t>
        </is>
      </c>
      <c r="J8012" t="n">
        <v>7</v>
      </c>
      <c r="K8012" t="inlineStr">
        <is>
          <t>8⁴, 16⁴, 24⁸, 48⁸</t>
        </is>
      </c>
      <c r="L8012" t="inlineStr">
        <is>
          <t>16L¹, 56G¹¹</t>
        </is>
      </c>
      <c r="M8012" t="inlineStr"/>
      <c r="N8012" t="inlineStr">
        <is>
          <t>56G¹¹, 14B¹, 4C⁰, 2B⁰, 8K⁰, 1A⁰, 28C², 16L¹, 4A⁰, 28D⁵, 4F⁰, 28A¹, 7A⁰</t>
        </is>
      </c>
      <c r="O8012" t="inlineStr"/>
    </row>
    <row r="8013">
      <c r="A8013">
        <f>HYPERLINK("https://mathstats.uncg.edu/sites/pauli/congruence/csg24.html#group126A24", "126A²⁴")</f>
        <v/>
      </c>
      <c r="B8013" t="n">
        <v>24</v>
      </c>
      <c r="C8013" t="inlineStr"/>
      <c r="D8013" t="inlineStr">
        <is>
          <t>336</t>
        </is>
      </c>
      <c r="E8013" t="inlineStr">
        <is>
          <t>2</t>
        </is>
      </c>
      <c r="F8013" t="inlineStr">
        <is>
          <t>112</t>
        </is>
      </c>
      <c r="G8013" t="inlineStr">
        <is>
          <t>0</t>
        </is>
      </c>
      <c r="H8013" t="inlineStr">
        <is>
          <t>3</t>
        </is>
      </c>
      <c r="I8013" t="inlineStr">
        <is>
          <t>14⁶, 126²</t>
        </is>
      </c>
      <c r="J8013" t="n">
        <v>8</v>
      </c>
      <c r="K8013" t="inlineStr">
        <is>
          <t>4⁸, 12¹⁶</t>
        </is>
      </c>
      <c r="L8013" t="inlineStr">
        <is>
          <t>42F⁷</t>
        </is>
      </c>
      <c r="M8013" t="inlineStr"/>
      <c r="N8013" t="inlineStr">
        <is>
          <t>21B³, 3B⁰, 2A⁰, 14A⁰, 14D¹, 21B², 42E⁴, 42D⁴, 42F⁷, 7C⁰, 6C⁰, 14A¹, 1A⁰, 7A⁰</t>
        </is>
      </c>
      <c r="O8013" t="inlineStr"/>
    </row>
    <row r="8014">
      <c r="A8014">
        <f>HYPERLINK("https://mathstats.uncg.edu/sites/pauli/congruence/csg24.html#group126B24", "126B²⁴")</f>
        <v/>
      </c>
      <c r="B8014" t="n">
        <v>24</v>
      </c>
      <c r="C8014" t="inlineStr"/>
      <c r="D8014" t="inlineStr">
        <is>
          <t>378</t>
        </is>
      </c>
      <c r="E8014" t="inlineStr">
        <is>
          <t>1</t>
        </is>
      </c>
      <c r="F8014" t="inlineStr">
        <is>
          <t>189</t>
        </is>
      </c>
      <c r="G8014" t="inlineStr">
        <is>
          <t>28</t>
        </is>
      </c>
      <c r="H8014" t="inlineStr">
        <is>
          <t>0</t>
        </is>
      </c>
      <c r="I8014" t="inlineStr">
        <is>
          <t>126³</t>
        </is>
      </c>
      <c r="J8014" t="n">
        <v>3</v>
      </c>
      <c r="K8014" t="inlineStr">
        <is>
          <t>3¹, 6⁴, 12³, 18¹, 36³</t>
        </is>
      </c>
      <c r="L8014" t="inlineStr">
        <is>
          <t>42G⁷, 63D⁹</t>
        </is>
      </c>
      <c r="M8014" t="inlineStr"/>
      <c r="N8014" t="inlineStr">
        <is>
          <t>63D⁹, 7D⁰, 21E¹, 9A⁰, 63A², 42G⁷, 21A⁰, 3A⁰, 1A⁰, 7A⁰</t>
        </is>
      </c>
      <c r="O8014" t="inlineStr"/>
    </row>
    <row r="8015">
      <c r="A8015">
        <f>HYPERLINK("https://mathstats.uncg.edu/sites/pauli/congruence/csg24.html#group126C24", "126C²⁴")</f>
        <v/>
      </c>
      <c r="B8015" t="n">
        <v>24</v>
      </c>
      <c r="C8015" t="inlineStr"/>
      <c r="D8015" t="inlineStr">
        <is>
          <t>378</t>
        </is>
      </c>
      <c r="E8015" t="inlineStr">
        <is>
          <t>2</t>
        </is>
      </c>
      <c r="F8015" t="inlineStr">
        <is>
          <t>189</t>
        </is>
      </c>
      <c r="G8015" t="inlineStr">
        <is>
          <t>28</t>
        </is>
      </c>
      <c r="H8015" t="inlineStr">
        <is>
          <t>0</t>
        </is>
      </c>
      <c r="I8015" t="inlineStr">
        <is>
          <t>126³</t>
        </is>
      </c>
      <c r="J8015" t="n">
        <v>3</v>
      </c>
      <c r="K8015" t="inlineStr">
        <is>
          <t>6¹, 12⁴, 18², 36⁸</t>
        </is>
      </c>
      <c r="L8015" t="inlineStr">
        <is>
          <t>126A⁶, 63B¹⁰</t>
        </is>
      </c>
      <c r="M8015" t="inlineStr"/>
      <c r="N8015" t="inlineStr">
        <is>
          <t>14A⁰, 63B¹⁰, 42A¹, 126A⁶, 9A⁰, 9G⁰, 21A⁰, 7A⁰, 3A⁰, 1A⁰, 63A²</t>
        </is>
      </c>
      <c r="O8015" t="inlineStr"/>
    </row>
    <row r="8016">
      <c r="A8016">
        <f>HYPERLINK("https://mathstats.uncg.edu/sites/pauli/congruence/csg24.html#group126D24", "126D²⁴")</f>
        <v/>
      </c>
      <c r="B8016" t="n">
        <v>24</v>
      </c>
      <c r="C8016" t="inlineStr"/>
      <c r="D8016" t="inlineStr">
        <is>
          <t>378</t>
        </is>
      </c>
      <c r="E8016" t="inlineStr">
        <is>
          <t>2</t>
        </is>
      </c>
      <c r="F8016" t="inlineStr">
        <is>
          <t>189</t>
        </is>
      </c>
      <c r="G8016" t="inlineStr">
        <is>
          <t>28</t>
        </is>
      </c>
      <c r="H8016" t="inlineStr">
        <is>
          <t>0</t>
        </is>
      </c>
      <c r="I8016" t="inlineStr">
        <is>
          <t>126³</t>
        </is>
      </c>
      <c r="J8016" t="n">
        <v>3</v>
      </c>
      <c r="K8016" t="inlineStr">
        <is>
          <t>12²¹, 36¹⁴</t>
        </is>
      </c>
      <c r="L8016" t="inlineStr">
        <is>
          <t>42D⁶, 126B⁸, 63D⁹</t>
        </is>
      </c>
      <c r="M8016" t="inlineStr"/>
      <c r="N8016" t="inlineStr">
        <is>
          <t>63D⁹, 42A², 7D⁰, 21E¹, 9A⁰, 21A⁰, 42D⁶, 1A⁰, 7A⁰, 3A⁰, 126B⁸, 63A²</t>
        </is>
      </c>
      <c r="O8016" t="inlineStr"/>
    </row>
    <row r="8017">
      <c r="A8017">
        <f>HYPERLINK("https://mathstats.uncg.edu/sites/pauli/congruence/csg24.html#group126E24", "126E²⁴")</f>
        <v/>
      </c>
      <c r="B8017" t="n">
        <v>24</v>
      </c>
      <c r="C8017" t="inlineStr"/>
      <c r="D8017" t="inlineStr">
        <is>
          <t>378</t>
        </is>
      </c>
      <c r="E8017" t="inlineStr">
        <is>
          <t>2</t>
        </is>
      </c>
      <c r="F8017" t="inlineStr">
        <is>
          <t>189</t>
        </is>
      </c>
      <c r="G8017" t="inlineStr">
        <is>
          <t>28</t>
        </is>
      </c>
      <c r="H8017" t="inlineStr">
        <is>
          <t>0</t>
        </is>
      </c>
      <c r="I8017" t="inlineStr">
        <is>
          <t>126³</t>
        </is>
      </c>
      <c r="J8017" t="n">
        <v>3</v>
      </c>
      <c r="K8017" t="inlineStr">
        <is>
          <t>12²¹, 36¹⁴</t>
        </is>
      </c>
      <c r="L8017" t="inlineStr">
        <is>
          <t>42D⁶, 126C⁸, 63D⁹</t>
        </is>
      </c>
      <c r="M8017" t="inlineStr"/>
      <c r="N8017" t="inlineStr">
        <is>
          <t>126C⁸, 63D⁹, 42A², 7D⁰, 21E¹, 9A⁰, 21A⁰, 42D⁶, 7A⁰, 3A⁰, 1A⁰, 63A²</t>
        </is>
      </c>
      <c r="O8017" t="inlineStr"/>
    </row>
    <row r="8018">
      <c r="A8018">
        <f>HYPERLINK("https://mathstats.uncg.edu/sites/pauli/congruence/csg24.html#group144A24", "144A²⁴")</f>
        <v/>
      </c>
      <c r="B8018" t="n">
        <v>24</v>
      </c>
      <c r="C8018" t="inlineStr"/>
      <c r="D8018" t="inlineStr">
        <is>
          <t>288</t>
        </is>
      </c>
      <c r="E8018" t="inlineStr">
        <is>
          <t>1</t>
        </is>
      </c>
      <c r="F8018" t="inlineStr">
        <is>
          <t>36</t>
        </is>
      </c>
      <c r="G8018" t="inlineStr">
        <is>
          <t>0</t>
        </is>
      </c>
      <c r="H8018" t="inlineStr">
        <is>
          <t>0</t>
        </is>
      </c>
      <c r="I8018" t="inlineStr">
        <is>
          <t>144²</t>
        </is>
      </c>
      <c r="J8018" t="n">
        <v>2</v>
      </c>
      <c r="K8018" t="inlineStr">
        <is>
          <t>2², 4², 12²</t>
        </is>
      </c>
      <c r="L8018" t="inlineStr">
        <is>
          <t>48A⁸, 144A¹⁰, 72A¹²</t>
        </is>
      </c>
      <c r="M8018" t="inlineStr"/>
      <c r="N8018" t="inlineStr">
        <is>
          <t>2A⁰, 48A⁸, 16A⁰, 8A⁰, 24A⁴, 8E⁰, 18A², 36A⁶, 1A⁰, 72A⁴, 36A¹, 144A¹⁰, 12A⁰, 48A³, 24A¹, 4A⁰, 4D⁰, 16F⁰, 72A¹², 9A⁰, 12A², 6A¹, 3A⁰</t>
        </is>
      </c>
      <c r="O8018" t="inlineStr"/>
    </row>
    <row r="8019">
      <c r="A8019">
        <f>HYPERLINK("https://mathstats.uncg.edu/sites/pauli/congruence/csg24.html#group144B24", "144B²⁴")</f>
        <v/>
      </c>
      <c r="B8019" t="n">
        <v>24</v>
      </c>
      <c r="C8019" t="inlineStr"/>
      <c r="D8019" t="inlineStr">
        <is>
          <t>288</t>
        </is>
      </c>
      <c r="E8019" t="inlineStr">
        <is>
          <t>1</t>
        </is>
      </c>
      <c r="F8019" t="inlineStr">
        <is>
          <t>36</t>
        </is>
      </c>
      <c r="G8019" t="inlineStr">
        <is>
          <t>0</t>
        </is>
      </c>
      <c r="H8019" t="inlineStr">
        <is>
          <t>0</t>
        </is>
      </c>
      <c r="I8019" t="inlineStr">
        <is>
          <t>144²</t>
        </is>
      </c>
      <c r="J8019" t="n">
        <v>2</v>
      </c>
      <c r="K8019" t="inlineStr">
        <is>
          <t>2², 4², 12²</t>
        </is>
      </c>
      <c r="L8019" t="inlineStr">
        <is>
          <t>48B⁸, 144B¹⁰, 72A¹²</t>
        </is>
      </c>
      <c r="M8019" t="inlineStr"/>
      <c r="N8019" t="inlineStr">
        <is>
          <t>2A⁰, 8A⁰, 144B¹⁰, 24A⁴, 8E⁰, 18A², 36A⁶, 1A⁰, 72A⁴, 36A¹, 12A⁰, 24A¹, 4A⁰, 4D⁰, 9A⁰, 72A¹², 12A², 6A¹, 3A⁰, 48B⁸, 48B³</t>
        </is>
      </c>
      <c r="O8019" t="inlineStr"/>
    </row>
    <row r="8020">
      <c r="A8020">
        <f>HYPERLINK("https://mathstats.uncg.edu/sites/pauli/congruence/csg24.html#group144C24", "144C²⁴")</f>
        <v/>
      </c>
      <c r="B8020" t="n">
        <v>24</v>
      </c>
      <c r="C8020" t="inlineStr"/>
      <c r="D8020" t="inlineStr">
        <is>
          <t>288</t>
        </is>
      </c>
      <c r="E8020" t="inlineStr">
        <is>
          <t>2</t>
        </is>
      </c>
      <c r="F8020" t="inlineStr">
        <is>
          <t>36</t>
        </is>
      </c>
      <c r="G8020" t="inlineStr">
        <is>
          <t>0</t>
        </is>
      </c>
      <c r="H8020" t="inlineStr">
        <is>
          <t>0</t>
        </is>
      </c>
      <c r="I8020" t="inlineStr">
        <is>
          <t>144²</t>
        </is>
      </c>
      <c r="J8020" t="n">
        <v>2</v>
      </c>
      <c r="K8020" t="inlineStr">
        <is>
          <t>4⁶, 12⁴</t>
        </is>
      </c>
      <c r="L8020" t="inlineStr">
        <is>
          <t>48B⁸, 144C¹⁰, 144D¹⁰, 72A¹²</t>
        </is>
      </c>
      <c r="M8020" t="inlineStr"/>
      <c r="N8020" t="inlineStr">
        <is>
          <t>2A⁰, 144C¹⁰, 144D¹⁰, 8A⁰, 24A⁴, 8E⁰, 18A², 36A⁶, 1A⁰, 72A⁴, 36A¹, 12A⁰, 24A¹, 4A⁰, 4D⁰, 9A⁰, 72A¹², 12A², 6A¹, 3A⁰, 48B⁸, 48B³</t>
        </is>
      </c>
      <c r="O8020" t="inlineStr"/>
    </row>
    <row r="8021">
      <c r="A8021">
        <f>HYPERLINK("https://mathstats.uncg.edu/sites/pauli/congruence/csg24.html#group145A24", "145A²⁴")</f>
        <v/>
      </c>
      <c r="B8021" t="n">
        <v>24</v>
      </c>
      <c r="C8021" t="inlineStr"/>
      <c r="D8021" t="inlineStr">
        <is>
          <t>300</t>
        </is>
      </c>
      <c r="E8021" t="inlineStr">
        <is>
          <t>1</t>
        </is>
      </c>
      <c r="F8021" t="inlineStr">
        <is>
          <t>150</t>
        </is>
      </c>
      <c r="G8021" t="inlineStr">
        <is>
          <t>0</t>
        </is>
      </c>
      <c r="H8021" t="inlineStr">
        <is>
          <t>0</t>
        </is>
      </c>
      <c r="I8021" t="inlineStr">
        <is>
          <t>5², 145²</t>
        </is>
      </c>
      <c r="J8021" t="n">
        <v>4</v>
      </c>
      <c r="K8021" t="inlineStr">
        <is>
          <t>1², 4², 28¹, 112¹</t>
        </is>
      </c>
      <c r="L8021" t="inlineStr">
        <is>
          <t>29A⁴, 145A¹²</t>
        </is>
      </c>
      <c r="M8021" t="inlineStr"/>
      <c r="N8021" t="inlineStr">
        <is>
          <t>5A⁰, 29A⁴, 1A⁰, 29A², 145A¹²</t>
        </is>
      </c>
      <c r="O8021" t="inlineStr"/>
    </row>
    <row r="8022">
      <c r="A8022">
        <f>HYPERLINK("https://mathstats.uncg.edu/sites/pauli/congruence/csg24.html#group149A24", "149A²⁴")</f>
        <v/>
      </c>
      <c r="B8022" t="n">
        <v>24</v>
      </c>
      <c r="C8022" t="inlineStr"/>
      <c r="D8022" t="inlineStr">
        <is>
          <t>300</t>
        </is>
      </c>
      <c r="E8022" t="inlineStr">
        <is>
          <t>1</t>
        </is>
      </c>
      <c r="F8022" t="inlineStr">
        <is>
          <t>150</t>
        </is>
      </c>
      <c r="G8022" t="inlineStr">
        <is>
          <t>0</t>
        </is>
      </c>
      <c r="H8022" t="inlineStr">
        <is>
          <t>0</t>
        </is>
      </c>
      <c r="I8022" t="inlineStr">
        <is>
          <t>1², 149²</t>
        </is>
      </c>
      <c r="J8022" t="n">
        <v>4</v>
      </c>
      <c r="K8022" t="inlineStr">
        <is>
          <t>1², 148¹</t>
        </is>
      </c>
      <c r="L8022" t="inlineStr">
        <is>
          <t>149A¹²</t>
        </is>
      </c>
      <c r="M8022" t="inlineStr"/>
      <c r="N8022" t="inlineStr">
        <is>
          <t>1A⁰, 149A¹²</t>
        </is>
      </c>
      <c r="O8022" t="inlineStr"/>
    </row>
    <row r="8023">
      <c r="A8023">
        <f>HYPERLINK("https://mathstats.uncg.edu/sites/pauli/congruence/csg24.html#group150A24", "150A²⁴")</f>
        <v/>
      </c>
      <c r="B8023" t="n">
        <v>24</v>
      </c>
      <c r="C8023" t="inlineStr"/>
      <c r="D8023" t="inlineStr">
        <is>
          <t>300</t>
        </is>
      </c>
      <c r="E8023" t="inlineStr">
        <is>
          <t>1</t>
        </is>
      </c>
      <c r="F8023" t="inlineStr">
        <is>
          <t>150</t>
        </is>
      </c>
      <c r="G8023" t="inlineStr">
        <is>
          <t>4</t>
        </is>
      </c>
      <c r="H8023" t="inlineStr">
        <is>
          <t>0</t>
        </is>
      </c>
      <c r="I8023" t="inlineStr">
        <is>
          <t>150²</t>
        </is>
      </c>
      <c r="J8023" t="n">
        <v>2</v>
      </c>
      <c r="K8023" t="inlineStr">
        <is>
          <t>2¹, 4³, 8², 20², 40²</t>
        </is>
      </c>
      <c r="L8023" t="inlineStr">
        <is>
          <t>30C⁴, 75A¹¹</t>
        </is>
      </c>
      <c r="M8023" t="inlineStr"/>
      <c r="N8023" t="inlineStr">
        <is>
          <t>30C⁴, 15D¹, 5C⁰, 25E², 75A¹¹, 3A⁰, 1A⁰</t>
        </is>
      </c>
      <c r="O8023" t="inlineStr"/>
    </row>
    <row r="8024">
      <c r="A8024">
        <f>HYPERLINK("https://mathstats.uncg.edu/sites/pauli/congruence/csg24.html#group157A24", "157A²⁴")</f>
        <v/>
      </c>
      <c r="B8024" t="n">
        <v>24</v>
      </c>
      <c r="C8024" t="inlineStr"/>
      <c r="D8024" t="inlineStr">
        <is>
          <t>316</t>
        </is>
      </c>
      <c r="E8024" t="inlineStr">
        <is>
          <t>1</t>
        </is>
      </c>
      <c r="F8024" t="inlineStr">
        <is>
          <t>158</t>
        </is>
      </c>
      <c r="G8024" t="inlineStr">
        <is>
          <t>0</t>
        </is>
      </c>
      <c r="H8024" t="inlineStr">
        <is>
          <t>4</t>
        </is>
      </c>
      <c r="I8024" t="inlineStr">
        <is>
          <t>1², 157²</t>
        </is>
      </c>
      <c r="J8024" t="n">
        <v>4</v>
      </c>
      <c r="K8024" t="inlineStr">
        <is>
          <t>1², 156¹</t>
        </is>
      </c>
      <c r="L8024" t="inlineStr">
        <is>
          <t>157A¹²</t>
        </is>
      </c>
      <c r="M8024" t="inlineStr"/>
      <c r="N8024" t="inlineStr">
        <is>
          <t>157A¹², 1A⁰</t>
        </is>
      </c>
      <c r="O8024" t="inlineStr"/>
    </row>
    <row r="8025">
      <c r="A8025">
        <f>HYPERLINK("https://mathstats.uncg.edu/sites/pauli/congruence/csg24.html#group159A24", "159A²⁴")</f>
        <v/>
      </c>
      <c r="B8025" t="n">
        <v>24</v>
      </c>
      <c r="C8025" t="inlineStr"/>
      <c r="D8025" t="inlineStr">
        <is>
          <t>324</t>
        </is>
      </c>
      <c r="E8025" t="inlineStr">
        <is>
          <t>1</t>
        </is>
      </c>
      <c r="F8025" t="inlineStr">
        <is>
          <t>162</t>
        </is>
      </c>
      <c r="G8025" t="inlineStr">
        <is>
          <t>8</t>
        </is>
      </c>
      <c r="H8025" t="inlineStr">
        <is>
          <t>0</t>
        </is>
      </c>
      <c r="I8025" t="inlineStr">
        <is>
          <t>3², 159²</t>
        </is>
      </c>
      <c r="J8025" t="n">
        <v>4</v>
      </c>
      <c r="K8025" t="inlineStr">
        <is>
          <t>1², 2², 52¹, 104¹</t>
        </is>
      </c>
      <c r="L8025" t="inlineStr">
        <is>
          <t>159A¹²</t>
        </is>
      </c>
      <c r="M8025" t="inlineStr"/>
      <c r="N8025" t="inlineStr">
        <is>
          <t>3A⁰, 1A⁰, 53A⁴, 159A¹²</t>
        </is>
      </c>
      <c r="O8025" t="inlineStr"/>
    </row>
    <row r="8026">
      <c r="A8026">
        <f>HYPERLINK("https://mathstats.uncg.edu/sites/pauli/congruence/csg24.html#group168A24", "168A²⁴")</f>
        <v/>
      </c>
      <c r="B8026" t="n">
        <v>24</v>
      </c>
      <c r="C8026" t="inlineStr"/>
      <c r="D8026" t="inlineStr">
        <is>
          <t>336</t>
        </is>
      </c>
      <c r="E8026" t="inlineStr">
        <is>
          <t>2</t>
        </is>
      </c>
      <c r="F8026" t="inlineStr">
        <is>
          <t>84</t>
        </is>
      </c>
      <c r="G8026" t="inlineStr">
        <is>
          <t>0</t>
        </is>
      </c>
      <c r="H8026" t="inlineStr">
        <is>
          <t>0</t>
        </is>
      </c>
      <c r="I8026" t="inlineStr">
        <is>
          <t>7⁴, 21⁴, 56¹, 168¹</t>
        </is>
      </c>
      <c r="J8026" t="n">
        <v>10</v>
      </c>
      <c r="K8026" t="inlineStr">
        <is>
          <t>2⁶, 4³, 6¹², 12⁶</t>
        </is>
      </c>
      <c r="L8026" t="inlineStr">
        <is>
          <t>84B¹²</t>
        </is>
      </c>
      <c r="M8026" t="inlineStr"/>
      <c r="N8026" t="inlineStr">
        <is>
          <t>3B⁰, 84B¹², 21B², 14B¹, 42C⁶, 28A³, 1A⁰, 2B⁰, 4B⁰, 6F⁰, 12E⁰, 7A⁰</t>
        </is>
      </c>
      <c r="O8026" t="inlineStr"/>
    </row>
    <row r="8027">
      <c r="A8027">
        <f>HYPERLINK("https://mathstats.uncg.edu/sites/pauli/congruence/csg24.html#group168B24", "168B²⁴")</f>
        <v/>
      </c>
      <c r="B8027" t="n">
        <v>24</v>
      </c>
      <c r="C8027" t="inlineStr"/>
      <c r="D8027" t="inlineStr">
        <is>
          <t>336</t>
        </is>
      </c>
      <c r="E8027" t="inlineStr">
        <is>
          <t>2</t>
        </is>
      </c>
      <c r="F8027" t="inlineStr">
        <is>
          <t>84</t>
        </is>
      </c>
      <c r="G8027" t="inlineStr">
        <is>
          <t>0</t>
        </is>
      </c>
      <c r="H8027" t="inlineStr">
        <is>
          <t>0</t>
        </is>
      </c>
      <c r="I8027" t="inlineStr">
        <is>
          <t>7⁴, 21⁴, 56¹, 168¹</t>
        </is>
      </c>
      <c r="J8027" t="n">
        <v>10</v>
      </c>
      <c r="K8027" t="inlineStr">
        <is>
          <t>2⁶, 4³, 6¹², 12⁶</t>
        </is>
      </c>
      <c r="L8027" t="inlineStr">
        <is>
          <t>24B⁰, 84B¹²</t>
        </is>
      </c>
      <c r="M8027" t="inlineStr"/>
      <c r="N8027" t="inlineStr">
        <is>
          <t>3B⁰, 84B¹², 14B¹, 28A³, 2B⁰, 4B⁰, 1A⁰, 21B², 24B⁰, 42C⁶, 6F⁰, 12E⁰, 7A⁰</t>
        </is>
      </c>
      <c r="O8027" t="inlineStr"/>
    </row>
    <row r="8028">
      <c r="A8028">
        <f>HYPERLINK("https://mathstats.uncg.edu/sites/pauli/congruence/csg24.html#group168C24", "168C²⁴")</f>
        <v/>
      </c>
      <c r="B8028" t="n">
        <v>24</v>
      </c>
      <c r="C8028" t="inlineStr"/>
      <c r="D8028" t="inlineStr">
        <is>
          <t>336</t>
        </is>
      </c>
      <c r="E8028" t="inlineStr">
        <is>
          <t>2</t>
        </is>
      </c>
      <c r="F8028" t="inlineStr">
        <is>
          <t>84</t>
        </is>
      </c>
      <c r="G8028" t="inlineStr">
        <is>
          <t>16</t>
        </is>
      </c>
      <c r="H8028" t="inlineStr">
        <is>
          <t>0</t>
        </is>
      </c>
      <c r="I8028" t="inlineStr">
        <is>
          <t>168²</t>
        </is>
      </c>
      <c r="J8028" t="n">
        <v>2</v>
      </c>
      <c r="K8028" t="inlineStr">
        <is>
          <t>8², 16², 24⁴, 48⁴</t>
        </is>
      </c>
      <c r="L8028" t="inlineStr">
        <is>
          <t>84F¹⁰, 168A¹⁰, 168H¹⁰</t>
        </is>
      </c>
      <c r="M8028" t="inlineStr"/>
      <c r="N8028" t="inlineStr">
        <is>
          <t>84A³, 168H¹⁰, 12A⁰, 84F¹⁰, 42A², 4A⁰, 168A¹⁰, 21A⁰, 24B¹, 3A⁰, 28A¹, 1A⁰, 7A⁰, 56A³</t>
        </is>
      </c>
      <c r="O8028" t="inlineStr"/>
    </row>
    <row r="8029">
      <c r="A8029">
        <f>HYPERLINK("https://mathstats.uncg.edu/sites/pauli/congruence/csg24.html#group168D24", "168D²⁴")</f>
        <v/>
      </c>
      <c r="B8029" t="n">
        <v>24</v>
      </c>
      <c r="C8029" t="inlineStr"/>
      <c r="D8029" t="inlineStr">
        <is>
          <t>336</t>
        </is>
      </c>
      <c r="E8029" t="inlineStr">
        <is>
          <t>2</t>
        </is>
      </c>
      <c r="F8029" t="inlineStr">
        <is>
          <t>84</t>
        </is>
      </c>
      <c r="G8029" t="inlineStr">
        <is>
          <t>16</t>
        </is>
      </c>
      <c r="H8029" t="inlineStr">
        <is>
          <t>0</t>
        </is>
      </c>
      <c r="I8029" t="inlineStr">
        <is>
          <t>168²</t>
        </is>
      </c>
      <c r="J8029" t="n">
        <v>2</v>
      </c>
      <c r="K8029" t="inlineStr">
        <is>
          <t>8², 16², 24⁴, 48⁴</t>
        </is>
      </c>
      <c r="L8029" t="inlineStr">
        <is>
          <t>84F¹⁰, 168B¹⁰, 168G¹⁰</t>
        </is>
      </c>
      <c r="M8029" t="inlineStr"/>
      <c r="N8029" t="inlineStr">
        <is>
          <t>168G¹⁰, 84A³, 12A⁰, 56B³, 84F¹⁰, 42A², 4A⁰, 21A⁰, 168B¹⁰, 24B¹, 3A⁰, 28A¹, 1A⁰, 7A⁰</t>
        </is>
      </c>
      <c r="O8029" t="inlineStr"/>
    </row>
    <row r="8030">
      <c r="A8030">
        <f>HYPERLINK("https://mathstats.uncg.edu/sites/pauli/congruence/csg24.html#group168E24", "168E²⁴")</f>
        <v/>
      </c>
      <c r="B8030" t="n">
        <v>24</v>
      </c>
      <c r="C8030" t="inlineStr"/>
      <c r="D8030" t="inlineStr">
        <is>
          <t>336</t>
        </is>
      </c>
      <c r="E8030" t="inlineStr">
        <is>
          <t>2</t>
        </is>
      </c>
      <c r="F8030" t="inlineStr">
        <is>
          <t>84</t>
        </is>
      </c>
      <c r="G8030" t="inlineStr">
        <is>
          <t>16</t>
        </is>
      </c>
      <c r="H8030" t="inlineStr">
        <is>
          <t>0</t>
        </is>
      </c>
      <c r="I8030" t="inlineStr">
        <is>
          <t>168²</t>
        </is>
      </c>
      <c r="J8030" t="n">
        <v>2</v>
      </c>
      <c r="K8030" t="inlineStr">
        <is>
          <t>8², 16², 24⁴, 48⁴</t>
        </is>
      </c>
      <c r="L8030" t="inlineStr">
        <is>
          <t>84F¹⁰, 168C¹⁰, 168F¹⁰</t>
        </is>
      </c>
      <c r="M8030" t="inlineStr"/>
      <c r="N8030" t="inlineStr">
        <is>
          <t>168F¹⁰, 84A³, 12A⁰, 168C¹⁰, 84F¹⁰, 24A¹, 42A², 4A⁰, 8A⁰, 21A⁰, 56C³, 3A⁰, 28A¹, 1A⁰, 7A⁰</t>
        </is>
      </c>
      <c r="O8030" t="inlineStr"/>
    </row>
    <row r="8031">
      <c r="A8031">
        <f>HYPERLINK("https://mathstats.uncg.edu/sites/pauli/congruence/csg24.html#group168F24", "168F²⁴")</f>
        <v/>
      </c>
      <c r="B8031" t="n">
        <v>24</v>
      </c>
      <c r="C8031" t="inlineStr"/>
      <c r="D8031" t="inlineStr">
        <is>
          <t>336</t>
        </is>
      </c>
      <c r="E8031" t="inlineStr">
        <is>
          <t>2</t>
        </is>
      </c>
      <c r="F8031" t="inlineStr">
        <is>
          <t>84</t>
        </is>
      </c>
      <c r="G8031" t="inlineStr">
        <is>
          <t>16</t>
        </is>
      </c>
      <c r="H8031" t="inlineStr">
        <is>
          <t>0</t>
        </is>
      </c>
      <c r="I8031" t="inlineStr">
        <is>
          <t>168²</t>
        </is>
      </c>
      <c r="J8031" t="n">
        <v>2</v>
      </c>
      <c r="K8031" t="inlineStr">
        <is>
          <t>8², 16², 24⁴, 48⁴</t>
        </is>
      </c>
      <c r="L8031" t="inlineStr">
        <is>
          <t>84F¹⁰, 168D¹⁰, 168E¹⁰</t>
        </is>
      </c>
      <c r="M8031" t="inlineStr"/>
      <c r="N8031" t="inlineStr">
        <is>
          <t>84A³, 168E¹⁰, 12A⁰, 84F¹⁰, 56D³, 24A¹, 42A², 4A⁰, 8A⁰, 21A⁰, 168D¹⁰, 3A⁰, 28A¹, 1A⁰, 7A⁰</t>
        </is>
      </c>
      <c r="O8031" t="inlineStr"/>
    </row>
    <row r="8032">
      <c r="A8032">
        <f>HYPERLINK("https://mathstats.uncg.edu/sites/pauli/congruence/csg24.html#group168G24", "168G²⁴")</f>
        <v/>
      </c>
      <c r="B8032" t="n">
        <v>24</v>
      </c>
      <c r="C8032" t="inlineStr"/>
      <c r="D8032" t="inlineStr">
        <is>
          <t>336</t>
        </is>
      </c>
      <c r="E8032" t="inlineStr">
        <is>
          <t>2</t>
        </is>
      </c>
      <c r="F8032" t="inlineStr">
        <is>
          <t>84</t>
        </is>
      </c>
      <c r="G8032" t="inlineStr">
        <is>
          <t>16</t>
        </is>
      </c>
      <c r="H8032" t="inlineStr">
        <is>
          <t>0</t>
        </is>
      </c>
      <c r="I8032" t="inlineStr">
        <is>
          <t>168²</t>
        </is>
      </c>
      <c r="J8032" t="n">
        <v>2</v>
      </c>
      <c r="K8032" t="inlineStr">
        <is>
          <t>16⁶, 48¹²</t>
        </is>
      </c>
      <c r="L8032" t="inlineStr">
        <is>
          <t>84F¹⁰, 168E¹⁰, 168G¹⁰</t>
        </is>
      </c>
      <c r="M8032" t="inlineStr"/>
      <c r="N8032" t="inlineStr">
        <is>
          <t>168G¹⁰, 84A³, 168E¹⁰, 12A⁰, 84F¹⁰, 42A², 4A⁰, 21A⁰, 24B¹, 3A⁰, 28A¹, 1A⁰, 7A⁰</t>
        </is>
      </c>
      <c r="O8032" t="inlineStr"/>
    </row>
    <row r="8033">
      <c r="A8033">
        <f>HYPERLINK("https://mathstats.uncg.edu/sites/pauli/congruence/csg24.html#group168H24", "168H²⁴")</f>
        <v/>
      </c>
      <c r="B8033" t="n">
        <v>24</v>
      </c>
      <c r="C8033" t="inlineStr"/>
      <c r="D8033" t="inlineStr">
        <is>
          <t>336</t>
        </is>
      </c>
      <c r="E8033" t="inlineStr">
        <is>
          <t>2</t>
        </is>
      </c>
      <c r="F8033" t="inlineStr">
        <is>
          <t>84</t>
        </is>
      </c>
      <c r="G8033" t="inlineStr">
        <is>
          <t>16</t>
        </is>
      </c>
      <c r="H8033" t="inlineStr">
        <is>
          <t>0</t>
        </is>
      </c>
      <c r="I8033" t="inlineStr">
        <is>
          <t>168²</t>
        </is>
      </c>
      <c r="J8033" t="n">
        <v>2</v>
      </c>
      <c r="K8033" t="inlineStr">
        <is>
          <t>16⁶, 48¹²</t>
        </is>
      </c>
      <c r="L8033" t="inlineStr">
        <is>
          <t>84F¹⁰, 168E¹⁰, 168G¹⁰</t>
        </is>
      </c>
      <c r="M8033" t="inlineStr"/>
      <c r="N8033" t="inlineStr">
        <is>
          <t>168G¹⁰, 84A³, 168E¹⁰, 12A⁰, 84F¹⁰, 42A², 4A⁰, 21A⁰, 24B¹, 3A⁰, 28A¹, 1A⁰, 7A⁰</t>
        </is>
      </c>
      <c r="O8033" t="inlineStr"/>
    </row>
    <row r="8034">
      <c r="A8034">
        <f>HYPERLINK("https://mathstats.uncg.edu/sites/pauli/congruence/csg24.html#group168I24", "168I²⁴")</f>
        <v/>
      </c>
      <c r="B8034" t="n">
        <v>24</v>
      </c>
      <c r="C8034" t="inlineStr"/>
      <c r="D8034" t="inlineStr">
        <is>
          <t>336</t>
        </is>
      </c>
      <c r="E8034" t="inlineStr">
        <is>
          <t>2</t>
        </is>
      </c>
      <c r="F8034" t="inlineStr">
        <is>
          <t>84</t>
        </is>
      </c>
      <c r="G8034" t="inlineStr">
        <is>
          <t>16</t>
        </is>
      </c>
      <c r="H8034" t="inlineStr">
        <is>
          <t>0</t>
        </is>
      </c>
      <c r="I8034" t="inlineStr">
        <is>
          <t>168²</t>
        </is>
      </c>
      <c r="J8034" t="n">
        <v>2</v>
      </c>
      <c r="K8034" t="inlineStr">
        <is>
          <t>16⁶, 48¹²</t>
        </is>
      </c>
      <c r="L8034" t="inlineStr">
        <is>
          <t>84F¹⁰, 168F¹⁰, 168H¹⁰</t>
        </is>
      </c>
      <c r="M8034" t="inlineStr"/>
      <c r="N8034" t="inlineStr">
        <is>
          <t>168F¹⁰, 84A³, 168H¹⁰, 12A⁰, 84F¹⁰, 42A², 4A⁰, 21A⁰, 24B¹, 3A⁰, 28A¹, 1A⁰, 7A⁰</t>
        </is>
      </c>
      <c r="O8034" t="inlineStr"/>
    </row>
    <row r="8035">
      <c r="A8035">
        <f>HYPERLINK("https://mathstats.uncg.edu/sites/pauli/congruence/csg24.html#group168J24", "168J²⁴")</f>
        <v/>
      </c>
      <c r="B8035" t="n">
        <v>24</v>
      </c>
      <c r="C8035" t="inlineStr"/>
      <c r="D8035" t="inlineStr">
        <is>
          <t>336</t>
        </is>
      </c>
      <c r="E8035" t="inlineStr">
        <is>
          <t>2</t>
        </is>
      </c>
      <c r="F8035" t="inlineStr">
        <is>
          <t>84</t>
        </is>
      </c>
      <c r="G8035" t="inlineStr">
        <is>
          <t>16</t>
        </is>
      </c>
      <c r="H8035" t="inlineStr">
        <is>
          <t>0</t>
        </is>
      </c>
      <c r="I8035" t="inlineStr">
        <is>
          <t>168²</t>
        </is>
      </c>
      <c r="J8035" t="n">
        <v>2</v>
      </c>
      <c r="K8035" t="inlineStr">
        <is>
          <t>16⁶, 48¹²</t>
        </is>
      </c>
      <c r="L8035" t="inlineStr">
        <is>
          <t>84F¹⁰, 168F¹⁰, 168H¹⁰</t>
        </is>
      </c>
      <c r="M8035" t="inlineStr"/>
      <c r="N8035" t="inlineStr">
        <is>
          <t>168F¹⁰, 84A³, 168H¹⁰, 12A⁰, 84F¹⁰, 42A², 4A⁰, 21A⁰, 24B¹, 3A⁰, 28A¹, 1A⁰, 7A⁰</t>
        </is>
      </c>
      <c r="O8035" t="inlineStr"/>
    </row>
    <row r="8036">
      <c r="A8036">
        <f>HYPERLINK("https://mathstats.uncg.edu/sites/pauli/congruence/csg24.html#group169A24", "169A²⁴")</f>
        <v/>
      </c>
      <c r="B8036" t="n">
        <v>24</v>
      </c>
      <c r="C8036" t="inlineStr"/>
      <c r="D8036" t="inlineStr">
        <is>
          <t>546</t>
        </is>
      </c>
      <c r="E8036" t="inlineStr">
        <is>
          <t>1</t>
        </is>
      </c>
      <c r="F8036" t="inlineStr">
        <is>
          <t>182</t>
        </is>
      </c>
      <c r="G8036" t="inlineStr">
        <is>
          <t>6</t>
        </is>
      </c>
      <c r="H8036" t="inlineStr">
        <is>
          <t>0</t>
        </is>
      </c>
      <c r="I8036" t="inlineStr">
        <is>
          <t>1³⁹, 169³</t>
        </is>
      </c>
      <c r="J8036" t="n">
        <v>42</v>
      </c>
      <c r="K8036" t="inlineStr">
        <is>
          <t>1², 12², 156¹</t>
        </is>
      </c>
      <c r="L8036" t="inlineStr">
        <is>
          <t>13C⁰, 169A⁸</t>
        </is>
      </c>
      <c r="M8036" t="inlineStr"/>
      <c r="N8036" t="inlineStr">
        <is>
          <t>13A⁰, 13C⁰, 1A⁰, 169A⁸</t>
        </is>
      </c>
      <c r="O8036" t="inlineStr"/>
    </row>
    <row r="8037">
      <c r="A8037">
        <f>HYPERLINK("https://mathstats.uncg.edu/sites/pauli/congruence/csg24.html#group176A24", "176A²⁴")</f>
        <v/>
      </c>
      <c r="B8037" t="n">
        <v>24</v>
      </c>
      <c r="C8037" t="inlineStr"/>
      <c r="D8037" t="inlineStr">
        <is>
          <t>352</t>
        </is>
      </c>
      <c r="E8037" t="inlineStr">
        <is>
          <t>2</t>
        </is>
      </c>
      <c r="F8037" t="inlineStr">
        <is>
          <t>44</t>
        </is>
      </c>
      <c r="G8037" t="inlineStr">
        <is>
          <t>0</t>
        </is>
      </c>
      <c r="H8037" t="inlineStr">
        <is>
          <t>16</t>
        </is>
      </c>
      <c r="I8037" t="inlineStr">
        <is>
          <t>176²</t>
        </is>
      </c>
      <c r="J8037" t="n">
        <v>2</v>
      </c>
      <c r="K8037" t="inlineStr">
        <is>
          <t>4², 20⁴</t>
        </is>
      </c>
      <c r="L8037" t="inlineStr">
        <is>
          <t>16F⁰, 176A¹¹, 176B¹¹, 88A¹²</t>
        </is>
      </c>
      <c r="M8037" t="inlineStr"/>
      <c r="N8037" t="inlineStr">
        <is>
          <t>2A⁰, 16A⁰, 44A², 22A¹, 176B¹¹, 8A⁰, 8E⁰, 176A¹¹, 1A⁰, 11A⁰, 44A⁶, 4A⁰, 4D⁰, 16F⁰, 88A¹², 88B⁵, 88A⁵</t>
        </is>
      </c>
      <c r="O8037" t="inlineStr"/>
    </row>
    <row r="8038">
      <c r="A8038">
        <f>HYPERLINK("https://mathstats.uncg.edu/sites/pauli/congruence/csg24.html#group180A24", "180A²⁴")</f>
        <v/>
      </c>
      <c r="B8038" t="n">
        <v>24</v>
      </c>
      <c r="C8038" t="inlineStr"/>
      <c r="D8038" t="inlineStr">
        <is>
          <t>324</t>
        </is>
      </c>
      <c r="E8038" t="inlineStr">
        <is>
          <t>1</t>
        </is>
      </c>
      <c r="F8038" t="inlineStr">
        <is>
          <t>162</t>
        </is>
      </c>
      <c r="G8038" t="inlineStr">
        <is>
          <t>8</t>
        </is>
      </c>
      <c r="H8038" t="inlineStr">
        <is>
          <t>0</t>
        </is>
      </c>
      <c r="I8038" t="inlineStr">
        <is>
          <t>18¹, 36¹, 90¹, 180¹</t>
        </is>
      </c>
      <c r="J8038" t="n">
        <v>4</v>
      </c>
      <c r="K8038" t="inlineStr">
        <is>
          <t>1⁶, 2⁶, 4³, 6⁶, 8³, 24³</t>
        </is>
      </c>
      <c r="L8038" t="inlineStr">
        <is>
          <t>60F⁶, 90E¹⁰</t>
        </is>
      </c>
      <c r="M8038" t="inlineStr"/>
      <c r="N8038" t="inlineStr">
        <is>
          <t>45A², 15B⁰, 60F⁶, 30E², 9A⁰, 90E¹⁰, 5B⁰, 10C⁰, 2B⁰, 18E¹, 3A⁰, 1A⁰, 6D⁰</t>
        </is>
      </c>
      <c r="O8038" t="inlineStr"/>
    </row>
    <row r="8039">
      <c r="A8039">
        <f>HYPERLINK("https://mathstats.uncg.edu/sites/pauli/congruence/csg24.html#group180B24", "180B²⁴")</f>
        <v/>
      </c>
      <c r="B8039" t="n">
        <v>24</v>
      </c>
      <c r="C8039" t="inlineStr"/>
      <c r="D8039" t="inlineStr">
        <is>
          <t>324</t>
        </is>
      </c>
      <c r="E8039" t="inlineStr">
        <is>
          <t>2</t>
        </is>
      </c>
      <c r="F8039" t="inlineStr">
        <is>
          <t>162</t>
        </is>
      </c>
      <c r="G8039" t="inlineStr">
        <is>
          <t>4</t>
        </is>
      </c>
      <c r="H8039" t="inlineStr">
        <is>
          <t>0</t>
        </is>
      </c>
      <c r="I8039" t="inlineStr">
        <is>
          <t>9², 36¹, 45², 180¹</t>
        </is>
      </c>
      <c r="J8039" t="n">
        <v>6</v>
      </c>
      <c r="K8039" t="inlineStr">
        <is>
          <t>2¹⁸, 6¹², 8⁹, 24⁶</t>
        </is>
      </c>
      <c r="L8039" t="inlineStr">
        <is>
          <t>60E⁶, 90E¹⁰</t>
        </is>
      </c>
      <c r="M8039" t="inlineStr"/>
      <c r="N8039" t="inlineStr">
        <is>
          <t>45A², 15B⁰, 60E⁶, 30E², 9A⁰, 90E¹⁰, 5B⁰, 10C⁰, 2B⁰, 18E¹, 3A⁰, 1A⁰, 6D⁰</t>
        </is>
      </c>
      <c r="O8039" t="inlineStr"/>
    </row>
    <row r="8040">
      <c r="A8040">
        <f>HYPERLINK("https://mathstats.uncg.edu/sites/pauli/congruence/csg24.html#group190A24", "190A²⁴")</f>
        <v/>
      </c>
      <c r="B8040" t="n">
        <v>24</v>
      </c>
      <c r="C8040" t="inlineStr"/>
      <c r="D8040" t="inlineStr">
        <is>
          <t>300</t>
        </is>
      </c>
      <c r="E8040" t="inlineStr">
        <is>
          <t>1</t>
        </is>
      </c>
      <c r="F8040" t="inlineStr">
        <is>
          <t>300</t>
        </is>
      </c>
      <c r="G8040" t="inlineStr">
        <is>
          <t>0</t>
        </is>
      </c>
      <c r="H8040" t="inlineStr">
        <is>
          <t>0</t>
        </is>
      </c>
      <c r="I8040" t="inlineStr">
        <is>
          <t>5¹, 10¹, 95¹, 190¹</t>
        </is>
      </c>
      <c r="J8040" t="n">
        <v>4</v>
      </c>
      <c r="K8040" t="inlineStr">
        <is>
          <t>1⁶, 4⁶, 18³, 72³</t>
        </is>
      </c>
      <c r="L8040" t="inlineStr">
        <is>
          <t>10B¹, 38A⁴, 95A⁷</t>
        </is>
      </c>
      <c r="M8040" t="inlineStr"/>
      <c r="N8040" t="inlineStr">
        <is>
          <t>19A¹, 5A⁰, 10B¹, 38A⁴, 2B⁰, 95A⁷, 1A⁰</t>
        </is>
      </c>
      <c r="O8040" t="inlineStr"/>
    </row>
    <row r="8041">
      <c r="A8041">
        <f>HYPERLINK("https://mathstats.uncg.edu/sites/pauli/congruence/csg24.html#group198A24", "198A²⁴")</f>
        <v/>
      </c>
      <c r="B8041" t="n">
        <v>24</v>
      </c>
      <c r="C8041" t="inlineStr"/>
      <c r="D8041" t="inlineStr">
        <is>
          <t>396</t>
        </is>
      </c>
      <c r="E8041" t="inlineStr">
        <is>
          <t>2</t>
        </is>
      </c>
      <c r="F8041" t="inlineStr">
        <is>
          <t>33</t>
        </is>
      </c>
      <c r="G8041" t="inlineStr">
        <is>
          <t>36</t>
        </is>
      </c>
      <c r="H8041" t="inlineStr">
        <is>
          <t>0</t>
        </is>
      </c>
      <c r="I8041" t="inlineStr">
        <is>
          <t>198²</t>
        </is>
      </c>
      <c r="J8041" t="n">
        <v>2</v>
      </c>
      <c r="K8041" t="inlineStr">
        <is>
          <t>2¹, 4¹, 10², 20²</t>
        </is>
      </c>
      <c r="L8041" t="inlineStr">
        <is>
          <t>18D⁰, 66B⁸, 198A¹¹, 198B¹¹, 99A¹²</t>
        </is>
      </c>
      <c r="M8041" t="inlineStr"/>
      <c r="N8041" t="inlineStr">
        <is>
          <t>6B⁰, 33A¹, 66B⁸, 99A⁵, 198A¹¹, 1A⁰, 18A⁰, 33A⁴, 11A⁰, 9D⁰, 18D⁰, 99A¹², 6E⁰, 66A³, 9A⁰, 3C⁰, 198B¹¹, 3A⁰</t>
        </is>
      </c>
      <c r="O8041" t="inlineStr"/>
    </row>
    <row r="8042">
      <c r="A8042">
        <f>HYPERLINK("https://mathstats.uncg.edu/sites/pauli/congruence/csg24.html#group202A24", "202A²⁴")</f>
        <v/>
      </c>
      <c r="B8042" t="n">
        <v>24</v>
      </c>
      <c r="C8042" t="inlineStr">
        <is>
          <t>Γ₀(202)</t>
        </is>
      </c>
      <c r="D8042" t="inlineStr">
        <is>
          <t>306</t>
        </is>
      </c>
      <c r="E8042" t="inlineStr">
        <is>
          <t>1</t>
        </is>
      </c>
      <c r="F8042" t="inlineStr">
        <is>
          <t>306</t>
        </is>
      </c>
      <c r="G8042" t="inlineStr">
        <is>
          <t>2</t>
        </is>
      </c>
      <c r="H8042" t="inlineStr">
        <is>
          <t>0</t>
        </is>
      </c>
      <c r="I8042" t="inlineStr">
        <is>
          <t>1¹, 2¹, 101¹, 202¹</t>
        </is>
      </c>
      <c r="J8042" t="n">
        <v>4</v>
      </c>
      <c r="K8042" t="inlineStr">
        <is>
          <t>1⁶, 100³</t>
        </is>
      </c>
      <c r="L8042" t="inlineStr">
        <is>
          <t>2B⁰, 101A⁸</t>
        </is>
      </c>
      <c r="M8042" t="inlineStr"/>
      <c r="N8042" t="inlineStr">
        <is>
          <t>101A⁸, 1A⁰, 2B⁰</t>
        </is>
      </c>
      <c r="O8042" t="inlineStr"/>
    </row>
    <row r="8043">
      <c r="A8043">
        <f>HYPERLINK("https://mathstats.uncg.edu/sites/pauli/congruence/csg24.html#group210A24", "210A²⁴")</f>
        <v/>
      </c>
      <c r="B8043" t="n">
        <v>24</v>
      </c>
      <c r="C8043" t="inlineStr"/>
      <c r="D8043" t="inlineStr">
        <is>
          <t>315</t>
        </is>
      </c>
      <c r="E8043" t="inlineStr">
        <is>
          <t>2</t>
        </is>
      </c>
      <c r="F8043" t="inlineStr">
        <is>
          <t>105</t>
        </is>
      </c>
      <c r="G8043" t="inlineStr">
        <is>
          <t>9</t>
        </is>
      </c>
      <c r="H8043" t="inlineStr">
        <is>
          <t>0</t>
        </is>
      </c>
      <c r="I8043" t="inlineStr">
        <is>
          <t>105¹, 210¹</t>
        </is>
      </c>
      <c r="J8043" t="n">
        <v>2</v>
      </c>
      <c r="K8043" t="inlineStr">
        <is>
          <t>2³, 6⁶, 8³, 24⁶</t>
        </is>
      </c>
      <c r="L8043" t="inlineStr">
        <is>
          <t>30D³, 42C³, 105A⁷, 70A⁸</t>
        </is>
      </c>
      <c r="M8043" t="inlineStr"/>
      <c r="N8043" t="inlineStr">
        <is>
          <t>5A⁰, 14B¹, 15A¹, 10B¹, 21A⁰, 2B⁰, 1A⁰, 105A⁷, 35A², 30D³, 70A⁸, 3A⁰, 42C³, 6D⁰, 7A⁰</t>
        </is>
      </c>
      <c r="O8043" t="inlineStr"/>
    </row>
    <row r="8044">
      <c r="A8044">
        <f>HYPERLINK("https://mathstats.uncg.edu/sites/pauli/congruence/csg24.html#group210B24", "210B²⁴")</f>
        <v/>
      </c>
      <c r="B8044" t="n">
        <v>24</v>
      </c>
      <c r="C8044" t="inlineStr"/>
      <c r="D8044" t="inlineStr">
        <is>
          <t>315</t>
        </is>
      </c>
      <c r="E8044" t="inlineStr">
        <is>
          <t>2</t>
        </is>
      </c>
      <c r="F8044" t="inlineStr">
        <is>
          <t>105</t>
        </is>
      </c>
      <c r="G8044" t="inlineStr">
        <is>
          <t>9</t>
        </is>
      </c>
      <c r="H8044" t="inlineStr">
        <is>
          <t>0</t>
        </is>
      </c>
      <c r="I8044" t="inlineStr">
        <is>
          <t>105¹, 210¹</t>
        </is>
      </c>
      <c r="J8044" t="n">
        <v>2</v>
      </c>
      <c r="K8044" t="inlineStr">
        <is>
          <t>4³, 12⁶, 16³, 48⁶</t>
        </is>
      </c>
      <c r="L8044" t="inlineStr">
        <is>
          <t>30E³, 105A⁶, 70A⁸</t>
        </is>
      </c>
      <c r="M8044" t="inlineStr"/>
      <c r="N8044" t="inlineStr">
        <is>
          <t>105A⁶, 5A⁰, 30E³, 14B¹, 10B¹, 70A⁸, 2B⁰, 1A⁰, 35A², 7A⁰, 15A⁰</t>
        </is>
      </c>
      <c r="O8044" t="inlineStr"/>
    </row>
    <row r="8045">
      <c r="A8045">
        <f>HYPERLINK("https://mathstats.uncg.edu/sites/pauli/congruence/csg24.html#group210C24", "210C²⁴")</f>
        <v/>
      </c>
      <c r="B8045" t="n">
        <v>24</v>
      </c>
      <c r="C8045" t="inlineStr"/>
      <c r="D8045" t="inlineStr">
        <is>
          <t>315</t>
        </is>
      </c>
      <c r="E8045" t="inlineStr">
        <is>
          <t>2</t>
        </is>
      </c>
      <c r="F8045" t="inlineStr">
        <is>
          <t>105</t>
        </is>
      </c>
      <c r="G8045" t="inlineStr">
        <is>
          <t>9</t>
        </is>
      </c>
      <c r="H8045" t="inlineStr">
        <is>
          <t>0</t>
        </is>
      </c>
      <c r="I8045" t="inlineStr">
        <is>
          <t>105¹, 210¹</t>
        </is>
      </c>
      <c r="J8045" t="n">
        <v>2</v>
      </c>
      <c r="K8045" t="inlineStr">
        <is>
          <t>4³, 12⁶, 16³, 48⁶</t>
        </is>
      </c>
      <c r="L8045" t="inlineStr">
        <is>
          <t>30E³, 105B⁶, 70A⁸</t>
        </is>
      </c>
      <c r="M8045" t="inlineStr"/>
      <c r="N8045" t="inlineStr">
        <is>
          <t>5A⁰, 105B⁶, 30E³, 14B¹, 10B¹, 70A⁸, 2B⁰, 1A⁰, 35A², 7A⁰, 15A⁰</t>
        </is>
      </c>
      <c r="O8045" t="inlineStr"/>
    </row>
    <row r="8046">
      <c r="A8046">
        <f>HYPERLINK("https://mathstats.uncg.edu/sites/pauli/congruence/csg24.html#group212A24", "212A²⁴")</f>
        <v/>
      </c>
      <c r="B8046" t="n">
        <v>24</v>
      </c>
      <c r="C8046" t="inlineStr"/>
      <c r="D8046" t="inlineStr">
        <is>
          <t>324</t>
        </is>
      </c>
      <c r="E8046" t="inlineStr">
        <is>
          <t>1</t>
        </is>
      </c>
      <c r="F8046" t="inlineStr">
        <is>
          <t>162</t>
        </is>
      </c>
      <c r="G8046" t="inlineStr">
        <is>
          <t>4</t>
        </is>
      </c>
      <c r="H8046" t="inlineStr">
        <is>
          <t>0</t>
        </is>
      </c>
      <c r="I8046" t="inlineStr">
        <is>
          <t>1², 4¹, 53², 212¹</t>
        </is>
      </c>
      <c r="J8046" t="n">
        <v>6</v>
      </c>
      <c r="K8046" t="inlineStr">
        <is>
          <t>1⁶, 52³</t>
        </is>
      </c>
      <c r="L8046" t="inlineStr">
        <is>
          <t>106A¹²</t>
        </is>
      </c>
      <c r="M8046" t="inlineStr"/>
      <c r="N8046" t="inlineStr">
        <is>
          <t>1A⁰, 106A¹², 2B⁰, 53A⁴</t>
        </is>
      </c>
      <c r="O8046" t="inlineStr"/>
    </row>
    <row r="8047">
      <c r="A8047">
        <f>HYPERLINK("https://mathstats.uncg.edu/sites/pauli/congruence/csg24.html#group216A24", "216A²⁴")</f>
        <v/>
      </c>
      <c r="B8047" t="n">
        <v>24</v>
      </c>
      <c r="C8047" t="inlineStr"/>
      <c r="D8047" t="inlineStr">
        <is>
          <t>288</t>
        </is>
      </c>
      <c r="E8047" t="inlineStr">
        <is>
          <t>2</t>
        </is>
      </c>
      <c r="F8047" t="inlineStr">
        <is>
          <t>48</t>
        </is>
      </c>
      <c r="G8047" t="inlineStr">
        <is>
          <t>0</t>
        </is>
      </c>
      <c r="H8047" t="inlineStr">
        <is>
          <t>0</t>
        </is>
      </c>
      <c r="I8047" t="inlineStr">
        <is>
          <t>72¹, 216¹</t>
        </is>
      </c>
      <c r="J8047" t="n">
        <v>2</v>
      </c>
      <c r="K8047" t="inlineStr">
        <is>
          <t>4⁴, 8⁴, 24²</t>
        </is>
      </c>
      <c r="L8047" t="inlineStr">
        <is>
          <t>72A⁶, 108B¹²</t>
        </is>
      </c>
      <c r="M8047" t="inlineStr"/>
      <c r="N8047" t="inlineStr">
        <is>
          <t>3B⁰, 72A⁶, 27A³, 24A², 4A⁰, 12A¹, 8A⁰, 9C⁰, 1A⁰, 108B¹², 36C³</t>
        </is>
      </c>
      <c r="O8047" t="inlineStr"/>
    </row>
    <row r="8048">
      <c r="A8048">
        <f>HYPERLINK("https://mathstats.uncg.edu/sites/pauli/congruence/csg24.html#group224A24", "224A²⁴")</f>
        <v/>
      </c>
      <c r="B8048" t="n">
        <v>24</v>
      </c>
      <c r="C8048" t="inlineStr"/>
      <c r="D8048" t="inlineStr">
        <is>
          <t>336</t>
        </is>
      </c>
      <c r="E8048" t="inlineStr">
        <is>
          <t>2</t>
        </is>
      </c>
      <c r="F8048" t="inlineStr">
        <is>
          <t>42</t>
        </is>
      </c>
      <c r="G8048" t="inlineStr">
        <is>
          <t>0</t>
        </is>
      </c>
      <c r="H8048" t="inlineStr">
        <is>
          <t>0</t>
        </is>
      </c>
      <c r="I8048" t="inlineStr">
        <is>
          <t>7⁸, 56¹, 224¹</t>
        </is>
      </c>
      <c r="J8048" t="n">
        <v>10</v>
      </c>
      <c r="K8048" t="inlineStr">
        <is>
          <t>2⁴, 4¹, 6⁸, 12²</t>
        </is>
      </c>
      <c r="L8048" t="inlineStr">
        <is>
          <t>112C¹²</t>
        </is>
      </c>
      <c r="M8048" t="inlineStr"/>
      <c r="N8048" t="inlineStr">
        <is>
          <t>56C⁶, 14B¹, 16C⁰, 28A³, 8C⁰, 2B⁰, 112C¹², 4B⁰, 1A⁰, 7A⁰</t>
        </is>
      </c>
      <c r="O8048" t="inlineStr"/>
    </row>
    <row r="8049">
      <c r="A8049">
        <f>HYPERLINK("https://mathstats.uncg.edu/sites/pauli/congruence/csg24.html#group224B24", "224B²⁴")</f>
        <v/>
      </c>
      <c r="B8049" t="n">
        <v>24</v>
      </c>
      <c r="C8049" t="inlineStr"/>
      <c r="D8049" t="inlineStr">
        <is>
          <t>336</t>
        </is>
      </c>
      <c r="E8049" t="inlineStr">
        <is>
          <t>2</t>
        </is>
      </c>
      <c r="F8049" t="inlineStr">
        <is>
          <t>42</t>
        </is>
      </c>
      <c r="G8049" t="inlineStr">
        <is>
          <t>0</t>
        </is>
      </c>
      <c r="H8049" t="inlineStr">
        <is>
          <t>0</t>
        </is>
      </c>
      <c r="I8049" t="inlineStr">
        <is>
          <t>7⁸, 56¹, 224¹</t>
        </is>
      </c>
      <c r="J8049" t="n">
        <v>10</v>
      </c>
      <c r="K8049" t="inlineStr">
        <is>
          <t>2⁴, 4¹, 6⁸, 12²</t>
        </is>
      </c>
      <c r="L8049" t="inlineStr">
        <is>
          <t>32A⁰, 112C¹²</t>
        </is>
      </c>
      <c r="M8049" t="inlineStr"/>
      <c r="N8049" t="inlineStr">
        <is>
          <t>56C⁶, 14B¹, 16C⁰, 32A⁰, 28A³, 8C⁰, 2B⁰, 112C¹², 4B⁰, 1A⁰, 7A⁰</t>
        </is>
      </c>
      <c r="O8049" t="inlineStr"/>
    </row>
    <row r="8050">
      <c r="A8050">
        <f>HYPERLINK("https://mathstats.uncg.edu/sites/pauli/congruence/csg24.html#group224C24", "224C²⁴")</f>
        <v/>
      </c>
      <c r="B8050" t="n">
        <v>24</v>
      </c>
      <c r="C8050" t="inlineStr"/>
      <c r="D8050" t="inlineStr">
        <is>
          <t>336</t>
        </is>
      </c>
      <c r="E8050" t="inlineStr">
        <is>
          <t>2</t>
        </is>
      </c>
      <c r="F8050" t="inlineStr">
        <is>
          <t>168</t>
        </is>
      </c>
      <c r="G8050" t="inlineStr">
        <is>
          <t>6</t>
        </is>
      </c>
      <c r="H8050" t="inlineStr">
        <is>
          <t>0</t>
        </is>
      </c>
      <c r="I8050" t="inlineStr">
        <is>
          <t>14⁴, 28², 224¹</t>
        </is>
      </c>
      <c r="J8050" t="n">
        <v>7</v>
      </c>
      <c r="K8050" t="inlineStr">
        <is>
          <t>4², 8³, 12⁴, 16⁴, 24⁶, 48⁸</t>
        </is>
      </c>
      <c r="L8050" t="inlineStr">
        <is>
          <t>112D¹¹</t>
        </is>
      </c>
      <c r="M8050" t="inlineStr"/>
      <c r="N8050" t="inlineStr">
        <is>
          <t>28C², 16E⁰, 56C⁵, 112D¹¹, 14B¹, 8D⁰, 4C⁰, 2B⁰, 1A⁰, 7A⁰</t>
        </is>
      </c>
      <c r="O8050" t="inlineStr"/>
    </row>
    <row r="8051">
      <c r="A8051">
        <f>HYPERLINK("https://mathstats.uncg.edu/sites/pauli/congruence/csg24.html#group224D24", "224D²⁴")</f>
        <v/>
      </c>
      <c r="B8051" t="n">
        <v>24</v>
      </c>
      <c r="C8051" t="inlineStr"/>
      <c r="D8051" t="inlineStr">
        <is>
          <t>336</t>
        </is>
      </c>
      <c r="E8051" t="inlineStr">
        <is>
          <t>2</t>
        </is>
      </c>
      <c r="F8051" t="inlineStr">
        <is>
          <t>168</t>
        </is>
      </c>
      <c r="G8051" t="inlineStr">
        <is>
          <t>6</t>
        </is>
      </c>
      <c r="H8051" t="inlineStr">
        <is>
          <t>0</t>
        </is>
      </c>
      <c r="I8051" t="inlineStr">
        <is>
          <t>14⁴, 28², 224¹</t>
        </is>
      </c>
      <c r="J8051" t="n">
        <v>7</v>
      </c>
      <c r="K8051" t="inlineStr">
        <is>
          <t>4², 8³, 12⁴, 16⁴, 24⁶, 48⁸</t>
        </is>
      </c>
      <c r="L8051" t="inlineStr">
        <is>
          <t>112D¹¹</t>
        </is>
      </c>
      <c r="M8051" t="inlineStr"/>
      <c r="N8051" t="inlineStr">
        <is>
          <t>28C², 16E⁰, 56C⁵, 112D¹¹, 14B¹, 8D⁰, 4C⁰, 2B⁰, 1A⁰, 7A⁰</t>
        </is>
      </c>
      <c r="O8051" t="inlineStr"/>
    </row>
    <row r="8052">
      <c r="A8052">
        <f>HYPERLINK("https://mathstats.uncg.edu/sites/pauli/congruence/csg24.html#group224E24", "224E²⁴")</f>
        <v/>
      </c>
      <c r="B8052" t="n">
        <v>24</v>
      </c>
      <c r="C8052" t="inlineStr"/>
      <c r="D8052" t="inlineStr">
        <is>
          <t>336</t>
        </is>
      </c>
      <c r="E8052" t="inlineStr">
        <is>
          <t>2</t>
        </is>
      </c>
      <c r="F8052" t="inlineStr">
        <is>
          <t>168</t>
        </is>
      </c>
      <c r="G8052" t="inlineStr">
        <is>
          <t>6</t>
        </is>
      </c>
      <c r="H8052" t="inlineStr">
        <is>
          <t>0</t>
        </is>
      </c>
      <c r="I8052" t="inlineStr">
        <is>
          <t>14⁴, 28², 224¹</t>
        </is>
      </c>
      <c r="J8052" t="n">
        <v>7</v>
      </c>
      <c r="K8052" t="inlineStr">
        <is>
          <t>4², 8³, 12⁴, 16⁴, 24⁶, 48⁸</t>
        </is>
      </c>
      <c r="L8052" t="inlineStr">
        <is>
          <t>32C¹, 112D¹¹</t>
        </is>
      </c>
      <c r="M8052" t="inlineStr"/>
      <c r="N8052" t="inlineStr">
        <is>
          <t>28C², 16E⁰, 56C⁵, 32C¹, 112D¹¹, 14B¹, 8D⁰, 4C⁰, 2B⁰, 1A⁰, 7A⁰</t>
        </is>
      </c>
      <c r="O8052" t="inlineStr"/>
    </row>
    <row r="8053">
      <c r="A8053">
        <f>HYPERLINK("https://mathstats.uncg.edu/sites/pauli/congruence/csg24.html#group224F24", "224F²⁴")</f>
        <v/>
      </c>
      <c r="B8053" t="n">
        <v>24</v>
      </c>
      <c r="C8053" t="inlineStr"/>
      <c r="D8053" t="inlineStr">
        <is>
          <t>336</t>
        </is>
      </c>
      <c r="E8053" t="inlineStr">
        <is>
          <t>2</t>
        </is>
      </c>
      <c r="F8053" t="inlineStr">
        <is>
          <t>168</t>
        </is>
      </c>
      <c r="G8053" t="inlineStr">
        <is>
          <t>6</t>
        </is>
      </c>
      <c r="H8053" t="inlineStr">
        <is>
          <t>0</t>
        </is>
      </c>
      <c r="I8053" t="inlineStr">
        <is>
          <t>14⁴, 28², 224¹</t>
        </is>
      </c>
      <c r="J8053" t="n">
        <v>7</v>
      </c>
      <c r="K8053" t="inlineStr">
        <is>
          <t>4², 8³, 12⁴, 16⁴, 24⁶, 48⁸</t>
        </is>
      </c>
      <c r="L8053" t="inlineStr">
        <is>
          <t>32D¹, 112D¹¹</t>
        </is>
      </c>
      <c r="M8053" t="inlineStr"/>
      <c r="N8053" t="inlineStr">
        <is>
          <t>28C², 16E⁰, 56C⁵, 112D¹¹, 14B¹, 8D⁰, 4C⁰, 32D¹, 2B⁰, 1A⁰, 7A⁰</t>
        </is>
      </c>
      <c r="O8053" t="inlineStr"/>
    </row>
    <row r="8054">
      <c r="A8054">
        <f>HYPERLINK("https://mathstats.uncg.edu/sites/pauli/congruence/csg24.html#group234A24", "234A²⁴")</f>
        <v/>
      </c>
      <c r="B8054" t="n">
        <v>24</v>
      </c>
      <c r="C8054" t="inlineStr"/>
      <c r="D8054" t="inlineStr">
        <is>
          <t>336</t>
        </is>
      </c>
      <c r="E8054" t="inlineStr">
        <is>
          <t>2</t>
        </is>
      </c>
      <c r="F8054" t="inlineStr">
        <is>
          <t>112</t>
        </is>
      </c>
      <c r="G8054" t="inlineStr">
        <is>
          <t>0</t>
        </is>
      </c>
      <c r="H8054" t="inlineStr">
        <is>
          <t>3</t>
        </is>
      </c>
      <c r="I8054" t="inlineStr">
        <is>
          <t>2³, 18¹, 26³, 234¹</t>
        </is>
      </c>
      <c r="J8054" t="n">
        <v>8</v>
      </c>
      <c r="K8054" t="inlineStr">
        <is>
          <t>2¹⁶, 24⁸</t>
        </is>
      </c>
      <c r="L8054" t="inlineStr">
        <is>
          <t>78C⁷</t>
        </is>
      </c>
      <c r="M8054" t="inlineStr"/>
      <c r="N8054" t="inlineStr">
        <is>
          <t>2A⁰, 3B⁰, 26A¹, 39A³, 78C⁷, 6C⁰, 13A⁰, 1A⁰</t>
        </is>
      </c>
      <c r="O8054" t="inlineStr"/>
    </row>
    <row r="8055">
      <c r="A8055">
        <f>HYPERLINK("https://mathstats.uncg.edu/sites/pauli/congruence/csg24.html#group240A24", "240A²⁴")</f>
        <v/>
      </c>
      <c r="B8055" t="n">
        <v>24</v>
      </c>
      <c r="C8055" t="inlineStr"/>
      <c r="D8055" t="inlineStr">
        <is>
          <t>320</t>
        </is>
      </c>
      <c r="E8055" t="inlineStr">
        <is>
          <t>2</t>
        </is>
      </c>
      <c r="F8055" t="inlineStr">
        <is>
          <t>160</t>
        </is>
      </c>
      <c r="G8055" t="inlineStr">
        <is>
          <t>0</t>
        </is>
      </c>
      <c r="H8055" t="inlineStr">
        <is>
          <t>8</t>
        </is>
      </c>
      <c r="I8055" t="inlineStr">
        <is>
          <t>80¹, 240¹</t>
        </is>
      </c>
      <c r="J8055" t="n">
        <v>2</v>
      </c>
      <c r="K8055" t="inlineStr">
        <is>
          <t>8⁴, 16², 32⁴, 64²</t>
        </is>
      </c>
      <c r="L8055" t="inlineStr">
        <is>
          <t>48A⁴, 80A⁴, 120A¹²</t>
        </is>
      </c>
      <c r="M8055" t="inlineStr"/>
      <c r="N8055" t="inlineStr">
        <is>
          <t>3B⁰, 120A¹², 5A⁰, 80A⁴, 16A⁰, 24A², 4A⁰, 12A¹, 8A⁰, 15B¹, 20A¹, 48A⁴, 60A⁶, 1A⁰, 40A²</t>
        </is>
      </c>
      <c r="O8055" t="inlineStr"/>
    </row>
    <row r="8056">
      <c r="A8056">
        <f>HYPERLINK("https://mathstats.uncg.edu/sites/pauli/congruence/csg24.html#group240B24", "240B²⁴")</f>
        <v/>
      </c>
      <c r="B8056" t="n">
        <v>24</v>
      </c>
      <c r="C8056" t="inlineStr"/>
      <c r="D8056" t="inlineStr">
        <is>
          <t>360</t>
        </is>
      </c>
      <c r="E8056" t="inlineStr">
        <is>
          <t>1</t>
        </is>
      </c>
      <c r="F8056" t="inlineStr">
        <is>
          <t>15</t>
        </is>
      </c>
      <c r="G8056" t="inlineStr">
        <is>
          <t>24</t>
        </is>
      </c>
      <c r="H8056" t="inlineStr">
        <is>
          <t>0</t>
        </is>
      </c>
      <c r="I8056" t="inlineStr">
        <is>
          <t>120¹, 240¹</t>
        </is>
      </c>
      <c r="J8056" t="n">
        <v>2</v>
      </c>
      <c r="K8056" t="inlineStr">
        <is>
          <t>1³, 4³</t>
        </is>
      </c>
      <c r="L8056" t="inlineStr">
        <is>
          <t>48A⁰, 80A⁸, 120B¹²</t>
        </is>
      </c>
      <c r="M8056" t="inlineStr"/>
      <c r="N8056" t="inlineStr">
        <is>
          <t>5A⁰, 12C⁰, 40A⁴, 15A¹, 10B¹, 20B², 4C⁰, 8B⁰, 60B⁶, 48A⁰, 2B⁰, 120B¹², 1A⁰, 16B⁰, 30D³, 24A⁰, 3A⁰, 6D⁰, 80A⁸</t>
        </is>
      </c>
      <c r="O8056" t="inlineStr"/>
    </row>
    <row r="8057">
      <c r="A8057">
        <f>HYPERLINK("https://mathstats.uncg.edu/sites/pauli/congruence/csg24.html#group240C24", "240C²⁴")</f>
        <v/>
      </c>
      <c r="B8057" t="n">
        <v>24</v>
      </c>
      <c r="C8057" t="inlineStr"/>
      <c r="D8057" t="inlineStr">
        <is>
          <t>360</t>
        </is>
      </c>
      <c r="E8057" t="inlineStr">
        <is>
          <t>2</t>
        </is>
      </c>
      <c r="F8057" t="inlineStr">
        <is>
          <t>15</t>
        </is>
      </c>
      <c r="G8057" t="inlineStr">
        <is>
          <t>24</t>
        </is>
      </c>
      <c r="H8057" t="inlineStr">
        <is>
          <t>0</t>
        </is>
      </c>
      <c r="I8057" t="inlineStr">
        <is>
          <t>120¹, 240¹</t>
        </is>
      </c>
      <c r="J8057" t="n">
        <v>2</v>
      </c>
      <c r="K8057" t="inlineStr">
        <is>
          <t>2³, 8³</t>
        </is>
      </c>
      <c r="L8057" t="inlineStr">
        <is>
          <t>80A⁸, 120C¹²</t>
        </is>
      </c>
      <c r="M8057" t="inlineStr"/>
      <c r="N8057" t="inlineStr">
        <is>
          <t>16B⁰, 80A⁸, 5A⁰, 60D⁶, 40A⁴, 30E³, 10B¹, 20B², 4C⁰, 8B⁰, 2B⁰, 15A⁰, 1A⁰, 120C¹²</t>
        </is>
      </c>
      <c r="O8057" t="inlineStr"/>
    </row>
    <row r="8058">
      <c r="A8058">
        <f>HYPERLINK("https://mathstats.uncg.edu/sites/pauli/congruence/csg24.html#group250A24", "250A²⁴")</f>
        <v/>
      </c>
      <c r="B8058" t="n">
        <v>24</v>
      </c>
      <c r="C8058" t="inlineStr"/>
      <c r="D8058" t="inlineStr">
        <is>
          <t>450</t>
        </is>
      </c>
      <c r="E8058" t="inlineStr">
        <is>
          <t>1</t>
        </is>
      </c>
      <c r="F8058" t="inlineStr">
        <is>
          <t>450</t>
        </is>
      </c>
      <c r="G8058" t="inlineStr">
        <is>
          <t>2</t>
        </is>
      </c>
      <c r="H8058" t="inlineStr">
        <is>
          <t>0</t>
        </is>
      </c>
      <c r="I8058" t="inlineStr">
        <is>
          <t>1¹⁰, 2¹⁰, 5³, 10³, 125¹, 250¹</t>
        </is>
      </c>
      <c r="J8058" t="n">
        <v>28</v>
      </c>
      <c r="K8058" t="inlineStr">
        <is>
          <t>2⁶, 4¹², 20¹², 100⁶</t>
        </is>
      </c>
      <c r="L8058" t="inlineStr">
        <is>
          <t>50B², 125A⁶</t>
        </is>
      </c>
      <c r="M8058" t="inlineStr"/>
      <c r="N8058" t="inlineStr">
        <is>
          <t>25A⁰, 10C⁰, 5B⁰, 2B⁰, 50B², 1A⁰, 125A⁶</t>
        </is>
      </c>
      <c r="O8058" t="inlineStr"/>
    </row>
    <row r="8059">
      <c r="A8059">
        <f>HYPERLINK("https://mathstats.uncg.edu/sites/pauli/congruence/csg24.html#group250B24", "250B²⁴")</f>
        <v/>
      </c>
      <c r="B8059" t="n">
        <v>24</v>
      </c>
      <c r="C8059" t="inlineStr"/>
      <c r="D8059" t="inlineStr">
        <is>
          <t>450</t>
        </is>
      </c>
      <c r="E8059" t="inlineStr">
        <is>
          <t>1</t>
        </is>
      </c>
      <c r="F8059" t="inlineStr">
        <is>
          <t>450</t>
        </is>
      </c>
      <c r="G8059" t="inlineStr">
        <is>
          <t>2</t>
        </is>
      </c>
      <c r="H8059" t="inlineStr">
        <is>
          <t>0</t>
        </is>
      </c>
      <c r="I8059" t="inlineStr">
        <is>
          <t>1¹⁰, 2¹⁰, 5³, 10³, 125¹, 250¹</t>
        </is>
      </c>
      <c r="J8059" t="n">
        <v>28</v>
      </c>
      <c r="K8059" t="inlineStr">
        <is>
          <t>2⁶, 4¹², 20¹², 100⁶</t>
        </is>
      </c>
      <c r="L8059" t="inlineStr">
        <is>
          <t>50B², 125B⁶</t>
        </is>
      </c>
      <c r="M8059" t="inlineStr"/>
      <c r="N8059" t="inlineStr">
        <is>
          <t>25A⁰, 5B⁰, 10C⁰, 2B⁰, 125B⁶, 50B², 1A⁰</t>
        </is>
      </c>
      <c r="O8059" t="inlineStr"/>
    </row>
    <row r="8060">
      <c r="A8060">
        <f>HYPERLINK("https://mathstats.uncg.edu/sites/pauli/congruence/csg24.html#group252A24", "252A²⁴")</f>
        <v/>
      </c>
      <c r="B8060" t="n">
        <v>24</v>
      </c>
      <c r="C8060" t="inlineStr"/>
      <c r="D8060" t="inlineStr">
        <is>
          <t>288</t>
        </is>
      </c>
      <c r="E8060" t="inlineStr">
        <is>
          <t>1</t>
        </is>
      </c>
      <c r="F8060" t="inlineStr">
        <is>
          <t>72</t>
        </is>
      </c>
      <c r="G8060" t="inlineStr">
        <is>
          <t>0</t>
        </is>
      </c>
      <c r="H8060" t="inlineStr">
        <is>
          <t>0</t>
        </is>
      </c>
      <c r="I8060" t="inlineStr">
        <is>
          <t>36¹, 252¹</t>
        </is>
      </c>
      <c r="J8060" t="n">
        <v>2</v>
      </c>
      <c r="K8060" t="inlineStr">
        <is>
          <t>1², 2², 6³, 12¹, 36¹</t>
        </is>
      </c>
      <c r="L8060" t="inlineStr">
        <is>
          <t>84A⁸, 126B¹²</t>
        </is>
      </c>
      <c r="M8060" t="inlineStr"/>
      <c r="N8060" t="inlineStr">
        <is>
          <t>2A⁰, 126B¹², 84A⁸, 63A⁶, 42B⁴, 21A², 28A⁰, 7B⁰, 9A⁰, 14B⁰, 6A¹, 18A², 3A⁰, 1A⁰</t>
        </is>
      </c>
      <c r="O8060" t="inlineStr"/>
    </row>
    <row r="8061">
      <c r="A8061">
        <f>HYPERLINK("https://mathstats.uncg.edu/sites/pauli/congruence/csg24.html#group252B24", "252B²⁴")</f>
        <v/>
      </c>
      <c r="B8061" t="n">
        <v>24</v>
      </c>
      <c r="C8061" t="inlineStr"/>
      <c r="D8061" t="inlineStr">
        <is>
          <t>288</t>
        </is>
      </c>
      <c r="E8061" t="inlineStr">
        <is>
          <t>1</t>
        </is>
      </c>
      <c r="F8061" t="inlineStr">
        <is>
          <t>72</t>
        </is>
      </c>
      <c r="G8061" t="inlineStr">
        <is>
          <t>0</t>
        </is>
      </c>
      <c r="H8061" t="inlineStr">
        <is>
          <t>0</t>
        </is>
      </c>
      <c r="I8061" t="inlineStr">
        <is>
          <t>36¹, 252¹</t>
        </is>
      </c>
      <c r="J8061" t="n">
        <v>2</v>
      </c>
      <c r="K8061" t="inlineStr">
        <is>
          <t>1², 2², 6³, 12¹, 36¹</t>
        </is>
      </c>
      <c r="L8061" t="inlineStr">
        <is>
          <t>84B⁸, 126B¹²</t>
        </is>
      </c>
      <c r="M8061" t="inlineStr"/>
      <c r="N8061" t="inlineStr">
        <is>
          <t>2A⁰, 126B¹², 3A⁰, 21A², 42B⁴, 63A⁶, 7B⁰, 9A⁰, 14B⁰, 6A¹, 18A², 84B⁸, 1A⁰</t>
        </is>
      </c>
      <c r="O8061" t="inlineStr"/>
    </row>
    <row r="8062">
      <c r="A8062">
        <f>HYPERLINK("https://mathstats.uncg.edu/sites/pauli/congruence/csg24.html#group252C24", "252C²⁴")</f>
        <v/>
      </c>
      <c r="B8062" t="n">
        <v>24</v>
      </c>
      <c r="C8062" t="inlineStr"/>
      <c r="D8062" t="inlineStr">
        <is>
          <t>288</t>
        </is>
      </c>
      <c r="E8062" t="inlineStr">
        <is>
          <t>1</t>
        </is>
      </c>
      <c r="F8062" t="inlineStr">
        <is>
          <t>288</t>
        </is>
      </c>
      <c r="G8062" t="inlineStr">
        <is>
          <t>0</t>
        </is>
      </c>
      <c r="H8062" t="inlineStr">
        <is>
          <t>0</t>
        </is>
      </c>
      <c r="I8062" t="inlineStr">
        <is>
          <t>36¹, 252¹</t>
        </is>
      </c>
      <c r="J8062" t="n">
        <v>2</v>
      </c>
      <c r="K8062" t="inlineStr">
        <is>
          <t>2⁴, 4⁴, 12⁶, 24², 72²</t>
        </is>
      </c>
      <c r="L8062" t="inlineStr">
        <is>
          <t>36A¹, 63A⁶, 84C⁸</t>
        </is>
      </c>
      <c r="M8062" t="inlineStr"/>
      <c r="N8062" t="inlineStr">
        <is>
          <t>36A¹, 12A⁰, 63A⁶, 21A², 84C⁸, 4A⁰, 7B⁰, 9A⁰, 3A⁰, 1A⁰, 28A²</t>
        </is>
      </c>
      <c r="O8062" t="inlineStr"/>
    </row>
    <row r="8063">
      <c r="A8063">
        <f>HYPERLINK("https://mathstats.uncg.edu/sites/pauli/congruence/csg24.html#group252D24", "252D²⁴")</f>
        <v/>
      </c>
      <c r="B8063" t="n">
        <v>24</v>
      </c>
      <c r="C8063" t="inlineStr"/>
      <c r="D8063" t="inlineStr">
        <is>
          <t>288</t>
        </is>
      </c>
      <c r="E8063" t="inlineStr">
        <is>
          <t>2</t>
        </is>
      </c>
      <c r="F8063" t="inlineStr">
        <is>
          <t>72</t>
        </is>
      </c>
      <c r="G8063" t="inlineStr">
        <is>
          <t>0</t>
        </is>
      </c>
      <c r="H8063" t="inlineStr">
        <is>
          <t>0</t>
        </is>
      </c>
      <c r="I8063" t="inlineStr">
        <is>
          <t>36¹, 252¹</t>
        </is>
      </c>
      <c r="J8063" t="n">
        <v>2</v>
      </c>
      <c r="K8063" t="inlineStr">
        <is>
          <t>2⁶, 6⁴, 12³, 36²</t>
        </is>
      </c>
      <c r="L8063" t="inlineStr">
        <is>
          <t>84B⁸, 126B¹²</t>
        </is>
      </c>
      <c r="M8063" t="inlineStr"/>
      <c r="N8063" t="inlineStr">
        <is>
          <t>2A⁰, 126B¹², 3A⁰, 21A², 42B⁴, 63A⁶, 7B⁰, 9A⁰, 14B⁰, 6A¹, 18A², 84B⁸, 1A⁰</t>
        </is>
      </c>
      <c r="O8063" t="inlineStr"/>
    </row>
    <row r="8064">
      <c r="A8064">
        <f>HYPERLINK("https://mathstats.uncg.edu/sites/pauli/congruence/csg24.html#group252E24", "252E²⁴")</f>
        <v/>
      </c>
      <c r="B8064" t="n">
        <v>24</v>
      </c>
      <c r="C8064" t="inlineStr"/>
      <c r="D8064" t="inlineStr">
        <is>
          <t>336</t>
        </is>
      </c>
      <c r="E8064" t="inlineStr">
        <is>
          <t>2</t>
        </is>
      </c>
      <c r="F8064" t="inlineStr">
        <is>
          <t>28</t>
        </is>
      </c>
      <c r="G8064" t="inlineStr">
        <is>
          <t>0</t>
        </is>
      </c>
      <c r="H8064" t="inlineStr">
        <is>
          <t>12</t>
        </is>
      </c>
      <c r="I8064" t="inlineStr">
        <is>
          <t>84¹, 252¹</t>
        </is>
      </c>
      <c r="J8064" t="n">
        <v>2</v>
      </c>
      <c r="K8064" t="inlineStr">
        <is>
          <t>2², 4¹, 6⁴, 12²</t>
        </is>
      </c>
      <c r="L8064" t="inlineStr">
        <is>
          <t>84D⁸, 126F¹²</t>
        </is>
      </c>
      <c r="M8064" t="inlineStr"/>
      <c r="N8064" t="inlineStr">
        <is>
          <t>84D⁸, 3B⁰, 2A⁰, 21B², 63C⁶, 18B⁰, 42E⁴, 6C⁰, 126F¹², 14A¹, 9C⁰, 1A⁰, 7A⁰</t>
        </is>
      </c>
      <c r="O8064" t="inlineStr"/>
    </row>
    <row r="8065">
      <c r="A8065">
        <f>HYPERLINK("https://mathstats.uncg.edu/sites/pauli/congruence/csg24.html#group252F24", "252F²⁴")</f>
        <v/>
      </c>
      <c r="B8065" t="n">
        <v>24</v>
      </c>
      <c r="C8065" t="inlineStr"/>
      <c r="D8065" t="inlineStr">
        <is>
          <t>336</t>
        </is>
      </c>
      <c r="E8065" t="inlineStr">
        <is>
          <t>2</t>
        </is>
      </c>
      <c r="F8065" t="inlineStr">
        <is>
          <t>28</t>
        </is>
      </c>
      <c r="G8065" t="inlineStr">
        <is>
          <t>0</t>
        </is>
      </c>
      <c r="H8065" t="inlineStr">
        <is>
          <t>12</t>
        </is>
      </c>
      <c r="I8065" t="inlineStr">
        <is>
          <t>84¹, 252¹</t>
        </is>
      </c>
      <c r="J8065" t="n">
        <v>2</v>
      </c>
      <c r="K8065" t="inlineStr">
        <is>
          <t>2², 4¹, 6⁴, 12²</t>
        </is>
      </c>
      <c r="L8065" t="inlineStr">
        <is>
          <t>36A⁰, 84E⁸, 126F¹²</t>
        </is>
      </c>
      <c r="M8065" t="inlineStr"/>
      <c r="N8065" t="inlineStr">
        <is>
          <t>3B⁰, 2A⁰, 36A⁰, 18B⁰, 6C⁰, 14A¹, 84E⁸, 9C⁰, 1A⁰, 21B², 63C⁶, 42E⁴, 126F¹², 7A⁰, 12B⁰</t>
        </is>
      </c>
      <c r="O8065" t="inlineStr"/>
    </row>
    <row r="8066">
      <c r="A8066">
        <f>HYPERLINK("https://mathstats.uncg.edu/sites/pauli/congruence/csg24.html#group252G24", "252G²⁴")</f>
        <v/>
      </c>
      <c r="B8066" t="n">
        <v>24</v>
      </c>
      <c r="C8066" t="inlineStr"/>
      <c r="D8066" t="inlineStr">
        <is>
          <t>378</t>
        </is>
      </c>
      <c r="E8066" t="inlineStr">
        <is>
          <t>2</t>
        </is>
      </c>
      <c r="F8066" t="inlineStr">
        <is>
          <t>189</t>
        </is>
      </c>
      <c r="G8066" t="inlineStr">
        <is>
          <t>30</t>
        </is>
      </c>
      <c r="H8066" t="inlineStr">
        <is>
          <t>0</t>
        </is>
      </c>
      <c r="I8066" t="inlineStr">
        <is>
          <t>126¹, 252¹</t>
        </is>
      </c>
      <c r="J8066" t="n">
        <v>2</v>
      </c>
      <c r="K8066" t="inlineStr">
        <is>
          <t>2³, 4³, 6⁶, 12⁹, 36⁶</t>
        </is>
      </c>
      <c r="L8066" t="inlineStr">
        <is>
          <t>36B², 84B⁶, 126H¹²</t>
        </is>
      </c>
      <c r="M8066" t="inlineStr"/>
      <c r="N8066" t="inlineStr">
        <is>
          <t>12C⁰, 14B¹, 36B², 4C⁰, 21A⁰, 2B⁰, 1A⁰, 63A², 28C², 126H¹², 9A⁰, 18E¹, 3A⁰, 42C³, 84B⁶, 6D⁰, 7A⁰</t>
        </is>
      </c>
      <c r="O8066" t="inlineStr"/>
    </row>
    <row r="8067">
      <c r="A8067">
        <f>HYPERLINK("https://mathstats.uncg.edu/sites/pauli/congruence/csg24.html#group264A24", "264A²⁴")</f>
        <v/>
      </c>
      <c r="B8067" t="n">
        <v>24</v>
      </c>
      <c r="C8067" t="inlineStr"/>
      <c r="D8067" t="inlineStr">
        <is>
          <t>288</t>
        </is>
      </c>
      <c r="E8067" t="inlineStr">
        <is>
          <t>2</t>
        </is>
      </c>
      <c r="F8067" t="inlineStr">
        <is>
          <t>48</t>
        </is>
      </c>
      <c r="G8067" t="inlineStr">
        <is>
          <t>0</t>
        </is>
      </c>
      <c r="H8067" t="inlineStr">
        <is>
          <t>0</t>
        </is>
      </c>
      <c r="I8067" t="inlineStr">
        <is>
          <t>24¹, 264¹</t>
        </is>
      </c>
      <c r="J8067" t="n">
        <v>2</v>
      </c>
      <c r="K8067" t="inlineStr">
        <is>
          <t>4⁴, 40²</t>
        </is>
      </c>
      <c r="L8067" t="inlineStr">
        <is>
          <t>24A¹, 88A⁸, 132D¹²</t>
        </is>
      </c>
      <c r="M8067" t="inlineStr"/>
      <c r="N8067" t="inlineStr">
        <is>
          <t>12A⁰, 24A¹, 88A⁸, 11A¹, 4A⁰, 44B⁴, 8A⁰, 132D¹², 3A⁰, 33A³, 1A⁰</t>
        </is>
      </c>
      <c r="O8067" t="inlineStr"/>
    </row>
    <row r="8068">
      <c r="A8068">
        <f>HYPERLINK("https://mathstats.uncg.edu/sites/pauli/congruence/csg24.html#group264B24", "264B²⁴")</f>
        <v/>
      </c>
      <c r="B8068" t="n">
        <v>24</v>
      </c>
      <c r="C8068" t="inlineStr"/>
      <c r="D8068" t="inlineStr">
        <is>
          <t>288</t>
        </is>
      </c>
      <c r="E8068" t="inlineStr">
        <is>
          <t>2</t>
        </is>
      </c>
      <c r="F8068" t="inlineStr">
        <is>
          <t>144</t>
        </is>
      </c>
      <c r="G8068" t="inlineStr">
        <is>
          <t>0</t>
        </is>
      </c>
      <c r="H8068" t="inlineStr">
        <is>
          <t>0</t>
        </is>
      </c>
      <c r="I8068" t="inlineStr">
        <is>
          <t>24¹, 264¹</t>
        </is>
      </c>
      <c r="J8068" t="n">
        <v>2</v>
      </c>
      <c r="K8068" t="inlineStr">
        <is>
          <t>4⁴, 8⁴, 40², 80²</t>
        </is>
      </c>
      <c r="L8068" t="inlineStr">
        <is>
          <t>24B¹, 132D¹²</t>
        </is>
      </c>
      <c r="M8068" t="inlineStr"/>
      <c r="N8068" t="inlineStr">
        <is>
          <t>12A⁰, 4A⁰, 11A¹, 44B⁴, 24B¹, 132D¹², 3A⁰, 33A³, 1A⁰</t>
        </is>
      </c>
      <c r="O8068" t="inlineStr"/>
    </row>
    <row r="8069">
      <c r="A8069">
        <f>HYPERLINK("https://mathstats.uncg.edu/sites/pauli/congruence/csg24.html#group264C24", "264C²⁴")</f>
        <v/>
      </c>
      <c r="B8069" t="n">
        <v>24</v>
      </c>
      <c r="C8069" t="inlineStr"/>
      <c r="D8069" t="inlineStr">
        <is>
          <t>396</t>
        </is>
      </c>
      <c r="E8069" t="inlineStr">
        <is>
          <t>2</t>
        </is>
      </c>
      <c r="F8069" t="inlineStr">
        <is>
          <t>33</t>
        </is>
      </c>
      <c r="G8069" t="inlineStr">
        <is>
          <t>36</t>
        </is>
      </c>
      <c r="H8069" t="inlineStr">
        <is>
          <t>0</t>
        </is>
      </c>
      <c r="I8069" t="inlineStr">
        <is>
          <t>132¹, 264¹</t>
        </is>
      </c>
      <c r="J8069" t="n">
        <v>2</v>
      </c>
      <c r="K8069" t="inlineStr">
        <is>
          <t>2³, 10⁶</t>
        </is>
      </c>
      <c r="L8069" t="inlineStr">
        <is>
          <t>24A⁰, 88B⁸, 132F¹²</t>
        </is>
      </c>
      <c r="M8069" t="inlineStr"/>
      <c r="N8069" t="inlineStr">
        <is>
          <t>12C⁰, 44C⁴, 33A¹, 4C⁰, 8B⁰, 2B⁰, 132F¹², 22B², 1A⁰, 88B⁸, 11A⁰, 24A⁰, 66F⁶, 3A⁰, 6D⁰</t>
        </is>
      </c>
      <c r="O8069" t="inlineStr"/>
    </row>
    <row r="8070">
      <c r="A8070">
        <f>HYPERLINK("https://mathstats.uncg.edu/sites/pauli/congruence/csg24.html#group270A24", "270A²⁴")</f>
        <v/>
      </c>
      <c r="B8070" t="n">
        <v>24</v>
      </c>
      <c r="C8070" t="inlineStr"/>
      <c r="D8070" t="inlineStr">
        <is>
          <t>360</t>
        </is>
      </c>
      <c r="E8070" t="inlineStr">
        <is>
          <t>1</t>
        </is>
      </c>
      <c r="F8070" t="inlineStr">
        <is>
          <t>120</t>
        </is>
      </c>
      <c r="G8070" t="inlineStr">
        <is>
          <t>0</t>
        </is>
      </c>
      <c r="H8070" t="inlineStr">
        <is>
          <t>18</t>
        </is>
      </c>
      <c r="I8070" t="inlineStr">
        <is>
          <t>90¹, 270¹</t>
        </is>
      </c>
      <c r="J8070" t="n">
        <v>2</v>
      </c>
      <c r="K8070" t="inlineStr">
        <is>
          <t>2⁶, 6², 8⁶, 24²</t>
        </is>
      </c>
      <c r="L8070" t="inlineStr">
        <is>
          <t>54C³, 90C⁶</t>
        </is>
      </c>
      <c r="M8070" t="inlineStr"/>
      <c r="N8070" t="inlineStr">
        <is>
          <t>3B⁰, 2A⁰, 5A⁰, 45B³, 10A⁰, 90C⁶, 18B⁰, 30D², 6C⁰, 15B¹, 9C⁰, 1A⁰, 54C³</t>
        </is>
      </c>
      <c r="O8070" t="inlineStr"/>
    </row>
    <row r="8071">
      <c r="A8071">
        <f>HYPERLINK("https://mathstats.uncg.edu/sites/pauli/congruence/csg24.html#group270B24", "270B²⁴")</f>
        <v/>
      </c>
      <c r="B8071" t="n">
        <v>24</v>
      </c>
      <c r="C8071" t="inlineStr"/>
      <c r="D8071" t="inlineStr">
        <is>
          <t>360</t>
        </is>
      </c>
      <c r="E8071" t="inlineStr">
        <is>
          <t>2</t>
        </is>
      </c>
      <c r="F8071" t="inlineStr">
        <is>
          <t>60</t>
        </is>
      </c>
      <c r="G8071" t="inlineStr">
        <is>
          <t>0</t>
        </is>
      </c>
      <c r="H8071" t="inlineStr">
        <is>
          <t>18</t>
        </is>
      </c>
      <c r="I8071" t="inlineStr">
        <is>
          <t>90¹, 270¹</t>
        </is>
      </c>
      <c r="J8071" t="n">
        <v>2</v>
      </c>
      <c r="K8071" t="inlineStr">
        <is>
          <t>2², 4², 8⁶, 12¹, 24²</t>
        </is>
      </c>
      <c r="L8071" t="inlineStr">
        <is>
          <t>90C⁶, 135C¹²</t>
        </is>
      </c>
      <c r="M8071" t="inlineStr"/>
      <c r="N8071" t="inlineStr">
        <is>
          <t>135C¹², 3B⁰, 2A⁰, 5A⁰, 18B⁰, 30D², 6C⁰, 9C⁰, 1A⁰, 45B³, 10A⁰, 90C⁶, 15B¹</t>
        </is>
      </c>
      <c r="O8071" t="inlineStr"/>
    </row>
    <row r="8072">
      <c r="A8072">
        <f>HYPERLINK("https://mathstats.uncg.edu/sites/pauli/congruence/csg24.html#group275A24", "275A²⁴")</f>
        <v/>
      </c>
      <c r="B8072" t="n">
        <v>24</v>
      </c>
      <c r="C8072" t="inlineStr"/>
      <c r="D8072" t="inlineStr">
        <is>
          <t>330</t>
        </is>
      </c>
      <c r="E8072" t="inlineStr">
        <is>
          <t>2</t>
        </is>
      </c>
      <c r="F8072" t="inlineStr">
        <is>
          <t>330</t>
        </is>
      </c>
      <c r="G8072" t="inlineStr">
        <is>
          <t>6</t>
        </is>
      </c>
      <c r="H8072" t="inlineStr">
        <is>
          <t>0</t>
        </is>
      </c>
      <c r="I8072" t="inlineStr">
        <is>
          <t>11⁵, 275¹</t>
        </is>
      </c>
      <c r="J8072" t="n">
        <v>6</v>
      </c>
      <c r="K8072" t="inlineStr">
        <is>
          <t>2², 8², 10⁴, 40⁵, 200²</t>
        </is>
      </c>
      <c r="L8072" t="inlineStr">
        <is>
          <t>25A⁰, 55A⁴</t>
        </is>
      </c>
      <c r="M8072" t="inlineStr"/>
      <c r="N8072" t="inlineStr">
        <is>
          <t>25A⁰, 5B⁰, 55A⁴, 11A⁰, 1A⁰</t>
        </is>
      </c>
      <c r="O8072" t="inlineStr"/>
    </row>
    <row r="8073">
      <c r="A8073">
        <f>HYPERLINK("https://mathstats.uncg.edu/sites/pauli/congruence/csg24.html#group276A24", "276A²⁴")</f>
        <v/>
      </c>
      <c r="B8073" t="n">
        <v>24</v>
      </c>
      <c r="C8073" t="inlineStr"/>
      <c r="D8073" t="inlineStr">
        <is>
          <t>288</t>
        </is>
      </c>
      <c r="E8073" t="inlineStr">
        <is>
          <t>1</t>
        </is>
      </c>
      <c r="F8073" t="inlineStr">
        <is>
          <t>24</t>
        </is>
      </c>
      <c r="G8073" t="inlineStr">
        <is>
          <t>0</t>
        </is>
      </c>
      <c r="H8073" t="inlineStr">
        <is>
          <t>0</t>
        </is>
      </c>
      <c r="I8073" t="inlineStr">
        <is>
          <t>12¹, 276¹</t>
        </is>
      </c>
      <c r="J8073" t="n">
        <v>2</v>
      </c>
      <c r="K8073" t="inlineStr">
        <is>
          <t>1², 22¹</t>
        </is>
      </c>
      <c r="L8073" t="inlineStr">
        <is>
          <t>92A⁸, 138A¹²</t>
        </is>
      </c>
      <c r="M8073" t="inlineStr"/>
      <c r="N8073" t="inlineStr">
        <is>
          <t>2A⁰, 138A¹², 69A⁶, 92A⁸, 6A¹, 23A², 3A⁰, 1A⁰, 46A⁴</t>
        </is>
      </c>
      <c r="O8073" t="inlineStr"/>
    </row>
    <row r="8074">
      <c r="A8074">
        <f>HYPERLINK("https://mathstats.uncg.edu/sites/pauli/congruence/csg24.html#group276B24", "276B²⁴")</f>
        <v/>
      </c>
      <c r="B8074" t="n">
        <v>24</v>
      </c>
      <c r="C8074" t="inlineStr"/>
      <c r="D8074" t="inlineStr">
        <is>
          <t>288</t>
        </is>
      </c>
      <c r="E8074" t="inlineStr">
        <is>
          <t>1</t>
        </is>
      </c>
      <c r="F8074" t="inlineStr">
        <is>
          <t>48</t>
        </is>
      </c>
      <c r="G8074" t="inlineStr">
        <is>
          <t>0</t>
        </is>
      </c>
      <c r="H8074" t="inlineStr">
        <is>
          <t>0</t>
        </is>
      </c>
      <c r="I8074" t="inlineStr">
        <is>
          <t>12¹, 276¹</t>
        </is>
      </c>
      <c r="J8074" t="n">
        <v>2</v>
      </c>
      <c r="K8074" t="inlineStr">
        <is>
          <t>2², 44¹</t>
        </is>
      </c>
      <c r="L8074" t="inlineStr">
        <is>
          <t>92A⁸, 138B¹²</t>
        </is>
      </c>
      <c r="M8074" t="inlineStr"/>
      <c r="N8074" t="inlineStr">
        <is>
          <t>2A⁰, 6A⁰, 92A⁸, 23A², 138B¹², 1A⁰, 46A⁴</t>
        </is>
      </c>
      <c r="O8074" t="inlineStr"/>
    </row>
    <row r="8075">
      <c r="A8075">
        <f>HYPERLINK("https://mathstats.uncg.edu/sites/pauli/congruence/csg24.html#group276C24", "276C²⁴")</f>
        <v/>
      </c>
      <c r="B8075" t="n">
        <v>24</v>
      </c>
      <c r="C8075" t="inlineStr"/>
      <c r="D8075" t="inlineStr">
        <is>
          <t>288</t>
        </is>
      </c>
      <c r="E8075" t="inlineStr">
        <is>
          <t>1</t>
        </is>
      </c>
      <c r="F8075" t="inlineStr">
        <is>
          <t>72</t>
        </is>
      </c>
      <c r="G8075" t="inlineStr">
        <is>
          <t>0</t>
        </is>
      </c>
      <c r="H8075" t="inlineStr">
        <is>
          <t>0</t>
        </is>
      </c>
      <c r="I8075" t="inlineStr">
        <is>
          <t>12¹, 276¹</t>
        </is>
      </c>
      <c r="J8075" t="n">
        <v>2</v>
      </c>
      <c r="K8075" t="inlineStr">
        <is>
          <t>1², 2², 22¹, 44¹</t>
        </is>
      </c>
      <c r="L8075" t="inlineStr">
        <is>
          <t>138A¹²</t>
        </is>
      </c>
      <c r="M8075" t="inlineStr"/>
      <c r="N8075" t="inlineStr">
        <is>
          <t>2A⁰, 138A¹², 69A⁶, 6A¹, 23A², 3A⁰, 1A⁰, 46A⁴</t>
        </is>
      </c>
      <c r="O8075" t="inlineStr"/>
    </row>
    <row r="8076">
      <c r="A8076">
        <f>HYPERLINK("https://mathstats.uncg.edu/sites/pauli/congruence/csg24.html#group276D24", "276D²⁴")</f>
        <v/>
      </c>
      <c r="B8076" t="n">
        <v>24</v>
      </c>
      <c r="C8076" t="inlineStr"/>
      <c r="D8076" t="inlineStr">
        <is>
          <t>288</t>
        </is>
      </c>
      <c r="E8076" t="inlineStr">
        <is>
          <t>1</t>
        </is>
      </c>
      <c r="F8076" t="inlineStr">
        <is>
          <t>96</t>
        </is>
      </c>
      <c r="G8076" t="inlineStr">
        <is>
          <t>0</t>
        </is>
      </c>
      <c r="H8076" t="inlineStr">
        <is>
          <t>0</t>
        </is>
      </c>
      <c r="I8076" t="inlineStr">
        <is>
          <t>12¹, 276¹</t>
        </is>
      </c>
      <c r="J8076" t="n">
        <v>2</v>
      </c>
      <c r="K8076" t="inlineStr">
        <is>
          <t>2⁴, 44²</t>
        </is>
      </c>
      <c r="L8076" t="inlineStr">
        <is>
          <t>12A⁰, 69A⁶, 92B⁸</t>
        </is>
      </c>
      <c r="M8076" t="inlineStr"/>
      <c r="N8076" t="inlineStr">
        <is>
          <t>12A⁰, 69A⁶, 4A⁰, 92B⁸, 23A², 3A⁰, 1A⁰</t>
        </is>
      </c>
      <c r="O8076" t="inlineStr"/>
    </row>
    <row r="8077">
      <c r="A8077">
        <f>HYPERLINK("https://mathstats.uncg.edu/sites/pauli/congruence/csg24.html#group279A24", "279A²⁴")</f>
        <v/>
      </c>
      <c r="B8077" t="n">
        <v>24</v>
      </c>
      <c r="C8077" t="inlineStr"/>
      <c r="D8077" t="inlineStr">
        <is>
          <t>288</t>
        </is>
      </c>
      <c r="E8077" t="inlineStr">
        <is>
          <t>1</t>
        </is>
      </c>
      <c r="F8077" t="inlineStr">
        <is>
          <t>288</t>
        </is>
      </c>
      <c r="G8077" t="inlineStr">
        <is>
          <t>0</t>
        </is>
      </c>
      <c r="H8077" t="inlineStr">
        <is>
          <t>0</t>
        </is>
      </c>
      <c r="I8077" t="inlineStr">
        <is>
          <t>9¹, 279¹</t>
        </is>
      </c>
      <c r="J8077" t="n">
        <v>2</v>
      </c>
      <c r="K8077" t="inlineStr">
        <is>
          <t>1², 2², 6², 30¹, 60¹, 180¹</t>
        </is>
      </c>
      <c r="L8077" t="inlineStr">
        <is>
          <t>9A⁰, 93A⁸</t>
        </is>
      </c>
      <c r="M8077" t="inlineStr"/>
      <c r="N8077" t="inlineStr">
        <is>
          <t>31A², 93A⁸, 3A⁰, 1A⁰, 9A⁰</t>
        </is>
      </c>
      <c r="O8077" t="inlineStr"/>
    </row>
    <row r="8078">
      <c r="A8078">
        <f>HYPERLINK("https://mathstats.uncg.edu/sites/pauli/congruence/csg24.html#group280A24", "280A²⁴")</f>
        <v/>
      </c>
      <c r="B8078" t="n">
        <v>24</v>
      </c>
      <c r="C8078" t="inlineStr"/>
      <c r="D8078" t="inlineStr">
        <is>
          <t>320</t>
        </is>
      </c>
      <c r="E8078" t="inlineStr">
        <is>
          <t>2</t>
        </is>
      </c>
      <c r="F8078" t="inlineStr">
        <is>
          <t>160</t>
        </is>
      </c>
      <c r="G8078" t="inlineStr">
        <is>
          <t>0</t>
        </is>
      </c>
      <c r="H8078" t="inlineStr">
        <is>
          <t>8</t>
        </is>
      </c>
      <c r="I8078" t="inlineStr">
        <is>
          <t>40¹, 280¹</t>
        </is>
      </c>
      <c r="J8078" t="n">
        <v>2</v>
      </c>
      <c r="K8078" t="inlineStr">
        <is>
          <t>4⁴, 16⁴, 24², 96²</t>
        </is>
      </c>
      <c r="L8078" t="inlineStr">
        <is>
          <t>40A², 56A⁴, 140A¹²</t>
        </is>
      </c>
      <c r="M8078" t="inlineStr"/>
      <c r="N8078" t="inlineStr">
        <is>
          <t>56A⁴, 5A⁰, 7B⁰, 4A⁰, 8A⁰, 1A⁰, 20A¹, 35B², 140A¹², 40A², 28A²</t>
        </is>
      </c>
      <c r="O8078" t="inlineStr"/>
    </row>
    <row r="8079">
      <c r="A8079">
        <f>HYPERLINK("https://mathstats.uncg.edu/sites/pauli/congruence/csg24.html#group282A24", "282A²⁴")</f>
        <v/>
      </c>
      <c r="B8079" t="n">
        <v>24</v>
      </c>
      <c r="C8079" t="inlineStr"/>
      <c r="D8079" t="inlineStr">
        <is>
          <t>288</t>
        </is>
      </c>
      <c r="E8079" t="inlineStr">
        <is>
          <t>1</t>
        </is>
      </c>
      <c r="F8079" t="inlineStr">
        <is>
          <t>48</t>
        </is>
      </c>
      <c r="G8079" t="inlineStr">
        <is>
          <t>0</t>
        </is>
      </c>
      <c r="H8079" t="inlineStr">
        <is>
          <t>0</t>
        </is>
      </c>
      <c r="I8079" t="inlineStr">
        <is>
          <t>6¹, 282¹</t>
        </is>
      </c>
      <c r="J8079" t="n">
        <v>2</v>
      </c>
      <c r="K8079" t="inlineStr">
        <is>
          <t>1², 46¹</t>
        </is>
      </c>
      <c r="L8079" t="inlineStr">
        <is>
          <t>6A¹, 94A⁸, 141A¹²</t>
        </is>
      </c>
      <c r="M8079" t="inlineStr"/>
      <c r="N8079" t="inlineStr">
        <is>
          <t>2A⁰, 47A⁴, 6A¹, 94A⁸, 141A¹², 3A⁰, 1A⁰</t>
        </is>
      </c>
      <c r="O8079" t="inlineStr"/>
    </row>
    <row r="8080">
      <c r="A8080">
        <f>HYPERLINK("https://mathstats.uncg.edu/sites/pauli/congruence/csg24.html#group282B24", "282B²⁴")</f>
        <v/>
      </c>
      <c r="B8080" t="n">
        <v>24</v>
      </c>
      <c r="C8080" t="inlineStr"/>
      <c r="D8080" t="inlineStr">
        <is>
          <t>288</t>
        </is>
      </c>
      <c r="E8080" t="inlineStr">
        <is>
          <t>1</t>
        </is>
      </c>
      <c r="F8080" t="inlineStr">
        <is>
          <t>96</t>
        </is>
      </c>
      <c r="G8080" t="inlineStr">
        <is>
          <t>0</t>
        </is>
      </c>
      <c r="H8080" t="inlineStr">
        <is>
          <t>0</t>
        </is>
      </c>
      <c r="I8080" t="inlineStr">
        <is>
          <t>6¹, 282¹</t>
        </is>
      </c>
      <c r="J8080" t="n">
        <v>2</v>
      </c>
      <c r="K8080" t="inlineStr">
        <is>
          <t>2², 92¹</t>
        </is>
      </c>
      <c r="L8080" t="inlineStr">
        <is>
          <t>6A⁰, 94A⁸</t>
        </is>
      </c>
      <c r="M8080" t="inlineStr"/>
      <c r="N8080" t="inlineStr">
        <is>
          <t>47A⁴, 2A⁰, 94A⁸, 6A⁰, 1A⁰</t>
        </is>
      </c>
      <c r="O8080" t="inlineStr"/>
    </row>
    <row r="8081">
      <c r="A8081">
        <f>HYPERLINK("https://mathstats.uncg.edu/sites/pauli/congruence/csg24.html#group282C24", "282C²⁴")</f>
        <v/>
      </c>
      <c r="B8081" t="n">
        <v>24</v>
      </c>
      <c r="C8081" t="inlineStr"/>
      <c r="D8081" t="inlineStr">
        <is>
          <t>288</t>
        </is>
      </c>
      <c r="E8081" t="inlineStr">
        <is>
          <t>1</t>
        </is>
      </c>
      <c r="F8081" t="inlineStr">
        <is>
          <t>144</t>
        </is>
      </c>
      <c r="G8081" t="inlineStr">
        <is>
          <t>0</t>
        </is>
      </c>
      <c r="H8081" t="inlineStr">
        <is>
          <t>0</t>
        </is>
      </c>
      <c r="I8081" t="inlineStr">
        <is>
          <t>6¹, 282¹</t>
        </is>
      </c>
      <c r="J8081" t="n">
        <v>2</v>
      </c>
      <c r="K8081" t="inlineStr">
        <is>
          <t>1², 2², 46¹, 92¹</t>
        </is>
      </c>
      <c r="L8081" t="inlineStr">
        <is>
          <t>6B⁰, 141A¹²</t>
        </is>
      </c>
      <c r="M8081" t="inlineStr"/>
      <c r="N8081" t="inlineStr">
        <is>
          <t>47A⁴, 6B⁰, 141A¹², 3A⁰, 1A⁰</t>
        </is>
      </c>
      <c r="O8081" t="inlineStr"/>
    </row>
    <row r="8082">
      <c r="A8082">
        <f>HYPERLINK("https://mathstats.uncg.edu/sites/pauli/congruence/csg24.html#group284A24", "284A²⁴")</f>
        <v/>
      </c>
      <c r="B8082" t="n">
        <v>24</v>
      </c>
      <c r="C8082" t="inlineStr"/>
      <c r="D8082" t="inlineStr">
        <is>
          <t>288</t>
        </is>
      </c>
      <c r="E8082" t="inlineStr">
        <is>
          <t>1</t>
        </is>
      </c>
      <c r="F8082" t="inlineStr">
        <is>
          <t>72</t>
        </is>
      </c>
      <c r="G8082" t="inlineStr">
        <is>
          <t>0</t>
        </is>
      </c>
      <c r="H8082" t="inlineStr">
        <is>
          <t>0</t>
        </is>
      </c>
      <c r="I8082" t="inlineStr">
        <is>
          <t>4¹, 284¹</t>
        </is>
      </c>
      <c r="J8082" t="n">
        <v>2</v>
      </c>
      <c r="K8082" t="inlineStr">
        <is>
          <t>1², 70¹</t>
        </is>
      </c>
      <c r="L8082" t="inlineStr">
        <is>
          <t>142A¹²</t>
        </is>
      </c>
      <c r="M8082" t="inlineStr"/>
      <c r="N8082" t="inlineStr">
        <is>
          <t>142A¹², 2A⁰, 1A⁰, 71A⁶</t>
        </is>
      </c>
      <c r="O8082" t="inlineStr"/>
    </row>
    <row r="8083">
      <c r="A8083">
        <f>HYPERLINK("https://mathstats.uncg.edu/sites/pauli/congruence/csg24.html#group284B24", "284B²⁴")</f>
        <v/>
      </c>
      <c r="B8083" t="n">
        <v>24</v>
      </c>
      <c r="C8083" t="inlineStr"/>
      <c r="D8083" t="inlineStr">
        <is>
          <t>288</t>
        </is>
      </c>
      <c r="E8083" t="inlineStr">
        <is>
          <t>1</t>
        </is>
      </c>
      <c r="F8083" t="inlineStr">
        <is>
          <t>288</t>
        </is>
      </c>
      <c r="G8083" t="inlineStr">
        <is>
          <t>0</t>
        </is>
      </c>
      <c r="H8083" t="inlineStr">
        <is>
          <t>0</t>
        </is>
      </c>
      <c r="I8083" t="inlineStr">
        <is>
          <t>4¹, 284¹</t>
        </is>
      </c>
      <c r="J8083" t="n">
        <v>2</v>
      </c>
      <c r="K8083" t="inlineStr">
        <is>
          <t>2⁴, 140²</t>
        </is>
      </c>
      <c r="L8083" t="inlineStr">
        <is>
          <t>4A⁰, 71A⁶</t>
        </is>
      </c>
      <c r="M8083" t="inlineStr"/>
      <c r="N8083" t="inlineStr">
        <is>
          <t>1A⁰, 4A⁰, 71A⁶</t>
        </is>
      </c>
      <c r="O8083" t="inlineStr"/>
    </row>
    <row r="8084">
      <c r="A8084">
        <f>HYPERLINK("https://mathstats.uncg.edu/sites/pauli/congruence/csg24.html#group290A24", "290A²⁴")</f>
        <v/>
      </c>
      <c r="B8084" t="n">
        <v>24</v>
      </c>
      <c r="C8084" t="inlineStr"/>
      <c r="D8084" t="inlineStr">
        <is>
          <t>300</t>
        </is>
      </c>
      <c r="E8084" t="inlineStr">
        <is>
          <t>1</t>
        </is>
      </c>
      <c r="F8084" t="inlineStr">
        <is>
          <t>150</t>
        </is>
      </c>
      <c r="G8084" t="inlineStr">
        <is>
          <t>4</t>
        </is>
      </c>
      <c r="H8084" t="inlineStr">
        <is>
          <t>0</t>
        </is>
      </c>
      <c r="I8084" t="inlineStr">
        <is>
          <t>10¹, 290¹</t>
        </is>
      </c>
      <c r="J8084" t="n">
        <v>2</v>
      </c>
      <c r="K8084" t="inlineStr">
        <is>
          <t>1², 4², 28¹, 112¹</t>
        </is>
      </c>
      <c r="L8084" t="inlineStr">
        <is>
          <t>58A⁴, 145A¹²</t>
        </is>
      </c>
      <c r="M8084" t="inlineStr"/>
      <c r="N8084" t="inlineStr">
        <is>
          <t>5A⁰, 58A⁴, 1A⁰, 29A², 145A¹²</t>
        </is>
      </c>
      <c r="O8084" t="inlineStr"/>
    </row>
    <row r="8085">
      <c r="A8085">
        <f>HYPERLINK("https://mathstats.uncg.edu/sites/pauli/congruence/csg24.html#group293A24", "293A²⁴")</f>
        <v/>
      </c>
      <c r="B8085" t="n">
        <v>24</v>
      </c>
      <c r="C8085" t="inlineStr">
        <is>
          <t>Γ₀(293)</t>
        </is>
      </c>
      <c r="D8085" t="inlineStr">
        <is>
          <t>294</t>
        </is>
      </c>
      <c r="E8085" t="inlineStr">
        <is>
          <t>1</t>
        </is>
      </c>
      <c r="F8085" t="inlineStr">
        <is>
          <t>294</t>
        </is>
      </c>
      <c r="G8085" t="inlineStr">
        <is>
          <t>2</t>
        </is>
      </c>
      <c r="H8085" t="inlineStr">
        <is>
          <t>0</t>
        </is>
      </c>
      <c r="I8085" t="inlineStr">
        <is>
          <t>1¹, 293¹</t>
        </is>
      </c>
      <c r="J8085" t="n">
        <v>2</v>
      </c>
      <c r="K8085" t="inlineStr">
        <is>
          <t>1², 292¹</t>
        </is>
      </c>
      <c r="L8085" t="inlineStr">
        <is>
          <t>1A⁰</t>
        </is>
      </c>
      <c r="M8085" t="inlineStr"/>
      <c r="N8085" t="inlineStr">
        <is>
          <t>1A⁰</t>
        </is>
      </c>
      <c r="O8085" t="inlineStr"/>
    </row>
    <row r="8086">
      <c r="A8086">
        <f>HYPERLINK("https://mathstats.uncg.edu/sites/pauli/congruence/csg24.html#group294A24", "294A²⁴")</f>
        <v/>
      </c>
      <c r="B8086" t="n">
        <v>24</v>
      </c>
      <c r="C8086" t="inlineStr"/>
      <c r="D8086" t="inlineStr">
        <is>
          <t>336</t>
        </is>
      </c>
      <c r="E8086" t="inlineStr">
        <is>
          <t>2</t>
        </is>
      </c>
      <c r="F8086" t="inlineStr">
        <is>
          <t>112</t>
        </is>
      </c>
      <c r="G8086" t="inlineStr">
        <is>
          <t>0</t>
        </is>
      </c>
      <c r="H8086" t="inlineStr">
        <is>
          <t>3</t>
        </is>
      </c>
      <c r="I8086" t="inlineStr">
        <is>
          <t>6⁷, 294¹</t>
        </is>
      </c>
      <c r="J8086" t="n">
        <v>8</v>
      </c>
      <c r="K8086" t="inlineStr">
        <is>
          <t>2⁴, 12⁴, 84²</t>
        </is>
      </c>
      <c r="L8086" t="inlineStr">
        <is>
          <t>42B³, 98A⁵</t>
        </is>
      </c>
      <c r="M8086" t="inlineStr"/>
      <c r="N8086" t="inlineStr">
        <is>
          <t>49A¹, 2A⁰, 1A⁰, 98A⁵, 7B⁰, 42B³, 14B⁰</t>
        </is>
      </c>
      <c r="O8086" t="inlineStr"/>
    </row>
    <row r="8087">
      <c r="A8087">
        <f>HYPERLINK("https://mathstats.uncg.edu/sites/pauli/congruence/csg24.html#group298A24", "298A²⁴")</f>
        <v/>
      </c>
      <c r="B8087" t="n">
        <v>24</v>
      </c>
      <c r="C8087" t="inlineStr"/>
      <c r="D8087" t="inlineStr">
        <is>
          <t>300</t>
        </is>
      </c>
      <c r="E8087" t="inlineStr">
        <is>
          <t>1</t>
        </is>
      </c>
      <c r="F8087" t="inlineStr">
        <is>
          <t>150</t>
        </is>
      </c>
      <c r="G8087" t="inlineStr">
        <is>
          <t>4</t>
        </is>
      </c>
      <c r="H8087" t="inlineStr">
        <is>
          <t>0</t>
        </is>
      </c>
      <c r="I8087" t="inlineStr">
        <is>
          <t>2¹, 298¹</t>
        </is>
      </c>
      <c r="J8087" t="n">
        <v>2</v>
      </c>
      <c r="K8087" t="inlineStr">
        <is>
          <t>1², 148¹</t>
        </is>
      </c>
      <c r="L8087" t="inlineStr">
        <is>
          <t>149A¹²</t>
        </is>
      </c>
      <c r="M8087" t="inlineStr"/>
      <c r="N8087" t="inlineStr">
        <is>
          <t>1A⁰, 149A¹²</t>
        </is>
      </c>
      <c r="O8087" t="inlineStr"/>
    </row>
    <row r="8088">
      <c r="A8088">
        <f>HYPERLINK("https://mathstats.uncg.edu/sites/pauli/congruence/csg24.html#group302A24", "302A²⁴")</f>
        <v/>
      </c>
      <c r="B8088" t="n">
        <v>24</v>
      </c>
      <c r="C8088" t="inlineStr"/>
      <c r="D8088" t="inlineStr">
        <is>
          <t>304</t>
        </is>
      </c>
      <c r="E8088" t="inlineStr">
        <is>
          <t>1</t>
        </is>
      </c>
      <c r="F8088" t="inlineStr">
        <is>
          <t>152</t>
        </is>
      </c>
      <c r="G8088" t="inlineStr">
        <is>
          <t>0</t>
        </is>
      </c>
      <c r="H8088" t="inlineStr">
        <is>
          <t>4</t>
        </is>
      </c>
      <c r="I8088" t="inlineStr">
        <is>
          <t>2¹, 302¹</t>
        </is>
      </c>
      <c r="J8088" t="n">
        <v>2</v>
      </c>
      <c r="K8088" t="inlineStr">
        <is>
          <t>1², 150¹</t>
        </is>
      </c>
      <c r="L8088" t="inlineStr">
        <is>
          <t>2A⁰, 151A¹²</t>
        </is>
      </c>
      <c r="M8088" t="inlineStr"/>
      <c r="N8088" t="inlineStr">
        <is>
          <t>2A⁰, 1A⁰, 151A¹²</t>
        </is>
      </c>
      <c r="O8088" t="inlineStr"/>
    </row>
    <row r="8089">
      <c r="A8089">
        <f>HYPERLINK("https://mathstats.uncg.edu/sites/pauli/congruence/csg24.html#group303A24", "303A²⁴")</f>
        <v/>
      </c>
      <c r="B8089" t="n">
        <v>24</v>
      </c>
      <c r="C8089" t="inlineStr"/>
      <c r="D8089" t="inlineStr">
        <is>
          <t>306</t>
        </is>
      </c>
      <c r="E8089" t="inlineStr">
        <is>
          <t>1</t>
        </is>
      </c>
      <c r="F8089" t="inlineStr">
        <is>
          <t>102</t>
        </is>
      </c>
      <c r="G8089" t="inlineStr">
        <is>
          <t>6</t>
        </is>
      </c>
      <c r="H8089" t="inlineStr">
        <is>
          <t>0</t>
        </is>
      </c>
      <c r="I8089" t="inlineStr">
        <is>
          <t>3¹, 303¹</t>
        </is>
      </c>
      <c r="J8089" t="n">
        <v>2</v>
      </c>
      <c r="K8089" t="inlineStr">
        <is>
          <t>1², 100¹</t>
        </is>
      </c>
      <c r="L8089" t="inlineStr">
        <is>
          <t>3A⁰, 101A⁸</t>
        </is>
      </c>
      <c r="M8089" t="inlineStr"/>
      <c r="N8089" t="inlineStr">
        <is>
          <t>3A⁰, 101A⁸, 1A⁰</t>
        </is>
      </c>
      <c r="O8089" t="inlineStr"/>
    </row>
    <row r="8090">
      <c r="A8090">
        <f>HYPERLINK("https://mathstats.uncg.edu/sites/pauli/congruence/csg24.html#group304A24", "304A²⁴")</f>
        <v/>
      </c>
      <c r="B8090" t="n">
        <v>24</v>
      </c>
      <c r="C8090" t="inlineStr"/>
      <c r="D8090" t="inlineStr">
        <is>
          <t>320</t>
        </is>
      </c>
      <c r="E8090" t="inlineStr">
        <is>
          <t>2</t>
        </is>
      </c>
      <c r="F8090" t="inlineStr">
        <is>
          <t>160</t>
        </is>
      </c>
      <c r="G8090" t="inlineStr">
        <is>
          <t>0</t>
        </is>
      </c>
      <c r="H8090" t="inlineStr">
        <is>
          <t>8</t>
        </is>
      </c>
      <c r="I8090" t="inlineStr">
        <is>
          <t>16¹, 304¹</t>
        </is>
      </c>
      <c r="J8090" t="n">
        <v>2</v>
      </c>
      <c r="K8090" t="inlineStr">
        <is>
          <t>8⁴, 144²</t>
        </is>
      </c>
      <c r="L8090" t="inlineStr">
        <is>
          <t>16A⁰, 152A¹²</t>
        </is>
      </c>
      <c r="M8090" t="inlineStr"/>
      <c r="N8090" t="inlineStr">
        <is>
          <t>8A⁰, 19A¹, 76A⁶, 1A⁰, 16A⁰, 152A¹², 4A⁰</t>
        </is>
      </c>
      <c r="O8090" t="inlineStr"/>
    </row>
    <row r="8091">
      <c r="A8091">
        <f>HYPERLINK("https://mathstats.uncg.edu/sites/pauli/congruence/csg24.html#group305A24", "305A²⁴")</f>
        <v/>
      </c>
      <c r="B8091" t="n">
        <v>24</v>
      </c>
      <c r="C8091" t="inlineStr"/>
      <c r="D8091" t="inlineStr">
        <is>
          <t>310</t>
        </is>
      </c>
      <c r="E8091" t="inlineStr">
        <is>
          <t>1</t>
        </is>
      </c>
      <c r="F8091" t="inlineStr">
        <is>
          <t>310</t>
        </is>
      </c>
      <c r="G8091" t="inlineStr">
        <is>
          <t>2</t>
        </is>
      </c>
      <c r="H8091" t="inlineStr">
        <is>
          <t>4</t>
        </is>
      </c>
      <c r="I8091" t="inlineStr">
        <is>
          <t>5¹, 305¹</t>
        </is>
      </c>
      <c r="J8091" t="n">
        <v>2</v>
      </c>
      <c r="K8091" t="inlineStr">
        <is>
          <t>1², 4², 60¹, 240¹</t>
        </is>
      </c>
      <c r="L8091" t="inlineStr">
        <is>
          <t>5A⁰, 61A⁴</t>
        </is>
      </c>
      <c r="M8091" t="inlineStr"/>
      <c r="N8091" t="inlineStr">
        <is>
          <t>1A⁰, 5A⁰, 61A⁴</t>
        </is>
      </c>
      <c r="O8091" t="inlineStr"/>
    </row>
    <row r="8092">
      <c r="A8092">
        <f>HYPERLINK("https://mathstats.uncg.edu/sites/pauli/congruence/csg24.html#group308A24", "308A²⁴")</f>
        <v/>
      </c>
      <c r="B8092" t="n">
        <v>24</v>
      </c>
      <c r="C8092" t="inlineStr"/>
      <c r="D8092" t="inlineStr">
        <is>
          <t>352</t>
        </is>
      </c>
      <c r="E8092" t="inlineStr">
        <is>
          <t>2</t>
        </is>
      </c>
      <c r="F8092" t="inlineStr">
        <is>
          <t>88</t>
        </is>
      </c>
      <c r="G8092" t="inlineStr">
        <is>
          <t>0</t>
        </is>
      </c>
      <c r="H8092" t="inlineStr">
        <is>
          <t>16</t>
        </is>
      </c>
      <c r="I8092" t="inlineStr">
        <is>
          <t>44¹, 308¹</t>
        </is>
      </c>
      <c r="J8092" t="n">
        <v>2</v>
      </c>
      <c r="K8092" t="inlineStr">
        <is>
          <t>2², 10⁴, 12¹, 60²</t>
        </is>
      </c>
      <c r="L8092" t="inlineStr">
        <is>
          <t>154C¹²</t>
        </is>
      </c>
      <c r="M8092" t="inlineStr"/>
      <c r="N8092" t="inlineStr">
        <is>
          <t>11A⁰, 2A⁰, 22A¹, 1A⁰, 7B⁰, 154C¹², 77A⁶</t>
        </is>
      </c>
      <c r="O8092" t="inlineStr"/>
    </row>
    <row r="8093">
      <c r="A8093">
        <f>HYPERLINK("https://mathstats.uncg.edu/sites/pauli/congruence/csg24.html#group310A24", "310A²⁴")</f>
        <v/>
      </c>
      <c r="B8093" t="n">
        <v>24</v>
      </c>
      <c r="C8093" t="inlineStr"/>
      <c r="D8093" t="inlineStr">
        <is>
          <t>320</t>
        </is>
      </c>
      <c r="E8093" t="inlineStr">
        <is>
          <t>1</t>
        </is>
      </c>
      <c r="F8093" t="inlineStr">
        <is>
          <t>160</t>
        </is>
      </c>
      <c r="G8093" t="inlineStr">
        <is>
          <t>0</t>
        </is>
      </c>
      <c r="H8093" t="inlineStr">
        <is>
          <t>8</t>
        </is>
      </c>
      <c r="I8093" t="inlineStr">
        <is>
          <t>10¹, 310¹</t>
        </is>
      </c>
      <c r="J8093" t="n">
        <v>2</v>
      </c>
      <c r="K8093" t="inlineStr">
        <is>
          <t>1², 4², 30¹, 120¹</t>
        </is>
      </c>
      <c r="L8093" t="inlineStr">
        <is>
          <t>10A⁰, 62A⁴, 155A¹²</t>
        </is>
      </c>
      <c r="M8093" t="inlineStr"/>
      <c r="N8093" t="inlineStr">
        <is>
          <t>2A⁰, 155A¹², 5A⁰, 10A⁰, 31A², 1A⁰, 62A⁴</t>
        </is>
      </c>
      <c r="O8093" t="inlineStr"/>
    </row>
    <row r="8094">
      <c r="A8094">
        <f>HYPERLINK("https://mathstats.uncg.edu/sites/pauli/congruence/csg24.html#group314A24", "314A²⁴")</f>
        <v/>
      </c>
      <c r="B8094" t="n">
        <v>24</v>
      </c>
      <c r="C8094" t="inlineStr"/>
      <c r="D8094" t="inlineStr">
        <is>
          <t>316</t>
        </is>
      </c>
      <c r="E8094" t="inlineStr">
        <is>
          <t>1</t>
        </is>
      </c>
      <c r="F8094" t="inlineStr">
        <is>
          <t>158</t>
        </is>
      </c>
      <c r="G8094" t="inlineStr">
        <is>
          <t>4</t>
        </is>
      </c>
      <c r="H8094" t="inlineStr">
        <is>
          <t>4</t>
        </is>
      </c>
      <c r="I8094" t="inlineStr">
        <is>
          <t>2¹, 314¹</t>
        </is>
      </c>
      <c r="J8094" t="n">
        <v>2</v>
      </c>
      <c r="K8094" t="inlineStr">
        <is>
          <t>1², 156¹</t>
        </is>
      </c>
      <c r="L8094" t="inlineStr">
        <is>
          <t>157A¹²</t>
        </is>
      </c>
      <c r="M8094" t="inlineStr"/>
      <c r="N8094" t="inlineStr">
        <is>
          <t>157A¹², 1A⁰</t>
        </is>
      </c>
      <c r="O8094" t="inlineStr"/>
    </row>
    <row r="8095">
      <c r="A8095">
        <f>HYPERLINK("https://mathstats.uncg.edu/sites/pauli/congruence/csg24.html#group315A24", "315A²⁴")</f>
        <v/>
      </c>
      <c r="B8095" t="n">
        <v>24</v>
      </c>
      <c r="C8095" t="inlineStr"/>
      <c r="D8095" t="inlineStr">
        <is>
          <t>378</t>
        </is>
      </c>
      <c r="E8095" t="inlineStr">
        <is>
          <t>2</t>
        </is>
      </c>
      <c r="F8095" t="inlineStr">
        <is>
          <t>378</t>
        </is>
      </c>
      <c r="G8095" t="inlineStr">
        <is>
          <t>30</t>
        </is>
      </c>
      <c r="H8095" t="inlineStr">
        <is>
          <t>0</t>
        </is>
      </c>
      <c r="I8095" t="inlineStr">
        <is>
          <t>63¹, 315¹</t>
        </is>
      </c>
      <c r="J8095" t="n">
        <v>2</v>
      </c>
      <c r="K8095" t="inlineStr">
        <is>
          <t>2², 4², 6⁴, 8¹, 12⁶, 16¹, 24², 36⁴, 48³, 144²</t>
        </is>
      </c>
      <c r="L8095" t="inlineStr">
        <is>
          <t>45A², 63A², 105C⁶</t>
        </is>
      </c>
      <c r="M8095" t="inlineStr"/>
      <c r="N8095" t="inlineStr">
        <is>
          <t>35C², 45A², 15B⁰, 105C⁶, 9A⁰, 5B⁰, 21A⁰, 7A⁰, 3A⁰, 1A⁰, 63A²</t>
        </is>
      </c>
      <c r="O8095" t="inlineStr"/>
    </row>
    <row r="8096">
      <c r="A8096">
        <f>HYPERLINK("https://mathstats.uncg.edu/sites/pauli/congruence/csg24.html#group316A24", "316A²⁴")</f>
        <v/>
      </c>
      <c r="B8096" t="n">
        <v>24</v>
      </c>
      <c r="C8096" t="inlineStr"/>
      <c r="D8096" t="inlineStr">
        <is>
          <t>320</t>
        </is>
      </c>
      <c r="E8096" t="inlineStr">
        <is>
          <t>1</t>
        </is>
      </c>
      <c r="F8096" t="inlineStr">
        <is>
          <t>80</t>
        </is>
      </c>
      <c r="G8096" t="inlineStr">
        <is>
          <t>0</t>
        </is>
      </c>
      <c r="H8096" t="inlineStr">
        <is>
          <t>8</t>
        </is>
      </c>
      <c r="I8096" t="inlineStr">
        <is>
          <t>4¹, 316¹</t>
        </is>
      </c>
      <c r="J8096" t="n">
        <v>2</v>
      </c>
      <c r="K8096" t="inlineStr">
        <is>
          <t>1², 78¹</t>
        </is>
      </c>
      <c r="L8096" t="inlineStr">
        <is>
          <t>158A¹²</t>
        </is>
      </c>
      <c r="M8096" t="inlineStr"/>
      <c r="N8096" t="inlineStr">
        <is>
          <t>2A⁰, 1A⁰, 158A¹², 79A⁶</t>
        </is>
      </c>
      <c r="O8096" t="inlineStr"/>
    </row>
    <row r="8097">
      <c r="A8097">
        <f>HYPERLINK("https://mathstats.uncg.edu/sites/pauli/congruence/csg24.html#group318A24", "318A²⁴")</f>
        <v/>
      </c>
      <c r="B8097" t="n">
        <v>24</v>
      </c>
      <c r="C8097" t="inlineStr"/>
      <c r="D8097" t="inlineStr">
        <is>
          <t>324</t>
        </is>
      </c>
      <c r="E8097" t="inlineStr">
        <is>
          <t>1</t>
        </is>
      </c>
      <c r="F8097" t="inlineStr">
        <is>
          <t>54</t>
        </is>
      </c>
      <c r="G8097" t="inlineStr">
        <is>
          <t>12</t>
        </is>
      </c>
      <c r="H8097" t="inlineStr">
        <is>
          <t>0</t>
        </is>
      </c>
      <c r="I8097" t="inlineStr">
        <is>
          <t>6¹, 318¹</t>
        </is>
      </c>
      <c r="J8097" t="n">
        <v>2</v>
      </c>
      <c r="K8097" t="inlineStr">
        <is>
          <t>1², 52¹</t>
        </is>
      </c>
      <c r="L8097" t="inlineStr">
        <is>
          <t>106A⁸, 159A¹²</t>
        </is>
      </c>
      <c r="M8097" t="inlineStr"/>
      <c r="N8097" t="inlineStr">
        <is>
          <t>106A⁸, 3A⁰, 1A⁰, 53A⁴, 159A¹²</t>
        </is>
      </c>
      <c r="O8097" t="inlineStr"/>
    </row>
    <row r="8098">
      <c r="A8098">
        <f>HYPERLINK("https://mathstats.uncg.edu/sites/pauli/congruence/csg24.html#group330A24", "330A²⁴")</f>
        <v/>
      </c>
      <c r="B8098" t="n">
        <v>24</v>
      </c>
      <c r="C8098" t="inlineStr"/>
      <c r="D8098" t="inlineStr">
        <is>
          <t>330</t>
        </is>
      </c>
      <c r="E8098" t="inlineStr">
        <is>
          <t>2</t>
        </is>
      </c>
      <c r="F8098" t="inlineStr">
        <is>
          <t>55</t>
        </is>
      </c>
      <c r="G8098" t="inlineStr">
        <is>
          <t>0</t>
        </is>
      </c>
      <c r="H8098" t="inlineStr">
        <is>
          <t>12</t>
        </is>
      </c>
      <c r="I8098" t="inlineStr">
        <is>
          <t>330¹</t>
        </is>
      </c>
      <c r="J8098" t="n">
        <v>1</v>
      </c>
      <c r="K8098" t="inlineStr">
        <is>
          <t>4¹, 16¹, 20², 80²</t>
        </is>
      </c>
      <c r="L8098" t="inlineStr">
        <is>
          <t>30B¹, 110A⁷, 165A¹⁰</t>
        </is>
      </c>
      <c r="M8098" t="inlineStr"/>
      <c r="N8098" t="inlineStr">
        <is>
          <t>11A⁰, 2A⁰, 5A⁰, 55A³, 10A⁰, 22A¹, 30B¹, 110A⁷, 1A⁰, 165A¹⁰, 15A⁰</t>
        </is>
      </c>
      <c r="O8098" t="inlineStr"/>
    </row>
    <row r="8099">
      <c r="A8099">
        <f>HYPERLINK("https://mathstats.uncg.edu/sites/pauli/congruence/csg24.html#group330B24", "330B²⁴")</f>
        <v/>
      </c>
      <c r="B8099" t="n">
        <v>24</v>
      </c>
      <c r="C8099" t="inlineStr"/>
      <c r="D8099" t="inlineStr">
        <is>
          <t>330</t>
        </is>
      </c>
      <c r="E8099" t="inlineStr">
        <is>
          <t>2</t>
        </is>
      </c>
      <c r="F8099" t="inlineStr">
        <is>
          <t>55</t>
        </is>
      </c>
      <c r="G8099" t="inlineStr">
        <is>
          <t>0</t>
        </is>
      </c>
      <c r="H8099" t="inlineStr">
        <is>
          <t>12</t>
        </is>
      </c>
      <c r="I8099" t="inlineStr">
        <is>
          <t>330¹</t>
        </is>
      </c>
      <c r="J8099" t="n">
        <v>1</v>
      </c>
      <c r="K8099" t="inlineStr">
        <is>
          <t>4¹, 16¹, 20², 80²</t>
        </is>
      </c>
      <c r="L8099" t="inlineStr">
        <is>
          <t>30B¹, 110A⁷, 165B¹⁰</t>
        </is>
      </c>
      <c r="M8099" t="inlineStr"/>
      <c r="N8099" t="inlineStr">
        <is>
          <t>11A⁰, 2A⁰, 5A⁰, 55A³, 10A⁰, 22A¹, 30B¹, 165B¹⁰, 110A⁷, 1A⁰, 15A⁰</t>
        </is>
      </c>
      <c r="O8099" t="inlineStr"/>
    </row>
    <row r="8100">
      <c r="A8100">
        <f>HYPERLINK("https://mathstats.uncg.edu/sites/pauli/congruence/csg24.html#group330C24", "330C²⁴")</f>
        <v/>
      </c>
      <c r="B8100" t="n">
        <v>24</v>
      </c>
      <c r="C8100" t="inlineStr"/>
      <c r="D8100" t="inlineStr">
        <is>
          <t>330</t>
        </is>
      </c>
      <c r="E8100" t="inlineStr">
        <is>
          <t>2</t>
        </is>
      </c>
      <c r="F8100" t="inlineStr">
        <is>
          <t>110</t>
        </is>
      </c>
      <c r="G8100" t="inlineStr">
        <is>
          <t>0</t>
        </is>
      </c>
      <c r="H8100" t="inlineStr">
        <is>
          <t>12</t>
        </is>
      </c>
      <c r="I8100" t="inlineStr">
        <is>
          <t>330¹</t>
        </is>
      </c>
      <c r="J8100" t="n">
        <v>1</v>
      </c>
      <c r="K8100" t="inlineStr">
        <is>
          <t>4¹, 16¹, 20², 80²</t>
        </is>
      </c>
      <c r="L8100" t="inlineStr">
        <is>
          <t>30A¹, 66A⁴, 110A⁷</t>
        </is>
      </c>
      <c r="M8100" t="inlineStr"/>
      <c r="N8100" t="inlineStr">
        <is>
          <t>11A⁰, 2A⁰, 30A¹, 5A⁰, 10A⁰, 22A¹, 6A⁰, 55A³, 1A⁰, 110A⁷, 66A⁴</t>
        </is>
      </c>
      <c r="O8100" t="inlineStr"/>
    </row>
    <row r="8101">
      <c r="A8101">
        <f>HYPERLINK("https://mathstats.uncg.edu/sites/pauli/congruence/csg24.html#group330D24", "330D²⁴")</f>
        <v/>
      </c>
      <c r="B8101" t="n">
        <v>24</v>
      </c>
      <c r="C8101" t="inlineStr"/>
      <c r="D8101" t="inlineStr">
        <is>
          <t>396</t>
        </is>
      </c>
      <c r="E8101" t="inlineStr">
        <is>
          <t>2</t>
        </is>
      </c>
      <c r="F8101" t="inlineStr">
        <is>
          <t>66</t>
        </is>
      </c>
      <c r="G8101" t="inlineStr">
        <is>
          <t>36</t>
        </is>
      </c>
      <c r="H8101" t="inlineStr">
        <is>
          <t>0</t>
        </is>
      </c>
      <c r="I8101" t="inlineStr">
        <is>
          <t>66¹, 330¹</t>
        </is>
      </c>
      <c r="J8101" t="n">
        <v>2</v>
      </c>
      <c r="K8101" t="inlineStr">
        <is>
          <t>2², 8¹, 10⁴, 40²</t>
        </is>
      </c>
      <c r="L8101" t="inlineStr">
        <is>
          <t>30A⁰, 110A⁸, 165B¹²</t>
        </is>
      </c>
      <c r="M8101" t="inlineStr"/>
      <c r="N8101" t="inlineStr">
        <is>
          <t>30A⁰, 11A⁰, 55A⁴, 15B⁰, 110A⁸, 33A¹, 5B⁰, 165B¹², 3A⁰, 1A⁰, 10B⁰</t>
        </is>
      </c>
      <c r="O8101" t="inlineStr"/>
    </row>
    <row r="8102">
      <c r="A8102">
        <f>HYPERLINK("https://mathstats.uncg.edu/sites/pauli/congruence/csg24.html#group336A24", "336A²⁴")</f>
        <v/>
      </c>
      <c r="B8102" t="n">
        <v>24</v>
      </c>
      <c r="C8102" t="inlineStr"/>
      <c r="D8102" t="inlineStr">
        <is>
          <t>336</t>
        </is>
      </c>
      <c r="E8102" t="inlineStr">
        <is>
          <t>2</t>
        </is>
      </c>
      <c r="F8102" t="inlineStr">
        <is>
          <t>56</t>
        </is>
      </c>
      <c r="G8102" t="inlineStr">
        <is>
          <t>18</t>
        </is>
      </c>
      <c r="H8102" t="inlineStr">
        <is>
          <t>0</t>
        </is>
      </c>
      <c r="I8102" t="inlineStr">
        <is>
          <t>336¹</t>
        </is>
      </c>
      <c r="J8102" t="n">
        <v>1</v>
      </c>
      <c r="K8102" t="inlineStr">
        <is>
          <t>16², 48⁴</t>
        </is>
      </c>
      <c r="L8102" t="inlineStr">
        <is>
          <t>112A⁷, 168C¹⁰</t>
        </is>
      </c>
      <c r="M8102" t="inlineStr"/>
      <c r="N8102" t="inlineStr">
        <is>
          <t>112A⁷, 8A⁰, 21A⁰, 1A⁰, 84A³, 12A⁰, 168C¹⁰, 24A¹, 4A⁰, 56C³, 3A⁰, 28A¹, 7A⁰</t>
        </is>
      </c>
      <c r="O8102" t="inlineStr"/>
    </row>
    <row r="8103">
      <c r="A8103">
        <f>HYPERLINK("https://mathstats.uncg.edu/sites/pauli/congruence/csg24.html#group336B24", "336B²⁴")</f>
        <v/>
      </c>
      <c r="B8103" t="n">
        <v>24</v>
      </c>
      <c r="C8103" t="inlineStr"/>
      <c r="D8103" t="inlineStr">
        <is>
          <t>336</t>
        </is>
      </c>
      <c r="E8103" t="inlineStr">
        <is>
          <t>2</t>
        </is>
      </c>
      <c r="F8103" t="inlineStr">
        <is>
          <t>56</t>
        </is>
      </c>
      <c r="G8103" t="inlineStr">
        <is>
          <t>18</t>
        </is>
      </c>
      <c r="H8103" t="inlineStr">
        <is>
          <t>0</t>
        </is>
      </c>
      <c r="I8103" t="inlineStr">
        <is>
          <t>336¹</t>
        </is>
      </c>
      <c r="J8103" t="n">
        <v>1</v>
      </c>
      <c r="K8103" t="inlineStr">
        <is>
          <t>16², 48⁴</t>
        </is>
      </c>
      <c r="L8103" t="inlineStr">
        <is>
          <t>112B⁷, 168D¹⁰</t>
        </is>
      </c>
      <c r="M8103" t="inlineStr"/>
      <c r="N8103" t="inlineStr">
        <is>
          <t>56D³, 8A⁰, 21A⁰, 1A⁰, 112B⁷, 84A³, 12A⁰, 24A¹, 4A⁰, 168D¹⁰, 3A⁰, 28A¹, 7A⁰</t>
        </is>
      </c>
      <c r="O8103" t="inlineStr"/>
    </row>
    <row r="8104">
      <c r="A8104">
        <f>HYPERLINK("https://mathstats.uncg.edu/sites/pauli/congruence/csg24.html#group336C24", "336C²⁴")</f>
        <v/>
      </c>
      <c r="B8104" t="n">
        <v>24</v>
      </c>
      <c r="C8104" t="inlineStr"/>
      <c r="D8104" t="inlineStr">
        <is>
          <t>336</t>
        </is>
      </c>
      <c r="E8104" t="inlineStr">
        <is>
          <t>2</t>
        </is>
      </c>
      <c r="F8104" t="inlineStr">
        <is>
          <t>56</t>
        </is>
      </c>
      <c r="G8104" t="inlineStr">
        <is>
          <t>18</t>
        </is>
      </c>
      <c r="H8104" t="inlineStr">
        <is>
          <t>0</t>
        </is>
      </c>
      <c r="I8104" t="inlineStr">
        <is>
          <t>336¹</t>
        </is>
      </c>
      <c r="J8104" t="n">
        <v>1</v>
      </c>
      <c r="K8104" t="inlineStr">
        <is>
          <t>16², 48⁴</t>
        </is>
      </c>
      <c r="L8104" t="inlineStr">
        <is>
          <t>48A³, 112C⁷, 168C¹⁰</t>
        </is>
      </c>
      <c r="M8104" t="inlineStr"/>
      <c r="N8104" t="inlineStr">
        <is>
          <t>112C⁷, 16A⁰, 8A⁰, 21A⁰, 1A⁰, 84A³, 12A⁰, 168C¹⁰, 48A³, 24A¹, 4A⁰, 56C³, 3A⁰, 28A¹, 7A⁰</t>
        </is>
      </c>
      <c r="O8104" t="inlineStr"/>
    </row>
    <row r="8105">
      <c r="A8105">
        <f>HYPERLINK("https://mathstats.uncg.edu/sites/pauli/congruence/csg24.html#group336D24", "336D²⁴")</f>
        <v/>
      </c>
      <c r="B8105" t="n">
        <v>24</v>
      </c>
      <c r="C8105" t="inlineStr"/>
      <c r="D8105" t="inlineStr">
        <is>
          <t>336</t>
        </is>
      </c>
      <c r="E8105" t="inlineStr">
        <is>
          <t>2</t>
        </is>
      </c>
      <c r="F8105" t="inlineStr">
        <is>
          <t>56</t>
        </is>
      </c>
      <c r="G8105" t="inlineStr">
        <is>
          <t>18</t>
        </is>
      </c>
      <c r="H8105" t="inlineStr">
        <is>
          <t>0</t>
        </is>
      </c>
      <c r="I8105" t="inlineStr">
        <is>
          <t>336¹</t>
        </is>
      </c>
      <c r="J8105" t="n">
        <v>1</v>
      </c>
      <c r="K8105" t="inlineStr">
        <is>
          <t>16², 48⁴</t>
        </is>
      </c>
      <c r="L8105" t="inlineStr">
        <is>
          <t>48A³, 112D⁷, 168D¹⁰</t>
        </is>
      </c>
      <c r="M8105" t="inlineStr"/>
      <c r="N8105" t="inlineStr">
        <is>
          <t>84A³, 56D³, 48A³, 24A¹, 12A⁰, 16A⁰, 4A⁰, 8A⁰, 21A⁰, 112D⁷, 168D¹⁰, 3A⁰, 28A¹, 1A⁰, 7A⁰</t>
        </is>
      </c>
      <c r="O8105" t="inlineStr"/>
    </row>
    <row r="8106">
      <c r="A8106">
        <f>HYPERLINK("https://mathstats.uncg.edu/sites/pauli/congruence/csg24.html#group336E24", "336E²⁴")</f>
        <v/>
      </c>
      <c r="B8106" t="n">
        <v>24</v>
      </c>
      <c r="C8106" t="inlineStr"/>
      <c r="D8106" t="inlineStr">
        <is>
          <t>336</t>
        </is>
      </c>
      <c r="E8106" t="inlineStr">
        <is>
          <t>2</t>
        </is>
      </c>
      <c r="F8106" t="inlineStr">
        <is>
          <t>168</t>
        </is>
      </c>
      <c r="G8106" t="inlineStr">
        <is>
          <t>18</t>
        </is>
      </c>
      <c r="H8106" t="inlineStr">
        <is>
          <t>0</t>
        </is>
      </c>
      <c r="I8106" t="inlineStr">
        <is>
          <t>336¹</t>
        </is>
      </c>
      <c r="J8106" t="n">
        <v>1</v>
      </c>
      <c r="K8106" t="inlineStr">
        <is>
          <t>16², 32², 48⁴, 96⁴</t>
        </is>
      </c>
      <c r="L8106" t="inlineStr">
        <is>
          <t>168C¹⁰</t>
        </is>
      </c>
      <c r="M8106" t="inlineStr"/>
      <c r="N8106" t="inlineStr">
        <is>
          <t>84A³, 12A⁰, 168C¹⁰, 24A¹, 4A⁰, 8A⁰, 21A⁰, 56C³, 3A⁰, 28A¹, 1A⁰, 7A⁰</t>
        </is>
      </c>
      <c r="O8106" t="inlineStr"/>
    </row>
    <row r="8107">
      <c r="A8107">
        <f>HYPERLINK("https://mathstats.uncg.edu/sites/pauli/congruence/csg24.html#group336F24", "336F²⁴")</f>
        <v/>
      </c>
      <c r="B8107" t="n">
        <v>24</v>
      </c>
      <c r="C8107" t="inlineStr"/>
      <c r="D8107" t="inlineStr">
        <is>
          <t>336</t>
        </is>
      </c>
      <c r="E8107" t="inlineStr">
        <is>
          <t>2</t>
        </is>
      </c>
      <c r="F8107" t="inlineStr">
        <is>
          <t>168</t>
        </is>
      </c>
      <c r="G8107" t="inlineStr">
        <is>
          <t>18</t>
        </is>
      </c>
      <c r="H8107" t="inlineStr">
        <is>
          <t>0</t>
        </is>
      </c>
      <c r="I8107" t="inlineStr">
        <is>
          <t>336¹</t>
        </is>
      </c>
      <c r="J8107" t="n">
        <v>1</v>
      </c>
      <c r="K8107" t="inlineStr">
        <is>
          <t>16², 32², 48⁴, 96⁴</t>
        </is>
      </c>
      <c r="L8107" t="inlineStr">
        <is>
          <t>168D¹⁰</t>
        </is>
      </c>
      <c r="M8107" t="inlineStr"/>
      <c r="N8107" t="inlineStr">
        <is>
          <t>84A³, 56D³, 24A¹, 12A⁰, 4A⁰, 8A⁰, 21A⁰, 168D¹⁰, 3A⁰, 28A¹, 1A⁰, 7A⁰</t>
        </is>
      </c>
      <c r="O8107" t="inlineStr"/>
    </row>
    <row r="8108">
      <c r="A8108">
        <f>HYPERLINK("https://mathstats.uncg.edu/sites/pauli/congruence/csg24.html#group336G24", "336G²⁴")</f>
        <v/>
      </c>
      <c r="B8108" t="n">
        <v>24</v>
      </c>
      <c r="C8108" t="inlineStr"/>
      <c r="D8108" t="inlineStr">
        <is>
          <t>336</t>
        </is>
      </c>
      <c r="E8108" t="inlineStr">
        <is>
          <t>2</t>
        </is>
      </c>
      <c r="F8108" t="inlineStr">
        <is>
          <t>168</t>
        </is>
      </c>
      <c r="G8108" t="inlineStr">
        <is>
          <t>18</t>
        </is>
      </c>
      <c r="H8108" t="inlineStr">
        <is>
          <t>0</t>
        </is>
      </c>
      <c r="I8108" t="inlineStr">
        <is>
          <t>336¹</t>
        </is>
      </c>
      <c r="J8108" t="n">
        <v>1</v>
      </c>
      <c r="K8108" t="inlineStr">
        <is>
          <t>16², 32², 48⁴, 96⁴</t>
        </is>
      </c>
      <c r="L8108" t="inlineStr">
        <is>
          <t>48B³, 168C¹⁰</t>
        </is>
      </c>
      <c r="M8108" t="inlineStr"/>
      <c r="N8108" t="inlineStr">
        <is>
          <t>84A³, 12A⁰, 168C¹⁰, 24A¹, 4A⁰, 8A⁰, 21A⁰, 56C³, 3A⁰, 28A¹, 1A⁰, 7A⁰, 48B³</t>
        </is>
      </c>
      <c r="O8108" t="inlineStr"/>
    </row>
    <row r="8109">
      <c r="A8109">
        <f>HYPERLINK("https://mathstats.uncg.edu/sites/pauli/congruence/csg24.html#group336H24", "336H²⁴")</f>
        <v/>
      </c>
      <c r="B8109" t="n">
        <v>24</v>
      </c>
      <c r="C8109" t="inlineStr"/>
      <c r="D8109" t="inlineStr">
        <is>
          <t>336</t>
        </is>
      </c>
      <c r="E8109" t="inlineStr">
        <is>
          <t>2</t>
        </is>
      </c>
      <c r="F8109" t="inlineStr">
        <is>
          <t>168</t>
        </is>
      </c>
      <c r="G8109" t="inlineStr">
        <is>
          <t>18</t>
        </is>
      </c>
      <c r="H8109" t="inlineStr">
        <is>
          <t>0</t>
        </is>
      </c>
      <c r="I8109" t="inlineStr">
        <is>
          <t>336¹</t>
        </is>
      </c>
      <c r="J8109" t="n">
        <v>1</v>
      </c>
      <c r="K8109" t="inlineStr">
        <is>
          <t>16², 32², 48⁴, 96⁴</t>
        </is>
      </c>
      <c r="L8109" t="inlineStr">
        <is>
          <t>48B³, 168D¹⁰</t>
        </is>
      </c>
      <c r="M8109" t="inlineStr"/>
      <c r="N8109" t="inlineStr">
        <is>
          <t>84A³, 56D³, 24A¹, 12A⁰, 4A⁰, 8A⁰, 21A⁰, 168D¹⁰, 3A⁰, 28A¹, 1A⁰, 7A⁰, 48B³</t>
        </is>
      </c>
      <c r="O8109" t="inlineStr"/>
    </row>
    <row r="8110">
      <c r="A8110">
        <f>HYPERLINK("https://mathstats.uncg.edu/sites/pauli/congruence/csg24.html#group336I24", "336I²⁴")</f>
        <v/>
      </c>
      <c r="B8110" t="n">
        <v>24</v>
      </c>
      <c r="C8110" t="inlineStr"/>
      <c r="D8110" t="inlineStr">
        <is>
          <t>504</t>
        </is>
      </c>
      <c r="E8110" t="inlineStr">
        <is>
          <t>2</t>
        </is>
      </c>
      <c r="F8110" t="inlineStr">
        <is>
          <t>21</t>
        </is>
      </c>
      <c r="G8110" t="inlineStr">
        <is>
          <t>72</t>
        </is>
      </c>
      <c r="H8110" t="inlineStr">
        <is>
          <t>0</t>
        </is>
      </c>
      <c r="I8110" t="inlineStr">
        <is>
          <t>168¹, 336¹</t>
        </is>
      </c>
      <c r="J8110" t="n">
        <v>2</v>
      </c>
      <c r="K8110" t="inlineStr">
        <is>
          <t>2³, 6⁶</t>
        </is>
      </c>
      <c r="L8110" t="inlineStr">
        <is>
          <t>48A⁰, 112B⁸, 168A¹²</t>
        </is>
      </c>
      <c r="M8110" t="inlineStr"/>
      <c r="N8110" t="inlineStr">
        <is>
          <t>12C⁰, 14B¹, 4C⁰, 168A¹², 8B⁰, 21A⁰, 48A⁰, 2B⁰, 1A⁰, 16B⁰, 28C², 24A⁰, 112B⁸, 3A⁰, 42C³, 84B⁶, 6D⁰, 7A⁰, 56B⁴</t>
        </is>
      </c>
      <c r="O81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2023-08-03T19:05:51Z</dcterms:created>
  <dcterms:modified xmlns:dcterms="http://purl.org/dc/terms/" xmlns:xsi="http://www.w3.org/2001/XMLSchema-instance" xsi:type="dcterms:W3CDTF">2023-08-03T19:05:51Z</dcterms:modified>
</cp:coreProperties>
</file>